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ink/ink1.xml" ContentType="application/inkml+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hntb.sharepoint.com/sites/ODOT412MPDG/Shared Documents/General/Narrative Section/Final Sections/"/>
    </mc:Choice>
  </mc:AlternateContent>
  <xr:revisionPtr revIDLastSave="1197" documentId="13_ncr:1_{37059B35-9EED-4626-84BA-78AF438D78B7}" xr6:coauthVersionLast="47" xr6:coauthVersionMax="47" xr10:uidLastSave="{E91E78A9-145E-467E-89DE-FB35B62BB4C2}"/>
  <bookViews>
    <workbookView xWindow="57480" yWindow="-120" windowWidth="29040" windowHeight="17640" tabRatio="791" firstSheet="4" activeTab="11" xr2:uid="{2C5C6DEB-F87D-4EA4-B81A-3705E02B14DF}"/>
  </bookViews>
  <sheets>
    <sheet name="Intro" sheetId="53" r:id="rId1"/>
    <sheet name="Results Summary" sheetId="40" r:id="rId2"/>
    <sheet name="Reporting Tables" sheetId="48" r:id="rId3"/>
    <sheet name="Inputs" sheetId="1" r:id="rId4"/>
    <sheet name="Safety" sheetId="16" r:id="rId5"/>
    <sheet name="Travel Time" sheetId="68" r:id="rId6"/>
    <sheet name="Emissions" sheetId="18" r:id="rId7"/>
    <sheet name="O&amp;M" sheetId="65" r:id="rId8"/>
    <sheet name="Residual Value" sheetId="29" r:id="rId9"/>
    <sheet name="Project Costs" sheetId="61" r:id="rId10"/>
    <sheet name="Volume and Speed" sheetId="72" r:id="rId11"/>
    <sheet name="Project Cost Data" sheetId="62" r:id="rId12"/>
    <sheet name="Price Deflators" sheetId="64" r:id="rId13"/>
    <sheet name="Crash Data" sheetId="24" r:id="rId14"/>
    <sheet name="Traffic Data" sheetId="67" r:id="rId15"/>
    <sheet name="Trip Gen" sheetId="73" r:id="rId16"/>
    <sheet name="Speed" sheetId="59" r:id="rId17"/>
    <sheet name="Emissions Data" sheetId="20" r:id="rId18"/>
  </sheets>
  <definedNames>
    <definedName name="adjust2023to2021">Inputs!$E$17</definedName>
    <definedName name="annualizationFactor">Inputs!$E$14</definedName>
    <definedName name="baseYear">Inputs!$E$6</definedName>
    <definedName name="Client.Name">Intro!$B$4</definedName>
    <definedName name="constructionDuration">Inputs!$E$9</definedName>
    <definedName name="costInjury">Inputs!$E$28</definedName>
    <definedName name="costLife">Inputs!$E$27</definedName>
    <definedName name="costPDO">Inputs!$E$29</definedName>
    <definedName name="discount">Inputs!$E$12</definedName>
    <definedName name="discountAnnual">_xlfn.ANCHORARRAY('Results Summary'!$F$133)</definedName>
    <definedName name="discountannual2023">'Results Summary'!$H$133:$AG$133</definedName>
    <definedName name="discountAnnualCO2">_xlfn.ANCHORARRAY('Results Summary'!$F$134)</definedName>
    <definedName name="discountCO2">Inputs!$E$13</definedName>
    <definedName name="endYear">Inputs!$E$8</definedName>
    <definedName name="feetToMiles">Inputs!$E$16</definedName>
    <definedName name="foottomile">Inputs!$E$16</definedName>
    <definedName name="Grant.Name">Intro!$B$6</definedName>
    <definedName name="nonpeakHours">Inputs!$E$20</definedName>
    <definedName name="occupancyAutos">Inputs!$E$25</definedName>
    <definedName name="occupancyTrucks">Inputs!$E$26</definedName>
    <definedName name="peakHoursAM">Inputs!$E$18</definedName>
    <definedName name="peakHoursPM">Inputs!$E$19</definedName>
    <definedName name="percentAutos">Inputs!#REF!</definedName>
    <definedName name="percentPeak">Inputs!$E$21</definedName>
    <definedName name="percentTrucks">Inputs!#REF!</definedName>
    <definedName name="Project.Name">Intro!$B$5</definedName>
    <definedName name="proxySpeed">Inputs!$E$31</definedName>
    <definedName name="startYear">Inputs!$E$7</definedName>
    <definedName name="studyDuration">Inputs!$E$11</definedName>
    <definedName name="tonsToGrams">Inputs!$E$15</definedName>
    <definedName name="usefulLife">Inputs!$E$32</definedName>
    <definedName name="VTTSAutos">Inputs!$E$23</definedName>
    <definedName name="VTTSTrucks">Inputs!$E$24</definedName>
    <definedName name="year">_xlfn.ANCHORARRAY('Results Summary'!$F$73)</definedName>
    <definedName name="yearsOfBenefits">Inputs!$E$10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62" l="1"/>
  <c r="D16" i="62"/>
  <c r="E124" i="40" l="1"/>
  <c r="E111" i="40"/>
  <c r="F111" i="40" a="1"/>
  <c r="F111" i="40" s="1"/>
  <c r="D60" i="40" s="1"/>
  <c r="Q64" i="40"/>
  <c r="K64" i="40"/>
  <c r="J64" i="40"/>
  <c r="G314" i="48"/>
  <c r="G77" i="40" a="1"/>
  <c r="G77" i="40"/>
  <c r="H77" i="40" a="1"/>
  <c r="H77" i="40" s="1"/>
  <c r="I77" i="40" a="1"/>
  <c r="I77" i="40"/>
  <c r="J77" i="40" a="1"/>
  <c r="J77" i="40" s="1"/>
  <c r="K77" i="40" a="1"/>
  <c r="K77" i="40" s="1"/>
  <c r="L77" i="40" a="1"/>
  <c r="L77" i="40" s="1"/>
  <c r="M77" i="40" a="1"/>
  <c r="M77" i="40" s="1"/>
  <c r="N77" i="40" a="1"/>
  <c r="N77" i="40"/>
  <c r="O77" i="40" a="1"/>
  <c r="O77" i="40"/>
  <c r="P77" i="40" a="1"/>
  <c r="P77" i="40" s="1"/>
  <c r="Q77" i="40" a="1"/>
  <c r="Q77" i="40"/>
  <c r="R77" i="40" a="1"/>
  <c r="R77" i="40" s="1"/>
  <c r="S77" i="40" a="1"/>
  <c r="S77" i="40" s="1"/>
  <c r="T77" i="40" a="1"/>
  <c r="T77" i="40" s="1"/>
  <c r="U77" i="40" a="1"/>
  <c r="U77" i="40" s="1"/>
  <c r="V77" i="40" a="1"/>
  <c r="V77" i="40"/>
  <c r="W77" i="40" a="1"/>
  <c r="W77" i="40"/>
  <c r="X77" i="40" a="1"/>
  <c r="X77" i="40" s="1"/>
  <c r="Y77" i="40" a="1"/>
  <c r="Y77" i="40"/>
  <c r="Z77" i="40" a="1"/>
  <c r="Z77" i="40" s="1"/>
  <c r="AA77" i="40" a="1"/>
  <c r="AA77" i="40" s="1"/>
  <c r="AB77" i="40" a="1"/>
  <c r="AB77" i="40" s="1"/>
  <c r="AC77" i="40" a="1"/>
  <c r="AC77" i="40" s="1"/>
  <c r="AD77" i="40" a="1"/>
  <c r="AD77" i="40"/>
  <c r="AE77" i="40" a="1"/>
  <c r="AE77" i="40"/>
  <c r="AF77" i="40" a="1"/>
  <c r="AF77" i="40" s="1"/>
  <c r="AG77" i="40" a="1"/>
  <c r="AG77" i="40"/>
  <c r="G78" i="40" a="1"/>
  <c r="G78" i="40" s="1"/>
  <c r="H78" i="40" a="1"/>
  <c r="H78" i="40" s="1"/>
  <c r="I78" i="40" a="1"/>
  <c r="I78" i="40" s="1"/>
  <c r="J78" i="40" a="1"/>
  <c r="J78" i="40" s="1"/>
  <c r="K78" i="40" a="1"/>
  <c r="K78" i="40"/>
  <c r="L78" i="40" a="1"/>
  <c r="L78" i="40"/>
  <c r="M78" i="40" a="1"/>
  <c r="M78" i="40" s="1"/>
  <c r="N78" i="40" a="1"/>
  <c r="N78" i="40"/>
  <c r="O78" i="40" a="1"/>
  <c r="O78" i="40" s="1"/>
  <c r="P78" i="40" a="1"/>
  <c r="P78" i="40" s="1"/>
  <c r="Q78" i="40" a="1"/>
  <c r="Q78" i="40" s="1"/>
  <c r="R78" i="40" a="1"/>
  <c r="R78" i="40" s="1"/>
  <c r="S78" i="40" a="1"/>
  <c r="S78" i="40"/>
  <c r="T78" i="40" a="1"/>
  <c r="T78" i="40"/>
  <c r="U78" i="40" a="1"/>
  <c r="U78" i="40" s="1"/>
  <c r="V78" i="40" a="1"/>
  <c r="V78" i="40"/>
  <c r="W78" i="40" a="1"/>
  <c r="W78" i="40" s="1"/>
  <c r="X78" i="40" a="1"/>
  <c r="X78" i="40" s="1"/>
  <c r="Y78" i="40" a="1"/>
  <c r="Y78" i="40" s="1"/>
  <c r="Z78" i="40" a="1"/>
  <c r="Z78" i="40" s="1"/>
  <c r="AA78" i="40" a="1"/>
  <c r="AA78" i="40"/>
  <c r="AB78" i="40" a="1"/>
  <c r="AB78" i="40"/>
  <c r="AC78" i="40" a="1"/>
  <c r="AC78" i="40" s="1"/>
  <c r="AD78" i="40" a="1"/>
  <c r="AD78" i="40"/>
  <c r="AE78" i="40" a="1"/>
  <c r="AE78" i="40" s="1"/>
  <c r="AF78" i="40" a="1"/>
  <c r="AF78" i="40" s="1"/>
  <c r="AG78" i="40" a="1"/>
  <c r="AG78" i="40" s="1"/>
  <c r="G79" i="40" a="1"/>
  <c r="G79" i="40" s="1"/>
  <c r="H79" i="40" a="1"/>
  <c r="H79" i="40"/>
  <c r="I79" i="40" a="1"/>
  <c r="I79" i="40"/>
  <c r="J79" i="40" a="1"/>
  <c r="J79" i="40" s="1"/>
  <c r="K79" i="40" a="1"/>
  <c r="K79" i="40"/>
  <c r="L79" i="40" a="1"/>
  <c r="L79" i="40" s="1"/>
  <c r="M79" i="40" a="1"/>
  <c r="M79" i="40" s="1"/>
  <c r="N79" i="40" a="1"/>
  <c r="N79" i="40" s="1"/>
  <c r="O79" i="40" a="1"/>
  <c r="O79" i="40" s="1"/>
  <c r="P79" i="40" a="1"/>
  <c r="P79" i="40"/>
  <c r="Q79" i="40" a="1"/>
  <c r="Q79" i="40" s="1"/>
  <c r="R79" i="40" a="1"/>
  <c r="R79" i="40" s="1"/>
  <c r="S79" i="40" a="1"/>
  <c r="S79" i="40"/>
  <c r="T79" i="40" a="1"/>
  <c r="T79" i="40" s="1"/>
  <c r="U79" i="40" a="1"/>
  <c r="U79" i="40" s="1"/>
  <c r="V79" i="40" a="1"/>
  <c r="V79" i="40" s="1"/>
  <c r="W79" i="40" a="1"/>
  <c r="W79" i="40" s="1"/>
  <c r="X79" i="40" a="1"/>
  <c r="X79" i="40"/>
  <c r="Y79" i="40" a="1"/>
  <c r="Y79" i="40" s="1"/>
  <c r="Z79" i="40" a="1"/>
  <c r="Z79" i="40" s="1"/>
  <c r="AA79" i="40" a="1"/>
  <c r="AA79" i="40"/>
  <c r="AB79" i="40" a="1"/>
  <c r="AB79" i="40" s="1"/>
  <c r="AC79" i="40" a="1"/>
  <c r="AC79" i="40" s="1"/>
  <c r="AD79" i="40" a="1"/>
  <c r="AD79" i="40" s="1"/>
  <c r="AE79" i="40" a="1"/>
  <c r="AE79" i="40" s="1"/>
  <c r="AF79" i="40" a="1"/>
  <c r="AF79" i="40"/>
  <c r="AG79" i="40" a="1"/>
  <c r="AG79" i="40" s="1"/>
  <c r="G80" i="40" a="1"/>
  <c r="G80" i="40" s="1"/>
  <c r="H80" i="40" a="1"/>
  <c r="H80" i="40"/>
  <c r="I80" i="40" a="1"/>
  <c r="I80" i="40" s="1"/>
  <c r="J80" i="40" a="1"/>
  <c r="J80" i="40" s="1"/>
  <c r="K80" i="40" a="1"/>
  <c r="K80" i="40" s="1"/>
  <c r="L80" i="40" a="1"/>
  <c r="L80" i="40" s="1"/>
  <c r="M80" i="40" a="1"/>
  <c r="M80" i="40"/>
  <c r="N80" i="40" a="1"/>
  <c r="N80" i="40" s="1"/>
  <c r="O80" i="40" a="1"/>
  <c r="O80" i="40" s="1"/>
  <c r="P80" i="40" a="1"/>
  <c r="P80" i="40"/>
  <c r="Q80" i="40" a="1"/>
  <c r="Q80" i="40" s="1"/>
  <c r="R80" i="40" a="1"/>
  <c r="R80" i="40" s="1"/>
  <c r="S80" i="40" a="1"/>
  <c r="S80" i="40" s="1"/>
  <c r="T80" i="40" a="1"/>
  <c r="T80" i="40" s="1"/>
  <c r="U80" i="40" a="1"/>
  <c r="U80" i="40"/>
  <c r="V80" i="40" a="1"/>
  <c r="V80" i="40" s="1"/>
  <c r="W80" i="40" a="1"/>
  <c r="W80" i="40" s="1"/>
  <c r="X80" i="40" a="1"/>
  <c r="X80" i="40"/>
  <c r="Y80" i="40" a="1"/>
  <c r="Y80" i="40" s="1"/>
  <c r="Z80" i="40" a="1"/>
  <c r="Z80" i="40" s="1"/>
  <c r="AA80" i="40" a="1"/>
  <c r="AA80" i="40" s="1"/>
  <c r="AB80" i="40" a="1"/>
  <c r="AB80" i="40" s="1"/>
  <c r="AC80" i="40" a="1"/>
  <c r="AC80" i="40"/>
  <c r="AD80" i="40" a="1"/>
  <c r="AD80" i="40" s="1"/>
  <c r="AE80" i="40" a="1"/>
  <c r="AE80" i="40" s="1"/>
  <c r="AF80" i="40" a="1"/>
  <c r="AF80" i="40"/>
  <c r="AG80" i="40" a="1"/>
  <c r="AG80" i="40" s="1"/>
  <c r="F77" i="40" a="1"/>
  <c r="F77" i="40" s="1"/>
  <c r="F78" i="40" a="1"/>
  <c r="F78" i="40" s="1"/>
  <c r="F79" i="40" a="1"/>
  <c r="F79" i="40" s="1"/>
  <c r="F80" i="40" a="1"/>
  <c r="F80" i="40"/>
  <c r="F726" i="18"/>
  <c r="F727" i="18"/>
  <c r="F728" i="18"/>
  <c r="F729" i="18"/>
  <c r="F730" i="18"/>
  <c r="F731" i="18"/>
  <c r="F732" i="18"/>
  <c r="F725" i="18"/>
  <c r="E91" i="40"/>
  <c r="H734" i="18"/>
  <c r="I734" i="18"/>
  <c r="F734" i="18" s="1"/>
  <c r="J734" i="18"/>
  <c r="K734" i="18"/>
  <c r="L734" i="18"/>
  <c r="M734" i="18"/>
  <c r="N734" i="18"/>
  <c r="O734" i="18"/>
  <c r="P734" i="18"/>
  <c r="Q734" i="18"/>
  <c r="R734" i="18"/>
  <c r="S734" i="18"/>
  <c r="T734" i="18"/>
  <c r="U734" i="18"/>
  <c r="V734" i="18"/>
  <c r="W734" i="18"/>
  <c r="X734" i="18"/>
  <c r="Y734" i="18"/>
  <c r="Z734" i="18"/>
  <c r="AA734" i="18"/>
  <c r="AB734" i="18"/>
  <c r="AC734" i="18"/>
  <c r="AD734" i="18"/>
  <c r="AE734" i="18"/>
  <c r="AF734" i="18"/>
  <c r="AG734" i="18"/>
  <c r="AH734" i="18"/>
  <c r="H735" i="18"/>
  <c r="I735" i="18"/>
  <c r="J735" i="18"/>
  <c r="K735" i="18"/>
  <c r="L735" i="18"/>
  <c r="M735" i="18"/>
  <c r="N735" i="18"/>
  <c r="O735" i="18"/>
  <c r="P735" i="18"/>
  <c r="Q735" i="18"/>
  <c r="R735" i="18"/>
  <c r="S735" i="18"/>
  <c r="T735" i="18"/>
  <c r="U735" i="18"/>
  <c r="V735" i="18"/>
  <c r="W735" i="18"/>
  <c r="X735" i="18"/>
  <c r="Y735" i="18"/>
  <c r="Z735" i="18"/>
  <c r="AA735" i="18"/>
  <c r="AB735" i="18"/>
  <c r="AC735" i="18"/>
  <c r="AD735" i="18"/>
  <c r="AE735" i="18"/>
  <c r="AF735" i="18"/>
  <c r="AG735" i="18"/>
  <c r="AH735" i="18"/>
  <c r="H736" i="18"/>
  <c r="I736" i="18"/>
  <c r="J736" i="18"/>
  <c r="K736" i="18"/>
  <c r="L736" i="18"/>
  <c r="M736" i="18"/>
  <c r="N736" i="18"/>
  <c r="O736" i="18"/>
  <c r="P736" i="18"/>
  <c r="Q736" i="18"/>
  <c r="R736" i="18"/>
  <c r="S736" i="18"/>
  <c r="T736" i="18"/>
  <c r="U736" i="18"/>
  <c r="V736" i="18"/>
  <c r="W736" i="18"/>
  <c r="X736" i="18"/>
  <c r="Y736" i="18"/>
  <c r="Z736" i="18"/>
  <c r="AA736" i="18"/>
  <c r="AB736" i="18"/>
  <c r="AC736" i="18"/>
  <c r="AD736" i="18"/>
  <c r="AE736" i="18"/>
  <c r="AF736" i="18"/>
  <c r="AG736" i="18"/>
  <c r="AH736" i="18"/>
  <c r="H737" i="18"/>
  <c r="I737" i="18"/>
  <c r="J737" i="18"/>
  <c r="K737" i="18"/>
  <c r="L737" i="18"/>
  <c r="M737" i="18"/>
  <c r="N737" i="18"/>
  <c r="O737" i="18"/>
  <c r="P737" i="18"/>
  <c r="Q737" i="18"/>
  <c r="R737" i="18"/>
  <c r="S737" i="18"/>
  <c r="T737" i="18"/>
  <c r="U737" i="18"/>
  <c r="V737" i="18"/>
  <c r="W737" i="18"/>
  <c r="X737" i="18"/>
  <c r="Y737" i="18"/>
  <c r="Z737" i="18"/>
  <c r="AA737" i="18"/>
  <c r="AB737" i="18"/>
  <c r="AC737" i="18"/>
  <c r="AD737" i="18"/>
  <c r="AE737" i="18"/>
  <c r="AF737" i="18"/>
  <c r="AG737" i="18"/>
  <c r="AH737" i="18"/>
  <c r="H738" i="18"/>
  <c r="I738" i="18"/>
  <c r="J738" i="18"/>
  <c r="K738" i="18"/>
  <c r="L738" i="18"/>
  <c r="M738" i="18"/>
  <c r="N738" i="18"/>
  <c r="O738" i="18"/>
  <c r="P738" i="18"/>
  <c r="Q738" i="18"/>
  <c r="R738" i="18"/>
  <c r="S738" i="18"/>
  <c r="T738" i="18"/>
  <c r="U738" i="18"/>
  <c r="V738" i="18"/>
  <c r="W738" i="18"/>
  <c r="X738" i="18"/>
  <c r="Y738" i="18"/>
  <c r="Z738" i="18"/>
  <c r="AA738" i="18"/>
  <c r="AB738" i="18"/>
  <c r="AC738" i="18"/>
  <c r="AD738" i="18"/>
  <c r="AE738" i="18"/>
  <c r="AF738" i="18"/>
  <c r="AG738" i="18"/>
  <c r="AH738" i="18"/>
  <c r="H739" i="18"/>
  <c r="I739" i="18"/>
  <c r="J739" i="18"/>
  <c r="K739" i="18"/>
  <c r="L739" i="18"/>
  <c r="M739" i="18"/>
  <c r="N739" i="18"/>
  <c r="O739" i="18"/>
  <c r="P739" i="18"/>
  <c r="Q739" i="18"/>
  <c r="R739" i="18"/>
  <c r="S739" i="18"/>
  <c r="T739" i="18"/>
  <c r="U739" i="18"/>
  <c r="V739" i="18"/>
  <c r="W739" i="18"/>
  <c r="X739" i="18"/>
  <c r="Y739" i="18"/>
  <c r="Z739" i="18"/>
  <c r="AA739" i="18"/>
  <c r="AB739" i="18"/>
  <c r="AC739" i="18"/>
  <c r="AD739" i="18"/>
  <c r="AE739" i="18"/>
  <c r="AF739" i="18"/>
  <c r="AG739" i="18"/>
  <c r="AH739" i="18"/>
  <c r="H740" i="18"/>
  <c r="I740" i="18"/>
  <c r="J740" i="18"/>
  <c r="K740" i="18"/>
  <c r="L740" i="18"/>
  <c r="M740" i="18"/>
  <c r="N740" i="18"/>
  <c r="O740" i="18"/>
  <c r="P740" i="18"/>
  <c r="Q740" i="18"/>
  <c r="R740" i="18"/>
  <c r="S740" i="18"/>
  <c r="T740" i="18"/>
  <c r="U740" i="18"/>
  <c r="V740" i="18"/>
  <c r="W740" i="18"/>
  <c r="X740" i="18"/>
  <c r="Y740" i="18"/>
  <c r="Z740" i="18"/>
  <c r="AA740" i="18"/>
  <c r="AB740" i="18"/>
  <c r="AC740" i="18"/>
  <c r="AD740" i="18"/>
  <c r="AE740" i="18"/>
  <c r="AF740" i="18"/>
  <c r="AG740" i="18"/>
  <c r="AH740" i="18"/>
  <c r="H741" i="18"/>
  <c r="F741" i="18" s="1"/>
  <c r="I741" i="18"/>
  <c r="J741" i="18"/>
  <c r="K741" i="18"/>
  <c r="L741" i="18"/>
  <c r="M741" i="18"/>
  <c r="N741" i="18"/>
  <c r="O741" i="18"/>
  <c r="P741" i="18"/>
  <c r="Q741" i="18"/>
  <c r="R741" i="18"/>
  <c r="S741" i="18"/>
  <c r="T741" i="18"/>
  <c r="U741" i="18"/>
  <c r="V741" i="18"/>
  <c r="W741" i="18"/>
  <c r="X741" i="18"/>
  <c r="Y741" i="18"/>
  <c r="Z741" i="18"/>
  <c r="AA741" i="18"/>
  <c r="AB741" i="18"/>
  <c r="AC741" i="18"/>
  <c r="AD741" i="18"/>
  <c r="AE741" i="18"/>
  <c r="AF741" i="18"/>
  <c r="AG741" i="18"/>
  <c r="AH741" i="18"/>
  <c r="G741" i="18"/>
  <c r="G740" i="18"/>
  <c r="G739" i="18"/>
  <c r="G738" i="18"/>
  <c r="G737" i="18"/>
  <c r="G736" i="18"/>
  <c r="G735" i="18"/>
  <c r="G734" i="18"/>
  <c r="C738" i="18" a="1"/>
  <c r="C738" i="18" s="1"/>
  <c r="C734" i="18" a="1"/>
  <c r="C734" i="18" s="1"/>
  <c r="G729" i="18"/>
  <c r="F687" i="68"/>
  <c r="N721" i="18"/>
  <c r="N730" i="18"/>
  <c r="N90" i="40" a="1"/>
  <c r="N90" i="40" s="1"/>
  <c r="O90" i="40" a="1"/>
  <c r="O90" i="40" s="1"/>
  <c r="P90" i="40" a="1"/>
  <c r="P90" i="40" s="1"/>
  <c r="Q90" i="40" a="1"/>
  <c r="Q90" i="40"/>
  <c r="R90" i="40" a="1"/>
  <c r="R90" i="40"/>
  <c r="S90" i="40" a="1"/>
  <c r="S90" i="40" s="1"/>
  <c r="T90" i="40" a="1"/>
  <c r="T90" i="40" s="1"/>
  <c r="U90" i="40" a="1"/>
  <c r="U90" i="40"/>
  <c r="V90" i="40" a="1"/>
  <c r="V90" i="40" s="1"/>
  <c r="W90" i="40" a="1"/>
  <c r="W90" i="40" s="1"/>
  <c r="X90" i="40" a="1"/>
  <c r="X90" i="40" s="1"/>
  <c r="Y90" i="40" a="1"/>
  <c r="Y90" i="40"/>
  <c r="Z90" i="40" a="1"/>
  <c r="Z90" i="40"/>
  <c r="AA90" i="40" a="1"/>
  <c r="AA90" i="40" s="1"/>
  <c r="AB90" i="40" a="1"/>
  <c r="AB90" i="40" s="1"/>
  <c r="AC90" i="40" a="1"/>
  <c r="AC90" i="40"/>
  <c r="AD90" i="40" a="1"/>
  <c r="AD90" i="40" s="1"/>
  <c r="AE90" i="40" a="1"/>
  <c r="AE90" i="40" s="1"/>
  <c r="AF90" i="40" a="1"/>
  <c r="AF90" i="40" s="1"/>
  <c r="AG90" i="40" a="1"/>
  <c r="AG90" i="40" s="1"/>
  <c r="N91" i="40" a="1"/>
  <c r="N91" i="40"/>
  <c r="O91" i="40" a="1"/>
  <c r="O91" i="40" s="1"/>
  <c r="P91" i="40" a="1"/>
  <c r="P91" i="40" s="1"/>
  <c r="Q91" i="40" a="1"/>
  <c r="Q91" i="40"/>
  <c r="R91" i="40" a="1"/>
  <c r="R91" i="40" s="1"/>
  <c r="S91" i="40" a="1"/>
  <c r="S91" i="40" s="1"/>
  <c r="T91" i="40" a="1"/>
  <c r="T91" i="40" s="1"/>
  <c r="U91" i="40" a="1"/>
  <c r="U91" i="40"/>
  <c r="V91" i="40" a="1"/>
  <c r="V91" i="40"/>
  <c r="W91" i="40" a="1"/>
  <c r="W91" i="40" s="1"/>
  <c r="X91" i="40" a="1"/>
  <c r="X91" i="40" s="1"/>
  <c r="Y91" i="40" a="1"/>
  <c r="Y91" i="40"/>
  <c r="Z91" i="40" a="1"/>
  <c r="Z91" i="40" s="1"/>
  <c r="AA91" i="40" a="1"/>
  <c r="AA91" i="40" s="1"/>
  <c r="AB91" i="40" a="1"/>
  <c r="AB91" i="40" s="1"/>
  <c r="AC91" i="40" a="1"/>
  <c r="AC91" i="40"/>
  <c r="AD91" i="40" a="1"/>
  <c r="AD91" i="40"/>
  <c r="AE91" i="40" a="1"/>
  <c r="AE91" i="40" s="1"/>
  <c r="AF91" i="40" a="1"/>
  <c r="AF91" i="40" s="1"/>
  <c r="AG91" i="40" a="1"/>
  <c r="AG91" i="40" s="1"/>
  <c r="N92" i="40" a="1"/>
  <c r="N92" i="40" s="1"/>
  <c r="O92" i="40" a="1"/>
  <c r="O92" i="40" s="1"/>
  <c r="P92" i="40" a="1"/>
  <c r="P92" i="40" s="1"/>
  <c r="Q92" i="40" a="1"/>
  <c r="Q92" i="40"/>
  <c r="R92" i="40" a="1"/>
  <c r="R92" i="40"/>
  <c r="S92" i="40" a="1"/>
  <c r="S92" i="40" s="1"/>
  <c r="T92" i="40" a="1"/>
  <c r="T92" i="40" s="1"/>
  <c r="U92" i="40" a="1"/>
  <c r="U92" i="40"/>
  <c r="V92" i="40" a="1"/>
  <c r="V92" i="40" s="1"/>
  <c r="W92" i="40" a="1"/>
  <c r="W92" i="40" s="1"/>
  <c r="X92" i="40" a="1"/>
  <c r="X92" i="40" s="1"/>
  <c r="Y92" i="40" a="1"/>
  <c r="Y92" i="40"/>
  <c r="Z92" i="40" a="1"/>
  <c r="Z92" i="40"/>
  <c r="AA92" i="40" a="1"/>
  <c r="AA92" i="40" s="1"/>
  <c r="AB92" i="40" a="1"/>
  <c r="AB92" i="40" s="1"/>
  <c r="AC92" i="40" a="1"/>
  <c r="AC92" i="40"/>
  <c r="AD92" i="40" a="1"/>
  <c r="AD92" i="40" s="1"/>
  <c r="AE92" i="40" a="1"/>
  <c r="AE92" i="40" s="1"/>
  <c r="AF92" i="40" a="1"/>
  <c r="AF92" i="40" s="1"/>
  <c r="AG92" i="40" a="1"/>
  <c r="AG92" i="40" s="1"/>
  <c r="N93" i="40" a="1"/>
  <c r="N93" i="40"/>
  <c r="O93" i="40" a="1"/>
  <c r="O93" i="40" s="1"/>
  <c r="P93" i="40" a="1"/>
  <c r="P93" i="40" s="1"/>
  <c r="Q93" i="40" a="1"/>
  <c r="Q93" i="40"/>
  <c r="R93" i="40" a="1"/>
  <c r="R93" i="40" s="1"/>
  <c r="S93" i="40" a="1"/>
  <c r="S93" i="40" s="1"/>
  <c r="T93" i="40" a="1"/>
  <c r="T93" i="40" s="1"/>
  <c r="U93" i="40" a="1"/>
  <c r="U93" i="40"/>
  <c r="V93" i="40" a="1"/>
  <c r="V93" i="40"/>
  <c r="W93" i="40" a="1"/>
  <c r="W93" i="40" s="1"/>
  <c r="X93" i="40" a="1"/>
  <c r="X93" i="40" s="1"/>
  <c r="Y93" i="40" a="1"/>
  <c r="Y93" i="40"/>
  <c r="Z93" i="40" a="1"/>
  <c r="Z93" i="40" s="1"/>
  <c r="AA93" i="40" a="1"/>
  <c r="AA93" i="40" s="1"/>
  <c r="AB93" i="40" a="1"/>
  <c r="AB93" i="40" s="1"/>
  <c r="AC93" i="40" a="1"/>
  <c r="AC93" i="40"/>
  <c r="AD93" i="40" a="1"/>
  <c r="AD93" i="40"/>
  <c r="AE93" i="40" a="1"/>
  <c r="AE93" i="40" s="1"/>
  <c r="AF93" i="40" a="1"/>
  <c r="AF93" i="40" s="1"/>
  <c r="AG93" i="40" a="1"/>
  <c r="AG93" i="40" s="1"/>
  <c r="G90" i="40" a="1"/>
  <c r="G90" i="40" s="1"/>
  <c r="H90" i="40" a="1"/>
  <c r="H90" i="40"/>
  <c r="I90" i="40" a="1"/>
  <c r="I90" i="40"/>
  <c r="J90" i="40" a="1"/>
  <c r="J90" i="40" s="1"/>
  <c r="K90" i="40" a="1"/>
  <c r="K90" i="40" s="1"/>
  <c r="L90" i="40" a="1"/>
  <c r="L90" i="40" s="1"/>
  <c r="M90" i="40" a="1"/>
  <c r="M90" i="40"/>
  <c r="G91" i="40" a="1"/>
  <c r="G91" i="40"/>
  <c r="H91" i="40" a="1"/>
  <c r="H91" i="40" s="1"/>
  <c r="I91" i="40" a="1"/>
  <c r="I91" i="40"/>
  <c r="J91" i="40" a="1"/>
  <c r="J91" i="40"/>
  <c r="K91" i="40" a="1"/>
  <c r="K91" i="40" s="1"/>
  <c r="L91" i="40" a="1"/>
  <c r="L91" i="40" s="1"/>
  <c r="M91" i="40" a="1"/>
  <c r="M91" i="40" s="1"/>
  <c r="G92" i="40" a="1"/>
  <c r="G92" i="40"/>
  <c r="H92" i="40" a="1"/>
  <c r="H92" i="40"/>
  <c r="I92" i="40" a="1"/>
  <c r="I92" i="40" s="1"/>
  <c r="J92" i="40" a="1"/>
  <c r="J92" i="40"/>
  <c r="K92" i="40" a="1"/>
  <c r="K92" i="40"/>
  <c r="L92" i="40" a="1"/>
  <c r="L92" i="40" s="1"/>
  <c r="M92" i="40" a="1"/>
  <c r="M92" i="40" s="1"/>
  <c r="G93" i="40" a="1"/>
  <c r="G93" i="40" s="1"/>
  <c r="H93" i="40" a="1"/>
  <c r="H93" i="40"/>
  <c r="I93" i="40" a="1"/>
  <c r="I93" i="40"/>
  <c r="J93" i="40" a="1"/>
  <c r="J93" i="40" s="1"/>
  <c r="K93" i="40" a="1"/>
  <c r="K93" i="40"/>
  <c r="L93" i="40" a="1"/>
  <c r="L93" i="40"/>
  <c r="M93" i="40" a="1"/>
  <c r="M93" i="40" s="1"/>
  <c r="F93" i="40" a="1"/>
  <c r="F93" i="40"/>
  <c r="F92" i="40" a="1"/>
  <c r="F92" i="40" s="1"/>
  <c r="F91" i="40" a="1"/>
  <c r="F91" i="40" s="1"/>
  <c r="O725" i="18"/>
  <c r="P725" i="18"/>
  <c r="Q725" i="18"/>
  <c r="R725" i="18"/>
  <c r="S725" i="18"/>
  <c r="T725" i="18"/>
  <c r="U725" i="18"/>
  <c r="V725" i="18"/>
  <c r="W725" i="18"/>
  <c r="X725" i="18"/>
  <c r="Y725" i="18"/>
  <c r="Z725" i="18"/>
  <c r="AA725" i="18"/>
  <c r="AB725" i="18"/>
  <c r="AC725" i="18"/>
  <c r="AD725" i="18"/>
  <c r="AE725" i="18"/>
  <c r="AF725" i="18"/>
  <c r="AG725" i="18"/>
  <c r="AH725" i="18"/>
  <c r="O726" i="18"/>
  <c r="P726" i="18"/>
  <c r="Q726" i="18"/>
  <c r="R726" i="18"/>
  <c r="S726" i="18"/>
  <c r="T726" i="18"/>
  <c r="U726" i="18"/>
  <c r="V726" i="18"/>
  <c r="W726" i="18"/>
  <c r="X726" i="18"/>
  <c r="Y726" i="18"/>
  <c r="Z726" i="18"/>
  <c r="AA726" i="18"/>
  <c r="AB726" i="18"/>
  <c r="AC726" i="18"/>
  <c r="AD726" i="18"/>
  <c r="AE726" i="18"/>
  <c r="AF726" i="18"/>
  <c r="AG726" i="18"/>
  <c r="AH726" i="18"/>
  <c r="O727" i="18"/>
  <c r="P727" i="18"/>
  <c r="Q727" i="18"/>
  <c r="R727" i="18"/>
  <c r="S727" i="18"/>
  <c r="T727" i="18"/>
  <c r="U727" i="18"/>
  <c r="V727" i="18"/>
  <c r="W727" i="18"/>
  <c r="X727" i="18"/>
  <c r="Y727" i="18"/>
  <c r="Z727" i="18"/>
  <c r="AA727" i="18"/>
  <c r="AB727" i="18"/>
  <c r="AC727" i="18"/>
  <c r="AD727" i="18"/>
  <c r="AE727" i="18"/>
  <c r="AF727" i="18"/>
  <c r="AG727" i="18"/>
  <c r="AH727" i="18"/>
  <c r="O728" i="18"/>
  <c r="P728" i="18"/>
  <c r="Q728" i="18"/>
  <c r="R728" i="18"/>
  <c r="S728" i="18"/>
  <c r="T728" i="18"/>
  <c r="U728" i="18"/>
  <c r="V728" i="18"/>
  <c r="W728" i="18"/>
  <c r="X728" i="18"/>
  <c r="Y728" i="18"/>
  <c r="Z728" i="18"/>
  <c r="AA728" i="18"/>
  <c r="AB728" i="18"/>
  <c r="AC728" i="18"/>
  <c r="AD728" i="18"/>
  <c r="AE728" i="18"/>
  <c r="AF728" i="18"/>
  <c r="AG728" i="18"/>
  <c r="AH728" i="18"/>
  <c r="O729" i="18"/>
  <c r="P729" i="18"/>
  <c r="Q729" i="18"/>
  <c r="R729" i="18"/>
  <c r="S729" i="18"/>
  <c r="T729" i="18"/>
  <c r="U729" i="18"/>
  <c r="V729" i="18"/>
  <c r="W729" i="18"/>
  <c r="X729" i="18"/>
  <c r="Y729" i="18"/>
  <c r="Z729" i="18"/>
  <c r="AA729" i="18"/>
  <c r="AB729" i="18"/>
  <c r="AC729" i="18"/>
  <c r="AD729" i="18"/>
  <c r="AE729" i="18"/>
  <c r="AF729" i="18"/>
  <c r="AG729" i="18"/>
  <c r="AH729" i="18"/>
  <c r="O730" i="18"/>
  <c r="P730" i="18"/>
  <c r="Q730" i="18"/>
  <c r="R730" i="18"/>
  <c r="S730" i="18"/>
  <c r="T730" i="18"/>
  <c r="U730" i="18"/>
  <c r="V730" i="18"/>
  <c r="W730" i="18"/>
  <c r="X730" i="18"/>
  <c r="Y730" i="18"/>
  <c r="Z730" i="18"/>
  <c r="AA730" i="18"/>
  <c r="AB730" i="18"/>
  <c r="AC730" i="18"/>
  <c r="AD730" i="18"/>
  <c r="AE730" i="18"/>
  <c r="AF730" i="18"/>
  <c r="AG730" i="18"/>
  <c r="AH730" i="18"/>
  <c r="O731" i="18"/>
  <c r="P731" i="18"/>
  <c r="Q731" i="18"/>
  <c r="R731" i="18"/>
  <c r="S731" i="18"/>
  <c r="T731" i="18"/>
  <c r="U731" i="18"/>
  <c r="V731" i="18"/>
  <c r="W731" i="18"/>
  <c r="X731" i="18"/>
  <c r="Y731" i="18"/>
  <c r="Z731" i="18"/>
  <c r="AA731" i="18"/>
  <c r="AB731" i="18"/>
  <c r="AC731" i="18"/>
  <c r="AD731" i="18"/>
  <c r="AE731" i="18"/>
  <c r="AF731" i="18"/>
  <c r="AG731" i="18"/>
  <c r="AH731" i="18"/>
  <c r="O732" i="18"/>
  <c r="P732" i="18"/>
  <c r="Q732" i="18"/>
  <c r="R732" i="18"/>
  <c r="S732" i="18"/>
  <c r="T732" i="18"/>
  <c r="U732" i="18"/>
  <c r="V732" i="18"/>
  <c r="W732" i="18"/>
  <c r="X732" i="18"/>
  <c r="Y732" i="18"/>
  <c r="Z732" i="18"/>
  <c r="AA732" i="18"/>
  <c r="AB732" i="18"/>
  <c r="AC732" i="18"/>
  <c r="AD732" i="18"/>
  <c r="AE732" i="18"/>
  <c r="AF732" i="18"/>
  <c r="AG732" i="18"/>
  <c r="AH732" i="18"/>
  <c r="H729" i="18"/>
  <c r="I729" i="18"/>
  <c r="J729" i="18"/>
  <c r="K729" i="18"/>
  <c r="L729" i="18"/>
  <c r="M729" i="18"/>
  <c r="N729" i="18"/>
  <c r="H730" i="18"/>
  <c r="I730" i="18"/>
  <c r="J730" i="18"/>
  <c r="K730" i="18"/>
  <c r="L730" i="18"/>
  <c r="M730" i="18"/>
  <c r="H731" i="18"/>
  <c r="I731" i="18"/>
  <c r="J731" i="18"/>
  <c r="K731" i="18"/>
  <c r="L731" i="18"/>
  <c r="M731" i="18"/>
  <c r="N731" i="18"/>
  <c r="H732" i="18"/>
  <c r="I732" i="18"/>
  <c r="J732" i="18"/>
  <c r="K732" i="18"/>
  <c r="L732" i="18"/>
  <c r="M732" i="18"/>
  <c r="N732" i="18"/>
  <c r="H725" i="18"/>
  <c r="I725" i="18"/>
  <c r="J725" i="18"/>
  <c r="K725" i="18"/>
  <c r="L725" i="18"/>
  <c r="M725" i="18"/>
  <c r="N725" i="18"/>
  <c r="H726" i="18"/>
  <c r="I726" i="18"/>
  <c r="J726" i="18"/>
  <c r="K726" i="18"/>
  <c r="L726" i="18"/>
  <c r="M726" i="18"/>
  <c r="N726" i="18"/>
  <c r="H727" i="18"/>
  <c r="I727" i="18"/>
  <c r="J727" i="18"/>
  <c r="K727" i="18"/>
  <c r="L727" i="18"/>
  <c r="M727" i="18"/>
  <c r="N727" i="18"/>
  <c r="H728" i="18"/>
  <c r="I728" i="18"/>
  <c r="J728" i="18"/>
  <c r="K728" i="18"/>
  <c r="L728" i="18"/>
  <c r="M728" i="18"/>
  <c r="N728" i="18"/>
  <c r="G732" i="18"/>
  <c r="G727" i="18"/>
  <c r="G728" i="18"/>
  <c r="G730" i="18"/>
  <c r="G731" i="18"/>
  <c r="G726" i="18"/>
  <c r="G725" i="18"/>
  <c r="C729" i="18" a="1"/>
  <c r="C729" i="18" s="1"/>
  <c r="C725" i="18"/>
  <c r="C725" i="18" a="1"/>
  <c r="F138" i="40" a="1"/>
  <c r="F138" i="40" s="1"/>
  <c r="F132" i="40" a="1"/>
  <c r="F132" i="40" s="1"/>
  <c r="F102" i="40" a="1"/>
  <c r="F102" i="40" s="1"/>
  <c r="F73" i="40" a="1"/>
  <c r="F73" i="40" s="1"/>
  <c r="G76" i="40" a="1"/>
  <c r="G76" i="40"/>
  <c r="H76" i="40" a="1"/>
  <c r="H76" i="40"/>
  <c r="I76" i="40" a="1"/>
  <c r="I76" i="40"/>
  <c r="J76" i="40" a="1"/>
  <c r="J76" i="40" s="1"/>
  <c r="K76" i="40" a="1"/>
  <c r="K76" i="40" s="1"/>
  <c r="L76" i="40" a="1"/>
  <c r="L76" i="40" s="1"/>
  <c r="M76" i="40" a="1"/>
  <c r="M76" i="40" s="1"/>
  <c r="N76" i="40" a="1"/>
  <c r="N76" i="40"/>
  <c r="O76" i="40" a="1"/>
  <c r="O76" i="40"/>
  <c r="P76" i="40" a="1"/>
  <c r="P76" i="40"/>
  <c r="Q76" i="40" a="1"/>
  <c r="Q76" i="40"/>
  <c r="R76" i="40" a="1"/>
  <c r="R76" i="40" s="1"/>
  <c r="S76" i="40" a="1"/>
  <c r="S76" i="40"/>
  <c r="T76" i="40" a="1"/>
  <c r="T76" i="40" s="1"/>
  <c r="U76" i="40" a="1"/>
  <c r="U76" i="40" s="1"/>
  <c r="V76" i="40" a="1"/>
  <c r="V76" i="40"/>
  <c r="W76" i="40" a="1"/>
  <c r="W76" i="40"/>
  <c r="X76" i="40" a="1"/>
  <c r="X76" i="40"/>
  <c r="Y76" i="40" a="1"/>
  <c r="Y76" i="40"/>
  <c r="Z76" i="40" a="1"/>
  <c r="Z76" i="40" s="1"/>
  <c r="AA76" i="40" a="1"/>
  <c r="AA76" i="40"/>
  <c r="AB76" i="40" a="1"/>
  <c r="AB76" i="40" s="1"/>
  <c r="AC76" i="40" a="1"/>
  <c r="AC76" i="40" s="1"/>
  <c r="AD76" i="40" a="1"/>
  <c r="AD76" i="40"/>
  <c r="AE76" i="40" a="1"/>
  <c r="AE76" i="40"/>
  <c r="AF76" i="40" a="1"/>
  <c r="AF76" i="40"/>
  <c r="AG76" i="40" a="1"/>
  <c r="AG76" i="40"/>
  <c r="O89" i="40" a="1"/>
  <c r="O89" i="40"/>
  <c r="P89" i="40" a="1"/>
  <c r="P89" i="40" s="1"/>
  <c r="Q89" i="40" a="1"/>
  <c r="Q89" i="40"/>
  <c r="R89" i="40" a="1"/>
  <c r="R89" i="40" s="1"/>
  <c r="S89" i="40" a="1"/>
  <c r="S89" i="40" s="1"/>
  <c r="T89" i="40" a="1"/>
  <c r="T89" i="40"/>
  <c r="U89" i="40" a="1"/>
  <c r="U89" i="40" s="1"/>
  <c r="V89" i="40" a="1"/>
  <c r="V89" i="40"/>
  <c r="W89" i="40" a="1"/>
  <c r="W89" i="40"/>
  <c r="X89" i="40" a="1"/>
  <c r="X89" i="40" s="1"/>
  <c r="Y89" i="40" a="1"/>
  <c r="Y89" i="40"/>
  <c r="Z89" i="40" a="1"/>
  <c r="Z89" i="40" s="1"/>
  <c r="AA89" i="40" a="1"/>
  <c r="AA89" i="40"/>
  <c r="AB89" i="40" a="1"/>
  <c r="AB89" i="40"/>
  <c r="AC89" i="40" a="1"/>
  <c r="AC89" i="40" s="1"/>
  <c r="AD89" i="40" a="1"/>
  <c r="AD89" i="40"/>
  <c r="AE89" i="40" a="1"/>
  <c r="AE89" i="40"/>
  <c r="AF89" i="40" a="1"/>
  <c r="AF89" i="40" s="1"/>
  <c r="AG89" i="40" a="1"/>
  <c r="AG89" i="40"/>
  <c r="H89" i="40" a="1"/>
  <c r="H89" i="40" s="1"/>
  <c r="I89" i="40" a="1"/>
  <c r="I89" i="40" s="1"/>
  <c r="J89" i="40" a="1"/>
  <c r="J89" i="40"/>
  <c r="K89" i="40" a="1"/>
  <c r="K89" i="40"/>
  <c r="L89" i="40" a="1"/>
  <c r="L89" i="40" s="1"/>
  <c r="M89" i="40" a="1"/>
  <c r="M89" i="40" s="1"/>
  <c r="N89" i="40" a="1"/>
  <c r="N89" i="40" s="1"/>
  <c r="G89" i="40" a="1"/>
  <c r="G89" i="40" s="1"/>
  <c r="F89" i="40" a="1"/>
  <c r="F89" i="40" s="1"/>
  <c r="F76" i="40" a="1"/>
  <c r="F76" i="40" s="1"/>
  <c r="H688" i="68"/>
  <c r="H687" i="68"/>
  <c r="E688" i="68"/>
  <c r="E687" i="68"/>
  <c r="I687" i="68"/>
  <c r="J687" i="68"/>
  <c r="K687" i="68"/>
  <c r="L687" i="68"/>
  <c r="M687" i="68"/>
  <c r="N687" i="68"/>
  <c r="O687" i="68"/>
  <c r="P687" i="68"/>
  <c r="Q687" i="68"/>
  <c r="R687" i="68"/>
  <c r="S687" i="68"/>
  <c r="T687" i="68"/>
  <c r="U687" i="68"/>
  <c r="V687" i="68"/>
  <c r="W687" i="68"/>
  <c r="X687" i="68"/>
  <c r="Y687" i="68"/>
  <c r="Z687" i="68"/>
  <c r="AA687" i="68"/>
  <c r="AB687" i="68"/>
  <c r="AC687" i="68"/>
  <c r="AD687" i="68"/>
  <c r="AE687" i="68"/>
  <c r="AF687" i="68"/>
  <c r="AG687" i="68"/>
  <c r="AH687" i="68"/>
  <c r="I688" i="68"/>
  <c r="J688" i="68"/>
  <c r="K688" i="68"/>
  <c r="L688" i="68"/>
  <c r="M688" i="68"/>
  <c r="N688" i="68"/>
  <c r="O688" i="68"/>
  <c r="P688" i="68"/>
  <c r="Q688" i="68"/>
  <c r="R688" i="68"/>
  <c r="S688" i="68"/>
  <c r="T688" i="68"/>
  <c r="U688" i="68"/>
  <c r="V688" i="68"/>
  <c r="W688" i="68"/>
  <c r="X688" i="68"/>
  <c r="Y688" i="68"/>
  <c r="Z688" i="68"/>
  <c r="AA688" i="68"/>
  <c r="AB688" i="68"/>
  <c r="AC688" i="68"/>
  <c r="AD688" i="68"/>
  <c r="AE688" i="68"/>
  <c r="AF688" i="68"/>
  <c r="AG688" i="68"/>
  <c r="AH688" i="68"/>
  <c r="G688" i="68"/>
  <c r="G687" i="68"/>
  <c r="E685" i="68"/>
  <c r="F738" i="18" l="1"/>
  <c r="F740" i="18"/>
  <c r="F739" i="18"/>
  <c r="F736" i="18"/>
  <c r="F737" i="18"/>
  <c r="F735" i="18"/>
  <c r="F90" i="40" a="1"/>
  <c r="F90" i="40" s="1"/>
  <c r="E38" i="16" a="1"/>
  <c r="E38" i="16" s="1"/>
  <c r="E93" i="16" s="1" a="1"/>
  <c r="E93" i="16" s="1"/>
  <c r="I686" i="68" l="1"/>
  <c r="I685" i="68"/>
  <c r="I684" i="68"/>
  <c r="I683" i="68"/>
  <c r="AK68" i="67"/>
  <c r="H72" i="67"/>
  <c r="J70" i="67"/>
  <c r="J71" i="67" s="1"/>
  <c r="J68" i="67"/>
  <c r="AH121" i="73"/>
  <c r="AH77" i="73"/>
  <c r="AI33" i="67"/>
  <c r="BJ33" i="67" s="1"/>
  <c r="AH33" i="67"/>
  <c r="AG33" i="67"/>
  <c r="AF33" i="67"/>
  <c r="AE33" i="67"/>
  <c r="AD33" i="67"/>
  <c r="AC33" i="67"/>
  <c r="AB33" i="67"/>
  <c r="AA33" i="67"/>
  <c r="Z33" i="67"/>
  <c r="Y33" i="67"/>
  <c r="X33" i="67"/>
  <c r="W33" i="67"/>
  <c r="V33" i="67"/>
  <c r="U33" i="67"/>
  <c r="AV33" i="67"/>
  <c r="AV68" i="67" s="1"/>
  <c r="AU68" i="67"/>
  <c r="W68" i="67"/>
  <c r="BB54" i="67"/>
  <c r="AL7" i="67"/>
  <c r="AM7" i="67"/>
  <c r="AN7" i="67"/>
  <c r="AO7" i="67"/>
  <c r="AP7" i="67"/>
  <c r="AQ7" i="67"/>
  <c r="AR7" i="67"/>
  <c r="AS7" i="67"/>
  <c r="AT7" i="67"/>
  <c r="AU7" i="67"/>
  <c r="AV7" i="67"/>
  <c r="AW7" i="67"/>
  <c r="AX7" i="67"/>
  <c r="AY7" i="67"/>
  <c r="AZ7" i="67"/>
  <c r="BA7" i="67"/>
  <c r="BA68" i="67" s="1"/>
  <c r="BB7" i="67"/>
  <c r="BC7" i="67"/>
  <c r="BD7" i="67"/>
  <c r="BE7" i="67"/>
  <c r="BF7" i="67"/>
  <c r="BG7" i="67"/>
  <c r="BH7" i="67"/>
  <c r="BI7" i="67"/>
  <c r="BJ7" i="67"/>
  <c r="AL8" i="67"/>
  <c r="AM8" i="67"/>
  <c r="AN8" i="67"/>
  <c r="AO8" i="67"/>
  <c r="AP8" i="67"/>
  <c r="AQ8" i="67"/>
  <c r="AR8" i="67"/>
  <c r="AR70" i="67" s="1"/>
  <c r="AS8" i="67"/>
  <c r="AT8" i="67"/>
  <c r="AU8" i="67"/>
  <c r="AV8" i="67"/>
  <c r="AW8" i="67"/>
  <c r="AX8" i="67"/>
  <c r="AY8" i="67"/>
  <c r="AZ8" i="67"/>
  <c r="BA8" i="67"/>
  <c r="BB8" i="67"/>
  <c r="BC8" i="67"/>
  <c r="BD8" i="67"/>
  <c r="BE8" i="67"/>
  <c r="BF8" i="67"/>
  <c r="BG8" i="67"/>
  <c r="BH8" i="67"/>
  <c r="BH70" i="67" s="1"/>
  <c r="BI8" i="67"/>
  <c r="BJ8" i="67"/>
  <c r="AL9" i="67"/>
  <c r="AM9" i="67"/>
  <c r="AN9" i="67"/>
  <c r="AO9" i="67"/>
  <c r="AP9" i="67"/>
  <c r="AQ9" i="67"/>
  <c r="AR9" i="67"/>
  <c r="AS9" i="67"/>
  <c r="AT9" i="67"/>
  <c r="AU9" i="67"/>
  <c r="AV9" i="67"/>
  <c r="AW9" i="67"/>
  <c r="AX9" i="67"/>
  <c r="AY9" i="67"/>
  <c r="AY70" i="67" s="1"/>
  <c r="AZ9" i="67"/>
  <c r="BA9" i="67"/>
  <c r="BB9" i="67"/>
  <c r="BC9" i="67"/>
  <c r="BD9" i="67"/>
  <c r="BE9" i="67"/>
  <c r="BF9" i="67"/>
  <c r="BG9" i="67"/>
  <c r="BH9" i="67"/>
  <c r="BI9" i="67"/>
  <c r="BJ9" i="67"/>
  <c r="AL10" i="67"/>
  <c r="AM10" i="67"/>
  <c r="AN10" i="67"/>
  <c r="AO10" i="67"/>
  <c r="AP10" i="67"/>
  <c r="AP68" i="67" s="1"/>
  <c r="AQ10" i="67"/>
  <c r="AR10" i="67"/>
  <c r="AS10" i="67"/>
  <c r="AT10" i="67"/>
  <c r="AU10" i="67"/>
  <c r="AV10" i="67"/>
  <c r="AW10" i="67"/>
  <c r="AX10" i="67"/>
  <c r="AY10" i="67"/>
  <c r="AZ10" i="67"/>
  <c r="BA10" i="67"/>
  <c r="BB10" i="67"/>
  <c r="BC10" i="67"/>
  <c r="BD10" i="67"/>
  <c r="BE10" i="67"/>
  <c r="BF10" i="67"/>
  <c r="BG10" i="67"/>
  <c r="BH10" i="67"/>
  <c r="BI10" i="67"/>
  <c r="BJ10" i="67"/>
  <c r="AL11" i="67"/>
  <c r="AM11" i="67"/>
  <c r="AN11" i="67"/>
  <c r="AO11" i="67"/>
  <c r="AP11" i="67"/>
  <c r="AQ11" i="67"/>
  <c r="AR11" i="67"/>
  <c r="AS11" i="67"/>
  <c r="AT11" i="67"/>
  <c r="AU11" i="67"/>
  <c r="AV11" i="67"/>
  <c r="AW11" i="67"/>
  <c r="AW70" i="67" s="1"/>
  <c r="AX11" i="67"/>
  <c r="AY11" i="67"/>
  <c r="AZ11" i="67"/>
  <c r="BA11" i="67"/>
  <c r="BB11" i="67"/>
  <c r="BC11" i="67"/>
  <c r="BD11" i="67"/>
  <c r="BE11" i="67"/>
  <c r="BF11" i="67"/>
  <c r="BG11" i="67"/>
  <c r="BH11" i="67"/>
  <c r="BI11" i="67"/>
  <c r="BJ11" i="67"/>
  <c r="AL12" i="67"/>
  <c r="AM12" i="67"/>
  <c r="AN12" i="67"/>
  <c r="AN68" i="67" s="1"/>
  <c r="AO12" i="67"/>
  <c r="AP12" i="67"/>
  <c r="AQ12" i="67"/>
  <c r="AR12" i="67"/>
  <c r="AS12" i="67"/>
  <c r="AT12" i="67"/>
  <c r="AU12" i="67"/>
  <c r="AV12" i="67"/>
  <c r="AW12" i="67"/>
  <c r="AX12" i="67"/>
  <c r="AY12" i="67"/>
  <c r="AZ12" i="67"/>
  <c r="BA12" i="67"/>
  <c r="BB12" i="67"/>
  <c r="BC12" i="67"/>
  <c r="BD12" i="67"/>
  <c r="BE12" i="67"/>
  <c r="BF12" i="67"/>
  <c r="BG12" i="67"/>
  <c r="BH12" i="67"/>
  <c r="BI12" i="67"/>
  <c r="BJ12" i="67"/>
  <c r="AL13" i="67"/>
  <c r="AM13" i="67"/>
  <c r="AN13" i="67"/>
  <c r="AO13" i="67"/>
  <c r="AP13" i="67"/>
  <c r="AQ13" i="67"/>
  <c r="AR13" i="67"/>
  <c r="AS13" i="67"/>
  <c r="AT13" i="67"/>
  <c r="AU13" i="67"/>
  <c r="AU70" i="67" s="1"/>
  <c r="AV13" i="67"/>
  <c r="AW13" i="67"/>
  <c r="AX13" i="67"/>
  <c r="AY13" i="67"/>
  <c r="AZ13" i="67"/>
  <c r="BA13" i="67"/>
  <c r="BB13" i="67"/>
  <c r="BC13" i="67"/>
  <c r="BD13" i="67"/>
  <c r="BE13" i="67"/>
  <c r="BF13" i="67"/>
  <c r="BG13" i="67"/>
  <c r="BH13" i="67"/>
  <c r="BI13" i="67"/>
  <c r="BJ13" i="67"/>
  <c r="AL14" i="67"/>
  <c r="AM14" i="67"/>
  <c r="AN14" i="67"/>
  <c r="AO14" i="67"/>
  <c r="AP14" i="67"/>
  <c r="AQ14" i="67"/>
  <c r="AR14" i="67"/>
  <c r="AS14" i="67"/>
  <c r="AT14" i="67"/>
  <c r="AU14" i="67"/>
  <c r="AV14" i="67"/>
  <c r="AW14" i="67"/>
  <c r="AX14" i="67"/>
  <c r="AY14" i="67"/>
  <c r="AZ14" i="67"/>
  <c r="BA14" i="67"/>
  <c r="BB14" i="67"/>
  <c r="BC14" i="67"/>
  <c r="BD14" i="67"/>
  <c r="BE14" i="67"/>
  <c r="BF14" i="67"/>
  <c r="BG14" i="67"/>
  <c r="BH14" i="67"/>
  <c r="BI14" i="67"/>
  <c r="BJ14" i="67"/>
  <c r="AL15" i="67"/>
  <c r="AM15" i="67"/>
  <c r="AN15" i="67"/>
  <c r="AO15" i="67"/>
  <c r="AP15" i="67"/>
  <c r="AQ15" i="67"/>
  <c r="AR15" i="67"/>
  <c r="AS15" i="67"/>
  <c r="AS70" i="67" s="1"/>
  <c r="AT15" i="67"/>
  <c r="AU15" i="67"/>
  <c r="AV15" i="67"/>
  <c r="AW15" i="67"/>
  <c r="AX15" i="67"/>
  <c r="AY15" i="67"/>
  <c r="AZ15" i="67"/>
  <c r="BA15" i="67"/>
  <c r="BB15" i="67"/>
  <c r="BC15" i="67"/>
  <c r="BD15" i="67"/>
  <c r="BE15" i="67"/>
  <c r="BF15" i="67"/>
  <c r="BG15" i="67"/>
  <c r="BH15" i="67"/>
  <c r="BI15" i="67"/>
  <c r="BI70" i="67" s="1"/>
  <c r="BJ15" i="67"/>
  <c r="AL16" i="67"/>
  <c r="AM16" i="67"/>
  <c r="AN16" i="67"/>
  <c r="AO16" i="67"/>
  <c r="AP16" i="67"/>
  <c r="AQ16" i="67"/>
  <c r="AR16" i="67"/>
  <c r="AS16" i="67"/>
  <c r="AT16" i="67"/>
  <c r="AU16" i="67"/>
  <c r="AV16" i="67"/>
  <c r="AW16" i="67"/>
  <c r="AX16" i="67"/>
  <c r="AY16" i="67"/>
  <c r="AZ16" i="67"/>
  <c r="BA16" i="67"/>
  <c r="BB16" i="67"/>
  <c r="BC16" i="67"/>
  <c r="BD16" i="67"/>
  <c r="BE16" i="67"/>
  <c r="BF16" i="67"/>
  <c r="BG16" i="67"/>
  <c r="BH16" i="67"/>
  <c r="BI16" i="67"/>
  <c r="BJ16" i="67"/>
  <c r="AL17" i="67"/>
  <c r="AM17" i="67"/>
  <c r="AN17" i="67"/>
  <c r="AO17" i="67"/>
  <c r="AP17" i="67"/>
  <c r="AQ17" i="67"/>
  <c r="AQ68" i="67" s="1"/>
  <c r="AR17" i="67"/>
  <c r="AS17" i="67"/>
  <c r="AT17" i="67"/>
  <c r="AU17" i="67"/>
  <c r="AV17" i="67"/>
  <c r="AW17" i="67"/>
  <c r="AX17" i="67"/>
  <c r="AY17" i="67"/>
  <c r="AZ17" i="67"/>
  <c r="BA17" i="67"/>
  <c r="BB17" i="67"/>
  <c r="BC17" i="67"/>
  <c r="BD17" i="67"/>
  <c r="BE17" i="67"/>
  <c r="BF17" i="67"/>
  <c r="BG17" i="67"/>
  <c r="BG68" i="67" s="1"/>
  <c r="BH17" i="67"/>
  <c r="BI17" i="67"/>
  <c r="BJ17" i="67"/>
  <c r="AL18" i="67"/>
  <c r="AM18" i="67"/>
  <c r="AN18" i="67"/>
  <c r="AO18" i="67"/>
  <c r="AP18" i="67"/>
  <c r="AQ18" i="67"/>
  <c r="AR18" i="67"/>
  <c r="AS18" i="67"/>
  <c r="AT18" i="67"/>
  <c r="AU18" i="67"/>
  <c r="AV18" i="67"/>
  <c r="AW18" i="67"/>
  <c r="AX18" i="67"/>
  <c r="AX70" i="67" s="1"/>
  <c r="AY18" i="67"/>
  <c r="AZ18" i="67"/>
  <c r="BA18" i="67"/>
  <c r="BB18" i="67"/>
  <c r="BC18" i="67"/>
  <c r="BD18" i="67"/>
  <c r="BE18" i="67"/>
  <c r="BF18" i="67"/>
  <c r="BG18" i="67"/>
  <c r="BH18" i="67"/>
  <c r="BI18" i="67"/>
  <c r="BJ18" i="67"/>
  <c r="AL19" i="67"/>
  <c r="AM19" i="67"/>
  <c r="AN19" i="67"/>
  <c r="AO19" i="67"/>
  <c r="AO68" i="67" s="1"/>
  <c r="AP19" i="67"/>
  <c r="AQ19" i="67"/>
  <c r="AR19" i="67"/>
  <c r="AS19" i="67"/>
  <c r="AT19" i="67"/>
  <c r="AU19" i="67"/>
  <c r="AV19" i="67"/>
  <c r="AW19" i="67"/>
  <c r="AX19" i="67"/>
  <c r="AY19" i="67"/>
  <c r="AZ19" i="67"/>
  <c r="BA19" i="67"/>
  <c r="BB19" i="67"/>
  <c r="BC19" i="67"/>
  <c r="BD19" i="67"/>
  <c r="BE19" i="67"/>
  <c r="BE68" i="67" s="1"/>
  <c r="BF19" i="67"/>
  <c r="BG19" i="67"/>
  <c r="BH19" i="67"/>
  <c r="BI19" i="67"/>
  <c r="BJ19" i="67"/>
  <c r="AL20" i="67"/>
  <c r="AM20" i="67"/>
  <c r="AN20" i="67"/>
  <c r="AO20" i="67"/>
  <c r="AP20" i="67"/>
  <c r="AQ20" i="67"/>
  <c r="AR20" i="67"/>
  <c r="AS20" i="67"/>
  <c r="AT20" i="67"/>
  <c r="AU20" i="67"/>
  <c r="AV20" i="67"/>
  <c r="AV70" i="67" s="1"/>
  <c r="AW20" i="67"/>
  <c r="AX20" i="67"/>
  <c r="AY20" i="67"/>
  <c r="AZ20" i="67"/>
  <c r="BA20" i="67"/>
  <c r="BB20" i="67"/>
  <c r="BC20" i="67"/>
  <c r="BD20" i="67"/>
  <c r="BE20" i="67"/>
  <c r="BF20" i="67"/>
  <c r="BG20" i="67"/>
  <c r="BH20" i="67"/>
  <c r="BI20" i="67"/>
  <c r="BJ20" i="67"/>
  <c r="AL21" i="67"/>
  <c r="AM21" i="67"/>
  <c r="AM68" i="67" s="1"/>
  <c r="AN21" i="67"/>
  <c r="AO21" i="67"/>
  <c r="AP21" i="67"/>
  <c r="AQ21" i="67"/>
  <c r="AR21" i="67"/>
  <c r="AS21" i="67"/>
  <c r="AT21" i="67"/>
  <c r="AU21" i="67"/>
  <c r="AV21" i="67"/>
  <c r="AW21" i="67"/>
  <c r="AX21" i="67"/>
  <c r="AY21" i="67"/>
  <c r="AZ21" i="67"/>
  <c r="BA21" i="67"/>
  <c r="BB21" i="67"/>
  <c r="BC21" i="67"/>
  <c r="BD21" i="67"/>
  <c r="BE21" i="67"/>
  <c r="BF21" i="67"/>
  <c r="BG21" i="67"/>
  <c r="BH21" i="67"/>
  <c r="BI21" i="67"/>
  <c r="BJ21" i="67"/>
  <c r="AL22" i="67"/>
  <c r="AM22" i="67"/>
  <c r="AN22" i="67"/>
  <c r="AO22" i="67"/>
  <c r="AP22" i="67"/>
  <c r="AQ22" i="67"/>
  <c r="AR22" i="67"/>
  <c r="AS22" i="67"/>
  <c r="AT22" i="67"/>
  <c r="AT70" i="67" s="1"/>
  <c r="AU22" i="67"/>
  <c r="AV22" i="67"/>
  <c r="AW22" i="67"/>
  <c r="AX22" i="67"/>
  <c r="AY22" i="67"/>
  <c r="AZ22" i="67"/>
  <c r="BA22" i="67"/>
  <c r="BB22" i="67"/>
  <c r="BC22" i="67"/>
  <c r="BD22" i="67"/>
  <c r="BE22" i="67"/>
  <c r="BF22" i="67"/>
  <c r="BG22" i="67"/>
  <c r="BH22" i="67"/>
  <c r="BI22" i="67"/>
  <c r="BJ22" i="67"/>
  <c r="BJ70" i="67" s="1"/>
  <c r="AL23" i="67"/>
  <c r="AM23" i="67"/>
  <c r="AN23" i="67"/>
  <c r="AO23" i="67"/>
  <c r="AP23" i="67"/>
  <c r="AQ23" i="67"/>
  <c r="AR23" i="67"/>
  <c r="AS23" i="67"/>
  <c r="AT23" i="67"/>
  <c r="AU23" i="67"/>
  <c r="AV23" i="67"/>
  <c r="AW23" i="67"/>
  <c r="AX23" i="67"/>
  <c r="AY23" i="67"/>
  <c r="AZ23" i="67"/>
  <c r="BA23" i="67"/>
  <c r="BB23" i="67"/>
  <c r="BC23" i="67"/>
  <c r="BD23" i="67"/>
  <c r="BE23" i="67"/>
  <c r="BF23" i="67"/>
  <c r="BG23" i="67"/>
  <c r="BH23" i="67"/>
  <c r="BI23" i="67"/>
  <c r="BJ23" i="67"/>
  <c r="AL24" i="67"/>
  <c r="AM24" i="67"/>
  <c r="AN24" i="67"/>
  <c r="AO24" i="67"/>
  <c r="AP24" i="67"/>
  <c r="AQ24" i="67"/>
  <c r="AR24" i="67"/>
  <c r="AS24" i="67"/>
  <c r="AT24" i="67"/>
  <c r="AU24" i="67"/>
  <c r="AV24" i="67"/>
  <c r="AW24" i="67"/>
  <c r="AX24" i="67"/>
  <c r="AY24" i="67"/>
  <c r="AZ24" i="67"/>
  <c r="BA24" i="67"/>
  <c r="BB24" i="67"/>
  <c r="BC24" i="67"/>
  <c r="BD24" i="67"/>
  <c r="BE24" i="67"/>
  <c r="BF24" i="67"/>
  <c r="BG24" i="67"/>
  <c r="BH24" i="67"/>
  <c r="BI24" i="67"/>
  <c r="BJ24" i="67"/>
  <c r="AL25" i="67"/>
  <c r="AM25" i="67"/>
  <c r="AN25" i="67"/>
  <c r="AO25" i="67"/>
  <c r="AP25" i="67"/>
  <c r="AQ25" i="67"/>
  <c r="AR25" i="67"/>
  <c r="AS25" i="67"/>
  <c r="AT25" i="67"/>
  <c r="AU25" i="67"/>
  <c r="AV25" i="67"/>
  <c r="AW25" i="67"/>
  <c r="AX25" i="67"/>
  <c r="AY25" i="67"/>
  <c r="AZ25" i="67"/>
  <c r="BA25" i="67"/>
  <c r="BB25" i="67"/>
  <c r="BC25" i="67"/>
  <c r="BD25" i="67"/>
  <c r="BE25" i="67"/>
  <c r="BF25" i="67"/>
  <c r="BG25" i="67"/>
  <c r="BH25" i="67"/>
  <c r="BI25" i="67"/>
  <c r="BJ25" i="67"/>
  <c r="AL26" i="67"/>
  <c r="AM26" i="67"/>
  <c r="AN26" i="67"/>
  <c r="AO26" i="67"/>
  <c r="AP26" i="67"/>
  <c r="AQ26" i="67"/>
  <c r="AR26" i="67"/>
  <c r="AS26" i="67"/>
  <c r="AT26" i="67"/>
  <c r="AU26" i="67"/>
  <c r="AV26" i="67"/>
  <c r="AW26" i="67"/>
  <c r="AX26" i="67"/>
  <c r="AY26" i="67"/>
  <c r="AZ26" i="67"/>
  <c r="BA26" i="67"/>
  <c r="BB26" i="67"/>
  <c r="BC26" i="67"/>
  <c r="BD26" i="67"/>
  <c r="BE26" i="67"/>
  <c r="BF26" i="67"/>
  <c r="BG26" i="67"/>
  <c r="BH26" i="67"/>
  <c r="BI26" i="67"/>
  <c r="BJ26" i="67"/>
  <c r="AL27" i="67"/>
  <c r="AM27" i="67"/>
  <c r="AN27" i="67"/>
  <c r="AO27" i="67"/>
  <c r="AP27" i="67"/>
  <c r="AQ27" i="67"/>
  <c r="AR27" i="67"/>
  <c r="AS27" i="67"/>
  <c r="AT27" i="67"/>
  <c r="AU27" i="67"/>
  <c r="AV27" i="67"/>
  <c r="AW27" i="67"/>
  <c r="AX27" i="67"/>
  <c r="AY27" i="67"/>
  <c r="AZ27" i="67"/>
  <c r="BA27" i="67"/>
  <c r="BB27" i="67"/>
  <c r="BC27" i="67"/>
  <c r="BD27" i="67"/>
  <c r="BE27" i="67"/>
  <c r="BF27" i="67"/>
  <c r="BG27" i="67"/>
  <c r="BH27" i="67"/>
  <c r="BI27" i="67"/>
  <c r="BJ27" i="67"/>
  <c r="AL28" i="67"/>
  <c r="AM28" i="67"/>
  <c r="AN28" i="67"/>
  <c r="AO28" i="67"/>
  <c r="AP28" i="67"/>
  <c r="AQ28" i="67"/>
  <c r="AR28" i="67"/>
  <c r="AS28" i="67"/>
  <c r="AT28" i="67"/>
  <c r="AU28" i="67"/>
  <c r="AV28" i="67"/>
  <c r="AW28" i="67"/>
  <c r="AX28" i="67"/>
  <c r="AY28" i="67"/>
  <c r="AZ28" i="67"/>
  <c r="BA28" i="67"/>
  <c r="BB28" i="67"/>
  <c r="BC28" i="67"/>
  <c r="BD28" i="67"/>
  <c r="BE28" i="67"/>
  <c r="BF28" i="67"/>
  <c r="BG28" i="67"/>
  <c r="BH28" i="67"/>
  <c r="BI28" i="67"/>
  <c r="BJ28" i="67"/>
  <c r="AL29" i="67"/>
  <c r="AM29" i="67"/>
  <c r="AN29" i="67"/>
  <c r="AO29" i="67"/>
  <c r="AP29" i="67"/>
  <c r="AQ29" i="67"/>
  <c r="AR29" i="67"/>
  <c r="AS29" i="67"/>
  <c r="AT29" i="67"/>
  <c r="AU29" i="67"/>
  <c r="AV29" i="67"/>
  <c r="AW29" i="67"/>
  <c r="AX29" i="67"/>
  <c r="AY29" i="67"/>
  <c r="AZ29" i="67"/>
  <c r="BA29" i="67"/>
  <c r="BB29" i="67"/>
  <c r="BC29" i="67"/>
  <c r="BD29" i="67"/>
  <c r="BE29" i="67"/>
  <c r="BF29" i="67"/>
  <c r="BG29" i="67"/>
  <c r="BH29" i="67"/>
  <c r="BI29" i="67"/>
  <c r="BJ29" i="67"/>
  <c r="AL30" i="67"/>
  <c r="AM30" i="67"/>
  <c r="AN30" i="67"/>
  <c r="AO30" i="67"/>
  <c r="AP30" i="67"/>
  <c r="AQ30" i="67"/>
  <c r="AR30" i="67"/>
  <c r="AS30" i="67"/>
  <c r="AT30" i="67"/>
  <c r="AU30" i="67"/>
  <c r="AV30" i="67"/>
  <c r="AW30" i="67"/>
  <c r="AX30" i="67"/>
  <c r="AY30" i="67"/>
  <c r="AZ30" i="67"/>
  <c r="BA30" i="67"/>
  <c r="BB30" i="67"/>
  <c r="BC30" i="67"/>
  <c r="BD30" i="67"/>
  <c r="BE30" i="67"/>
  <c r="BF30" i="67"/>
  <c r="BG30" i="67"/>
  <c r="BH30" i="67"/>
  <c r="BI30" i="67"/>
  <c r="BJ30" i="67"/>
  <c r="AL31" i="67"/>
  <c r="AM31" i="67"/>
  <c r="AN31" i="67"/>
  <c r="AO31" i="67"/>
  <c r="AP31" i="67"/>
  <c r="AQ31" i="67"/>
  <c r="AR31" i="67"/>
  <c r="AS31" i="67"/>
  <c r="AT31" i="67"/>
  <c r="AU31" i="67"/>
  <c r="AV31" i="67"/>
  <c r="AW31" i="67"/>
  <c r="AX31" i="67"/>
  <c r="AY31" i="67"/>
  <c r="AZ31" i="67"/>
  <c r="BA31" i="67"/>
  <c r="BB31" i="67"/>
  <c r="BC31" i="67"/>
  <c r="BD31" i="67"/>
  <c r="BE31" i="67"/>
  <c r="BF31" i="67"/>
  <c r="BG31" i="67"/>
  <c r="BH31" i="67"/>
  <c r="BI31" i="67"/>
  <c r="BJ31" i="67"/>
  <c r="AL32" i="67"/>
  <c r="AM32" i="67"/>
  <c r="AN32" i="67"/>
  <c r="AO32" i="67"/>
  <c r="AP32" i="67"/>
  <c r="AQ32" i="67"/>
  <c r="AR32" i="67"/>
  <c r="AS32" i="67"/>
  <c r="AT32" i="67"/>
  <c r="AU32" i="67"/>
  <c r="AV32" i="67"/>
  <c r="AW32" i="67"/>
  <c r="AX32" i="67"/>
  <c r="AY32" i="67"/>
  <c r="AZ32" i="67"/>
  <c r="BA32" i="67"/>
  <c r="BB32" i="67"/>
  <c r="BC32" i="67"/>
  <c r="BD32" i="67"/>
  <c r="BE32" i="67"/>
  <c r="BF32" i="67"/>
  <c r="BG32" i="67"/>
  <c r="BH32" i="67"/>
  <c r="BI32" i="67"/>
  <c r="BJ32" i="67"/>
  <c r="AL33" i="67"/>
  <c r="AM33" i="67"/>
  <c r="AN33" i="67"/>
  <c r="AO33" i="67"/>
  <c r="AP33" i="67"/>
  <c r="AQ33" i="67"/>
  <c r="AR33" i="67"/>
  <c r="AS33" i="67"/>
  <c r="AT33" i="67"/>
  <c r="AU33" i="67"/>
  <c r="AW33" i="67"/>
  <c r="AX33" i="67"/>
  <c r="AY33" i="67"/>
  <c r="AZ33" i="67"/>
  <c r="BA33" i="67"/>
  <c r="BB33" i="67"/>
  <c r="BC33" i="67"/>
  <c r="BC68" i="67" s="1"/>
  <c r="BD33" i="67"/>
  <c r="BE33" i="67"/>
  <c r="BF33" i="67"/>
  <c r="BG33" i="67"/>
  <c r="BH33" i="67"/>
  <c r="BI33" i="67"/>
  <c r="AL34" i="67"/>
  <c r="AM34" i="67"/>
  <c r="AN34" i="67"/>
  <c r="AO34" i="67"/>
  <c r="AP34" i="67"/>
  <c r="AQ34" i="67"/>
  <c r="AR34" i="67"/>
  <c r="AS34" i="67"/>
  <c r="AT34" i="67"/>
  <c r="AU34" i="67"/>
  <c r="AV34" i="67"/>
  <c r="AW34" i="67"/>
  <c r="AX34" i="67"/>
  <c r="AY34" i="67"/>
  <c r="AZ34" i="67"/>
  <c r="BA34" i="67"/>
  <c r="BB34" i="67"/>
  <c r="BC34" i="67"/>
  <c r="BD34" i="67"/>
  <c r="BE34" i="67"/>
  <c r="BF34" i="67"/>
  <c r="BG34" i="67"/>
  <c r="BH34" i="67"/>
  <c r="BI34" i="67"/>
  <c r="BJ34" i="67"/>
  <c r="AL35" i="67"/>
  <c r="AM35" i="67"/>
  <c r="AN35" i="67"/>
  <c r="AO35" i="67"/>
  <c r="AP35" i="67"/>
  <c r="AQ35" i="67"/>
  <c r="AR35" i="67"/>
  <c r="AS35" i="67"/>
  <c r="AT35" i="67"/>
  <c r="AU35" i="67"/>
  <c r="AV35" i="67"/>
  <c r="AW35" i="67"/>
  <c r="AX35" i="67"/>
  <c r="AY35" i="67"/>
  <c r="AZ35" i="67"/>
  <c r="BA35" i="67"/>
  <c r="BB35" i="67"/>
  <c r="BC35" i="67"/>
  <c r="BD35" i="67"/>
  <c r="BE35" i="67"/>
  <c r="BF35" i="67"/>
  <c r="BG35" i="67"/>
  <c r="BH35" i="67"/>
  <c r="BI35" i="67"/>
  <c r="BJ35" i="67"/>
  <c r="AL36" i="67"/>
  <c r="AM36" i="67"/>
  <c r="AN36" i="67"/>
  <c r="AO36" i="67"/>
  <c r="AP36" i="67"/>
  <c r="AQ36" i="67"/>
  <c r="AR36" i="67"/>
  <c r="AS36" i="67"/>
  <c r="AT36" i="67"/>
  <c r="AU36" i="67"/>
  <c r="AV36" i="67"/>
  <c r="AW36" i="67"/>
  <c r="AX36" i="67"/>
  <c r="AY36" i="67"/>
  <c r="AZ36" i="67"/>
  <c r="BA36" i="67"/>
  <c r="BB36" i="67"/>
  <c r="BC36" i="67"/>
  <c r="BD36" i="67"/>
  <c r="BE36" i="67"/>
  <c r="BF36" i="67"/>
  <c r="BG36" i="67"/>
  <c r="BH36" i="67"/>
  <c r="BI36" i="67"/>
  <c r="BJ36" i="67"/>
  <c r="AL37" i="67"/>
  <c r="AM37" i="67"/>
  <c r="AN37" i="67"/>
  <c r="AO37" i="67"/>
  <c r="AP37" i="67"/>
  <c r="AQ37" i="67"/>
  <c r="AR37" i="67"/>
  <c r="AS37" i="67"/>
  <c r="AT37" i="67"/>
  <c r="AU37" i="67"/>
  <c r="AV37" i="67"/>
  <c r="AW37" i="67"/>
  <c r="AX37" i="67"/>
  <c r="AY37" i="67"/>
  <c r="AZ37" i="67"/>
  <c r="BA37" i="67"/>
  <c r="BB37" i="67"/>
  <c r="BC37" i="67"/>
  <c r="BD37" i="67"/>
  <c r="BE37" i="67"/>
  <c r="BF37" i="67"/>
  <c r="BG37" i="67"/>
  <c r="BH37" i="67"/>
  <c r="BI37" i="67"/>
  <c r="BJ37" i="67"/>
  <c r="AL38" i="67"/>
  <c r="AM38" i="67"/>
  <c r="AN38" i="67"/>
  <c r="AO38" i="67"/>
  <c r="AP38" i="67"/>
  <c r="AQ38" i="67"/>
  <c r="AR38" i="67"/>
  <c r="AS38" i="67"/>
  <c r="AT38" i="67"/>
  <c r="AU38" i="67"/>
  <c r="AV38" i="67"/>
  <c r="AW38" i="67"/>
  <c r="AX38" i="67"/>
  <c r="AY38" i="67"/>
  <c r="AZ38" i="67"/>
  <c r="BA38" i="67"/>
  <c r="BB38" i="67"/>
  <c r="BC38" i="67"/>
  <c r="BD38" i="67"/>
  <c r="BE38" i="67"/>
  <c r="BF38" i="67"/>
  <c r="BG38" i="67"/>
  <c r="BH38" i="67"/>
  <c r="BI38" i="67"/>
  <c r="BJ38" i="67"/>
  <c r="AL39" i="67"/>
  <c r="AM39" i="67"/>
  <c r="AN39" i="67"/>
  <c r="AO39" i="67"/>
  <c r="AP39" i="67"/>
  <c r="AQ39" i="67"/>
  <c r="AR39" i="67"/>
  <c r="AS39" i="67"/>
  <c r="AT39" i="67"/>
  <c r="AU39" i="67"/>
  <c r="AV39" i="67"/>
  <c r="AW39" i="67"/>
  <c r="AX39" i="67"/>
  <c r="AY39" i="67"/>
  <c r="AZ39" i="67"/>
  <c r="BA39" i="67"/>
  <c r="BB39" i="67"/>
  <c r="BC39" i="67"/>
  <c r="BD39" i="67"/>
  <c r="BE39" i="67"/>
  <c r="BF39" i="67"/>
  <c r="BG39" i="67"/>
  <c r="BH39" i="67"/>
  <c r="BI39" i="67"/>
  <c r="BJ39" i="67"/>
  <c r="AL40" i="67"/>
  <c r="AM40" i="67"/>
  <c r="AN40" i="67"/>
  <c r="AO40" i="67"/>
  <c r="AP40" i="67"/>
  <c r="AQ40" i="67"/>
  <c r="AR40" i="67"/>
  <c r="AS40" i="67"/>
  <c r="AT40" i="67"/>
  <c r="AU40" i="67"/>
  <c r="AV40" i="67"/>
  <c r="AW40" i="67"/>
  <c r="AX40" i="67"/>
  <c r="AY40" i="67"/>
  <c r="AZ40" i="67"/>
  <c r="BA40" i="67"/>
  <c r="BB40" i="67"/>
  <c r="BC40" i="67"/>
  <c r="BD40" i="67"/>
  <c r="BE40" i="67"/>
  <c r="BF40" i="67"/>
  <c r="BG40" i="67"/>
  <c r="BH40" i="67"/>
  <c r="BI40" i="67"/>
  <c r="BJ40" i="67"/>
  <c r="AL41" i="67"/>
  <c r="AM41" i="67"/>
  <c r="AN41" i="67"/>
  <c r="AO41" i="67"/>
  <c r="AP41" i="67"/>
  <c r="AQ41" i="67"/>
  <c r="AR41" i="67"/>
  <c r="AS41" i="67"/>
  <c r="AT41" i="67"/>
  <c r="AU41" i="67"/>
  <c r="AV41" i="67"/>
  <c r="AW41" i="67"/>
  <c r="AX41" i="67"/>
  <c r="AY41" i="67"/>
  <c r="AZ41" i="67"/>
  <c r="BA41" i="67"/>
  <c r="BB41" i="67"/>
  <c r="BC41" i="67"/>
  <c r="BD41" i="67"/>
  <c r="BE41" i="67"/>
  <c r="BF41" i="67"/>
  <c r="BG41" i="67"/>
  <c r="BH41" i="67"/>
  <c r="BI41" i="67"/>
  <c r="BJ41" i="67"/>
  <c r="AL42" i="67"/>
  <c r="AM42" i="67"/>
  <c r="AN42" i="67"/>
  <c r="AO42" i="67"/>
  <c r="AP42" i="67"/>
  <c r="AQ42" i="67"/>
  <c r="AR42" i="67"/>
  <c r="AS42" i="67"/>
  <c r="AT42" i="67"/>
  <c r="AU42" i="67"/>
  <c r="AV42" i="67"/>
  <c r="AW42" i="67"/>
  <c r="AX42" i="67"/>
  <c r="AY42" i="67"/>
  <c r="AZ42" i="67"/>
  <c r="BA42" i="67"/>
  <c r="BB42" i="67"/>
  <c r="BC42" i="67"/>
  <c r="BD42" i="67"/>
  <c r="BE42" i="67"/>
  <c r="BF42" i="67"/>
  <c r="BG42" i="67"/>
  <c r="BH42" i="67"/>
  <c r="BI42" i="67"/>
  <c r="BJ42" i="67"/>
  <c r="AL43" i="67"/>
  <c r="AM43" i="67"/>
  <c r="AN43" i="67"/>
  <c r="AO43" i="67"/>
  <c r="AP43" i="67"/>
  <c r="AQ43" i="67"/>
  <c r="AR43" i="67"/>
  <c r="AS43" i="67"/>
  <c r="AT43" i="67"/>
  <c r="AU43" i="67"/>
  <c r="AV43" i="67"/>
  <c r="AW43" i="67"/>
  <c r="AX43" i="67"/>
  <c r="AY43" i="67"/>
  <c r="AZ43" i="67"/>
  <c r="BA43" i="67"/>
  <c r="BB43" i="67"/>
  <c r="BC43" i="67"/>
  <c r="BD43" i="67"/>
  <c r="BE43" i="67"/>
  <c r="BF43" i="67"/>
  <c r="BG43" i="67"/>
  <c r="BH43" i="67"/>
  <c r="BI43" i="67"/>
  <c r="BJ43" i="67"/>
  <c r="AL44" i="67"/>
  <c r="AM44" i="67"/>
  <c r="AN44" i="67"/>
  <c r="AO44" i="67"/>
  <c r="AP44" i="67"/>
  <c r="AQ44" i="67"/>
  <c r="AR44" i="67"/>
  <c r="AS44" i="67"/>
  <c r="AT44" i="67"/>
  <c r="AU44" i="67"/>
  <c r="AV44" i="67"/>
  <c r="AW44" i="67"/>
  <c r="AX44" i="67"/>
  <c r="AY44" i="67"/>
  <c r="AZ44" i="67"/>
  <c r="BA44" i="67"/>
  <c r="BB44" i="67"/>
  <c r="BC44" i="67"/>
  <c r="BD44" i="67"/>
  <c r="BE44" i="67"/>
  <c r="BF44" i="67"/>
  <c r="BG44" i="67"/>
  <c r="BH44" i="67"/>
  <c r="BI44" i="67"/>
  <c r="BJ44" i="67"/>
  <c r="AL45" i="67"/>
  <c r="AM45" i="67"/>
  <c r="AN45" i="67"/>
  <c r="AO45" i="67"/>
  <c r="AP45" i="67"/>
  <c r="AQ45" i="67"/>
  <c r="AR45" i="67"/>
  <c r="AS45" i="67"/>
  <c r="AT45" i="67"/>
  <c r="AU45" i="67"/>
  <c r="AV45" i="67"/>
  <c r="AW45" i="67"/>
  <c r="AX45" i="67"/>
  <c r="AY45" i="67"/>
  <c r="AZ45" i="67"/>
  <c r="BA45" i="67"/>
  <c r="BB45" i="67"/>
  <c r="BC45" i="67"/>
  <c r="BD45" i="67"/>
  <c r="BE45" i="67"/>
  <c r="BF45" i="67"/>
  <c r="BG45" i="67"/>
  <c r="BH45" i="67"/>
  <c r="BI45" i="67"/>
  <c r="BJ45" i="67"/>
  <c r="AL46" i="67"/>
  <c r="AM46" i="67"/>
  <c r="AN46" i="67"/>
  <c r="AO46" i="67"/>
  <c r="AP46" i="67"/>
  <c r="AQ46" i="67"/>
  <c r="AR46" i="67"/>
  <c r="AS46" i="67"/>
  <c r="AT46" i="67"/>
  <c r="AU46" i="67"/>
  <c r="AV46" i="67"/>
  <c r="AW46" i="67"/>
  <c r="AX46" i="67"/>
  <c r="AY46" i="67"/>
  <c r="AZ46" i="67"/>
  <c r="BA46" i="67"/>
  <c r="BB46" i="67"/>
  <c r="BC46" i="67"/>
  <c r="BD46" i="67"/>
  <c r="BE46" i="67"/>
  <c r="BF46" i="67"/>
  <c r="BG46" i="67"/>
  <c r="BH46" i="67"/>
  <c r="BI46" i="67"/>
  <c r="BJ46" i="67"/>
  <c r="AL47" i="67"/>
  <c r="AM47" i="67"/>
  <c r="AN47" i="67"/>
  <c r="AO47" i="67"/>
  <c r="AP47" i="67"/>
  <c r="AQ47" i="67"/>
  <c r="AR47" i="67"/>
  <c r="AS47" i="67"/>
  <c r="AT47" i="67"/>
  <c r="AU47" i="67"/>
  <c r="AV47" i="67"/>
  <c r="AW47" i="67"/>
  <c r="AX47" i="67"/>
  <c r="AY47" i="67"/>
  <c r="AZ47" i="67"/>
  <c r="BA47" i="67"/>
  <c r="BB47" i="67"/>
  <c r="BC47" i="67"/>
  <c r="BD47" i="67"/>
  <c r="BE47" i="67"/>
  <c r="BF47" i="67"/>
  <c r="BG47" i="67"/>
  <c r="BH47" i="67"/>
  <c r="BI47" i="67"/>
  <c r="BJ47" i="67"/>
  <c r="AL48" i="67"/>
  <c r="AM48" i="67"/>
  <c r="AN48" i="67"/>
  <c r="AO48" i="67"/>
  <c r="AP48" i="67"/>
  <c r="AQ48" i="67"/>
  <c r="AR48" i="67"/>
  <c r="AS48" i="67"/>
  <c r="AT48" i="67"/>
  <c r="AU48" i="67"/>
  <c r="AV48" i="67"/>
  <c r="AW48" i="67"/>
  <c r="AX48" i="67"/>
  <c r="AY48" i="67"/>
  <c r="AZ48" i="67"/>
  <c r="BA48" i="67"/>
  <c r="BB48" i="67"/>
  <c r="BC48" i="67"/>
  <c r="BD48" i="67"/>
  <c r="BE48" i="67"/>
  <c r="BF48" i="67"/>
  <c r="BG48" i="67"/>
  <c r="BH48" i="67"/>
  <c r="BI48" i="67"/>
  <c r="BJ48" i="67"/>
  <c r="AL49" i="67"/>
  <c r="AM49" i="67"/>
  <c r="AN49" i="67"/>
  <c r="AO49" i="67"/>
  <c r="AP49" i="67"/>
  <c r="AQ49" i="67"/>
  <c r="AR49" i="67"/>
  <c r="AS49" i="67"/>
  <c r="AT49" i="67"/>
  <c r="AU49" i="67"/>
  <c r="AV49" i="67"/>
  <c r="AW49" i="67"/>
  <c r="AX49" i="67"/>
  <c r="AY49" i="67"/>
  <c r="AZ49" i="67"/>
  <c r="BA49" i="67"/>
  <c r="BB49" i="67"/>
  <c r="BC49" i="67"/>
  <c r="BD49" i="67"/>
  <c r="BE49" i="67"/>
  <c r="BF49" i="67"/>
  <c r="BG49" i="67"/>
  <c r="BH49" i="67"/>
  <c r="BI49" i="67"/>
  <c r="BJ49" i="67"/>
  <c r="AL50" i="67"/>
  <c r="AM50" i="67"/>
  <c r="AN50" i="67"/>
  <c r="AO50" i="67"/>
  <c r="AP50" i="67"/>
  <c r="AQ50" i="67"/>
  <c r="AR50" i="67"/>
  <c r="AS50" i="67"/>
  <c r="AT50" i="67"/>
  <c r="AU50" i="67"/>
  <c r="AV50" i="67"/>
  <c r="AW50" i="67"/>
  <c r="AX50" i="67"/>
  <c r="AY50" i="67"/>
  <c r="AZ50" i="67"/>
  <c r="BA50" i="67"/>
  <c r="BB50" i="67"/>
  <c r="BC50" i="67"/>
  <c r="BD50" i="67"/>
  <c r="BE50" i="67"/>
  <c r="BF50" i="67"/>
  <c r="BG50" i="67"/>
  <c r="BH50" i="67"/>
  <c r="BI50" i="67"/>
  <c r="BJ50" i="67"/>
  <c r="AL51" i="67"/>
  <c r="AM51" i="67"/>
  <c r="AN51" i="67"/>
  <c r="AO51" i="67"/>
  <c r="AP51" i="67"/>
  <c r="AQ51" i="67"/>
  <c r="AR51" i="67"/>
  <c r="AS51" i="67"/>
  <c r="AT51" i="67"/>
  <c r="AU51" i="67"/>
  <c r="AV51" i="67"/>
  <c r="AW51" i="67"/>
  <c r="AX51" i="67"/>
  <c r="AY51" i="67"/>
  <c r="AZ51" i="67"/>
  <c r="BA51" i="67"/>
  <c r="BB51" i="67"/>
  <c r="BC51" i="67"/>
  <c r="BD51" i="67"/>
  <c r="BE51" i="67"/>
  <c r="BF51" i="67"/>
  <c r="BG51" i="67"/>
  <c r="BH51" i="67"/>
  <c r="BI51" i="67"/>
  <c r="BJ51" i="67"/>
  <c r="AL52" i="67"/>
  <c r="AM52" i="67"/>
  <c r="AN52" i="67"/>
  <c r="AO52" i="67"/>
  <c r="AP52" i="67"/>
  <c r="AQ52" i="67"/>
  <c r="AR52" i="67"/>
  <c r="AS52" i="67"/>
  <c r="AT52" i="67"/>
  <c r="AU52" i="67"/>
  <c r="AV52" i="67"/>
  <c r="AW52" i="67"/>
  <c r="AX52" i="67"/>
  <c r="AY52" i="67"/>
  <c r="AZ52" i="67"/>
  <c r="BA52" i="67"/>
  <c r="BB52" i="67"/>
  <c r="BC52" i="67"/>
  <c r="BD52" i="67"/>
  <c r="BE52" i="67"/>
  <c r="BF52" i="67"/>
  <c r="BG52" i="67"/>
  <c r="BH52" i="67"/>
  <c r="BI52" i="67"/>
  <c r="BJ52" i="67"/>
  <c r="AL53" i="67"/>
  <c r="AM53" i="67"/>
  <c r="AN53" i="67"/>
  <c r="AO53" i="67"/>
  <c r="AP53" i="67"/>
  <c r="AQ53" i="67"/>
  <c r="AR53" i="67"/>
  <c r="AS53" i="67"/>
  <c r="AT53" i="67"/>
  <c r="AU53" i="67"/>
  <c r="AV53" i="67"/>
  <c r="AW53" i="67"/>
  <c r="AX53" i="67"/>
  <c r="AY53" i="67"/>
  <c r="AZ53" i="67"/>
  <c r="BA53" i="67"/>
  <c r="BB53" i="67"/>
  <c r="BC53" i="67"/>
  <c r="BD53" i="67"/>
  <c r="BE53" i="67"/>
  <c r="BF53" i="67"/>
  <c r="BG53" i="67"/>
  <c r="BH53" i="67"/>
  <c r="BI53" i="67"/>
  <c r="BJ53" i="67"/>
  <c r="AL54" i="67"/>
  <c r="AM54" i="67"/>
  <c r="AN54" i="67"/>
  <c r="AO54" i="67"/>
  <c r="AP54" i="67"/>
  <c r="AQ54" i="67"/>
  <c r="AR54" i="67"/>
  <c r="AS54" i="67"/>
  <c r="AT54" i="67"/>
  <c r="AU54" i="67"/>
  <c r="AV54" i="67"/>
  <c r="AW54" i="67"/>
  <c r="AX54" i="67"/>
  <c r="AY54" i="67"/>
  <c r="AZ54" i="67"/>
  <c r="BA54" i="67"/>
  <c r="BC54" i="67"/>
  <c r="BD54" i="67"/>
  <c r="BE54" i="67"/>
  <c r="BF54" i="67"/>
  <c r="BG54" i="67"/>
  <c r="BH54" i="67"/>
  <c r="BI54" i="67"/>
  <c r="BJ54" i="67"/>
  <c r="AL55" i="67"/>
  <c r="AM55" i="67"/>
  <c r="AN55" i="67"/>
  <c r="AO55" i="67"/>
  <c r="AP55" i="67"/>
  <c r="AQ55" i="67"/>
  <c r="AR55" i="67"/>
  <c r="AS55" i="67"/>
  <c r="AT55" i="67"/>
  <c r="AU55" i="67"/>
  <c r="AV55" i="67"/>
  <c r="AW55" i="67"/>
  <c r="AX55" i="67"/>
  <c r="AY55" i="67"/>
  <c r="AZ55" i="67"/>
  <c r="BA55" i="67"/>
  <c r="BB55" i="67"/>
  <c r="BC55" i="67"/>
  <c r="BD55" i="67"/>
  <c r="BE55" i="67"/>
  <c r="BF55" i="67"/>
  <c r="BG55" i="67"/>
  <c r="BH55" i="67"/>
  <c r="BI55" i="67"/>
  <c r="BJ55" i="67"/>
  <c r="AL56" i="67"/>
  <c r="AM56" i="67"/>
  <c r="AN56" i="67"/>
  <c r="AO56" i="67"/>
  <c r="AP56" i="67"/>
  <c r="AQ56" i="67"/>
  <c r="AR56" i="67"/>
  <c r="AS56" i="67"/>
  <c r="AT56" i="67"/>
  <c r="AU56" i="67"/>
  <c r="AV56" i="67"/>
  <c r="AW56" i="67"/>
  <c r="AX56" i="67"/>
  <c r="AY56" i="67"/>
  <c r="AZ56" i="67"/>
  <c r="BA56" i="67"/>
  <c r="BB56" i="67"/>
  <c r="BC56" i="67"/>
  <c r="BD56" i="67"/>
  <c r="BE56" i="67"/>
  <c r="BF56" i="67"/>
  <c r="BG56" i="67"/>
  <c r="BH56" i="67"/>
  <c r="BI56" i="67"/>
  <c r="BJ56" i="67"/>
  <c r="AL57" i="67"/>
  <c r="AM57" i="67"/>
  <c r="AN57" i="67"/>
  <c r="AO57" i="67"/>
  <c r="AP57" i="67"/>
  <c r="AQ57" i="67"/>
  <c r="AR57" i="67"/>
  <c r="AS57" i="67"/>
  <c r="AT57" i="67"/>
  <c r="AU57" i="67"/>
  <c r="AV57" i="67"/>
  <c r="AW57" i="67"/>
  <c r="AX57" i="67"/>
  <c r="AY57" i="67"/>
  <c r="AZ57" i="67"/>
  <c r="BA57" i="67"/>
  <c r="BB57" i="67"/>
  <c r="BC57" i="67"/>
  <c r="BD57" i="67"/>
  <c r="BE57" i="67"/>
  <c r="BF57" i="67"/>
  <c r="BG57" i="67"/>
  <c r="BH57" i="67"/>
  <c r="BI57" i="67"/>
  <c r="BJ57" i="67"/>
  <c r="AL58" i="67"/>
  <c r="AM58" i="67"/>
  <c r="AN58" i="67"/>
  <c r="AO58" i="67"/>
  <c r="AP58" i="67"/>
  <c r="AQ58" i="67"/>
  <c r="AR58" i="67"/>
  <c r="AS58" i="67"/>
  <c r="AT58" i="67"/>
  <c r="AU58" i="67"/>
  <c r="AV58" i="67"/>
  <c r="AW58" i="67"/>
  <c r="AX58" i="67"/>
  <c r="AY58" i="67"/>
  <c r="AZ58" i="67"/>
  <c r="BA58" i="67"/>
  <c r="BB58" i="67"/>
  <c r="BC58" i="67"/>
  <c r="BD58" i="67"/>
  <c r="BE58" i="67"/>
  <c r="BF58" i="67"/>
  <c r="BG58" i="67"/>
  <c r="BH58" i="67"/>
  <c r="BI58" i="67"/>
  <c r="BJ58" i="67"/>
  <c r="AL59" i="67"/>
  <c r="AM59" i="67"/>
  <c r="AN59" i="67"/>
  <c r="AO59" i="67"/>
  <c r="AP59" i="67"/>
  <c r="AQ59" i="67"/>
  <c r="AR59" i="67"/>
  <c r="AS59" i="67"/>
  <c r="AT59" i="67"/>
  <c r="AU59" i="67"/>
  <c r="AV59" i="67"/>
  <c r="AW59" i="67"/>
  <c r="AX59" i="67"/>
  <c r="AY59" i="67"/>
  <c r="AZ59" i="67"/>
  <c r="BA59" i="67"/>
  <c r="BB59" i="67"/>
  <c r="BC59" i="67"/>
  <c r="BD59" i="67"/>
  <c r="BE59" i="67"/>
  <c r="BF59" i="67"/>
  <c r="BG59" i="67"/>
  <c r="BH59" i="67"/>
  <c r="BI59" i="67"/>
  <c r="BJ59" i="67"/>
  <c r="AL60" i="67"/>
  <c r="AM60" i="67"/>
  <c r="AN60" i="67"/>
  <c r="AO60" i="67"/>
  <c r="AP60" i="67"/>
  <c r="AQ60" i="67"/>
  <c r="AR60" i="67"/>
  <c r="AS60" i="67"/>
  <c r="AT60" i="67"/>
  <c r="AU60" i="67"/>
  <c r="AV60" i="67"/>
  <c r="AW60" i="67"/>
  <c r="AX60" i="67"/>
  <c r="AY60" i="67"/>
  <c r="AZ60" i="67"/>
  <c r="BA60" i="67"/>
  <c r="BB60" i="67"/>
  <c r="BC60" i="67"/>
  <c r="BD60" i="67"/>
  <c r="BE60" i="67"/>
  <c r="BF60" i="67"/>
  <c r="BG60" i="67"/>
  <c r="BH60" i="67"/>
  <c r="BI60" i="67"/>
  <c r="BJ60" i="67"/>
  <c r="AL61" i="67"/>
  <c r="AM61" i="67"/>
  <c r="AN61" i="67"/>
  <c r="AO61" i="67"/>
  <c r="AP61" i="67"/>
  <c r="AQ61" i="67"/>
  <c r="AR61" i="67"/>
  <c r="AS61" i="67"/>
  <c r="AT61" i="67"/>
  <c r="AU61" i="67"/>
  <c r="AV61" i="67"/>
  <c r="AW61" i="67"/>
  <c r="AX61" i="67"/>
  <c r="AY61" i="67"/>
  <c r="AZ61" i="67"/>
  <c r="BA61" i="67"/>
  <c r="BB61" i="67"/>
  <c r="BC61" i="67"/>
  <c r="BD61" i="67"/>
  <c r="BE61" i="67"/>
  <c r="BF61" i="67"/>
  <c r="BG61" i="67"/>
  <c r="BH61" i="67"/>
  <c r="BI61" i="67"/>
  <c r="BJ61" i="67"/>
  <c r="AL62" i="67"/>
  <c r="AM62" i="67"/>
  <c r="AN62" i="67"/>
  <c r="AO62" i="67"/>
  <c r="AP62" i="67"/>
  <c r="AQ62" i="67"/>
  <c r="AR62" i="67"/>
  <c r="AS62" i="67"/>
  <c r="AT62" i="67"/>
  <c r="AU62" i="67"/>
  <c r="AV62" i="67"/>
  <c r="AW62" i="67"/>
  <c r="AX62" i="67"/>
  <c r="AY62" i="67"/>
  <c r="AZ62" i="67"/>
  <c r="BA62" i="67"/>
  <c r="BB62" i="67"/>
  <c r="BC62" i="67"/>
  <c r="BD62" i="67"/>
  <c r="BE62" i="67"/>
  <c r="BF62" i="67"/>
  <c r="BG62" i="67"/>
  <c r="BH62" i="67"/>
  <c r="BI62" i="67"/>
  <c r="BJ62" i="67"/>
  <c r="AL63" i="67"/>
  <c r="AM63" i="67"/>
  <c r="AN63" i="67"/>
  <c r="AO63" i="67"/>
  <c r="AP63" i="67"/>
  <c r="AQ63" i="67"/>
  <c r="AR63" i="67"/>
  <c r="AS63" i="67"/>
  <c r="AT63" i="67"/>
  <c r="AU63" i="67"/>
  <c r="AV63" i="67"/>
  <c r="AW63" i="67"/>
  <c r="AX63" i="67"/>
  <c r="AY63" i="67"/>
  <c r="AZ63" i="67"/>
  <c r="BA63" i="67"/>
  <c r="BB63" i="67"/>
  <c r="BC63" i="67"/>
  <c r="BD63" i="67"/>
  <c r="BE63" i="67"/>
  <c r="BF63" i="67"/>
  <c r="BG63" i="67"/>
  <c r="BH63" i="67"/>
  <c r="BI63" i="67"/>
  <c r="BJ63" i="67"/>
  <c r="AL64" i="67"/>
  <c r="AM64" i="67"/>
  <c r="AN64" i="67"/>
  <c r="AO64" i="67"/>
  <c r="AP64" i="67"/>
  <c r="AQ64" i="67"/>
  <c r="AR64" i="67"/>
  <c r="AS64" i="67"/>
  <c r="AT64" i="67"/>
  <c r="AU64" i="67"/>
  <c r="AV64" i="67"/>
  <c r="AW64" i="67"/>
  <c r="AX64" i="67"/>
  <c r="AY64" i="67"/>
  <c r="AZ64" i="67"/>
  <c r="BA64" i="67"/>
  <c r="BB64" i="67"/>
  <c r="BC64" i="67"/>
  <c r="BD64" i="67"/>
  <c r="BE64" i="67"/>
  <c r="BF64" i="67"/>
  <c r="BG64" i="67"/>
  <c r="BH64" i="67"/>
  <c r="BI64" i="67"/>
  <c r="BJ64" i="67"/>
  <c r="AL65" i="67"/>
  <c r="AM65" i="67"/>
  <c r="AN65" i="67"/>
  <c r="AO65" i="67"/>
  <c r="AP65" i="67"/>
  <c r="AQ65" i="67"/>
  <c r="AR65" i="67"/>
  <c r="AS65" i="67"/>
  <c r="AT65" i="67"/>
  <c r="AU65" i="67"/>
  <c r="AV65" i="67"/>
  <c r="AW65" i="67"/>
  <c r="AX65" i="67"/>
  <c r="AY65" i="67"/>
  <c r="AZ65" i="67"/>
  <c r="BA65" i="67"/>
  <c r="BB65" i="67"/>
  <c r="BC65" i="67"/>
  <c r="BD65" i="67"/>
  <c r="BE65" i="67"/>
  <c r="BF65" i="67"/>
  <c r="BG65" i="67"/>
  <c r="BH65" i="67"/>
  <c r="BI65" i="67"/>
  <c r="BJ65" i="67"/>
  <c r="AL66" i="67"/>
  <c r="AM66" i="67"/>
  <c r="AN66" i="67"/>
  <c r="AO66" i="67"/>
  <c r="AP66" i="67"/>
  <c r="AQ66" i="67"/>
  <c r="AR66" i="67"/>
  <c r="AS66" i="67"/>
  <c r="AT66" i="67"/>
  <c r="AU66" i="67"/>
  <c r="AV66" i="67"/>
  <c r="AW66" i="67"/>
  <c r="AX66" i="67"/>
  <c r="AY66" i="67"/>
  <c r="AZ66" i="67"/>
  <c r="BA66" i="67"/>
  <c r="BB66" i="67"/>
  <c r="BC66" i="67"/>
  <c r="BD66" i="67"/>
  <c r="BE66" i="67"/>
  <c r="BF66" i="67"/>
  <c r="BG66" i="67"/>
  <c r="BH66" i="67"/>
  <c r="BI66" i="67"/>
  <c r="BJ66" i="67"/>
  <c r="AK66" i="67"/>
  <c r="AK52" i="67"/>
  <c r="AK51" i="67"/>
  <c r="AK50" i="67"/>
  <c r="AK49" i="67"/>
  <c r="AK48" i="67"/>
  <c r="AK47" i="67"/>
  <c r="AK46" i="67"/>
  <c r="AK33" i="67"/>
  <c r="AK32" i="67"/>
  <c r="AK31" i="67"/>
  <c r="AK30" i="67"/>
  <c r="AK29" i="67"/>
  <c r="AK28" i="67"/>
  <c r="AK27" i="67"/>
  <c r="AK12" i="67"/>
  <c r="AK11" i="67"/>
  <c r="AK10" i="67"/>
  <c r="AK7" i="67"/>
  <c r="AZ70" i="67"/>
  <c r="AK17" i="67"/>
  <c r="AK57" i="67"/>
  <c r="AK37" i="67"/>
  <c r="AK38" i="67"/>
  <c r="AK35" i="67"/>
  <c r="H73" i="67"/>
  <c r="H74" i="67"/>
  <c r="H75" i="67"/>
  <c r="H76" i="67"/>
  <c r="H77" i="67"/>
  <c r="H78" i="67"/>
  <c r="H79" i="67"/>
  <c r="H80" i="67"/>
  <c r="H81" i="67"/>
  <c r="H82" i="67"/>
  <c r="H83" i="67"/>
  <c r="H84" i="67"/>
  <c r="H85" i="67"/>
  <c r="H86" i="67"/>
  <c r="H87" i="67"/>
  <c r="H88" i="67"/>
  <c r="H89" i="67"/>
  <c r="H90" i="67"/>
  <c r="H91" i="67"/>
  <c r="J47" i="67"/>
  <c r="J27" i="67"/>
  <c r="J7" i="67"/>
  <c r="W104" i="73"/>
  <c r="AI70" i="67"/>
  <c r="AH70" i="67"/>
  <c r="AG70" i="67"/>
  <c r="AF70" i="67"/>
  <c r="AE70" i="67"/>
  <c r="AD70" i="67"/>
  <c r="AC70" i="67"/>
  <c r="AB70" i="67"/>
  <c r="AA70" i="67"/>
  <c r="Z70" i="67"/>
  <c r="Y70" i="67"/>
  <c r="X70" i="67"/>
  <c r="W70" i="67"/>
  <c r="V70" i="67"/>
  <c r="U70" i="67"/>
  <c r="T70" i="67"/>
  <c r="S70" i="67"/>
  <c r="R70" i="67"/>
  <c r="Q70" i="67"/>
  <c r="P70" i="67"/>
  <c r="O70" i="67"/>
  <c r="N70" i="67"/>
  <c r="M70" i="67"/>
  <c r="L70" i="67"/>
  <c r="K70" i="67"/>
  <c r="AI68" i="67"/>
  <c r="AH68" i="67"/>
  <c r="AG68" i="67"/>
  <c r="AF68" i="67"/>
  <c r="AE68" i="67"/>
  <c r="AD68" i="67"/>
  <c r="AC68" i="67"/>
  <c r="AB68" i="67"/>
  <c r="AA68" i="67"/>
  <c r="Z68" i="67"/>
  <c r="Y68" i="67"/>
  <c r="X68" i="67"/>
  <c r="V68" i="67"/>
  <c r="U68" i="67"/>
  <c r="T68" i="67"/>
  <c r="S68" i="67"/>
  <c r="R68" i="67"/>
  <c r="Q68" i="67"/>
  <c r="P68" i="67"/>
  <c r="O68" i="67"/>
  <c r="N68" i="67"/>
  <c r="M68" i="67"/>
  <c r="L68" i="67"/>
  <c r="K68" i="67"/>
  <c r="BH73" i="67"/>
  <c r="H51" i="18"/>
  <c r="I39" i="18"/>
  <c r="BF68" i="67" l="1"/>
  <c r="BD68" i="67"/>
  <c r="BB68" i="67"/>
  <c r="J69" i="67"/>
  <c r="AL68" i="67"/>
  <c r="BG70" i="67"/>
  <c r="AQ70" i="67"/>
  <c r="AZ68" i="67"/>
  <c r="BF70" i="67"/>
  <c r="AP70" i="67"/>
  <c r="AY68" i="67"/>
  <c r="BE70" i="67"/>
  <c r="AO70" i="67"/>
  <c r="BD70" i="67"/>
  <c r="AN70" i="67"/>
  <c r="AW68" i="67"/>
  <c r="AX68" i="67"/>
  <c r="BC70" i="67"/>
  <c r="AM70" i="67"/>
  <c r="BA70" i="67"/>
  <c r="BJ68" i="67"/>
  <c r="AT68" i="67"/>
  <c r="BI68" i="67"/>
  <c r="AS68" i="67"/>
  <c r="BH68" i="67"/>
  <c r="AR68" i="67"/>
  <c r="BB70" i="67"/>
  <c r="AL70" i="67"/>
  <c r="AF45" i="16"/>
  <c r="AF100" i="16" s="1" a="1"/>
  <c r="AF100" i="16" s="1"/>
  <c r="AF49" i="16"/>
  <c r="AF53" i="16"/>
  <c r="AF108" i="16" s="1" a="1"/>
  <c r="AF108" i="16" s="1"/>
  <c r="AF57" i="16"/>
  <c r="AF62" i="16" s="1"/>
  <c r="AF61" i="16"/>
  <c r="AF116" i="16" a="1"/>
  <c r="AF116" i="16" s="1"/>
  <c r="F190" i="16"/>
  <c r="G190" i="16" s="1"/>
  <c r="H190" i="16" s="1"/>
  <c r="I190" i="16" s="1"/>
  <c r="J190" i="16" s="1"/>
  <c r="K190" i="16" s="1"/>
  <c r="L190" i="16" s="1"/>
  <c r="M190" i="16" s="1"/>
  <c r="N190" i="16" s="1"/>
  <c r="O190" i="16" s="1"/>
  <c r="P190" i="16" s="1"/>
  <c r="Q190" i="16" s="1"/>
  <c r="R190" i="16" s="1"/>
  <c r="S190" i="16" s="1"/>
  <c r="T190" i="16" s="1"/>
  <c r="U190" i="16" s="1"/>
  <c r="V190" i="16" s="1"/>
  <c r="W190" i="16" s="1"/>
  <c r="X190" i="16" s="1"/>
  <c r="Y190" i="16" s="1"/>
  <c r="Z190" i="16" s="1"/>
  <c r="AA190" i="16" s="1"/>
  <c r="AB190" i="16" s="1"/>
  <c r="AC190" i="16" s="1"/>
  <c r="AD190" i="16" s="1"/>
  <c r="AE190" i="16" s="1"/>
  <c r="AF190" i="16" s="1"/>
  <c r="F180" i="16"/>
  <c r="G180" i="16" s="1"/>
  <c r="H180" i="16" s="1"/>
  <c r="I180" i="16" s="1"/>
  <c r="J180" i="16" s="1"/>
  <c r="K180" i="16" s="1"/>
  <c r="L180" i="16" s="1"/>
  <c r="M180" i="16" s="1"/>
  <c r="N180" i="16" s="1"/>
  <c r="O180" i="16" s="1"/>
  <c r="P180" i="16" s="1"/>
  <c r="Q180" i="16" s="1"/>
  <c r="R180" i="16" s="1"/>
  <c r="S180" i="16" s="1"/>
  <c r="T180" i="16" s="1"/>
  <c r="U180" i="16" s="1"/>
  <c r="V180" i="16" s="1"/>
  <c r="W180" i="16" s="1"/>
  <c r="X180" i="16" s="1"/>
  <c r="Y180" i="16" s="1"/>
  <c r="Z180" i="16" s="1"/>
  <c r="AA180" i="16" s="1"/>
  <c r="AB180" i="16" s="1"/>
  <c r="AC180" i="16" s="1"/>
  <c r="AD180" i="16" s="1"/>
  <c r="AE180" i="16" s="1"/>
  <c r="AF180" i="16" s="1"/>
  <c r="F173" i="16"/>
  <c r="G173" i="16" s="1"/>
  <c r="H173" i="16" s="1"/>
  <c r="I173" i="16" s="1"/>
  <c r="J173" i="16" s="1"/>
  <c r="K173" i="16" s="1"/>
  <c r="L173" i="16" s="1"/>
  <c r="M173" i="16" s="1"/>
  <c r="N173" i="16" s="1"/>
  <c r="O173" i="16" s="1"/>
  <c r="P173" i="16" s="1"/>
  <c r="Q173" i="16" s="1"/>
  <c r="R173" i="16" s="1"/>
  <c r="S173" i="16" s="1"/>
  <c r="T173" i="16" s="1"/>
  <c r="U173" i="16" s="1"/>
  <c r="V173" i="16" s="1"/>
  <c r="W173" i="16" s="1"/>
  <c r="X173" i="16" s="1"/>
  <c r="Y173" i="16" s="1"/>
  <c r="Z173" i="16" s="1"/>
  <c r="AA173" i="16" s="1"/>
  <c r="AB173" i="16" s="1"/>
  <c r="AC173" i="16" s="1"/>
  <c r="AD173" i="16" s="1"/>
  <c r="AE173" i="16" s="1"/>
  <c r="AF173" i="16" s="1"/>
  <c r="F163" i="16"/>
  <c r="G163" i="16" s="1"/>
  <c r="H163" i="16" s="1"/>
  <c r="I163" i="16" s="1"/>
  <c r="J163" i="16" s="1"/>
  <c r="K163" i="16" s="1"/>
  <c r="L163" i="16" s="1"/>
  <c r="M163" i="16" s="1"/>
  <c r="N163" i="16" s="1"/>
  <c r="O163" i="16" s="1"/>
  <c r="P163" i="16" s="1"/>
  <c r="Q163" i="16" s="1"/>
  <c r="R163" i="16" s="1"/>
  <c r="S163" i="16" s="1"/>
  <c r="T163" i="16" s="1"/>
  <c r="U163" i="16" s="1"/>
  <c r="V163" i="16" s="1"/>
  <c r="W163" i="16" s="1"/>
  <c r="X163" i="16" s="1"/>
  <c r="Y163" i="16" s="1"/>
  <c r="Z163" i="16" s="1"/>
  <c r="AA163" i="16" s="1"/>
  <c r="AB163" i="16" s="1"/>
  <c r="AC163" i="16" s="1"/>
  <c r="AD163" i="16" s="1"/>
  <c r="AE163" i="16" s="1"/>
  <c r="AF163" i="16" s="1"/>
  <c r="F155" i="16"/>
  <c r="G155" i="16" s="1"/>
  <c r="H155" i="16" s="1"/>
  <c r="I155" i="16" s="1"/>
  <c r="J155" i="16" s="1"/>
  <c r="K155" i="16" s="1"/>
  <c r="L155" i="16" s="1"/>
  <c r="M155" i="16" s="1"/>
  <c r="N155" i="16" s="1"/>
  <c r="O155" i="16" s="1"/>
  <c r="P155" i="16" s="1"/>
  <c r="Q155" i="16" s="1"/>
  <c r="R155" i="16" s="1"/>
  <c r="S155" i="16" s="1"/>
  <c r="T155" i="16" s="1"/>
  <c r="U155" i="16" s="1"/>
  <c r="V155" i="16" s="1"/>
  <c r="W155" i="16" s="1"/>
  <c r="X155" i="16" s="1"/>
  <c r="Y155" i="16" s="1"/>
  <c r="Z155" i="16" s="1"/>
  <c r="AA155" i="16" s="1"/>
  <c r="AB155" i="16" s="1"/>
  <c r="AC155" i="16" s="1"/>
  <c r="AD155" i="16" s="1"/>
  <c r="AE155" i="16" s="1"/>
  <c r="AF155" i="16" s="1"/>
  <c r="F148" i="16"/>
  <c r="G148" i="16" s="1"/>
  <c r="H148" i="16" s="1"/>
  <c r="I148" i="16" s="1"/>
  <c r="J148" i="16" s="1"/>
  <c r="K148" i="16" s="1"/>
  <c r="L148" i="16" s="1"/>
  <c r="M148" i="16" s="1"/>
  <c r="N148" i="16" s="1"/>
  <c r="O148" i="16" s="1"/>
  <c r="P148" i="16" s="1"/>
  <c r="Q148" i="16" s="1"/>
  <c r="R148" i="16" s="1"/>
  <c r="S148" i="16" s="1"/>
  <c r="T148" i="16" s="1"/>
  <c r="U148" i="16" s="1"/>
  <c r="V148" i="16" s="1"/>
  <c r="W148" i="16" s="1"/>
  <c r="X148" i="16" s="1"/>
  <c r="Y148" i="16" s="1"/>
  <c r="Z148" i="16" s="1"/>
  <c r="AA148" i="16" s="1"/>
  <c r="AB148" i="16" s="1"/>
  <c r="AC148" i="16" s="1"/>
  <c r="AD148" i="16" s="1"/>
  <c r="AE148" i="16" s="1"/>
  <c r="AF148" i="16" s="1"/>
  <c r="F92" i="16"/>
  <c r="G92" i="16" s="1"/>
  <c r="H92" i="16" s="1"/>
  <c r="I92" i="16" s="1"/>
  <c r="J92" i="16" s="1"/>
  <c r="K92" i="16" s="1"/>
  <c r="L92" i="16" s="1"/>
  <c r="M92" i="16" s="1"/>
  <c r="N92" i="16" s="1"/>
  <c r="O92" i="16" s="1"/>
  <c r="P92" i="16" s="1"/>
  <c r="Q92" i="16" s="1"/>
  <c r="R92" i="16" s="1"/>
  <c r="S92" i="16" s="1"/>
  <c r="T92" i="16" s="1"/>
  <c r="U92" i="16" s="1"/>
  <c r="V92" i="16" s="1"/>
  <c r="W92" i="16" s="1"/>
  <c r="X92" i="16" s="1"/>
  <c r="Y92" i="16" s="1"/>
  <c r="Z92" i="16" s="1"/>
  <c r="AA92" i="16" s="1"/>
  <c r="AB92" i="16" s="1"/>
  <c r="AC92" i="16" s="1"/>
  <c r="AD92" i="16" s="1"/>
  <c r="AE92" i="16" s="1"/>
  <c r="AF92" i="16" s="1"/>
  <c r="F37" i="16"/>
  <c r="G37" i="16" s="1"/>
  <c r="H37" i="16" s="1"/>
  <c r="I37" i="16" s="1"/>
  <c r="J37" i="16" s="1"/>
  <c r="K37" i="16" s="1"/>
  <c r="L37" i="16" s="1"/>
  <c r="M37" i="16" s="1"/>
  <c r="N37" i="16" s="1"/>
  <c r="O37" i="16" s="1"/>
  <c r="P37" i="16" s="1"/>
  <c r="Q37" i="16" s="1"/>
  <c r="R37" i="16" s="1"/>
  <c r="S37" i="16" s="1"/>
  <c r="T37" i="16" s="1"/>
  <c r="U37" i="16" s="1"/>
  <c r="V37" i="16" s="1"/>
  <c r="W37" i="16" s="1"/>
  <c r="X37" i="16" s="1"/>
  <c r="Y37" i="16" s="1"/>
  <c r="Z37" i="16" s="1"/>
  <c r="AA37" i="16" s="1"/>
  <c r="AB37" i="16" s="1"/>
  <c r="AC37" i="16" s="1"/>
  <c r="AD37" i="16" s="1"/>
  <c r="AE37" i="16" s="1"/>
  <c r="AF37" i="16" s="1"/>
  <c r="E11" i="1"/>
  <c r="AF112" i="16" l="1" a="1"/>
  <c r="AF112" i="16" s="1"/>
  <c r="I31" i="18"/>
  <c r="B14" i="20"/>
  <c r="Y33" i="24"/>
  <c r="X33" i="24"/>
  <c r="W33" i="24"/>
  <c r="E16" i="64"/>
  <c r="D16" i="64"/>
  <c r="C16" i="64"/>
  <c r="E9" i="62"/>
  <c r="E10" i="62"/>
  <c r="E11" i="62"/>
  <c r="E12" i="62"/>
  <c r="E14" i="62"/>
  <c r="E15" i="62"/>
  <c r="D9" i="62"/>
  <c r="D26" i="62"/>
  <c r="I14" i="62"/>
  <c r="I10" i="62"/>
  <c r="G10" i="62"/>
  <c r="F9" i="62" l="1"/>
  <c r="G27" i="62"/>
  <c r="G26" i="62"/>
  <c r="G25" i="62"/>
  <c r="B14" i="61" l="1"/>
  <c r="D13" i="62"/>
  <c r="G13" i="62" s="1"/>
  <c r="F13" i="62"/>
  <c r="I13" i="62" l="1"/>
  <c r="E13" i="62"/>
  <c r="E16" i="62" s="1"/>
  <c r="J23" i="73"/>
  <c r="P15" i="73"/>
  <c r="H17" i="73"/>
  <c r="G17" i="73"/>
  <c r="F17" i="73"/>
  <c r="E17" i="73"/>
  <c r="E15" i="73"/>
  <c r="N21" i="59"/>
  <c r="O21" i="59"/>
  <c r="N22" i="59"/>
  <c r="O22" i="59"/>
  <c r="N23" i="59"/>
  <c r="O23" i="59"/>
  <c r="N24" i="59"/>
  <c r="O24" i="59"/>
  <c r="N25" i="59"/>
  <c r="O25" i="59"/>
  <c r="N26" i="59"/>
  <c r="O26" i="59"/>
  <c r="N27" i="59"/>
  <c r="O27" i="59"/>
  <c r="N28" i="59"/>
  <c r="O28" i="59"/>
  <c r="N29" i="59"/>
  <c r="O29" i="59"/>
  <c r="N30" i="59"/>
  <c r="O30" i="59"/>
  <c r="O20" i="59"/>
  <c r="N20" i="59"/>
  <c r="X148" i="73"/>
  <c r="Y148" i="73"/>
  <c r="Z148" i="73"/>
  <c r="AA148" i="73"/>
  <c r="AB148" i="73"/>
  <c r="AC148" i="73"/>
  <c r="AD148" i="73"/>
  <c r="AE148" i="73"/>
  <c r="R47" i="67" s="1"/>
  <c r="AF148" i="73"/>
  <c r="AG148" i="73"/>
  <c r="AH148" i="73"/>
  <c r="AI148" i="73"/>
  <c r="AJ148" i="73"/>
  <c r="AK148" i="73"/>
  <c r="AL148" i="73"/>
  <c r="AM148" i="73"/>
  <c r="Z47" i="67" s="1"/>
  <c r="AN148" i="73"/>
  <c r="AO148" i="73"/>
  <c r="AP148" i="73"/>
  <c r="AQ148" i="73"/>
  <c r="AR148" i="73"/>
  <c r="AS148" i="73"/>
  <c r="AT148" i="73"/>
  <c r="AU148" i="73"/>
  <c r="AH47" i="67" s="1"/>
  <c r="AV148" i="73"/>
  <c r="X149" i="73"/>
  <c r="Y149" i="73"/>
  <c r="Z149" i="73"/>
  <c r="AA149" i="73"/>
  <c r="AB149" i="73"/>
  <c r="AC149" i="73"/>
  <c r="AD149" i="73"/>
  <c r="AE149" i="73"/>
  <c r="AF149" i="73"/>
  <c r="AG149" i="73"/>
  <c r="AH149" i="73"/>
  <c r="AI149" i="73"/>
  <c r="AJ149" i="73"/>
  <c r="AK149" i="73"/>
  <c r="AL149" i="73"/>
  <c r="AM149" i="73"/>
  <c r="AN149" i="73"/>
  <c r="AO149" i="73"/>
  <c r="AP149" i="73"/>
  <c r="AQ149" i="73"/>
  <c r="AR149" i="73"/>
  <c r="AS149" i="73"/>
  <c r="AT149" i="73"/>
  <c r="AU149" i="73"/>
  <c r="AV149" i="73"/>
  <c r="X150" i="73"/>
  <c r="Y150" i="73"/>
  <c r="Z150" i="73"/>
  <c r="AA150" i="73"/>
  <c r="AB150" i="73"/>
  <c r="AC150" i="73"/>
  <c r="AD150" i="73"/>
  <c r="AE150" i="73"/>
  <c r="AF150" i="73"/>
  <c r="AG150" i="73"/>
  <c r="AH150" i="73"/>
  <c r="AI150" i="73"/>
  <c r="AJ150" i="73"/>
  <c r="AK150" i="73"/>
  <c r="AL150" i="73"/>
  <c r="AM150" i="73"/>
  <c r="AN150" i="73"/>
  <c r="AO150" i="73"/>
  <c r="AP150" i="73"/>
  <c r="AQ150" i="73"/>
  <c r="AR150" i="73"/>
  <c r="AS150" i="73"/>
  <c r="AT150" i="73"/>
  <c r="AU150" i="73"/>
  <c r="AV150" i="73"/>
  <c r="X151" i="73"/>
  <c r="Y151" i="73"/>
  <c r="Z151" i="73"/>
  <c r="AA151" i="73"/>
  <c r="AB151" i="73"/>
  <c r="AC151" i="73"/>
  <c r="AD151" i="73"/>
  <c r="AE151" i="73"/>
  <c r="AF151" i="73"/>
  <c r="AG151" i="73"/>
  <c r="AH151" i="73"/>
  <c r="AI151" i="73"/>
  <c r="AJ151" i="73"/>
  <c r="AK151" i="73"/>
  <c r="AL151" i="73"/>
  <c r="AM151" i="73"/>
  <c r="AN151" i="73"/>
  <c r="AO151" i="73"/>
  <c r="AP151" i="73"/>
  <c r="AQ151" i="73"/>
  <c r="AR151" i="73"/>
  <c r="AS151" i="73"/>
  <c r="AT151" i="73"/>
  <c r="AU151" i="73"/>
  <c r="AV151" i="73"/>
  <c r="X152" i="73"/>
  <c r="Y152" i="73"/>
  <c r="Z152" i="73"/>
  <c r="AA152" i="73"/>
  <c r="AB152" i="73"/>
  <c r="AC152" i="73"/>
  <c r="AD152" i="73"/>
  <c r="AE152" i="73"/>
  <c r="AF152" i="73"/>
  <c r="AG152" i="73"/>
  <c r="AH152" i="73"/>
  <c r="AI152" i="73"/>
  <c r="AJ152" i="73"/>
  <c r="AK152" i="73"/>
  <c r="AL152" i="73"/>
  <c r="AM152" i="73"/>
  <c r="AN152" i="73"/>
  <c r="AO152" i="73"/>
  <c r="AP152" i="73"/>
  <c r="AQ152" i="73"/>
  <c r="AR152" i="73"/>
  <c r="AS152" i="73"/>
  <c r="AT152" i="73"/>
  <c r="AU152" i="73"/>
  <c r="AV152" i="73"/>
  <c r="X153" i="73"/>
  <c r="Y153" i="73"/>
  <c r="Z153" i="73"/>
  <c r="AA153" i="73"/>
  <c r="AB153" i="73"/>
  <c r="AC153" i="73"/>
  <c r="AD153" i="73"/>
  <c r="AE153" i="73"/>
  <c r="AF153" i="73"/>
  <c r="AG153" i="73"/>
  <c r="AH153" i="73"/>
  <c r="AI153" i="73"/>
  <c r="AJ153" i="73"/>
  <c r="AK153" i="73"/>
  <c r="AL153" i="73"/>
  <c r="AM153" i="73"/>
  <c r="AN153" i="73"/>
  <c r="AO153" i="73"/>
  <c r="AP153" i="73"/>
  <c r="AQ153" i="73"/>
  <c r="AR153" i="73"/>
  <c r="AS153" i="73"/>
  <c r="AT153" i="73"/>
  <c r="AU153" i="73"/>
  <c r="AV153" i="73"/>
  <c r="X154" i="73"/>
  <c r="Y154" i="73"/>
  <c r="Z154" i="73"/>
  <c r="AA154" i="73"/>
  <c r="AB154" i="73"/>
  <c r="AC154" i="73"/>
  <c r="AD154" i="73"/>
  <c r="AE154" i="73"/>
  <c r="AF154" i="73"/>
  <c r="AG154" i="73"/>
  <c r="AH154" i="73"/>
  <c r="AI154" i="73"/>
  <c r="AJ154" i="73"/>
  <c r="AK154" i="73"/>
  <c r="AL154" i="73"/>
  <c r="AM154" i="73"/>
  <c r="AN154" i="73"/>
  <c r="AO154" i="73"/>
  <c r="AP154" i="73"/>
  <c r="AQ154" i="73"/>
  <c r="AR154" i="73"/>
  <c r="AS154" i="73"/>
  <c r="AT154" i="73"/>
  <c r="AU154" i="73"/>
  <c r="AV154" i="73"/>
  <c r="X155" i="73"/>
  <c r="Y155" i="73"/>
  <c r="Z155" i="73"/>
  <c r="AA155" i="73"/>
  <c r="AB155" i="73"/>
  <c r="AC155" i="73"/>
  <c r="AD155" i="73"/>
  <c r="AE155" i="73"/>
  <c r="AF155" i="73"/>
  <c r="AG155" i="73"/>
  <c r="AH155" i="73"/>
  <c r="AI155" i="73"/>
  <c r="AJ155" i="73"/>
  <c r="AK155" i="73"/>
  <c r="AL155" i="73"/>
  <c r="AM155" i="73"/>
  <c r="AN155" i="73"/>
  <c r="AO155" i="73"/>
  <c r="AP155" i="73"/>
  <c r="AQ155" i="73"/>
  <c r="AR155" i="73"/>
  <c r="AS155" i="73"/>
  <c r="AT155" i="73"/>
  <c r="AU155" i="73"/>
  <c r="AV155" i="73"/>
  <c r="X156" i="73"/>
  <c r="Y156" i="73"/>
  <c r="Z156" i="73"/>
  <c r="AA156" i="73"/>
  <c r="AB156" i="73"/>
  <c r="AC156" i="73"/>
  <c r="AD156" i="73"/>
  <c r="AE156" i="73"/>
  <c r="AF156" i="73"/>
  <c r="AG156" i="73"/>
  <c r="AH156" i="73"/>
  <c r="AI156" i="73"/>
  <c r="AJ156" i="73"/>
  <c r="AK156" i="73"/>
  <c r="AL156" i="73"/>
  <c r="AM156" i="73"/>
  <c r="AN156" i="73"/>
  <c r="AO156" i="73"/>
  <c r="AP156" i="73"/>
  <c r="AQ156" i="73"/>
  <c r="AR156" i="73"/>
  <c r="AS156" i="73"/>
  <c r="AT156" i="73"/>
  <c r="AU156" i="73"/>
  <c r="AV156" i="73"/>
  <c r="X157" i="73"/>
  <c r="Y157" i="73"/>
  <c r="Z157" i="73"/>
  <c r="AA157" i="73"/>
  <c r="AB157" i="73"/>
  <c r="AC157" i="73"/>
  <c r="AD157" i="73"/>
  <c r="Q62" i="67" s="1"/>
  <c r="Q63" i="67" s="1"/>
  <c r="AE157" i="73"/>
  <c r="AF157" i="73"/>
  <c r="AG157" i="73"/>
  <c r="AH157" i="73"/>
  <c r="AI157" i="73"/>
  <c r="AJ157" i="73"/>
  <c r="AK157" i="73"/>
  <c r="AL157" i="73"/>
  <c r="Y62" i="67" s="1"/>
  <c r="Y63" i="67" s="1"/>
  <c r="AM157" i="73"/>
  <c r="AN157" i="73"/>
  <c r="AO157" i="73"/>
  <c r="AP157" i="73"/>
  <c r="AQ157" i="73"/>
  <c r="AR157" i="73"/>
  <c r="AS157" i="73"/>
  <c r="AT157" i="73"/>
  <c r="AG62" i="67" s="1"/>
  <c r="AG63" i="67" s="1"/>
  <c r="AU157" i="73"/>
  <c r="AV157" i="73"/>
  <c r="X158" i="73"/>
  <c r="Y158" i="73"/>
  <c r="Z158" i="73"/>
  <c r="AA158" i="73"/>
  <c r="AB158" i="73"/>
  <c r="AC158" i="73"/>
  <c r="P64" i="67" s="1"/>
  <c r="P65" i="67" s="1"/>
  <c r="AD158" i="73"/>
  <c r="AE158" i="73"/>
  <c r="AF158" i="73"/>
  <c r="AG158" i="73"/>
  <c r="AH158" i="73"/>
  <c r="AI158" i="73"/>
  <c r="AJ158" i="73"/>
  <c r="AK158" i="73"/>
  <c r="X64" i="67" s="1"/>
  <c r="X65" i="67" s="1"/>
  <c r="AL158" i="73"/>
  <c r="AM158" i="73"/>
  <c r="AN158" i="73"/>
  <c r="AO158" i="73"/>
  <c r="AP158" i="73"/>
  <c r="AQ158" i="73"/>
  <c r="AR158" i="73"/>
  <c r="AS158" i="73"/>
  <c r="AF64" i="67" s="1"/>
  <c r="AF65" i="67" s="1"/>
  <c r="AT158" i="73"/>
  <c r="AU158" i="73"/>
  <c r="AV158" i="73"/>
  <c r="X159" i="73"/>
  <c r="Y159" i="73"/>
  <c r="Z159" i="73"/>
  <c r="AA159" i="73"/>
  <c r="AB159" i="73"/>
  <c r="O50" i="67" s="1"/>
  <c r="AC159" i="73"/>
  <c r="AD159" i="73"/>
  <c r="AE159" i="73"/>
  <c r="AF159" i="73"/>
  <c r="AG159" i="73"/>
  <c r="AH159" i="73"/>
  <c r="AI159" i="73"/>
  <c r="AJ159" i="73"/>
  <c r="W50" i="67" s="1"/>
  <c r="AK159" i="73"/>
  <c r="AL159" i="73"/>
  <c r="AM159" i="73"/>
  <c r="AN159" i="73"/>
  <c r="AO159" i="73"/>
  <c r="AP159" i="73"/>
  <c r="AQ159" i="73"/>
  <c r="AR159" i="73"/>
  <c r="AE50" i="67" s="1"/>
  <c r="AS159" i="73"/>
  <c r="AT159" i="73"/>
  <c r="AU159" i="73"/>
  <c r="AV159" i="73"/>
  <c r="X160" i="73"/>
  <c r="Y160" i="73"/>
  <c r="Z160" i="73"/>
  <c r="AA160" i="73"/>
  <c r="N51" i="67" s="1"/>
  <c r="AB160" i="73"/>
  <c r="AC160" i="73"/>
  <c r="AD160" i="73"/>
  <c r="AE160" i="73"/>
  <c r="AF160" i="73"/>
  <c r="AG160" i="73"/>
  <c r="AH160" i="73"/>
  <c r="AI160" i="73"/>
  <c r="V51" i="67" s="1"/>
  <c r="AJ160" i="73"/>
  <c r="AK160" i="73"/>
  <c r="AL160" i="73"/>
  <c r="AM160" i="73"/>
  <c r="AN160" i="73"/>
  <c r="AO160" i="73"/>
  <c r="AP160" i="73"/>
  <c r="AQ160" i="73"/>
  <c r="AD51" i="67" s="1"/>
  <c r="AR160" i="73"/>
  <c r="AS160" i="73"/>
  <c r="AT160" i="73"/>
  <c r="AU160" i="73"/>
  <c r="AV160" i="73"/>
  <c r="X161" i="73"/>
  <c r="Y161" i="73"/>
  <c r="Z161" i="73"/>
  <c r="M52" i="67" s="1"/>
  <c r="AA161" i="73"/>
  <c r="AB161" i="73"/>
  <c r="AC161" i="73"/>
  <c r="AD161" i="73"/>
  <c r="AE161" i="73"/>
  <c r="AF161" i="73"/>
  <c r="AG161" i="73"/>
  <c r="AH161" i="73"/>
  <c r="U52" i="67" s="1"/>
  <c r="AI161" i="73"/>
  <c r="AJ161" i="73"/>
  <c r="AK161" i="73"/>
  <c r="AL161" i="73"/>
  <c r="AM161" i="73"/>
  <c r="AN161" i="73"/>
  <c r="AO161" i="73"/>
  <c r="AP161" i="73"/>
  <c r="AC52" i="67" s="1"/>
  <c r="AQ161" i="73"/>
  <c r="AR161" i="73"/>
  <c r="AS161" i="73"/>
  <c r="AT161" i="73"/>
  <c r="AU161" i="73"/>
  <c r="AV161" i="73"/>
  <c r="X162" i="73"/>
  <c r="Y162" i="73"/>
  <c r="L54" i="67" s="1"/>
  <c r="Z162" i="73"/>
  <c r="AA162" i="73"/>
  <c r="AB162" i="73"/>
  <c r="AC162" i="73"/>
  <c r="AD162" i="73"/>
  <c r="AE162" i="73"/>
  <c r="AF162" i="73"/>
  <c r="AG162" i="73"/>
  <c r="T54" i="67" s="1"/>
  <c r="AH162" i="73"/>
  <c r="AI162" i="73"/>
  <c r="AJ162" i="73"/>
  <c r="AK162" i="73"/>
  <c r="AL162" i="73"/>
  <c r="AM162" i="73"/>
  <c r="AN162" i="73"/>
  <c r="AO162" i="73"/>
  <c r="AB54" i="67" s="1"/>
  <c r="AP162" i="73"/>
  <c r="AQ162" i="73"/>
  <c r="AR162" i="73"/>
  <c r="AS162" i="73"/>
  <c r="AT162" i="73"/>
  <c r="AU162" i="73"/>
  <c r="AV162" i="73"/>
  <c r="X163" i="73"/>
  <c r="K60" i="67" s="1"/>
  <c r="Y163" i="73"/>
  <c r="Z163" i="73"/>
  <c r="M60" i="67" s="1"/>
  <c r="AA163" i="73"/>
  <c r="AB163" i="73"/>
  <c r="AC163" i="73"/>
  <c r="AD163" i="73"/>
  <c r="Q60" i="67" s="1"/>
  <c r="AE163" i="73"/>
  <c r="AF163" i="73"/>
  <c r="S60" i="67" s="1"/>
  <c r="AG163" i="73"/>
  <c r="AH163" i="73"/>
  <c r="U60" i="67" s="1"/>
  <c r="AI163" i="73"/>
  <c r="AJ163" i="73"/>
  <c r="AK163" i="73"/>
  <c r="AL163" i="73"/>
  <c r="Y60" i="67" s="1"/>
  <c r="AM163" i="73"/>
  <c r="AN163" i="73"/>
  <c r="AA60" i="67" s="1"/>
  <c r="AO163" i="73"/>
  <c r="AP163" i="73"/>
  <c r="AC60" i="67" s="1"/>
  <c r="AQ163" i="73"/>
  <c r="AR163" i="73"/>
  <c r="AS163" i="73"/>
  <c r="AT163" i="73"/>
  <c r="AG60" i="67" s="1"/>
  <c r="AU163" i="73"/>
  <c r="AV163" i="73"/>
  <c r="AI60" i="67" s="1"/>
  <c r="X164" i="73"/>
  <c r="K58" i="67" s="1"/>
  <c r="Y164" i="73"/>
  <c r="Z164" i="73"/>
  <c r="AA164" i="73"/>
  <c r="AB164" i="73"/>
  <c r="AC164" i="73"/>
  <c r="AD164" i="73"/>
  <c r="AE164" i="73"/>
  <c r="AF164" i="73"/>
  <c r="AG164" i="73"/>
  <c r="AH164" i="73"/>
  <c r="AI164" i="73"/>
  <c r="AJ164" i="73"/>
  <c r="AK164" i="73"/>
  <c r="AL164" i="73"/>
  <c r="AM164" i="73"/>
  <c r="AN164" i="73"/>
  <c r="AO164" i="73"/>
  <c r="AP164" i="73"/>
  <c r="AQ164" i="73"/>
  <c r="AR164" i="73"/>
  <c r="AS164" i="73"/>
  <c r="AT164" i="73"/>
  <c r="AU164" i="73"/>
  <c r="AV164" i="73"/>
  <c r="X165" i="73"/>
  <c r="K53" i="67" s="1"/>
  <c r="Y165" i="73"/>
  <c r="Z165" i="73"/>
  <c r="AA165" i="73"/>
  <c r="N53" i="67" s="1"/>
  <c r="AB165" i="73"/>
  <c r="AC165" i="73"/>
  <c r="AD165" i="73"/>
  <c r="AE165" i="73"/>
  <c r="R53" i="67" s="1"/>
  <c r="AF165" i="73"/>
  <c r="AG165" i="73"/>
  <c r="AH165" i="73"/>
  <c r="AI165" i="73"/>
  <c r="V53" i="67" s="1"/>
  <c r="AJ165" i="73"/>
  <c r="AK165" i="73"/>
  <c r="AL165" i="73"/>
  <c r="AM165" i="73"/>
  <c r="Z53" i="67" s="1"/>
  <c r="AN165" i="73"/>
  <c r="AO165" i="73"/>
  <c r="AP165" i="73"/>
  <c r="AQ165" i="73"/>
  <c r="AD53" i="67" s="1"/>
  <c r="AR165" i="73"/>
  <c r="AS165" i="73"/>
  <c r="AT165" i="73"/>
  <c r="AU165" i="73"/>
  <c r="AH53" i="67" s="1"/>
  <c r="AV165" i="73"/>
  <c r="X166" i="73"/>
  <c r="Y166" i="73"/>
  <c r="Z166" i="73"/>
  <c r="AA166" i="73"/>
  <c r="AB166" i="73"/>
  <c r="AC166" i="73"/>
  <c r="AD166" i="73"/>
  <c r="AE166" i="73"/>
  <c r="AF166" i="73"/>
  <c r="AG166" i="73"/>
  <c r="AH166" i="73"/>
  <c r="AI166" i="73"/>
  <c r="AJ166" i="73"/>
  <c r="AK166" i="73"/>
  <c r="AL166" i="73"/>
  <c r="AM166" i="73"/>
  <c r="AN166" i="73"/>
  <c r="AO166" i="73"/>
  <c r="AP166" i="73"/>
  <c r="AQ166" i="73"/>
  <c r="AR166" i="73"/>
  <c r="AS166" i="73"/>
  <c r="AT166" i="73"/>
  <c r="AU166" i="73"/>
  <c r="AV166" i="73"/>
  <c r="X167" i="73"/>
  <c r="Y167" i="73"/>
  <c r="Z167" i="73"/>
  <c r="AA167" i="73"/>
  <c r="AB167" i="73"/>
  <c r="AC167" i="73"/>
  <c r="AD167" i="73"/>
  <c r="AE167" i="73"/>
  <c r="AF167" i="73"/>
  <c r="AG167" i="73"/>
  <c r="AH167" i="73"/>
  <c r="AI167" i="73"/>
  <c r="AJ167" i="73"/>
  <c r="AK167" i="73"/>
  <c r="AL167" i="73"/>
  <c r="AM167" i="73"/>
  <c r="AN167" i="73"/>
  <c r="AO167" i="73"/>
  <c r="AP167" i="73"/>
  <c r="AQ167" i="73"/>
  <c r="AR167" i="73"/>
  <c r="AS167" i="73"/>
  <c r="AT167" i="73"/>
  <c r="AU167" i="73"/>
  <c r="AV167" i="73"/>
  <c r="W150" i="73"/>
  <c r="W151" i="73"/>
  <c r="W152" i="73"/>
  <c r="W153" i="73"/>
  <c r="W154" i="73"/>
  <c r="W155" i="73"/>
  <c r="W156" i="73"/>
  <c r="J61" i="67" s="1"/>
  <c r="W157" i="73"/>
  <c r="W158" i="73"/>
  <c r="W159" i="73"/>
  <c r="W160" i="73"/>
  <c r="W161" i="73"/>
  <c r="W162" i="73"/>
  <c r="W163" i="73"/>
  <c r="W164" i="73"/>
  <c r="W165" i="73"/>
  <c r="W166" i="73"/>
  <c r="W167" i="73"/>
  <c r="W149" i="73"/>
  <c r="W148" i="73"/>
  <c r="AY130" i="73"/>
  <c r="AY128" i="73"/>
  <c r="AY126" i="73"/>
  <c r="X104" i="73"/>
  <c r="Y104" i="73"/>
  <c r="Z104" i="73"/>
  <c r="AA104" i="73"/>
  <c r="AB104" i="73"/>
  <c r="AC104" i="73"/>
  <c r="AD104" i="73"/>
  <c r="AE104" i="73"/>
  <c r="AF104" i="73"/>
  <c r="AG104" i="73"/>
  <c r="AH104" i="73"/>
  <c r="AI104" i="73"/>
  <c r="AJ104" i="73"/>
  <c r="AK104" i="73"/>
  <c r="AL104" i="73"/>
  <c r="AM104" i="73"/>
  <c r="AN104" i="73"/>
  <c r="AO104" i="73"/>
  <c r="AP104" i="73"/>
  <c r="AQ104" i="73"/>
  <c r="AR104" i="73"/>
  <c r="AS104" i="73"/>
  <c r="AT104" i="73"/>
  <c r="AU104" i="73"/>
  <c r="AV104" i="73"/>
  <c r="X105" i="73"/>
  <c r="Y105" i="73"/>
  <c r="Z105" i="73"/>
  <c r="AA105" i="73"/>
  <c r="AB105" i="73"/>
  <c r="AC105" i="73"/>
  <c r="AD105" i="73"/>
  <c r="AE105" i="73"/>
  <c r="AF105" i="73"/>
  <c r="AG105" i="73"/>
  <c r="AH105" i="73"/>
  <c r="AI105" i="73"/>
  <c r="AJ105" i="73"/>
  <c r="AK105" i="73"/>
  <c r="AL105" i="73"/>
  <c r="AM105" i="73"/>
  <c r="AN105" i="73"/>
  <c r="AO105" i="73"/>
  <c r="AP105" i="73"/>
  <c r="AQ105" i="73"/>
  <c r="AR105" i="73"/>
  <c r="AS105" i="73"/>
  <c r="AT105" i="73"/>
  <c r="AU105" i="73"/>
  <c r="AV105" i="73"/>
  <c r="X106" i="73"/>
  <c r="Y106" i="73"/>
  <c r="Z106" i="73"/>
  <c r="AA106" i="73"/>
  <c r="AB106" i="73"/>
  <c r="AC106" i="73"/>
  <c r="AD106" i="73"/>
  <c r="AE106" i="73"/>
  <c r="AF106" i="73"/>
  <c r="AG106" i="73"/>
  <c r="AH106" i="73"/>
  <c r="AI106" i="73"/>
  <c r="AJ106" i="73"/>
  <c r="AK106" i="73"/>
  <c r="AL106" i="73"/>
  <c r="AM106" i="73"/>
  <c r="AN106" i="73"/>
  <c r="AO106" i="73"/>
  <c r="AP106" i="73"/>
  <c r="AQ106" i="73"/>
  <c r="AR106" i="73"/>
  <c r="AS106" i="73"/>
  <c r="AT106" i="73"/>
  <c r="AU106" i="73"/>
  <c r="AV106" i="73"/>
  <c r="X107" i="73"/>
  <c r="Y107" i="73"/>
  <c r="Z107" i="73"/>
  <c r="AA107" i="73"/>
  <c r="AB107" i="73"/>
  <c r="AC107" i="73"/>
  <c r="AD107" i="73"/>
  <c r="AE107" i="73"/>
  <c r="AF107" i="73"/>
  <c r="AG107" i="73"/>
  <c r="AH107" i="73"/>
  <c r="AI107" i="73"/>
  <c r="AJ107" i="73"/>
  <c r="AK107" i="73"/>
  <c r="AL107" i="73"/>
  <c r="AM107" i="73"/>
  <c r="AN107" i="73"/>
  <c r="AO107" i="73"/>
  <c r="AP107" i="73"/>
  <c r="AQ107" i="73"/>
  <c r="AR107" i="73"/>
  <c r="AS107" i="73"/>
  <c r="AT107" i="73"/>
  <c r="AU107" i="73"/>
  <c r="AV107" i="73"/>
  <c r="X108" i="73"/>
  <c r="Y108" i="73"/>
  <c r="Z108" i="73"/>
  <c r="AA108" i="73"/>
  <c r="AB108" i="73"/>
  <c r="AC108" i="73"/>
  <c r="AD108" i="73"/>
  <c r="AE108" i="73"/>
  <c r="AF108" i="73"/>
  <c r="AG108" i="73"/>
  <c r="AH108" i="73"/>
  <c r="AI108" i="73"/>
  <c r="AJ108" i="73"/>
  <c r="AK108" i="73"/>
  <c r="AL108" i="73"/>
  <c r="AM108" i="73"/>
  <c r="AN108" i="73"/>
  <c r="AO108" i="73"/>
  <c r="AP108" i="73"/>
  <c r="AQ108" i="73"/>
  <c r="AR108" i="73"/>
  <c r="AS108" i="73"/>
  <c r="AT108" i="73"/>
  <c r="AU108" i="73"/>
  <c r="AV108" i="73"/>
  <c r="X109" i="73"/>
  <c r="Y109" i="73"/>
  <c r="Z109" i="73"/>
  <c r="AA109" i="73"/>
  <c r="AB109" i="73"/>
  <c r="AC109" i="73"/>
  <c r="AD109" i="73"/>
  <c r="AE109" i="73"/>
  <c r="AF109" i="73"/>
  <c r="AG109" i="73"/>
  <c r="AH109" i="73"/>
  <c r="AI109" i="73"/>
  <c r="AJ109" i="73"/>
  <c r="AK109" i="73"/>
  <c r="AL109" i="73"/>
  <c r="AM109" i="73"/>
  <c r="AN109" i="73"/>
  <c r="AO109" i="73"/>
  <c r="AP109" i="73"/>
  <c r="AQ109" i="73"/>
  <c r="AR109" i="73"/>
  <c r="AS109" i="73"/>
  <c r="AT109" i="73"/>
  <c r="AU109" i="73"/>
  <c r="AV109" i="73"/>
  <c r="X110" i="73"/>
  <c r="Y110" i="73"/>
  <c r="Z110" i="73"/>
  <c r="AA110" i="73"/>
  <c r="AB110" i="73"/>
  <c r="AC110" i="73"/>
  <c r="AD110" i="73"/>
  <c r="AE110" i="73"/>
  <c r="AF110" i="73"/>
  <c r="AG110" i="73"/>
  <c r="AH110" i="73"/>
  <c r="AI110" i="73"/>
  <c r="AJ110" i="73"/>
  <c r="AK110" i="73"/>
  <c r="AL110" i="73"/>
  <c r="AM110" i="73"/>
  <c r="AN110" i="73"/>
  <c r="AO110" i="73"/>
  <c r="AP110" i="73"/>
  <c r="AQ110" i="73"/>
  <c r="AR110" i="73"/>
  <c r="AS110" i="73"/>
  <c r="AT110" i="73"/>
  <c r="AU110" i="73"/>
  <c r="AV110" i="73"/>
  <c r="X111" i="73"/>
  <c r="Y111" i="73"/>
  <c r="Z111" i="73"/>
  <c r="AA111" i="73"/>
  <c r="AB111" i="73"/>
  <c r="AC111" i="73"/>
  <c r="AD111" i="73"/>
  <c r="AE111" i="73"/>
  <c r="AF111" i="73"/>
  <c r="AG111" i="73"/>
  <c r="AH111" i="73"/>
  <c r="AI111" i="73"/>
  <c r="AJ111" i="73"/>
  <c r="AK111" i="73"/>
  <c r="AL111" i="73"/>
  <c r="AM111" i="73"/>
  <c r="AN111" i="73"/>
  <c r="AO111" i="73"/>
  <c r="AP111" i="73"/>
  <c r="AQ111" i="73"/>
  <c r="AR111" i="73"/>
  <c r="AS111" i="73"/>
  <c r="AT111" i="73"/>
  <c r="AU111" i="73"/>
  <c r="AV111" i="73"/>
  <c r="X112" i="73"/>
  <c r="Y112" i="73"/>
  <c r="Z112" i="73"/>
  <c r="AA112" i="73"/>
  <c r="AB112" i="73"/>
  <c r="AC112" i="73"/>
  <c r="AD112" i="73"/>
  <c r="Q41" i="67" s="1"/>
  <c r="AE112" i="73"/>
  <c r="AF112" i="73"/>
  <c r="AG112" i="73"/>
  <c r="AH112" i="73"/>
  <c r="AI112" i="73"/>
  <c r="AJ112" i="73"/>
  <c r="AK112" i="73"/>
  <c r="AL112" i="73"/>
  <c r="Y41" i="67" s="1"/>
  <c r="AM112" i="73"/>
  <c r="AN112" i="73"/>
  <c r="AO112" i="73"/>
  <c r="AP112" i="73"/>
  <c r="AQ112" i="73"/>
  <c r="AR112" i="73"/>
  <c r="AS112" i="73"/>
  <c r="AT112" i="73"/>
  <c r="AG41" i="67" s="1"/>
  <c r="AU112" i="73"/>
  <c r="AV112" i="73"/>
  <c r="X113" i="73"/>
  <c r="Y113" i="73"/>
  <c r="Z113" i="73"/>
  <c r="AA113" i="73"/>
  <c r="AB113" i="73"/>
  <c r="AC113" i="73"/>
  <c r="P42" i="67" s="1"/>
  <c r="P43" i="67" s="1"/>
  <c r="AD113" i="73"/>
  <c r="AE113" i="73"/>
  <c r="AF113" i="73"/>
  <c r="AG113" i="73"/>
  <c r="AH113" i="73"/>
  <c r="AI113" i="73"/>
  <c r="AJ113" i="73"/>
  <c r="AK113" i="73"/>
  <c r="X42" i="67" s="1"/>
  <c r="X43" i="67" s="1"/>
  <c r="AL113" i="73"/>
  <c r="AM113" i="73"/>
  <c r="AN113" i="73"/>
  <c r="AO113" i="73"/>
  <c r="AP113" i="73"/>
  <c r="AQ113" i="73"/>
  <c r="AR113" i="73"/>
  <c r="AS113" i="73"/>
  <c r="AF42" i="67" s="1"/>
  <c r="AF43" i="67" s="1"/>
  <c r="AT113" i="73"/>
  <c r="AU113" i="73"/>
  <c r="AV113" i="73"/>
  <c r="X114" i="73"/>
  <c r="Y114" i="73"/>
  <c r="Z114" i="73"/>
  <c r="AA114" i="73"/>
  <c r="AB114" i="73"/>
  <c r="O44" i="67" s="1"/>
  <c r="O45" i="67" s="1"/>
  <c r="AC114" i="73"/>
  <c r="AD114" i="73"/>
  <c r="AE114" i="73"/>
  <c r="AF114" i="73"/>
  <c r="AG114" i="73"/>
  <c r="AH114" i="73"/>
  <c r="AI114" i="73"/>
  <c r="AJ114" i="73"/>
  <c r="W44" i="67" s="1"/>
  <c r="W45" i="67" s="1"/>
  <c r="AK114" i="73"/>
  <c r="AL114" i="73"/>
  <c r="AM114" i="73"/>
  <c r="AN114" i="73"/>
  <c r="AO114" i="73"/>
  <c r="AP114" i="73"/>
  <c r="AQ114" i="73"/>
  <c r="AR114" i="73"/>
  <c r="AE44" i="67" s="1"/>
  <c r="AE45" i="67" s="1"/>
  <c r="AS114" i="73"/>
  <c r="AT114" i="73"/>
  <c r="AU114" i="73"/>
  <c r="AV114" i="73"/>
  <c r="X115" i="73"/>
  <c r="Y115" i="73"/>
  <c r="Z115" i="73"/>
  <c r="AA115" i="73"/>
  <c r="N30" i="67" s="1"/>
  <c r="AB115" i="73"/>
  <c r="AC115" i="73"/>
  <c r="AD115" i="73"/>
  <c r="AE115" i="73"/>
  <c r="AF115" i="73"/>
  <c r="AG115" i="73"/>
  <c r="AH115" i="73"/>
  <c r="AI115" i="73"/>
  <c r="V30" i="67" s="1"/>
  <c r="AJ115" i="73"/>
  <c r="AK115" i="73"/>
  <c r="AL115" i="73"/>
  <c r="AM115" i="73"/>
  <c r="AN115" i="73"/>
  <c r="AO115" i="73"/>
  <c r="AP115" i="73"/>
  <c r="AQ115" i="73"/>
  <c r="AD30" i="67" s="1"/>
  <c r="AR115" i="73"/>
  <c r="AS115" i="73"/>
  <c r="AT115" i="73"/>
  <c r="AU115" i="73"/>
  <c r="AV115" i="73"/>
  <c r="X116" i="73"/>
  <c r="Y116" i="73"/>
  <c r="Z116" i="73"/>
  <c r="AA116" i="73"/>
  <c r="AB116" i="73"/>
  <c r="AC116" i="73"/>
  <c r="AD116" i="73"/>
  <c r="AE116" i="73"/>
  <c r="AF116" i="73"/>
  <c r="AG116" i="73"/>
  <c r="AH116" i="73"/>
  <c r="AI116" i="73"/>
  <c r="AJ116" i="73"/>
  <c r="AK116" i="73"/>
  <c r="AL116" i="73"/>
  <c r="AM116" i="73"/>
  <c r="AN116" i="73"/>
  <c r="AO116" i="73"/>
  <c r="AP116" i="73"/>
  <c r="AQ116" i="73"/>
  <c r="AR116" i="73"/>
  <c r="AS116" i="73"/>
  <c r="AT116" i="73"/>
  <c r="AU116" i="73"/>
  <c r="AV116" i="73"/>
  <c r="X117" i="73"/>
  <c r="Y117" i="73"/>
  <c r="L32" i="67" s="1"/>
  <c r="Z117" i="73"/>
  <c r="AA117" i="73"/>
  <c r="AB117" i="73"/>
  <c r="AC117" i="73"/>
  <c r="AD117" i="73"/>
  <c r="AE117" i="73"/>
  <c r="AF117" i="73"/>
  <c r="AG117" i="73"/>
  <c r="T32" i="67" s="1"/>
  <c r="AH117" i="73"/>
  <c r="AI117" i="73"/>
  <c r="AJ117" i="73"/>
  <c r="AK117" i="73"/>
  <c r="AL117" i="73"/>
  <c r="AM117" i="73"/>
  <c r="AN117" i="73"/>
  <c r="AO117" i="73"/>
  <c r="AB32" i="67" s="1"/>
  <c r="AP117" i="73"/>
  <c r="AQ117" i="73"/>
  <c r="AR117" i="73"/>
  <c r="AS117" i="73"/>
  <c r="AT117" i="73"/>
  <c r="AU117" i="73"/>
  <c r="AV117" i="73"/>
  <c r="X118" i="73"/>
  <c r="K34" i="67" s="1"/>
  <c r="Y118" i="73"/>
  <c r="Z118" i="73"/>
  <c r="AA118" i="73"/>
  <c r="AB118" i="73"/>
  <c r="AC118" i="73"/>
  <c r="AD118" i="73"/>
  <c r="AE118" i="73"/>
  <c r="AF118" i="73"/>
  <c r="S34" i="67" s="1"/>
  <c r="AG118" i="73"/>
  <c r="AH118" i="73"/>
  <c r="AI118" i="73"/>
  <c r="AJ118" i="73"/>
  <c r="AK118" i="73"/>
  <c r="AL118" i="73"/>
  <c r="AM118" i="73"/>
  <c r="AN118" i="73"/>
  <c r="AA34" i="67" s="1"/>
  <c r="AO118" i="73"/>
  <c r="AP118" i="73"/>
  <c r="AQ118" i="73"/>
  <c r="AR118" i="73"/>
  <c r="AS118" i="73"/>
  <c r="AT118" i="73"/>
  <c r="AU118" i="73"/>
  <c r="AV118" i="73"/>
  <c r="AI34" i="67" s="1"/>
  <c r="X119" i="73"/>
  <c r="Y119" i="73"/>
  <c r="Z119" i="73"/>
  <c r="AA119" i="73"/>
  <c r="AB119" i="73"/>
  <c r="AC119" i="73"/>
  <c r="AD119" i="73"/>
  <c r="AE119" i="73"/>
  <c r="R40" i="67" s="1"/>
  <c r="AF119" i="73"/>
  <c r="AG119" i="73"/>
  <c r="AH119" i="73"/>
  <c r="AI119" i="73"/>
  <c r="AJ119" i="73"/>
  <c r="AK119" i="73"/>
  <c r="AL119" i="73"/>
  <c r="AM119" i="73"/>
  <c r="Z40" i="67" s="1"/>
  <c r="AN119" i="73"/>
  <c r="AO119" i="73"/>
  <c r="AP119" i="73"/>
  <c r="AQ119" i="73"/>
  <c r="AR119" i="73"/>
  <c r="AS119" i="73"/>
  <c r="AT119" i="73"/>
  <c r="AU119" i="73"/>
  <c r="AH40" i="67" s="1"/>
  <c r="AV119" i="73"/>
  <c r="X120" i="73"/>
  <c r="Y120" i="73"/>
  <c r="Z120" i="73"/>
  <c r="AA120" i="73"/>
  <c r="N38" i="67" s="1"/>
  <c r="AB120" i="73"/>
  <c r="AC120" i="73"/>
  <c r="AD120" i="73"/>
  <c r="Q38" i="67" s="1"/>
  <c r="AE120" i="73"/>
  <c r="AF120" i="73"/>
  <c r="AG120" i="73"/>
  <c r="AH120" i="73"/>
  <c r="AI120" i="73"/>
  <c r="V38" i="67" s="1"/>
  <c r="AJ120" i="73"/>
  <c r="AK120" i="73"/>
  <c r="AL120" i="73"/>
  <c r="Y38" i="67" s="1"/>
  <c r="AM120" i="73"/>
  <c r="AN120" i="73"/>
  <c r="AO120" i="73"/>
  <c r="AP120" i="73"/>
  <c r="AQ120" i="73"/>
  <c r="AD38" i="67" s="1"/>
  <c r="AR120" i="73"/>
  <c r="AS120" i="73"/>
  <c r="AT120" i="73"/>
  <c r="AG38" i="67" s="1"/>
  <c r="AU120" i="73"/>
  <c r="AV120" i="73"/>
  <c r="X121" i="73"/>
  <c r="Y121" i="73"/>
  <c r="Z121" i="73"/>
  <c r="M33" i="67" s="1"/>
  <c r="AA121" i="73"/>
  <c r="AB121" i="73"/>
  <c r="AC121" i="73"/>
  <c r="P33" i="67" s="1"/>
  <c r="AD121" i="73"/>
  <c r="AE121" i="73"/>
  <c r="AF121" i="73"/>
  <c r="AG121" i="73"/>
  <c r="AI121" i="73"/>
  <c r="AJ121" i="73"/>
  <c r="AK121" i="73"/>
  <c r="AL121" i="73"/>
  <c r="AM121" i="73"/>
  <c r="AN121" i="73"/>
  <c r="AO121" i="73"/>
  <c r="AP121" i="73"/>
  <c r="AQ121" i="73"/>
  <c r="AR121" i="73"/>
  <c r="AS121" i="73"/>
  <c r="AT121" i="73"/>
  <c r="AU121" i="73"/>
  <c r="AV121" i="73"/>
  <c r="X122" i="73"/>
  <c r="Y122" i="73"/>
  <c r="Z122" i="73"/>
  <c r="AA122" i="73"/>
  <c r="AB122" i="73"/>
  <c r="AC122" i="73"/>
  <c r="AD122" i="73"/>
  <c r="AE122" i="73"/>
  <c r="AF122" i="73"/>
  <c r="AG122" i="73"/>
  <c r="AH122" i="73"/>
  <c r="AI122" i="73"/>
  <c r="AJ122" i="73"/>
  <c r="AK122" i="73"/>
  <c r="AL122" i="73"/>
  <c r="AM122" i="73"/>
  <c r="AN122" i="73"/>
  <c r="AO122" i="73"/>
  <c r="AP122" i="73"/>
  <c r="AQ122" i="73"/>
  <c r="AR122" i="73"/>
  <c r="AS122" i="73"/>
  <c r="AT122" i="73"/>
  <c r="AU122" i="73"/>
  <c r="AV122" i="73"/>
  <c r="X123" i="73"/>
  <c r="K39" i="67" s="1"/>
  <c r="Y123" i="73"/>
  <c r="Z123" i="73"/>
  <c r="AA123" i="73"/>
  <c r="N39" i="67" s="1"/>
  <c r="AB123" i="73"/>
  <c r="O39" i="67" s="1"/>
  <c r="AC123" i="73"/>
  <c r="P39" i="67" s="1"/>
  <c r="AD123" i="73"/>
  <c r="AE123" i="73"/>
  <c r="AF123" i="73"/>
  <c r="S39" i="67" s="1"/>
  <c r="AG123" i="73"/>
  <c r="AH123" i="73"/>
  <c r="AI123" i="73"/>
  <c r="V39" i="67" s="1"/>
  <c r="AJ123" i="73"/>
  <c r="W39" i="67" s="1"/>
  <c r="AK123" i="73"/>
  <c r="X39" i="67" s="1"/>
  <c r="AL123" i="73"/>
  <c r="AM123" i="73"/>
  <c r="AN123" i="73"/>
  <c r="AA39" i="67" s="1"/>
  <c r="AO123" i="73"/>
  <c r="AP123" i="73"/>
  <c r="AQ123" i="73"/>
  <c r="AD39" i="67" s="1"/>
  <c r="AR123" i="73"/>
  <c r="AE39" i="67" s="1"/>
  <c r="AS123" i="73"/>
  <c r="AF39" i="67" s="1"/>
  <c r="AT123" i="73"/>
  <c r="AU123" i="73"/>
  <c r="AV123" i="73"/>
  <c r="AI39" i="67" s="1"/>
  <c r="W106" i="73"/>
  <c r="W107" i="73"/>
  <c r="W108" i="73"/>
  <c r="W109" i="73"/>
  <c r="W110" i="73"/>
  <c r="W111" i="73"/>
  <c r="W112" i="73"/>
  <c r="W113" i="73"/>
  <c r="J42" i="67" s="1"/>
  <c r="J43" i="67" s="1"/>
  <c r="W114" i="73"/>
  <c r="W115" i="73"/>
  <c r="W116" i="73"/>
  <c r="W117" i="73"/>
  <c r="W118" i="73"/>
  <c r="W119" i="73"/>
  <c r="W120" i="73"/>
  <c r="J38" i="67" s="1"/>
  <c r="W121" i="73"/>
  <c r="W122" i="73"/>
  <c r="W123" i="73"/>
  <c r="W105" i="73"/>
  <c r="R84" i="73"/>
  <c r="AG60" i="73"/>
  <c r="AH60" i="73"/>
  <c r="AI60" i="73"/>
  <c r="AJ60" i="73"/>
  <c r="AK60" i="73"/>
  <c r="AL60" i="73"/>
  <c r="AM60" i="73"/>
  <c r="AN60" i="73"/>
  <c r="AA7" i="67" s="1"/>
  <c r="AO60" i="73"/>
  <c r="AP60" i="73"/>
  <c r="AQ60" i="73"/>
  <c r="AR60" i="73"/>
  <c r="AS60" i="73"/>
  <c r="AT60" i="73"/>
  <c r="AU60" i="73"/>
  <c r="AV60" i="73"/>
  <c r="AI7" i="67" s="1"/>
  <c r="AG61" i="73"/>
  <c r="AH61" i="73"/>
  <c r="AI61" i="73"/>
  <c r="AJ61" i="73"/>
  <c r="AK61" i="73"/>
  <c r="AL61" i="73"/>
  <c r="AM61" i="73"/>
  <c r="AN61" i="73"/>
  <c r="AA8" i="67" s="1"/>
  <c r="AO61" i="73"/>
  <c r="AP61" i="73"/>
  <c r="AQ61" i="73"/>
  <c r="AR61" i="73"/>
  <c r="AS61" i="73"/>
  <c r="AT61" i="73"/>
  <c r="AU61" i="73"/>
  <c r="AV61" i="73"/>
  <c r="AI8" i="67" s="1"/>
  <c r="AG62" i="73"/>
  <c r="AH62" i="73"/>
  <c r="AI62" i="73"/>
  <c r="AJ62" i="73"/>
  <c r="AK62" i="73"/>
  <c r="AL62" i="73"/>
  <c r="AM62" i="73"/>
  <c r="AN62" i="73"/>
  <c r="AA9" i="67" s="1"/>
  <c r="AO62" i="73"/>
  <c r="AP62" i="73"/>
  <c r="AQ62" i="73"/>
  <c r="AR62" i="73"/>
  <c r="AS62" i="73"/>
  <c r="AT62" i="73"/>
  <c r="AU62" i="73"/>
  <c r="AV62" i="73"/>
  <c r="AG63" i="73"/>
  <c r="AH63" i="73"/>
  <c r="AI63" i="73"/>
  <c r="AJ63" i="73"/>
  <c r="AK63" i="73"/>
  <c r="AL63" i="73"/>
  <c r="AM63" i="73"/>
  <c r="AN63" i="73"/>
  <c r="AO63" i="73"/>
  <c r="AP63" i="73"/>
  <c r="AQ63" i="73"/>
  <c r="AR63" i="73"/>
  <c r="AS63" i="73"/>
  <c r="AT63" i="73"/>
  <c r="AU63" i="73"/>
  <c r="AV63" i="73"/>
  <c r="AG64" i="73"/>
  <c r="AH64" i="73"/>
  <c r="AI64" i="73"/>
  <c r="AJ64" i="73"/>
  <c r="AK64" i="73"/>
  <c r="AL64" i="73"/>
  <c r="AM64" i="73"/>
  <c r="AN64" i="73"/>
  <c r="AO64" i="73"/>
  <c r="AP64" i="73"/>
  <c r="AQ64" i="73"/>
  <c r="AR64" i="73"/>
  <c r="AS64" i="73"/>
  <c r="AT64" i="73"/>
  <c r="AU64" i="73"/>
  <c r="AV64" i="73"/>
  <c r="AG65" i="73"/>
  <c r="AH65" i="73"/>
  <c r="AI65" i="73"/>
  <c r="AJ65" i="73"/>
  <c r="AK65" i="73"/>
  <c r="AL65" i="73"/>
  <c r="AM65" i="73"/>
  <c r="AN65" i="73"/>
  <c r="AO65" i="73"/>
  <c r="AP65" i="73"/>
  <c r="AQ65" i="73"/>
  <c r="AR65" i="73"/>
  <c r="AS65" i="73"/>
  <c r="AT65" i="73"/>
  <c r="AU65" i="73"/>
  <c r="AV65" i="73"/>
  <c r="AG66" i="73"/>
  <c r="AH66" i="73"/>
  <c r="AI66" i="73"/>
  <c r="AJ66" i="73"/>
  <c r="AK66" i="73"/>
  <c r="AL66" i="73"/>
  <c r="AM66" i="73"/>
  <c r="AN66" i="73"/>
  <c r="AO66" i="73"/>
  <c r="AP66" i="73"/>
  <c r="AQ66" i="73"/>
  <c r="AR66" i="73"/>
  <c r="AS66" i="73"/>
  <c r="AT66" i="73"/>
  <c r="AU66" i="73"/>
  <c r="AV66" i="73"/>
  <c r="AG67" i="73"/>
  <c r="AH67" i="73"/>
  <c r="AI67" i="73"/>
  <c r="AJ67" i="73"/>
  <c r="AK67" i="73"/>
  <c r="AL67" i="73"/>
  <c r="AM67" i="73"/>
  <c r="AN67" i="73"/>
  <c r="AO67" i="73"/>
  <c r="AP67" i="73"/>
  <c r="AQ67" i="73"/>
  <c r="AR67" i="73"/>
  <c r="AS67" i="73"/>
  <c r="AT67" i="73"/>
  <c r="AU67" i="73"/>
  <c r="AV67" i="73"/>
  <c r="AG68" i="73"/>
  <c r="AH68" i="73"/>
  <c r="AI68" i="73"/>
  <c r="AJ68" i="73"/>
  <c r="AK68" i="73"/>
  <c r="X21" i="67" s="1"/>
  <c r="AL68" i="73"/>
  <c r="AM68" i="73"/>
  <c r="AN68" i="73"/>
  <c r="AA21" i="67" s="1"/>
  <c r="AO68" i="73"/>
  <c r="AP68" i="73"/>
  <c r="AQ68" i="73"/>
  <c r="AR68" i="73"/>
  <c r="AS68" i="73"/>
  <c r="AF21" i="67" s="1"/>
  <c r="AT68" i="73"/>
  <c r="AU68" i="73"/>
  <c r="AV68" i="73"/>
  <c r="AI21" i="67" s="1"/>
  <c r="AG69" i="73"/>
  <c r="AH69" i="73"/>
  <c r="AI69" i="73"/>
  <c r="AJ69" i="73"/>
  <c r="AK69" i="73"/>
  <c r="X22" i="67" s="1"/>
  <c r="X23" i="67" s="1"/>
  <c r="AL69" i="73"/>
  <c r="AM69" i="73"/>
  <c r="AN69" i="73"/>
  <c r="AO69" i="73"/>
  <c r="AP69" i="73"/>
  <c r="AQ69" i="73"/>
  <c r="AR69" i="73"/>
  <c r="AS69" i="73"/>
  <c r="AF22" i="67" s="1"/>
  <c r="AF23" i="67" s="1"/>
  <c r="AT69" i="73"/>
  <c r="AU69" i="73"/>
  <c r="AV69" i="73"/>
  <c r="AG70" i="73"/>
  <c r="AH70" i="73"/>
  <c r="AI70" i="73"/>
  <c r="AJ70" i="73"/>
  <c r="AK70" i="73"/>
  <c r="X24" i="67" s="1"/>
  <c r="X25" i="67" s="1"/>
  <c r="AL70" i="73"/>
  <c r="AM70" i="73"/>
  <c r="AN70" i="73"/>
  <c r="AA24" i="67" s="1"/>
  <c r="AA25" i="67" s="1"/>
  <c r="AO70" i="73"/>
  <c r="AP70" i="73"/>
  <c r="AQ70" i="73"/>
  <c r="AR70" i="73"/>
  <c r="AS70" i="73"/>
  <c r="AF24" i="67" s="1"/>
  <c r="AF25" i="67" s="1"/>
  <c r="AT70" i="73"/>
  <c r="AU70" i="73"/>
  <c r="AV70" i="73"/>
  <c r="AI24" i="67" s="1"/>
  <c r="AI25" i="67" s="1"/>
  <c r="AG71" i="73"/>
  <c r="AH71" i="73"/>
  <c r="AI71" i="73"/>
  <c r="AJ71" i="73"/>
  <c r="AK71" i="73"/>
  <c r="AL71" i="73"/>
  <c r="AM71" i="73"/>
  <c r="AN71" i="73"/>
  <c r="AA10" i="67" s="1"/>
  <c r="AO71" i="73"/>
  <c r="AP71" i="73"/>
  <c r="AQ71" i="73"/>
  <c r="AR71" i="73"/>
  <c r="AS71" i="73"/>
  <c r="AT71" i="73"/>
  <c r="AU71" i="73"/>
  <c r="AV71" i="73"/>
  <c r="AI10" i="67" s="1"/>
  <c r="AG72" i="73"/>
  <c r="AH72" i="73"/>
  <c r="AI72" i="73"/>
  <c r="AJ72" i="73"/>
  <c r="AK72" i="73"/>
  <c r="X11" i="67" s="1"/>
  <c r="AL72" i="73"/>
  <c r="AM72" i="73"/>
  <c r="AN72" i="73"/>
  <c r="AA11" i="67" s="1"/>
  <c r="AO72" i="73"/>
  <c r="AP72" i="73"/>
  <c r="AQ72" i="73"/>
  <c r="AR72" i="73"/>
  <c r="AS72" i="73"/>
  <c r="AF11" i="67" s="1"/>
  <c r="AT72" i="73"/>
  <c r="AU72" i="73"/>
  <c r="AV72" i="73"/>
  <c r="AI11" i="67" s="1"/>
  <c r="AG73" i="73"/>
  <c r="AH73" i="73"/>
  <c r="AI73" i="73"/>
  <c r="AJ73" i="73"/>
  <c r="AK73" i="73"/>
  <c r="X12" i="67" s="1"/>
  <c r="AL73" i="73"/>
  <c r="AM73" i="73"/>
  <c r="AN73" i="73"/>
  <c r="AA12" i="67" s="1"/>
  <c r="AO73" i="73"/>
  <c r="AP73" i="73"/>
  <c r="AQ73" i="73"/>
  <c r="AR73" i="73"/>
  <c r="AS73" i="73"/>
  <c r="AF12" i="67" s="1"/>
  <c r="AT73" i="73"/>
  <c r="AU73" i="73"/>
  <c r="AV73" i="73"/>
  <c r="AI12" i="67" s="1"/>
  <c r="AG74" i="73"/>
  <c r="AH74" i="73"/>
  <c r="AI74" i="73"/>
  <c r="AJ74" i="73"/>
  <c r="AK74" i="73"/>
  <c r="AL74" i="73"/>
  <c r="AM74" i="73"/>
  <c r="AN74" i="73"/>
  <c r="AA14" i="67" s="1"/>
  <c r="AO74" i="73"/>
  <c r="AP74" i="73"/>
  <c r="AQ74" i="73"/>
  <c r="AR74" i="73"/>
  <c r="AS74" i="73"/>
  <c r="AT74" i="73"/>
  <c r="AU74" i="73"/>
  <c r="AV74" i="73"/>
  <c r="AI14" i="67" s="1"/>
  <c r="AG75" i="73"/>
  <c r="AH75" i="73"/>
  <c r="AI75" i="73"/>
  <c r="AJ75" i="73"/>
  <c r="AK75" i="73"/>
  <c r="X20" i="67" s="1"/>
  <c r="AL75" i="73"/>
  <c r="AM75" i="73"/>
  <c r="AN75" i="73"/>
  <c r="AA20" i="67" s="1"/>
  <c r="AO75" i="73"/>
  <c r="AP75" i="73"/>
  <c r="AQ75" i="73"/>
  <c r="AR75" i="73"/>
  <c r="AS75" i="73"/>
  <c r="AF20" i="67" s="1"/>
  <c r="AT75" i="73"/>
  <c r="AU75" i="73"/>
  <c r="AV75" i="73"/>
  <c r="AI20" i="67" s="1"/>
  <c r="AG76" i="73"/>
  <c r="AH76" i="73"/>
  <c r="AI76" i="73"/>
  <c r="AJ76" i="73"/>
  <c r="AK76" i="73"/>
  <c r="X18" i="67" s="1"/>
  <c r="AL76" i="73"/>
  <c r="AM76" i="73"/>
  <c r="AN76" i="73"/>
  <c r="AA18" i="67" s="1"/>
  <c r="AO76" i="73"/>
  <c r="AP76" i="73"/>
  <c r="AQ76" i="73"/>
  <c r="AR76" i="73"/>
  <c r="AS76" i="73"/>
  <c r="AF18" i="67" s="1"/>
  <c r="AT76" i="73"/>
  <c r="AU76" i="73"/>
  <c r="AV76" i="73"/>
  <c r="AI18" i="67" s="1"/>
  <c r="AG77" i="73"/>
  <c r="AI77" i="73"/>
  <c r="AJ77" i="73"/>
  <c r="AK77" i="73"/>
  <c r="X13" i="67" s="1"/>
  <c r="AL77" i="73"/>
  <c r="AM77" i="73"/>
  <c r="AN77" i="73"/>
  <c r="AA13" i="67" s="1"/>
  <c r="AO77" i="73"/>
  <c r="AP77" i="73"/>
  <c r="AQ77" i="73"/>
  <c r="AR77" i="73"/>
  <c r="AS77" i="73"/>
  <c r="AF13" i="67" s="1"/>
  <c r="AT77" i="73"/>
  <c r="AU77" i="73"/>
  <c r="AV77" i="73"/>
  <c r="AI13" i="67" s="1"/>
  <c r="AG78" i="73"/>
  <c r="AH78" i="73"/>
  <c r="AI78" i="73"/>
  <c r="AJ78" i="73"/>
  <c r="W17" i="67" s="1"/>
  <c r="AK78" i="73"/>
  <c r="X17" i="67" s="1"/>
  <c r="AL78" i="73"/>
  <c r="AM78" i="73"/>
  <c r="AN78" i="73"/>
  <c r="AA17" i="67" s="1"/>
  <c r="AO78" i="73"/>
  <c r="AP78" i="73"/>
  <c r="AQ78" i="73"/>
  <c r="AR78" i="73"/>
  <c r="AE17" i="67" s="1"/>
  <c r="AS78" i="73"/>
  <c r="AF17" i="67" s="1"/>
  <c r="AT78" i="73"/>
  <c r="AU78" i="73"/>
  <c r="AV78" i="73"/>
  <c r="AI16" i="67" s="1"/>
  <c r="AG79" i="73"/>
  <c r="AH79" i="73"/>
  <c r="AI79" i="73"/>
  <c r="AJ79" i="73"/>
  <c r="AK79" i="73"/>
  <c r="AL79" i="73"/>
  <c r="AM79" i="73"/>
  <c r="Z19" i="67" s="1"/>
  <c r="AN79" i="73"/>
  <c r="AA19" i="67" s="1"/>
  <c r="AO79" i="73"/>
  <c r="AP79" i="73"/>
  <c r="AQ79" i="73"/>
  <c r="AR79" i="73"/>
  <c r="AS79" i="73"/>
  <c r="AT79" i="73"/>
  <c r="AU79" i="73"/>
  <c r="AH19" i="67" s="1"/>
  <c r="AV79" i="73"/>
  <c r="AI19" i="67" s="1"/>
  <c r="Y60" i="73"/>
  <c r="Z60" i="73"/>
  <c r="AA60" i="73"/>
  <c r="AB60" i="73"/>
  <c r="AC60" i="73"/>
  <c r="AD60" i="73"/>
  <c r="AE60" i="73"/>
  <c r="R7" i="67" s="1"/>
  <c r="AF60" i="73"/>
  <c r="Y61" i="73"/>
  <c r="Z61" i="73"/>
  <c r="AA61" i="73"/>
  <c r="AB61" i="73"/>
  <c r="AC61" i="73"/>
  <c r="AD61" i="73"/>
  <c r="AE61" i="73"/>
  <c r="R8" i="67" s="1"/>
  <c r="AF61" i="73"/>
  <c r="Y62" i="73"/>
  <c r="Z62" i="73"/>
  <c r="AA62" i="73"/>
  <c r="AB62" i="73"/>
  <c r="AC62" i="73"/>
  <c r="AD62" i="73"/>
  <c r="AE62" i="73"/>
  <c r="R9" i="67" s="1"/>
  <c r="AF62" i="73"/>
  <c r="Y63" i="73"/>
  <c r="Z63" i="73"/>
  <c r="AA63" i="73"/>
  <c r="AB63" i="73"/>
  <c r="AC63" i="73"/>
  <c r="AD63" i="73"/>
  <c r="AE63" i="73"/>
  <c r="AF63" i="73"/>
  <c r="Y64" i="73"/>
  <c r="Z64" i="73"/>
  <c r="AA64" i="73"/>
  <c r="AB64" i="73"/>
  <c r="AC64" i="73"/>
  <c r="AD64" i="73"/>
  <c r="AE64" i="73"/>
  <c r="AF64" i="73"/>
  <c r="Y65" i="73"/>
  <c r="Z65" i="73"/>
  <c r="AA65" i="73"/>
  <c r="AB65" i="73"/>
  <c r="AC65" i="73"/>
  <c r="AD65" i="73"/>
  <c r="AE65" i="73"/>
  <c r="AF65" i="73"/>
  <c r="Y66" i="73"/>
  <c r="Z66" i="73"/>
  <c r="AA66" i="73"/>
  <c r="AB66" i="73"/>
  <c r="AC66" i="73"/>
  <c r="AD66" i="73"/>
  <c r="AE66" i="73"/>
  <c r="AF66" i="73"/>
  <c r="Y67" i="73"/>
  <c r="Z67" i="73"/>
  <c r="AA67" i="73"/>
  <c r="AB67" i="73"/>
  <c r="AC67" i="73"/>
  <c r="AD67" i="73"/>
  <c r="AE67" i="73"/>
  <c r="AF67" i="73"/>
  <c r="Y68" i="73"/>
  <c r="Z68" i="73"/>
  <c r="AA68" i="73"/>
  <c r="AB68" i="73"/>
  <c r="AC68" i="73"/>
  <c r="AD68" i="73"/>
  <c r="AE68" i="73"/>
  <c r="R21" i="67" s="1"/>
  <c r="AF68" i="73"/>
  <c r="Y69" i="73"/>
  <c r="Z69" i="73"/>
  <c r="AA69" i="73"/>
  <c r="AB69" i="73"/>
  <c r="AC69" i="73"/>
  <c r="AD69" i="73"/>
  <c r="AE69" i="73"/>
  <c r="R22" i="67" s="1"/>
  <c r="R23" i="67" s="1"/>
  <c r="AF69" i="73"/>
  <c r="Y70" i="73"/>
  <c r="Z70" i="73"/>
  <c r="AA70" i="73"/>
  <c r="AB70" i="73"/>
  <c r="AC70" i="73"/>
  <c r="AD70" i="73"/>
  <c r="AE70" i="73"/>
  <c r="R24" i="67" s="1"/>
  <c r="R25" i="67" s="1"/>
  <c r="AF70" i="73"/>
  <c r="Y71" i="73"/>
  <c r="Z71" i="73"/>
  <c r="AA71" i="73"/>
  <c r="AB71" i="73"/>
  <c r="AC71" i="73"/>
  <c r="AD71" i="73"/>
  <c r="AE71" i="73"/>
  <c r="R10" i="67" s="1"/>
  <c r="AF71" i="73"/>
  <c r="Y72" i="73"/>
  <c r="Z72" i="73"/>
  <c r="AA72" i="73"/>
  <c r="AB72" i="73"/>
  <c r="AC72" i="73"/>
  <c r="AD72" i="73"/>
  <c r="AE72" i="73"/>
  <c r="R11" i="67" s="1"/>
  <c r="AF72" i="73"/>
  <c r="Y73" i="73"/>
  <c r="Z73" i="73"/>
  <c r="AA73" i="73"/>
  <c r="AB73" i="73"/>
  <c r="AC73" i="73"/>
  <c r="AD73" i="73"/>
  <c r="AE73" i="73"/>
  <c r="R12" i="67" s="1"/>
  <c r="AF73" i="73"/>
  <c r="Y74" i="73"/>
  <c r="Z74" i="73"/>
  <c r="AA74" i="73"/>
  <c r="AB74" i="73"/>
  <c r="AC74" i="73"/>
  <c r="AD74" i="73"/>
  <c r="AE74" i="73"/>
  <c r="R14" i="67" s="1"/>
  <c r="AF74" i="73"/>
  <c r="Y75" i="73"/>
  <c r="Z75" i="73"/>
  <c r="AA75" i="73"/>
  <c r="AB75" i="73"/>
  <c r="AC75" i="73"/>
  <c r="AD75" i="73"/>
  <c r="AE75" i="73"/>
  <c r="R20" i="67" s="1"/>
  <c r="AF75" i="73"/>
  <c r="Y76" i="73"/>
  <c r="Z76" i="73"/>
  <c r="AA76" i="73"/>
  <c r="AB76" i="73"/>
  <c r="AC76" i="73"/>
  <c r="AD76" i="73"/>
  <c r="AE76" i="73"/>
  <c r="R18" i="67" s="1"/>
  <c r="AF76" i="73"/>
  <c r="Y77" i="73"/>
  <c r="Z77" i="73"/>
  <c r="AA77" i="73"/>
  <c r="AB77" i="73"/>
  <c r="AC77" i="73"/>
  <c r="AD77" i="73"/>
  <c r="AE77" i="73"/>
  <c r="R13" i="67" s="1"/>
  <c r="AF77" i="73"/>
  <c r="Y78" i="73"/>
  <c r="Z78" i="73"/>
  <c r="AA78" i="73"/>
  <c r="AB78" i="73"/>
  <c r="AC78" i="73"/>
  <c r="AD78" i="73"/>
  <c r="AE78" i="73"/>
  <c r="R17" i="67" s="1"/>
  <c r="AF78" i="73"/>
  <c r="Y79" i="73"/>
  <c r="Z79" i="73"/>
  <c r="AA79" i="73"/>
  <c r="AB79" i="73"/>
  <c r="AC79" i="73"/>
  <c r="AD79" i="73"/>
  <c r="AE79" i="73"/>
  <c r="R19" i="67" s="1"/>
  <c r="AF79" i="73"/>
  <c r="X60" i="73"/>
  <c r="X61" i="73"/>
  <c r="X62" i="73"/>
  <c r="X63" i="73"/>
  <c r="X64" i="73"/>
  <c r="X65" i="73"/>
  <c r="X66" i="73"/>
  <c r="X67" i="73"/>
  <c r="X68" i="73"/>
  <c r="X69" i="73"/>
  <c r="X70" i="73"/>
  <c r="X71" i="73"/>
  <c r="X72" i="73"/>
  <c r="X73" i="73"/>
  <c r="X74" i="73"/>
  <c r="K14" i="67" s="1"/>
  <c r="X75" i="73"/>
  <c r="X76" i="73"/>
  <c r="X77" i="73"/>
  <c r="X78" i="73"/>
  <c r="X79" i="73"/>
  <c r="W62" i="73"/>
  <c r="W63" i="73"/>
  <c r="W64" i="73"/>
  <c r="W65" i="73"/>
  <c r="W66" i="73"/>
  <c r="W67" i="73"/>
  <c r="W68" i="73"/>
  <c r="W69" i="73"/>
  <c r="J22" i="67" s="1"/>
  <c r="J23" i="67" s="1"/>
  <c r="W70" i="73"/>
  <c r="W71" i="73"/>
  <c r="W72" i="73"/>
  <c r="W73" i="73"/>
  <c r="W74" i="73"/>
  <c r="W75" i="73"/>
  <c r="W76" i="73"/>
  <c r="W77" i="73"/>
  <c r="J13" i="67" s="1"/>
  <c r="W78" i="73"/>
  <c r="W79" i="73"/>
  <c r="W61" i="73"/>
  <c r="J21" i="67"/>
  <c r="J18" i="67"/>
  <c r="W60" i="73"/>
  <c r="Y17" i="73"/>
  <c r="Z17" i="73"/>
  <c r="AA17" i="73"/>
  <c r="AB17" i="73"/>
  <c r="AC17" i="73"/>
  <c r="AD17" i="73"/>
  <c r="AE17" i="73"/>
  <c r="AF17" i="73"/>
  <c r="AG17" i="73"/>
  <c r="AH17" i="73"/>
  <c r="AI17" i="73"/>
  <c r="AJ17" i="73"/>
  <c r="AK17" i="73"/>
  <c r="AL17" i="73"/>
  <c r="AM17" i="73"/>
  <c r="AN17" i="73"/>
  <c r="AO17" i="73"/>
  <c r="AP17" i="73"/>
  <c r="AQ17" i="73"/>
  <c r="AR17" i="73"/>
  <c r="AS17" i="73"/>
  <c r="AT17" i="73"/>
  <c r="AU17" i="73"/>
  <c r="AV17" i="73"/>
  <c r="Y18" i="73"/>
  <c r="Z18" i="73"/>
  <c r="AA18" i="73"/>
  <c r="AB18" i="73"/>
  <c r="AC18" i="73"/>
  <c r="AD18" i="73"/>
  <c r="AE18" i="73"/>
  <c r="AF18" i="73"/>
  <c r="AG18" i="73"/>
  <c r="AH18" i="73"/>
  <c r="AI18" i="73"/>
  <c r="AJ18" i="73"/>
  <c r="AK18" i="73"/>
  <c r="AL18" i="73"/>
  <c r="AM18" i="73"/>
  <c r="AN18" i="73"/>
  <c r="AO18" i="73"/>
  <c r="AP18" i="73"/>
  <c r="AQ18" i="73"/>
  <c r="AR18" i="73"/>
  <c r="AS18" i="73"/>
  <c r="AT18" i="73"/>
  <c r="AU18" i="73"/>
  <c r="AV18" i="73"/>
  <c r="Y19" i="73"/>
  <c r="Z19" i="73"/>
  <c r="AA19" i="73"/>
  <c r="AB19" i="73"/>
  <c r="AC19" i="73"/>
  <c r="AD19" i="73"/>
  <c r="AE19" i="73"/>
  <c r="AF19" i="73"/>
  <c r="AG19" i="73"/>
  <c r="AH19" i="73"/>
  <c r="AI19" i="73"/>
  <c r="AJ19" i="73"/>
  <c r="AK19" i="73"/>
  <c r="AL19" i="73"/>
  <c r="AM19" i="73"/>
  <c r="AN19" i="73"/>
  <c r="AO19" i="73"/>
  <c r="AP19" i="73"/>
  <c r="AQ19" i="73"/>
  <c r="AR19" i="73"/>
  <c r="AS19" i="73"/>
  <c r="AT19" i="73"/>
  <c r="AU19" i="73"/>
  <c r="AV19" i="73"/>
  <c r="Y20" i="73"/>
  <c r="Z20" i="73"/>
  <c r="AA20" i="73"/>
  <c r="AB20" i="73"/>
  <c r="AC20" i="73"/>
  <c r="AD20" i="73"/>
  <c r="AE20" i="73"/>
  <c r="AF20" i="73"/>
  <c r="AG20" i="73"/>
  <c r="AH20" i="73"/>
  <c r="AI20" i="73"/>
  <c r="AJ20" i="73"/>
  <c r="AK20" i="73"/>
  <c r="AL20" i="73"/>
  <c r="AM20" i="73"/>
  <c r="AN20" i="73"/>
  <c r="AO20" i="73"/>
  <c r="AP20" i="73"/>
  <c r="AQ20" i="73"/>
  <c r="AR20" i="73"/>
  <c r="AS20" i="73"/>
  <c r="AT20" i="73"/>
  <c r="AU20" i="73"/>
  <c r="AV20" i="73"/>
  <c r="Y21" i="73"/>
  <c r="Z21" i="73"/>
  <c r="AA21" i="73"/>
  <c r="AB21" i="73"/>
  <c r="AC21" i="73"/>
  <c r="AD21" i="73"/>
  <c r="AE21" i="73"/>
  <c r="AF21" i="73"/>
  <c r="AG21" i="73"/>
  <c r="AH21" i="73"/>
  <c r="AI21" i="73"/>
  <c r="AJ21" i="73"/>
  <c r="AK21" i="73"/>
  <c r="AL21" i="73"/>
  <c r="AM21" i="73"/>
  <c r="AN21" i="73"/>
  <c r="AO21" i="73"/>
  <c r="AP21" i="73"/>
  <c r="AQ21" i="73"/>
  <c r="AR21" i="73"/>
  <c r="AS21" i="73"/>
  <c r="AT21" i="73"/>
  <c r="AU21" i="73"/>
  <c r="AV21" i="73"/>
  <c r="Y22" i="73"/>
  <c r="Z22" i="73"/>
  <c r="AA22" i="73"/>
  <c r="AB22" i="73"/>
  <c r="AC22" i="73"/>
  <c r="AD22" i="73"/>
  <c r="AE22" i="73"/>
  <c r="AF22" i="73"/>
  <c r="AG22" i="73"/>
  <c r="AH22" i="73"/>
  <c r="AI22" i="73"/>
  <c r="AJ22" i="73"/>
  <c r="AK22" i="73"/>
  <c r="AL22" i="73"/>
  <c r="AM22" i="73"/>
  <c r="AN22" i="73"/>
  <c r="AO22" i="73"/>
  <c r="AP22" i="73"/>
  <c r="AQ22" i="73"/>
  <c r="AR22" i="73"/>
  <c r="AS22" i="73"/>
  <c r="AT22" i="73"/>
  <c r="AU22" i="73"/>
  <c r="AV22" i="73"/>
  <c r="Y23" i="73"/>
  <c r="Z23" i="73"/>
  <c r="AA23" i="73"/>
  <c r="AB23" i="73"/>
  <c r="AC23" i="73"/>
  <c r="AD23" i="73"/>
  <c r="AE23" i="73"/>
  <c r="AF23" i="73"/>
  <c r="AG23" i="73"/>
  <c r="AH23" i="73"/>
  <c r="AI23" i="73"/>
  <c r="AJ23" i="73"/>
  <c r="AK23" i="73"/>
  <c r="AL23" i="73"/>
  <c r="AM23" i="73"/>
  <c r="AN23" i="73"/>
  <c r="AO23" i="73"/>
  <c r="AP23" i="73"/>
  <c r="AQ23" i="73"/>
  <c r="AR23" i="73"/>
  <c r="AS23" i="73"/>
  <c r="AT23" i="73"/>
  <c r="AU23" i="73"/>
  <c r="AV23" i="73"/>
  <c r="Y24" i="73"/>
  <c r="Z24" i="73"/>
  <c r="AA24" i="73"/>
  <c r="AB24" i="73"/>
  <c r="AC24" i="73"/>
  <c r="AD24" i="73"/>
  <c r="AE24" i="73"/>
  <c r="AF24" i="73"/>
  <c r="AG24" i="73"/>
  <c r="AH24" i="73"/>
  <c r="AI24" i="73"/>
  <c r="AJ24" i="73"/>
  <c r="AK24" i="73"/>
  <c r="AL24" i="73"/>
  <c r="AM24" i="73"/>
  <c r="AN24" i="73"/>
  <c r="AO24" i="73"/>
  <c r="AP24" i="73"/>
  <c r="AQ24" i="73"/>
  <c r="AR24" i="73"/>
  <c r="AS24" i="73"/>
  <c r="AT24" i="73"/>
  <c r="AU24" i="73"/>
  <c r="AV24" i="73"/>
  <c r="Y25" i="73"/>
  <c r="Z25" i="73"/>
  <c r="AA25" i="73"/>
  <c r="AB25" i="73"/>
  <c r="AC25" i="73"/>
  <c r="AD25" i="73"/>
  <c r="AE25" i="73"/>
  <c r="AF25" i="73"/>
  <c r="AG25" i="73"/>
  <c r="AH25" i="73"/>
  <c r="AI25" i="73"/>
  <c r="AJ25" i="73"/>
  <c r="AK25" i="73"/>
  <c r="AL25" i="73"/>
  <c r="AM25" i="73"/>
  <c r="AN25" i="73"/>
  <c r="AO25" i="73"/>
  <c r="AP25" i="73"/>
  <c r="AQ25" i="73"/>
  <c r="AR25" i="73"/>
  <c r="AS25" i="73"/>
  <c r="AT25" i="73"/>
  <c r="AU25" i="73"/>
  <c r="AV25" i="73"/>
  <c r="Y26" i="73"/>
  <c r="Z26" i="73"/>
  <c r="AA26" i="73"/>
  <c r="AB26" i="73"/>
  <c r="AC26" i="73"/>
  <c r="AD26" i="73"/>
  <c r="AE26" i="73"/>
  <c r="AF26" i="73"/>
  <c r="AG26" i="73"/>
  <c r="AH26" i="73"/>
  <c r="AI26" i="73"/>
  <c r="AJ26" i="73"/>
  <c r="AK26" i="73"/>
  <c r="AL26" i="73"/>
  <c r="AM26" i="73"/>
  <c r="AN26" i="73"/>
  <c r="AO26" i="73"/>
  <c r="AP26" i="73"/>
  <c r="AQ26" i="73"/>
  <c r="AR26" i="73"/>
  <c r="AS26" i="73"/>
  <c r="AT26" i="73"/>
  <c r="AU26" i="73"/>
  <c r="AV26" i="73"/>
  <c r="Y27" i="73"/>
  <c r="Z27" i="73"/>
  <c r="AA27" i="73"/>
  <c r="AB27" i="73"/>
  <c r="AC27" i="73"/>
  <c r="AD27" i="73"/>
  <c r="AE27" i="73"/>
  <c r="AF27" i="73"/>
  <c r="AG27" i="73"/>
  <c r="AH27" i="73"/>
  <c r="AI27" i="73"/>
  <c r="AJ27" i="73"/>
  <c r="AK27" i="73"/>
  <c r="AL27" i="73"/>
  <c r="AM27" i="73"/>
  <c r="AN27" i="73"/>
  <c r="AO27" i="73"/>
  <c r="AP27" i="73"/>
  <c r="AQ27" i="73"/>
  <c r="AR27" i="73"/>
  <c r="AS27" i="73"/>
  <c r="AT27" i="73"/>
  <c r="AU27" i="73"/>
  <c r="AV27" i="73"/>
  <c r="Y28" i="73"/>
  <c r="Z28" i="73"/>
  <c r="AA28" i="73"/>
  <c r="AB28" i="73"/>
  <c r="AC28" i="73"/>
  <c r="AD28" i="73"/>
  <c r="AE28" i="73"/>
  <c r="AF28" i="73"/>
  <c r="AG28" i="73"/>
  <c r="AH28" i="73"/>
  <c r="AI28" i="73"/>
  <c r="AJ28" i="73"/>
  <c r="AK28" i="73"/>
  <c r="AL28" i="73"/>
  <c r="AM28" i="73"/>
  <c r="AN28" i="73"/>
  <c r="AO28" i="73"/>
  <c r="AP28" i="73"/>
  <c r="AQ28" i="73"/>
  <c r="AR28" i="73"/>
  <c r="AS28" i="73"/>
  <c r="AT28" i="73"/>
  <c r="AU28" i="73"/>
  <c r="AV28" i="73"/>
  <c r="Y29" i="73"/>
  <c r="Z29" i="73"/>
  <c r="AA29" i="73"/>
  <c r="AB29" i="73"/>
  <c r="AC29" i="73"/>
  <c r="AD29" i="73"/>
  <c r="AE29" i="73"/>
  <c r="AF29" i="73"/>
  <c r="AG29" i="73"/>
  <c r="AH29" i="73"/>
  <c r="AI29" i="73"/>
  <c r="AJ29" i="73"/>
  <c r="AK29" i="73"/>
  <c r="AL29" i="73"/>
  <c r="AM29" i="73"/>
  <c r="AN29" i="73"/>
  <c r="AO29" i="73"/>
  <c r="AP29" i="73"/>
  <c r="AQ29" i="73"/>
  <c r="AR29" i="73"/>
  <c r="AS29" i="73"/>
  <c r="AT29" i="73"/>
  <c r="AU29" i="73"/>
  <c r="AV29" i="73"/>
  <c r="Y30" i="73"/>
  <c r="Z30" i="73"/>
  <c r="AA30" i="73"/>
  <c r="AB30" i="73"/>
  <c r="AC30" i="73"/>
  <c r="AD30" i="73"/>
  <c r="AE30" i="73"/>
  <c r="AF30" i="73"/>
  <c r="AG30" i="73"/>
  <c r="AH30" i="73"/>
  <c r="AI30" i="73"/>
  <c r="AJ30" i="73"/>
  <c r="AK30" i="73"/>
  <c r="AL30" i="73"/>
  <c r="AM30" i="73"/>
  <c r="AN30" i="73"/>
  <c r="AO30" i="73"/>
  <c r="AP30" i="73"/>
  <c r="AQ30" i="73"/>
  <c r="AR30" i="73"/>
  <c r="AS30" i="73"/>
  <c r="AT30" i="73"/>
  <c r="AU30" i="73"/>
  <c r="AV30" i="73"/>
  <c r="Y31" i="73"/>
  <c r="Z31" i="73"/>
  <c r="AA31" i="73"/>
  <c r="AB31" i="73"/>
  <c r="AC31" i="73"/>
  <c r="AD31" i="73"/>
  <c r="AE31" i="73"/>
  <c r="AF31" i="73"/>
  <c r="AG31" i="73"/>
  <c r="AH31" i="73"/>
  <c r="AI31" i="73"/>
  <c r="AJ31" i="73"/>
  <c r="AK31" i="73"/>
  <c r="AL31" i="73"/>
  <c r="AM31" i="73"/>
  <c r="AN31" i="73"/>
  <c r="AO31" i="73"/>
  <c r="AP31" i="73"/>
  <c r="AQ31" i="73"/>
  <c r="AR31" i="73"/>
  <c r="AS31" i="73"/>
  <c r="AT31" i="73"/>
  <c r="AU31" i="73"/>
  <c r="AV31" i="73"/>
  <c r="Y32" i="73"/>
  <c r="Z32" i="73"/>
  <c r="AA32" i="73"/>
  <c r="AB32" i="73"/>
  <c r="AC32" i="73"/>
  <c r="AD32" i="73"/>
  <c r="AE32" i="73"/>
  <c r="AF32" i="73"/>
  <c r="AG32" i="73"/>
  <c r="AH32" i="73"/>
  <c r="AI32" i="73"/>
  <c r="AJ32" i="73"/>
  <c r="AK32" i="73"/>
  <c r="AL32" i="73"/>
  <c r="AM32" i="73"/>
  <c r="AN32" i="73"/>
  <c r="AO32" i="73"/>
  <c r="AP32" i="73"/>
  <c r="AQ32" i="73"/>
  <c r="AR32" i="73"/>
  <c r="AS32" i="73"/>
  <c r="AT32" i="73"/>
  <c r="AU32" i="73"/>
  <c r="AV32" i="73"/>
  <c r="Y33" i="73"/>
  <c r="Z33" i="73"/>
  <c r="AA33" i="73"/>
  <c r="AB33" i="73"/>
  <c r="AC33" i="73"/>
  <c r="AD33" i="73"/>
  <c r="AE33" i="73"/>
  <c r="AF33" i="73"/>
  <c r="AG33" i="73"/>
  <c r="AH33" i="73"/>
  <c r="AI33" i="73"/>
  <c r="AJ33" i="73"/>
  <c r="AK33" i="73"/>
  <c r="AL33" i="73"/>
  <c r="AM33" i="73"/>
  <c r="AN33" i="73"/>
  <c r="AO33" i="73"/>
  <c r="AP33" i="73"/>
  <c r="AQ33" i="73"/>
  <c r="AR33" i="73"/>
  <c r="AS33" i="73"/>
  <c r="AT33" i="73"/>
  <c r="AU33" i="73"/>
  <c r="AV33" i="73"/>
  <c r="Y34" i="73"/>
  <c r="Z34" i="73"/>
  <c r="AA34" i="73"/>
  <c r="AB34" i="73"/>
  <c r="AC34" i="73"/>
  <c r="AD34" i="73"/>
  <c r="AE34" i="73"/>
  <c r="AF34" i="73"/>
  <c r="AG34" i="73"/>
  <c r="AH34" i="73"/>
  <c r="AI34" i="73"/>
  <c r="AJ34" i="73"/>
  <c r="AK34" i="73"/>
  <c r="AL34" i="73"/>
  <c r="AM34" i="73"/>
  <c r="AN34" i="73"/>
  <c r="AO34" i="73"/>
  <c r="AP34" i="73"/>
  <c r="AQ34" i="73"/>
  <c r="AR34" i="73"/>
  <c r="AS34" i="73"/>
  <c r="AT34" i="73"/>
  <c r="AU34" i="73"/>
  <c r="AV34" i="73"/>
  <c r="Y35" i="73"/>
  <c r="Z35" i="73"/>
  <c r="AA35" i="73"/>
  <c r="AB35" i="73"/>
  <c r="AC35" i="73"/>
  <c r="AD35" i="73"/>
  <c r="AE35" i="73"/>
  <c r="AF35" i="73"/>
  <c r="AG35" i="73"/>
  <c r="AH35" i="73"/>
  <c r="AI35" i="73"/>
  <c r="AJ35" i="73"/>
  <c r="AK35" i="73"/>
  <c r="AL35" i="73"/>
  <c r="AM35" i="73"/>
  <c r="AN35" i="73"/>
  <c r="AO35" i="73"/>
  <c r="AP35" i="73"/>
  <c r="AQ35" i="73"/>
  <c r="AR35" i="73"/>
  <c r="AS35" i="73"/>
  <c r="AT35" i="73"/>
  <c r="AU35" i="73"/>
  <c r="AV35" i="73"/>
  <c r="Y36" i="73"/>
  <c r="Z36" i="73"/>
  <c r="AA36" i="73"/>
  <c r="AB36" i="73"/>
  <c r="AC36" i="73"/>
  <c r="AD36" i="73"/>
  <c r="AE36" i="73"/>
  <c r="AF36" i="73"/>
  <c r="AG36" i="73"/>
  <c r="AH36" i="73"/>
  <c r="AI36" i="73"/>
  <c r="AJ36" i="73"/>
  <c r="AK36" i="73"/>
  <c r="AL36" i="73"/>
  <c r="AM36" i="73"/>
  <c r="AN36" i="73"/>
  <c r="AO36" i="73"/>
  <c r="AP36" i="73"/>
  <c r="AQ36" i="73"/>
  <c r="AR36" i="73"/>
  <c r="AS36" i="73"/>
  <c r="AT36" i="73"/>
  <c r="AU36" i="73"/>
  <c r="AV36" i="73"/>
  <c r="X32" i="73"/>
  <c r="X33" i="73"/>
  <c r="X34" i="73"/>
  <c r="X35" i="73"/>
  <c r="X36" i="73"/>
  <c r="X31" i="73"/>
  <c r="X25" i="73"/>
  <c r="X26" i="73"/>
  <c r="X27" i="73"/>
  <c r="X28" i="73"/>
  <c r="X29" i="73"/>
  <c r="X30" i="73"/>
  <c r="X21" i="73"/>
  <c r="X22" i="73"/>
  <c r="X23" i="73"/>
  <c r="X24" i="73"/>
  <c r="X20" i="73"/>
  <c r="X19" i="73"/>
  <c r="X18" i="73"/>
  <c r="X17" i="73"/>
  <c r="Q29" i="73"/>
  <c r="P29" i="73"/>
  <c r="L6" i="73" s="1"/>
  <c r="O29" i="73"/>
  <c r="M29" i="73"/>
  <c r="L29" i="73"/>
  <c r="K29" i="73"/>
  <c r="H9" i="73" s="1"/>
  <c r="J29" i="73"/>
  <c r="J24" i="73"/>
  <c r="J25" i="73"/>
  <c r="J26" i="73"/>
  <c r="J27" i="73"/>
  <c r="J28" i="73"/>
  <c r="H29" i="73"/>
  <c r="D22" i="73"/>
  <c r="C21" i="73"/>
  <c r="AK12" i="73"/>
  <c r="AL12" i="73" s="1"/>
  <c r="AM12" i="73" s="1"/>
  <c r="AN12" i="73" s="1"/>
  <c r="AO12" i="73" s="1"/>
  <c r="AP12" i="73" s="1"/>
  <c r="AQ12" i="73" s="1"/>
  <c r="AR12" i="73" s="1"/>
  <c r="AS12" i="73" s="1"/>
  <c r="AT12" i="73" s="1"/>
  <c r="AU12" i="73" s="1"/>
  <c r="AV12" i="73" s="1"/>
  <c r="AJ12" i="73"/>
  <c r="AI12" i="73"/>
  <c r="AF12" i="73"/>
  <c r="AD12" i="73"/>
  <c r="AC12" i="73"/>
  <c r="AB12" i="73"/>
  <c r="AA12" i="73"/>
  <c r="AL8" i="73"/>
  <c r="AM8" i="73" s="1"/>
  <c r="AN8" i="73" s="1"/>
  <c r="AO8" i="73" s="1"/>
  <c r="AP8" i="73" s="1"/>
  <c r="AQ8" i="73" s="1"/>
  <c r="AR8" i="73" s="1"/>
  <c r="AS8" i="73" s="1"/>
  <c r="AT8" i="73" s="1"/>
  <c r="AU8" i="73" s="1"/>
  <c r="AV8" i="73" s="1"/>
  <c r="AK8" i="73"/>
  <c r="AJ8" i="73"/>
  <c r="AG8" i="73"/>
  <c r="AH8" i="73"/>
  <c r="AI8" i="73" s="1"/>
  <c r="AF8" i="73"/>
  <c r="AE8" i="73"/>
  <c r="AK7" i="73"/>
  <c r="AL7" i="73" s="1"/>
  <c r="AM7" i="73" s="1"/>
  <c r="AN7" i="73" s="1"/>
  <c r="AO7" i="73" s="1"/>
  <c r="AP7" i="73" s="1"/>
  <c r="AQ7" i="73" s="1"/>
  <c r="AR7" i="73" s="1"/>
  <c r="AS7" i="73" s="1"/>
  <c r="AT7" i="73" s="1"/>
  <c r="AU7" i="73" s="1"/>
  <c r="AV7" i="73" s="1"/>
  <c r="AJ7" i="73"/>
  <c r="AH7" i="73"/>
  <c r="AI7" i="73"/>
  <c r="AG7" i="73"/>
  <c r="AD7" i="73"/>
  <c r="AB7" i="73"/>
  <c r="AC7" i="73" s="1"/>
  <c r="AA7" i="73"/>
  <c r="AE6" i="73"/>
  <c r="AD6" i="73"/>
  <c r="AC6" i="73"/>
  <c r="AB6" i="73"/>
  <c r="AA6" i="73"/>
  <c r="Z12" i="73"/>
  <c r="Z7" i="73"/>
  <c r="Z6" i="73"/>
  <c r="Y13" i="73"/>
  <c r="Z13" i="73" s="1"/>
  <c r="AA13" i="73" s="1"/>
  <c r="AB13" i="73" s="1"/>
  <c r="AC13" i="73" s="1"/>
  <c r="AD13" i="73" s="1"/>
  <c r="Y6" i="73"/>
  <c r="X13" i="73"/>
  <c r="X11" i="73"/>
  <c r="Y11" i="73" s="1"/>
  <c r="Z11" i="73" s="1"/>
  <c r="AA11" i="73" s="1"/>
  <c r="AB11" i="73" s="1"/>
  <c r="AC11" i="73" s="1"/>
  <c r="X10" i="73"/>
  <c r="Y10" i="73" s="1"/>
  <c r="Z10" i="73" s="1"/>
  <c r="AA10" i="73" s="1"/>
  <c r="AB10" i="73" s="1"/>
  <c r="AC10" i="73" s="1"/>
  <c r="AD10" i="73" s="1"/>
  <c r="AE10" i="73" s="1"/>
  <c r="AF10" i="73" s="1"/>
  <c r="AG10" i="73" s="1"/>
  <c r="AH10" i="73" s="1"/>
  <c r="X9" i="73"/>
  <c r="Y9" i="73" s="1"/>
  <c r="Z9" i="73" s="1"/>
  <c r="AA9" i="73" s="1"/>
  <c r="AB9" i="73" s="1"/>
  <c r="AC9" i="73" s="1"/>
  <c r="W15" i="73"/>
  <c r="N17" i="73"/>
  <c r="O17" i="73" s="1"/>
  <c r="M17" i="73"/>
  <c r="L17" i="73"/>
  <c r="K17" i="73"/>
  <c r="K7" i="73"/>
  <c r="K8" i="73"/>
  <c r="K9" i="73"/>
  <c r="K10" i="73"/>
  <c r="L10" i="73" s="1"/>
  <c r="K11" i="73"/>
  <c r="L11" i="73" s="1"/>
  <c r="K12" i="73"/>
  <c r="K13" i="73"/>
  <c r="L13" i="73" s="1"/>
  <c r="K6" i="73"/>
  <c r="I17" i="73"/>
  <c r="J17" i="73" s="1"/>
  <c r="H7" i="73"/>
  <c r="H8" i="73"/>
  <c r="I8" i="73" s="1"/>
  <c r="J8" i="73" s="1"/>
  <c r="H10" i="73"/>
  <c r="I10" i="73" s="1"/>
  <c r="J10" i="73" s="1"/>
  <c r="G8" i="73"/>
  <c r="G9" i="73"/>
  <c r="G10" i="73"/>
  <c r="G11" i="73"/>
  <c r="G12" i="73"/>
  <c r="G13" i="73"/>
  <c r="G7" i="73"/>
  <c r="G6" i="73"/>
  <c r="F7" i="73"/>
  <c r="F8" i="73"/>
  <c r="F9" i="73"/>
  <c r="F10" i="73"/>
  <c r="F11" i="73"/>
  <c r="F12" i="73"/>
  <c r="F13" i="73"/>
  <c r="F6" i="73"/>
  <c r="F15" i="73" s="1"/>
  <c r="E7" i="73"/>
  <c r="E8" i="73"/>
  <c r="E9" i="73"/>
  <c r="E10" i="73"/>
  <c r="E11" i="73"/>
  <c r="E12" i="73"/>
  <c r="E13" i="73"/>
  <c r="E6" i="73"/>
  <c r="D15" i="73"/>
  <c r="C15" i="73"/>
  <c r="D7" i="73"/>
  <c r="D8" i="73"/>
  <c r="D9" i="73"/>
  <c r="D10" i="73"/>
  <c r="D11" i="73"/>
  <c r="D12" i="73"/>
  <c r="D13" i="73"/>
  <c r="D6" i="73"/>
  <c r="L64" i="67"/>
  <c r="M64" i="67"/>
  <c r="N64" i="67"/>
  <c r="N65" i="67" s="1"/>
  <c r="O64" i="67"/>
  <c r="O65" i="67" s="1"/>
  <c r="Q64" i="67"/>
  <c r="Q65" i="67" s="1"/>
  <c r="R64" i="67"/>
  <c r="R65" i="67" s="1"/>
  <c r="S64" i="67"/>
  <c r="T64" i="67"/>
  <c r="T65" i="67" s="1"/>
  <c r="U64" i="67"/>
  <c r="V64" i="67"/>
  <c r="V65" i="67" s="1"/>
  <c r="W64" i="67"/>
  <c r="Y64" i="67"/>
  <c r="Y65" i="67" s="1"/>
  <c r="Z64" i="67"/>
  <c r="Z65" i="67" s="1"/>
  <c r="AA64" i="67"/>
  <c r="AA65" i="67" s="1"/>
  <c r="AB64" i="67"/>
  <c r="AC64" i="67"/>
  <c r="AD64" i="67"/>
  <c r="AD65" i="67" s="1"/>
  <c r="AE64" i="67"/>
  <c r="AE65" i="67" s="1"/>
  <c r="AG64" i="67"/>
  <c r="AG65" i="67" s="1"/>
  <c r="AH64" i="67"/>
  <c r="AH65" i="67" s="1"/>
  <c r="AI64" i="67"/>
  <c r="L58" i="67"/>
  <c r="M58" i="67"/>
  <c r="N58" i="67"/>
  <c r="O58" i="67"/>
  <c r="P58" i="67"/>
  <c r="Q58" i="67"/>
  <c r="R58" i="67"/>
  <c r="S58" i="67"/>
  <c r="T58" i="67"/>
  <c r="U58" i="67"/>
  <c r="V58" i="67"/>
  <c r="W58" i="67"/>
  <c r="X58" i="67"/>
  <c r="Y58" i="67"/>
  <c r="Z58" i="67"/>
  <c r="AA58" i="67"/>
  <c r="AB58" i="67"/>
  <c r="AC58" i="67"/>
  <c r="AD58" i="67"/>
  <c r="AE58" i="67"/>
  <c r="AF58" i="67"/>
  <c r="AG58" i="67"/>
  <c r="AH58" i="67"/>
  <c r="AI58" i="67"/>
  <c r="L59" i="67"/>
  <c r="M59" i="67"/>
  <c r="N59" i="67"/>
  <c r="O59" i="67"/>
  <c r="P59" i="67"/>
  <c r="Q59" i="67"/>
  <c r="R59" i="67"/>
  <c r="S59" i="67"/>
  <c r="T59" i="67"/>
  <c r="U59" i="67"/>
  <c r="V59" i="67"/>
  <c r="W59" i="67"/>
  <c r="X59" i="67"/>
  <c r="Y59" i="67"/>
  <c r="Z59" i="67"/>
  <c r="AA59" i="67"/>
  <c r="AB59" i="67"/>
  <c r="AC59" i="67"/>
  <c r="AD59" i="67"/>
  <c r="AE59" i="67"/>
  <c r="AF59" i="67"/>
  <c r="AG59" i="67"/>
  <c r="AH59" i="67"/>
  <c r="AI59" i="67"/>
  <c r="L60" i="67"/>
  <c r="N60" i="67"/>
  <c r="O60" i="67"/>
  <c r="P60" i="67"/>
  <c r="R60" i="67"/>
  <c r="T60" i="67"/>
  <c r="V60" i="67"/>
  <c r="W60" i="67"/>
  <c r="X60" i="67"/>
  <c r="Z60" i="67"/>
  <c r="AB60" i="67"/>
  <c r="AD60" i="67"/>
  <c r="AE60" i="67"/>
  <c r="AF60" i="67"/>
  <c r="AH60" i="67"/>
  <c r="L61" i="67"/>
  <c r="M61" i="67"/>
  <c r="N61" i="67"/>
  <c r="O61" i="67"/>
  <c r="P61" i="67"/>
  <c r="Q61" i="67"/>
  <c r="R61" i="67"/>
  <c r="S61" i="67"/>
  <c r="T61" i="67"/>
  <c r="U61" i="67"/>
  <c r="V61" i="67"/>
  <c r="W61" i="67"/>
  <c r="X61" i="67"/>
  <c r="Y61" i="67"/>
  <c r="Z61" i="67"/>
  <c r="AA61" i="67"/>
  <c r="AB61" i="67"/>
  <c r="AC61" i="67"/>
  <c r="AD61" i="67"/>
  <c r="AE61" i="67"/>
  <c r="AF61" i="67"/>
  <c r="AG61" i="67"/>
  <c r="AH61" i="67"/>
  <c r="AI61" i="67"/>
  <c r="L62" i="67"/>
  <c r="M62" i="67"/>
  <c r="M63" i="67" s="1"/>
  <c r="N62" i="67"/>
  <c r="N63" i="67" s="1"/>
  <c r="O62" i="67"/>
  <c r="O63" i="67" s="1"/>
  <c r="P62" i="67"/>
  <c r="P63" i="67" s="1"/>
  <c r="R62" i="67"/>
  <c r="R63" i="67" s="1"/>
  <c r="S62" i="67"/>
  <c r="S63" i="67" s="1"/>
  <c r="T62" i="67"/>
  <c r="T63" i="67" s="1"/>
  <c r="U62" i="67"/>
  <c r="U63" i="67" s="1"/>
  <c r="V62" i="67"/>
  <c r="W62" i="67"/>
  <c r="W63" i="67" s="1"/>
  <c r="X62" i="67"/>
  <c r="Z62" i="67"/>
  <c r="Z63" i="67" s="1"/>
  <c r="AA62" i="67"/>
  <c r="AB62" i="67"/>
  <c r="AB63" i="67" s="1"/>
  <c r="AC62" i="67"/>
  <c r="AC63" i="67" s="1"/>
  <c r="AD62" i="67"/>
  <c r="AD63" i="67" s="1"/>
  <c r="AE62" i="67"/>
  <c r="AE63" i="67" s="1"/>
  <c r="AF62" i="67"/>
  <c r="AF63" i="67" s="1"/>
  <c r="AH62" i="67"/>
  <c r="AH63" i="67" s="1"/>
  <c r="AI62" i="67"/>
  <c r="AI63" i="67" s="1"/>
  <c r="K64" i="67"/>
  <c r="K65" i="67" s="1"/>
  <c r="K62" i="67"/>
  <c r="K63" i="67" s="1"/>
  <c r="K61" i="67"/>
  <c r="K59" i="67"/>
  <c r="L57" i="67"/>
  <c r="M57" i="67"/>
  <c r="N57" i="67"/>
  <c r="O57" i="67"/>
  <c r="P57" i="67"/>
  <c r="Q57" i="67"/>
  <c r="R57" i="67"/>
  <c r="S57" i="67"/>
  <c r="T57" i="67"/>
  <c r="U57" i="67"/>
  <c r="V57" i="67"/>
  <c r="W57" i="67"/>
  <c r="X57" i="67"/>
  <c r="Y57" i="67"/>
  <c r="Z57" i="67"/>
  <c r="AA57" i="67"/>
  <c r="AB57" i="67"/>
  <c r="AC57" i="67"/>
  <c r="AD57" i="67"/>
  <c r="AE57" i="67"/>
  <c r="AF57" i="67"/>
  <c r="AG57" i="67"/>
  <c r="AH57" i="67"/>
  <c r="AI57" i="67"/>
  <c r="K57" i="67"/>
  <c r="AI54" i="67"/>
  <c r="AH54" i="67"/>
  <c r="AG54" i="67"/>
  <c r="AF54" i="67"/>
  <c r="AE54" i="67"/>
  <c r="AD54" i="67"/>
  <c r="AC54" i="67"/>
  <c r="AA54" i="67"/>
  <c r="Z54" i="67"/>
  <c r="Y54" i="67"/>
  <c r="X54" i="67"/>
  <c r="W54" i="67"/>
  <c r="V54" i="67"/>
  <c r="U54" i="67"/>
  <c r="S54" i="67"/>
  <c r="R54" i="67"/>
  <c r="Q54" i="67"/>
  <c r="P54" i="67"/>
  <c r="O54" i="67"/>
  <c r="N54" i="67"/>
  <c r="M54" i="67"/>
  <c r="AI53" i="67"/>
  <c r="AG53" i="67"/>
  <c r="AF53" i="67"/>
  <c r="AE53" i="67"/>
  <c r="AC53" i="67"/>
  <c r="AB53" i="67"/>
  <c r="AA53" i="67"/>
  <c r="Y53" i="67"/>
  <c r="X53" i="67"/>
  <c r="W53" i="67"/>
  <c r="U53" i="67"/>
  <c r="T53" i="67"/>
  <c r="S53" i="67"/>
  <c r="Q53" i="67"/>
  <c r="P53" i="67"/>
  <c r="O53" i="67"/>
  <c r="M53" i="67"/>
  <c r="L53" i="67"/>
  <c r="AI52" i="67"/>
  <c r="AH52" i="67"/>
  <c r="AG52" i="67"/>
  <c r="AF52" i="67"/>
  <c r="AE52" i="67"/>
  <c r="AD52" i="67"/>
  <c r="AB52" i="67"/>
  <c r="AA52" i="67"/>
  <c r="Z52" i="67"/>
  <c r="Y52" i="67"/>
  <c r="X52" i="67"/>
  <c r="W52" i="67"/>
  <c r="V52" i="67"/>
  <c r="T52" i="67"/>
  <c r="S52" i="67"/>
  <c r="R52" i="67"/>
  <c r="Q52" i="67"/>
  <c r="P52" i="67"/>
  <c r="O52" i="67"/>
  <c r="N52" i="67"/>
  <c r="L52" i="67"/>
  <c r="AI51" i="67"/>
  <c r="AH51" i="67"/>
  <c r="AG51" i="67"/>
  <c r="AF51" i="67"/>
  <c r="AE51" i="67"/>
  <c r="AC51" i="67"/>
  <c r="AB51" i="67"/>
  <c r="AA51" i="67"/>
  <c r="Z51" i="67"/>
  <c r="Y51" i="67"/>
  <c r="X51" i="67"/>
  <c r="W51" i="67"/>
  <c r="U51" i="67"/>
  <c r="T51" i="67"/>
  <c r="S51" i="67"/>
  <c r="R51" i="67"/>
  <c r="Q51" i="67"/>
  <c r="P51" i="67"/>
  <c r="O51" i="67"/>
  <c r="M51" i="67"/>
  <c r="L51" i="67"/>
  <c r="AI50" i="67"/>
  <c r="AH50" i="67"/>
  <c r="AG50" i="67"/>
  <c r="AF50" i="67"/>
  <c r="AD50" i="67"/>
  <c r="AC50" i="67"/>
  <c r="AB50" i="67"/>
  <c r="AA50" i="67"/>
  <c r="Z50" i="67"/>
  <c r="Y50" i="67"/>
  <c r="X50" i="67"/>
  <c r="V50" i="67"/>
  <c r="U50" i="67"/>
  <c r="T50" i="67"/>
  <c r="S50" i="67"/>
  <c r="R50" i="67"/>
  <c r="Q50" i="67"/>
  <c r="P50" i="67"/>
  <c r="N50" i="67"/>
  <c r="M50" i="67"/>
  <c r="L50" i="67"/>
  <c r="AI49" i="67"/>
  <c r="AH49" i="67"/>
  <c r="AG49" i="67"/>
  <c r="AF49" i="67"/>
  <c r="AE49" i="67"/>
  <c r="AD49" i="67"/>
  <c r="AC49" i="67"/>
  <c r="AB49" i="67"/>
  <c r="AA49" i="67"/>
  <c r="Z49" i="67"/>
  <c r="Y49" i="67"/>
  <c r="X49" i="67"/>
  <c r="W49" i="67"/>
  <c r="V49" i="67"/>
  <c r="U49" i="67"/>
  <c r="T49" i="67"/>
  <c r="S49" i="67"/>
  <c r="R49" i="67"/>
  <c r="Q49" i="67"/>
  <c r="P49" i="67"/>
  <c r="O49" i="67"/>
  <c r="N49" i="67"/>
  <c r="M49" i="67"/>
  <c r="L49" i="67"/>
  <c r="AI48" i="67"/>
  <c r="AH48" i="67"/>
  <c r="AG48" i="67"/>
  <c r="AF48" i="67"/>
  <c r="AE48" i="67"/>
  <c r="AD48" i="67"/>
  <c r="AC48" i="67"/>
  <c r="AB48" i="67"/>
  <c r="AA48" i="67"/>
  <c r="Z48" i="67"/>
  <c r="Y48" i="67"/>
  <c r="X48" i="67"/>
  <c r="W48" i="67"/>
  <c r="V48" i="67"/>
  <c r="U48" i="67"/>
  <c r="T48" i="67"/>
  <c r="S48" i="67"/>
  <c r="R48" i="67"/>
  <c r="Q48" i="67"/>
  <c r="P48" i="67"/>
  <c r="O48" i="67"/>
  <c r="N48" i="67"/>
  <c r="M48" i="67"/>
  <c r="L48" i="67"/>
  <c r="AI47" i="67"/>
  <c r="AG47" i="67"/>
  <c r="AF47" i="67"/>
  <c r="AE47" i="67"/>
  <c r="AD47" i="67"/>
  <c r="AC47" i="67"/>
  <c r="AB47" i="67"/>
  <c r="AA47" i="67"/>
  <c r="Y47" i="67"/>
  <c r="X47" i="67"/>
  <c r="W47" i="67"/>
  <c r="V47" i="67"/>
  <c r="U47" i="67"/>
  <c r="T47" i="67"/>
  <c r="S47" i="67"/>
  <c r="Q47" i="67"/>
  <c r="P47" i="67"/>
  <c r="O47" i="67"/>
  <c r="N47" i="67"/>
  <c r="M47" i="67"/>
  <c r="L47" i="67"/>
  <c r="K54" i="67"/>
  <c r="K52" i="67"/>
  <c r="K51" i="67"/>
  <c r="K50" i="67"/>
  <c r="K49" i="67"/>
  <c r="K48" i="67"/>
  <c r="K47" i="67"/>
  <c r="J64" i="67"/>
  <c r="J65" i="67" s="1"/>
  <c r="J62" i="67"/>
  <c r="J63" i="67" s="1"/>
  <c r="J60" i="67"/>
  <c r="J59" i="67"/>
  <c r="J58" i="67"/>
  <c r="J57" i="67"/>
  <c r="J54" i="67"/>
  <c r="J53" i="67"/>
  <c r="J52" i="67"/>
  <c r="J51" i="67"/>
  <c r="J50" i="67"/>
  <c r="J49" i="67"/>
  <c r="J48" i="67"/>
  <c r="AI44" i="67"/>
  <c r="AI45" i="67" s="1"/>
  <c r="AI42" i="67"/>
  <c r="AI43" i="67" s="1"/>
  <c r="L44" i="67"/>
  <c r="L45" i="67" s="1"/>
  <c r="M44" i="67"/>
  <c r="M45" i="67" s="1"/>
  <c r="N44" i="67"/>
  <c r="N45" i="67" s="1"/>
  <c r="P44" i="67"/>
  <c r="P45" i="67" s="1"/>
  <c r="Q44" i="67"/>
  <c r="R44" i="67"/>
  <c r="R45" i="67" s="1"/>
  <c r="S44" i="67"/>
  <c r="S45" i="67" s="1"/>
  <c r="T44" i="67"/>
  <c r="T45" i="67" s="1"/>
  <c r="U44" i="67"/>
  <c r="U45" i="67" s="1"/>
  <c r="V44" i="67"/>
  <c r="V45" i="67" s="1"/>
  <c r="X44" i="67"/>
  <c r="Y44" i="67"/>
  <c r="Z44" i="67"/>
  <c r="Z45" i="67" s="1"/>
  <c r="AA44" i="67"/>
  <c r="AA45" i="67" s="1"/>
  <c r="AB44" i="67"/>
  <c r="AB45" i="67" s="1"/>
  <c r="AC44" i="67"/>
  <c r="AC45" i="67" s="1"/>
  <c r="AD44" i="67"/>
  <c r="AD45" i="67" s="1"/>
  <c r="AF44" i="67"/>
  <c r="AF45" i="67" s="1"/>
  <c r="AG44" i="67"/>
  <c r="AH44" i="67"/>
  <c r="AH45" i="67" s="1"/>
  <c r="L42" i="67"/>
  <c r="M42" i="67"/>
  <c r="M43" i="67" s="1"/>
  <c r="N42" i="67"/>
  <c r="N43" i="67" s="1"/>
  <c r="O42" i="67"/>
  <c r="O43" i="67" s="1"/>
  <c r="Q42" i="67"/>
  <c r="R42" i="67"/>
  <c r="R43" i="67" s="1"/>
  <c r="S42" i="67"/>
  <c r="S43" i="67" s="1"/>
  <c r="T42" i="67"/>
  <c r="T43" i="67" s="1"/>
  <c r="U42" i="67"/>
  <c r="U43" i="67" s="1"/>
  <c r="V42" i="67"/>
  <c r="V43" i="67" s="1"/>
  <c r="W42" i="67"/>
  <c r="W43" i="67" s="1"/>
  <c r="Y42" i="67"/>
  <c r="Y43" i="67" s="1"/>
  <c r="Z42" i="67"/>
  <c r="Z43" i="67" s="1"/>
  <c r="AA42" i="67"/>
  <c r="AA43" i="67" s="1"/>
  <c r="AB42" i="67"/>
  <c r="AB43" i="67" s="1"/>
  <c r="AC42" i="67"/>
  <c r="AC43" i="67" s="1"/>
  <c r="AD42" i="67"/>
  <c r="AE42" i="67"/>
  <c r="AG42" i="67"/>
  <c r="AH42" i="67"/>
  <c r="AH43" i="67" s="1"/>
  <c r="K44" i="67"/>
  <c r="K45" i="67" s="1"/>
  <c r="K42" i="67"/>
  <c r="K43" i="67" s="1"/>
  <c r="J44" i="67"/>
  <c r="J45" i="67" s="1"/>
  <c r="AI41" i="67"/>
  <c r="L41" i="67"/>
  <c r="M41" i="67"/>
  <c r="N41" i="67"/>
  <c r="O41" i="67"/>
  <c r="P41" i="67"/>
  <c r="R41" i="67"/>
  <c r="S41" i="67"/>
  <c r="T41" i="67"/>
  <c r="U41" i="67"/>
  <c r="V41" i="67"/>
  <c r="W41" i="67"/>
  <c r="X41" i="67"/>
  <c r="Z41" i="67"/>
  <c r="AA41" i="67"/>
  <c r="AB41" i="67"/>
  <c r="AC41" i="67"/>
  <c r="AD41" i="67"/>
  <c r="AE41" i="67"/>
  <c r="AF41" i="67"/>
  <c r="AH41" i="67"/>
  <c r="K41" i="67"/>
  <c r="J41" i="67"/>
  <c r="AI40" i="67"/>
  <c r="L40" i="67"/>
  <c r="M40" i="67"/>
  <c r="N40" i="67"/>
  <c r="O40" i="67"/>
  <c r="P40" i="67"/>
  <c r="Q40" i="67"/>
  <c r="S40" i="67"/>
  <c r="T40" i="67"/>
  <c r="U40" i="67"/>
  <c r="V40" i="67"/>
  <c r="W40" i="67"/>
  <c r="X40" i="67"/>
  <c r="Y40" i="67"/>
  <c r="AA40" i="67"/>
  <c r="AB40" i="67"/>
  <c r="AC40" i="67"/>
  <c r="AD40" i="67"/>
  <c r="AE40" i="67"/>
  <c r="AF40" i="67"/>
  <c r="AG40" i="67"/>
  <c r="K40" i="67"/>
  <c r="J40" i="67"/>
  <c r="L39" i="67"/>
  <c r="M39" i="67"/>
  <c r="Q39" i="67"/>
  <c r="R39" i="67"/>
  <c r="T39" i="67"/>
  <c r="U39" i="67"/>
  <c r="Y39" i="67"/>
  <c r="Z39" i="67"/>
  <c r="AB39" i="67"/>
  <c r="AC39" i="67"/>
  <c r="AG39" i="67"/>
  <c r="AH39" i="67"/>
  <c r="J39" i="67"/>
  <c r="AI38" i="67"/>
  <c r="L38" i="67"/>
  <c r="M38" i="67"/>
  <c r="O38" i="67"/>
  <c r="P38" i="67"/>
  <c r="R38" i="67"/>
  <c r="S38" i="67"/>
  <c r="T38" i="67"/>
  <c r="U38" i="67"/>
  <c r="W38" i="67"/>
  <c r="X38" i="67"/>
  <c r="Z38" i="67"/>
  <c r="AA38" i="67"/>
  <c r="AB38" i="67"/>
  <c r="AC38" i="67"/>
  <c r="AE38" i="67"/>
  <c r="AF38" i="67"/>
  <c r="AH38" i="67"/>
  <c r="K38" i="67"/>
  <c r="AI37" i="67"/>
  <c r="L37" i="67"/>
  <c r="M37" i="67"/>
  <c r="N37" i="67"/>
  <c r="O37" i="67"/>
  <c r="P37" i="67"/>
  <c r="Q37" i="67"/>
  <c r="R37" i="67"/>
  <c r="S37" i="67"/>
  <c r="T37" i="67"/>
  <c r="U37" i="67"/>
  <c r="V37" i="67"/>
  <c r="W37" i="67"/>
  <c r="X37" i="67"/>
  <c r="Y37" i="67"/>
  <c r="Z37" i="67"/>
  <c r="AA37" i="67"/>
  <c r="AB37" i="67"/>
  <c r="AC37" i="67"/>
  <c r="AD37" i="67"/>
  <c r="AE37" i="67"/>
  <c r="AF37" i="67"/>
  <c r="AG37" i="67"/>
  <c r="AH37" i="67"/>
  <c r="K37" i="67"/>
  <c r="J37" i="67"/>
  <c r="L34" i="67"/>
  <c r="M34" i="67"/>
  <c r="N34" i="67"/>
  <c r="O34" i="67"/>
  <c r="P34" i="67"/>
  <c r="Q34" i="67"/>
  <c r="R34" i="67"/>
  <c r="T34" i="67"/>
  <c r="U34" i="67"/>
  <c r="V34" i="67"/>
  <c r="W34" i="67"/>
  <c r="X34" i="67"/>
  <c r="Y34" i="67"/>
  <c r="Z34" i="67"/>
  <c r="AB34" i="67"/>
  <c r="AC34" i="67"/>
  <c r="AD34" i="67"/>
  <c r="AE34" i="67"/>
  <c r="AF34" i="67"/>
  <c r="AG34" i="67"/>
  <c r="AH34" i="67"/>
  <c r="J34" i="67"/>
  <c r="L43" i="67"/>
  <c r="Q43" i="67"/>
  <c r="AD43" i="67"/>
  <c r="AE43" i="67"/>
  <c r="AG43" i="67"/>
  <c r="Q45" i="67"/>
  <c r="X45" i="67"/>
  <c r="Y45" i="67"/>
  <c r="AG45" i="67"/>
  <c r="AI65" i="67"/>
  <c r="L65" i="67"/>
  <c r="M65" i="67"/>
  <c r="S65" i="67"/>
  <c r="U65" i="67"/>
  <c r="W65" i="67"/>
  <c r="AB65" i="67"/>
  <c r="AC65" i="67"/>
  <c r="L63" i="67"/>
  <c r="V63" i="67"/>
  <c r="X63" i="67"/>
  <c r="AA63" i="67"/>
  <c r="L33" i="67"/>
  <c r="N33" i="67"/>
  <c r="O33" i="67"/>
  <c r="Q33" i="67"/>
  <c r="R33" i="67"/>
  <c r="S33" i="67"/>
  <c r="T33" i="67"/>
  <c r="K33" i="67"/>
  <c r="J33" i="67"/>
  <c r="AI32" i="67"/>
  <c r="AI31" i="67"/>
  <c r="AI30" i="67"/>
  <c r="AH31" i="67"/>
  <c r="L30" i="67"/>
  <c r="M30" i="67"/>
  <c r="O30" i="67"/>
  <c r="P30" i="67"/>
  <c r="Q30" i="67"/>
  <c r="R30" i="67"/>
  <c r="S30" i="67"/>
  <c r="T30" i="67"/>
  <c r="U30" i="67"/>
  <c r="W30" i="67"/>
  <c r="X30" i="67"/>
  <c r="Y30" i="67"/>
  <c r="Z30" i="67"/>
  <c r="AA30" i="67"/>
  <c r="AB30" i="67"/>
  <c r="AC30" i="67"/>
  <c r="AE30" i="67"/>
  <c r="AF30" i="67"/>
  <c r="AG30" i="67"/>
  <c r="AH30" i="67"/>
  <c r="L31" i="67"/>
  <c r="M31" i="67"/>
  <c r="N31" i="67"/>
  <c r="O31" i="67"/>
  <c r="P31" i="67"/>
  <c r="Q31" i="67"/>
  <c r="R31" i="67"/>
  <c r="S31" i="67"/>
  <c r="T31" i="67"/>
  <c r="U31" i="67"/>
  <c r="V31" i="67"/>
  <c r="W31" i="67"/>
  <c r="X31" i="67"/>
  <c r="Y31" i="67"/>
  <c r="Z31" i="67"/>
  <c r="AA31" i="67"/>
  <c r="AB31" i="67"/>
  <c r="AC31" i="67"/>
  <c r="AD31" i="67"/>
  <c r="AE31" i="67"/>
  <c r="AF31" i="67"/>
  <c r="AG31" i="67"/>
  <c r="M32" i="67"/>
  <c r="N32" i="67"/>
  <c r="O32" i="67"/>
  <c r="P32" i="67"/>
  <c r="Q32" i="67"/>
  <c r="R32" i="67"/>
  <c r="S32" i="67"/>
  <c r="U32" i="67"/>
  <c r="V32" i="67"/>
  <c r="W32" i="67"/>
  <c r="X32" i="67"/>
  <c r="Y32" i="67"/>
  <c r="Z32" i="67"/>
  <c r="AA32" i="67"/>
  <c r="AC32" i="67"/>
  <c r="AD32" i="67"/>
  <c r="AE32" i="67"/>
  <c r="AF32" i="67"/>
  <c r="AG32" i="67"/>
  <c r="AH32" i="67"/>
  <c r="K32" i="67"/>
  <c r="K31" i="67"/>
  <c r="K30" i="67"/>
  <c r="J32" i="67"/>
  <c r="J31" i="67"/>
  <c r="J30" i="67"/>
  <c r="AI29" i="67"/>
  <c r="AI28" i="67"/>
  <c r="AI27" i="67"/>
  <c r="L27" i="67"/>
  <c r="M27" i="67"/>
  <c r="N27" i="67"/>
  <c r="O27" i="67"/>
  <c r="P27" i="67"/>
  <c r="Q27" i="67"/>
  <c r="R27" i="67"/>
  <c r="S27" i="67"/>
  <c r="T27" i="67"/>
  <c r="U27" i="67"/>
  <c r="V27" i="67"/>
  <c r="W27" i="67"/>
  <c r="X27" i="67"/>
  <c r="Y27" i="67"/>
  <c r="Z27" i="67"/>
  <c r="AA27" i="67"/>
  <c r="AB27" i="67"/>
  <c r="AC27" i="67"/>
  <c r="AD27" i="67"/>
  <c r="AE27" i="67"/>
  <c r="AF27" i="67"/>
  <c r="AG27" i="67"/>
  <c r="AH27" i="67"/>
  <c r="L28" i="67"/>
  <c r="M28" i="67"/>
  <c r="N28" i="67"/>
  <c r="O28" i="67"/>
  <c r="P28" i="67"/>
  <c r="Q28" i="67"/>
  <c r="R28" i="67"/>
  <c r="S28" i="67"/>
  <c r="T28" i="67"/>
  <c r="U28" i="67"/>
  <c r="V28" i="67"/>
  <c r="W28" i="67"/>
  <c r="X28" i="67"/>
  <c r="Y28" i="67"/>
  <c r="Z28" i="67"/>
  <c r="AA28" i="67"/>
  <c r="AB28" i="67"/>
  <c r="AC28" i="67"/>
  <c r="AD28" i="67"/>
  <c r="AE28" i="67"/>
  <c r="AF28" i="67"/>
  <c r="AG28" i="67"/>
  <c r="AH28" i="67"/>
  <c r="L29" i="67"/>
  <c r="M29" i="67"/>
  <c r="N29" i="67"/>
  <c r="O29" i="67"/>
  <c r="P29" i="67"/>
  <c r="Q29" i="67"/>
  <c r="R29" i="67"/>
  <c r="S29" i="67"/>
  <c r="T29" i="67"/>
  <c r="U29" i="67"/>
  <c r="V29" i="67"/>
  <c r="W29" i="67"/>
  <c r="X29" i="67"/>
  <c r="Y29" i="67"/>
  <c r="Z29" i="67"/>
  <c r="AA29" i="67"/>
  <c r="AB29" i="67"/>
  <c r="AC29" i="67"/>
  <c r="AD29" i="67"/>
  <c r="AE29" i="67"/>
  <c r="AF29" i="67"/>
  <c r="AG29" i="67"/>
  <c r="AH29" i="67"/>
  <c r="K29" i="67"/>
  <c r="K28" i="67"/>
  <c r="K27" i="67"/>
  <c r="J29" i="67"/>
  <c r="J28" i="67"/>
  <c r="L21" i="67"/>
  <c r="M21" i="67"/>
  <c r="N21" i="67"/>
  <c r="O21" i="67"/>
  <c r="P21" i="67"/>
  <c r="Q21" i="67"/>
  <c r="S21" i="67"/>
  <c r="T21" i="67"/>
  <c r="U21" i="67"/>
  <c r="V21" i="67"/>
  <c r="W21" i="67"/>
  <c r="Y21" i="67"/>
  <c r="Z21" i="67"/>
  <c r="AB21" i="67"/>
  <c r="AC21" i="67"/>
  <c r="AD21" i="67"/>
  <c r="AE21" i="67"/>
  <c r="AG21" i="67"/>
  <c r="AH21" i="67"/>
  <c r="L22" i="67"/>
  <c r="M22" i="67"/>
  <c r="N22" i="67"/>
  <c r="N23" i="67" s="1"/>
  <c r="O22" i="67"/>
  <c r="P22" i="67"/>
  <c r="P23" i="67" s="1"/>
  <c r="Q22" i="67"/>
  <c r="Q23" i="67" s="1"/>
  <c r="S22" i="67"/>
  <c r="S23" i="67" s="1"/>
  <c r="T22" i="67"/>
  <c r="U22" i="67"/>
  <c r="V22" i="67"/>
  <c r="V23" i="67" s="1"/>
  <c r="W22" i="67"/>
  <c r="W23" i="67" s="1"/>
  <c r="Y22" i="67"/>
  <c r="Z22" i="67"/>
  <c r="Z23" i="67" s="1"/>
  <c r="AA22" i="67"/>
  <c r="AA23" i="67" s="1"/>
  <c r="AB22" i="67"/>
  <c r="AB23" i="67" s="1"/>
  <c r="AC22" i="67"/>
  <c r="AC23" i="67" s="1"/>
  <c r="AD22" i="67"/>
  <c r="AD23" i="67" s="1"/>
  <c r="AE22" i="67"/>
  <c r="AE23" i="67" s="1"/>
  <c r="AG22" i="67"/>
  <c r="AH22" i="67"/>
  <c r="AH23" i="67" s="1"/>
  <c r="AI22" i="67"/>
  <c r="AI23" i="67" s="1"/>
  <c r="L23" i="67"/>
  <c r="M23" i="67"/>
  <c r="O23" i="67"/>
  <c r="T23" i="67"/>
  <c r="U23" i="67"/>
  <c r="Y23" i="67"/>
  <c r="AG23" i="67"/>
  <c r="L24" i="67"/>
  <c r="M24" i="67"/>
  <c r="N24" i="67"/>
  <c r="O24" i="67"/>
  <c r="O25" i="67" s="1"/>
  <c r="P24" i="67"/>
  <c r="P25" i="67" s="1"/>
  <c r="Q24" i="67"/>
  <c r="Q25" i="67" s="1"/>
  <c r="S24" i="67"/>
  <c r="T24" i="67"/>
  <c r="T25" i="67" s="1"/>
  <c r="U24" i="67"/>
  <c r="V24" i="67"/>
  <c r="V25" i="67" s="1"/>
  <c r="W24" i="67"/>
  <c r="W25" i="67" s="1"/>
  <c r="Y24" i="67"/>
  <c r="Z24" i="67"/>
  <c r="AB24" i="67"/>
  <c r="AB25" i="67" s="1"/>
  <c r="AC24" i="67"/>
  <c r="AD24" i="67"/>
  <c r="AD25" i="67" s="1"/>
  <c r="AE24" i="67"/>
  <c r="AE25" i="67" s="1"/>
  <c r="AG24" i="67"/>
  <c r="AG25" i="67" s="1"/>
  <c r="AH24" i="67"/>
  <c r="L25" i="67"/>
  <c r="M25" i="67"/>
  <c r="N25" i="67"/>
  <c r="S25" i="67"/>
  <c r="U25" i="67"/>
  <c r="Y25" i="67"/>
  <c r="Z25" i="67"/>
  <c r="AC25" i="67"/>
  <c r="AH25" i="67"/>
  <c r="K24" i="67"/>
  <c r="K25" i="67" s="1"/>
  <c r="K22" i="67"/>
  <c r="K23" i="67" s="1"/>
  <c r="K21" i="67"/>
  <c r="J24" i="67"/>
  <c r="J25" i="67" s="1"/>
  <c r="L20" i="67"/>
  <c r="M20" i="67"/>
  <c r="N20" i="67"/>
  <c r="O20" i="67"/>
  <c r="P20" i="67"/>
  <c r="Q20" i="67"/>
  <c r="S20" i="67"/>
  <c r="T20" i="67"/>
  <c r="U20" i="67"/>
  <c r="V20" i="67"/>
  <c r="W20" i="67"/>
  <c r="Y20" i="67"/>
  <c r="Z20" i="67"/>
  <c r="AB20" i="67"/>
  <c r="AC20" i="67"/>
  <c r="AD20" i="67"/>
  <c r="AE20" i="67"/>
  <c r="AG20" i="67"/>
  <c r="AH20" i="67"/>
  <c r="K20" i="67"/>
  <c r="J20" i="67"/>
  <c r="L19" i="67"/>
  <c r="M19" i="67"/>
  <c r="N19" i="67"/>
  <c r="O19" i="67"/>
  <c r="P19" i="67"/>
  <c r="Q19" i="67"/>
  <c r="S19" i="67"/>
  <c r="T19" i="67"/>
  <c r="U19" i="67"/>
  <c r="V19" i="67"/>
  <c r="W19" i="67"/>
  <c r="X19" i="67"/>
  <c r="Y19" i="67"/>
  <c r="AB19" i="67"/>
  <c r="AC19" i="67"/>
  <c r="AD19" i="67"/>
  <c r="AE19" i="67"/>
  <c r="AF19" i="67"/>
  <c r="AG19" i="67"/>
  <c r="K19" i="67"/>
  <c r="J19" i="67"/>
  <c r="L18" i="67"/>
  <c r="M18" i="67"/>
  <c r="N18" i="67"/>
  <c r="O18" i="67"/>
  <c r="P18" i="67"/>
  <c r="Q18" i="67"/>
  <c r="S18" i="67"/>
  <c r="T18" i="67"/>
  <c r="U18" i="67"/>
  <c r="V18" i="67"/>
  <c r="W18" i="67"/>
  <c r="Y18" i="67"/>
  <c r="Z18" i="67"/>
  <c r="AB18" i="67"/>
  <c r="AC18" i="67"/>
  <c r="AD18" i="67"/>
  <c r="AE18" i="67"/>
  <c r="AG18" i="67"/>
  <c r="AH18" i="67"/>
  <c r="K18" i="67"/>
  <c r="CL61" i="67"/>
  <c r="CK61" i="67"/>
  <c r="CM61" i="67" s="1"/>
  <c r="CM60" i="67"/>
  <c r="CL60" i="67"/>
  <c r="CK60" i="67"/>
  <c r="CL59" i="67"/>
  <c r="CK59" i="67"/>
  <c r="CM59" i="67" s="1"/>
  <c r="CL58" i="67"/>
  <c r="CK58" i="67"/>
  <c r="CM58" i="67" s="1"/>
  <c r="CL54" i="67"/>
  <c r="CK54" i="67"/>
  <c r="CM54" i="67" s="1"/>
  <c r="CL53" i="67"/>
  <c r="CK53" i="67"/>
  <c r="CM53" i="67" s="1"/>
  <c r="CL50" i="67"/>
  <c r="CK50" i="67"/>
  <c r="CM50" i="67" s="1"/>
  <c r="CL47" i="67"/>
  <c r="CK47" i="67"/>
  <c r="CM47" i="67" s="1"/>
  <c r="CM41" i="67"/>
  <c r="CL41" i="67"/>
  <c r="CK41" i="67"/>
  <c r="CL40" i="67"/>
  <c r="CK40" i="67"/>
  <c r="CM40" i="67" s="1"/>
  <c r="CL39" i="67"/>
  <c r="CK39" i="67"/>
  <c r="CM39" i="67" s="1"/>
  <c r="CL38" i="67"/>
  <c r="CK38" i="67"/>
  <c r="CM38" i="67" s="1"/>
  <c r="CM34" i="67"/>
  <c r="CL34" i="67"/>
  <c r="CK34" i="67"/>
  <c r="CL33" i="67"/>
  <c r="CK33" i="67"/>
  <c r="CM33" i="67" s="1"/>
  <c r="CL30" i="67"/>
  <c r="CK30" i="67"/>
  <c r="CM30" i="67" s="1"/>
  <c r="CM27" i="67"/>
  <c r="CL27" i="67"/>
  <c r="CK27" i="67"/>
  <c r="CK13" i="67"/>
  <c r="CL21" i="67"/>
  <c r="CL20" i="67"/>
  <c r="CL19" i="67"/>
  <c r="CL18" i="67"/>
  <c r="CL14" i="67"/>
  <c r="CL13" i="67"/>
  <c r="CL10" i="67"/>
  <c r="CL7" i="67"/>
  <c r="CK21" i="67"/>
  <c r="CK20" i="67"/>
  <c r="CK19" i="67"/>
  <c r="CK18" i="67"/>
  <c r="CK14" i="67"/>
  <c r="CK10" i="67"/>
  <c r="CK7" i="67"/>
  <c r="AI17" i="67"/>
  <c r="L16" i="67"/>
  <c r="M16" i="67"/>
  <c r="N16" i="67"/>
  <c r="O16" i="67"/>
  <c r="P16" i="67"/>
  <c r="Q16" i="67"/>
  <c r="S16" i="67"/>
  <c r="T16" i="67"/>
  <c r="U16" i="67"/>
  <c r="V16" i="67"/>
  <c r="W16" i="67"/>
  <c r="X16" i="67"/>
  <c r="Y16" i="67"/>
  <c r="Z16" i="67"/>
  <c r="AA16" i="67"/>
  <c r="AB16" i="67"/>
  <c r="AC16" i="67"/>
  <c r="AD16" i="67"/>
  <c r="AE16" i="67"/>
  <c r="AF16" i="67"/>
  <c r="AG16" i="67"/>
  <c r="AH16" i="67"/>
  <c r="L17" i="67"/>
  <c r="M17" i="67"/>
  <c r="N17" i="67"/>
  <c r="O17" i="67"/>
  <c r="P17" i="67"/>
  <c r="Q17" i="67"/>
  <c r="S17" i="67"/>
  <c r="T17" i="67"/>
  <c r="U17" i="67"/>
  <c r="V17" i="67"/>
  <c r="Y17" i="67"/>
  <c r="Z17" i="67"/>
  <c r="AB17" i="67"/>
  <c r="AC17" i="67"/>
  <c r="AD17" i="67"/>
  <c r="AG17" i="67"/>
  <c r="AH17" i="67"/>
  <c r="K17" i="67"/>
  <c r="K16" i="67"/>
  <c r="J17" i="67"/>
  <c r="J16" i="67"/>
  <c r="AH14" i="67"/>
  <c r="AG14" i="67"/>
  <c r="AF14" i="67"/>
  <c r="AE14" i="67"/>
  <c r="AD14" i="67"/>
  <c r="AC14" i="67"/>
  <c r="AB14" i="67"/>
  <c r="Z14" i="67"/>
  <c r="Y14" i="67"/>
  <c r="X14" i="67"/>
  <c r="W14" i="67"/>
  <c r="V14" i="67"/>
  <c r="U14" i="67"/>
  <c r="T14" i="67"/>
  <c r="S14" i="67"/>
  <c r="Q14" i="67"/>
  <c r="P14" i="67"/>
  <c r="O14" i="67"/>
  <c r="N14" i="67"/>
  <c r="M14" i="67"/>
  <c r="L14" i="67"/>
  <c r="J14" i="67"/>
  <c r="Q13" i="67"/>
  <c r="S13" i="67"/>
  <c r="T13" i="67"/>
  <c r="U13" i="67"/>
  <c r="V13" i="67"/>
  <c r="W13" i="67"/>
  <c r="Y13" i="67"/>
  <c r="Z13" i="67"/>
  <c r="AB13" i="67"/>
  <c r="AC13" i="67"/>
  <c r="AD13" i="67"/>
  <c r="AE13" i="67"/>
  <c r="AG13" i="67"/>
  <c r="AH13" i="67"/>
  <c r="L13" i="67"/>
  <c r="M13" i="67"/>
  <c r="N13" i="67"/>
  <c r="O13" i="67"/>
  <c r="P13" i="67"/>
  <c r="K13" i="67"/>
  <c r="L10" i="67"/>
  <c r="M10" i="67"/>
  <c r="N10" i="67"/>
  <c r="O10" i="67"/>
  <c r="P10" i="67"/>
  <c r="Q10" i="67"/>
  <c r="S10" i="67"/>
  <c r="T10" i="67"/>
  <c r="U10" i="67"/>
  <c r="V10" i="67"/>
  <c r="W10" i="67"/>
  <c r="X10" i="67"/>
  <c r="Y10" i="67"/>
  <c r="Z10" i="67"/>
  <c r="AB10" i="67"/>
  <c r="AC10" i="67"/>
  <c r="AD10" i="67"/>
  <c r="AE10" i="67"/>
  <c r="AF10" i="67"/>
  <c r="AG10" i="67"/>
  <c r="AH10" i="67"/>
  <c r="L11" i="67"/>
  <c r="M11" i="67"/>
  <c r="N11" i="67"/>
  <c r="O11" i="67"/>
  <c r="P11" i="67"/>
  <c r="Q11" i="67"/>
  <c r="S11" i="67"/>
  <c r="T11" i="67"/>
  <c r="U11" i="67"/>
  <c r="V11" i="67"/>
  <c r="W11" i="67"/>
  <c r="Y11" i="67"/>
  <c r="Z11" i="67"/>
  <c r="AB11" i="67"/>
  <c r="AC11" i="67"/>
  <c r="AD11" i="67"/>
  <c r="AE11" i="67"/>
  <c r="AG11" i="67"/>
  <c r="AH11" i="67"/>
  <c r="L12" i="67"/>
  <c r="M12" i="67"/>
  <c r="N12" i="67"/>
  <c r="O12" i="67"/>
  <c r="P12" i="67"/>
  <c r="Q12" i="67"/>
  <c r="S12" i="67"/>
  <c r="T12" i="67"/>
  <c r="U12" i="67"/>
  <c r="V12" i="67"/>
  <c r="W12" i="67"/>
  <c r="Y12" i="67"/>
  <c r="Z12" i="67"/>
  <c r="AB12" i="67"/>
  <c r="AC12" i="67"/>
  <c r="AD12" i="67"/>
  <c r="AE12" i="67"/>
  <c r="AG12" i="67"/>
  <c r="AH12" i="67"/>
  <c r="K12" i="67"/>
  <c r="K11" i="67"/>
  <c r="J12" i="67"/>
  <c r="J11" i="67"/>
  <c r="K10" i="67"/>
  <c r="J10" i="67"/>
  <c r="AI9" i="67"/>
  <c r="L7" i="67"/>
  <c r="M7" i="67"/>
  <c r="N7" i="67"/>
  <c r="O7" i="67"/>
  <c r="P7" i="67"/>
  <c r="Q7" i="67"/>
  <c r="S7" i="67"/>
  <c r="T7" i="67"/>
  <c r="U7" i="67"/>
  <c r="V7" i="67"/>
  <c r="W7" i="67"/>
  <c r="X7" i="67"/>
  <c r="Y7" i="67"/>
  <c r="Z7" i="67"/>
  <c r="AB7" i="67"/>
  <c r="AC7" i="67"/>
  <c r="AD7" i="67"/>
  <c r="AE7" i="67"/>
  <c r="AF7" i="67"/>
  <c r="AG7" i="67"/>
  <c r="AH7" i="67"/>
  <c r="L8" i="67"/>
  <c r="M8" i="67"/>
  <c r="N8" i="67"/>
  <c r="O8" i="67"/>
  <c r="P8" i="67"/>
  <c r="Q8" i="67"/>
  <c r="S8" i="67"/>
  <c r="T8" i="67"/>
  <c r="U8" i="67"/>
  <c r="V8" i="67"/>
  <c r="W8" i="67"/>
  <c r="X8" i="67"/>
  <c r="Y8" i="67"/>
  <c r="Z8" i="67"/>
  <c r="AB8" i="67"/>
  <c r="AC8" i="67"/>
  <c r="AD8" i="67"/>
  <c r="AE8" i="67"/>
  <c r="AF8" i="67"/>
  <c r="AG8" i="67"/>
  <c r="AH8" i="67"/>
  <c r="L9" i="67"/>
  <c r="M9" i="67"/>
  <c r="N9" i="67"/>
  <c r="O9" i="67"/>
  <c r="P9" i="67"/>
  <c r="Q9" i="67"/>
  <c r="S9" i="67"/>
  <c r="T9" i="67"/>
  <c r="U9" i="67"/>
  <c r="V9" i="67"/>
  <c r="W9" i="67"/>
  <c r="X9" i="67"/>
  <c r="Y9" i="67"/>
  <c r="Z9" i="67"/>
  <c r="AB9" i="67"/>
  <c r="AC9" i="67"/>
  <c r="AD9" i="67"/>
  <c r="AE9" i="67"/>
  <c r="AF9" i="67"/>
  <c r="AG9" i="67"/>
  <c r="AH9" i="67"/>
  <c r="K9" i="67"/>
  <c r="K8" i="67"/>
  <c r="K7" i="67"/>
  <c r="J9" i="67"/>
  <c r="J8" i="67"/>
  <c r="H228" i="48"/>
  <c r="H219" i="48"/>
  <c r="H220" i="48"/>
  <c r="H221" i="48"/>
  <c r="H222" i="48"/>
  <c r="H223" i="48"/>
  <c r="H224" i="48"/>
  <c r="H225" i="48"/>
  <c r="H226" i="48"/>
  <c r="H227" i="48"/>
  <c r="H218" i="48"/>
  <c r="F228" i="48"/>
  <c r="F219" i="48"/>
  <c r="F220" i="48"/>
  <c r="F221" i="48"/>
  <c r="F222" i="48"/>
  <c r="F223" i="48"/>
  <c r="F224" i="48"/>
  <c r="F225" i="48"/>
  <c r="F226" i="48"/>
  <c r="F227" i="48"/>
  <c r="F218" i="48"/>
  <c r="E229" i="48"/>
  <c r="E228" i="48"/>
  <c r="C229" i="48"/>
  <c r="C228" i="48"/>
  <c r="D219" i="48"/>
  <c r="E219" i="48"/>
  <c r="D220" i="48"/>
  <c r="E220" i="48"/>
  <c r="D221" i="48"/>
  <c r="E221" i="48"/>
  <c r="D222" i="48"/>
  <c r="E222" i="48"/>
  <c r="D223" i="48"/>
  <c r="E223" i="48"/>
  <c r="D224" i="48"/>
  <c r="E224" i="48"/>
  <c r="D225" i="48"/>
  <c r="E225" i="48"/>
  <c r="D226" i="48"/>
  <c r="E226" i="48"/>
  <c r="D227" i="48"/>
  <c r="E227" i="48"/>
  <c r="D218" i="48"/>
  <c r="E218" i="48"/>
  <c r="C219" i="48"/>
  <c r="C220" i="48"/>
  <c r="C221" i="48"/>
  <c r="C222" i="48"/>
  <c r="C223" i="48"/>
  <c r="C224" i="48"/>
  <c r="C225" i="48"/>
  <c r="C226" i="48"/>
  <c r="C227" i="48"/>
  <c r="C218" i="48"/>
  <c r="G685" i="68"/>
  <c r="E120" i="48" a="1"/>
  <c r="E120" i="48" s="1"/>
  <c r="D120" i="48" a="1"/>
  <c r="D120" i="48" s="1"/>
  <c r="F14" i="72"/>
  <c r="F13" i="72"/>
  <c r="C20" i="68"/>
  <c r="D20" i="68"/>
  <c r="E20" i="68"/>
  <c r="F20" i="68"/>
  <c r="G20" i="68"/>
  <c r="H20" i="68"/>
  <c r="I20" i="68"/>
  <c r="J20" i="68"/>
  <c r="K20" i="68"/>
  <c r="G21" i="68"/>
  <c r="H21" i="68"/>
  <c r="D19" i="68"/>
  <c r="E19" i="68"/>
  <c r="F19" i="68"/>
  <c r="G19" i="68"/>
  <c r="H19" i="68"/>
  <c r="I19" i="68"/>
  <c r="J19" i="68"/>
  <c r="K19" i="68"/>
  <c r="C19" i="68"/>
  <c r="E8" i="18"/>
  <c r="F8" i="18"/>
  <c r="G8" i="18"/>
  <c r="H8" i="18"/>
  <c r="I8" i="18"/>
  <c r="J8" i="18"/>
  <c r="K8" i="18"/>
  <c r="L8" i="18"/>
  <c r="M8" i="18"/>
  <c r="F7" i="18"/>
  <c r="G7" i="18"/>
  <c r="H7" i="18"/>
  <c r="I7" i="18"/>
  <c r="J7" i="18"/>
  <c r="K7" i="18"/>
  <c r="L7" i="18"/>
  <c r="M7" i="18"/>
  <c r="E7" i="18"/>
  <c r="L36" i="1"/>
  <c r="M9" i="18" s="1"/>
  <c r="K36" i="1"/>
  <c r="L9" i="18" s="1"/>
  <c r="J36" i="1"/>
  <c r="K9" i="18" s="1"/>
  <c r="I36" i="1"/>
  <c r="J9" i="18" s="1"/>
  <c r="H36" i="1"/>
  <c r="I9" i="18" s="1"/>
  <c r="G36" i="1"/>
  <c r="H9" i="18" s="1"/>
  <c r="F36" i="1"/>
  <c r="G9" i="18" s="1"/>
  <c r="E36" i="1"/>
  <c r="F9" i="18" s="1"/>
  <c r="D36" i="1"/>
  <c r="E9" i="18" s="1"/>
  <c r="P17" i="73" l="1"/>
  <c r="R16" i="67"/>
  <c r="L9" i="73"/>
  <c r="M9" i="73" s="1"/>
  <c r="M6" i="73"/>
  <c r="L7" i="73"/>
  <c r="M7" i="73" s="1"/>
  <c r="I9" i="73"/>
  <c r="J9" i="73" s="1"/>
  <c r="H6" i="73"/>
  <c r="I7" i="73"/>
  <c r="J7" i="73" s="1"/>
  <c r="H13" i="73"/>
  <c r="H12" i="73"/>
  <c r="I12" i="73" s="1"/>
  <c r="J12" i="73" s="1"/>
  <c r="H11" i="73"/>
  <c r="AJ10" i="73"/>
  <c r="AK10" i="73" s="1"/>
  <c r="AL10" i="73" s="1"/>
  <c r="AM10" i="73" s="1"/>
  <c r="AN10" i="73" s="1"/>
  <c r="AO10" i="73" s="1"/>
  <c r="AI10" i="73"/>
  <c r="AD9" i="73"/>
  <c r="AE9" i="73" s="1"/>
  <c r="AF9" i="73" s="1"/>
  <c r="AG9" i="73" s="1"/>
  <c r="AH9" i="73" s="1"/>
  <c r="AI9" i="73" s="1"/>
  <c r="AJ9" i="73" s="1"/>
  <c r="AK9" i="73" s="1"/>
  <c r="AL9" i="73" s="1"/>
  <c r="AM9" i="73" s="1"/>
  <c r="AF13" i="73"/>
  <c r="AD11" i="73"/>
  <c r="AE13" i="73"/>
  <c r="AE12" i="73"/>
  <c r="AG12" i="73" s="1"/>
  <c r="AH12" i="73" s="1"/>
  <c r="AE11" i="73"/>
  <c r="AA15" i="73"/>
  <c r="AG3" i="73"/>
  <c r="AB15" i="73"/>
  <c r="AE7" i="73"/>
  <c r="AD3" i="73"/>
  <c r="AC15" i="73"/>
  <c r="AD15" i="73"/>
  <c r="Z15" i="73"/>
  <c r="Y15" i="73"/>
  <c r="X15" i="73"/>
  <c r="M13" i="73"/>
  <c r="M10" i="73"/>
  <c r="L12" i="73"/>
  <c r="N9" i="73"/>
  <c r="O9" i="73" s="1"/>
  <c r="L8" i="73"/>
  <c r="N10" i="73"/>
  <c r="K15" i="73"/>
  <c r="N7" i="73"/>
  <c r="M11" i="73"/>
  <c r="N8" i="73"/>
  <c r="O8" i="73" s="1"/>
  <c r="G15" i="73"/>
  <c r="I21" i="68"/>
  <c r="F21" i="68"/>
  <c r="E21" i="68"/>
  <c r="D21" i="68"/>
  <c r="K21" i="68"/>
  <c r="C21" i="68"/>
  <c r="J21" i="68"/>
  <c r="I11" i="73" l="1"/>
  <c r="J11" i="73" s="1"/>
  <c r="N12" i="73"/>
  <c r="O12" i="73" s="1"/>
  <c r="I13" i="73"/>
  <c r="J13" i="73" s="1"/>
  <c r="H15" i="73"/>
  <c r="N6" i="73"/>
  <c r="I6" i="73"/>
  <c r="J6" i="73" s="1"/>
  <c r="J15" i="73" s="1"/>
  <c r="O7" i="73"/>
  <c r="P7" i="73" s="1"/>
  <c r="N13" i="73"/>
  <c r="N11" i="73"/>
  <c r="O10" i="73"/>
  <c r="P10" i="73" s="1"/>
  <c r="AO9" i="73"/>
  <c r="AP9" i="73" s="1"/>
  <c r="AQ9" i="73" s="1"/>
  <c r="AR9" i="73" s="1"/>
  <c r="AN9" i="73"/>
  <c r="AF11" i="73"/>
  <c r="AG11" i="73" s="1"/>
  <c r="AG13" i="73"/>
  <c r="AH13" i="73" s="1"/>
  <c r="AP10" i="73"/>
  <c r="AQ10" i="73" s="1"/>
  <c r="AR10" i="73" s="1"/>
  <c r="AS10" i="73" s="1"/>
  <c r="AT10" i="73" s="1"/>
  <c r="AU10" i="73" s="1"/>
  <c r="AV10" i="73" s="1"/>
  <c r="AE15" i="73"/>
  <c r="AF7" i="73"/>
  <c r="AF15" i="73" s="1"/>
  <c r="M8" i="73"/>
  <c r="M15" i="73" s="1"/>
  <c r="P9" i="73"/>
  <c r="M12" i="73"/>
  <c r="L15" i="73"/>
  <c r="P8" i="73"/>
  <c r="H22" i="72"/>
  <c r="AG382" i="72"/>
  <c r="AG381" i="72"/>
  <c r="AG380" i="72"/>
  <c r="AG377" i="72"/>
  <c r="AG376" i="72"/>
  <c r="AG375" i="72"/>
  <c r="AG374" i="72"/>
  <c r="AG373" i="72"/>
  <c r="AG372" i="72"/>
  <c r="AG370" i="72"/>
  <c r="AG209" i="72"/>
  <c r="AG208" i="72"/>
  <c r="AG207" i="72"/>
  <c r="AG204" i="72"/>
  <c r="AG203" i="72"/>
  <c r="AG202" i="72"/>
  <c r="AG201" i="72"/>
  <c r="AG200" i="72"/>
  <c r="AG199" i="72"/>
  <c r="AG197" i="72"/>
  <c r="AG34" i="72"/>
  <c r="AG33" i="72"/>
  <c r="AG32" i="72"/>
  <c r="AG31" i="72"/>
  <c r="AG29" i="72"/>
  <c r="AG28" i="72"/>
  <c r="AG27" i="72"/>
  <c r="AG26" i="72"/>
  <c r="AG25" i="72"/>
  <c r="AG24" i="72"/>
  <c r="AG22" i="72"/>
  <c r="AF382" i="72"/>
  <c r="AF381" i="72"/>
  <c r="AF380" i="72"/>
  <c r="AF377" i="72"/>
  <c r="AF376" i="72"/>
  <c r="AF375" i="72"/>
  <c r="AF374" i="72"/>
  <c r="AF373" i="72"/>
  <c r="AF372" i="72"/>
  <c r="AF370" i="72"/>
  <c r="AF209" i="72"/>
  <c r="AF208" i="72"/>
  <c r="AF207" i="72"/>
  <c r="AF204" i="72"/>
  <c r="AF203" i="72"/>
  <c r="AF202" i="72"/>
  <c r="AF201" i="72"/>
  <c r="AF200" i="72"/>
  <c r="AF199" i="72"/>
  <c r="AF197" i="72"/>
  <c r="AF34" i="72"/>
  <c r="AF33" i="72"/>
  <c r="AF32" i="72"/>
  <c r="AF31" i="72"/>
  <c r="AF29" i="72"/>
  <c r="AF28" i="72"/>
  <c r="AF27" i="72"/>
  <c r="AF26" i="72"/>
  <c r="AF25" i="72"/>
  <c r="AF24" i="72"/>
  <c r="AF22" i="72"/>
  <c r="AE382" i="72"/>
  <c r="AE381" i="72"/>
  <c r="AE380" i="72"/>
  <c r="AE377" i="72"/>
  <c r="AE376" i="72"/>
  <c r="AE375" i="72"/>
  <c r="AE374" i="72"/>
  <c r="AE373" i="72"/>
  <c r="AE372" i="72"/>
  <c r="AE370" i="72"/>
  <c r="AE209" i="72"/>
  <c r="AE208" i="72"/>
  <c r="AE207" i="72"/>
  <c r="AE204" i="72"/>
  <c r="AE203" i="72"/>
  <c r="AE202" i="72"/>
  <c r="AE201" i="72"/>
  <c r="AE200" i="72"/>
  <c r="AE199" i="72"/>
  <c r="AE197" i="72"/>
  <c r="AE34" i="72"/>
  <c r="AE33" i="72"/>
  <c r="AE32" i="72"/>
  <c r="AE31" i="72"/>
  <c r="AE29" i="72"/>
  <c r="AE28" i="72"/>
  <c r="AE27" i="72"/>
  <c r="AE26" i="72"/>
  <c r="AE25" i="72"/>
  <c r="AE24" i="72"/>
  <c r="AE22" i="72"/>
  <c r="AD382" i="72"/>
  <c r="AD381" i="72"/>
  <c r="AD380" i="72"/>
  <c r="AD377" i="72"/>
  <c r="AD376" i="72"/>
  <c r="AD375" i="72"/>
  <c r="AD374" i="72"/>
  <c r="AD373" i="72"/>
  <c r="AD372" i="72"/>
  <c r="AD370" i="72"/>
  <c r="AD209" i="72"/>
  <c r="AD208" i="72"/>
  <c r="AD207" i="72"/>
  <c r="AD204" i="72"/>
  <c r="AD203" i="72"/>
  <c r="AD202" i="72"/>
  <c r="AD201" i="72"/>
  <c r="AD200" i="72"/>
  <c r="AD199" i="72"/>
  <c r="AD197" i="72"/>
  <c r="AD34" i="72"/>
  <c r="AD33" i="72"/>
  <c r="AD32" i="72"/>
  <c r="AD31" i="72"/>
  <c r="AD29" i="72"/>
  <c r="AD28" i="72"/>
  <c r="AD27" i="72"/>
  <c r="AD26" i="72"/>
  <c r="AD25" i="72"/>
  <c r="AD24" i="72"/>
  <c r="AD22" i="72"/>
  <c r="AC382" i="72"/>
  <c r="AC381" i="72"/>
  <c r="AC380" i="72"/>
  <c r="AC377" i="72"/>
  <c r="AC376" i="72"/>
  <c r="AC375" i="72"/>
  <c r="AC374" i="72"/>
  <c r="AC373" i="72"/>
  <c r="AC372" i="72"/>
  <c r="AC370" i="72"/>
  <c r="AC209" i="72"/>
  <c r="AC208" i="72"/>
  <c r="AC207" i="72"/>
  <c r="AC204" i="72"/>
  <c r="AC203" i="72"/>
  <c r="AC202" i="72"/>
  <c r="AC201" i="72"/>
  <c r="AC200" i="72"/>
  <c r="AC199" i="72"/>
  <c r="AC197" i="72"/>
  <c r="AC34" i="72"/>
  <c r="AC33" i="72"/>
  <c r="AC32" i="72"/>
  <c r="AC31" i="72"/>
  <c r="AC29" i="72"/>
  <c r="AC28" i="72"/>
  <c r="AC27" i="72"/>
  <c r="AC26" i="72"/>
  <c r="AC25" i="72"/>
  <c r="AC24" i="72"/>
  <c r="AC22" i="72"/>
  <c r="AB382" i="72"/>
  <c r="AB381" i="72"/>
  <c r="AB380" i="72"/>
  <c r="AB377" i="72"/>
  <c r="AB376" i="72"/>
  <c r="AB375" i="72"/>
  <c r="AB374" i="72"/>
  <c r="AB373" i="72"/>
  <c r="AB372" i="72"/>
  <c r="AB370" i="72"/>
  <c r="AB209" i="72"/>
  <c r="AB208" i="72"/>
  <c r="AB207" i="72"/>
  <c r="AB204" i="72"/>
  <c r="AB203" i="72"/>
  <c r="AB202" i="72"/>
  <c r="AB201" i="72"/>
  <c r="AB200" i="72"/>
  <c r="AB199" i="72"/>
  <c r="AB197" i="72"/>
  <c r="AB34" i="72"/>
  <c r="AB33" i="72"/>
  <c r="AB32" i="72"/>
  <c r="AB31" i="72"/>
  <c r="AB29" i="72"/>
  <c r="AB28" i="72"/>
  <c r="AB27" i="72"/>
  <c r="AB26" i="72"/>
  <c r="AB25" i="72"/>
  <c r="AB24" i="72"/>
  <c r="AB22" i="72"/>
  <c r="AA382" i="72"/>
  <c r="AA381" i="72"/>
  <c r="AA380" i="72"/>
  <c r="AA377" i="72"/>
  <c r="AA376" i="72"/>
  <c r="AA375" i="72"/>
  <c r="AA374" i="72"/>
  <c r="AA373" i="72"/>
  <c r="AA372" i="72"/>
  <c r="AA370" i="72"/>
  <c r="AA209" i="72"/>
  <c r="AA208" i="72"/>
  <c r="AA207" i="72"/>
  <c r="AA204" i="72"/>
  <c r="AA203" i="72"/>
  <c r="AA202" i="72"/>
  <c r="AA201" i="72"/>
  <c r="AA200" i="72"/>
  <c r="AA199" i="72"/>
  <c r="AA197" i="72"/>
  <c r="AA34" i="72"/>
  <c r="AA33" i="72"/>
  <c r="AA32" i="72"/>
  <c r="AA31" i="72"/>
  <c r="AA29" i="72"/>
  <c r="AA28" i="72"/>
  <c r="AA27" i="72"/>
  <c r="AA26" i="72"/>
  <c r="AA25" i="72"/>
  <c r="AA24" i="72"/>
  <c r="AA22" i="72"/>
  <c r="Z382" i="72"/>
  <c r="Z381" i="72"/>
  <c r="Z380" i="72"/>
  <c r="Z377" i="72"/>
  <c r="Z376" i="72"/>
  <c r="Z375" i="72"/>
  <c r="Z374" i="72"/>
  <c r="Z373" i="72"/>
  <c r="Z372" i="72"/>
  <c r="Z370" i="72"/>
  <c r="Z209" i="72"/>
  <c r="Z208" i="72"/>
  <c r="Z207" i="72"/>
  <c r="Z204" i="72"/>
  <c r="Z203" i="72"/>
  <c r="Z202" i="72"/>
  <c r="Z201" i="72"/>
  <c r="Z200" i="72"/>
  <c r="Z199" i="72"/>
  <c r="Z197" i="72"/>
  <c r="Z34" i="72"/>
  <c r="Z33" i="72"/>
  <c r="Z32" i="72"/>
  <c r="Z31" i="72"/>
  <c r="Z29" i="72"/>
  <c r="Z28" i="72"/>
  <c r="Z27" i="72"/>
  <c r="Z26" i="72"/>
  <c r="Z25" i="72"/>
  <c r="Z24" i="72"/>
  <c r="Z22" i="72"/>
  <c r="Y382" i="72"/>
  <c r="Y381" i="72"/>
  <c r="Y380" i="72"/>
  <c r="Y377" i="72"/>
  <c r="Y376" i="72"/>
  <c r="Y375" i="72"/>
  <c r="Y374" i="72"/>
  <c r="Y373" i="72"/>
  <c r="Y372" i="72"/>
  <c r="Y370" i="72"/>
  <c r="Y209" i="72"/>
  <c r="Y208" i="72"/>
  <c r="Y207" i="72"/>
  <c r="Y204" i="72"/>
  <c r="Y203" i="72"/>
  <c r="Y202" i="72"/>
  <c r="Y201" i="72"/>
  <c r="Y200" i="72"/>
  <c r="Y199" i="72"/>
  <c r="Y197" i="72"/>
  <c r="Y34" i="72"/>
  <c r="Y33" i="72"/>
  <c r="Y32" i="72"/>
  <c r="Y31" i="72"/>
  <c r="Y29" i="72"/>
  <c r="Y28" i="72"/>
  <c r="Y27" i="72"/>
  <c r="Y26" i="72"/>
  <c r="Y25" i="72"/>
  <c r="Y24" i="72"/>
  <c r="Y22" i="72"/>
  <c r="X382" i="72"/>
  <c r="X381" i="72"/>
  <c r="X380" i="72"/>
  <c r="X377" i="72"/>
  <c r="X376" i="72"/>
  <c r="X375" i="72"/>
  <c r="X374" i="72"/>
  <c r="X373" i="72"/>
  <c r="X372" i="72"/>
  <c r="X370" i="72"/>
  <c r="X209" i="72"/>
  <c r="X208" i="72"/>
  <c r="X207" i="72"/>
  <c r="X204" i="72"/>
  <c r="X203" i="72"/>
  <c r="X202" i="72"/>
  <c r="X201" i="72"/>
  <c r="X200" i="72"/>
  <c r="X199" i="72"/>
  <c r="X197" i="72"/>
  <c r="X34" i="72"/>
  <c r="X33" i="72"/>
  <c r="X32" i="72"/>
  <c r="X31" i="72"/>
  <c r="X29" i="72"/>
  <c r="X28" i="72"/>
  <c r="X27" i="72"/>
  <c r="X26" i="72"/>
  <c r="X25" i="72"/>
  <c r="X24" i="72"/>
  <c r="X22" i="72"/>
  <c r="W382" i="72"/>
  <c r="W381" i="72"/>
  <c r="W380" i="72"/>
  <c r="W377" i="72"/>
  <c r="W376" i="72"/>
  <c r="W375" i="72"/>
  <c r="W374" i="72"/>
  <c r="W373" i="72"/>
  <c r="W372" i="72"/>
  <c r="W370" i="72"/>
  <c r="W209" i="72"/>
  <c r="W208" i="72"/>
  <c r="W207" i="72"/>
  <c r="W204" i="72"/>
  <c r="W203" i="72"/>
  <c r="W202" i="72"/>
  <c r="W201" i="72"/>
  <c r="W200" i="72"/>
  <c r="W199" i="72"/>
  <c r="W197" i="72"/>
  <c r="W34" i="72"/>
  <c r="W33" i="72"/>
  <c r="W32" i="72"/>
  <c r="W31" i="72"/>
  <c r="W29" i="72"/>
  <c r="W28" i="72"/>
  <c r="W27" i="72"/>
  <c r="W26" i="72"/>
  <c r="W25" i="72"/>
  <c r="W24" i="72"/>
  <c r="W22" i="72"/>
  <c r="V382" i="72"/>
  <c r="V381" i="72"/>
  <c r="V380" i="72"/>
  <c r="V377" i="72"/>
  <c r="V376" i="72"/>
  <c r="V375" i="72"/>
  <c r="V374" i="72"/>
  <c r="V373" i="72"/>
  <c r="V372" i="72"/>
  <c r="V370" i="72"/>
  <c r="V209" i="72"/>
  <c r="V208" i="72"/>
  <c r="V207" i="72"/>
  <c r="V204" i="72"/>
  <c r="V203" i="72"/>
  <c r="V202" i="72"/>
  <c r="V201" i="72"/>
  <c r="V200" i="72"/>
  <c r="V199" i="72"/>
  <c r="V197" i="72"/>
  <c r="V34" i="72"/>
  <c r="V33" i="72"/>
  <c r="V32" i="72"/>
  <c r="V31" i="72"/>
  <c r="V29" i="72"/>
  <c r="V28" i="72"/>
  <c r="V27" i="72"/>
  <c r="V26" i="72"/>
  <c r="V25" i="72"/>
  <c r="V24" i="72"/>
  <c r="V22" i="72"/>
  <c r="U382" i="72"/>
  <c r="U381" i="72"/>
  <c r="U380" i="72"/>
  <c r="U377" i="72"/>
  <c r="U376" i="72"/>
  <c r="U375" i="72"/>
  <c r="U374" i="72"/>
  <c r="U373" i="72"/>
  <c r="U372" i="72"/>
  <c r="U370" i="72"/>
  <c r="U209" i="72"/>
  <c r="U208" i="72"/>
  <c r="U207" i="72"/>
  <c r="U204" i="72"/>
  <c r="U203" i="72"/>
  <c r="U202" i="72"/>
  <c r="U201" i="72"/>
  <c r="U200" i="72"/>
  <c r="U199" i="72"/>
  <c r="U197" i="72"/>
  <c r="U34" i="72"/>
  <c r="U33" i="72"/>
  <c r="U32" i="72"/>
  <c r="U31" i="72"/>
  <c r="U29" i="72"/>
  <c r="U28" i="72"/>
  <c r="U27" i="72"/>
  <c r="U26" i="72"/>
  <c r="U25" i="72"/>
  <c r="U24" i="72"/>
  <c r="U22" i="72"/>
  <c r="T382" i="72"/>
  <c r="T381" i="72"/>
  <c r="T380" i="72"/>
  <c r="T377" i="72"/>
  <c r="T376" i="72"/>
  <c r="T375" i="72"/>
  <c r="T374" i="72"/>
  <c r="T373" i="72"/>
  <c r="T372" i="72"/>
  <c r="T370" i="72"/>
  <c r="T209" i="72"/>
  <c r="T208" i="72"/>
  <c r="T207" i="72"/>
  <c r="T204" i="72"/>
  <c r="T203" i="72"/>
  <c r="T202" i="72"/>
  <c r="T201" i="72"/>
  <c r="T200" i="72"/>
  <c r="T199" i="72"/>
  <c r="T197" i="72"/>
  <c r="T34" i="72"/>
  <c r="T33" i="72"/>
  <c r="T32" i="72"/>
  <c r="T31" i="72"/>
  <c r="T29" i="72"/>
  <c r="T28" i="72"/>
  <c r="T27" i="72"/>
  <c r="T26" i="72"/>
  <c r="T25" i="72"/>
  <c r="T24" i="72"/>
  <c r="T22" i="72"/>
  <c r="S382" i="72"/>
  <c r="S381" i="72"/>
  <c r="S380" i="72"/>
  <c r="S377" i="72"/>
  <c r="S376" i="72"/>
  <c r="S375" i="72"/>
  <c r="S374" i="72"/>
  <c r="S373" i="72"/>
  <c r="S372" i="72"/>
  <c r="S370" i="72"/>
  <c r="S209" i="72"/>
  <c r="S208" i="72"/>
  <c r="S207" i="72"/>
  <c r="S204" i="72"/>
  <c r="S203" i="72"/>
  <c r="S202" i="72"/>
  <c r="S201" i="72"/>
  <c r="S200" i="72"/>
  <c r="S199" i="72"/>
  <c r="S197" i="72"/>
  <c r="S34" i="72"/>
  <c r="S33" i="72"/>
  <c r="S32" i="72"/>
  <c r="S31" i="72"/>
  <c r="S29" i="72"/>
  <c r="S28" i="72"/>
  <c r="S27" i="72"/>
  <c r="S26" i="72"/>
  <c r="S25" i="72"/>
  <c r="S24" i="72"/>
  <c r="S22" i="72"/>
  <c r="R382" i="72"/>
  <c r="R381" i="72"/>
  <c r="R380" i="72"/>
  <c r="R377" i="72"/>
  <c r="R376" i="72"/>
  <c r="R375" i="72"/>
  <c r="R374" i="72"/>
  <c r="R373" i="72"/>
  <c r="R372" i="72"/>
  <c r="R370" i="72"/>
  <c r="R209" i="72"/>
  <c r="R208" i="72"/>
  <c r="R207" i="72"/>
  <c r="R204" i="72"/>
  <c r="R203" i="72"/>
  <c r="R202" i="72"/>
  <c r="R201" i="72"/>
  <c r="R200" i="72"/>
  <c r="R199" i="72"/>
  <c r="R197" i="72"/>
  <c r="R34" i="72"/>
  <c r="R33" i="72"/>
  <c r="R32" i="72"/>
  <c r="R31" i="72"/>
  <c r="R29" i="72"/>
  <c r="R28" i="72"/>
  <c r="R27" i="72"/>
  <c r="R26" i="72"/>
  <c r="R25" i="72"/>
  <c r="R24" i="72"/>
  <c r="R22" i="72"/>
  <c r="Q382" i="72"/>
  <c r="Q381" i="72"/>
  <c r="Q380" i="72"/>
  <c r="Q377" i="72"/>
  <c r="Q376" i="72"/>
  <c r="Q375" i="72"/>
  <c r="Q374" i="72"/>
  <c r="Q373" i="72"/>
  <c r="Q372" i="72"/>
  <c r="Q370" i="72"/>
  <c r="Q209" i="72"/>
  <c r="Q208" i="72"/>
  <c r="Q207" i="72"/>
  <c r="Q204" i="72"/>
  <c r="Q203" i="72"/>
  <c r="Q202" i="72"/>
  <c r="Q201" i="72"/>
  <c r="Q200" i="72"/>
  <c r="Q199" i="72"/>
  <c r="Q197" i="72"/>
  <c r="Q34" i="72"/>
  <c r="Q33" i="72"/>
  <c r="Q32" i="72"/>
  <c r="Q31" i="72"/>
  <c r="Q29" i="72"/>
  <c r="Q28" i="72"/>
  <c r="Q27" i="72"/>
  <c r="Q26" i="72"/>
  <c r="Q25" i="72"/>
  <c r="Q24" i="72"/>
  <c r="Q22" i="72"/>
  <c r="P382" i="72"/>
  <c r="P381" i="72"/>
  <c r="P380" i="72"/>
  <c r="P377" i="72"/>
  <c r="P376" i="72"/>
  <c r="P375" i="72"/>
  <c r="P374" i="72"/>
  <c r="P373" i="72"/>
  <c r="P372" i="72"/>
  <c r="P370" i="72"/>
  <c r="P209" i="72"/>
  <c r="P208" i="72"/>
  <c r="P207" i="72"/>
  <c r="P204" i="72"/>
  <c r="P203" i="72"/>
  <c r="P202" i="72"/>
  <c r="P201" i="72"/>
  <c r="P200" i="72"/>
  <c r="P199" i="72"/>
  <c r="P197" i="72"/>
  <c r="P34" i="72"/>
  <c r="P33" i="72"/>
  <c r="P32" i="72"/>
  <c r="P31" i="72"/>
  <c r="P29" i="72"/>
  <c r="P28" i="72"/>
  <c r="P27" i="72"/>
  <c r="P26" i="72"/>
  <c r="P25" i="72"/>
  <c r="P24" i="72"/>
  <c r="P22" i="72"/>
  <c r="O382" i="72"/>
  <c r="O381" i="72"/>
  <c r="O380" i="72"/>
  <c r="O377" i="72"/>
  <c r="O376" i="72"/>
  <c r="O375" i="72"/>
  <c r="O374" i="72"/>
  <c r="O373" i="72"/>
  <c r="O372" i="72"/>
  <c r="O370" i="72"/>
  <c r="O209" i="72"/>
  <c r="O208" i="72"/>
  <c r="O207" i="72"/>
  <c r="O204" i="72"/>
  <c r="O203" i="72"/>
  <c r="O202" i="72"/>
  <c r="O201" i="72"/>
  <c r="O200" i="72"/>
  <c r="O199" i="72"/>
  <c r="O197" i="72"/>
  <c r="O34" i="72"/>
  <c r="O33" i="72"/>
  <c r="O32" i="72"/>
  <c r="O31" i="72"/>
  <c r="O29" i="72"/>
  <c r="O28" i="72"/>
  <c r="O27" i="72"/>
  <c r="O26" i="72"/>
  <c r="O25" i="72"/>
  <c r="O24" i="72"/>
  <c r="O22" i="72"/>
  <c r="N382" i="72"/>
  <c r="N381" i="72"/>
  <c r="N380" i="72"/>
  <c r="N377" i="72"/>
  <c r="N376" i="72"/>
  <c r="N375" i="72"/>
  <c r="N374" i="72"/>
  <c r="N373" i="72"/>
  <c r="N372" i="72"/>
  <c r="N370" i="72"/>
  <c r="N209" i="72"/>
  <c r="N208" i="72"/>
  <c r="N207" i="72"/>
  <c r="N204" i="72"/>
  <c r="N203" i="72"/>
  <c r="N202" i="72"/>
  <c r="N201" i="72"/>
  <c r="N200" i="72"/>
  <c r="N199" i="72"/>
  <c r="N197" i="72"/>
  <c r="N34" i="72"/>
  <c r="N33" i="72"/>
  <c r="N32" i="72"/>
  <c r="N31" i="72"/>
  <c r="N29" i="72"/>
  <c r="N28" i="72"/>
  <c r="N27" i="72"/>
  <c r="N26" i="72"/>
  <c r="N25" i="72"/>
  <c r="N24" i="72"/>
  <c r="N22" i="72"/>
  <c r="M382" i="72"/>
  <c r="M381" i="72"/>
  <c r="M380" i="72"/>
  <c r="M377" i="72"/>
  <c r="M376" i="72"/>
  <c r="M375" i="72"/>
  <c r="M374" i="72"/>
  <c r="M373" i="72"/>
  <c r="M372" i="72"/>
  <c r="M370" i="72"/>
  <c r="M209" i="72"/>
  <c r="M208" i="72"/>
  <c r="M207" i="72"/>
  <c r="M204" i="72"/>
  <c r="M203" i="72"/>
  <c r="M202" i="72"/>
  <c r="M201" i="72"/>
  <c r="M200" i="72"/>
  <c r="M199" i="72"/>
  <c r="M197" i="72"/>
  <c r="M34" i="72"/>
  <c r="M33" i="72"/>
  <c r="M32" i="72"/>
  <c r="M31" i="72"/>
  <c r="M29" i="72"/>
  <c r="M28" i="72"/>
  <c r="M27" i="72"/>
  <c r="M26" i="72"/>
  <c r="M25" i="72"/>
  <c r="M24" i="72"/>
  <c r="M22" i="72"/>
  <c r="L382" i="72"/>
  <c r="L381" i="72"/>
  <c r="L380" i="72"/>
  <c r="L377" i="72"/>
  <c r="L376" i="72"/>
  <c r="L375" i="72"/>
  <c r="L374" i="72"/>
  <c r="L373" i="72"/>
  <c r="L372" i="72"/>
  <c r="L370" i="72"/>
  <c r="L209" i="72"/>
  <c r="L208" i="72"/>
  <c r="L207" i="72"/>
  <c r="L204" i="72"/>
  <c r="L203" i="72"/>
  <c r="L202" i="72"/>
  <c r="L201" i="72"/>
  <c r="L200" i="72"/>
  <c r="L199" i="72"/>
  <c r="L197" i="72"/>
  <c r="L34" i="72"/>
  <c r="L33" i="72"/>
  <c r="L32" i="72"/>
  <c r="L31" i="72"/>
  <c r="L29" i="72"/>
  <c r="L28" i="72"/>
  <c r="L27" i="72"/>
  <c r="L26" i="72"/>
  <c r="L25" i="72"/>
  <c r="L24" i="72"/>
  <c r="L22" i="72"/>
  <c r="K382" i="72"/>
  <c r="K381" i="72"/>
  <c r="K380" i="72"/>
  <c r="K377" i="72"/>
  <c r="K376" i="72"/>
  <c r="K375" i="72"/>
  <c r="K374" i="72"/>
  <c r="K373" i="72"/>
  <c r="K372" i="72"/>
  <c r="K370" i="72"/>
  <c r="K209" i="72"/>
  <c r="K208" i="72"/>
  <c r="K207" i="72"/>
  <c r="K204" i="72"/>
  <c r="K203" i="72"/>
  <c r="K202" i="72"/>
  <c r="K201" i="72"/>
  <c r="K200" i="72"/>
  <c r="K199" i="72"/>
  <c r="K197" i="72"/>
  <c r="K34" i="72"/>
  <c r="K33" i="72"/>
  <c r="K32" i="72"/>
  <c r="K31" i="72"/>
  <c r="K29" i="72"/>
  <c r="K28" i="72"/>
  <c r="K27" i="72"/>
  <c r="K26" i="72"/>
  <c r="K25" i="72"/>
  <c r="K24" i="72"/>
  <c r="K22" i="72"/>
  <c r="J382" i="72"/>
  <c r="J381" i="72"/>
  <c r="J380" i="72"/>
  <c r="J377" i="72"/>
  <c r="J376" i="72"/>
  <c r="J375" i="72"/>
  <c r="J374" i="72"/>
  <c r="J373" i="72"/>
  <c r="J372" i="72"/>
  <c r="J370" i="72"/>
  <c r="J209" i="72"/>
  <c r="J208" i="72"/>
  <c r="J207" i="72"/>
  <c r="J204" i="72"/>
  <c r="J203" i="72"/>
  <c r="J202" i="72"/>
  <c r="J201" i="72"/>
  <c r="J200" i="72"/>
  <c r="J199" i="72"/>
  <c r="J197" i="72"/>
  <c r="J34" i="72"/>
  <c r="J33" i="72"/>
  <c r="J32" i="72"/>
  <c r="J31" i="72"/>
  <c r="J29" i="72"/>
  <c r="J28" i="72"/>
  <c r="J27" i="72"/>
  <c r="J26" i="72"/>
  <c r="J25" i="72"/>
  <c r="J24" i="72"/>
  <c r="J22" i="72"/>
  <c r="I382" i="72"/>
  <c r="I381" i="72"/>
  <c r="I380" i="72"/>
  <c r="I377" i="72"/>
  <c r="I376" i="72"/>
  <c r="I375" i="72"/>
  <c r="I374" i="72"/>
  <c r="I373" i="72"/>
  <c r="I372" i="72"/>
  <c r="I370" i="72"/>
  <c r="I209" i="72"/>
  <c r="I208" i="72"/>
  <c r="I207" i="72"/>
  <c r="I204" i="72"/>
  <c r="I203" i="72"/>
  <c r="I202" i="72"/>
  <c r="I201" i="72"/>
  <c r="I200" i="72"/>
  <c r="I199" i="72"/>
  <c r="I197" i="72"/>
  <c r="I34" i="72"/>
  <c r="I33" i="72"/>
  <c r="I32" i="72"/>
  <c r="I31" i="72"/>
  <c r="I29" i="72"/>
  <c r="I28" i="72"/>
  <c r="I27" i="72"/>
  <c r="I26" i="72"/>
  <c r="I25" i="72"/>
  <c r="I24" i="72"/>
  <c r="I22" i="72"/>
  <c r="H382" i="72"/>
  <c r="H381" i="72"/>
  <c r="H380" i="72"/>
  <c r="H379" i="72"/>
  <c r="H378" i="72"/>
  <c r="H377" i="72"/>
  <c r="H376" i="72"/>
  <c r="H375" i="72"/>
  <c r="H374" i="72"/>
  <c r="H373" i="72"/>
  <c r="H372" i="72"/>
  <c r="H370" i="72"/>
  <c r="H209" i="72"/>
  <c r="H208" i="72"/>
  <c r="H207" i="72"/>
  <c r="H206" i="72"/>
  <c r="H205" i="72"/>
  <c r="H204" i="72"/>
  <c r="H203" i="72"/>
  <c r="H202" i="72"/>
  <c r="H201" i="72"/>
  <c r="H200" i="72"/>
  <c r="H199" i="72"/>
  <c r="H197" i="72"/>
  <c r="H34" i="72"/>
  <c r="H33" i="72"/>
  <c r="H32" i="72"/>
  <c r="H31" i="72"/>
  <c r="H30" i="72"/>
  <c r="H29" i="72"/>
  <c r="H28" i="72"/>
  <c r="H27" i="72"/>
  <c r="H26" i="72"/>
  <c r="H25" i="72"/>
  <c r="H24" i="72"/>
  <c r="C300" i="48"/>
  <c r="C301" i="48"/>
  <c r="C302" i="48"/>
  <c r="C304" i="48"/>
  <c r="C299" i="48"/>
  <c r="D303" i="48"/>
  <c r="D304" i="48"/>
  <c r="D301" i="48"/>
  <c r="D302" i="48"/>
  <c r="D299" i="48"/>
  <c r="C66" i="61"/>
  <c r="C67" i="61"/>
  <c r="C68" i="61"/>
  <c r="C65" i="61"/>
  <c r="C62" i="61"/>
  <c r="C63" i="61"/>
  <c r="C64" i="61"/>
  <c r="C61" i="61"/>
  <c r="C59" i="61"/>
  <c r="C60" i="61"/>
  <c r="C58" i="61"/>
  <c r="C74" i="61"/>
  <c r="C57" i="61"/>
  <c r="E56" i="61"/>
  <c r="F56" i="61" s="1"/>
  <c r="G56" i="61" s="1"/>
  <c r="H56" i="61" s="1"/>
  <c r="I56" i="61" s="1"/>
  <c r="J56" i="61" s="1"/>
  <c r="K56" i="61" s="1"/>
  <c r="L56" i="61" s="1"/>
  <c r="M56" i="61" s="1"/>
  <c r="N56" i="61" s="1"/>
  <c r="O56" i="61" s="1"/>
  <c r="P56" i="61" s="1"/>
  <c r="Q56" i="61" s="1"/>
  <c r="R56" i="61" s="1"/>
  <c r="S56" i="61" s="1"/>
  <c r="T56" i="61" s="1"/>
  <c r="U56" i="61" s="1"/>
  <c r="V56" i="61" s="1"/>
  <c r="W56" i="61" s="1"/>
  <c r="X56" i="61" s="1"/>
  <c r="Y56" i="61" s="1"/>
  <c r="Z56" i="61" s="1"/>
  <c r="AA56" i="61" s="1"/>
  <c r="AB56" i="61" s="1"/>
  <c r="AC56" i="61" s="1"/>
  <c r="AD56" i="61" s="1"/>
  <c r="AE56" i="61" s="1"/>
  <c r="F38" i="48"/>
  <c r="G38" i="48"/>
  <c r="H38" i="48"/>
  <c r="I38" i="48"/>
  <c r="J38" i="48"/>
  <c r="K38" i="48"/>
  <c r="F39" i="48"/>
  <c r="G39" i="48"/>
  <c r="H39" i="48"/>
  <c r="I39" i="48"/>
  <c r="J39" i="48"/>
  <c r="K39" i="48"/>
  <c r="F40" i="48"/>
  <c r="G40" i="48"/>
  <c r="H40" i="48"/>
  <c r="I40" i="48"/>
  <c r="J40" i="48"/>
  <c r="K40" i="48"/>
  <c r="F41" i="48"/>
  <c r="G41" i="48"/>
  <c r="H41" i="48"/>
  <c r="I41" i="48"/>
  <c r="J41" i="48"/>
  <c r="K41" i="48"/>
  <c r="F42" i="48"/>
  <c r="G42" i="48"/>
  <c r="H42" i="48"/>
  <c r="I42" i="48"/>
  <c r="J42" i="48"/>
  <c r="K42" i="48"/>
  <c r="F43" i="48"/>
  <c r="G43" i="48"/>
  <c r="H43" i="48"/>
  <c r="I43" i="48"/>
  <c r="J43" i="48"/>
  <c r="K43" i="48"/>
  <c r="F44" i="48"/>
  <c r="G44" i="48"/>
  <c r="H44" i="48"/>
  <c r="I44" i="48"/>
  <c r="J44" i="48"/>
  <c r="K44" i="48"/>
  <c r="F45" i="48"/>
  <c r="H45" i="48"/>
  <c r="J45" i="48"/>
  <c r="F46" i="48"/>
  <c r="G46" i="48"/>
  <c r="H46" i="48"/>
  <c r="J46" i="48"/>
  <c r="F47" i="48"/>
  <c r="G47" i="48"/>
  <c r="H47" i="48"/>
  <c r="I47" i="48"/>
  <c r="J47" i="48"/>
  <c r="K47" i="48"/>
  <c r="F48" i="48"/>
  <c r="G48" i="48"/>
  <c r="H48" i="48"/>
  <c r="I48" i="48"/>
  <c r="J48" i="48"/>
  <c r="K48" i="48"/>
  <c r="F49" i="48"/>
  <c r="G49" i="48"/>
  <c r="H49" i="48"/>
  <c r="I49" i="48"/>
  <c r="J49" i="48"/>
  <c r="K49" i="48"/>
  <c r="F50" i="48"/>
  <c r="G50" i="48"/>
  <c r="H50" i="48"/>
  <c r="I50" i="48"/>
  <c r="J50" i="48"/>
  <c r="K50" i="48"/>
  <c r="F51" i="48"/>
  <c r="G51" i="48"/>
  <c r="H51" i="48"/>
  <c r="I51" i="48"/>
  <c r="J51" i="48"/>
  <c r="K51" i="48"/>
  <c r="F52" i="48"/>
  <c r="G52" i="48"/>
  <c r="H52" i="48"/>
  <c r="I52" i="48"/>
  <c r="J52" i="48"/>
  <c r="K52" i="48"/>
  <c r="F53" i="48"/>
  <c r="G53" i="48"/>
  <c r="H53" i="48"/>
  <c r="I53" i="48"/>
  <c r="J53" i="48"/>
  <c r="K53" i="48"/>
  <c r="F54" i="48"/>
  <c r="G54" i="48"/>
  <c r="H54" i="48"/>
  <c r="I54" i="48"/>
  <c r="J54" i="48"/>
  <c r="K54" i="48"/>
  <c r="F55" i="48"/>
  <c r="G55" i="48"/>
  <c r="H55" i="48"/>
  <c r="I55" i="48"/>
  <c r="J55" i="48"/>
  <c r="K55" i="48"/>
  <c r="F56" i="48"/>
  <c r="H56" i="48"/>
  <c r="J56" i="48"/>
  <c r="K37" i="48"/>
  <c r="I37" i="48"/>
  <c r="G37" i="48"/>
  <c r="J37" i="48"/>
  <c r="H37" i="48"/>
  <c r="F37" i="48"/>
  <c r="C120" i="40"/>
  <c r="C119" i="40"/>
  <c r="C91" i="40"/>
  <c r="C90" i="40"/>
  <c r="H686" i="68"/>
  <c r="H685" i="68"/>
  <c r="G686" i="68"/>
  <c r="C128" i="48"/>
  <c r="C127" i="48"/>
  <c r="C126" i="48"/>
  <c r="C125" i="48"/>
  <c r="C124" i="48"/>
  <c r="C123" i="48"/>
  <c r="C122" i="48"/>
  <c r="C121" i="48"/>
  <c r="C120" i="48"/>
  <c r="C97" i="40"/>
  <c r="C95" i="40"/>
  <c r="C93" i="40"/>
  <c r="C92" i="40"/>
  <c r="C89" i="40"/>
  <c r="C88" i="40"/>
  <c r="C87" i="40"/>
  <c r="G265" i="18"/>
  <c r="G424" i="18" s="1"/>
  <c r="H265" i="18"/>
  <c r="H424" i="18" s="1"/>
  <c r="G287" i="18"/>
  <c r="G425" i="18" s="1"/>
  <c r="H287" i="18"/>
  <c r="H425" i="18" s="1"/>
  <c r="G309" i="18"/>
  <c r="G427" i="18" s="1"/>
  <c r="H309" i="18"/>
  <c r="H427" i="18" s="1"/>
  <c r="G331" i="18"/>
  <c r="G428" i="18" s="1"/>
  <c r="G444" i="18" s="1"/>
  <c r="H331" i="18"/>
  <c r="H428" i="18" s="1"/>
  <c r="H444" i="18" s="1"/>
  <c r="G353" i="18"/>
  <c r="G430" i="18" s="1"/>
  <c r="H353" i="18"/>
  <c r="H430" i="18" s="1"/>
  <c r="G375" i="18"/>
  <c r="G431" i="18" s="1"/>
  <c r="H375" i="18"/>
  <c r="H431" i="18" s="1"/>
  <c r="G397" i="18"/>
  <c r="G433" i="18" s="1"/>
  <c r="H397" i="18"/>
  <c r="H433" i="18" s="1"/>
  <c r="G419" i="18"/>
  <c r="G434" i="18" s="1"/>
  <c r="H419" i="18"/>
  <c r="H434" i="18" s="1"/>
  <c r="G479" i="18"/>
  <c r="G637" i="18" s="1"/>
  <c r="H479" i="18"/>
  <c r="H637" i="18" s="1"/>
  <c r="G501" i="18"/>
  <c r="G638" i="18" s="1"/>
  <c r="H501" i="18"/>
  <c r="H638" i="18" s="1"/>
  <c r="G523" i="18"/>
  <c r="G640" i="18" s="1"/>
  <c r="H523" i="18"/>
  <c r="H640" i="18" s="1"/>
  <c r="G545" i="18"/>
  <c r="G641" i="18" s="1"/>
  <c r="H545" i="18"/>
  <c r="H641" i="18" s="1"/>
  <c r="G567" i="18"/>
  <c r="G643" i="18" s="1"/>
  <c r="H567" i="18"/>
  <c r="H643" i="18" s="1"/>
  <c r="G588" i="18"/>
  <c r="G644" i="18" s="1"/>
  <c r="H588" i="18"/>
  <c r="H644" i="18" s="1"/>
  <c r="G610" i="18"/>
  <c r="G646" i="18" s="1"/>
  <c r="H610" i="18"/>
  <c r="H646" i="18" s="1"/>
  <c r="G632" i="18"/>
  <c r="G647" i="18" s="1"/>
  <c r="H632" i="18"/>
  <c r="H647" i="18" s="1"/>
  <c r="G205" i="18"/>
  <c r="G220" i="18" s="1"/>
  <c r="H205" i="18"/>
  <c r="H220" i="18" s="1"/>
  <c r="G183" i="18"/>
  <c r="G219" i="18" s="1"/>
  <c r="H183" i="18"/>
  <c r="H219" i="18" s="1"/>
  <c r="G161" i="18"/>
  <c r="G217" i="18" s="1"/>
  <c r="H161" i="18"/>
  <c r="H217" i="18" s="1"/>
  <c r="G139" i="18"/>
  <c r="G216" i="18" s="1"/>
  <c r="H139" i="18"/>
  <c r="H216" i="18" s="1"/>
  <c r="G117" i="18"/>
  <c r="G214" i="18" s="1"/>
  <c r="H117" i="18"/>
  <c r="H214" i="18" s="1"/>
  <c r="G95" i="18"/>
  <c r="G213" i="18" s="1"/>
  <c r="H95" i="18"/>
  <c r="H213" i="18" s="1"/>
  <c r="G73" i="18"/>
  <c r="G211" i="18" s="1"/>
  <c r="H73" i="18"/>
  <c r="H211" i="18" s="1"/>
  <c r="G51" i="18"/>
  <c r="G210" i="18" s="1"/>
  <c r="H210" i="18"/>
  <c r="H12" i="24"/>
  <c r="H11" i="24"/>
  <c r="C262" i="48"/>
  <c r="C263" i="48" s="1"/>
  <c r="C264" i="48" s="1"/>
  <c r="C265" i="48" s="1"/>
  <c r="C266" i="48" s="1"/>
  <c r="C267" i="48" s="1"/>
  <c r="C268" i="48" s="1"/>
  <c r="C269" i="48" s="1"/>
  <c r="C270" i="48" s="1"/>
  <c r="C271" i="48" s="1"/>
  <c r="C272" i="48" s="1"/>
  <c r="C273" i="48" s="1"/>
  <c r="C274" i="48" s="1"/>
  <c r="C275" i="48" s="1"/>
  <c r="C276" i="48" s="1"/>
  <c r="C277" i="48" s="1"/>
  <c r="C278" i="48" s="1"/>
  <c r="C279" i="48" s="1"/>
  <c r="C280" i="48" s="1"/>
  <c r="C281" i="48" s="1"/>
  <c r="C282" i="48" s="1"/>
  <c r="C283" i="48" s="1"/>
  <c r="C284" i="48" s="1"/>
  <c r="C285" i="48" s="1"/>
  <c r="E252" i="48"/>
  <c r="E251" i="48"/>
  <c r="E250" i="48"/>
  <c r="E210" i="48"/>
  <c r="E214" i="48"/>
  <c r="E213" i="48"/>
  <c r="E209" i="48"/>
  <c r="E212" i="48"/>
  <c r="E208" i="48"/>
  <c r="E211" i="48"/>
  <c r="E207" i="48"/>
  <c r="C618" i="68"/>
  <c r="C399" i="68"/>
  <c r="G639" i="18" l="1"/>
  <c r="G680" i="18" s="1"/>
  <c r="P12" i="73"/>
  <c r="N15" i="73"/>
  <c r="O11" i="73"/>
  <c r="P11" i="73" s="1"/>
  <c r="O13" i="73"/>
  <c r="P13" i="73" s="1"/>
  <c r="O6" i="73"/>
  <c r="O15" i="73" s="1"/>
  <c r="I15" i="73"/>
  <c r="AH11" i="73"/>
  <c r="AG15" i="73"/>
  <c r="AI13" i="73"/>
  <c r="AJ13" i="73" s="1"/>
  <c r="AK13" i="73" s="1"/>
  <c r="AL13" i="73" s="1"/>
  <c r="AM13" i="73" s="1"/>
  <c r="AT9" i="73"/>
  <c r="AU9" i="73" s="1"/>
  <c r="AV9" i="73" s="1"/>
  <c r="AS9" i="73"/>
  <c r="H639" i="18"/>
  <c r="H680" i="18" s="1"/>
  <c r="G218" i="18"/>
  <c r="G674" i="18" s="1"/>
  <c r="H218" i="18"/>
  <c r="H674" i="18" s="1"/>
  <c r="G645" i="18"/>
  <c r="G682" i="18" s="1"/>
  <c r="G212" i="18"/>
  <c r="G672" i="18" s="1"/>
  <c r="G432" i="18"/>
  <c r="G678" i="18" s="1"/>
  <c r="H642" i="18"/>
  <c r="H681" i="18" s="1"/>
  <c r="G642" i="18"/>
  <c r="G681" i="18" s="1"/>
  <c r="H429" i="18"/>
  <c r="H677" i="18" s="1"/>
  <c r="H435" i="18"/>
  <c r="H679" i="18" s="1"/>
  <c r="G435" i="18"/>
  <c r="G679" i="18" s="1"/>
  <c r="H221" i="18"/>
  <c r="H675" i="18" s="1"/>
  <c r="G221" i="18"/>
  <c r="G675" i="18" s="1"/>
  <c r="H648" i="18"/>
  <c r="H683" i="18" s="1"/>
  <c r="G648" i="18"/>
  <c r="G683" i="18" s="1"/>
  <c r="G429" i="18"/>
  <c r="G677" i="18" s="1"/>
  <c r="H645" i="18"/>
  <c r="H682" i="18" s="1"/>
  <c r="H212" i="18"/>
  <c r="H672" i="18" s="1"/>
  <c r="H432" i="18"/>
  <c r="H678" i="18" s="1"/>
  <c r="H426" i="18"/>
  <c r="H676" i="18" s="1"/>
  <c r="G426" i="18"/>
  <c r="G676" i="18" s="1"/>
  <c r="H215" i="18"/>
  <c r="H673" i="18" s="1"/>
  <c r="G215" i="18"/>
  <c r="G673" i="18" s="1"/>
  <c r="BH75" i="67"/>
  <c r="BH74" i="67"/>
  <c r="CI70" i="67"/>
  <c r="CI71" i="67"/>
  <c r="CI73" i="67"/>
  <c r="G694" i="18" l="1"/>
  <c r="G690" i="18"/>
  <c r="H690" i="18"/>
  <c r="H694" i="18"/>
  <c r="P6" i="73"/>
  <c r="AO13" i="73"/>
  <c r="AN13" i="73"/>
  <c r="AI11" i="73"/>
  <c r="AI15" i="73" s="1"/>
  <c r="AH15" i="73"/>
  <c r="F61" i="48"/>
  <c r="G693" i="18"/>
  <c r="G689" i="18"/>
  <c r="H693" i="18"/>
  <c r="H689" i="18"/>
  <c r="G691" i="18"/>
  <c r="G695" i="18"/>
  <c r="G692" i="18"/>
  <c r="G688" i="18"/>
  <c r="H695" i="18"/>
  <c r="H691" i="18"/>
  <c r="H692" i="18"/>
  <c r="H688" i="18"/>
  <c r="AP13" i="73" l="1"/>
  <c r="AQ13" i="73" s="1"/>
  <c r="AR13" i="73" s="1"/>
  <c r="AJ11" i="73"/>
  <c r="F22" i="18"/>
  <c r="F21" i="18"/>
  <c r="H21" i="18"/>
  <c r="H22" i="18"/>
  <c r="G21" i="18"/>
  <c r="G22" i="18"/>
  <c r="E22" i="18"/>
  <c r="E21" i="18"/>
  <c r="D25" i="62"/>
  <c r="D27" i="62"/>
  <c r="D28" i="62"/>
  <c r="D29" i="62"/>
  <c r="D30" i="62"/>
  <c r="D31" i="62"/>
  <c r="D32" i="62"/>
  <c r="D33" i="62"/>
  <c r="D34" i="62"/>
  <c r="D35" i="62"/>
  <c r="D36" i="62"/>
  <c r="D37" i="62"/>
  <c r="D38" i="62"/>
  <c r="D39" i="62"/>
  <c r="D40" i="62"/>
  <c r="D41" i="62"/>
  <c r="D42" i="62"/>
  <c r="D43" i="62"/>
  <c r="D44" i="62"/>
  <c r="D45" i="62"/>
  <c r="D46" i="62"/>
  <c r="D47" i="62"/>
  <c r="D48" i="62"/>
  <c r="D49" i="62"/>
  <c r="D50" i="62"/>
  <c r="V139" i="59"/>
  <c r="V90" i="59"/>
  <c r="V91" i="59"/>
  <c r="V92" i="59"/>
  <c r="V93" i="59"/>
  <c r="V94" i="59"/>
  <c r="V95" i="59"/>
  <c r="V96" i="59"/>
  <c r="V97" i="59"/>
  <c r="V98" i="59"/>
  <c r="V99" i="59"/>
  <c r="V100" i="59"/>
  <c r="V101" i="59"/>
  <c r="V102" i="59"/>
  <c r="V103" i="59"/>
  <c r="V104" i="59"/>
  <c r="V105" i="59"/>
  <c r="V106" i="59"/>
  <c r="V107" i="59"/>
  <c r="V108" i="59"/>
  <c r="V109" i="59"/>
  <c r="V110" i="59"/>
  <c r="V111" i="59"/>
  <c r="V112" i="59"/>
  <c r="V113" i="59"/>
  <c r="V114" i="59"/>
  <c r="V115" i="59"/>
  <c r="V116" i="59"/>
  <c r="V117" i="59"/>
  <c r="V118" i="59"/>
  <c r="V119" i="59"/>
  <c r="V120" i="59"/>
  <c r="V121" i="59"/>
  <c r="V122" i="59"/>
  <c r="V123" i="59"/>
  <c r="V124" i="59"/>
  <c r="V125" i="59"/>
  <c r="V126" i="59"/>
  <c r="V127" i="59"/>
  <c r="V128" i="59"/>
  <c r="V129" i="59"/>
  <c r="V130" i="59"/>
  <c r="V131" i="59"/>
  <c r="V132" i="59"/>
  <c r="V133" i="59"/>
  <c r="V134" i="59"/>
  <c r="V135" i="59"/>
  <c r="V136" i="59"/>
  <c r="V137" i="59"/>
  <c r="V138" i="59"/>
  <c r="V140" i="59"/>
  <c r="V141" i="59"/>
  <c r="V142" i="59"/>
  <c r="V143" i="59"/>
  <c r="V144" i="59"/>
  <c r="V145" i="59"/>
  <c r="V146" i="59"/>
  <c r="V147" i="59"/>
  <c r="V89" i="59"/>
  <c r="V88" i="59"/>
  <c r="B13" i="20"/>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Q130" i="59"/>
  <c r="Q129" i="59"/>
  <c r="Q128" i="59"/>
  <c r="Q110" i="59"/>
  <c r="Q109" i="59"/>
  <c r="Q108" i="59"/>
  <c r="Q90" i="59"/>
  <c r="Q89" i="59"/>
  <c r="Q88" i="59"/>
  <c r="F11" i="16"/>
  <c r="F12" i="16"/>
  <c r="F13" i="16"/>
  <c r="J94" i="59"/>
  <c r="R94" i="59" s="1"/>
  <c r="J95" i="59"/>
  <c r="R95" i="59" s="1"/>
  <c r="J96" i="59"/>
  <c r="R96" i="59" s="1"/>
  <c r="C27" i="16"/>
  <c r="D27" i="16"/>
  <c r="C28" i="16"/>
  <c r="D28" i="16"/>
  <c r="C29" i="16"/>
  <c r="D29" i="16"/>
  <c r="C30" i="16"/>
  <c r="D30" i="16"/>
  <c r="C31" i="16"/>
  <c r="D31" i="16"/>
  <c r="D11" i="16"/>
  <c r="D12" i="16"/>
  <c r="D13" i="16"/>
  <c r="D14" i="16"/>
  <c r="D15" i="16"/>
  <c r="D16" i="16"/>
  <c r="D17" i="16"/>
  <c r="D18" i="16"/>
  <c r="D19" i="16"/>
  <c r="D20" i="16"/>
  <c r="D21" i="16"/>
  <c r="D22" i="16"/>
  <c r="D23" i="16"/>
  <c r="D24" i="16"/>
  <c r="D25" i="16"/>
  <c r="C11" i="16"/>
  <c r="C12" i="16"/>
  <c r="C14" i="16"/>
  <c r="C17" i="16"/>
  <c r="C20" i="16"/>
  <c r="C23" i="16"/>
  <c r="C113" i="16" s="1"/>
  <c r="H89" i="59"/>
  <c r="J89" i="59" s="1"/>
  <c r="H90" i="59"/>
  <c r="J90" i="59" s="1"/>
  <c r="H91" i="59"/>
  <c r="J91" i="59" s="1"/>
  <c r="R91" i="59" s="1"/>
  <c r="H92" i="59"/>
  <c r="J92" i="59" s="1"/>
  <c r="R92" i="59" s="1"/>
  <c r="H93" i="59"/>
  <c r="J93" i="59" s="1"/>
  <c r="R93" i="59" s="1"/>
  <c r="H97" i="59"/>
  <c r="J97" i="59" s="1"/>
  <c r="R97" i="59" s="1"/>
  <c r="H98" i="59"/>
  <c r="J98" i="59" s="1"/>
  <c r="R98" i="59" s="1"/>
  <c r="H99" i="59"/>
  <c r="J99" i="59" s="1"/>
  <c r="R99" i="59" s="1"/>
  <c r="H100" i="59"/>
  <c r="J100" i="59" s="1"/>
  <c r="R100" i="59" s="1"/>
  <c r="H101" i="59"/>
  <c r="J101" i="59" s="1"/>
  <c r="R101" i="59" s="1"/>
  <c r="H102" i="59"/>
  <c r="J102" i="59" s="1"/>
  <c r="R102" i="59" s="1"/>
  <c r="H103" i="59"/>
  <c r="J103" i="59" s="1"/>
  <c r="R103" i="59" s="1"/>
  <c r="H104" i="59"/>
  <c r="J104" i="59" s="1"/>
  <c r="R104" i="59" s="1"/>
  <c r="H105" i="59"/>
  <c r="J105" i="59" s="1"/>
  <c r="R105" i="59" s="1"/>
  <c r="H106" i="59"/>
  <c r="J106" i="59" s="1"/>
  <c r="R106" i="59" s="1"/>
  <c r="H107" i="59"/>
  <c r="J107" i="59" s="1"/>
  <c r="R107" i="59" s="1"/>
  <c r="H108" i="59"/>
  <c r="J108" i="59" s="1"/>
  <c r="H109" i="59"/>
  <c r="J109" i="59" s="1"/>
  <c r="H110" i="59"/>
  <c r="J110" i="59" s="1"/>
  <c r="H111" i="59"/>
  <c r="J111" i="59" s="1"/>
  <c r="R111" i="59" s="1"/>
  <c r="H112" i="59"/>
  <c r="J112" i="59" s="1"/>
  <c r="R112" i="59" s="1"/>
  <c r="H113" i="59"/>
  <c r="J113" i="59" s="1"/>
  <c r="R113" i="59" s="1"/>
  <c r="H114" i="59"/>
  <c r="J114" i="59" s="1"/>
  <c r="R114" i="59" s="1"/>
  <c r="H115" i="59"/>
  <c r="J115" i="59" s="1"/>
  <c r="R115" i="59" s="1"/>
  <c r="H116" i="59"/>
  <c r="J116" i="59" s="1"/>
  <c r="R116" i="59" s="1"/>
  <c r="H117" i="59"/>
  <c r="J117" i="59" s="1"/>
  <c r="R117" i="59" s="1"/>
  <c r="H118" i="59"/>
  <c r="J118" i="59" s="1"/>
  <c r="R118" i="59" s="1"/>
  <c r="H119" i="59"/>
  <c r="J119" i="59" s="1"/>
  <c r="R119" i="59" s="1"/>
  <c r="H120" i="59"/>
  <c r="J120" i="59" s="1"/>
  <c r="R120" i="59" s="1"/>
  <c r="H121" i="59"/>
  <c r="J121" i="59" s="1"/>
  <c r="R121" i="59" s="1"/>
  <c r="H122" i="59"/>
  <c r="J122" i="59" s="1"/>
  <c r="R122" i="59" s="1"/>
  <c r="H123" i="59"/>
  <c r="J123" i="59" s="1"/>
  <c r="R123" i="59" s="1"/>
  <c r="H124" i="59"/>
  <c r="J124" i="59" s="1"/>
  <c r="R124" i="59" s="1"/>
  <c r="H125" i="59"/>
  <c r="J125" i="59" s="1"/>
  <c r="R125" i="59" s="1"/>
  <c r="H126" i="59"/>
  <c r="J126" i="59" s="1"/>
  <c r="R126" i="59" s="1"/>
  <c r="H127" i="59"/>
  <c r="J127" i="59" s="1"/>
  <c r="R127" i="59" s="1"/>
  <c r="H128" i="59"/>
  <c r="J128" i="59" s="1"/>
  <c r="H129" i="59"/>
  <c r="J129" i="59" s="1"/>
  <c r="H130" i="59"/>
  <c r="J130" i="59" s="1"/>
  <c r="H131" i="59"/>
  <c r="J131" i="59" s="1"/>
  <c r="R131" i="59" s="1"/>
  <c r="H132" i="59"/>
  <c r="J132" i="59" s="1"/>
  <c r="R132" i="59" s="1"/>
  <c r="H133" i="59"/>
  <c r="J133" i="59" s="1"/>
  <c r="R133" i="59" s="1"/>
  <c r="H134" i="59"/>
  <c r="J134" i="59" s="1"/>
  <c r="R134" i="59" s="1"/>
  <c r="H135" i="59"/>
  <c r="J135" i="59" s="1"/>
  <c r="R135" i="59" s="1"/>
  <c r="H136" i="59"/>
  <c r="J136" i="59" s="1"/>
  <c r="R136" i="59" s="1"/>
  <c r="H137" i="59"/>
  <c r="J137" i="59" s="1"/>
  <c r="R137" i="59" s="1"/>
  <c r="H138" i="59"/>
  <c r="J138" i="59" s="1"/>
  <c r="R138" i="59" s="1"/>
  <c r="H139" i="59"/>
  <c r="J139" i="59" s="1"/>
  <c r="R139" i="59" s="1"/>
  <c r="H140" i="59"/>
  <c r="J140" i="59" s="1"/>
  <c r="R140" i="59" s="1"/>
  <c r="H141" i="59"/>
  <c r="J141" i="59" s="1"/>
  <c r="R141" i="59" s="1"/>
  <c r="H142" i="59"/>
  <c r="J142" i="59" s="1"/>
  <c r="R142" i="59" s="1"/>
  <c r="H143" i="59"/>
  <c r="J143" i="59" s="1"/>
  <c r="R143" i="59" s="1"/>
  <c r="H144" i="59"/>
  <c r="J144" i="59" s="1"/>
  <c r="R144" i="59" s="1"/>
  <c r="H145" i="59"/>
  <c r="J145" i="59" s="1"/>
  <c r="R145" i="59" s="1"/>
  <c r="H146" i="59"/>
  <c r="J146" i="59" s="1"/>
  <c r="R146" i="59" s="1"/>
  <c r="H147" i="59"/>
  <c r="J147" i="59" s="1"/>
  <c r="R147" i="59" s="1"/>
  <c r="H88" i="59"/>
  <c r="J88" i="59" s="1"/>
  <c r="CM21" i="67"/>
  <c r="CM19" i="67"/>
  <c r="CM20" i="67"/>
  <c r="CM18" i="67"/>
  <c r="CM14" i="67"/>
  <c r="CM13" i="67"/>
  <c r="CM10" i="67"/>
  <c r="CM7" i="67"/>
  <c r="Y87" i="59"/>
  <c r="Z87" i="59" s="1"/>
  <c r="AA87" i="59" s="1"/>
  <c r="AB87" i="59" s="1"/>
  <c r="AC87" i="59" s="1"/>
  <c r="AD87" i="59" s="1"/>
  <c r="AE87" i="59" s="1"/>
  <c r="AF87" i="59" s="1"/>
  <c r="AG87" i="59" s="1"/>
  <c r="AH87" i="59" s="1"/>
  <c r="AI87" i="59" s="1"/>
  <c r="AJ87" i="59" s="1"/>
  <c r="AK87" i="59" s="1"/>
  <c r="AL87" i="59" s="1"/>
  <c r="AM87" i="59" s="1"/>
  <c r="AN87" i="59" s="1"/>
  <c r="AO87" i="59" s="1"/>
  <c r="AP87" i="59" s="1"/>
  <c r="AQ87" i="59" s="1"/>
  <c r="AR87" i="59" s="1"/>
  <c r="AS87" i="59" s="1"/>
  <c r="AT87" i="59" s="1"/>
  <c r="AU87" i="59" s="1"/>
  <c r="AV87" i="59" s="1"/>
  <c r="AW87" i="59" s="1"/>
  <c r="AY87" i="59"/>
  <c r="AZ87" i="59" s="1"/>
  <c r="BA87" i="59" s="1"/>
  <c r="BB87" i="59" s="1"/>
  <c r="BC87" i="59" s="1"/>
  <c r="BD87" i="59" s="1"/>
  <c r="BE87" i="59" s="1"/>
  <c r="BF87" i="59" s="1"/>
  <c r="BG87" i="59" s="1"/>
  <c r="BH87" i="59" s="1"/>
  <c r="BI87" i="59" s="1"/>
  <c r="BJ87" i="59" s="1"/>
  <c r="BK87" i="59" s="1"/>
  <c r="BL87" i="59" s="1"/>
  <c r="BM87" i="59" s="1"/>
  <c r="BN87" i="59" s="1"/>
  <c r="BO87" i="59" s="1"/>
  <c r="BP87" i="59" s="1"/>
  <c r="BQ87" i="59" s="1"/>
  <c r="BR87" i="59" s="1"/>
  <c r="BS87" i="59" s="1"/>
  <c r="BT87" i="59" s="1"/>
  <c r="BU87" i="59" s="1"/>
  <c r="BV87" i="59" s="1"/>
  <c r="H63" i="24"/>
  <c r="B64" i="24"/>
  <c r="B65" i="24" s="1"/>
  <c r="B66" i="24" s="1"/>
  <c r="B67" i="24" s="1"/>
  <c r="H64" i="24"/>
  <c r="H65" i="24"/>
  <c r="H66" i="24"/>
  <c r="H67" i="24"/>
  <c r="C68" i="24"/>
  <c r="D68" i="24"/>
  <c r="E68" i="24"/>
  <c r="F68" i="24"/>
  <c r="G68" i="24"/>
  <c r="C69" i="24"/>
  <c r="D69" i="24"/>
  <c r="E69" i="24"/>
  <c r="F69" i="24"/>
  <c r="G69" i="24"/>
  <c r="AK70" i="67"/>
  <c r="AK71" i="67" s="1"/>
  <c r="AK56" i="67"/>
  <c r="AK55" i="67"/>
  <c r="AK54" i="67"/>
  <c r="AK36" i="67"/>
  <c r="AK34" i="67"/>
  <c r="AK59" i="67"/>
  <c r="AK58" i="67"/>
  <c r="AK53" i="67"/>
  <c r="AK39" i="67"/>
  <c r="AK19" i="67"/>
  <c r="AK18" i="67"/>
  <c r="AK16" i="67"/>
  <c r="AK15" i="67"/>
  <c r="AK14" i="67"/>
  <c r="AK13" i="67"/>
  <c r="AK9" i="67"/>
  <c r="AI66" i="67"/>
  <c r="K56" i="48" s="1"/>
  <c r="AH66" i="67"/>
  <c r="AG66" i="67"/>
  <c r="AF66" i="67"/>
  <c r="AE66" i="67"/>
  <c r="AD66" i="67"/>
  <c r="AC66" i="67"/>
  <c r="AB66" i="67"/>
  <c r="AA66" i="67"/>
  <c r="Z66" i="67"/>
  <c r="Y66" i="67"/>
  <c r="X66" i="67"/>
  <c r="W66" i="67"/>
  <c r="V66" i="67"/>
  <c r="U66" i="67"/>
  <c r="T66" i="67"/>
  <c r="S66" i="67"/>
  <c r="R66" i="67"/>
  <c r="Q66" i="67"/>
  <c r="P66" i="67"/>
  <c r="O66" i="67"/>
  <c r="N66" i="67"/>
  <c r="M66" i="67"/>
  <c r="L66" i="67"/>
  <c r="K66" i="67"/>
  <c r="AI46" i="67"/>
  <c r="I56" i="48" s="1"/>
  <c r="AH46" i="67"/>
  <c r="AG46" i="67"/>
  <c r="AF46" i="67"/>
  <c r="AE46" i="67"/>
  <c r="AD46" i="67"/>
  <c r="AC46" i="67"/>
  <c r="AB46" i="67"/>
  <c r="AA46" i="67"/>
  <c r="Z46" i="67"/>
  <c r="Y46" i="67"/>
  <c r="X46" i="67"/>
  <c r="W46" i="67"/>
  <c r="V46" i="67"/>
  <c r="U46" i="67"/>
  <c r="T46" i="67"/>
  <c r="S46" i="67"/>
  <c r="R46" i="67"/>
  <c r="Q46" i="67"/>
  <c r="P46" i="67"/>
  <c r="O46" i="67"/>
  <c r="N46" i="67"/>
  <c r="M46" i="67"/>
  <c r="L46" i="67"/>
  <c r="K46" i="67"/>
  <c r="M56" i="67"/>
  <c r="K379" i="72" s="1"/>
  <c r="N56" i="67"/>
  <c r="L379" i="72" s="1"/>
  <c r="O56" i="67"/>
  <c r="M379" i="72" s="1"/>
  <c r="P56" i="67"/>
  <c r="N379" i="72" s="1"/>
  <c r="Q56" i="67"/>
  <c r="O379" i="72" s="1"/>
  <c r="R56" i="67"/>
  <c r="P379" i="72" s="1"/>
  <c r="S56" i="67"/>
  <c r="Q379" i="72" s="1"/>
  <c r="T56" i="67"/>
  <c r="R379" i="72" s="1"/>
  <c r="U56" i="67"/>
  <c r="S379" i="72" s="1"/>
  <c r="V56" i="67"/>
  <c r="T379" i="72" s="1"/>
  <c r="W56" i="67"/>
  <c r="U379" i="72" s="1"/>
  <c r="X56" i="67"/>
  <c r="V379" i="72" s="1"/>
  <c r="Y56" i="67"/>
  <c r="W379" i="72" s="1"/>
  <c r="Z56" i="67"/>
  <c r="X379" i="72" s="1"/>
  <c r="AA56" i="67"/>
  <c r="Y379" i="72" s="1"/>
  <c r="AB56" i="67"/>
  <c r="Z379" i="72" s="1"/>
  <c r="AC56" i="67"/>
  <c r="AA379" i="72" s="1"/>
  <c r="AD56" i="67"/>
  <c r="AB379" i="72" s="1"/>
  <c r="AE56" i="67"/>
  <c r="AC379" i="72" s="1"/>
  <c r="AF56" i="67"/>
  <c r="AD379" i="72" s="1"/>
  <c r="AG56" i="67"/>
  <c r="AE379" i="72" s="1"/>
  <c r="AH56" i="67"/>
  <c r="AF379" i="72" s="1"/>
  <c r="AI56" i="67"/>
  <c r="L56" i="67"/>
  <c r="J379" i="72" s="1"/>
  <c r="M55" i="67"/>
  <c r="K378" i="72" s="1"/>
  <c r="N55" i="67"/>
  <c r="L378" i="72" s="1"/>
  <c r="O55" i="67"/>
  <c r="M378" i="72" s="1"/>
  <c r="P55" i="67"/>
  <c r="N378" i="72" s="1"/>
  <c r="Q55" i="67"/>
  <c r="O378" i="72" s="1"/>
  <c r="R55" i="67"/>
  <c r="P378" i="72" s="1"/>
  <c r="S55" i="67"/>
  <c r="Q378" i="72" s="1"/>
  <c r="T55" i="67"/>
  <c r="R378" i="72" s="1"/>
  <c r="U55" i="67"/>
  <c r="S378" i="72" s="1"/>
  <c r="V55" i="67"/>
  <c r="T378" i="72" s="1"/>
  <c r="W55" i="67"/>
  <c r="U378" i="72" s="1"/>
  <c r="X55" i="67"/>
  <c r="V378" i="72" s="1"/>
  <c r="Y55" i="67"/>
  <c r="W378" i="72" s="1"/>
  <c r="Z55" i="67"/>
  <c r="X378" i="72" s="1"/>
  <c r="AA55" i="67"/>
  <c r="Y378" i="72" s="1"/>
  <c r="AB55" i="67"/>
  <c r="Z378" i="72" s="1"/>
  <c r="AC55" i="67"/>
  <c r="AA378" i="72" s="1"/>
  <c r="AD55" i="67"/>
  <c r="AB378" i="72" s="1"/>
  <c r="AE55" i="67"/>
  <c r="AC378" i="72" s="1"/>
  <c r="AF55" i="67"/>
  <c r="AD378" i="72" s="1"/>
  <c r="AG55" i="67"/>
  <c r="AE378" i="72" s="1"/>
  <c r="AH55" i="67"/>
  <c r="AF378" i="72" s="1"/>
  <c r="AI55" i="67"/>
  <c r="L55" i="67"/>
  <c r="J378" i="72" s="1"/>
  <c r="K55" i="67"/>
  <c r="I378" i="72" s="1"/>
  <c r="K35" i="67"/>
  <c r="I205" i="72" s="1"/>
  <c r="M36" i="67"/>
  <c r="K206" i="72" s="1"/>
  <c r="N36" i="67"/>
  <c r="L206" i="72" s="1"/>
  <c r="O36" i="67"/>
  <c r="M206" i="72" s="1"/>
  <c r="P36" i="67"/>
  <c r="N206" i="72" s="1"/>
  <c r="Q36" i="67"/>
  <c r="O206" i="72" s="1"/>
  <c r="R36" i="67"/>
  <c r="P206" i="72" s="1"/>
  <c r="S36" i="67"/>
  <c r="Q206" i="72" s="1"/>
  <c r="T36" i="67"/>
  <c r="R206" i="72" s="1"/>
  <c r="U36" i="67"/>
  <c r="S206" i="72" s="1"/>
  <c r="V36" i="67"/>
  <c r="T206" i="72" s="1"/>
  <c r="W36" i="67"/>
  <c r="U206" i="72" s="1"/>
  <c r="X36" i="67"/>
  <c r="V206" i="72" s="1"/>
  <c r="Y36" i="67"/>
  <c r="W206" i="72" s="1"/>
  <c r="Z36" i="67"/>
  <c r="X206" i="72" s="1"/>
  <c r="AA36" i="67"/>
  <c r="Y206" i="72" s="1"/>
  <c r="AB36" i="67"/>
  <c r="Z206" i="72" s="1"/>
  <c r="AC36" i="67"/>
  <c r="AA206" i="72" s="1"/>
  <c r="AD36" i="67"/>
  <c r="AB206" i="72" s="1"/>
  <c r="AE36" i="67"/>
  <c r="AC206" i="72" s="1"/>
  <c r="AF36" i="67"/>
  <c r="AD206" i="72" s="1"/>
  <c r="AG36" i="67"/>
  <c r="AE206" i="72" s="1"/>
  <c r="AH36" i="67"/>
  <c r="AF206" i="72" s="1"/>
  <c r="AI36" i="67"/>
  <c r="L36" i="67"/>
  <c r="J206" i="72" s="1"/>
  <c r="K36" i="67"/>
  <c r="I206" i="72" s="1"/>
  <c r="M35" i="67"/>
  <c r="K205" i="72" s="1"/>
  <c r="N35" i="67"/>
  <c r="L205" i="72" s="1"/>
  <c r="O35" i="67"/>
  <c r="M205" i="72" s="1"/>
  <c r="P35" i="67"/>
  <c r="N205" i="72" s="1"/>
  <c r="Q35" i="67"/>
  <c r="O205" i="72" s="1"/>
  <c r="R35" i="67"/>
  <c r="P205" i="72" s="1"/>
  <c r="S35" i="67"/>
  <c r="Q205" i="72" s="1"/>
  <c r="T35" i="67"/>
  <c r="R205" i="72" s="1"/>
  <c r="U35" i="67"/>
  <c r="S205" i="72" s="1"/>
  <c r="V35" i="67"/>
  <c r="T205" i="72" s="1"/>
  <c r="W35" i="67"/>
  <c r="U205" i="72" s="1"/>
  <c r="X35" i="67"/>
  <c r="V205" i="72" s="1"/>
  <c r="Y35" i="67"/>
  <c r="W205" i="72" s="1"/>
  <c r="Z35" i="67"/>
  <c r="X205" i="72" s="1"/>
  <c r="AA35" i="67"/>
  <c r="Y205" i="72" s="1"/>
  <c r="AB35" i="67"/>
  <c r="Z205" i="72" s="1"/>
  <c r="AC35" i="67"/>
  <c r="AA205" i="72" s="1"/>
  <c r="AD35" i="67"/>
  <c r="AB205" i="72" s="1"/>
  <c r="AE35" i="67"/>
  <c r="AC205" i="72" s="1"/>
  <c r="AF35" i="67"/>
  <c r="AD205" i="72" s="1"/>
  <c r="AG35" i="67"/>
  <c r="AE205" i="72" s="1"/>
  <c r="AH35" i="67"/>
  <c r="AF205" i="72" s="1"/>
  <c r="AI35" i="67"/>
  <c r="L35" i="67"/>
  <c r="J205" i="72" s="1"/>
  <c r="L26" i="67"/>
  <c r="M26" i="67"/>
  <c r="N26" i="67"/>
  <c r="O26" i="67"/>
  <c r="P26" i="67"/>
  <c r="Q26" i="67"/>
  <c r="R26" i="67"/>
  <c r="S26" i="67"/>
  <c r="T26" i="67"/>
  <c r="U26" i="67"/>
  <c r="V26" i="67"/>
  <c r="W26" i="67"/>
  <c r="X26" i="67"/>
  <c r="Y26" i="67"/>
  <c r="Z26" i="67"/>
  <c r="AA26" i="67"/>
  <c r="AB26" i="67"/>
  <c r="AC26" i="67"/>
  <c r="AD26" i="67"/>
  <c r="AE26" i="67"/>
  <c r="AF26" i="67"/>
  <c r="AG26" i="67"/>
  <c r="AH26" i="67"/>
  <c r="AI26" i="67"/>
  <c r="G56" i="48" s="1"/>
  <c r="K26" i="67"/>
  <c r="AJ17" i="67"/>
  <c r="L15" i="67"/>
  <c r="J30" i="72" s="1"/>
  <c r="M15" i="67"/>
  <c r="K30" i="72" s="1"/>
  <c r="N15" i="67"/>
  <c r="L30" i="72" s="1"/>
  <c r="O15" i="67"/>
  <c r="M30" i="72" s="1"/>
  <c r="P15" i="67"/>
  <c r="N30" i="72" s="1"/>
  <c r="Q15" i="67"/>
  <c r="O30" i="72" s="1"/>
  <c r="R15" i="67"/>
  <c r="P30" i="72" s="1"/>
  <c r="S15" i="67"/>
  <c r="Q30" i="72" s="1"/>
  <c r="T15" i="67"/>
  <c r="R30" i="72" s="1"/>
  <c r="U15" i="67"/>
  <c r="S30" i="72" s="1"/>
  <c r="V15" i="67"/>
  <c r="T30" i="72" s="1"/>
  <c r="W15" i="67"/>
  <c r="U30" i="72" s="1"/>
  <c r="X15" i="67"/>
  <c r="V30" i="72" s="1"/>
  <c r="Y15" i="67"/>
  <c r="W30" i="72" s="1"/>
  <c r="Z15" i="67"/>
  <c r="X30" i="72" s="1"/>
  <c r="AA15" i="67"/>
  <c r="Y30" i="72" s="1"/>
  <c r="AB15" i="67"/>
  <c r="Z30" i="72" s="1"/>
  <c r="AC15" i="67"/>
  <c r="AA30" i="72" s="1"/>
  <c r="AD15" i="67"/>
  <c r="AB30" i="72" s="1"/>
  <c r="AE15" i="67"/>
  <c r="AC30" i="72" s="1"/>
  <c r="AF15" i="67"/>
  <c r="AD30" i="72" s="1"/>
  <c r="AG15" i="67"/>
  <c r="AE30" i="72" s="1"/>
  <c r="AH15" i="67"/>
  <c r="AF30" i="72" s="1"/>
  <c r="AI15" i="67"/>
  <c r="AG30" i="72" s="1"/>
  <c r="K15" i="67"/>
  <c r="I30" i="72" s="1"/>
  <c r="AK69" i="67" l="1"/>
  <c r="I245" i="18"/>
  <c r="I267" i="18"/>
  <c r="X100" i="59"/>
  <c r="K31" i="18"/>
  <c r="K53" i="18"/>
  <c r="I53" i="18"/>
  <c r="K141" i="18"/>
  <c r="I141" i="18"/>
  <c r="K119" i="18"/>
  <c r="I119" i="18"/>
  <c r="K185" i="18"/>
  <c r="I185" i="18"/>
  <c r="K163" i="18"/>
  <c r="I163" i="18"/>
  <c r="K75" i="18"/>
  <c r="I75" i="18"/>
  <c r="K97" i="18"/>
  <c r="I97" i="18"/>
  <c r="I489" i="18"/>
  <c r="I533" i="18"/>
  <c r="I467" i="18"/>
  <c r="I620" i="18"/>
  <c r="I598" i="18"/>
  <c r="I577" i="18"/>
  <c r="I555" i="18"/>
  <c r="I511" i="18"/>
  <c r="I468" i="18"/>
  <c r="I621" i="18"/>
  <c r="I599" i="18"/>
  <c r="I578" i="18"/>
  <c r="I556" i="18"/>
  <c r="I534" i="18"/>
  <c r="I512" i="18"/>
  <c r="I490" i="18"/>
  <c r="F69" i="48"/>
  <c r="I83" i="18"/>
  <c r="I149" i="18"/>
  <c r="I171" i="18"/>
  <c r="I61" i="18"/>
  <c r="I127" i="18"/>
  <c r="I193" i="18"/>
  <c r="I105" i="18"/>
  <c r="AS13" i="73"/>
  <c r="AT13" i="73" s="1"/>
  <c r="AU13" i="73" s="1"/>
  <c r="AV13" i="73" s="1"/>
  <c r="AK11" i="73"/>
  <c r="AJ15" i="73"/>
  <c r="U558" i="18"/>
  <c r="U623" i="18"/>
  <c r="U601" i="18"/>
  <c r="U536" i="18"/>
  <c r="U514" i="18"/>
  <c r="U492" i="18"/>
  <c r="U470" i="18"/>
  <c r="N623" i="18"/>
  <c r="N601" i="18"/>
  <c r="N536" i="18"/>
  <c r="N558" i="18"/>
  <c r="N514" i="18"/>
  <c r="N470" i="18"/>
  <c r="N492" i="18"/>
  <c r="V623" i="18"/>
  <c r="V601" i="18"/>
  <c r="V536" i="18"/>
  <c r="V558" i="18"/>
  <c r="V514" i="18"/>
  <c r="V470" i="18"/>
  <c r="V492" i="18"/>
  <c r="AD623" i="18"/>
  <c r="AD601" i="18"/>
  <c r="AD558" i="18"/>
  <c r="AD536" i="18"/>
  <c r="AD514" i="18"/>
  <c r="AD470" i="18"/>
  <c r="AD492" i="18"/>
  <c r="L559" i="18"/>
  <c r="L624" i="18"/>
  <c r="L602" i="18"/>
  <c r="L471" i="18"/>
  <c r="L537" i="18"/>
  <c r="L515" i="18"/>
  <c r="L580" i="18"/>
  <c r="L493" i="18"/>
  <c r="T559" i="18"/>
  <c r="T624" i="18"/>
  <c r="T602" i="18"/>
  <c r="T471" i="18"/>
  <c r="T537" i="18"/>
  <c r="T580" i="18"/>
  <c r="T515" i="18"/>
  <c r="T493" i="18"/>
  <c r="AB559" i="18"/>
  <c r="AB624" i="18"/>
  <c r="AB602" i="18"/>
  <c r="AB471" i="18"/>
  <c r="AB537" i="18"/>
  <c r="AB580" i="18"/>
  <c r="AB515" i="18"/>
  <c r="AB493" i="18"/>
  <c r="K580" i="18"/>
  <c r="K559" i="18"/>
  <c r="K624" i="18"/>
  <c r="K602" i="18"/>
  <c r="K471" i="18"/>
  <c r="K537" i="18"/>
  <c r="K515" i="18"/>
  <c r="K493" i="18"/>
  <c r="O623" i="18"/>
  <c r="O601" i="18"/>
  <c r="O558" i="18"/>
  <c r="O514" i="18"/>
  <c r="O492" i="18"/>
  <c r="O536" i="18"/>
  <c r="O470" i="18"/>
  <c r="W623" i="18"/>
  <c r="W601" i="18"/>
  <c r="W558" i="18"/>
  <c r="W514" i="18"/>
  <c r="W492" i="18"/>
  <c r="W536" i="18"/>
  <c r="W470" i="18"/>
  <c r="AE623" i="18"/>
  <c r="AE601" i="18"/>
  <c r="AE558" i="18"/>
  <c r="AE514" i="18"/>
  <c r="AE492" i="18"/>
  <c r="AE470" i="18"/>
  <c r="AE536" i="18"/>
  <c r="M559" i="18"/>
  <c r="M624" i="18"/>
  <c r="M602" i="18"/>
  <c r="M580" i="18"/>
  <c r="M537" i="18"/>
  <c r="M515" i="18"/>
  <c r="M493" i="18"/>
  <c r="M471" i="18"/>
  <c r="U559" i="18"/>
  <c r="U624" i="18"/>
  <c r="U602" i="18"/>
  <c r="U580" i="18"/>
  <c r="U537" i="18"/>
  <c r="U515" i="18"/>
  <c r="U493" i="18"/>
  <c r="U471" i="18"/>
  <c r="AC559" i="18"/>
  <c r="AC624" i="18"/>
  <c r="AC602" i="18"/>
  <c r="AC580" i="18"/>
  <c r="AC537" i="18"/>
  <c r="AC515" i="18"/>
  <c r="AC493" i="18"/>
  <c r="AC471" i="18"/>
  <c r="P601" i="18"/>
  <c r="P558" i="18"/>
  <c r="P514" i="18"/>
  <c r="P492" i="18"/>
  <c r="P536" i="18"/>
  <c r="P470" i="18"/>
  <c r="P623" i="18"/>
  <c r="X601" i="18"/>
  <c r="X558" i="18"/>
  <c r="X514" i="18"/>
  <c r="X492" i="18"/>
  <c r="X623" i="18"/>
  <c r="X536" i="18"/>
  <c r="X470" i="18"/>
  <c r="AF601" i="18"/>
  <c r="AF558" i="18"/>
  <c r="AF514" i="18"/>
  <c r="AF492" i="18"/>
  <c r="AF623" i="18"/>
  <c r="AF536" i="18"/>
  <c r="AF470" i="18"/>
  <c r="N624" i="18"/>
  <c r="N602" i="18"/>
  <c r="N580" i="18"/>
  <c r="N537" i="18"/>
  <c r="N515" i="18"/>
  <c r="N471" i="18"/>
  <c r="N559" i="18"/>
  <c r="N493" i="18"/>
  <c r="V624" i="18"/>
  <c r="V602" i="18"/>
  <c r="V580" i="18"/>
  <c r="V537" i="18"/>
  <c r="V515" i="18"/>
  <c r="V559" i="18"/>
  <c r="V471" i="18"/>
  <c r="V493" i="18"/>
  <c r="AD624" i="18"/>
  <c r="AD602" i="18"/>
  <c r="AD580" i="18"/>
  <c r="AD537" i="18"/>
  <c r="AD515" i="18"/>
  <c r="AD559" i="18"/>
  <c r="AD471" i="18"/>
  <c r="AD493" i="18"/>
  <c r="M558" i="18"/>
  <c r="M623" i="18"/>
  <c r="M601" i="18"/>
  <c r="M536" i="18"/>
  <c r="M514" i="18"/>
  <c r="M492" i="18"/>
  <c r="M470" i="18"/>
  <c r="Q601" i="18"/>
  <c r="Q558" i="18"/>
  <c r="Q623" i="18"/>
  <c r="Q492" i="18"/>
  <c r="Q470" i="18"/>
  <c r="Q536" i="18"/>
  <c r="Q514" i="18"/>
  <c r="Y601" i="18"/>
  <c r="Y558" i="18"/>
  <c r="Y623" i="18"/>
  <c r="Y492" i="18"/>
  <c r="Y470" i="18"/>
  <c r="Y536" i="18"/>
  <c r="Y514" i="18"/>
  <c r="AG601" i="18"/>
  <c r="AG558" i="18"/>
  <c r="AG623" i="18"/>
  <c r="AG492" i="18"/>
  <c r="AG470" i="18"/>
  <c r="AG536" i="18"/>
  <c r="AG514" i="18"/>
  <c r="O624" i="18"/>
  <c r="O602" i="18"/>
  <c r="O580" i="18"/>
  <c r="O559" i="18"/>
  <c r="O515" i="18"/>
  <c r="O493" i="18"/>
  <c r="O471" i="18"/>
  <c r="O537" i="18"/>
  <c r="W624" i="18"/>
  <c r="W602" i="18"/>
  <c r="W580" i="18"/>
  <c r="W559" i="18"/>
  <c r="W515" i="18"/>
  <c r="W493" i="18"/>
  <c r="W471" i="18"/>
  <c r="W537" i="18"/>
  <c r="AE624" i="18"/>
  <c r="AE602" i="18"/>
  <c r="AE580" i="18"/>
  <c r="AE559" i="18"/>
  <c r="AE515" i="18"/>
  <c r="AE493" i="18"/>
  <c r="AE537" i="18"/>
  <c r="AE471" i="18"/>
  <c r="S580" i="18"/>
  <c r="S559" i="18"/>
  <c r="S624" i="18"/>
  <c r="S602" i="18"/>
  <c r="S471" i="18"/>
  <c r="S537" i="18"/>
  <c r="S515" i="18"/>
  <c r="S493" i="18"/>
  <c r="R558" i="18"/>
  <c r="R623" i="18"/>
  <c r="R492" i="18"/>
  <c r="R536" i="18"/>
  <c r="R514" i="18"/>
  <c r="R601" i="18"/>
  <c r="R470" i="18"/>
  <c r="Z558" i="18"/>
  <c r="Z623" i="18"/>
  <c r="Z492" i="18"/>
  <c r="Z536" i="18"/>
  <c r="Z601" i="18"/>
  <c r="Z514" i="18"/>
  <c r="Z470" i="18"/>
  <c r="AH558" i="18"/>
  <c r="AH623" i="18"/>
  <c r="AH492" i="18"/>
  <c r="AH536" i="18"/>
  <c r="AH601" i="18"/>
  <c r="AH514" i="18"/>
  <c r="AH470" i="18"/>
  <c r="P602" i="18"/>
  <c r="P580" i="18"/>
  <c r="P559" i="18"/>
  <c r="P515" i="18"/>
  <c r="P493" i="18"/>
  <c r="P624" i="18"/>
  <c r="P537" i="18"/>
  <c r="P471" i="18"/>
  <c r="X602" i="18"/>
  <c r="X580" i="18"/>
  <c r="X559" i="18"/>
  <c r="X515" i="18"/>
  <c r="X493" i="18"/>
  <c r="X624" i="18"/>
  <c r="X537" i="18"/>
  <c r="X471" i="18"/>
  <c r="AF602" i="18"/>
  <c r="AF580" i="18"/>
  <c r="AF559" i="18"/>
  <c r="AF515" i="18"/>
  <c r="AF624" i="18"/>
  <c r="AF493" i="18"/>
  <c r="AF537" i="18"/>
  <c r="AF471" i="18"/>
  <c r="AA580" i="18"/>
  <c r="AA559" i="18"/>
  <c r="AA624" i="18"/>
  <c r="AA602" i="18"/>
  <c r="AA471" i="18"/>
  <c r="AA537" i="18"/>
  <c r="AA515" i="18"/>
  <c r="AA493" i="18"/>
  <c r="K558" i="18"/>
  <c r="K623" i="18"/>
  <c r="K601" i="18"/>
  <c r="K470" i="18"/>
  <c r="K536" i="18"/>
  <c r="K514" i="18"/>
  <c r="K492" i="18"/>
  <c r="S558" i="18"/>
  <c r="S623" i="18"/>
  <c r="S601" i="18"/>
  <c r="S470" i="18"/>
  <c r="S536" i="18"/>
  <c r="S514" i="18"/>
  <c r="S492" i="18"/>
  <c r="AA558" i="18"/>
  <c r="AA623" i="18"/>
  <c r="AA601" i="18"/>
  <c r="AA470" i="18"/>
  <c r="AA536" i="18"/>
  <c r="AA514" i="18"/>
  <c r="AA492" i="18"/>
  <c r="Q602" i="18"/>
  <c r="Q580" i="18"/>
  <c r="Q559" i="18"/>
  <c r="Q624" i="18"/>
  <c r="Q493" i="18"/>
  <c r="Q471" i="18"/>
  <c r="Q537" i="18"/>
  <c r="Q515" i="18"/>
  <c r="Y602" i="18"/>
  <c r="Y580" i="18"/>
  <c r="Y559" i="18"/>
  <c r="Y624" i="18"/>
  <c r="Y493" i="18"/>
  <c r="Y471" i="18"/>
  <c r="Y537" i="18"/>
  <c r="Y515" i="18"/>
  <c r="AG602" i="18"/>
  <c r="AG580" i="18"/>
  <c r="AG559" i="18"/>
  <c r="AG624" i="18"/>
  <c r="AG493" i="18"/>
  <c r="AG471" i="18"/>
  <c r="AG537" i="18"/>
  <c r="AG515" i="18"/>
  <c r="AC558" i="18"/>
  <c r="AC623" i="18"/>
  <c r="AC601" i="18"/>
  <c r="AC536" i="18"/>
  <c r="AC514" i="18"/>
  <c r="AC492" i="18"/>
  <c r="AC470" i="18"/>
  <c r="L558" i="18"/>
  <c r="L623" i="18"/>
  <c r="L601" i="18"/>
  <c r="L470" i="18"/>
  <c r="L536" i="18"/>
  <c r="L514" i="18"/>
  <c r="L492" i="18"/>
  <c r="T558" i="18"/>
  <c r="T623" i="18"/>
  <c r="T601" i="18"/>
  <c r="T470" i="18"/>
  <c r="T536" i="18"/>
  <c r="T514" i="18"/>
  <c r="T492" i="18"/>
  <c r="AB558" i="18"/>
  <c r="AB623" i="18"/>
  <c r="AB601" i="18"/>
  <c r="AB470" i="18"/>
  <c r="AB536" i="18"/>
  <c r="AB514" i="18"/>
  <c r="AB492" i="18"/>
  <c r="R580" i="18"/>
  <c r="R559" i="18"/>
  <c r="R624" i="18"/>
  <c r="R493" i="18"/>
  <c r="R602" i="18"/>
  <c r="R537" i="18"/>
  <c r="R515" i="18"/>
  <c r="R471" i="18"/>
  <c r="Z580" i="18"/>
  <c r="Z559" i="18"/>
  <c r="Z624" i="18"/>
  <c r="Z493" i="18"/>
  <c r="Z602" i="18"/>
  <c r="Z537" i="18"/>
  <c r="Z515" i="18"/>
  <c r="Z471" i="18"/>
  <c r="AH580" i="18"/>
  <c r="AH559" i="18"/>
  <c r="AH624" i="18"/>
  <c r="AH493" i="18"/>
  <c r="AH602" i="18"/>
  <c r="AH537" i="18"/>
  <c r="AH515" i="18"/>
  <c r="AH471" i="18"/>
  <c r="J602" i="18"/>
  <c r="J537" i="18"/>
  <c r="J471" i="18"/>
  <c r="J580" i="18"/>
  <c r="J515" i="18"/>
  <c r="J624" i="18"/>
  <c r="J559" i="18"/>
  <c r="J493" i="18"/>
  <c r="J601" i="18"/>
  <c r="J558" i="18"/>
  <c r="J514" i="18"/>
  <c r="J470" i="18"/>
  <c r="J492" i="18"/>
  <c r="J623" i="18"/>
  <c r="J536" i="18"/>
  <c r="O579" i="18"/>
  <c r="O491" i="18"/>
  <c r="O600" i="18"/>
  <c r="O513" i="18"/>
  <c r="O622" i="18"/>
  <c r="O535" i="18"/>
  <c r="O557" i="18"/>
  <c r="O469" i="18"/>
  <c r="P579" i="18"/>
  <c r="P491" i="18"/>
  <c r="P600" i="18"/>
  <c r="P513" i="18"/>
  <c r="P622" i="18"/>
  <c r="P535" i="18"/>
  <c r="P557" i="18"/>
  <c r="P469" i="18"/>
  <c r="X579" i="18"/>
  <c r="X491" i="18"/>
  <c r="X557" i="18"/>
  <c r="X600" i="18"/>
  <c r="X513" i="18"/>
  <c r="X469" i="18"/>
  <c r="X622" i="18"/>
  <c r="X535" i="18"/>
  <c r="AF579" i="18"/>
  <c r="AF491" i="18"/>
  <c r="AF600" i="18"/>
  <c r="AF513" i="18"/>
  <c r="AF622" i="18"/>
  <c r="AF535" i="18"/>
  <c r="AF469" i="18"/>
  <c r="AF557" i="18"/>
  <c r="Q600" i="18"/>
  <c r="Q513" i="18"/>
  <c r="Q622" i="18"/>
  <c r="Q535" i="18"/>
  <c r="Q557" i="18"/>
  <c r="Q469" i="18"/>
  <c r="Q579" i="18"/>
  <c r="Q491" i="18"/>
  <c r="Y600" i="18"/>
  <c r="Y513" i="18"/>
  <c r="Y622" i="18"/>
  <c r="Y535" i="18"/>
  <c r="Y557" i="18"/>
  <c r="Y469" i="18"/>
  <c r="Y579" i="18"/>
  <c r="Y491" i="18"/>
  <c r="AG600" i="18"/>
  <c r="AG513" i="18"/>
  <c r="AG622" i="18"/>
  <c r="AG535" i="18"/>
  <c r="AG557" i="18"/>
  <c r="AG469" i="18"/>
  <c r="AG579" i="18"/>
  <c r="AG491" i="18"/>
  <c r="AE579" i="18"/>
  <c r="AE491" i="18"/>
  <c r="AE600" i="18"/>
  <c r="AE513" i="18"/>
  <c r="AE622" i="18"/>
  <c r="AE535" i="18"/>
  <c r="AE557" i="18"/>
  <c r="AE469" i="18"/>
  <c r="R600" i="18"/>
  <c r="R513" i="18"/>
  <c r="R622" i="18"/>
  <c r="R535" i="18"/>
  <c r="R557" i="18"/>
  <c r="R469" i="18"/>
  <c r="R491" i="18"/>
  <c r="R579" i="18"/>
  <c r="Z600" i="18"/>
  <c r="Z513" i="18"/>
  <c r="Z622" i="18"/>
  <c r="Z535" i="18"/>
  <c r="Z579" i="18"/>
  <c r="Z491" i="18"/>
  <c r="Z557" i="18"/>
  <c r="Z469" i="18"/>
  <c r="AH600" i="18"/>
  <c r="AH513" i="18"/>
  <c r="AH622" i="18"/>
  <c r="AH535" i="18"/>
  <c r="AH579" i="18"/>
  <c r="AH557" i="18"/>
  <c r="AH469" i="18"/>
  <c r="AH491" i="18"/>
  <c r="S622" i="18"/>
  <c r="S535" i="18"/>
  <c r="S557" i="18"/>
  <c r="S469" i="18"/>
  <c r="S579" i="18"/>
  <c r="S491" i="18"/>
  <c r="S600" i="18"/>
  <c r="S513" i="18"/>
  <c r="AA622" i="18"/>
  <c r="AA535" i="18"/>
  <c r="AA557" i="18"/>
  <c r="AA469" i="18"/>
  <c r="AA579" i="18"/>
  <c r="AA491" i="18"/>
  <c r="AA600" i="18"/>
  <c r="AA513" i="18"/>
  <c r="L622" i="18"/>
  <c r="L535" i="18"/>
  <c r="L557" i="18"/>
  <c r="L469" i="18"/>
  <c r="L579" i="18"/>
  <c r="L491" i="18"/>
  <c r="L513" i="18"/>
  <c r="L600" i="18"/>
  <c r="T622" i="18"/>
  <c r="T535" i="18"/>
  <c r="T557" i="18"/>
  <c r="T469" i="18"/>
  <c r="T513" i="18"/>
  <c r="T579" i="18"/>
  <c r="T491" i="18"/>
  <c r="T600" i="18"/>
  <c r="AB622" i="18"/>
  <c r="AB535" i="18"/>
  <c r="AB557" i="18"/>
  <c r="AB469" i="18"/>
  <c r="AB600" i="18"/>
  <c r="AB579" i="18"/>
  <c r="AB491" i="18"/>
  <c r="AB513" i="18"/>
  <c r="W579" i="18"/>
  <c r="W491" i="18"/>
  <c r="W600" i="18"/>
  <c r="W513" i="18"/>
  <c r="W622" i="18"/>
  <c r="W535" i="18"/>
  <c r="W557" i="18"/>
  <c r="W469" i="18"/>
  <c r="M557" i="18"/>
  <c r="M469" i="18"/>
  <c r="M579" i="18"/>
  <c r="M491" i="18"/>
  <c r="M600" i="18"/>
  <c r="M513" i="18"/>
  <c r="M622" i="18"/>
  <c r="M535" i="18"/>
  <c r="U557" i="18"/>
  <c r="U469" i="18"/>
  <c r="U579" i="18"/>
  <c r="U491" i="18"/>
  <c r="U600" i="18"/>
  <c r="U513" i="18"/>
  <c r="U622" i="18"/>
  <c r="U535" i="18"/>
  <c r="AC557" i="18"/>
  <c r="AC469" i="18"/>
  <c r="AC579" i="18"/>
  <c r="AC491" i="18"/>
  <c r="AC600" i="18"/>
  <c r="AC513" i="18"/>
  <c r="AC622" i="18"/>
  <c r="AC535" i="18"/>
  <c r="N557" i="18"/>
  <c r="N469" i="18"/>
  <c r="N622" i="18"/>
  <c r="N579" i="18"/>
  <c r="N491" i="18"/>
  <c r="N600" i="18"/>
  <c r="N513" i="18"/>
  <c r="N535" i="18"/>
  <c r="V557" i="18"/>
  <c r="V469" i="18"/>
  <c r="V579" i="18"/>
  <c r="V491" i="18"/>
  <c r="V535" i="18"/>
  <c r="V600" i="18"/>
  <c r="V513" i="18"/>
  <c r="V622" i="18"/>
  <c r="AD557" i="18"/>
  <c r="AD469" i="18"/>
  <c r="AD622" i="18"/>
  <c r="AD579" i="18"/>
  <c r="AD491" i="18"/>
  <c r="AD600" i="18"/>
  <c r="AD513" i="18"/>
  <c r="AD535" i="18"/>
  <c r="J579" i="18"/>
  <c r="J491" i="18"/>
  <c r="J557" i="18"/>
  <c r="J469" i="18"/>
  <c r="J600" i="18"/>
  <c r="J513" i="18"/>
  <c r="J622" i="18"/>
  <c r="J535" i="18"/>
  <c r="K513" i="18"/>
  <c r="K557" i="18"/>
  <c r="K469" i="18"/>
  <c r="K600" i="18"/>
  <c r="K579" i="18"/>
  <c r="K491" i="18"/>
  <c r="K622" i="18"/>
  <c r="K535" i="18"/>
  <c r="X618" i="18"/>
  <c r="X596" i="18"/>
  <c r="X553" i="18"/>
  <c r="X531" i="18"/>
  <c r="X575" i="18"/>
  <c r="X509" i="18"/>
  <c r="X465" i="18"/>
  <c r="X487" i="18"/>
  <c r="AH597" i="18"/>
  <c r="AH619" i="18"/>
  <c r="AH576" i="18"/>
  <c r="AH554" i="18"/>
  <c r="AH532" i="18"/>
  <c r="AH510" i="18"/>
  <c r="AH488" i="18"/>
  <c r="AH466" i="18"/>
  <c r="P614" i="18"/>
  <c r="P592" i="18"/>
  <c r="P571" i="18"/>
  <c r="P549" i="18"/>
  <c r="P527" i="18"/>
  <c r="P505" i="18"/>
  <c r="P461" i="18"/>
  <c r="P483" i="18"/>
  <c r="AD572" i="18"/>
  <c r="AD593" i="18"/>
  <c r="AD550" i="18"/>
  <c r="AD528" i="18"/>
  <c r="AD484" i="18"/>
  <c r="AD615" i="18"/>
  <c r="AD506" i="18"/>
  <c r="AD462" i="18"/>
  <c r="Z595" i="18"/>
  <c r="Z617" i="18"/>
  <c r="Z552" i="18"/>
  <c r="Z530" i="18"/>
  <c r="Z508" i="18"/>
  <c r="Z574" i="18"/>
  <c r="Z486" i="18"/>
  <c r="Z464" i="18"/>
  <c r="AG618" i="18"/>
  <c r="AG596" i="18"/>
  <c r="AG575" i="18"/>
  <c r="AG553" i="18"/>
  <c r="AG531" i="18"/>
  <c r="AG509" i="18"/>
  <c r="AG465" i="18"/>
  <c r="AG487" i="18"/>
  <c r="AG614" i="18"/>
  <c r="AG592" i="18"/>
  <c r="AG571" i="18"/>
  <c r="AG549" i="18"/>
  <c r="AG527" i="18"/>
  <c r="AG505" i="18"/>
  <c r="AG483" i="18"/>
  <c r="AG461" i="18"/>
  <c r="O618" i="18"/>
  <c r="O596" i="18"/>
  <c r="O575" i="18"/>
  <c r="O553" i="18"/>
  <c r="O487" i="18"/>
  <c r="O531" i="18"/>
  <c r="O465" i="18"/>
  <c r="O509" i="18"/>
  <c r="W618" i="18"/>
  <c r="W596" i="18"/>
  <c r="W553" i="18"/>
  <c r="W487" i="18"/>
  <c r="W575" i="18"/>
  <c r="W531" i="18"/>
  <c r="W509" i="18"/>
  <c r="W465" i="18"/>
  <c r="AE618" i="18"/>
  <c r="AE596" i="18"/>
  <c r="AE575" i="18"/>
  <c r="AE553" i="18"/>
  <c r="AE531" i="18"/>
  <c r="AE487" i="18"/>
  <c r="AE465" i="18"/>
  <c r="AE509" i="18"/>
  <c r="Q619" i="18"/>
  <c r="Q597" i="18"/>
  <c r="Q576" i="18"/>
  <c r="Q554" i="18"/>
  <c r="Q532" i="18"/>
  <c r="Q510" i="18"/>
  <c r="Q466" i="18"/>
  <c r="Q488" i="18"/>
  <c r="Y619" i="18"/>
  <c r="Y597" i="18"/>
  <c r="Y576" i="18"/>
  <c r="Y554" i="18"/>
  <c r="Y532" i="18"/>
  <c r="Y510" i="18"/>
  <c r="Y466" i="18"/>
  <c r="Y488" i="18"/>
  <c r="AG619" i="18"/>
  <c r="AG597" i="18"/>
  <c r="AG576" i="18"/>
  <c r="AG554" i="18"/>
  <c r="AG532" i="18"/>
  <c r="AG510" i="18"/>
  <c r="AG488" i="18"/>
  <c r="AG466" i="18"/>
  <c r="Q612" i="18"/>
  <c r="Q590" i="18"/>
  <c r="Q569" i="18"/>
  <c r="Q547" i="18"/>
  <c r="Q525" i="18"/>
  <c r="Q503" i="18"/>
  <c r="Q481" i="18"/>
  <c r="Q459" i="18"/>
  <c r="Y612" i="18"/>
  <c r="Y590" i="18"/>
  <c r="Y569" i="18"/>
  <c r="Y547" i="18"/>
  <c r="Y525" i="18"/>
  <c r="Y503" i="18"/>
  <c r="Y481" i="18"/>
  <c r="Y459" i="18"/>
  <c r="AG612" i="18"/>
  <c r="AG590" i="18"/>
  <c r="AG569" i="18"/>
  <c r="AG547" i="18"/>
  <c r="AG525" i="18"/>
  <c r="AG503" i="18"/>
  <c r="AG481" i="18"/>
  <c r="AG459" i="18"/>
  <c r="O614" i="18"/>
  <c r="O592" i="18"/>
  <c r="O571" i="18"/>
  <c r="O549" i="18"/>
  <c r="O527" i="18"/>
  <c r="O505" i="18"/>
  <c r="O461" i="18"/>
  <c r="O483" i="18"/>
  <c r="W614" i="18"/>
  <c r="W592" i="18"/>
  <c r="W571" i="18"/>
  <c r="W549" i="18"/>
  <c r="W483" i="18"/>
  <c r="W527" i="18"/>
  <c r="W505" i="18"/>
  <c r="W461" i="18"/>
  <c r="AE614" i="18"/>
  <c r="AE592" i="18"/>
  <c r="AE571" i="18"/>
  <c r="AE549" i="18"/>
  <c r="AE483" i="18"/>
  <c r="AE527" i="18"/>
  <c r="AE461" i="18"/>
  <c r="AE505" i="18"/>
  <c r="M572" i="18"/>
  <c r="M615" i="18"/>
  <c r="M593" i="18"/>
  <c r="M506" i="18"/>
  <c r="M550" i="18"/>
  <c r="M484" i="18"/>
  <c r="M462" i="18"/>
  <c r="M528" i="18"/>
  <c r="U572" i="18"/>
  <c r="U615" i="18"/>
  <c r="U506" i="18"/>
  <c r="U484" i="18"/>
  <c r="U593" i="18"/>
  <c r="U550" i="18"/>
  <c r="U462" i="18"/>
  <c r="U528" i="18"/>
  <c r="AC572" i="18"/>
  <c r="AC615" i="18"/>
  <c r="AC593" i="18"/>
  <c r="AC506" i="18"/>
  <c r="AC528" i="18"/>
  <c r="AC484" i="18"/>
  <c r="AC550" i="18"/>
  <c r="AC462" i="18"/>
  <c r="K594" i="18"/>
  <c r="K573" i="18"/>
  <c r="K551" i="18"/>
  <c r="K507" i="18"/>
  <c r="K616" i="18"/>
  <c r="K485" i="18"/>
  <c r="K529" i="18"/>
  <c r="K463" i="18"/>
  <c r="S594" i="18"/>
  <c r="S573" i="18"/>
  <c r="S551" i="18"/>
  <c r="S616" i="18"/>
  <c r="S507" i="18"/>
  <c r="S485" i="18"/>
  <c r="S529" i="18"/>
  <c r="S463" i="18"/>
  <c r="AA594" i="18"/>
  <c r="AA573" i="18"/>
  <c r="AA616" i="18"/>
  <c r="AA551" i="18"/>
  <c r="AA529" i="18"/>
  <c r="AA507" i="18"/>
  <c r="AA485" i="18"/>
  <c r="AA463" i="18"/>
  <c r="Q617" i="18"/>
  <c r="Q595" i="18"/>
  <c r="Q574" i="18"/>
  <c r="Q552" i="18"/>
  <c r="Q530" i="18"/>
  <c r="Q508" i="18"/>
  <c r="Q464" i="18"/>
  <c r="Q486" i="18"/>
  <c r="Y617" i="18"/>
  <c r="Y595" i="18"/>
  <c r="Y574" i="18"/>
  <c r="Y552" i="18"/>
  <c r="Y530" i="18"/>
  <c r="Y508" i="18"/>
  <c r="Y486" i="18"/>
  <c r="Y464" i="18"/>
  <c r="AG617" i="18"/>
  <c r="AG595" i="18"/>
  <c r="AG574" i="18"/>
  <c r="AG552" i="18"/>
  <c r="AG530" i="18"/>
  <c r="AG508" i="18"/>
  <c r="AG464" i="18"/>
  <c r="AG486" i="18"/>
  <c r="P618" i="18"/>
  <c r="P575" i="18"/>
  <c r="P553" i="18"/>
  <c r="P596" i="18"/>
  <c r="P531" i="18"/>
  <c r="P509" i="18"/>
  <c r="P487" i="18"/>
  <c r="P465" i="18"/>
  <c r="W615" i="18"/>
  <c r="W593" i="18"/>
  <c r="W572" i="18"/>
  <c r="W550" i="18"/>
  <c r="W484" i="18"/>
  <c r="W528" i="18"/>
  <c r="W506" i="18"/>
  <c r="W462" i="18"/>
  <c r="R596" i="18"/>
  <c r="R618" i="18"/>
  <c r="R575" i="18"/>
  <c r="R553" i="18"/>
  <c r="R531" i="18"/>
  <c r="R509" i="18"/>
  <c r="R487" i="18"/>
  <c r="R465" i="18"/>
  <c r="Z596" i="18"/>
  <c r="Z618" i="18"/>
  <c r="Z553" i="18"/>
  <c r="Z531" i="18"/>
  <c r="Z575" i="18"/>
  <c r="Z509" i="18"/>
  <c r="Z487" i="18"/>
  <c r="Z465" i="18"/>
  <c r="AH596" i="18"/>
  <c r="AH618" i="18"/>
  <c r="AH553" i="18"/>
  <c r="AH575" i="18"/>
  <c r="AH531" i="18"/>
  <c r="AH509" i="18"/>
  <c r="AH487" i="18"/>
  <c r="AH465" i="18"/>
  <c r="L576" i="18"/>
  <c r="L597" i="18"/>
  <c r="L619" i="18"/>
  <c r="L510" i="18"/>
  <c r="L554" i="18"/>
  <c r="L488" i="18"/>
  <c r="L466" i="18"/>
  <c r="L532" i="18"/>
  <c r="T576" i="18"/>
  <c r="T597" i="18"/>
  <c r="T554" i="18"/>
  <c r="T510" i="18"/>
  <c r="T532" i="18"/>
  <c r="T488" i="18"/>
  <c r="T619" i="18"/>
  <c r="T466" i="18"/>
  <c r="AB576" i="18"/>
  <c r="AB597" i="18"/>
  <c r="AB619" i="18"/>
  <c r="AB510" i="18"/>
  <c r="AB488" i="18"/>
  <c r="AB554" i="18"/>
  <c r="AB532" i="18"/>
  <c r="AB466" i="18"/>
  <c r="L590" i="18"/>
  <c r="L612" i="18"/>
  <c r="L569" i="18"/>
  <c r="L503" i="18"/>
  <c r="L525" i="18"/>
  <c r="L547" i="18"/>
  <c r="L459" i="18"/>
  <c r="L481" i="18"/>
  <c r="T590" i="18"/>
  <c r="T612" i="18"/>
  <c r="T569" i="18"/>
  <c r="T503" i="18"/>
  <c r="T547" i="18"/>
  <c r="T525" i="18"/>
  <c r="T481" i="18"/>
  <c r="T459" i="18"/>
  <c r="AB590" i="18"/>
  <c r="AB612" i="18"/>
  <c r="AB569" i="18"/>
  <c r="AB503" i="18"/>
  <c r="AB547" i="18"/>
  <c r="AB525" i="18"/>
  <c r="AB459" i="18"/>
  <c r="AB481" i="18"/>
  <c r="R592" i="18"/>
  <c r="R614" i="18"/>
  <c r="R549" i="18"/>
  <c r="R527" i="18"/>
  <c r="R505" i="18"/>
  <c r="R483" i="18"/>
  <c r="R461" i="18"/>
  <c r="R571" i="18"/>
  <c r="Z592" i="18"/>
  <c r="Z614" i="18"/>
  <c r="Z549" i="18"/>
  <c r="Z527" i="18"/>
  <c r="Z505" i="18"/>
  <c r="Z571" i="18"/>
  <c r="Z483" i="18"/>
  <c r="Z461" i="18"/>
  <c r="AH592" i="18"/>
  <c r="AH614" i="18"/>
  <c r="AH549" i="18"/>
  <c r="AH571" i="18"/>
  <c r="AH527" i="18"/>
  <c r="AH505" i="18"/>
  <c r="AH483" i="18"/>
  <c r="AH461" i="18"/>
  <c r="P615" i="18"/>
  <c r="P593" i="18"/>
  <c r="P550" i="18"/>
  <c r="P572" i="18"/>
  <c r="P528" i="18"/>
  <c r="P506" i="18"/>
  <c r="P484" i="18"/>
  <c r="P462" i="18"/>
  <c r="X615" i="18"/>
  <c r="X572" i="18"/>
  <c r="X550" i="18"/>
  <c r="X593" i="18"/>
  <c r="X528" i="18"/>
  <c r="X506" i="18"/>
  <c r="X484" i="18"/>
  <c r="X462" i="18"/>
  <c r="AF615" i="18"/>
  <c r="AF593" i="18"/>
  <c r="AF550" i="18"/>
  <c r="AF572" i="18"/>
  <c r="AF506" i="18"/>
  <c r="AF528" i="18"/>
  <c r="AF484" i="18"/>
  <c r="AF462" i="18"/>
  <c r="N573" i="18"/>
  <c r="N594" i="18"/>
  <c r="N616" i="18"/>
  <c r="N551" i="18"/>
  <c r="N485" i="18"/>
  <c r="N529" i="18"/>
  <c r="N507" i="18"/>
  <c r="N463" i="18"/>
  <c r="V573" i="18"/>
  <c r="V616" i="18"/>
  <c r="V594" i="18"/>
  <c r="V551" i="18"/>
  <c r="V485" i="18"/>
  <c r="V529" i="18"/>
  <c r="V507" i="18"/>
  <c r="V463" i="18"/>
  <c r="AD573" i="18"/>
  <c r="AD594" i="18"/>
  <c r="AD551" i="18"/>
  <c r="AD616" i="18"/>
  <c r="AD485" i="18"/>
  <c r="AD463" i="18"/>
  <c r="AD507" i="18"/>
  <c r="AD529" i="18"/>
  <c r="L574" i="18"/>
  <c r="L595" i="18"/>
  <c r="L617" i="18"/>
  <c r="L508" i="18"/>
  <c r="L530" i="18"/>
  <c r="L552" i="18"/>
  <c r="L486" i="18"/>
  <c r="L464" i="18"/>
  <c r="T574" i="18"/>
  <c r="T595" i="18"/>
  <c r="T617" i="18"/>
  <c r="T508" i="18"/>
  <c r="T552" i="18"/>
  <c r="T530" i="18"/>
  <c r="T486" i="18"/>
  <c r="T464" i="18"/>
  <c r="AB574" i="18"/>
  <c r="AB595" i="18"/>
  <c r="AB530" i="18"/>
  <c r="AB508" i="18"/>
  <c r="AB552" i="18"/>
  <c r="AB486" i="18"/>
  <c r="AB617" i="18"/>
  <c r="AB464" i="18"/>
  <c r="R597" i="18"/>
  <c r="R619" i="18"/>
  <c r="R554" i="18"/>
  <c r="R532" i="18"/>
  <c r="R576" i="18"/>
  <c r="R510" i="18"/>
  <c r="R488" i="18"/>
  <c r="R466" i="18"/>
  <c r="Z590" i="18"/>
  <c r="Z612" i="18"/>
  <c r="Z547" i="18"/>
  <c r="Z525" i="18"/>
  <c r="Z569" i="18"/>
  <c r="Z503" i="18"/>
  <c r="Z459" i="18"/>
  <c r="Z481" i="18"/>
  <c r="AF614" i="18"/>
  <c r="AF592" i="18"/>
  <c r="AF571" i="18"/>
  <c r="AF549" i="18"/>
  <c r="AF527" i="18"/>
  <c r="AF505" i="18"/>
  <c r="AF483" i="18"/>
  <c r="AF461" i="18"/>
  <c r="L573" i="18"/>
  <c r="L594" i="18"/>
  <c r="L616" i="18"/>
  <c r="L507" i="18"/>
  <c r="L551" i="18"/>
  <c r="L529" i="18"/>
  <c r="L485" i="18"/>
  <c r="L463" i="18"/>
  <c r="R595" i="18"/>
  <c r="R617" i="18"/>
  <c r="R574" i="18"/>
  <c r="R552" i="18"/>
  <c r="R530" i="18"/>
  <c r="R508" i="18"/>
  <c r="R486" i="18"/>
  <c r="R464" i="18"/>
  <c r="K45" i="48"/>
  <c r="AG378" i="72"/>
  <c r="M573" i="18"/>
  <c r="M616" i="18"/>
  <c r="M594" i="18"/>
  <c r="M507" i="18"/>
  <c r="M485" i="18"/>
  <c r="M551" i="18"/>
  <c r="M529" i="18"/>
  <c r="M463" i="18"/>
  <c r="K596" i="18"/>
  <c r="K575" i="18"/>
  <c r="K553" i="18"/>
  <c r="K531" i="18"/>
  <c r="K618" i="18"/>
  <c r="K509" i="18"/>
  <c r="K487" i="18"/>
  <c r="K465" i="18"/>
  <c r="S596" i="18"/>
  <c r="S575" i="18"/>
  <c r="S553" i="18"/>
  <c r="S618" i="18"/>
  <c r="S531" i="18"/>
  <c r="S509" i="18"/>
  <c r="S487" i="18"/>
  <c r="S465" i="18"/>
  <c r="AA596" i="18"/>
  <c r="AA575" i="18"/>
  <c r="AA553" i="18"/>
  <c r="AA531" i="18"/>
  <c r="AA509" i="18"/>
  <c r="AA487" i="18"/>
  <c r="AA618" i="18"/>
  <c r="AA465" i="18"/>
  <c r="M576" i="18"/>
  <c r="M619" i="18"/>
  <c r="M510" i="18"/>
  <c r="M554" i="18"/>
  <c r="M488" i="18"/>
  <c r="M597" i="18"/>
  <c r="M466" i="18"/>
  <c r="M532" i="18"/>
  <c r="U576" i="18"/>
  <c r="U619" i="18"/>
  <c r="U597" i="18"/>
  <c r="U510" i="18"/>
  <c r="U532" i="18"/>
  <c r="U488" i="18"/>
  <c r="U554" i="18"/>
  <c r="U466" i="18"/>
  <c r="AC576" i="18"/>
  <c r="AC619" i="18"/>
  <c r="AC597" i="18"/>
  <c r="AC510" i="18"/>
  <c r="AC488" i="18"/>
  <c r="AC554" i="18"/>
  <c r="AC466" i="18"/>
  <c r="AC532" i="18"/>
  <c r="M612" i="18"/>
  <c r="M590" i="18"/>
  <c r="M569" i="18"/>
  <c r="M503" i="18"/>
  <c r="M547" i="18"/>
  <c r="M525" i="18"/>
  <c r="M459" i="18"/>
  <c r="M481" i="18"/>
  <c r="U612" i="18"/>
  <c r="U590" i="18"/>
  <c r="U569" i="18"/>
  <c r="U503" i="18"/>
  <c r="U547" i="18"/>
  <c r="U481" i="18"/>
  <c r="U459" i="18"/>
  <c r="U525" i="18"/>
  <c r="AC612" i="18"/>
  <c r="AC569" i="18"/>
  <c r="AC503" i="18"/>
  <c r="AC547" i="18"/>
  <c r="AC459" i="18"/>
  <c r="AC590" i="18"/>
  <c r="AC481" i="18"/>
  <c r="AC525" i="18"/>
  <c r="K592" i="18"/>
  <c r="K614" i="18"/>
  <c r="K549" i="18"/>
  <c r="K571" i="18"/>
  <c r="K527" i="18"/>
  <c r="K505" i="18"/>
  <c r="K461" i="18"/>
  <c r="K483" i="18"/>
  <c r="S592" i="18"/>
  <c r="S549" i="18"/>
  <c r="S614" i="18"/>
  <c r="S527" i="18"/>
  <c r="S505" i="18"/>
  <c r="S483" i="18"/>
  <c r="S461" i="18"/>
  <c r="S571" i="18"/>
  <c r="AA592" i="18"/>
  <c r="AA549" i="18"/>
  <c r="AA614" i="18"/>
  <c r="AA527" i="18"/>
  <c r="AA505" i="18"/>
  <c r="AA571" i="18"/>
  <c r="AA483" i="18"/>
  <c r="AA461" i="18"/>
  <c r="Q615" i="18"/>
  <c r="Q593" i="18"/>
  <c r="Q572" i="18"/>
  <c r="Q550" i="18"/>
  <c r="Q528" i="18"/>
  <c r="Q506" i="18"/>
  <c r="Q462" i="18"/>
  <c r="Q484" i="18"/>
  <c r="Y615" i="18"/>
  <c r="Y593" i="18"/>
  <c r="Y572" i="18"/>
  <c r="Y550" i="18"/>
  <c r="Y528" i="18"/>
  <c r="Y506" i="18"/>
  <c r="Y462" i="18"/>
  <c r="Y484" i="18"/>
  <c r="AG615" i="18"/>
  <c r="AG593" i="18"/>
  <c r="AG572" i="18"/>
  <c r="AG550" i="18"/>
  <c r="AG528" i="18"/>
  <c r="AG506" i="18"/>
  <c r="AG484" i="18"/>
  <c r="AG462" i="18"/>
  <c r="O616" i="18"/>
  <c r="O594" i="18"/>
  <c r="O573" i="18"/>
  <c r="O551" i="18"/>
  <c r="O485" i="18"/>
  <c r="O529" i="18"/>
  <c r="O463" i="18"/>
  <c r="O507" i="18"/>
  <c r="W616" i="18"/>
  <c r="W594" i="18"/>
  <c r="W573" i="18"/>
  <c r="W551" i="18"/>
  <c r="W485" i="18"/>
  <c r="W529" i="18"/>
  <c r="W463" i="18"/>
  <c r="W507" i="18"/>
  <c r="AE616" i="18"/>
  <c r="AE594" i="18"/>
  <c r="AE551" i="18"/>
  <c r="AE485" i="18"/>
  <c r="AE529" i="18"/>
  <c r="AE573" i="18"/>
  <c r="AE507" i="18"/>
  <c r="AE463" i="18"/>
  <c r="M574" i="18"/>
  <c r="M617" i="18"/>
  <c r="M595" i="18"/>
  <c r="M508" i="18"/>
  <c r="M530" i="18"/>
  <c r="M486" i="18"/>
  <c r="M552" i="18"/>
  <c r="M464" i="18"/>
  <c r="U574" i="18"/>
  <c r="U617" i="18"/>
  <c r="U595" i="18"/>
  <c r="U508" i="18"/>
  <c r="U486" i="18"/>
  <c r="U552" i="18"/>
  <c r="U530" i="18"/>
  <c r="U464" i="18"/>
  <c r="AC574" i="18"/>
  <c r="AC617" i="18"/>
  <c r="AC595" i="18"/>
  <c r="AC530" i="18"/>
  <c r="AC508" i="18"/>
  <c r="AC552" i="18"/>
  <c r="AC486" i="18"/>
  <c r="AC464" i="18"/>
  <c r="AF618" i="18"/>
  <c r="AF575" i="18"/>
  <c r="AF553" i="18"/>
  <c r="AF531" i="18"/>
  <c r="AF596" i="18"/>
  <c r="AF509" i="18"/>
  <c r="AF487" i="18"/>
  <c r="AF465" i="18"/>
  <c r="Z597" i="18"/>
  <c r="Z619" i="18"/>
  <c r="Z554" i="18"/>
  <c r="Z532" i="18"/>
  <c r="Z576" i="18"/>
  <c r="Z510" i="18"/>
  <c r="Z488" i="18"/>
  <c r="Z466" i="18"/>
  <c r="AH590" i="18"/>
  <c r="AH612" i="18"/>
  <c r="AH547" i="18"/>
  <c r="AH569" i="18"/>
  <c r="AH525" i="18"/>
  <c r="AH503" i="18"/>
  <c r="AH459" i="18"/>
  <c r="AH481" i="18"/>
  <c r="X614" i="18"/>
  <c r="X571" i="18"/>
  <c r="X549" i="18"/>
  <c r="X527" i="18"/>
  <c r="X592" i="18"/>
  <c r="X505" i="18"/>
  <c r="X461" i="18"/>
  <c r="X483" i="18"/>
  <c r="V572" i="18"/>
  <c r="V615" i="18"/>
  <c r="V550" i="18"/>
  <c r="V484" i="18"/>
  <c r="V593" i="18"/>
  <c r="V528" i="18"/>
  <c r="V462" i="18"/>
  <c r="V506" i="18"/>
  <c r="AB573" i="18"/>
  <c r="AB594" i="18"/>
  <c r="AB551" i="18"/>
  <c r="AB529" i="18"/>
  <c r="AB507" i="18"/>
  <c r="AB616" i="18"/>
  <c r="AB485" i="18"/>
  <c r="AB463" i="18"/>
  <c r="Y618" i="18"/>
  <c r="Y596" i="18"/>
  <c r="Y575" i="18"/>
  <c r="Y553" i="18"/>
  <c r="Y531" i="18"/>
  <c r="Y509" i="18"/>
  <c r="Y487" i="18"/>
  <c r="Y465" i="18"/>
  <c r="S597" i="18"/>
  <c r="S576" i="18"/>
  <c r="S619" i="18"/>
  <c r="S554" i="18"/>
  <c r="S532" i="18"/>
  <c r="S510" i="18"/>
  <c r="S488" i="18"/>
  <c r="S466" i="18"/>
  <c r="K590" i="18"/>
  <c r="K547" i="18"/>
  <c r="K612" i="18"/>
  <c r="K525" i="18"/>
  <c r="K503" i="18"/>
  <c r="K459" i="18"/>
  <c r="K569" i="18"/>
  <c r="K481" i="18"/>
  <c r="AA590" i="18"/>
  <c r="AA547" i="18"/>
  <c r="AA612" i="18"/>
  <c r="AA525" i="18"/>
  <c r="AA569" i="18"/>
  <c r="AA503" i="18"/>
  <c r="AA459" i="18"/>
  <c r="AA481" i="18"/>
  <c r="O615" i="18"/>
  <c r="O593" i="18"/>
  <c r="O550" i="18"/>
  <c r="O484" i="18"/>
  <c r="O572" i="18"/>
  <c r="O528" i="18"/>
  <c r="O462" i="18"/>
  <c r="O506" i="18"/>
  <c r="U573" i="18"/>
  <c r="U616" i="18"/>
  <c r="U507" i="18"/>
  <c r="U594" i="18"/>
  <c r="U551" i="18"/>
  <c r="U485" i="18"/>
  <c r="U529" i="18"/>
  <c r="U463" i="18"/>
  <c r="K595" i="18"/>
  <c r="K574" i="18"/>
  <c r="K552" i="18"/>
  <c r="K530" i="18"/>
  <c r="K617" i="18"/>
  <c r="K508" i="18"/>
  <c r="K486" i="18"/>
  <c r="K464" i="18"/>
  <c r="AA595" i="18"/>
  <c r="AA574" i="18"/>
  <c r="AA552" i="18"/>
  <c r="AA530" i="18"/>
  <c r="AA617" i="18"/>
  <c r="AA508" i="18"/>
  <c r="AA486" i="18"/>
  <c r="AA464" i="18"/>
  <c r="L575" i="18"/>
  <c r="L596" i="18"/>
  <c r="L618" i="18"/>
  <c r="L553" i="18"/>
  <c r="L509" i="18"/>
  <c r="L531" i="18"/>
  <c r="L487" i="18"/>
  <c r="L465" i="18"/>
  <c r="T575" i="18"/>
  <c r="T596" i="18"/>
  <c r="T618" i="18"/>
  <c r="T509" i="18"/>
  <c r="T531" i="18"/>
  <c r="T487" i="18"/>
  <c r="T553" i="18"/>
  <c r="T465" i="18"/>
  <c r="AB575" i="18"/>
  <c r="AB596" i="18"/>
  <c r="AB618" i="18"/>
  <c r="AB509" i="18"/>
  <c r="AB531" i="18"/>
  <c r="AB487" i="18"/>
  <c r="AB553" i="18"/>
  <c r="AB465" i="18"/>
  <c r="N576" i="18"/>
  <c r="N619" i="18"/>
  <c r="N597" i="18"/>
  <c r="N554" i="18"/>
  <c r="N488" i="18"/>
  <c r="N532" i="18"/>
  <c r="N510" i="18"/>
  <c r="N466" i="18"/>
  <c r="V576" i="18"/>
  <c r="V597" i="18"/>
  <c r="V554" i="18"/>
  <c r="V532" i="18"/>
  <c r="V488" i="18"/>
  <c r="V619" i="18"/>
  <c r="V510" i="18"/>
  <c r="V466" i="18"/>
  <c r="AD576" i="18"/>
  <c r="AD619" i="18"/>
  <c r="AD554" i="18"/>
  <c r="AD488" i="18"/>
  <c r="AD597" i="18"/>
  <c r="AD532" i="18"/>
  <c r="AD510" i="18"/>
  <c r="AD466" i="18"/>
  <c r="N590" i="18"/>
  <c r="N569" i="18"/>
  <c r="N547" i="18"/>
  <c r="N612" i="18"/>
  <c r="N525" i="18"/>
  <c r="N503" i="18"/>
  <c r="N459" i="18"/>
  <c r="N481" i="18"/>
  <c r="V590" i="18"/>
  <c r="V569" i="18"/>
  <c r="V612" i="18"/>
  <c r="V547" i="18"/>
  <c r="V525" i="18"/>
  <c r="V503" i="18"/>
  <c r="V459" i="18"/>
  <c r="V481" i="18"/>
  <c r="AD612" i="18"/>
  <c r="AD569" i="18"/>
  <c r="AD590" i="18"/>
  <c r="AD547" i="18"/>
  <c r="AD525" i="18"/>
  <c r="AD481" i="18"/>
  <c r="AD503" i="18"/>
  <c r="AD459" i="18"/>
  <c r="L592" i="18"/>
  <c r="L571" i="18"/>
  <c r="L614" i="18"/>
  <c r="L549" i="18"/>
  <c r="L505" i="18"/>
  <c r="L527" i="18"/>
  <c r="L483" i="18"/>
  <c r="L461" i="18"/>
  <c r="T592" i="18"/>
  <c r="T614" i="18"/>
  <c r="T571" i="18"/>
  <c r="T505" i="18"/>
  <c r="T549" i="18"/>
  <c r="T527" i="18"/>
  <c r="T483" i="18"/>
  <c r="T461" i="18"/>
  <c r="AB592" i="18"/>
  <c r="AB614" i="18"/>
  <c r="AB571" i="18"/>
  <c r="AB505" i="18"/>
  <c r="AB549" i="18"/>
  <c r="AB527" i="18"/>
  <c r="AB483" i="18"/>
  <c r="AB461" i="18"/>
  <c r="R593" i="18"/>
  <c r="R615" i="18"/>
  <c r="R550" i="18"/>
  <c r="R528" i="18"/>
  <c r="R572" i="18"/>
  <c r="R506" i="18"/>
  <c r="R484" i="18"/>
  <c r="R462" i="18"/>
  <c r="Z593" i="18"/>
  <c r="Z615" i="18"/>
  <c r="Z572" i="18"/>
  <c r="Z550" i="18"/>
  <c r="Z528" i="18"/>
  <c r="Z506" i="18"/>
  <c r="Z484" i="18"/>
  <c r="Z462" i="18"/>
  <c r="AH593" i="18"/>
  <c r="AH615" i="18"/>
  <c r="AH550" i="18"/>
  <c r="AH528" i="18"/>
  <c r="AH572" i="18"/>
  <c r="AH506" i="18"/>
  <c r="AH484" i="18"/>
  <c r="AH462" i="18"/>
  <c r="P616" i="18"/>
  <c r="P573" i="18"/>
  <c r="P551" i="18"/>
  <c r="P529" i="18"/>
  <c r="P594" i="18"/>
  <c r="P507" i="18"/>
  <c r="P463" i="18"/>
  <c r="P485" i="18"/>
  <c r="X616" i="18"/>
  <c r="X573" i="18"/>
  <c r="X551" i="18"/>
  <c r="X594" i="18"/>
  <c r="X529" i="18"/>
  <c r="X507" i="18"/>
  <c r="X463" i="18"/>
  <c r="X485" i="18"/>
  <c r="AF616" i="18"/>
  <c r="AF594" i="18"/>
  <c r="AF551" i="18"/>
  <c r="AF573" i="18"/>
  <c r="AF529" i="18"/>
  <c r="AF507" i="18"/>
  <c r="AF485" i="18"/>
  <c r="AF463" i="18"/>
  <c r="N574" i="18"/>
  <c r="N617" i="18"/>
  <c r="N552" i="18"/>
  <c r="N595" i="18"/>
  <c r="N530" i="18"/>
  <c r="N486" i="18"/>
  <c r="N508" i="18"/>
  <c r="N464" i="18"/>
  <c r="V574" i="18"/>
  <c r="V617" i="18"/>
  <c r="V595" i="18"/>
  <c r="V552" i="18"/>
  <c r="V486" i="18"/>
  <c r="V530" i="18"/>
  <c r="V508" i="18"/>
  <c r="V464" i="18"/>
  <c r="AD574" i="18"/>
  <c r="AD595" i="18"/>
  <c r="AD617" i="18"/>
  <c r="AD552" i="18"/>
  <c r="AD486" i="18"/>
  <c r="AD530" i="18"/>
  <c r="AD464" i="18"/>
  <c r="AD508" i="18"/>
  <c r="Q614" i="18"/>
  <c r="Q592" i="18"/>
  <c r="Q571" i="18"/>
  <c r="Q549" i="18"/>
  <c r="Q527" i="18"/>
  <c r="Q505" i="18"/>
  <c r="Q483" i="18"/>
  <c r="Q461" i="18"/>
  <c r="M575" i="18"/>
  <c r="M618" i="18"/>
  <c r="M509" i="18"/>
  <c r="M487" i="18"/>
  <c r="M531" i="18"/>
  <c r="M553" i="18"/>
  <c r="M596" i="18"/>
  <c r="M465" i="18"/>
  <c r="U575" i="18"/>
  <c r="U618" i="18"/>
  <c r="U596" i="18"/>
  <c r="U509" i="18"/>
  <c r="U487" i="18"/>
  <c r="U553" i="18"/>
  <c r="U531" i="18"/>
  <c r="U465" i="18"/>
  <c r="AC575" i="18"/>
  <c r="AC618" i="18"/>
  <c r="AC596" i="18"/>
  <c r="AC509" i="18"/>
  <c r="AC531" i="18"/>
  <c r="AC487" i="18"/>
  <c r="AC553" i="18"/>
  <c r="AC465" i="18"/>
  <c r="O619" i="18"/>
  <c r="O597" i="18"/>
  <c r="O576" i="18"/>
  <c r="O554" i="18"/>
  <c r="O488" i="18"/>
  <c r="O532" i="18"/>
  <c r="O510" i="18"/>
  <c r="O466" i="18"/>
  <c r="W619" i="18"/>
  <c r="W597" i="18"/>
  <c r="W554" i="18"/>
  <c r="W576" i="18"/>
  <c r="W532" i="18"/>
  <c r="W488" i="18"/>
  <c r="W510" i="18"/>
  <c r="W466" i="18"/>
  <c r="AE619" i="18"/>
  <c r="AE597" i="18"/>
  <c r="AE576" i="18"/>
  <c r="AE554" i="18"/>
  <c r="AE488" i="18"/>
  <c r="AE532" i="18"/>
  <c r="AE510" i="18"/>
  <c r="AE466" i="18"/>
  <c r="O612" i="18"/>
  <c r="O590" i="18"/>
  <c r="O569" i="18"/>
  <c r="O547" i="18"/>
  <c r="O525" i="18"/>
  <c r="O503" i="18"/>
  <c r="O481" i="18"/>
  <c r="O459" i="18"/>
  <c r="W612" i="18"/>
  <c r="W590" i="18"/>
  <c r="W569" i="18"/>
  <c r="W547" i="18"/>
  <c r="W525" i="18"/>
  <c r="W481" i="18"/>
  <c r="W459" i="18"/>
  <c r="W503" i="18"/>
  <c r="AE612" i="18"/>
  <c r="AE590" i="18"/>
  <c r="AE569" i="18"/>
  <c r="AE547" i="18"/>
  <c r="AE525" i="18"/>
  <c r="AE481" i="18"/>
  <c r="AE459" i="18"/>
  <c r="AE503" i="18"/>
  <c r="M614" i="18"/>
  <c r="M592" i="18"/>
  <c r="M571" i="18"/>
  <c r="M505" i="18"/>
  <c r="M483" i="18"/>
  <c r="M461" i="18"/>
  <c r="M527" i="18"/>
  <c r="M549" i="18"/>
  <c r="U614" i="18"/>
  <c r="U592" i="18"/>
  <c r="U571" i="18"/>
  <c r="U505" i="18"/>
  <c r="U483" i="18"/>
  <c r="U549" i="18"/>
  <c r="U527" i="18"/>
  <c r="U461" i="18"/>
  <c r="AC571" i="18"/>
  <c r="AC614" i="18"/>
  <c r="AC592" i="18"/>
  <c r="AC505" i="18"/>
  <c r="AC483" i="18"/>
  <c r="AC549" i="18"/>
  <c r="AC461" i="18"/>
  <c r="AC527" i="18"/>
  <c r="K593" i="18"/>
  <c r="K550" i="18"/>
  <c r="K572" i="18"/>
  <c r="K528" i="18"/>
  <c r="K506" i="18"/>
  <c r="K484" i="18"/>
  <c r="K462" i="18"/>
  <c r="K615" i="18"/>
  <c r="S593" i="18"/>
  <c r="S550" i="18"/>
  <c r="S615" i="18"/>
  <c r="S572" i="18"/>
  <c r="S528" i="18"/>
  <c r="S506" i="18"/>
  <c r="S484" i="18"/>
  <c r="S462" i="18"/>
  <c r="AA593" i="18"/>
  <c r="AA572" i="18"/>
  <c r="AA550" i="18"/>
  <c r="AA615" i="18"/>
  <c r="AA506" i="18"/>
  <c r="AA528" i="18"/>
  <c r="AA484" i="18"/>
  <c r="AA462" i="18"/>
  <c r="Q616" i="18"/>
  <c r="Q594" i="18"/>
  <c r="Q573" i="18"/>
  <c r="Q551" i="18"/>
  <c r="Q529" i="18"/>
  <c r="Q507" i="18"/>
  <c r="Q463" i="18"/>
  <c r="Q485" i="18"/>
  <c r="Y616" i="18"/>
  <c r="Y594" i="18"/>
  <c r="Y573" i="18"/>
  <c r="Y551" i="18"/>
  <c r="Y529" i="18"/>
  <c r="Y507" i="18"/>
  <c r="Y463" i="18"/>
  <c r="Y485" i="18"/>
  <c r="AG616" i="18"/>
  <c r="AG594" i="18"/>
  <c r="AG573" i="18"/>
  <c r="AG551" i="18"/>
  <c r="AG529" i="18"/>
  <c r="AG507" i="18"/>
  <c r="AG485" i="18"/>
  <c r="AG463" i="18"/>
  <c r="O617" i="18"/>
  <c r="O595" i="18"/>
  <c r="O574" i="18"/>
  <c r="O552" i="18"/>
  <c r="O530" i="18"/>
  <c r="O486" i="18"/>
  <c r="O508" i="18"/>
  <c r="O464" i="18"/>
  <c r="W617" i="18"/>
  <c r="W595" i="18"/>
  <c r="W574" i="18"/>
  <c r="W552" i="18"/>
  <c r="W486" i="18"/>
  <c r="W530" i="18"/>
  <c r="W464" i="18"/>
  <c r="W508" i="18"/>
  <c r="AE617" i="18"/>
  <c r="AE595" i="18"/>
  <c r="AE552" i="18"/>
  <c r="AE574" i="18"/>
  <c r="AE486" i="18"/>
  <c r="AE530" i="18"/>
  <c r="AE464" i="18"/>
  <c r="AE508" i="18"/>
  <c r="R590" i="18"/>
  <c r="R612" i="18"/>
  <c r="R547" i="18"/>
  <c r="R525" i="18"/>
  <c r="R503" i="18"/>
  <c r="R569" i="18"/>
  <c r="R459" i="18"/>
  <c r="R481" i="18"/>
  <c r="N572" i="18"/>
  <c r="N593" i="18"/>
  <c r="N615" i="18"/>
  <c r="N550" i="18"/>
  <c r="N484" i="18"/>
  <c r="N528" i="18"/>
  <c r="N462" i="18"/>
  <c r="N506" i="18"/>
  <c r="T573" i="18"/>
  <c r="T594" i="18"/>
  <c r="T616" i="18"/>
  <c r="T507" i="18"/>
  <c r="T551" i="18"/>
  <c r="T485" i="18"/>
  <c r="T529" i="18"/>
  <c r="T463" i="18"/>
  <c r="AH595" i="18"/>
  <c r="AH617" i="18"/>
  <c r="AH552" i="18"/>
  <c r="AH574" i="18"/>
  <c r="AH530" i="18"/>
  <c r="AH508" i="18"/>
  <c r="AH486" i="18"/>
  <c r="AH464" i="18"/>
  <c r="K46" i="48"/>
  <c r="AG379" i="72"/>
  <c r="Q618" i="18"/>
  <c r="Q596" i="18"/>
  <c r="Q575" i="18"/>
  <c r="Q553" i="18"/>
  <c r="Q531" i="18"/>
  <c r="Q509" i="18"/>
  <c r="Q465" i="18"/>
  <c r="Q487" i="18"/>
  <c r="K597" i="18"/>
  <c r="K576" i="18"/>
  <c r="K554" i="18"/>
  <c r="K532" i="18"/>
  <c r="K619" i="18"/>
  <c r="K510" i="18"/>
  <c r="K488" i="18"/>
  <c r="K466" i="18"/>
  <c r="AA597" i="18"/>
  <c r="AA576" i="18"/>
  <c r="AA554" i="18"/>
  <c r="AA532" i="18"/>
  <c r="AA619" i="18"/>
  <c r="AA510" i="18"/>
  <c r="AA488" i="18"/>
  <c r="AA466" i="18"/>
  <c r="S590" i="18"/>
  <c r="S547" i="18"/>
  <c r="S525" i="18"/>
  <c r="S612" i="18"/>
  <c r="S503" i="18"/>
  <c r="S569" i="18"/>
  <c r="S459" i="18"/>
  <c r="S481" i="18"/>
  <c r="Y614" i="18"/>
  <c r="Y592" i="18"/>
  <c r="Y571" i="18"/>
  <c r="Y549" i="18"/>
  <c r="Y527" i="18"/>
  <c r="Y505" i="18"/>
  <c r="Y461" i="18"/>
  <c r="Y483" i="18"/>
  <c r="AE615" i="18"/>
  <c r="AE593" i="18"/>
  <c r="AE550" i="18"/>
  <c r="AE484" i="18"/>
  <c r="AE572" i="18"/>
  <c r="AE506" i="18"/>
  <c r="AE528" i="18"/>
  <c r="AE462" i="18"/>
  <c r="AC573" i="18"/>
  <c r="AC616" i="18"/>
  <c r="AC594" i="18"/>
  <c r="AC507" i="18"/>
  <c r="AC485" i="18"/>
  <c r="AC529" i="18"/>
  <c r="AC551" i="18"/>
  <c r="AC463" i="18"/>
  <c r="S595" i="18"/>
  <c r="S574" i="18"/>
  <c r="S552" i="18"/>
  <c r="S617" i="18"/>
  <c r="S530" i="18"/>
  <c r="S508" i="18"/>
  <c r="S486" i="18"/>
  <c r="S464" i="18"/>
  <c r="N575" i="18"/>
  <c r="N618" i="18"/>
  <c r="N553" i="18"/>
  <c r="N487" i="18"/>
  <c r="N531" i="18"/>
  <c r="N596" i="18"/>
  <c r="N465" i="18"/>
  <c r="N509" i="18"/>
  <c r="V575" i="18"/>
  <c r="V596" i="18"/>
  <c r="V553" i="18"/>
  <c r="V487" i="18"/>
  <c r="V531" i="18"/>
  <c r="V618" i="18"/>
  <c r="V509" i="18"/>
  <c r="V465" i="18"/>
  <c r="AD575" i="18"/>
  <c r="AD596" i="18"/>
  <c r="AD618" i="18"/>
  <c r="AD553" i="18"/>
  <c r="AD531" i="18"/>
  <c r="AD487" i="18"/>
  <c r="AD509" i="18"/>
  <c r="AD465" i="18"/>
  <c r="P619" i="18"/>
  <c r="P576" i="18"/>
  <c r="P554" i="18"/>
  <c r="P597" i="18"/>
  <c r="P532" i="18"/>
  <c r="P510" i="18"/>
  <c r="P488" i="18"/>
  <c r="P466" i="18"/>
  <c r="X619" i="18"/>
  <c r="X597" i="18"/>
  <c r="X554" i="18"/>
  <c r="X576" i="18"/>
  <c r="X532" i="18"/>
  <c r="X510" i="18"/>
  <c r="X488" i="18"/>
  <c r="X466" i="18"/>
  <c r="AF619" i="18"/>
  <c r="AF576" i="18"/>
  <c r="AF554" i="18"/>
  <c r="AF532" i="18"/>
  <c r="AF597" i="18"/>
  <c r="AF510" i="18"/>
  <c r="AF466" i="18"/>
  <c r="AF488" i="18"/>
  <c r="P612" i="18"/>
  <c r="P569" i="18"/>
  <c r="P590" i="18"/>
  <c r="P547" i="18"/>
  <c r="P525" i="18"/>
  <c r="P503" i="18"/>
  <c r="P481" i="18"/>
  <c r="P459" i="18"/>
  <c r="X612" i="18"/>
  <c r="X569" i="18"/>
  <c r="X547" i="18"/>
  <c r="X590" i="18"/>
  <c r="X525" i="18"/>
  <c r="X503" i="18"/>
  <c r="X481" i="18"/>
  <c r="X459" i="18"/>
  <c r="AF612" i="18"/>
  <c r="AF569" i="18"/>
  <c r="AF547" i="18"/>
  <c r="AF590" i="18"/>
  <c r="AF525" i="18"/>
  <c r="AF503" i="18"/>
  <c r="AF459" i="18"/>
  <c r="AF481" i="18"/>
  <c r="N592" i="18"/>
  <c r="N571" i="18"/>
  <c r="N549" i="18"/>
  <c r="N527" i="18"/>
  <c r="N461" i="18"/>
  <c r="N614" i="18"/>
  <c r="N505" i="18"/>
  <c r="N483" i="18"/>
  <c r="V614" i="18"/>
  <c r="V571" i="18"/>
  <c r="V549" i="18"/>
  <c r="V483" i="18"/>
  <c r="V527" i="18"/>
  <c r="V505" i="18"/>
  <c r="V592" i="18"/>
  <c r="V461" i="18"/>
  <c r="AD571" i="18"/>
  <c r="AD614" i="18"/>
  <c r="AD592" i="18"/>
  <c r="AD549" i="18"/>
  <c r="AD483" i="18"/>
  <c r="AD527" i="18"/>
  <c r="AD505" i="18"/>
  <c r="AD461" i="18"/>
  <c r="L593" i="18"/>
  <c r="L572" i="18"/>
  <c r="L506" i="18"/>
  <c r="L550" i="18"/>
  <c r="L615" i="18"/>
  <c r="L484" i="18"/>
  <c r="L528" i="18"/>
  <c r="L462" i="18"/>
  <c r="T572" i="18"/>
  <c r="T593" i="18"/>
  <c r="T615" i="18"/>
  <c r="T550" i="18"/>
  <c r="T528" i="18"/>
  <c r="T506" i="18"/>
  <c r="T462" i="18"/>
  <c r="T484" i="18"/>
  <c r="AB572" i="18"/>
  <c r="AB593" i="18"/>
  <c r="AB615" i="18"/>
  <c r="AB506" i="18"/>
  <c r="AB528" i="18"/>
  <c r="AB550" i="18"/>
  <c r="AB484" i="18"/>
  <c r="AB462" i="18"/>
  <c r="R594" i="18"/>
  <c r="R616" i="18"/>
  <c r="R551" i="18"/>
  <c r="R573" i="18"/>
  <c r="R529" i="18"/>
  <c r="R507" i="18"/>
  <c r="R485" i="18"/>
  <c r="R463" i="18"/>
  <c r="Z594" i="18"/>
  <c r="Z616" i="18"/>
  <c r="Z551" i="18"/>
  <c r="Z529" i="18"/>
  <c r="Z507" i="18"/>
  <c r="Z485" i="18"/>
  <c r="Z573" i="18"/>
  <c r="Z463" i="18"/>
  <c r="AH594" i="18"/>
  <c r="AH616" i="18"/>
  <c r="AH551" i="18"/>
  <c r="AH529" i="18"/>
  <c r="AH573" i="18"/>
  <c r="AH507" i="18"/>
  <c r="AH485" i="18"/>
  <c r="AH463" i="18"/>
  <c r="P617" i="18"/>
  <c r="P574" i="18"/>
  <c r="P552" i="18"/>
  <c r="P508" i="18"/>
  <c r="P464" i="18"/>
  <c r="P486" i="18"/>
  <c r="P595" i="18"/>
  <c r="P530" i="18"/>
  <c r="X617" i="18"/>
  <c r="X595" i="18"/>
  <c r="X552" i="18"/>
  <c r="X530" i="18"/>
  <c r="X574" i="18"/>
  <c r="X508" i="18"/>
  <c r="X486" i="18"/>
  <c r="X464" i="18"/>
  <c r="AF617" i="18"/>
  <c r="AF595" i="18"/>
  <c r="AF552" i="18"/>
  <c r="AF574" i="18"/>
  <c r="AF530" i="18"/>
  <c r="AF508" i="18"/>
  <c r="AF486" i="18"/>
  <c r="AF464" i="18"/>
  <c r="J597" i="18"/>
  <c r="J488" i="18"/>
  <c r="J554" i="18"/>
  <c r="J619" i="18"/>
  <c r="J510" i="18"/>
  <c r="J532" i="18"/>
  <c r="J576" i="18"/>
  <c r="J466" i="18"/>
  <c r="J575" i="18"/>
  <c r="J487" i="18"/>
  <c r="J596" i="18"/>
  <c r="J509" i="18"/>
  <c r="J618" i="18"/>
  <c r="J531" i="18"/>
  <c r="J553" i="18"/>
  <c r="J465" i="18"/>
  <c r="J508" i="18"/>
  <c r="J530" i="18"/>
  <c r="J552" i="18"/>
  <c r="J574" i="18"/>
  <c r="J617" i="18"/>
  <c r="J464" i="18"/>
  <c r="J595" i="18"/>
  <c r="J486" i="18"/>
  <c r="J616" i="18"/>
  <c r="J573" i="18"/>
  <c r="J551" i="18"/>
  <c r="J529" i="18"/>
  <c r="J507" i="18"/>
  <c r="J463" i="18"/>
  <c r="J594" i="18"/>
  <c r="J485" i="18"/>
  <c r="J593" i="18"/>
  <c r="J462" i="18"/>
  <c r="J572" i="18"/>
  <c r="J550" i="18"/>
  <c r="J528" i="18"/>
  <c r="J506" i="18"/>
  <c r="J484" i="18"/>
  <c r="J615" i="18"/>
  <c r="J614" i="18"/>
  <c r="J527" i="18"/>
  <c r="J592" i="18"/>
  <c r="J505" i="18"/>
  <c r="J571" i="18"/>
  <c r="J483" i="18"/>
  <c r="J461" i="18"/>
  <c r="J549" i="18"/>
  <c r="J503" i="18"/>
  <c r="J612" i="18"/>
  <c r="J547" i="18"/>
  <c r="J481" i="18"/>
  <c r="J590" i="18"/>
  <c r="J525" i="18"/>
  <c r="J459" i="18"/>
  <c r="J569" i="18"/>
  <c r="I624" i="18"/>
  <c r="I580" i="18"/>
  <c r="I537" i="18"/>
  <c r="I493" i="18"/>
  <c r="I471" i="18"/>
  <c r="I602" i="18"/>
  <c r="I559" i="18"/>
  <c r="I515" i="18"/>
  <c r="I492" i="18"/>
  <c r="I558" i="18"/>
  <c r="I623" i="18"/>
  <c r="I514" i="18"/>
  <c r="I470" i="18"/>
  <c r="I536" i="18"/>
  <c r="I601" i="18"/>
  <c r="I491" i="18"/>
  <c r="I600" i="18"/>
  <c r="I535" i="18"/>
  <c r="I469" i="18"/>
  <c r="I579" i="18"/>
  <c r="I513" i="18"/>
  <c r="I622" i="18"/>
  <c r="I557" i="18"/>
  <c r="I597" i="18"/>
  <c r="I554" i="18"/>
  <c r="I510" i="18"/>
  <c r="I466" i="18"/>
  <c r="I619" i="18"/>
  <c r="I576" i="18"/>
  <c r="I532" i="18"/>
  <c r="I488" i="18"/>
  <c r="I575" i="18"/>
  <c r="I465" i="18"/>
  <c r="I531" i="18"/>
  <c r="I596" i="18"/>
  <c r="I487" i="18"/>
  <c r="I553" i="18"/>
  <c r="I618" i="18"/>
  <c r="I509" i="18"/>
  <c r="I617" i="18"/>
  <c r="I530" i="18"/>
  <c r="I552" i="18"/>
  <c r="I464" i="18"/>
  <c r="I574" i="18"/>
  <c r="I486" i="18"/>
  <c r="I595" i="18"/>
  <c r="I508" i="18"/>
  <c r="I573" i="18"/>
  <c r="I594" i="18"/>
  <c r="I616" i="18"/>
  <c r="I463" i="18"/>
  <c r="I485" i="18"/>
  <c r="I507" i="18"/>
  <c r="I529" i="18"/>
  <c r="I551" i="18"/>
  <c r="I615" i="18"/>
  <c r="I593" i="18"/>
  <c r="I572" i="18"/>
  <c r="I550" i="18"/>
  <c r="I528" i="18"/>
  <c r="I506" i="18"/>
  <c r="I484" i="18"/>
  <c r="I462" i="18"/>
  <c r="I571" i="18"/>
  <c r="I549" i="18"/>
  <c r="I527" i="18"/>
  <c r="I505" i="18"/>
  <c r="I483" i="18"/>
  <c r="I461" i="18"/>
  <c r="I614" i="18"/>
  <c r="I592" i="18"/>
  <c r="I612" i="18"/>
  <c r="I525" i="18"/>
  <c r="I459" i="18"/>
  <c r="I590" i="18"/>
  <c r="I503" i="18"/>
  <c r="I569" i="18"/>
  <c r="I481" i="18"/>
  <c r="I547" i="18"/>
  <c r="AH301" i="18"/>
  <c r="AH367" i="18"/>
  <c r="AH257" i="18"/>
  <c r="AH323" i="18"/>
  <c r="AH389" i="18"/>
  <c r="AH279" i="18"/>
  <c r="AH411" i="18"/>
  <c r="AH345" i="18"/>
  <c r="Q389" i="18"/>
  <c r="Q279" i="18"/>
  <c r="Q345" i="18"/>
  <c r="Q301" i="18"/>
  <c r="Q257" i="18"/>
  <c r="Q323" i="18"/>
  <c r="Q411" i="18"/>
  <c r="Q367" i="18"/>
  <c r="Y301" i="18"/>
  <c r="Y257" i="18"/>
  <c r="Y389" i="18"/>
  <c r="Y345" i="18"/>
  <c r="Y411" i="18"/>
  <c r="Y367" i="18"/>
  <c r="Y323" i="18"/>
  <c r="Y279" i="18"/>
  <c r="R389" i="18"/>
  <c r="R345" i="18"/>
  <c r="R301" i="18"/>
  <c r="R257" i="18"/>
  <c r="R323" i="18"/>
  <c r="R279" i="18"/>
  <c r="R411" i="18"/>
  <c r="R367" i="18"/>
  <c r="Z279" i="18"/>
  <c r="Z389" i="18"/>
  <c r="Z345" i="18"/>
  <c r="Z301" i="18"/>
  <c r="Z257" i="18"/>
  <c r="Z411" i="18"/>
  <c r="Z367" i="18"/>
  <c r="Z323" i="18"/>
  <c r="AG411" i="18"/>
  <c r="AG367" i="18"/>
  <c r="AG301" i="18"/>
  <c r="AG257" i="18"/>
  <c r="AG323" i="18"/>
  <c r="AG279" i="18"/>
  <c r="AG389" i="18"/>
  <c r="AG345" i="18"/>
  <c r="K389" i="18"/>
  <c r="K345" i="18"/>
  <c r="K301" i="18"/>
  <c r="K257" i="18"/>
  <c r="K367" i="18"/>
  <c r="K279" i="18"/>
  <c r="K411" i="18"/>
  <c r="K323" i="18"/>
  <c r="S389" i="18"/>
  <c r="S345" i="18"/>
  <c r="S301" i="18"/>
  <c r="S257" i="18"/>
  <c r="S279" i="18"/>
  <c r="S411" i="18"/>
  <c r="S323" i="18"/>
  <c r="S367" i="18"/>
  <c r="AA389" i="18"/>
  <c r="AA345" i="18"/>
  <c r="AA301" i="18"/>
  <c r="AA257" i="18"/>
  <c r="AA411" i="18"/>
  <c r="AA367" i="18"/>
  <c r="AA323" i="18"/>
  <c r="AA279" i="18"/>
  <c r="L389" i="18"/>
  <c r="L345" i="18"/>
  <c r="L301" i="18"/>
  <c r="L257" i="18"/>
  <c r="L411" i="18"/>
  <c r="L367" i="18"/>
  <c r="L323" i="18"/>
  <c r="L279" i="18"/>
  <c r="M367" i="18"/>
  <c r="M345" i="18"/>
  <c r="M411" i="18"/>
  <c r="M389" i="18"/>
  <c r="M257" i="18"/>
  <c r="M323" i="18"/>
  <c r="M279" i="18"/>
  <c r="M301" i="18"/>
  <c r="U411" i="18"/>
  <c r="U279" i="18"/>
  <c r="U323" i="18"/>
  <c r="U345" i="18"/>
  <c r="U367" i="18"/>
  <c r="U257" i="18"/>
  <c r="U389" i="18"/>
  <c r="U301" i="18"/>
  <c r="AC323" i="18"/>
  <c r="AC367" i="18"/>
  <c r="AC279" i="18"/>
  <c r="AC301" i="18"/>
  <c r="AC411" i="18"/>
  <c r="AC389" i="18"/>
  <c r="AC345" i="18"/>
  <c r="AC257" i="18"/>
  <c r="T389" i="18"/>
  <c r="T345" i="18"/>
  <c r="T301" i="18"/>
  <c r="T257" i="18"/>
  <c r="T411" i="18"/>
  <c r="T367" i="18"/>
  <c r="T323" i="18"/>
  <c r="T279" i="18"/>
  <c r="N301" i="18"/>
  <c r="N345" i="18"/>
  <c r="N411" i="18"/>
  <c r="N367" i="18"/>
  <c r="N323" i="18"/>
  <c r="N279" i="18"/>
  <c r="N389" i="18"/>
  <c r="N257" i="18"/>
  <c r="V389" i="18"/>
  <c r="V345" i="18"/>
  <c r="V411" i="18"/>
  <c r="V367" i="18"/>
  <c r="V323" i="18"/>
  <c r="V279" i="18"/>
  <c r="V301" i="18"/>
  <c r="V257" i="18"/>
  <c r="AD257" i="18"/>
  <c r="AD389" i="18"/>
  <c r="AD301" i="18"/>
  <c r="AD411" i="18"/>
  <c r="AD367" i="18"/>
  <c r="AD323" i="18"/>
  <c r="AD279" i="18"/>
  <c r="AD345" i="18"/>
  <c r="AB389" i="18"/>
  <c r="AB345" i="18"/>
  <c r="AB301" i="18"/>
  <c r="AB257" i="18"/>
  <c r="AB411" i="18"/>
  <c r="AB367" i="18"/>
  <c r="AB323" i="18"/>
  <c r="AB279" i="18"/>
  <c r="O411" i="18"/>
  <c r="O367" i="18"/>
  <c r="O323" i="18"/>
  <c r="O279" i="18"/>
  <c r="O301" i="18"/>
  <c r="O389" i="18"/>
  <c r="O257" i="18"/>
  <c r="O345" i="18"/>
  <c r="W411" i="18"/>
  <c r="W367" i="18"/>
  <c r="W323" i="18"/>
  <c r="W279" i="18"/>
  <c r="W345" i="18"/>
  <c r="W301" i="18"/>
  <c r="W257" i="18"/>
  <c r="W389" i="18"/>
  <c r="AE389" i="18"/>
  <c r="AE411" i="18"/>
  <c r="AE367" i="18"/>
  <c r="AE323" i="18"/>
  <c r="AE279" i="18"/>
  <c r="AE301" i="18"/>
  <c r="AE257" i="18"/>
  <c r="AE345" i="18"/>
  <c r="P411" i="18"/>
  <c r="P367" i="18"/>
  <c r="P323" i="18"/>
  <c r="P279" i="18"/>
  <c r="P389" i="18"/>
  <c r="P345" i="18"/>
  <c r="P301" i="18"/>
  <c r="P257" i="18"/>
  <c r="X411" i="18"/>
  <c r="X367" i="18"/>
  <c r="X323" i="18"/>
  <c r="X279" i="18"/>
  <c r="X389" i="18"/>
  <c r="X345" i="18"/>
  <c r="X301" i="18"/>
  <c r="X257" i="18"/>
  <c r="AF411" i="18"/>
  <c r="AF367" i="18"/>
  <c r="AF323" i="18"/>
  <c r="AF279" i="18"/>
  <c r="AF389" i="18"/>
  <c r="AF345" i="18"/>
  <c r="AF301" i="18"/>
  <c r="AF257" i="18"/>
  <c r="J301" i="18"/>
  <c r="J367" i="18"/>
  <c r="J411" i="18"/>
  <c r="J257" i="18"/>
  <c r="J323" i="18"/>
  <c r="J389" i="18"/>
  <c r="J279" i="18"/>
  <c r="J345" i="18"/>
  <c r="AH410" i="18"/>
  <c r="AH322" i="18"/>
  <c r="AH300" i="18"/>
  <c r="AH344" i="18"/>
  <c r="AH256" i="18"/>
  <c r="AH366" i="18"/>
  <c r="AH278" i="18"/>
  <c r="AH388" i="18"/>
  <c r="K300" i="18"/>
  <c r="K366" i="18"/>
  <c r="K256" i="18"/>
  <c r="K322" i="18"/>
  <c r="K388" i="18"/>
  <c r="K278" i="18"/>
  <c r="K410" i="18"/>
  <c r="K344" i="18"/>
  <c r="S300" i="18"/>
  <c r="S366" i="18"/>
  <c r="S256" i="18"/>
  <c r="S322" i="18"/>
  <c r="S388" i="18"/>
  <c r="S344" i="18"/>
  <c r="S278" i="18"/>
  <c r="S410" i="18"/>
  <c r="AA300" i="18"/>
  <c r="AA344" i="18"/>
  <c r="AA366" i="18"/>
  <c r="AA256" i="18"/>
  <c r="AA322" i="18"/>
  <c r="AA388" i="18"/>
  <c r="AA278" i="18"/>
  <c r="AA410" i="18"/>
  <c r="M256" i="18"/>
  <c r="M322" i="18"/>
  <c r="M388" i="18"/>
  <c r="M278" i="18"/>
  <c r="M344" i="18"/>
  <c r="M410" i="18"/>
  <c r="M300" i="18"/>
  <c r="M366" i="18"/>
  <c r="U256" i="18"/>
  <c r="U300" i="18"/>
  <c r="U322" i="18"/>
  <c r="U388" i="18"/>
  <c r="U278" i="18"/>
  <c r="U344" i="18"/>
  <c r="U410" i="18"/>
  <c r="U366" i="18"/>
  <c r="AC256" i="18"/>
  <c r="AC322" i="18"/>
  <c r="AC300" i="18"/>
  <c r="AC388" i="18"/>
  <c r="AC278" i="18"/>
  <c r="AC344" i="18"/>
  <c r="AC410" i="18"/>
  <c r="AC366" i="18"/>
  <c r="L366" i="18"/>
  <c r="L410" i="18"/>
  <c r="L256" i="18"/>
  <c r="L322" i="18"/>
  <c r="L388" i="18"/>
  <c r="L278" i="18"/>
  <c r="L344" i="18"/>
  <c r="L300" i="18"/>
  <c r="N322" i="18"/>
  <c r="N388" i="18"/>
  <c r="N278" i="18"/>
  <c r="N344" i="18"/>
  <c r="N410" i="18"/>
  <c r="N300" i="18"/>
  <c r="N366" i="18"/>
  <c r="N256" i="18"/>
  <c r="V322" i="18"/>
  <c r="V388" i="18"/>
  <c r="V278" i="18"/>
  <c r="V344" i="18"/>
  <c r="V366" i="18"/>
  <c r="V410" i="18"/>
  <c r="V300" i="18"/>
  <c r="V256" i="18"/>
  <c r="AD322" i="18"/>
  <c r="AD388" i="18"/>
  <c r="AD278" i="18"/>
  <c r="AD366" i="18"/>
  <c r="AD344" i="18"/>
  <c r="AD410" i="18"/>
  <c r="AD300" i="18"/>
  <c r="AD256" i="18"/>
  <c r="O388" i="18"/>
  <c r="O278" i="18"/>
  <c r="O344" i="18"/>
  <c r="O410" i="18"/>
  <c r="O300" i="18"/>
  <c r="O366" i="18"/>
  <c r="O256" i="18"/>
  <c r="O322" i="18"/>
  <c r="W388" i="18"/>
  <c r="W278" i="18"/>
  <c r="W344" i="18"/>
  <c r="W410" i="18"/>
  <c r="W300" i="18"/>
  <c r="W256" i="18"/>
  <c r="W366" i="18"/>
  <c r="W322" i="18"/>
  <c r="AE388" i="18"/>
  <c r="AE278" i="18"/>
  <c r="AE344" i="18"/>
  <c r="AE410" i="18"/>
  <c r="AE256" i="18"/>
  <c r="AE300" i="18"/>
  <c r="AE366" i="18"/>
  <c r="AE322" i="18"/>
  <c r="T366" i="18"/>
  <c r="T256" i="18"/>
  <c r="T322" i="18"/>
  <c r="T410" i="18"/>
  <c r="T388" i="18"/>
  <c r="T278" i="18"/>
  <c r="T344" i="18"/>
  <c r="T300" i="18"/>
  <c r="P278" i="18"/>
  <c r="P344" i="18"/>
  <c r="P410" i="18"/>
  <c r="P300" i="18"/>
  <c r="P322" i="18"/>
  <c r="P366" i="18"/>
  <c r="P256" i="18"/>
  <c r="P388" i="18"/>
  <c r="X278" i="18"/>
  <c r="X344" i="18"/>
  <c r="X410" i="18"/>
  <c r="X300" i="18"/>
  <c r="X366" i="18"/>
  <c r="X256" i="18"/>
  <c r="X322" i="18"/>
  <c r="X388" i="18"/>
  <c r="AF278" i="18"/>
  <c r="AF322" i="18"/>
  <c r="AF344" i="18"/>
  <c r="AF410" i="18"/>
  <c r="AF300" i="18"/>
  <c r="AF366" i="18"/>
  <c r="AF256" i="18"/>
  <c r="AF388" i="18"/>
  <c r="Q344" i="18"/>
  <c r="Q410" i="18"/>
  <c r="Q300" i="18"/>
  <c r="Q366" i="18"/>
  <c r="Q256" i="18"/>
  <c r="Q322" i="18"/>
  <c r="Q388" i="18"/>
  <c r="Q278" i="18"/>
  <c r="Y344" i="18"/>
  <c r="Y410" i="18"/>
  <c r="Y300" i="18"/>
  <c r="Y366" i="18"/>
  <c r="Y256" i="18"/>
  <c r="Y322" i="18"/>
  <c r="Y278" i="18"/>
  <c r="Y388" i="18"/>
  <c r="AG344" i="18"/>
  <c r="AG410" i="18"/>
  <c r="AG300" i="18"/>
  <c r="AG366" i="18"/>
  <c r="AG256" i="18"/>
  <c r="AG388" i="18"/>
  <c r="AG322" i="18"/>
  <c r="AG278" i="18"/>
  <c r="AB366" i="18"/>
  <c r="AB256" i="18"/>
  <c r="AB410" i="18"/>
  <c r="AB322" i="18"/>
  <c r="AB388" i="18"/>
  <c r="AB278" i="18"/>
  <c r="AB344" i="18"/>
  <c r="AB300" i="18"/>
  <c r="R410" i="18"/>
  <c r="R300" i="18"/>
  <c r="R366" i="18"/>
  <c r="R256" i="18"/>
  <c r="R322" i="18"/>
  <c r="R388" i="18"/>
  <c r="R344" i="18"/>
  <c r="R278" i="18"/>
  <c r="Z410" i="18"/>
  <c r="Z300" i="18"/>
  <c r="Z366" i="18"/>
  <c r="Z278" i="18"/>
  <c r="Z256" i="18"/>
  <c r="Z322" i="18"/>
  <c r="Z388" i="18"/>
  <c r="Z344" i="18"/>
  <c r="J410" i="18"/>
  <c r="J322" i="18"/>
  <c r="J344" i="18"/>
  <c r="J256" i="18"/>
  <c r="J300" i="18"/>
  <c r="J366" i="18"/>
  <c r="J278" i="18"/>
  <c r="J388" i="18"/>
  <c r="AH343" i="18"/>
  <c r="AH299" i="18"/>
  <c r="AH409" i="18"/>
  <c r="AH365" i="18"/>
  <c r="AH321" i="18"/>
  <c r="AH277" i="18"/>
  <c r="AH387" i="18"/>
  <c r="AH255" i="18"/>
  <c r="Q255" i="18"/>
  <c r="Q365" i="18"/>
  <c r="Q299" i="18"/>
  <c r="Q321" i="18"/>
  <c r="Q409" i="18"/>
  <c r="Q343" i="18"/>
  <c r="Q277" i="18"/>
  <c r="Q387" i="18"/>
  <c r="Y255" i="18"/>
  <c r="Y365" i="18"/>
  <c r="Y299" i="18"/>
  <c r="Y409" i="18"/>
  <c r="Y343" i="18"/>
  <c r="Y277" i="18"/>
  <c r="Y387" i="18"/>
  <c r="Y321" i="18"/>
  <c r="AG255" i="18"/>
  <c r="AG365" i="18"/>
  <c r="AG299" i="18"/>
  <c r="AG409" i="18"/>
  <c r="AG343" i="18"/>
  <c r="AG321" i="18"/>
  <c r="AG277" i="18"/>
  <c r="AG387" i="18"/>
  <c r="Z365" i="18"/>
  <c r="Z299" i="18"/>
  <c r="Z409" i="18"/>
  <c r="Z343" i="18"/>
  <c r="Z277" i="18"/>
  <c r="Z255" i="18"/>
  <c r="Z387" i="18"/>
  <c r="Z321" i="18"/>
  <c r="K299" i="18"/>
  <c r="K365" i="18"/>
  <c r="K409" i="18"/>
  <c r="K343" i="18"/>
  <c r="K277" i="18"/>
  <c r="K387" i="18"/>
  <c r="K321" i="18"/>
  <c r="K255" i="18"/>
  <c r="S299" i="18"/>
  <c r="S409" i="18"/>
  <c r="S343" i="18"/>
  <c r="S365" i="18"/>
  <c r="S277" i="18"/>
  <c r="S387" i="18"/>
  <c r="S321" i="18"/>
  <c r="S255" i="18"/>
  <c r="AA299" i="18"/>
  <c r="AA409" i="18"/>
  <c r="AA343" i="18"/>
  <c r="AA277" i="18"/>
  <c r="AA387" i="18"/>
  <c r="AA365" i="18"/>
  <c r="AA321" i="18"/>
  <c r="AA255" i="18"/>
  <c r="L409" i="18"/>
  <c r="L343" i="18"/>
  <c r="L277" i="18"/>
  <c r="L387" i="18"/>
  <c r="L299" i="18"/>
  <c r="L321" i="18"/>
  <c r="L255" i="18"/>
  <c r="L365" i="18"/>
  <c r="T409" i="18"/>
  <c r="T343" i="18"/>
  <c r="T277" i="18"/>
  <c r="T387" i="18"/>
  <c r="T321" i="18"/>
  <c r="T255" i="18"/>
  <c r="T299" i="18"/>
  <c r="T365" i="18"/>
  <c r="AB409" i="18"/>
  <c r="AB343" i="18"/>
  <c r="AB299" i="18"/>
  <c r="AB277" i="18"/>
  <c r="AB387" i="18"/>
  <c r="AB321" i="18"/>
  <c r="AB255" i="18"/>
  <c r="AB365" i="18"/>
  <c r="R365" i="18"/>
  <c r="R299" i="18"/>
  <c r="R409" i="18"/>
  <c r="R343" i="18"/>
  <c r="R277" i="18"/>
  <c r="R387" i="18"/>
  <c r="R255" i="18"/>
  <c r="R321" i="18"/>
  <c r="M343" i="18"/>
  <c r="M277" i="18"/>
  <c r="M387" i="18"/>
  <c r="M321" i="18"/>
  <c r="M255" i="18"/>
  <c r="M365" i="18"/>
  <c r="M299" i="18"/>
  <c r="M409" i="18"/>
  <c r="U343" i="18"/>
  <c r="U277" i="18"/>
  <c r="U409" i="18"/>
  <c r="U387" i="18"/>
  <c r="U321" i="18"/>
  <c r="U255" i="18"/>
  <c r="U365" i="18"/>
  <c r="U299" i="18"/>
  <c r="AC343" i="18"/>
  <c r="AC409" i="18"/>
  <c r="AC277" i="18"/>
  <c r="AC387" i="18"/>
  <c r="AC321" i="18"/>
  <c r="AC255" i="18"/>
  <c r="AC365" i="18"/>
  <c r="AC299" i="18"/>
  <c r="N277" i="18"/>
  <c r="N387" i="18"/>
  <c r="N321" i="18"/>
  <c r="N255" i="18"/>
  <c r="N365" i="18"/>
  <c r="N299" i="18"/>
  <c r="N409" i="18"/>
  <c r="N343" i="18"/>
  <c r="V277" i="18"/>
  <c r="V387" i="18"/>
  <c r="V343" i="18"/>
  <c r="V321" i="18"/>
  <c r="V255" i="18"/>
  <c r="V365" i="18"/>
  <c r="V299" i="18"/>
  <c r="V409" i="18"/>
  <c r="AD277" i="18"/>
  <c r="AD387" i="18"/>
  <c r="AD321" i="18"/>
  <c r="AD343" i="18"/>
  <c r="AD255" i="18"/>
  <c r="AD365" i="18"/>
  <c r="AD299" i="18"/>
  <c r="AD409" i="18"/>
  <c r="O387" i="18"/>
  <c r="O321" i="18"/>
  <c r="O255" i="18"/>
  <c r="O365" i="18"/>
  <c r="O299" i="18"/>
  <c r="O409" i="18"/>
  <c r="O277" i="18"/>
  <c r="O343" i="18"/>
  <c r="W387" i="18"/>
  <c r="W277" i="18"/>
  <c r="W321" i="18"/>
  <c r="W255" i="18"/>
  <c r="W365" i="18"/>
  <c r="W299" i="18"/>
  <c r="W409" i="18"/>
  <c r="W343" i="18"/>
  <c r="AE387" i="18"/>
  <c r="AE321" i="18"/>
  <c r="AE255" i="18"/>
  <c r="AE365" i="18"/>
  <c r="AE277" i="18"/>
  <c r="AE299" i="18"/>
  <c r="AE409" i="18"/>
  <c r="AE343" i="18"/>
  <c r="P321" i="18"/>
  <c r="P255" i="18"/>
  <c r="P387" i="18"/>
  <c r="P365" i="18"/>
  <c r="P299" i="18"/>
  <c r="P409" i="18"/>
  <c r="P343" i="18"/>
  <c r="P277" i="18"/>
  <c r="X321" i="18"/>
  <c r="X255" i="18"/>
  <c r="X365" i="18"/>
  <c r="X299" i="18"/>
  <c r="X409" i="18"/>
  <c r="X343" i="18"/>
  <c r="X387" i="18"/>
  <c r="X277" i="18"/>
  <c r="AF321" i="18"/>
  <c r="AF255" i="18"/>
  <c r="AF365" i="18"/>
  <c r="AF299" i="18"/>
  <c r="AF387" i="18"/>
  <c r="AF409" i="18"/>
  <c r="AF343" i="18"/>
  <c r="AF277" i="18"/>
  <c r="J299" i="18"/>
  <c r="J409" i="18"/>
  <c r="J365" i="18"/>
  <c r="J321" i="18"/>
  <c r="J277" i="18"/>
  <c r="J387" i="18"/>
  <c r="J255" i="18"/>
  <c r="J343" i="18"/>
  <c r="AH252" i="18"/>
  <c r="AH274" i="18"/>
  <c r="AH296" i="18"/>
  <c r="AH318" i="18"/>
  <c r="AH340" i="18"/>
  <c r="AH406" i="18"/>
  <c r="AH362" i="18"/>
  <c r="AH384" i="18"/>
  <c r="I46" i="48"/>
  <c r="AG206" i="72"/>
  <c r="I45" i="48"/>
  <c r="AG205" i="72"/>
  <c r="Y384" i="18"/>
  <c r="Y340" i="18"/>
  <c r="Y406" i="18"/>
  <c r="Y362" i="18"/>
  <c r="Y318" i="18"/>
  <c r="Y274" i="18"/>
  <c r="Y296" i="18"/>
  <c r="Y252" i="18"/>
  <c r="R406" i="18"/>
  <c r="R362" i="18"/>
  <c r="R318" i="18"/>
  <c r="R274" i="18"/>
  <c r="R252" i="18"/>
  <c r="R340" i="18"/>
  <c r="R384" i="18"/>
  <c r="R296" i="18"/>
  <c r="Z406" i="18"/>
  <c r="Z362" i="18"/>
  <c r="Z318" i="18"/>
  <c r="Z274" i="18"/>
  <c r="Z384" i="18"/>
  <c r="Z296" i="18"/>
  <c r="Z252" i="18"/>
  <c r="Z340" i="18"/>
  <c r="K406" i="18"/>
  <c r="K362" i="18"/>
  <c r="K318" i="18"/>
  <c r="K274" i="18"/>
  <c r="K384" i="18"/>
  <c r="K296" i="18"/>
  <c r="K252" i="18"/>
  <c r="K340" i="18"/>
  <c r="S406" i="18"/>
  <c r="S362" i="18"/>
  <c r="S318" i="18"/>
  <c r="S274" i="18"/>
  <c r="S384" i="18"/>
  <c r="S340" i="18"/>
  <c r="S296" i="18"/>
  <c r="S252" i="18"/>
  <c r="AA406" i="18"/>
  <c r="AA362" i="18"/>
  <c r="AA318" i="18"/>
  <c r="AA274" i="18"/>
  <c r="AA384" i="18"/>
  <c r="AA296" i="18"/>
  <c r="AA252" i="18"/>
  <c r="AA340" i="18"/>
  <c r="AG384" i="18"/>
  <c r="AG340" i="18"/>
  <c r="AG406" i="18"/>
  <c r="AG362" i="18"/>
  <c r="AG318" i="18"/>
  <c r="AG274" i="18"/>
  <c r="AG296" i="18"/>
  <c r="AG252" i="18"/>
  <c r="L406" i="18"/>
  <c r="L362" i="18"/>
  <c r="L318" i="18"/>
  <c r="L274" i="18"/>
  <c r="L384" i="18"/>
  <c r="L340" i="18"/>
  <c r="L296" i="18"/>
  <c r="L252" i="18"/>
  <c r="T406" i="18"/>
  <c r="T362" i="18"/>
  <c r="T318" i="18"/>
  <c r="T274" i="18"/>
  <c r="T384" i="18"/>
  <c r="T340" i="18"/>
  <c r="T296" i="18"/>
  <c r="T252" i="18"/>
  <c r="AB406" i="18"/>
  <c r="AB362" i="18"/>
  <c r="AB318" i="18"/>
  <c r="AB274" i="18"/>
  <c r="AB384" i="18"/>
  <c r="AB340" i="18"/>
  <c r="AB296" i="18"/>
  <c r="AB252" i="18"/>
  <c r="M406" i="18"/>
  <c r="M362" i="18"/>
  <c r="M318" i="18"/>
  <c r="M384" i="18"/>
  <c r="M340" i="18"/>
  <c r="M296" i="18"/>
  <c r="M252" i="18"/>
  <c r="M274" i="18"/>
  <c r="U406" i="18"/>
  <c r="U362" i="18"/>
  <c r="U318" i="18"/>
  <c r="U384" i="18"/>
  <c r="U340" i="18"/>
  <c r="U296" i="18"/>
  <c r="U252" i="18"/>
  <c r="U274" i="18"/>
  <c r="AC406" i="18"/>
  <c r="AC362" i="18"/>
  <c r="AC318" i="18"/>
  <c r="AC384" i="18"/>
  <c r="AC340" i="18"/>
  <c r="AC296" i="18"/>
  <c r="AC252" i="18"/>
  <c r="AC274" i="18"/>
  <c r="O384" i="18"/>
  <c r="O340" i="18"/>
  <c r="O296" i="18"/>
  <c r="O252" i="18"/>
  <c r="O406" i="18"/>
  <c r="O274" i="18"/>
  <c r="O318" i="18"/>
  <c r="O362" i="18"/>
  <c r="W384" i="18"/>
  <c r="W340" i="18"/>
  <c r="W296" i="18"/>
  <c r="W252" i="18"/>
  <c r="W406" i="18"/>
  <c r="W318" i="18"/>
  <c r="W362" i="18"/>
  <c r="W274" i="18"/>
  <c r="AE384" i="18"/>
  <c r="AE340" i="18"/>
  <c r="AE296" i="18"/>
  <c r="AE252" i="18"/>
  <c r="AE406" i="18"/>
  <c r="AE274" i="18"/>
  <c r="AE318" i="18"/>
  <c r="AE362" i="18"/>
  <c r="Q384" i="18"/>
  <c r="Q340" i="18"/>
  <c r="Q406" i="18"/>
  <c r="Q362" i="18"/>
  <c r="Q318" i="18"/>
  <c r="Q274" i="18"/>
  <c r="Q252" i="18"/>
  <c r="Q296" i="18"/>
  <c r="N384" i="18"/>
  <c r="N340" i="18"/>
  <c r="N296" i="18"/>
  <c r="N252" i="18"/>
  <c r="N274" i="18"/>
  <c r="N318" i="18"/>
  <c r="N362" i="18"/>
  <c r="N406" i="18"/>
  <c r="V384" i="18"/>
  <c r="V340" i="18"/>
  <c r="V296" i="18"/>
  <c r="V252" i="18"/>
  <c r="V318" i="18"/>
  <c r="V362" i="18"/>
  <c r="V274" i="18"/>
  <c r="V406" i="18"/>
  <c r="AD384" i="18"/>
  <c r="AD340" i="18"/>
  <c r="AD296" i="18"/>
  <c r="AD252" i="18"/>
  <c r="AD362" i="18"/>
  <c r="AD318" i="18"/>
  <c r="AD274" i="18"/>
  <c r="AD406" i="18"/>
  <c r="P384" i="18"/>
  <c r="P340" i="18"/>
  <c r="P296" i="18"/>
  <c r="P252" i="18"/>
  <c r="P406" i="18"/>
  <c r="P362" i="18"/>
  <c r="P318" i="18"/>
  <c r="P274" i="18"/>
  <c r="X384" i="18"/>
  <c r="X340" i="18"/>
  <c r="X296" i="18"/>
  <c r="X252" i="18"/>
  <c r="X406" i="18"/>
  <c r="X362" i="18"/>
  <c r="X318" i="18"/>
  <c r="X274" i="18"/>
  <c r="AF384" i="18"/>
  <c r="AF340" i="18"/>
  <c r="AF296" i="18"/>
  <c r="AF252" i="18"/>
  <c r="AF406" i="18"/>
  <c r="AF362" i="18"/>
  <c r="AF318" i="18"/>
  <c r="AF274" i="18"/>
  <c r="J252" i="18"/>
  <c r="J384" i="18"/>
  <c r="J274" i="18"/>
  <c r="J296" i="18"/>
  <c r="J318" i="18"/>
  <c r="J340" i="18"/>
  <c r="J362" i="18"/>
  <c r="J406" i="18"/>
  <c r="AH405" i="18"/>
  <c r="AH383" i="18"/>
  <c r="AH361" i="18"/>
  <c r="AH339" i="18"/>
  <c r="AH317" i="18"/>
  <c r="AH295" i="18"/>
  <c r="AH273" i="18"/>
  <c r="AH251" i="18"/>
  <c r="V317" i="18"/>
  <c r="V339" i="18"/>
  <c r="V361" i="18"/>
  <c r="V295" i="18"/>
  <c r="V383" i="18"/>
  <c r="V405" i="18"/>
  <c r="V251" i="18"/>
  <c r="V273" i="18"/>
  <c r="M295" i="18"/>
  <c r="M317" i="18"/>
  <c r="M339" i="18"/>
  <c r="M361" i="18"/>
  <c r="M383" i="18"/>
  <c r="M405" i="18"/>
  <c r="M251" i="18"/>
  <c r="M273" i="18"/>
  <c r="U295" i="18"/>
  <c r="U273" i="18"/>
  <c r="U317" i="18"/>
  <c r="U339" i="18"/>
  <c r="U361" i="18"/>
  <c r="U383" i="18"/>
  <c r="U405" i="18"/>
  <c r="U251" i="18"/>
  <c r="AC295" i="18"/>
  <c r="AC317" i="18"/>
  <c r="AC273" i="18"/>
  <c r="AC339" i="18"/>
  <c r="AC361" i="18"/>
  <c r="AC383" i="18"/>
  <c r="AC405" i="18"/>
  <c r="AC251" i="18"/>
  <c r="AD317" i="18"/>
  <c r="AD339" i="18"/>
  <c r="AD295" i="18"/>
  <c r="AD361" i="18"/>
  <c r="AD383" i="18"/>
  <c r="AD405" i="18"/>
  <c r="AD251" i="18"/>
  <c r="AD273" i="18"/>
  <c r="O339" i="18"/>
  <c r="O361" i="18"/>
  <c r="O383" i="18"/>
  <c r="O405" i="18"/>
  <c r="O251" i="18"/>
  <c r="O273" i="18"/>
  <c r="O317" i="18"/>
  <c r="O295" i="18"/>
  <c r="P361" i="18"/>
  <c r="P383" i="18"/>
  <c r="P405" i="18"/>
  <c r="P251" i="18"/>
  <c r="P273" i="18"/>
  <c r="P339" i="18"/>
  <c r="P295" i="18"/>
  <c r="P317" i="18"/>
  <c r="X361" i="18"/>
  <c r="X383" i="18"/>
  <c r="X405" i="18"/>
  <c r="X251" i="18"/>
  <c r="X273" i="18"/>
  <c r="X295" i="18"/>
  <c r="X339" i="18"/>
  <c r="X317" i="18"/>
  <c r="AF361" i="18"/>
  <c r="AF339" i="18"/>
  <c r="AF383" i="18"/>
  <c r="AF405" i="18"/>
  <c r="AF251" i="18"/>
  <c r="AF273" i="18"/>
  <c r="AF295" i="18"/>
  <c r="AF317" i="18"/>
  <c r="N317" i="18"/>
  <c r="N339" i="18"/>
  <c r="N361" i="18"/>
  <c r="N383" i="18"/>
  <c r="N405" i="18"/>
  <c r="N251" i="18"/>
  <c r="N295" i="18"/>
  <c r="N273" i="18"/>
  <c r="AE339" i="18"/>
  <c r="AE361" i="18"/>
  <c r="AE383" i="18"/>
  <c r="AE405" i="18"/>
  <c r="AE251" i="18"/>
  <c r="AE317" i="18"/>
  <c r="AE273" i="18"/>
  <c r="AE295" i="18"/>
  <c r="Q383" i="18"/>
  <c r="Q405" i="18"/>
  <c r="Q361" i="18"/>
  <c r="Q251" i="18"/>
  <c r="Q273" i="18"/>
  <c r="Q295" i="18"/>
  <c r="Q317" i="18"/>
  <c r="Q339" i="18"/>
  <c r="Y383" i="18"/>
  <c r="Y361" i="18"/>
  <c r="Y405" i="18"/>
  <c r="Y251" i="18"/>
  <c r="Y273" i="18"/>
  <c r="Y295" i="18"/>
  <c r="Y317" i="18"/>
  <c r="Y339" i="18"/>
  <c r="AG383" i="18"/>
  <c r="AG405" i="18"/>
  <c r="AG251" i="18"/>
  <c r="AG361" i="18"/>
  <c r="AG273" i="18"/>
  <c r="AG295" i="18"/>
  <c r="AG317" i="18"/>
  <c r="AG339" i="18"/>
  <c r="W339" i="18"/>
  <c r="W361" i="18"/>
  <c r="W383" i="18"/>
  <c r="W317" i="18"/>
  <c r="W405" i="18"/>
  <c r="W251" i="18"/>
  <c r="W273" i="18"/>
  <c r="W295" i="18"/>
  <c r="R405" i="18"/>
  <c r="R251" i="18"/>
  <c r="R273" i="18"/>
  <c r="R295" i="18"/>
  <c r="R383" i="18"/>
  <c r="R317" i="18"/>
  <c r="R339" i="18"/>
  <c r="R361" i="18"/>
  <c r="Z405" i="18"/>
  <c r="Z251" i="18"/>
  <c r="Z273" i="18"/>
  <c r="Z295" i="18"/>
  <c r="Z317" i="18"/>
  <c r="Z339" i="18"/>
  <c r="Z361" i="18"/>
  <c r="Z383" i="18"/>
  <c r="K251" i="18"/>
  <c r="K273" i="18"/>
  <c r="K295" i="18"/>
  <c r="K317" i="18"/>
  <c r="K339" i="18"/>
  <c r="K361" i="18"/>
  <c r="K383" i="18"/>
  <c r="K405" i="18"/>
  <c r="S251" i="18"/>
  <c r="S405" i="18"/>
  <c r="S273" i="18"/>
  <c r="S295" i="18"/>
  <c r="S317" i="18"/>
  <c r="S339" i="18"/>
  <c r="S361" i="18"/>
  <c r="S383" i="18"/>
  <c r="AA251" i="18"/>
  <c r="AA273" i="18"/>
  <c r="AA295" i="18"/>
  <c r="AA317" i="18"/>
  <c r="AA339" i="18"/>
  <c r="AA361" i="18"/>
  <c r="AA405" i="18"/>
  <c r="AA383" i="18"/>
  <c r="L273" i="18"/>
  <c r="L251" i="18"/>
  <c r="L295" i="18"/>
  <c r="L317" i="18"/>
  <c r="L339" i="18"/>
  <c r="L361" i="18"/>
  <c r="L383" i="18"/>
  <c r="L405" i="18"/>
  <c r="T273" i="18"/>
  <c r="T295" i="18"/>
  <c r="T317" i="18"/>
  <c r="T339" i="18"/>
  <c r="T361" i="18"/>
  <c r="T251" i="18"/>
  <c r="T383" i="18"/>
  <c r="T405" i="18"/>
  <c r="AB273" i="18"/>
  <c r="AB295" i="18"/>
  <c r="AB317" i="18"/>
  <c r="AB339" i="18"/>
  <c r="AB361" i="18"/>
  <c r="AB383" i="18"/>
  <c r="AB251" i="18"/>
  <c r="AB405" i="18"/>
  <c r="J405" i="18"/>
  <c r="J383" i="18"/>
  <c r="J361" i="18"/>
  <c r="J339" i="18"/>
  <c r="J317" i="18"/>
  <c r="J295" i="18"/>
  <c r="J273" i="18"/>
  <c r="J251" i="18"/>
  <c r="AH250" i="18"/>
  <c r="AH404" i="18"/>
  <c r="AH382" i="18"/>
  <c r="AH360" i="18"/>
  <c r="AH338" i="18"/>
  <c r="AH316" i="18"/>
  <c r="AH294" i="18"/>
  <c r="AH272" i="18"/>
  <c r="AH337" i="18"/>
  <c r="AH249" i="18"/>
  <c r="AH315" i="18"/>
  <c r="AH381" i="18"/>
  <c r="AH293" i="18"/>
  <c r="AH359" i="18"/>
  <c r="AH271" i="18"/>
  <c r="AH403" i="18"/>
  <c r="I64" i="48"/>
  <c r="AH248" i="18"/>
  <c r="AH358" i="18"/>
  <c r="AH292" i="18"/>
  <c r="AH402" i="18"/>
  <c r="AH336" i="18"/>
  <c r="AH380" i="18"/>
  <c r="AH270" i="18"/>
  <c r="AH314" i="18"/>
  <c r="AB402" i="18"/>
  <c r="AB380" i="18"/>
  <c r="AB358" i="18"/>
  <c r="AB336" i="18"/>
  <c r="AB314" i="18"/>
  <c r="AB292" i="18"/>
  <c r="AB270" i="18"/>
  <c r="AB248" i="18"/>
  <c r="R402" i="18"/>
  <c r="R380" i="18"/>
  <c r="R358" i="18"/>
  <c r="R336" i="18"/>
  <c r="R314" i="18"/>
  <c r="R292" i="18"/>
  <c r="R270" i="18"/>
  <c r="R248" i="18"/>
  <c r="V404" i="18"/>
  <c r="V382" i="18"/>
  <c r="V360" i="18"/>
  <c r="V338" i="18"/>
  <c r="V316" i="18"/>
  <c r="V294" i="18"/>
  <c r="V272" i="18"/>
  <c r="V250" i="18"/>
  <c r="K402" i="18"/>
  <c r="K380" i="18"/>
  <c r="K358" i="18"/>
  <c r="K336" i="18"/>
  <c r="K314" i="18"/>
  <c r="K292" i="18"/>
  <c r="K270" i="18"/>
  <c r="K248" i="18"/>
  <c r="S402" i="18"/>
  <c r="S380" i="18"/>
  <c r="S358" i="18"/>
  <c r="S336" i="18"/>
  <c r="S314" i="18"/>
  <c r="S292" i="18"/>
  <c r="S270" i="18"/>
  <c r="S248" i="18"/>
  <c r="AA402" i="18"/>
  <c r="AA380" i="18"/>
  <c r="AA358" i="18"/>
  <c r="AA336" i="18"/>
  <c r="AA314" i="18"/>
  <c r="AA292" i="18"/>
  <c r="AA270" i="18"/>
  <c r="AA248" i="18"/>
  <c r="Q403" i="18"/>
  <c r="Q381" i="18"/>
  <c r="Q359" i="18"/>
  <c r="Q337" i="18"/>
  <c r="Q315" i="18"/>
  <c r="Q293" i="18"/>
  <c r="Q271" i="18"/>
  <c r="Q249" i="18"/>
  <c r="Y403" i="18"/>
  <c r="Y381" i="18"/>
  <c r="Y359" i="18"/>
  <c r="Y337" i="18"/>
  <c r="Y315" i="18"/>
  <c r="Y293" i="18"/>
  <c r="Y271" i="18"/>
  <c r="Y249" i="18"/>
  <c r="AG403" i="18"/>
  <c r="AG381" i="18"/>
  <c r="AG359" i="18"/>
  <c r="AG337" i="18"/>
  <c r="AG315" i="18"/>
  <c r="AG293" i="18"/>
  <c r="AG271" i="18"/>
  <c r="AG249" i="18"/>
  <c r="O404" i="18"/>
  <c r="O382" i="18"/>
  <c r="O360" i="18"/>
  <c r="O338" i="18"/>
  <c r="O316" i="18"/>
  <c r="O294" i="18"/>
  <c r="O272" i="18"/>
  <c r="O250" i="18"/>
  <c r="W404" i="18"/>
  <c r="W382" i="18"/>
  <c r="W360" i="18"/>
  <c r="W338" i="18"/>
  <c r="W316" i="18"/>
  <c r="W294" i="18"/>
  <c r="W272" i="18"/>
  <c r="W250" i="18"/>
  <c r="AE404" i="18"/>
  <c r="AE382" i="18"/>
  <c r="AE360" i="18"/>
  <c r="AE338" i="18"/>
  <c r="AE316" i="18"/>
  <c r="AE294" i="18"/>
  <c r="AE272" i="18"/>
  <c r="AE250" i="18"/>
  <c r="L402" i="18"/>
  <c r="L380" i="18"/>
  <c r="L358" i="18"/>
  <c r="L336" i="18"/>
  <c r="L314" i="18"/>
  <c r="L292" i="18"/>
  <c r="L270" i="18"/>
  <c r="L248" i="18"/>
  <c r="R403" i="18"/>
  <c r="R381" i="18"/>
  <c r="R359" i="18"/>
  <c r="R337" i="18"/>
  <c r="R315" i="18"/>
  <c r="R293" i="18"/>
  <c r="R271" i="18"/>
  <c r="R249" i="18"/>
  <c r="P404" i="18"/>
  <c r="P382" i="18"/>
  <c r="P360" i="18"/>
  <c r="P338" i="18"/>
  <c r="P316" i="18"/>
  <c r="P294" i="18"/>
  <c r="P272" i="18"/>
  <c r="P250" i="18"/>
  <c r="AF404" i="18"/>
  <c r="AF382" i="18"/>
  <c r="AF360" i="18"/>
  <c r="AF338" i="18"/>
  <c r="AF316" i="18"/>
  <c r="AF294" i="18"/>
  <c r="AF272" i="18"/>
  <c r="AF250" i="18"/>
  <c r="M358" i="18"/>
  <c r="M336" i="18"/>
  <c r="M314" i="18"/>
  <c r="M402" i="18"/>
  <c r="M270" i="18"/>
  <c r="M380" i="18"/>
  <c r="M292" i="18"/>
  <c r="M248" i="18"/>
  <c r="U402" i="18"/>
  <c r="U270" i="18"/>
  <c r="U292" i="18"/>
  <c r="U358" i="18"/>
  <c r="U336" i="18"/>
  <c r="U314" i="18"/>
  <c r="U380" i="18"/>
  <c r="U248" i="18"/>
  <c r="AC402" i="18"/>
  <c r="AC380" i="18"/>
  <c r="AC270" i="18"/>
  <c r="AC248" i="18"/>
  <c r="AC358" i="18"/>
  <c r="AC336" i="18"/>
  <c r="AC314" i="18"/>
  <c r="AC292" i="18"/>
  <c r="K403" i="18"/>
  <c r="K381" i="18"/>
  <c r="K359" i="18"/>
  <c r="K337" i="18"/>
  <c r="K315" i="18"/>
  <c r="K293" i="18"/>
  <c r="K271" i="18"/>
  <c r="K249" i="18"/>
  <c r="S403" i="18"/>
  <c r="S381" i="18"/>
  <c r="S359" i="18"/>
  <c r="S337" i="18"/>
  <c r="S315" i="18"/>
  <c r="S293" i="18"/>
  <c r="S271" i="18"/>
  <c r="S249" i="18"/>
  <c r="AA403" i="18"/>
  <c r="AA381" i="18"/>
  <c r="AA359" i="18"/>
  <c r="AA337" i="18"/>
  <c r="AA315" i="18"/>
  <c r="AA293" i="18"/>
  <c r="AA271" i="18"/>
  <c r="AA249" i="18"/>
  <c r="Q404" i="18"/>
  <c r="Q382" i="18"/>
  <c r="Q360" i="18"/>
  <c r="Q338" i="18"/>
  <c r="Q316" i="18"/>
  <c r="Q294" i="18"/>
  <c r="Q272" i="18"/>
  <c r="Q250" i="18"/>
  <c r="Y404" i="18"/>
  <c r="Y382" i="18"/>
  <c r="Y360" i="18"/>
  <c r="Y338" i="18"/>
  <c r="Y316" i="18"/>
  <c r="Y294" i="18"/>
  <c r="Y272" i="18"/>
  <c r="Y250" i="18"/>
  <c r="AG404" i="18"/>
  <c r="AG382" i="18"/>
  <c r="AG360" i="18"/>
  <c r="AG338" i="18"/>
  <c r="AG316" i="18"/>
  <c r="AG294" i="18"/>
  <c r="AG272" i="18"/>
  <c r="AG250" i="18"/>
  <c r="V402" i="18"/>
  <c r="V380" i="18"/>
  <c r="V358" i="18"/>
  <c r="V336" i="18"/>
  <c r="V314" i="18"/>
  <c r="V292" i="18"/>
  <c r="V270" i="18"/>
  <c r="V248" i="18"/>
  <c r="AD402" i="18"/>
  <c r="AD380" i="18"/>
  <c r="AD358" i="18"/>
  <c r="AD336" i="18"/>
  <c r="AD314" i="18"/>
  <c r="AD292" i="18"/>
  <c r="AD270" i="18"/>
  <c r="AD248" i="18"/>
  <c r="L403" i="18"/>
  <c r="L381" i="18"/>
  <c r="L359" i="18"/>
  <c r="L337" i="18"/>
  <c r="L315" i="18"/>
  <c r="L293" i="18"/>
  <c r="L271" i="18"/>
  <c r="L249" i="18"/>
  <c r="T403" i="18"/>
  <c r="T381" i="18"/>
  <c r="T359" i="18"/>
  <c r="T337" i="18"/>
  <c r="T315" i="18"/>
  <c r="T293" i="18"/>
  <c r="T271" i="18"/>
  <c r="T249" i="18"/>
  <c r="Z404" i="18"/>
  <c r="Z382" i="18"/>
  <c r="Z360" i="18"/>
  <c r="Z338" i="18"/>
  <c r="Z316" i="18"/>
  <c r="Z294" i="18"/>
  <c r="Z272" i="18"/>
  <c r="Z250" i="18"/>
  <c r="R404" i="18"/>
  <c r="R382" i="18"/>
  <c r="R360" i="18"/>
  <c r="R338" i="18"/>
  <c r="R316" i="18"/>
  <c r="R294" i="18"/>
  <c r="R272" i="18"/>
  <c r="R250" i="18"/>
  <c r="O402" i="18"/>
  <c r="O380" i="18"/>
  <c r="O358" i="18"/>
  <c r="O336" i="18"/>
  <c r="O314" i="18"/>
  <c r="O292" i="18"/>
  <c r="O270" i="18"/>
  <c r="O248" i="18"/>
  <c r="W402" i="18"/>
  <c r="W380" i="18"/>
  <c r="W358" i="18"/>
  <c r="W336" i="18"/>
  <c r="W314" i="18"/>
  <c r="W292" i="18"/>
  <c r="W270" i="18"/>
  <c r="W248" i="18"/>
  <c r="AE402" i="18"/>
  <c r="AE380" i="18"/>
  <c r="AE358" i="18"/>
  <c r="AE336" i="18"/>
  <c r="AE314" i="18"/>
  <c r="AE292" i="18"/>
  <c r="AE270" i="18"/>
  <c r="AE248" i="18"/>
  <c r="M315" i="18"/>
  <c r="M249" i="18"/>
  <c r="M381" i="18"/>
  <c r="M359" i="18"/>
  <c r="M403" i="18"/>
  <c r="M337" i="18"/>
  <c r="M293" i="18"/>
  <c r="M271" i="18"/>
  <c r="U403" i="18"/>
  <c r="U381" i="18"/>
  <c r="U271" i="18"/>
  <c r="U249" i="18"/>
  <c r="U359" i="18"/>
  <c r="U337" i="18"/>
  <c r="U315" i="18"/>
  <c r="U293" i="18"/>
  <c r="AC381" i="18"/>
  <c r="AC337" i="18"/>
  <c r="AC293" i="18"/>
  <c r="AC315" i="18"/>
  <c r="AC271" i="18"/>
  <c r="AC403" i="18"/>
  <c r="AC249" i="18"/>
  <c r="AC359" i="18"/>
  <c r="K404" i="18"/>
  <c r="K382" i="18"/>
  <c r="K360" i="18"/>
  <c r="K338" i="18"/>
  <c r="K316" i="18"/>
  <c r="K294" i="18"/>
  <c r="K272" i="18"/>
  <c r="K250" i="18"/>
  <c r="S404" i="18"/>
  <c r="S382" i="18"/>
  <c r="S360" i="18"/>
  <c r="S338" i="18"/>
  <c r="S316" i="18"/>
  <c r="S294" i="18"/>
  <c r="S272" i="18"/>
  <c r="S250" i="18"/>
  <c r="AA404" i="18"/>
  <c r="AA382" i="18"/>
  <c r="AA360" i="18"/>
  <c r="AA338" i="18"/>
  <c r="AA316" i="18"/>
  <c r="AA294" i="18"/>
  <c r="AA272" i="18"/>
  <c r="AA250" i="18"/>
  <c r="X404" i="18"/>
  <c r="X382" i="18"/>
  <c r="X360" i="18"/>
  <c r="X338" i="18"/>
  <c r="X316" i="18"/>
  <c r="X294" i="18"/>
  <c r="X272" i="18"/>
  <c r="X250" i="18"/>
  <c r="N402" i="18"/>
  <c r="N380" i="18"/>
  <c r="N358" i="18"/>
  <c r="N336" i="18"/>
  <c r="N314" i="18"/>
  <c r="N292" i="18"/>
  <c r="N270" i="18"/>
  <c r="N248" i="18"/>
  <c r="P402" i="18"/>
  <c r="P380" i="18"/>
  <c r="P358" i="18"/>
  <c r="P336" i="18"/>
  <c r="P314" i="18"/>
  <c r="P292" i="18"/>
  <c r="P270" i="18"/>
  <c r="P248" i="18"/>
  <c r="X402" i="18"/>
  <c r="X380" i="18"/>
  <c r="X358" i="18"/>
  <c r="X336" i="18"/>
  <c r="X314" i="18"/>
  <c r="X292" i="18"/>
  <c r="X270" i="18"/>
  <c r="X248" i="18"/>
  <c r="AF402" i="18"/>
  <c r="AF380" i="18"/>
  <c r="AF358" i="18"/>
  <c r="AF336" i="18"/>
  <c r="AF314" i="18"/>
  <c r="AF292" i="18"/>
  <c r="AF270" i="18"/>
  <c r="AF248" i="18"/>
  <c r="N403" i="18"/>
  <c r="N381" i="18"/>
  <c r="N359" i="18"/>
  <c r="N337" i="18"/>
  <c r="N315" i="18"/>
  <c r="N293" i="18"/>
  <c r="N271" i="18"/>
  <c r="N249" i="18"/>
  <c r="V403" i="18"/>
  <c r="V381" i="18"/>
  <c r="V359" i="18"/>
  <c r="V337" i="18"/>
  <c r="V315" i="18"/>
  <c r="V293" i="18"/>
  <c r="V271" i="18"/>
  <c r="V249" i="18"/>
  <c r="AD403" i="18"/>
  <c r="AD381" i="18"/>
  <c r="AD359" i="18"/>
  <c r="AD337" i="18"/>
  <c r="AD315" i="18"/>
  <c r="AD293" i="18"/>
  <c r="AD271" i="18"/>
  <c r="AD249" i="18"/>
  <c r="L404" i="18"/>
  <c r="L382" i="18"/>
  <c r="L360" i="18"/>
  <c r="L338" i="18"/>
  <c r="L316" i="18"/>
  <c r="L294" i="18"/>
  <c r="L272" i="18"/>
  <c r="L250" i="18"/>
  <c r="T404" i="18"/>
  <c r="T382" i="18"/>
  <c r="T360" i="18"/>
  <c r="T338" i="18"/>
  <c r="T316" i="18"/>
  <c r="T294" i="18"/>
  <c r="T272" i="18"/>
  <c r="T250" i="18"/>
  <c r="AB404" i="18"/>
  <c r="AB382" i="18"/>
  <c r="AB360" i="18"/>
  <c r="AB338" i="18"/>
  <c r="AB316" i="18"/>
  <c r="AB294" i="18"/>
  <c r="AB272" i="18"/>
  <c r="AB250" i="18"/>
  <c r="T402" i="18"/>
  <c r="T380" i="18"/>
  <c r="T358" i="18"/>
  <c r="T336" i="18"/>
  <c r="T314" i="18"/>
  <c r="T292" i="18"/>
  <c r="T270" i="18"/>
  <c r="T248" i="18"/>
  <c r="AB403" i="18"/>
  <c r="AB381" i="18"/>
  <c r="AB359" i="18"/>
  <c r="AB337" i="18"/>
  <c r="AB315" i="18"/>
  <c r="AB293" i="18"/>
  <c r="AB271" i="18"/>
  <c r="AB249" i="18"/>
  <c r="Q402" i="18"/>
  <c r="Q380" i="18"/>
  <c r="Q358" i="18"/>
  <c r="Q336" i="18"/>
  <c r="Q314" i="18"/>
  <c r="Q292" i="18"/>
  <c r="Q270" i="18"/>
  <c r="Q248" i="18"/>
  <c r="Y402" i="18"/>
  <c r="Y380" i="18"/>
  <c r="Y358" i="18"/>
  <c r="Y336" i="18"/>
  <c r="Y314" i="18"/>
  <c r="Y292" i="18"/>
  <c r="Y270" i="18"/>
  <c r="Y248" i="18"/>
  <c r="AG402" i="18"/>
  <c r="AG380" i="18"/>
  <c r="AG358" i="18"/>
  <c r="AG336" i="18"/>
  <c r="AG314" i="18"/>
  <c r="AG292" i="18"/>
  <c r="AG270" i="18"/>
  <c r="AG248" i="18"/>
  <c r="O403" i="18"/>
  <c r="O381" i="18"/>
  <c r="O359" i="18"/>
  <c r="O337" i="18"/>
  <c r="O315" i="18"/>
  <c r="O293" i="18"/>
  <c r="O271" i="18"/>
  <c r="O249" i="18"/>
  <c r="W403" i="18"/>
  <c r="W381" i="18"/>
  <c r="W359" i="18"/>
  <c r="W337" i="18"/>
  <c r="W315" i="18"/>
  <c r="W293" i="18"/>
  <c r="W271" i="18"/>
  <c r="W249" i="18"/>
  <c r="AE403" i="18"/>
  <c r="AE381" i="18"/>
  <c r="AE359" i="18"/>
  <c r="AE337" i="18"/>
  <c r="AE315" i="18"/>
  <c r="AE293" i="18"/>
  <c r="AE271" i="18"/>
  <c r="AE249" i="18"/>
  <c r="M360" i="18"/>
  <c r="M338" i="18"/>
  <c r="M404" i="18"/>
  <c r="M294" i="18"/>
  <c r="M272" i="18"/>
  <c r="M250" i="18"/>
  <c r="M382" i="18"/>
  <c r="M316" i="18"/>
  <c r="U360" i="18"/>
  <c r="U294" i="18"/>
  <c r="U272" i="18"/>
  <c r="U338" i="18"/>
  <c r="U250" i="18"/>
  <c r="U382" i="18"/>
  <c r="U316" i="18"/>
  <c r="U404" i="18"/>
  <c r="AC272" i="18"/>
  <c r="AC360" i="18"/>
  <c r="AC316" i="18"/>
  <c r="AC404" i="18"/>
  <c r="AC338" i="18"/>
  <c r="AC294" i="18"/>
  <c r="AC382" i="18"/>
  <c r="AC250" i="18"/>
  <c r="Z403" i="18"/>
  <c r="Z381" i="18"/>
  <c r="Z359" i="18"/>
  <c r="Z337" i="18"/>
  <c r="Z315" i="18"/>
  <c r="Z293" i="18"/>
  <c r="Z271" i="18"/>
  <c r="Z249" i="18"/>
  <c r="Z402" i="18"/>
  <c r="Z380" i="18"/>
  <c r="Z358" i="18"/>
  <c r="Z336" i="18"/>
  <c r="Z314" i="18"/>
  <c r="Z292" i="18"/>
  <c r="Z270" i="18"/>
  <c r="Z248" i="18"/>
  <c r="P403" i="18"/>
  <c r="P381" i="18"/>
  <c r="P359" i="18"/>
  <c r="P337" i="18"/>
  <c r="P315" i="18"/>
  <c r="P293" i="18"/>
  <c r="P271" i="18"/>
  <c r="P249" i="18"/>
  <c r="X403" i="18"/>
  <c r="X381" i="18"/>
  <c r="X359" i="18"/>
  <c r="X337" i="18"/>
  <c r="X315" i="18"/>
  <c r="X293" i="18"/>
  <c r="X271" i="18"/>
  <c r="X249" i="18"/>
  <c r="AF403" i="18"/>
  <c r="AF381" i="18"/>
  <c r="AF359" i="18"/>
  <c r="AF337" i="18"/>
  <c r="AF315" i="18"/>
  <c r="AF293" i="18"/>
  <c r="AF271" i="18"/>
  <c r="AF249" i="18"/>
  <c r="N404" i="18"/>
  <c r="N382" i="18"/>
  <c r="N360" i="18"/>
  <c r="N338" i="18"/>
  <c r="N316" i="18"/>
  <c r="N294" i="18"/>
  <c r="N272" i="18"/>
  <c r="N250" i="18"/>
  <c r="AD404" i="18"/>
  <c r="AD382" i="18"/>
  <c r="AD360" i="18"/>
  <c r="AD338" i="18"/>
  <c r="AD316" i="18"/>
  <c r="AD294" i="18"/>
  <c r="AD272" i="18"/>
  <c r="AD250" i="18"/>
  <c r="J250" i="18"/>
  <c r="J272" i="18"/>
  <c r="J404" i="18"/>
  <c r="J294" i="18"/>
  <c r="J382" i="18"/>
  <c r="J360" i="18"/>
  <c r="J338" i="18"/>
  <c r="J316" i="18"/>
  <c r="J337" i="18"/>
  <c r="J249" i="18"/>
  <c r="J271" i="18"/>
  <c r="J403" i="18"/>
  <c r="J315" i="18"/>
  <c r="J359" i="18"/>
  <c r="J381" i="18"/>
  <c r="J293" i="18"/>
  <c r="J248" i="18"/>
  <c r="J380" i="18"/>
  <c r="J358" i="18"/>
  <c r="J292" i="18"/>
  <c r="J402" i="18"/>
  <c r="J336" i="18"/>
  <c r="J270" i="18"/>
  <c r="J314" i="18"/>
  <c r="AD401" i="18"/>
  <c r="AD335" i="18"/>
  <c r="AD269" i="18"/>
  <c r="AD379" i="18"/>
  <c r="AD313" i="18"/>
  <c r="AD247" i="18"/>
  <c r="AD291" i="18"/>
  <c r="AD357" i="18"/>
  <c r="AG377" i="18"/>
  <c r="AG311" i="18"/>
  <c r="AG355" i="18"/>
  <c r="AG289" i="18"/>
  <c r="AG267" i="18"/>
  <c r="AG245" i="18"/>
  <c r="AG399" i="18"/>
  <c r="AG333" i="18"/>
  <c r="O333" i="18"/>
  <c r="O377" i="18"/>
  <c r="O311" i="18"/>
  <c r="O289" i="18"/>
  <c r="O267" i="18"/>
  <c r="O245" i="18"/>
  <c r="O399" i="18"/>
  <c r="O355" i="18"/>
  <c r="W333" i="18"/>
  <c r="W377" i="18"/>
  <c r="W311" i="18"/>
  <c r="W267" i="18"/>
  <c r="W399" i="18"/>
  <c r="W355" i="18"/>
  <c r="W289" i="18"/>
  <c r="W245" i="18"/>
  <c r="AE333" i="18"/>
  <c r="AE377" i="18"/>
  <c r="AE311" i="18"/>
  <c r="AE289" i="18"/>
  <c r="AE267" i="18"/>
  <c r="AE399" i="18"/>
  <c r="AE355" i="18"/>
  <c r="AE245" i="18"/>
  <c r="M291" i="18"/>
  <c r="M401" i="18"/>
  <c r="M335" i="18"/>
  <c r="M269" i="18"/>
  <c r="M379" i="18"/>
  <c r="M357" i="18"/>
  <c r="M313" i="18"/>
  <c r="M247" i="18"/>
  <c r="U291" i="18"/>
  <c r="U401" i="18"/>
  <c r="U335" i="18"/>
  <c r="U269" i="18"/>
  <c r="U379" i="18"/>
  <c r="U357" i="18"/>
  <c r="U313" i="18"/>
  <c r="U247" i="18"/>
  <c r="AC291" i="18"/>
  <c r="AC401" i="18"/>
  <c r="AC335" i="18"/>
  <c r="AC269" i="18"/>
  <c r="AC379" i="18"/>
  <c r="AC357" i="18"/>
  <c r="AC313" i="18"/>
  <c r="AC247" i="18"/>
  <c r="V401" i="18"/>
  <c r="V335" i="18"/>
  <c r="V269" i="18"/>
  <c r="V379" i="18"/>
  <c r="V313" i="18"/>
  <c r="V247" i="18"/>
  <c r="V357" i="18"/>
  <c r="V291" i="18"/>
  <c r="Y377" i="18"/>
  <c r="Y311" i="18"/>
  <c r="Y355" i="18"/>
  <c r="Y289" i="18"/>
  <c r="Y399" i="18"/>
  <c r="Y333" i="18"/>
  <c r="Y245" i="18"/>
  <c r="Y267" i="18"/>
  <c r="N401" i="18"/>
  <c r="N335" i="18"/>
  <c r="N379" i="18"/>
  <c r="N313" i="18"/>
  <c r="N247" i="18"/>
  <c r="N269" i="18"/>
  <c r="N357" i="18"/>
  <c r="N291" i="18"/>
  <c r="Q377" i="18"/>
  <c r="Q311" i="18"/>
  <c r="Q355" i="18"/>
  <c r="Q289" i="18"/>
  <c r="Q245" i="18"/>
  <c r="Q399" i="18"/>
  <c r="Q333" i="18"/>
  <c r="Q267" i="18"/>
  <c r="R311" i="18"/>
  <c r="R355" i="18"/>
  <c r="R289" i="18"/>
  <c r="R399" i="18"/>
  <c r="R377" i="18"/>
  <c r="R245" i="18"/>
  <c r="R333" i="18"/>
  <c r="R267" i="18"/>
  <c r="Z311" i="18"/>
  <c r="Z355" i="18"/>
  <c r="Z289" i="18"/>
  <c r="Z399" i="18"/>
  <c r="Z267" i="18"/>
  <c r="Z333" i="18"/>
  <c r="Z245" i="18"/>
  <c r="Z377" i="18"/>
  <c r="I61" i="48"/>
  <c r="AH311" i="18"/>
  <c r="AH355" i="18"/>
  <c r="AH289" i="18"/>
  <c r="AH399" i="18"/>
  <c r="AH333" i="18"/>
  <c r="AH267" i="18"/>
  <c r="AH377" i="18"/>
  <c r="AH245" i="18"/>
  <c r="P269" i="18"/>
  <c r="P379" i="18"/>
  <c r="P313" i="18"/>
  <c r="P247" i="18"/>
  <c r="P357" i="18"/>
  <c r="P401" i="18"/>
  <c r="P335" i="18"/>
  <c r="P291" i="18"/>
  <c r="X269" i="18"/>
  <c r="X379" i="18"/>
  <c r="X313" i="18"/>
  <c r="X247" i="18"/>
  <c r="X357" i="18"/>
  <c r="X401" i="18"/>
  <c r="X335" i="18"/>
  <c r="X291" i="18"/>
  <c r="AF269" i="18"/>
  <c r="AF379" i="18"/>
  <c r="AF313" i="18"/>
  <c r="AF247" i="18"/>
  <c r="AF357" i="18"/>
  <c r="AF401" i="18"/>
  <c r="AF335" i="18"/>
  <c r="AF291" i="18"/>
  <c r="X267" i="18"/>
  <c r="X377" i="18"/>
  <c r="X311" i="18"/>
  <c r="X245" i="18"/>
  <c r="X355" i="18"/>
  <c r="X399" i="18"/>
  <c r="X333" i="18"/>
  <c r="X289" i="18"/>
  <c r="K245" i="18"/>
  <c r="K355" i="18"/>
  <c r="K289" i="18"/>
  <c r="K399" i="18"/>
  <c r="K333" i="18"/>
  <c r="K311" i="18"/>
  <c r="K377" i="18"/>
  <c r="K267" i="18"/>
  <c r="S245" i="18"/>
  <c r="S355" i="18"/>
  <c r="S289" i="18"/>
  <c r="S399" i="18"/>
  <c r="S333" i="18"/>
  <c r="S377" i="18"/>
  <c r="S267" i="18"/>
  <c r="S311" i="18"/>
  <c r="AA245" i="18"/>
  <c r="AA355" i="18"/>
  <c r="AA289" i="18"/>
  <c r="AA399" i="18"/>
  <c r="AA333" i="18"/>
  <c r="AA311" i="18"/>
  <c r="AA267" i="18"/>
  <c r="AA377" i="18"/>
  <c r="Q379" i="18"/>
  <c r="Q313" i="18"/>
  <c r="Q357" i="18"/>
  <c r="Q291" i="18"/>
  <c r="Q247" i="18"/>
  <c r="Q401" i="18"/>
  <c r="Q335" i="18"/>
  <c r="Q269" i="18"/>
  <c r="Y379" i="18"/>
  <c r="Y313" i="18"/>
  <c r="Y357" i="18"/>
  <c r="Y291" i="18"/>
  <c r="Y247" i="18"/>
  <c r="Y401" i="18"/>
  <c r="Y335" i="18"/>
  <c r="Y269" i="18"/>
  <c r="AG379" i="18"/>
  <c r="AG313" i="18"/>
  <c r="AG357" i="18"/>
  <c r="AG291" i="18"/>
  <c r="AG335" i="18"/>
  <c r="AG269" i="18"/>
  <c r="AG247" i="18"/>
  <c r="AG401" i="18"/>
  <c r="P267" i="18"/>
  <c r="P377" i="18"/>
  <c r="P311" i="18"/>
  <c r="P245" i="18"/>
  <c r="P355" i="18"/>
  <c r="P399" i="18"/>
  <c r="P333" i="18"/>
  <c r="P289" i="18"/>
  <c r="W335" i="18"/>
  <c r="W269" i="18"/>
  <c r="W379" i="18"/>
  <c r="W313" i="18"/>
  <c r="W401" i="18"/>
  <c r="W357" i="18"/>
  <c r="W291" i="18"/>
  <c r="W247" i="18"/>
  <c r="L355" i="18"/>
  <c r="L289" i="18"/>
  <c r="L399" i="18"/>
  <c r="L333" i="18"/>
  <c r="L311" i="18"/>
  <c r="L245" i="18"/>
  <c r="L377" i="18"/>
  <c r="L267" i="18"/>
  <c r="T355" i="18"/>
  <c r="T289" i="18"/>
  <c r="T399" i="18"/>
  <c r="T333" i="18"/>
  <c r="T267" i="18"/>
  <c r="T245" i="18"/>
  <c r="T311" i="18"/>
  <c r="T377" i="18"/>
  <c r="AB355" i="18"/>
  <c r="AB289" i="18"/>
  <c r="AB399" i="18"/>
  <c r="AB333" i="18"/>
  <c r="AB245" i="18"/>
  <c r="AB311" i="18"/>
  <c r="AB267" i="18"/>
  <c r="AB377" i="18"/>
  <c r="R313" i="18"/>
  <c r="R357" i="18"/>
  <c r="R291" i="18"/>
  <c r="R401" i="18"/>
  <c r="R247" i="18"/>
  <c r="R335" i="18"/>
  <c r="R269" i="18"/>
  <c r="R379" i="18"/>
  <c r="Z313" i="18"/>
  <c r="Z357" i="18"/>
  <c r="Z291" i="18"/>
  <c r="Z401" i="18"/>
  <c r="Z247" i="18"/>
  <c r="Z379" i="18"/>
  <c r="Z335" i="18"/>
  <c r="Z269" i="18"/>
  <c r="I63" i="48"/>
  <c r="AH313" i="18"/>
  <c r="AH357" i="18"/>
  <c r="AH291" i="18"/>
  <c r="AH401" i="18"/>
  <c r="AH379" i="18"/>
  <c r="AH335" i="18"/>
  <c r="AH269" i="18"/>
  <c r="AH247" i="18"/>
  <c r="AE335" i="18"/>
  <c r="AE269" i="18"/>
  <c r="AE379" i="18"/>
  <c r="AE313" i="18"/>
  <c r="AE401" i="18"/>
  <c r="AE357" i="18"/>
  <c r="AE291" i="18"/>
  <c r="AE247" i="18"/>
  <c r="M289" i="18"/>
  <c r="M399" i="18"/>
  <c r="M333" i="18"/>
  <c r="M267" i="18"/>
  <c r="M377" i="18"/>
  <c r="M355" i="18"/>
  <c r="M311" i="18"/>
  <c r="M245" i="18"/>
  <c r="U289" i="18"/>
  <c r="U399" i="18"/>
  <c r="U333" i="18"/>
  <c r="U267" i="18"/>
  <c r="U377" i="18"/>
  <c r="U355" i="18"/>
  <c r="U311" i="18"/>
  <c r="U245" i="18"/>
  <c r="AC289" i="18"/>
  <c r="AC399" i="18"/>
  <c r="AC333" i="18"/>
  <c r="AC267" i="18"/>
  <c r="AC377" i="18"/>
  <c r="AC355" i="18"/>
  <c r="AC311" i="18"/>
  <c r="AC245" i="18"/>
  <c r="K247" i="18"/>
  <c r="K357" i="18"/>
  <c r="K291" i="18"/>
  <c r="K401" i="18"/>
  <c r="K335" i="18"/>
  <c r="K313" i="18"/>
  <c r="K379" i="18"/>
  <c r="K269" i="18"/>
  <c r="S247" i="18"/>
  <c r="S357" i="18"/>
  <c r="S291" i="18"/>
  <c r="S401" i="18"/>
  <c r="S335" i="18"/>
  <c r="S269" i="18"/>
  <c r="S379" i="18"/>
  <c r="S313" i="18"/>
  <c r="AA247" i="18"/>
  <c r="AA357" i="18"/>
  <c r="AA291" i="18"/>
  <c r="AA401" i="18"/>
  <c r="AA335" i="18"/>
  <c r="AA313" i="18"/>
  <c r="AA379" i="18"/>
  <c r="AA269" i="18"/>
  <c r="AF267" i="18"/>
  <c r="AF377" i="18"/>
  <c r="AF311" i="18"/>
  <c r="AF245" i="18"/>
  <c r="AF355" i="18"/>
  <c r="AF399" i="18"/>
  <c r="AF333" i="18"/>
  <c r="AF289" i="18"/>
  <c r="O335" i="18"/>
  <c r="O269" i="18"/>
  <c r="O379" i="18"/>
  <c r="O313" i="18"/>
  <c r="O247" i="18"/>
  <c r="O357" i="18"/>
  <c r="O291" i="18"/>
  <c r="O401" i="18"/>
  <c r="N399" i="18"/>
  <c r="N333" i="18"/>
  <c r="N377" i="18"/>
  <c r="N311" i="18"/>
  <c r="N355" i="18"/>
  <c r="N245" i="18"/>
  <c r="N289" i="18"/>
  <c r="N267" i="18"/>
  <c r="V399" i="18"/>
  <c r="V333" i="18"/>
  <c r="V377" i="18"/>
  <c r="V311" i="18"/>
  <c r="V267" i="18"/>
  <c r="V289" i="18"/>
  <c r="V355" i="18"/>
  <c r="V245" i="18"/>
  <c r="AD399" i="18"/>
  <c r="AD333" i="18"/>
  <c r="AD377" i="18"/>
  <c r="AD311" i="18"/>
  <c r="AD355" i="18"/>
  <c r="AD245" i="18"/>
  <c r="AD289" i="18"/>
  <c r="AD267" i="18"/>
  <c r="L357" i="18"/>
  <c r="L291" i="18"/>
  <c r="L401" i="18"/>
  <c r="L335" i="18"/>
  <c r="L379" i="18"/>
  <c r="L247" i="18"/>
  <c r="L269" i="18"/>
  <c r="L313" i="18"/>
  <c r="T357" i="18"/>
  <c r="T291" i="18"/>
  <c r="T401" i="18"/>
  <c r="T335" i="18"/>
  <c r="T269" i="18"/>
  <c r="T313" i="18"/>
  <c r="T379" i="18"/>
  <c r="T247" i="18"/>
  <c r="AB357" i="18"/>
  <c r="AB291" i="18"/>
  <c r="AB401" i="18"/>
  <c r="AB335" i="18"/>
  <c r="AB269" i="18"/>
  <c r="AB247" i="18"/>
  <c r="AB313" i="18"/>
  <c r="AB379" i="18"/>
  <c r="J379" i="18"/>
  <c r="J335" i="18"/>
  <c r="J291" i="18"/>
  <c r="J247" i="18"/>
  <c r="J401" i="18"/>
  <c r="J357" i="18"/>
  <c r="J313" i="18"/>
  <c r="J269" i="18"/>
  <c r="J245" i="18"/>
  <c r="J311" i="18"/>
  <c r="J377" i="18"/>
  <c r="J267" i="18"/>
  <c r="J333" i="18"/>
  <c r="J399" i="18"/>
  <c r="J355" i="18"/>
  <c r="J289" i="18"/>
  <c r="I359" i="18"/>
  <c r="I271" i="18"/>
  <c r="I337" i="18"/>
  <c r="I249" i="18"/>
  <c r="I403" i="18"/>
  <c r="I315" i="18"/>
  <c r="I381" i="18"/>
  <c r="I293" i="18"/>
  <c r="I345" i="18"/>
  <c r="I257" i="18"/>
  <c r="I411" i="18"/>
  <c r="I323" i="18"/>
  <c r="I367" i="18"/>
  <c r="I389" i="18"/>
  <c r="I301" i="18"/>
  <c r="I279" i="18"/>
  <c r="I384" i="18"/>
  <c r="I296" i="18"/>
  <c r="I362" i="18"/>
  <c r="I274" i="18"/>
  <c r="I340" i="18"/>
  <c r="I252" i="18"/>
  <c r="I406" i="18"/>
  <c r="I318" i="18"/>
  <c r="I409" i="18"/>
  <c r="I321" i="18"/>
  <c r="I387" i="18"/>
  <c r="I299" i="18"/>
  <c r="I365" i="18"/>
  <c r="I277" i="18"/>
  <c r="I343" i="18"/>
  <c r="I255" i="18"/>
  <c r="H61" i="48"/>
  <c r="I333" i="18"/>
  <c r="I355" i="18"/>
  <c r="I399" i="18"/>
  <c r="I311" i="18"/>
  <c r="I377" i="18"/>
  <c r="I289" i="18"/>
  <c r="I338" i="18"/>
  <c r="I250" i="18"/>
  <c r="I404" i="18"/>
  <c r="I316" i="18"/>
  <c r="I382" i="18"/>
  <c r="I294" i="18"/>
  <c r="I360" i="18"/>
  <c r="I272" i="18"/>
  <c r="I363" i="18"/>
  <c r="I275" i="18"/>
  <c r="I341" i="18"/>
  <c r="I253" i="18"/>
  <c r="I407" i="18"/>
  <c r="I319" i="18"/>
  <c r="I385" i="18"/>
  <c r="I297" i="18"/>
  <c r="I342" i="18"/>
  <c r="I254" i="18"/>
  <c r="I408" i="18"/>
  <c r="I320" i="18"/>
  <c r="I364" i="18"/>
  <c r="I386" i="18"/>
  <c r="I298" i="18"/>
  <c r="I276" i="18"/>
  <c r="H63" i="48"/>
  <c r="I401" i="18"/>
  <c r="I313" i="18"/>
  <c r="I379" i="18"/>
  <c r="I291" i="18"/>
  <c r="I357" i="18"/>
  <c r="I269" i="18"/>
  <c r="I247" i="18"/>
  <c r="I335" i="18"/>
  <c r="I405" i="18"/>
  <c r="I317" i="18"/>
  <c r="I383" i="18"/>
  <c r="I295" i="18"/>
  <c r="I361" i="18"/>
  <c r="I273" i="18"/>
  <c r="I339" i="18"/>
  <c r="I251" i="18"/>
  <c r="H64" i="48"/>
  <c r="I380" i="18"/>
  <c r="I292" i="18"/>
  <c r="I358" i="18"/>
  <c r="I270" i="18"/>
  <c r="I336" i="18"/>
  <c r="I248" i="18"/>
  <c r="I402" i="18"/>
  <c r="I314" i="18"/>
  <c r="I366" i="18"/>
  <c r="I278" i="18"/>
  <c r="I344" i="18"/>
  <c r="I256" i="18"/>
  <c r="I410" i="18"/>
  <c r="I322" i="18"/>
  <c r="I388" i="18"/>
  <c r="I300" i="18"/>
  <c r="G73" i="48"/>
  <c r="AH197" i="18"/>
  <c r="AH109" i="18"/>
  <c r="AH131" i="18"/>
  <c r="AH43" i="18"/>
  <c r="AH153" i="18"/>
  <c r="AH65" i="18"/>
  <c r="AH175" i="18"/>
  <c r="AH87" i="18"/>
  <c r="O109" i="18"/>
  <c r="O175" i="18"/>
  <c r="O65" i="18"/>
  <c r="O131" i="18"/>
  <c r="O197" i="18"/>
  <c r="O87" i="18"/>
  <c r="O153" i="18"/>
  <c r="O43" i="18"/>
  <c r="P175" i="18"/>
  <c r="P65" i="18"/>
  <c r="P131" i="18"/>
  <c r="P43" i="18"/>
  <c r="P197" i="18"/>
  <c r="P87" i="18"/>
  <c r="P153" i="18"/>
  <c r="P109" i="18"/>
  <c r="X175" i="18"/>
  <c r="X65" i="18"/>
  <c r="X131" i="18"/>
  <c r="X197" i="18"/>
  <c r="X87" i="18"/>
  <c r="X153" i="18"/>
  <c r="X43" i="18"/>
  <c r="X109" i="18"/>
  <c r="Q65" i="18"/>
  <c r="Q131" i="18"/>
  <c r="Q197" i="18"/>
  <c r="Q87" i="18"/>
  <c r="Q109" i="18"/>
  <c r="Q153" i="18"/>
  <c r="Q43" i="18"/>
  <c r="Q175" i="18"/>
  <c r="Y65" i="18"/>
  <c r="Y131" i="18"/>
  <c r="Y197" i="18"/>
  <c r="Y87" i="18"/>
  <c r="Y153" i="18"/>
  <c r="Y109" i="18"/>
  <c r="Y43" i="18"/>
  <c r="Y175" i="18"/>
  <c r="AG65" i="18"/>
  <c r="AG131" i="18"/>
  <c r="AG109" i="18"/>
  <c r="AG197" i="18"/>
  <c r="AG87" i="18"/>
  <c r="AG153" i="18"/>
  <c r="AG43" i="18"/>
  <c r="AG175" i="18"/>
  <c r="Z131" i="18"/>
  <c r="Z197" i="18"/>
  <c r="Z87" i="18"/>
  <c r="Z153" i="18"/>
  <c r="Z43" i="18"/>
  <c r="Z175" i="18"/>
  <c r="Z109" i="18"/>
  <c r="Z65" i="18"/>
  <c r="AA197" i="18"/>
  <c r="AA87" i="18"/>
  <c r="AA153" i="18"/>
  <c r="AA43" i="18"/>
  <c r="AA109" i="18"/>
  <c r="AA175" i="18"/>
  <c r="AA65" i="18"/>
  <c r="AA131" i="18"/>
  <c r="R131" i="18"/>
  <c r="R197" i="18"/>
  <c r="R87" i="18"/>
  <c r="R175" i="18"/>
  <c r="R153" i="18"/>
  <c r="R43" i="18"/>
  <c r="R109" i="18"/>
  <c r="R65" i="18"/>
  <c r="S197" i="18"/>
  <c r="S87" i="18"/>
  <c r="S153" i="18"/>
  <c r="S43" i="18"/>
  <c r="S109" i="18"/>
  <c r="S65" i="18"/>
  <c r="S175" i="18"/>
  <c r="S131" i="18"/>
  <c r="L87" i="18"/>
  <c r="L43" i="18"/>
  <c r="L131" i="18"/>
  <c r="L109" i="18"/>
  <c r="L175" i="18"/>
  <c r="L65" i="18"/>
  <c r="L197" i="18"/>
  <c r="L153" i="18"/>
  <c r="T87" i="18"/>
  <c r="T153" i="18"/>
  <c r="T43" i="18"/>
  <c r="T109" i="18"/>
  <c r="T175" i="18"/>
  <c r="T65" i="18"/>
  <c r="T197" i="18"/>
  <c r="T131" i="18"/>
  <c r="AB87" i="18"/>
  <c r="AB131" i="18"/>
  <c r="AB153" i="18"/>
  <c r="AB43" i="18"/>
  <c r="AB109" i="18"/>
  <c r="AB175" i="18"/>
  <c r="AB65" i="18"/>
  <c r="AB197" i="18"/>
  <c r="K197" i="18"/>
  <c r="K65" i="18"/>
  <c r="K153" i="18"/>
  <c r="K43" i="18"/>
  <c r="K109" i="18"/>
  <c r="K175" i="18"/>
  <c r="K131" i="18"/>
  <c r="K87" i="18"/>
  <c r="M153" i="18"/>
  <c r="M43" i="18"/>
  <c r="M109" i="18"/>
  <c r="M175" i="18"/>
  <c r="M65" i="18"/>
  <c r="M131" i="18"/>
  <c r="M87" i="18"/>
  <c r="M197" i="18"/>
  <c r="U153" i="18"/>
  <c r="U43" i="18"/>
  <c r="U109" i="18"/>
  <c r="U175" i="18"/>
  <c r="U197" i="18"/>
  <c r="U65" i="18"/>
  <c r="U131" i="18"/>
  <c r="U87" i="18"/>
  <c r="AC153" i="18"/>
  <c r="AC109" i="18"/>
  <c r="AC175" i="18"/>
  <c r="AC65" i="18"/>
  <c r="AC131" i="18"/>
  <c r="AC197" i="18"/>
  <c r="AC87" i="18"/>
  <c r="AC43" i="18"/>
  <c r="N43" i="18"/>
  <c r="N109" i="18"/>
  <c r="N175" i="18"/>
  <c r="N87" i="18"/>
  <c r="N65" i="18"/>
  <c r="N131" i="18"/>
  <c r="N197" i="18"/>
  <c r="N153" i="18"/>
  <c r="V43" i="18"/>
  <c r="V109" i="18"/>
  <c r="V175" i="18"/>
  <c r="V65" i="18"/>
  <c r="V131" i="18"/>
  <c r="V197" i="18"/>
  <c r="V153" i="18"/>
  <c r="V87" i="18"/>
  <c r="AD43" i="18"/>
  <c r="AD87" i="18"/>
  <c r="AD109" i="18"/>
  <c r="AD175" i="18"/>
  <c r="AD65" i="18"/>
  <c r="AD131" i="18"/>
  <c r="AD197" i="18"/>
  <c r="AD153" i="18"/>
  <c r="AE109" i="18"/>
  <c r="AE153" i="18"/>
  <c r="AE175" i="18"/>
  <c r="AE65" i="18"/>
  <c r="AE131" i="18"/>
  <c r="AE197" i="18"/>
  <c r="AE87" i="18"/>
  <c r="AE43" i="18"/>
  <c r="W109" i="18"/>
  <c r="W175" i="18"/>
  <c r="W153" i="18"/>
  <c r="W65" i="18"/>
  <c r="W131" i="18"/>
  <c r="W197" i="18"/>
  <c r="W87" i="18"/>
  <c r="W43" i="18"/>
  <c r="AF175" i="18"/>
  <c r="AF43" i="18"/>
  <c r="AF65" i="18"/>
  <c r="AF131" i="18"/>
  <c r="AF197" i="18"/>
  <c r="AF87" i="18"/>
  <c r="AF153" i="18"/>
  <c r="AF109" i="18"/>
  <c r="J197" i="18"/>
  <c r="J109" i="18"/>
  <c r="J131" i="18"/>
  <c r="J43" i="18"/>
  <c r="J153" i="18"/>
  <c r="J65" i="18"/>
  <c r="J175" i="18"/>
  <c r="J87" i="18"/>
  <c r="F73" i="48"/>
  <c r="I153" i="18"/>
  <c r="I175" i="18"/>
  <c r="I197" i="18"/>
  <c r="I43" i="18"/>
  <c r="I65" i="18"/>
  <c r="I87" i="18"/>
  <c r="I109" i="18"/>
  <c r="I131" i="18"/>
  <c r="G72" i="48"/>
  <c r="AH196" i="18"/>
  <c r="AH174" i="18"/>
  <c r="AH152" i="18"/>
  <c r="AH130" i="18"/>
  <c r="AH108" i="18"/>
  <c r="AH86" i="18"/>
  <c r="AH64" i="18"/>
  <c r="AH42" i="18"/>
  <c r="S152" i="18"/>
  <c r="S174" i="18"/>
  <c r="S108" i="18"/>
  <c r="S196" i="18"/>
  <c r="S42" i="18"/>
  <c r="S64" i="18"/>
  <c r="S86" i="18"/>
  <c r="S130" i="18"/>
  <c r="T174" i="18"/>
  <c r="T196" i="18"/>
  <c r="T64" i="18"/>
  <c r="T86" i="18"/>
  <c r="T108" i="18"/>
  <c r="T152" i="18"/>
  <c r="T42" i="18"/>
  <c r="T130" i="18"/>
  <c r="K152" i="18"/>
  <c r="K174" i="18"/>
  <c r="K196" i="18"/>
  <c r="K42" i="18"/>
  <c r="K108" i="18"/>
  <c r="K64" i="18"/>
  <c r="K86" i="18"/>
  <c r="K130" i="18"/>
  <c r="AA152" i="18"/>
  <c r="AA174" i="18"/>
  <c r="AA196" i="18"/>
  <c r="AA108" i="18"/>
  <c r="AA42" i="18"/>
  <c r="AA64" i="18"/>
  <c r="AA86" i="18"/>
  <c r="AA130" i="18"/>
  <c r="L174" i="18"/>
  <c r="L196" i="18"/>
  <c r="L42" i="18"/>
  <c r="L64" i="18"/>
  <c r="L86" i="18"/>
  <c r="L130" i="18"/>
  <c r="L108" i="18"/>
  <c r="L152" i="18"/>
  <c r="AB174" i="18"/>
  <c r="AB196" i="18"/>
  <c r="AB42" i="18"/>
  <c r="AB130" i="18"/>
  <c r="AB64" i="18"/>
  <c r="AB86" i="18"/>
  <c r="AB108" i="18"/>
  <c r="AB152" i="18"/>
  <c r="M196" i="18"/>
  <c r="M152" i="18"/>
  <c r="M42" i="18"/>
  <c r="M64" i="18"/>
  <c r="M86" i="18"/>
  <c r="M108" i="18"/>
  <c r="M130" i="18"/>
  <c r="M174" i="18"/>
  <c r="U196" i="18"/>
  <c r="U64" i="18"/>
  <c r="U86" i="18"/>
  <c r="U108" i="18"/>
  <c r="U130" i="18"/>
  <c r="U152" i="18"/>
  <c r="U174" i="18"/>
  <c r="U42" i="18"/>
  <c r="AC196" i="18"/>
  <c r="AC42" i="18"/>
  <c r="AC152" i="18"/>
  <c r="AC64" i="18"/>
  <c r="AC86" i="18"/>
  <c r="AC108" i="18"/>
  <c r="AC130" i="18"/>
  <c r="AC174" i="18"/>
  <c r="AD42" i="18"/>
  <c r="AD86" i="18"/>
  <c r="AD108" i="18"/>
  <c r="AD130" i="18"/>
  <c r="AD152" i="18"/>
  <c r="AD196" i="18"/>
  <c r="AD64" i="18"/>
  <c r="AD174" i="18"/>
  <c r="O64" i="18"/>
  <c r="O86" i="18"/>
  <c r="O108" i="18"/>
  <c r="O130" i="18"/>
  <c r="O196" i="18"/>
  <c r="O152" i="18"/>
  <c r="O174" i="18"/>
  <c r="O42" i="18"/>
  <c r="W64" i="18"/>
  <c r="W86" i="18"/>
  <c r="W108" i="18"/>
  <c r="W196" i="18"/>
  <c r="W130" i="18"/>
  <c r="W152" i="18"/>
  <c r="W174" i="18"/>
  <c r="W42" i="18"/>
  <c r="AE64" i="18"/>
  <c r="AE108" i="18"/>
  <c r="AE130" i="18"/>
  <c r="AE152" i="18"/>
  <c r="AE174" i="18"/>
  <c r="AE196" i="18"/>
  <c r="AE42" i="18"/>
  <c r="AE86" i="18"/>
  <c r="V42" i="18"/>
  <c r="V64" i="18"/>
  <c r="V174" i="18"/>
  <c r="V86" i="18"/>
  <c r="V108" i="18"/>
  <c r="V130" i="18"/>
  <c r="V152" i="18"/>
  <c r="V196" i="18"/>
  <c r="N42" i="18"/>
  <c r="N86" i="18"/>
  <c r="N64" i="18"/>
  <c r="N108" i="18"/>
  <c r="N130" i="18"/>
  <c r="N174" i="18"/>
  <c r="N152" i="18"/>
  <c r="N196" i="18"/>
  <c r="P86" i="18"/>
  <c r="P42" i="18"/>
  <c r="P108" i="18"/>
  <c r="P130" i="18"/>
  <c r="P152" i="18"/>
  <c r="P174" i="18"/>
  <c r="P196" i="18"/>
  <c r="P64" i="18"/>
  <c r="X86" i="18"/>
  <c r="X130" i="18"/>
  <c r="X152" i="18"/>
  <c r="X174" i="18"/>
  <c r="X42" i="18"/>
  <c r="X196" i="18"/>
  <c r="X64" i="18"/>
  <c r="X108" i="18"/>
  <c r="AF86" i="18"/>
  <c r="AF108" i="18"/>
  <c r="AF130" i="18"/>
  <c r="AF152" i="18"/>
  <c r="AF174" i="18"/>
  <c r="AF196" i="18"/>
  <c r="AF64" i="18"/>
  <c r="AF42" i="18"/>
  <c r="Q108" i="18"/>
  <c r="Q130" i="18"/>
  <c r="Q152" i="18"/>
  <c r="Q174" i="18"/>
  <c r="Q196" i="18"/>
  <c r="Q42" i="18"/>
  <c r="Q64" i="18"/>
  <c r="Q86" i="18"/>
  <c r="Y108" i="18"/>
  <c r="Y130" i="18"/>
  <c r="Y152" i="18"/>
  <c r="Y174" i="18"/>
  <c r="Y196" i="18"/>
  <c r="Y64" i="18"/>
  <c r="Y42" i="18"/>
  <c r="Y86" i="18"/>
  <c r="AG108" i="18"/>
  <c r="AG130" i="18"/>
  <c r="AG152" i="18"/>
  <c r="AG174" i="18"/>
  <c r="AG196" i="18"/>
  <c r="AG42" i="18"/>
  <c r="AG86" i="18"/>
  <c r="AG64" i="18"/>
  <c r="R130" i="18"/>
  <c r="R174" i="18"/>
  <c r="R86" i="18"/>
  <c r="R196" i="18"/>
  <c r="R42" i="18"/>
  <c r="R64" i="18"/>
  <c r="R108" i="18"/>
  <c r="R152" i="18"/>
  <c r="Z130" i="18"/>
  <c r="Z152" i="18"/>
  <c r="Z86" i="18"/>
  <c r="Z174" i="18"/>
  <c r="Z196" i="18"/>
  <c r="Z42" i="18"/>
  <c r="Z64" i="18"/>
  <c r="Z108" i="18"/>
  <c r="J196" i="18"/>
  <c r="J174" i="18"/>
  <c r="J152" i="18"/>
  <c r="J130" i="18"/>
  <c r="J108" i="18"/>
  <c r="J86" i="18"/>
  <c r="J64" i="18"/>
  <c r="J42" i="18"/>
  <c r="F72" i="48"/>
  <c r="I108" i="18"/>
  <c r="I196" i="18"/>
  <c r="I86" i="18"/>
  <c r="I64" i="18"/>
  <c r="I152" i="18"/>
  <c r="I42" i="18"/>
  <c r="I174" i="18"/>
  <c r="I130" i="18"/>
  <c r="G71" i="48"/>
  <c r="AH195" i="18"/>
  <c r="AH173" i="18"/>
  <c r="AH151" i="18"/>
  <c r="AH129" i="18"/>
  <c r="AH107" i="18"/>
  <c r="AH85" i="18"/>
  <c r="AH63" i="18"/>
  <c r="AH41" i="18"/>
  <c r="G70" i="48"/>
  <c r="AH150" i="18"/>
  <c r="AH62" i="18"/>
  <c r="AH128" i="18"/>
  <c r="AH40" i="18"/>
  <c r="AH194" i="18"/>
  <c r="AH106" i="18"/>
  <c r="AH172" i="18"/>
  <c r="AH84" i="18"/>
  <c r="M195" i="18"/>
  <c r="M41" i="18"/>
  <c r="M129" i="18"/>
  <c r="M151" i="18"/>
  <c r="M63" i="18"/>
  <c r="M107" i="18"/>
  <c r="M173" i="18"/>
  <c r="M85" i="18"/>
  <c r="AC194" i="18"/>
  <c r="AC40" i="18"/>
  <c r="AC128" i="18"/>
  <c r="AC150" i="18"/>
  <c r="AC172" i="18"/>
  <c r="AC84" i="18"/>
  <c r="AC106" i="18"/>
  <c r="AC62" i="18"/>
  <c r="S151" i="18"/>
  <c r="S173" i="18"/>
  <c r="S85" i="18"/>
  <c r="S107" i="18"/>
  <c r="S63" i="18"/>
  <c r="S129" i="18"/>
  <c r="S41" i="18"/>
  <c r="S195" i="18"/>
  <c r="T172" i="18"/>
  <c r="T194" i="18"/>
  <c r="T106" i="18"/>
  <c r="T128" i="18"/>
  <c r="T150" i="18"/>
  <c r="T40" i="18"/>
  <c r="T84" i="18"/>
  <c r="T62" i="18"/>
  <c r="Z129" i="18"/>
  <c r="Z151" i="18"/>
  <c r="Z63" i="18"/>
  <c r="Z85" i="18"/>
  <c r="Z195" i="18"/>
  <c r="Z107" i="18"/>
  <c r="Z173" i="18"/>
  <c r="Z41" i="18"/>
  <c r="R129" i="18"/>
  <c r="R151" i="18"/>
  <c r="R63" i="18"/>
  <c r="R85" i="18"/>
  <c r="R173" i="18"/>
  <c r="R107" i="18"/>
  <c r="R41" i="18"/>
  <c r="R195" i="18"/>
  <c r="AA150" i="18"/>
  <c r="AA172" i="18"/>
  <c r="AA84" i="18"/>
  <c r="AA106" i="18"/>
  <c r="AA62" i="18"/>
  <c r="AA128" i="18"/>
  <c r="AA40" i="18"/>
  <c r="AA194" i="18"/>
  <c r="S150" i="18"/>
  <c r="S172" i="18"/>
  <c r="S84" i="18"/>
  <c r="S106" i="18"/>
  <c r="S194" i="18"/>
  <c r="S40" i="18"/>
  <c r="S62" i="18"/>
  <c r="S128" i="18"/>
  <c r="K150" i="18"/>
  <c r="K172" i="18"/>
  <c r="K84" i="18"/>
  <c r="K106" i="18"/>
  <c r="K62" i="18"/>
  <c r="K128" i="18"/>
  <c r="K194" i="18"/>
  <c r="K40" i="18"/>
  <c r="V40" i="18"/>
  <c r="V62" i="18"/>
  <c r="V150" i="18"/>
  <c r="V172" i="18"/>
  <c r="V106" i="18"/>
  <c r="V194" i="18"/>
  <c r="V128" i="18"/>
  <c r="V84" i="18"/>
  <c r="AB173" i="18"/>
  <c r="AB195" i="18"/>
  <c r="AB107" i="18"/>
  <c r="AB129" i="18"/>
  <c r="AB63" i="18"/>
  <c r="AB41" i="18"/>
  <c r="AB151" i="18"/>
  <c r="AB85" i="18"/>
  <c r="L173" i="18"/>
  <c r="L195" i="18"/>
  <c r="L107" i="18"/>
  <c r="L129" i="18"/>
  <c r="L85" i="18"/>
  <c r="L151" i="18"/>
  <c r="L63" i="18"/>
  <c r="L41" i="18"/>
  <c r="AA151" i="18"/>
  <c r="AA173" i="18"/>
  <c r="AA85" i="18"/>
  <c r="AA107" i="18"/>
  <c r="AA195" i="18"/>
  <c r="AA63" i="18"/>
  <c r="AA41" i="18"/>
  <c r="AA129" i="18"/>
  <c r="L172" i="18"/>
  <c r="L194" i="18"/>
  <c r="L106" i="18"/>
  <c r="L128" i="18"/>
  <c r="L62" i="18"/>
  <c r="L84" i="18"/>
  <c r="L150" i="18"/>
  <c r="L40" i="18"/>
  <c r="AG107" i="18"/>
  <c r="AG129" i="18"/>
  <c r="AG41" i="18"/>
  <c r="AG63" i="18"/>
  <c r="AG173" i="18"/>
  <c r="AG85" i="18"/>
  <c r="AG151" i="18"/>
  <c r="AG195" i="18"/>
  <c r="Y107" i="18"/>
  <c r="Y129" i="18"/>
  <c r="Y41" i="18"/>
  <c r="Y63" i="18"/>
  <c r="Y151" i="18"/>
  <c r="Y195" i="18"/>
  <c r="Y173" i="18"/>
  <c r="Y85" i="18"/>
  <c r="Q107" i="18"/>
  <c r="Q129" i="18"/>
  <c r="Q41" i="18"/>
  <c r="Q63" i="18"/>
  <c r="Q173" i="18"/>
  <c r="Q195" i="18"/>
  <c r="Q85" i="18"/>
  <c r="Q151" i="18"/>
  <c r="Z128" i="18"/>
  <c r="Z150" i="18"/>
  <c r="Z62" i="18"/>
  <c r="Z84" i="18"/>
  <c r="Z172" i="18"/>
  <c r="Z40" i="18"/>
  <c r="Z194" i="18"/>
  <c r="Z106" i="18"/>
  <c r="R128" i="18"/>
  <c r="R150" i="18"/>
  <c r="R62" i="18"/>
  <c r="R84" i="18"/>
  <c r="R194" i="18"/>
  <c r="R40" i="18"/>
  <c r="R106" i="18"/>
  <c r="R172" i="18"/>
  <c r="U195" i="18"/>
  <c r="U41" i="18"/>
  <c r="U129" i="18"/>
  <c r="U151" i="18"/>
  <c r="U85" i="18"/>
  <c r="U107" i="18"/>
  <c r="U63" i="18"/>
  <c r="U173" i="18"/>
  <c r="T173" i="18"/>
  <c r="T195" i="18"/>
  <c r="T107" i="18"/>
  <c r="T129" i="18"/>
  <c r="T41" i="18"/>
  <c r="T85" i="18"/>
  <c r="T63" i="18"/>
  <c r="T151" i="18"/>
  <c r="K151" i="18"/>
  <c r="K173" i="18"/>
  <c r="K85" i="18"/>
  <c r="K107" i="18"/>
  <c r="K195" i="18"/>
  <c r="K63" i="18"/>
  <c r="K129" i="18"/>
  <c r="K41" i="18"/>
  <c r="AF85" i="18"/>
  <c r="AF107" i="18"/>
  <c r="AF195" i="18"/>
  <c r="AF63" i="18"/>
  <c r="AF41" i="18"/>
  <c r="AF173" i="18"/>
  <c r="AF129" i="18"/>
  <c r="AF151" i="18"/>
  <c r="X85" i="18"/>
  <c r="X107" i="18"/>
  <c r="X195" i="18"/>
  <c r="X151" i="18"/>
  <c r="X173" i="18"/>
  <c r="X41" i="18"/>
  <c r="X129" i="18"/>
  <c r="X63" i="18"/>
  <c r="P85" i="18"/>
  <c r="P107" i="18"/>
  <c r="P195" i="18"/>
  <c r="P63" i="18"/>
  <c r="P173" i="18"/>
  <c r="P129" i="18"/>
  <c r="P41" i="18"/>
  <c r="P151" i="18"/>
  <c r="AG106" i="18"/>
  <c r="AG128" i="18"/>
  <c r="AG40" i="18"/>
  <c r="AG62" i="18"/>
  <c r="AG84" i="18"/>
  <c r="AG150" i="18"/>
  <c r="AG194" i="18"/>
  <c r="AG172" i="18"/>
  <c r="Y106" i="18"/>
  <c r="Y128" i="18"/>
  <c r="Y40" i="18"/>
  <c r="Y62" i="18"/>
  <c r="Y172" i="18"/>
  <c r="Y194" i="18"/>
  <c r="Y84" i="18"/>
  <c r="Y150" i="18"/>
  <c r="Q106" i="18"/>
  <c r="Q128" i="18"/>
  <c r="Q40" i="18"/>
  <c r="Q62" i="18"/>
  <c r="Q84" i="18"/>
  <c r="Q150" i="18"/>
  <c r="Q194" i="18"/>
  <c r="Q172" i="18"/>
  <c r="N40" i="18"/>
  <c r="N62" i="18"/>
  <c r="N150" i="18"/>
  <c r="N172" i="18"/>
  <c r="N128" i="18"/>
  <c r="N84" i="18"/>
  <c r="N194" i="18"/>
  <c r="N106" i="18"/>
  <c r="M194" i="18"/>
  <c r="M40" i="18"/>
  <c r="M128" i="18"/>
  <c r="M150" i="18"/>
  <c r="M62" i="18"/>
  <c r="M84" i="18"/>
  <c r="M172" i="18"/>
  <c r="M106" i="18"/>
  <c r="AE63" i="18"/>
  <c r="AE85" i="18"/>
  <c r="AE173" i="18"/>
  <c r="AE195" i="18"/>
  <c r="AE107" i="18"/>
  <c r="AE41" i="18"/>
  <c r="AE129" i="18"/>
  <c r="AE151" i="18"/>
  <c r="W63" i="18"/>
  <c r="W85" i="18"/>
  <c r="W173" i="18"/>
  <c r="W195" i="18"/>
  <c r="W41" i="18"/>
  <c r="W151" i="18"/>
  <c r="W129" i="18"/>
  <c r="W107" i="18"/>
  <c r="O63" i="18"/>
  <c r="O85" i="18"/>
  <c r="O173" i="18"/>
  <c r="O195" i="18"/>
  <c r="O107" i="18"/>
  <c r="O129" i="18"/>
  <c r="O41" i="18"/>
  <c r="O151" i="18"/>
  <c r="AF84" i="18"/>
  <c r="AF106" i="18"/>
  <c r="AF194" i="18"/>
  <c r="AF40" i="18"/>
  <c r="AF128" i="18"/>
  <c r="AF150" i="18"/>
  <c r="AF62" i="18"/>
  <c r="AF172" i="18"/>
  <c r="X84" i="18"/>
  <c r="X106" i="18"/>
  <c r="X194" i="18"/>
  <c r="X150" i="18"/>
  <c r="X172" i="18"/>
  <c r="X62" i="18"/>
  <c r="X128" i="18"/>
  <c r="X40" i="18"/>
  <c r="P84" i="18"/>
  <c r="P106" i="18"/>
  <c r="P194" i="18"/>
  <c r="P62" i="18"/>
  <c r="P150" i="18"/>
  <c r="P40" i="18"/>
  <c r="P172" i="18"/>
  <c r="P128" i="18"/>
  <c r="AC195" i="18"/>
  <c r="AC41" i="18"/>
  <c r="AC129" i="18"/>
  <c r="AC151" i="18"/>
  <c r="AC107" i="18"/>
  <c r="AC63" i="18"/>
  <c r="AC173" i="18"/>
  <c r="AC85" i="18"/>
  <c r="AD40" i="18"/>
  <c r="AD62" i="18"/>
  <c r="AD150" i="18"/>
  <c r="AD172" i="18"/>
  <c r="AD128" i="18"/>
  <c r="AD84" i="18"/>
  <c r="AD194" i="18"/>
  <c r="AD106" i="18"/>
  <c r="U194" i="18"/>
  <c r="U40" i="18"/>
  <c r="U128" i="18"/>
  <c r="U150" i="18"/>
  <c r="U106" i="18"/>
  <c r="U172" i="18"/>
  <c r="U62" i="18"/>
  <c r="U84" i="18"/>
  <c r="AB172" i="18"/>
  <c r="AB194" i="18"/>
  <c r="AB106" i="18"/>
  <c r="AB128" i="18"/>
  <c r="AB62" i="18"/>
  <c r="AB40" i="18"/>
  <c r="AB84" i="18"/>
  <c r="AB150" i="18"/>
  <c r="AD41" i="18"/>
  <c r="AD63" i="18"/>
  <c r="AD151" i="18"/>
  <c r="AD173" i="18"/>
  <c r="AD107" i="18"/>
  <c r="AD195" i="18"/>
  <c r="AD129" i="18"/>
  <c r="AD85" i="18"/>
  <c r="V41" i="18"/>
  <c r="V63" i="18"/>
  <c r="V151" i="18"/>
  <c r="V173" i="18"/>
  <c r="V129" i="18"/>
  <c r="V85" i="18"/>
  <c r="V195" i="18"/>
  <c r="V107" i="18"/>
  <c r="N41" i="18"/>
  <c r="N63" i="18"/>
  <c r="N151" i="18"/>
  <c r="N173" i="18"/>
  <c r="N107" i="18"/>
  <c r="N195" i="18"/>
  <c r="N129" i="18"/>
  <c r="N85" i="18"/>
  <c r="AE62" i="18"/>
  <c r="AE84" i="18"/>
  <c r="AE172" i="18"/>
  <c r="AE194" i="18"/>
  <c r="AE128" i="18"/>
  <c r="AE40" i="18"/>
  <c r="AE150" i="18"/>
  <c r="AE106" i="18"/>
  <c r="W62" i="18"/>
  <c r="W84" i="18"/>
  <c r="W172" i="18"/>
  <c r="W194" i="18"/>
  <c r="W106" i="18"/>
  <c r="W150" i="18"/>
  <c r="W128" i="18"/>
  <c r="W40" i="18"/>
  <c r="O62" i="18"/>
  <c r="O84" i="18"/>
  <c r="O172" i="18"/>
  <c r="O194" i="18"/>
  <c r="O128" i="18"/>
  <c r="O150" i="18"/>
  <c r="O40" i="18"/>
  <c r="O106" i="18"/>
  <c r="J195" i="18"/>
  <c r="J173" i="18"/>
  <c r="J151" i="18"/>
  <c r="J129" i="18"/>
  <c r="J107" i="18"/>
  <c r="J85" i="18"/>
  <c r="J63" i="18"/>
  <c r="J41" i="18"/>
  <c r="J150" i="18"/>
  <c r="J62" i="18"/>
  <c r="J128" i="18"/>
  <c r="J40" i="18"/>
  <c r="J194" i="18"/>
  <c r="J106" i="18"/>
  <c r="J172" i="18"/>
  <c r="J84" i="18"/>
  <c r="F71" i="48"/>
  <c r="I173" i="18"/>
  <c r="I107" i="18"/>
  <c r="I129" i="18"/>
  <c r="I41" i="18"/>
  <c r="I151" i="18"/>
  <c r="I85" i="18"/>
  <c r="I195" i="18"/>
  <c r="I63" i="18"/>
  <c r="F70" i="48"/>
  <c r="I172" i="18"/>
  <c r="I128" i="18"/>
  <c r="I84" i="18"/>
  <c r="I40" i="18"/>
  <c r="I194" i="18"/>
  <c r="I150" i="18"/>
  <c r="I106" i="18"/>
  <c r="I62" i="18"/>
  <c r="G68" i="48"/>
  <c r="AH60" i="18"/>
  <c r="AH126" i="18"/>
  <c r="AH192" i="18"/>
  <c r="AH170" i="18"/>
  <c r="AH82" i="18"/>
  <c r="AH104" i="18"/>
  <c r="AH148" i="18"/>
  <c r="AH38" i="18"/>
  <c r="AF170" i="18"/>
  <c r="AF126" i="18"/>
  <c r="AF82" i="18"/>
  <c r="AF38" i="18"/>
  <c r="AF192" i="18"/>
  <c r="AF148" i="18"/>
  <c r="AF104" i="18"/>
  <c r="AF60" i="18"/>
  <c r="AE170" i="18"/>
  <c r="AE126" i="18"/>
  <c r="AE82" i="18"/>
  <c r="AE38" i="18"/>
  <c r="AE192" i="18"/>
  <c r="AE148" i="18"/>
  <c r="AE104" i="18"/>
  <c r="AE60" i="18"/>
  <c r="W170" i="18"/>
  <c r="W126" i="18"/>
  <c r="W82" i="18"/>
  <c r="W38" i="18"/>
  <c r="W192" i="18"/>
  <c r="W148" i="18"/>
  <c r="W104" i="18"/>
  <c r="W60" i="18"/>
  <c r="O170" i="18"/>
  <c r="O126" i="18"/>
  <c r="O82" i="18"/>
  <c r="O38" i="18"/>
  <c r="O192" i="18"/>
  <c r="O148" i="18"/>
  <c r="O104" i="18"/>
  <c r="O60" i="18"/>
  <c r="AC170" i="18"/>
  <c r="AC126" i="18"/>
  <c r="AC82" i="18"/>
  <c r="AC38" i="18"/>
  <c r="AC192" i="18"/>
  <c r="AC148" i="18"/>
  <c r="AC104" i="18"/>
  <c r="AC60" i="18"/>
  <c r="U170" i="18"/>
  <c r="U126" i="18"/>
  <c r="U82" i="18"/>
  <c r="U38" i="18"/>
  <c r="U192" i="18"/>
  <c r="U148" i="18"/>
  <c r="U104" i="18"/>
  <c r="U60" i="18"/>
  <c r="M170" i="18"/>
  <c r="M126" i="18"/>
  <c r="M82" i="18"/>
  <c r="M38" i="18"/>
  <c r="M192" i="18"/>
  <c r="M148" i="18"/>
  <c r="M104" i="18"/>
  <c r="M60" i="18"/>
  <c r="AD148" i="18"/>
  <c r="AD60" i="18"/>
  <c r="AD104" i="18"/>
  <c r="AD170" i="18"/>
  <c r="AD126" i="18"/>
  <c r="AD82" i="18"/>
  <c r="AD38" i="18"/>
  <c r="AD192" i="18"/>
  <c r="T192" i="18"/>
  <c r="T148" i="18"/>
  <c r="T104" i="18"/>
  <c r="T60" i="18"/>
  <c r="T170" i="18"/>
  <c r="T126" i="18"/>
  <c r="T82" i="18"/>
  <c r="T38" i="18"/>
  <c r="L192" i="18"/>
  <c r="L148" i="18"/>
  <c r="L104" i="18"/>
  <c r="L60" i="18"/>
  <c r="L170" i="18"/>
  <c r="L126" i="18"/>
  <c r="L82" i="18"/>
  <c r="L38" i="18"/>
  <c r="V148" i="18"/>
  <c r="V170" i="18"/>
  <c r="V126" i="18"/>
  <c r="V82" i="18"/>
  <c r="V38" i="18"/>
  <c r="V192" i="18"/>
  <c r="V104" i="18"/>
  <c r="V60" i="18"/>
  <c r="AA192" i="18"/>
  <c r="AA148" i="18"/>
  <c r="AA104" i="18"/>
  <c r="AA60" i="18"/>
  <c r="AA170" i="18"/>
  <c r="AA126" i="18"/>
  <c r="AA82" i="18"/>
  <c r="AA38" i="18"/>
  <c r="S192" i="18"/>
  <c r="S148" i="18"/>
  <c r="S104" i="18"/>
  <c r="S60" i="18"/>
  <c r="S170" i="18"/>
  <c r="S126" i="18"/>
  <c r="S82" i="18"/>
  <c r="S38" i="18"/>
  <c r="K192" i="18"/>
  <c r="K148" i="18"/>
  <c r="K104" i="18"/>
  <c r="K60" i="18"/>
  <c r="K170" i="18"/>
  <c r="K126" i="18"/>
  <c r="K82" i="18"/>
  <c r="K38" i="18"/>
  <c r="AB192" i="18"/>
  <c r="AB148" i="18"/>
  <c r="AB104" i="18"/>
  <c r="AB60" i="18"/>
  <c r="AB170" i="18"/>
  <c r="AB126" i="18"/>
  <c r="AB82" i="18"/>
  <c r="AB38" i="18"/>
  <c r="Z82" i="18"/>
  <c r="Z192" i="18"/>
  <c r="Z148" i="18"/>
  <c r="Z104" i="18"/>
  <c r="Z60" i="18"/>
  <c r="Z170" i="18"/>
  <c r="Z38" i="18"/>
  <c r="Z126" i="18"/>
  <c r="R82" i="18"/>
  <c r="R192" i="18"/>
  <c r="R148" i="18"/>
  <c r="R104" i="18"/>
  <c r="R60" i="18"/>
  <c r="R126" i="18"/>
  <c r="R170" i="18"/>
  <c r="R38" i="18"/>
  <c r="AG192" i="18"/>
  <c r="AG148" i="18"/>
  <c r="AG104" i="18"/>
  <c r="AG60" i="18"/>
  <c r="AG170" i="18"/>
  <c r="AG126" i="18"/>
  <c r="AG82" i="18"/>
  <c r="AG38" i="18"/>
  <c r="Y192" i="18"/>
  <c r="Y148" i="18"/>
  <c r="Y104" i="18"/>
  <c r="Y60" i="18"/>
  <c r="Y170" i="18"/>
  <c r="Y126" i="18"/>
  <c r="Y82" i="18"/>
  <c r="Y38" i="18"/>
  <c r="Q192" i="18"/>
  <c r="Q148" i="18"/>
  <c r="Q104" i="18"/>
  <c r="Q60" i="18"/>
  <c r="Q170" i="18"/>
  <c r="Q126" i="18"/>
  <c r="Q82" i="18"/>
  <c r="Q38" i="18"/>
  <c r="N104" i="18"/>
  <c r="N170" i="18"/>
  <c r="N126" i="18"/>
  <c r="N82" i="18"/>
  <c r="N38" i="18"/>
  <c r="N60" i="18"/>
  <c r="N192" i="18"/>
  <c r="N148" i="18"/>
  <c r="X170" i="18"/>
  <c r="X126" i="18"/>
  <c r="X82" i="18"/>
  <c r="X38" i="18"/>
  <c r="X192" i="18"/>
  <c r="X148" i="18"/>
  <c r="X104" i="18"/>
  <c r="X60" i="18"/>
  <c r="P170" i="18"/>
  <c r="P126" i="18"/>
  <c r="P82" i="18"/>
  <c r="P38" i="18"/>
  <c r="P192" i="18"/>
  <c r="P148" i="18"/>
  <c r="P104" i="18"/>
  <c r="P60" i="18"/>
  <c r="J60" i="18"/>
  <c r="J104" i="18"/>
  <c r="J126" i="18"/>
  <c r="J192" i="18"/>
  <c r="J82" i="18"/>
  <c r="J148" i="18"/>
  <c r="J38" i="18"/>
  <c r="J170" i="18"/>
  <c r="F68" i="48"/>
  <c r="I170" i="18"/>
  <c r="I82" i="18"/>
  <c r="I192" i="18"/>
  <c r="I104" i="18"/>
  <c r="I126" i="18"/>
  <c r="I38" i="18"/>
  <c r="I148" i="18"/>
  <c r="I60" i="18"/>
  <c r="G67" i="48"/>
  <c r="AH103" i="18"/>
  <c r="AH125" i="18"/>
  <c r="AH147" i="18"/>
  <c r="AH81" i="18"/>
  <c r="AH169" i="18"/>
  <c r="AH191" i="18"/>
  <c r="AH37" i="18"/>
  <c r="AH59" i="18"/>
  <c r="AG125" i="18"/>
  <c r="AG169" i="18"/>
  <c r="AG103" i="18"/>
  <c r="AG81" i="18"/>
  <c r="AG191" i="18"/>
  <c r="AG59" i="18"/>
  <c r="AG37" i="18"/>
  <c r="AG147" i="18"/>
  <c r="Q125" i="18"/>
  <c r="Q191" i="18"/>
  <c r="Q103" i="18"/>
  <c r="Q81" i="18"/>
  <c r="Q169" i="18"/>
  <c r="Q59" i="18"/>
  <c r="Q37" i="18"/>
  <c r="Q147" i="18"/>
  <c r="AF147" i="18"/>
  <c r="AF125" i="18"/>
  <c r="AF103" i="18"/>
  <c r="AF81" i="18"/>
  <c r="AF59" i="18"/>
  <c r="AF191" i="18"/>
  <c r="AF169" i="18"/>
  <c r="AF37" i="18"/>
  <c r="X147" i="18"/>
  <c r="X125" i="18"/>
  <c r="X37" i="18"/>
  <c r="X103" i="18"/>
  <c r="X81" i="18"/>
  <c r="X191" i="18"/>
  <c r="X59" i="18"/>
  <c r="X169" i="18"/>
  <c r="P147" i="18"/>
  <c r="P125" i="18"/>
  <c r="P191" i="18"/>
  <c r="P103" i="18"/>
  <c r="P37" i="18"/>
  <c r="P81" i="18"/>
  <c r="P59" i="18"/>
  <c r="P169" i="18"/>
  <c r="W169" i="18"/>
  <c r="W59" i="18"/>
  <c r="W147" i="18"/>
  <c r="W37" i="18"/>
  <c r="W125" i="18"/>
  <c r="W103" i="18"/>
  <c r="W81" i="18"/>
  <c r="W191" i="18"/>
  <c r="AD191" i="18"/>
  <c r="AD81" i="18"/>
  <c r="AD59" i="18"/>
  <c r="AD169" i="18"/>
  <c r="AD147" i="18"/>
  <c r="AD125" i="18"/>
  <c r="AD103" i="18"/>
  <c r="AD37" i="18"/>
  <c r="V191" i="18"/>
  <c r="V169" i="18"/>
  <c r="V147" i="18"/>
  <c r="V125" i="18"/>
  <c r="V81" i="18"/>
  <c r="V103" i="18"/>
  <c r="V59" i="18"/>
  <c r="V37" i="18"/>
  <c r="AE169" i="18"/>
  <c r="AE147" i="18"/>
  <c r="AE59" i="18"/>
  <c r="AE125" i="18"/>
  <c r="AE103" i="18"/>
  <c r="AE81" i="18"/>
  <c r="AE191" i="18"/>
  <c r="AE37" i="18"/>
  <c r="AC37" i="18"/>
  <c r="AC191" i="18"/>
  <c r="AC169" i="18"/>
  <c r="AC147" i="18"/>
  <c r="AC103" i="18"/>
  <c r="AC125" i="18"/>
  <c r="AC81" i="18"/>
  <c r="AC59" i="18"/>
  <c r="U37" i="18"/>
  <c r="U103" i="18"/>
  <c r="U191" i="18"/>
  <c r="U169" i="18"/>
  <c r="U147" i="18"/>
  <c r="U81" i="18"/>
  <c r="U125" i="18"/>
  <c r="U59" i="18"/>
  <c r="AB59" i="18"/>
  <c r="AB125" i="18"/>
  <c r="AB37" i="18"/>
  <c r="AB191" i="18"/>
  <c r="AB103" i="18"/>
  <c r="AB169" i="18"/>
  <c r="AB147" i="18"/>
  <c r="AB81" i="18"/>
  <c r="T59" i="18"/>
  <c r="T103" i="18"/>
  <c r="T37" i="18"/>
  <c r="T191" i="18"/>
  <c r="T125" i="18"/>
  <c r="T169" i="18"/>
  <c r="T147" i="18"/>
  <c r="T81" i="18"/>
  <c r="S81" i="18"/>
  <c r="S125" i="18"/>
  <c r="S59" i="18"/>
  <c r="S37" i="18"/>
  <c r="S191" i="18"/>
  <c r="S169" i="18"/>
  <c r="S103" i="18"/>
  <c r="S147" i="18"/>
  <c r="AA81" i="18"/>
  <c r="AA59" i="18"/>
  <c r="AA147" i="18"/>
  <c r="AA37" i="18"/>
  <c r="AA125" i="18"/>
  <c r="AA191" i="18"/>
  <c r="AA169" i="18"/>
  <c r="AA103" i="18"/>
  <c r="Z103" i="18"/>
  <c r="Z81" i="18"/>
  <c r="Z169" i="18"/>
  <c r="Z59" i="18"/>
  <c r="Z37" i="18"/>
  <c r="Z191" i="18"/>
  <c r="Z147" i="18"/>
  <c r="Z125" i="18"/>
  <c r="R103" i="18"/>
  <c r="R147" i="18"/>
  <c r="R81" i="18"/>
  <c r="R59" i="18"/>
  <c r="R37" i="18"/>
  <c r="R191" i="18"/>
  <c r="R169" i="18"/>
  <c r="R125" i="18"/>
  <c r="Y125" i="18"/>
  <c r="Y103" i="18"/>
  <c r="Y169" i="18"/>
  <c r="Y81" i="18"/>
  <c r="Y59" i="18"/>
  <c r="Y37" i="18"/>
  <c r="Y191" i="18"/>
  <c r="Y147" i="18"/>
  <c r="N191" i="18"/>
  <c r="N103" i="18"/>
  <c r="N37" i="18"/>
  <c r="N169" i="18"/>
  <c r="N125" i="18"/>
  <c r="N81" i="18"/>
  <c r="N147" i="18"/>
  <c r="N59" i="18"/>
  <c r="M191" i="18"/>
  <c r="M103" i="18"/>
  <c r="M169" i="18"/>
  <c r="M125" i="18"/>
  <c r="M37" i="18"/>
  <c r="M81" i="18"/>
  <c r="M147" i="18"/>
  <c r="M59" i="18"/>
  <c r="L169" i="18"/>
  <c r="L81" i="18"/>
  <c r="L191" i="18"/>
  <c r="L103" i="18"/>
  <c r="L125" i="18"/>
  <c r="L37" i="18"/>
  <c r="L59" i="18"/>
  <c r="L147" i="18"/>
  <c r="O125" i="18"/>
  <c r="O37" i="18"/>
  <c r="O103" i="18"/>
  <c r="O147" i="18"/>
  <c r="O59" i="18"/>
  <c r="O191" i="18"/>
  <c r="O169" i="18"/>
  <c r="O81" i="18"/>
  <c r="K169" i="18"/>
  <c r="K81" i="18"/>
  <c r="K191" i="18"/>
  <c r="K103" i="18"/>
  <c r="K59" i="18"/>
  <c r="K147" i="18"/>
  <c r="K125" i="18"/>
  <c r="K37" i="18"/>
  <c r="J103" i="18"/>
  <c r="J125" i="18"/>
  <c r="J147" i="18"/>
  <c r="J169" i="18"/>
  <c r="J191" i="18"/>
  <c r="J37" i="18"/>
  <c r="J81" i="18"/>
  <c r="J59" i="18"/>
  <c r="F67" i="48"/>
  <c r="I191" i="18"/>
  <c r="I169" i="18"/>
  <c r="I147" i="18"/>
  <c r="I125" i="18"/>
  <c r="I103" i="18"/>
  <c r="I81" i="18"/>
  <c r="I59" i="18"/>
  <c r="I37" i="18"/>
  <c r="AE189" i="18"/>
  <c r="AE167" i="18"/>
  <c r="AE145" i="18"/>
  <c r="AE123" i="18"/>
  <c r="AE101" i="18"/>
  <c r="AE79" i="18"/>
  <c r="AE57" i="18"/>
  <c r="AE35" i="18"/>
  <c r="AG190" i="18"/>
  <c r="AG168" i="18"/>
  <c r="AG146" i="18"/>
  <c r="AG124" i="18"/>
  <c r="AG102" i="18"/>
  <c r="AG80" i="18"/>
  <c r="AG58" i="18"/>
  <c r="AG36" i="18"/>
  <c r="Y190" i="18"/>
  <c r="Y168" i="18"/>
  <c r="Y146" i="18"/>
  <c r="Y124" i="18"/>
  <c r="Y102" i="18"/>
  <c r="Y80" i="18"/>
  <c r="Y58" i="18"/>
  <c r="Y36" i="18"/>
  <c r="Q190" i="18"/>
  <c r="Q168" i="18"/>
  <c r="Q146" i="18"/>
  <c r="Q124" i="18"/>
  <c r="Q102" i="18"/>
  <c r="Q80" i="18"/>
  <c r="Q58" i="18"/>
  <c r="Q36" i="18"/>
  <c r="AF189" i="18"/>
  <c r="AF167" i="18"/>
  <c r="AF145" i="18"/>
  <c r="AF123" i="18"/>
  <c r="AF101" i="18"/>
  <c r="AF79" i="18"/>
  <c r="AF57" i="18"/>
  <c r="AF35" i="18"/>
  <c r="X189" i="18"/>
  <c r="X167" i="18"/>
  <c r="X145" i="18"/>
  <c r="X123" i="18"/>
  <c r="X101" i="18"/>
  <c r="X79" i="18"/>
  <c r="X57" i="18"/>
  <c r="X35" i="18"/>
  <c r="P189" i="18"/>
  <c r="P167" i="18"/>
  <c r="P145" i="18"/>
  <c r="P123" i="18"/>
  <c r="P101" i="18"/>
  <c r="P79" i="18"/>
  <c r="P57" i="18"/>
  <c r="P35" i="18"/>
  <c r="AE188" i="18"/>
  <c r="AE166" i="18"/>
  <c r="AE144" i="18"/>
  <c r="AE122" i="18"/>
  <c r="AE100" i="18"/>
  <c r="AE78" i="18"/>
  <c r="AE56" i="18"/>
  <c r="AE34" i="18"/>
  <c r="W188" i="18"/>
  <c r="W166" i="18"/>
  <c r="W144" i="18"/>
  <c r="W122" i="18"/>
  <c r="W100" i="18"/>
  <c r="W78" i="18"/>
  <c r="W56" i="18"/>
  <c r="W34" i="18"/>
  <c r="O188" i="18"/>
  <c r="O166" i="18"/>
  <c r="O144" i="18"/>
  <c r="O122" i="18"/>
  <c r="O100" i="18"/>
  <c r="O78" i="18"/>
  <c r="O56" i="18"/>
  <c r="O34" i="18"/>
  <c r="AF190" i="18"/>
  <c r="AF168" i="18"/>
  <c r="AF146" i="18"/>
  <c r="AF124" i="18"/>
  <c r="AF102" i="18"/>
  <c r="AF80" i="18"/>
  <c r="AF58" i="18"/>
  <c r="AF36" i="18"/>
  <c r="O189" i="18"/>
  <c r="O167" i="18"/>
  <c r="O145" i="18"/>
  <c r="O123" i="18"/>
  <c r="O101" i="18"/>
  <c r="O79" i="18"/>
  <c r="O57" i="18"/>
  <c r="O35" i="18"/>
  <c r="AE190" i="18"/>
  <c r="AE168" i="18"/>
  <c r="AE146" i="18"/>
  <c r="AE124" i="18"/>
  <c r="AE102" i="18"/>
  <c r="AE80" i="18"/>
  <c r="AE58" i="18"/>
  <c r="AE36" i="18"/>
  <c r="W190" i="18"/>
  <c r="W168" i="18"/>
  <c r="W146" i="18"/>
  <c r="W124" i="18"/>
  <c r="W102" i="18"/>
  <c r="W80" i="18"/>
  <c r="W58" i="18"/>
  <c r="W36" i="18"/>
  <c r="O190" i="18"/>
  <c r="O168" i="18"/>
  <c r="O146" i="18"/>
  <c r="O124" i="18"/>
  <c r="O102" i="18"/>
  <c r="O80" i="18"/>
  <c r="O58" i="18"/>
  <c r="O36" i="18"/>
  <c r="AD189" i="18"/>
  <c r="AD167" i="18"/>
  <c r="AD145" i="18"/>
  <c r="AD123" i="18"/>
  <c r="AD101" i="18"/>
  <c r="AD79" i="18"/>
  <c r="AD57" i="18"/>
  <c r="AD35" i="18"/>
  <c r="V189" i="18"/>
  <c r="V167" i="18"/>
  <c r="V145" i="18"/>
  <c r="V123" i="18"/>
  <c r="V101" i="18"/>
  <c r="V79" i="18"/>
  <c r="V57" i="18"/>
  <c r="V35" i="18"/>
  <c r="N189" i="18"/>
  <c r="N167" i="18"/>
  <c r="N145" i="18"/>
  <c r="N123" i="18"/>
  <c r="N101" i="18"/>
  <c r="N79" i="18"/>
  <c r="N57" i="18"/>
  <c r="N35" i="18"/>
  <c r="AC188" i="18"/>
  <c r="AC166" i="18"/>
  <c r="AC144" i="18"/>
  <c r="AC122" i="18"/>
  <c r="AC100" i="18"/>
  <c r="AC78" i="18"/>
  <c r="AC56" i="18"/>
  <c r="AC34" i="18"/>
  <c r="U188" i="18"/>
  <c r="U166" i="18"/>
  <c r="U144" i="18"/>
  <c r="U122" i="18"/>
  <c r="U100" i="18"/>
  <c r="U78" i="18"/>
  <c r="U56" i="18"/>
  <c r="U34" i="18"/>
  <c r="M188" i="18"/>
  <c r="M166" i="18"/>
  <c r="M144" i="18"/>
  <c r="M122" i="18"/>
  <c r="M100" i="18"/>
  <c r="M78" i="18"/>
  <c r="M56" i="18"/>
  <c r="M34" i="18"/>
  <c r="V188" i="18"/>
  <c r="V166" i="18"/>
  <c r="V144" i="18"/>
  <c r="V122" i="18"/>
  <c r="V100" i="18"/>
  <c r="V78" i="18"/>
  <c r="V56" i="18"/>
  <c r="V34" i="18"/>
  <c r="AD190" i="18"/>
  <c r="AD168" i="18"/>
  <c r="AD146" i="18"/>
  <c r="AD124" i="18"/>
  <c r="AD102" i="18"/>
  <c r="AD80" i="18"/>
  <c r="AD58" i="18"/>
  <c r="AD36" i="18"/>
  <c r="V190" i="18"/>
  <c r="V168" i="18"/>
  <c r="V146" i="18"/>
  <c r="V124" i="18"/>
  <c r="V102" i="18"/>
  <c r="V80" i="18"/>
  <c r="V58" i="18"/>
  <c r="V36" i="18"/>
  <c r="N190" i="18"/>
  <c r="N168" i="18"/>
  <c r="N146" i="18"/>
  <c r="N124" i="18"/>
  <c r="N102" i="18"/>
  <c r="N80" i="18"/>
  <c r="N58" i="18"/>
  <c r="N36" i="18"/>
  <c r="AC189" i="18"/>
  <c r="AC167" i="18"/>
  <c r="AC145" i="18"/>
  <c r="AC123" i="18"/>
  <c r="AC101" i="18"/>
  <c r="AC79" i="18"/>
  <c r="AC57" i="18"/>
  <c r="AC35" i="18"/>
  <c r="U189" i="18"/>
  <c r="U167" i="18"/>
  <c r="U145" i="18"/>
  <c r="U123" i="18"/>
  <c r="U101" i="18"/>
  <c r="U79" i="18"/>
  <c r="U57" i="18"/>
  <c r="U35" i="18"/>
  <c r="M189" i="18"/>
  <c r="M167" i="18"/>
  <c r="M145" i="18"/>
  <c r="M123" i="18"/>
  <c r="M101" i="18"/>
  <c r="M79" i="18"/>
  <c r="M57" i="18"/>
  <c r="M35" i="18"/>
  <c r="AB188" i="18"/>
  <c r="AB166" i="18"/>
  <c r="AB144" i="18"/>
  <c r="AB122" i="18"/>
  <c r="AB100" i="18"/>
  <c r="AB78" i="18"/>
  <c r="AB56" i="18"/>
  <c r="AB34" i="18"/>
  <c r="T188" i="18"/>
  <c r="T166" i="18"/>
  <c r="T144" i="18"/>
  <c r="T122" i="18"/>
  <c r="T100" i="18"/>
  <c r="T78" i="18"/>
  <c r="T56" i="18"/>
  <c r="T34" i="18"/>
  <c r="L188" i="18"/>
  <c r="L166" i="18"/>
  <c r="L144" i="18"/>
  <c r="L122" i="18"/>
  <c r="L100" i="18"/>
  <c r="L78" i="18"/>
  <c r="L56" i="18"/>
  <c r="L34" i="18"/>
  <c r="W189" i="18"/>
  <c r="W167" i="18"/>
  <c r="W145" i="18"/>
  <c r="W123" i="18"/>
  <c r="W101" i="18"/>
  <c r="W79" i="18"/>
  <c r="W57" i="18"/>
  <c r="W35" i="18"/>
  <c r="AC190" i="18"/>
  <c r="AC168" i="18"/>
  <c r="AC146" i="18"/>
  <c r="AC124" i="18"/>
  <c r="AC102" i="18"/>
  <c r="AC80" i="18"/>
  <c r="AC58" i="18"/>
  <c r="AC36" i="18"/>
  <c r="U190" i="18"/>
  <c r="U168" i="18"/>
  <c r="U146" i="18"/>
  <c r="U124" i="18"/>
  <c r="U102" i="18"/>
  <c r="U80" i="18"/>
  <c r="U58" i="18"/>
  <c r="U36" i="18"/>
  <c r="M190" i="18"/>
  <c r="M168" i="18"/>
  <c r="M146" i="18"/>
  <c r="M124" i="18"/>
  <c r="M102" i="18"/>
  <c r="M80" i="18"/>
  <c r="M58" i="18"/>
  <c r="M36" i="18"/>
  <c r="AB189" i="18"/>
  <c r="AB167" i="18"/>
  <c r="AB145" i="18"/>
  <c r="AB123" i="18"/>
  <c r="AB101" i="18"/>
  <c r="AB79" i="18"/>
  <c r="AB57" i="18"/>
  <c r="AB35" i="18"/>
  <c r="T189" i="18"/>
  <c r="T167" i="18"/>
  <c r="T145" i="18"/>
  <c r="T123" i="18"/>
  <c r="T101" i="18"/>
  <c r="T79" i="18"/>
  <c r="T57" i="18"/>
  <c r="T35" i="18"/>
  <c r="L189" i="18"/>
  <c r="L167" i="18"/>
  <c r="L145" i="18"/>
  <c r="L123" i="18"/>
  <c r="L101" i="18"/>
  <c r="L79" i="18"/>
  <c r="L57" i="18"/>
  <c r="L35" i="18"/>
  <c r="AA188" i="18"/>
  <c r="AA166" i="18"/>
  <c r="AA144" i="18"/>
  <c r="AA122" i="18"/>
  <c r="AA100" i="18"/>
  <c r="AA78" i="18"/>
  <c r="AA56" i="18"/>
  <c r="AA34" i="18"/>
  <c r="S188" i="18"/>
  <c r="S166" i="18"/>
  <c r="S144" i="18"/>
  <c r="S122" i="18"/>
  <c r="S100" i="18"/>
  <c r="S78" i="18"/>
  <c r="S56" i="18"/>
  <c r="S34" i="18"/>
  <c r="K188" i="18"/>
  <c r="K166" i="18"/>
  <c r="K144" i="18"/>
  <c r="K122" i="18"/>
  <c r="K100" i="18"/>
  <c r="K78" i="18"/>
  <c r="K56" i="18"/>
  <c r="K34" i="18"/>
  <c r="X190" i="18"/>
  <c r="X168" i="18"/>
  <c r="X146" i="18"/>
  <c r="X124" i="18"/>
  <c r="X102" i="18"/>
  <c r="X80" i="18"/>
  <c r="X58" i="18"/>
  <c r="X36" i="18"/>
  <c r="AD188" i="18"/>
  <c r="AD166" i="18"/>
  <c r="AD144" i="18"/>
  <c r="AD122" i="18"/>
  <c r="AD100" i="18"/>
  <c r="AD78" i="18"/>
  <c r="AD56" i="18"/>
  <c r="AD34" i="18"/>
  <c r="AB190" i="18"/>
  <c r="AB168" i="18"/>
  <c r="AB146" i="18"/>
  <c r="AB124" i="18"/>
  <c r="AB102" i="18"/>
  <c r="AB80" i="18"/>
  <c r="AB58" i="18"/>
  <c r="AB36" i="18"/>
  <c r="T190" i="18"/>
  <c r="T168" i="18"/>
  <c r="T146" i="18"/>
  <c r="T124" i="18"/>
  <c r="T102" i="18"/>
  <c r="T80" i="18"/>
  <c r="T58" i="18"/>
  <c r="T36" i="18"/>
  <c r="L190" i="18"/>
  <c r="L168" i="18"/>
  <c r="L146" i="18"/>
  <c r="L124" i="18"/>
  <c r="L102" i="18"/>
  <c r="L80" i="18"/>
  <c r="L58" i="18"/>
  <c r="L36" i="18"/>
  <c r="AA189" i="18"/>
  <c r="AA167" i="18"/>
  <c r="AA145" i="18"/>
  <c r="AA123" i="18"/>
  <c r="AA101" i="18"/>
  <c r="AA79" i="18"/>
  <c r="AA57" i="18"/>
  <c r="AA35" i="18"/>
  <c r="S189" i="18"/>
  <c r="S167" i="18"/>
  <c r="S145" i="18"/>
  <c r="S123" i="18"/>
  <c r="S101" i="18"/>
  <c r="S79" i="18"/>
  <c r="S57" i="18"/>
  <c r="S35" i="18"/>
  <c r="K189" i="18"/>
  <c r="K167" i="18"/>
  <c r="K145" i="18"/>
  <c r="K123" i="18"/>
  <c r="K101" i="18"/>
  <c r="K79" i="18"/>
  <c r="K57" i="18"/>
  <c r="K35" i="18"/>
  <c r="Z34" i="18"/>
  <c r="Z144" i="18"/>
  <c r="Z122" i="18"/>
  <c r="Z188" i="18"/>
  <c r="Z166" i="18"/>
  <c r="Z56" i="18"/>
  <c r="Z100" i="18"/>
  <c r="Z78" i="18"/>
  <c r="R56" i="18"/>
  <c r="R34" i="18"/>
  <c r="R166" i="18"/>
  <c r="R100" i="18"/>
  <c r="R78" i="18"/>
  <c r="R188" i="18"/>
  <c r="R144" i="18"/>
  <c r="R122" i="18"/>
  <c r="AA190" i="18"/>
  <c r="AA168" i="18"/>
  <c r="AA146" i="18"/>
  <c r="AA124" i="18"/>
  <c r="AA102" i="18"/>
  <c r="AA80" i="18"/>
  <c r="AA58" i="18"/>
  <c r="AA36" i="18"/>
  <c r="S190" i="18"/>
  <c r="S168" i="18"/>
  <c r="S146" i="18"/>
  <c r="S124" i="18"/>
  <c r="S102" i="18"/>
  <c r="S80" i="18"/>
  <c r="S58" i="18"/>
  <c r="S36" i="18"/>
  <c r="K190" i="18"/>
  <c r="K168" i="18"/>
  <c r="K146" i="18"/>
  <c r="K124" i="18"/>
  <c r="K102" i="18"/>
  <c r="K80" i="18"/>
  <c r="K58" i="18"/>
  <c r="K36" i="18"/>
  <c r="Z189" i="18"/>
  <c r="Z167" i="18"/>
  <c r="Z123" i="18"/>
  <c r="Z35" i="18"/>
  <c r="Z79" i="18"/>
  <c r="Z57" i="18"/>
  <c r="Z145" i="18"/>
  <c r="Z101" i="18"/>
  <c r="R123" i="18"/>
  <c r="R35" i="18"/>
  <c r="R167" i="18"/>
  <c r="R145" i="18"/>
  <c r="R101" i="18"/>
  <c r="R189" i="18"/>
  <c r="R57" i="18"/>
  <c r="R79" i="18"/>
  <c r="AG188" i="18"/>
  <c r="AG166" i="18"/>
  <c r="AG144" i="18"/>
  <c r="AG122" i="18"/>
  <c r="AG100" i="18"/>
  <c r="AG78" i="18"/>
  <c r="AG56" i="18"/>
  <c r="AG34" i="18"/>
  <c r="Y188" i="18"/>
  <c r="Y166" i="18"/>
  <c r="Y144" i="18"/>
  <c r="Y122" i="18"/>
  <c r="Y100" i="18"/>
  <c r="Y78" i="18"/>
  <c r="Y56" i="18"/>
  <c r="Y34" i="18"/>
  <c r="Q188" i="18"/>
  <c r="Q166" i="18"/>
  <c r="Q144" i="18"/>
  <c r="Q122" i="18"/>
  <c r="Q100" i="18"/>
  <c r="Q78" i="18"/>
  <c r="Q56" i="18"/>
  <c r="Q34" i="18"/>
  <c r="P190" i="18"/>
  <c r="P168" i="18"/>
  <c r="P146" i="18"/>
  <c r="P124" i="18"/>
  <c r="P102" i="18"/>
  <c r="P80" i="18"/>
  <c r="P58" i="18"/>
  <c r="P36" i="18"/>
  <c r="N188" i="18"/>
  <c r="N166" i="18"/>
  <c r="N144" i="18"/>
  <c r="N122" i="18"/>
  <c r="N100" i="18"/>
  <c r="N78" i="18"/>
  <c r="N56" i="18"/>
  <c r="N34" i="18"/>
  <c r="Z190" i="18"/>
  <c r="Z80" i="18"/>
  <c r="Z58" i="18"/>
  <c r="Z36" i="18"/>
  <c r="Z102" i="18"/>
  <c r="Z146" i="18"/>
  <c r="Z124" i="18"/>
  <c r="Z168" i="18"/>
  <c r="R168" i="18"/>
  <c r="R80" i="18"/>
  <c r="R190" i="18"/>
  <c r="R102" i="18"/>
  <c r="R58" i="18"/>
  <c r="R36" i="18"/>
  <c r="R146" i="18"/>
  <c r="R124" i="18"/>
  <c r="AG189" i="18"/>
  <c r="AG167" i="18"/>
  <c r="AG145" i="18"/>
  <c r="AG123" i="18"/>
  <c r="AG101" i="18"/>
  <c r="AG79" i="18"/>
  <c r="AG57" i="18"/>
  <c r="AG35" i="18"/>
  <c r="Y189" i="18"/>
  <c r="Y167" i="18"/>
  <c r="Y145" i="18"/>
  <c r="Y123" i="18"/>
  <c r="Y101" i="18"/>
  <c r="Y79" i="18"/>
  <c r="Y57" i="18"/>
  <c r="Y35" i="18"/>
  <c r="Q189" i="18"/>
  <c r="Q167" i="18"/>
  <c r="Q145" i="18"/>
  <c r="Q123" i="18"/>
  <c r="Q101" i="18"/>
  <c r="Q79" i="18"/>
  <c r="Q57" i="18"/>
  <c r="Q35" i="18"/>
  <c r="AF188" i="18"/>
  <c r="AF166" i="18"/>
  <c r="AF144" i="18"/>
  <c r="AF122" i="18"/>
  <c r="AF100" i="18"/>
  <c r="AF78" i="18"/>
  <c r="AF56" i="18"/>
  <c r="AF34" i="18"/>
  <c r="X188" i="18"/>
  <c r="X166" i="18"/>
  <c r="X144" i="18"/>
  <c r="X122" i="18"/>
  <c r="X100" i="18"/>
  <c r="X78" i="18"/>
  <c r="X56" i="18"/>
  <c r="X34" i="18"/>
  <c r="P188" i="18"/>
  <c r="P166" i="18"/>
  <c r="P144" i="18"/>
  <c r="P122" i="18"/>
  <c r="P100" i="18"/>
  <c r="P78" i="18"/>
  <c r="P56" i="18"/>
  <c r="P34" i="18"/>
  <c r="J146" i="18"/>
  <c r="J124" i="18"/>
  <c r="J102" i="18"/>
  <c r="J168" i="18"/>
  <c r="J80" i="18"/>
  <c r="J58" i="18"/>
  <c r="J36" i="18"/>
  <c r="J190" i="18"/>
  <c r="J167" i="18"/>
  <c r="J79" i="18"/>
  <c r="J145" i="18"/>
  <c r="J57" i="18"/>
  <c r="J123" i="18"/>
  <c r="J35" i="18"/>
  <c r="J189" i="18"/>
  <c r="J101" i="18"/>
  <c r="J56" i="18"/>
  <c r="J122" i="18"/>
  <c r="J166" i="18"/>
  <c r="J188" i="18"/>
  <c r="J78" i="18"/>
  <c r="J144" i="18"/>
  <c r="J34" i="18"/>
  <c r="J100" i="18"/>
  <c r="N165" i="18"/>
  <c r="N187" i="18"/>
  <c r="N33" i="18"/>
  <c r="N55" i="18"/>
  <c r="N77" i="18"/>
  <c r="N99" i="18"/>
  <c r="N121" i="18"/>
  <c r="N143" i="18"/>
  <c r="AB119" i="18"/>
  <c r="AB141" i="18"/>
  <c r="AB163" i="18"/>
  <c r="AB97" i="18"/>
  <c r="AB185" i="18"/>
  <c r="AB31" i="18"/>
  <c r="AB53" i="18"/>
  <c r="AB75" i="18"/>
  <c r="T119" i="18"/>
  <c r="T141" i="18"/>
  <c r="T163" i="18"/>
  <c r="T185" i="18"/>
  <c r="T31" i="18"/>
  <c r="T53" i="18"/>
  <c r="T97" i="18"/>
  <c r="T75" i="18"/>
  <c r="AC143" i="18"/>
  <c r="AC165" i="18"/>
  <c r="AC187" i="18"/>
  <c r="AC33" i="18"/>
  <c r="AC121" i="18"/>
  <c r="AC55" i="18"/>
  <c r="AC77" i="18"/>
  <c r="AC99" i="18"/>
  <c r="U143" i="18"/>
  <c r="U165" i="18"/>
  <c r="U187" i="18"/>
  <c r="U33" i="18"/>
  <c r="U55" i="18"/>
  <c r="U77" i="18"/>
  <c r="U99" i="18"/>
  <c r="U121" i="18"/>
  <c r="M143" i="18"/>
  <c r="M165" i="18"/>
  <c r="M187" i="18"/>
  <c r="M33" i="18"/>
  <c r="M121" i="18"/>
  <c r="M55" i="18"/>
  <c r="M77" i="18"/>
  <c r="M99" i="18"/>
  <c r="V165" i="18"/>
  <c r="V187" i="18"/>
  <c r="V33" i="18"/>
  <c r="V143" i="18"/>
  <c r="V55" i="18"/>
  <c r="V77" i="18"/>
  <c r="V99" i="18"/>
  <c r="V121" i="18"/>
  <c r="AA97" i="18"/>
  <c r="AA119" i="18"/>
  <c r="AA141" i="18"/>
  <c r="AA163" i="18"/>
  <c r="AA185" i="18"/>
  <c r="AA31" i="18"/>
  <c r="AA75" i="18"/>
  <c r="AA53" i="18"/>
  <c r="S97" i="18"/>
  <c r="S75" i="18"/>
  <c r="S119" i="18"/>
  <c r="S141" i="18"/>
  <c r="S163" i="18"/>
  <c r="S185" i="18"/>
  <c r="S31" i="18"/>
  <c r="S53" i="18"/>
  <c r="AB121" i="18"/>
  <c r="AB143" i="18"/>
  <c r="AB165" i="18"/>
  <c r="AB187" i="18"/>
  <c r="AB33" i="18"/>
  <c r="AB99" i="18"/>
  <c r="AB55" i="18"/>
  <c r="AB77" i="18"/>
  <c r="T121" i="18"/>
  <c r="T143" i="18"/>
  <c r="T165" i="18"/>
  <c r="T187" i="18"/>
  <c r="T33" i="18"/>
  <c r="T55" i="18"/>
  <c r="T77" i="18"/>
  <c r="T99" i="18"/>
  <c r="L121" i="18"/>
  <c r="L143" i="18"/>
  <c r="L165" i="18"/>
  <c r="L187" i="18"/>
  <c r="L33" i="18"/>
  <c r="L99" i="18"/>
  <c r="L55" i="18"/>
  <c r="L77" i="18"/>
  <c r="G61" i="48"/>
  <c r="AH75" i="18"/>
  <c r="AH97" i="18"/>
  <c r="AH119" i="18"/>
  <c r="AH141" i="18"/>
  <c r="AH53" i="18"/>
  <c r="AH163" i="18"/>
  <c r="AH185" i="18"/>
  <c r="AH31" i="18"/>
  <c r="Z75" i="18"/>
  <c r="Z97" i="18"/>
  <c r="Z119" i="18"/>
  <c r="Z141" i="18"/>
  <c r="Z163" i="18"/>
  <c r="Z185" i="18"/>
  <c r="Z31" i="18"/>
  <c r="Z53" i="18"/>
  <c r="R75" i="18"/>
  <c r="R53" i="18"/>
  <c r="R97" i="18"/>
  <c r="R119" i="18"/>
  <c r="R141" i="18"/>
  <c r="R163" i="18"/>
  <c r="R185" i="18"/>
  <c r="R31" i="18"/>
  <c r="AA99" i="18"/>
  <c r="AA121" i="18"/>
  <c r="AA143" i="18"/>
  <c r="AA165" i="18"/>
  <c r="AA187" i="18"/>
  <c r="AA33" i="18"/>
  <c r="AA77" i="18"/>
  <c r="AA55" i="18"/>
  <c r="S99" i="18"/>
  <c r="S121" i="18"/>
  <c r="S143" i="18"/>
  <c r="S77" i="18"/>
  <c r="S165" i="18"/>
  <c r="S187" i="18"/>
  <c r="S33" i="18"/>
  <c r="S55" i="18"/>
  <c r="K99" i="18"/>
  <c r="K121" i="18"/>
  <c r="K143" i="18"/>
  <c r="K165" i="18"/>
  <c r="K187" i="18"/>
  <c r="K33" i="18"/>
  <c r="K55" i="18"/>
  <c r="K77" i="18"/>
  <c r="U141" i="18"/>
  <c r="U163" i="18"/>
  <c r="U185" i="18"/>
  <c r="U31" i="18"/>
  <c r="U53" i="18"/>
  <c r="U119" i="18"/>
  <c r="U75" i="18"/>
  <c r="U97" i="18"/>
  <c r="AG53" i="18"/>
  <c r="AG75" i="18"/>
  <c r="AG97" i="18"/>
  <c r="AG119" i="18"/>
  <c r="AG141" i="18"/>
  <c r="AG163" i="18"/>
  <c r="AG185" i="18"/>
  <c r="AG31" i="18"/>
  <c r="Y53" i="18"/>
  <c r="Y75" i="18"/>
  <c r="Y97" i="18"/>
  <c r="Y119" i="18"/>
  <c r="Y141" i="18"/>
  <c r="Y163" i="18"/>
  <c r="Y185" i="18"/>
  <c r="Y31" i="18"/>
  <c r="G63" i="48"/>
  <c r="AH77" i="18"/>
  <c r="AH99" i="18"/>
  <c r="AH121" i="18"/>
  <c r="AH143" i="18"/>
  <c r="AH165" i="18"/>
  <c r="AH187" i="18"/>
  <c r="AH33" i="18"/>
  <c r="AH55" i="18"/>
  <c r="Z77" i="18"/>
  <c r="Z99" i="18"/>
  <c r="Z121" i="18"/>
  <c r="Z143" i="18"/>
  <c r="Z165" i="18"/>
  <c r="Z55" i="18"/>
  <c r="Z187" i="18"/>
  <c r="Z33" i="18"/>
  <c r="R77" i="18"/>
  <c r="R99" i="18"/>
  <c r="R121" i="18"/>
  <c r="R55" i="18"/>
  <c r="R143" i="18"/>
  <c r="R165" i="18"/>
  <c r="R187" i="18"/>
  <c r="R33" i="18"/>
  <c r="AF185" i="18"/>
  <c r="AF53" i="18"/>
  <c r="AF75" i="18"/>
  <c r="AF97" i="18"/>
  <c r="AF119" i="18"/>
  <c r="AF141" i="18"/>
  <c r="AF163" i="18"/>
  <c r="AF31" i="18"/>
  <c r="X53" i="18"/>
  <c r="X75" i="18"/>
  <c r="X97" i="18"/>
  <c r="X119" i="18"/>
  <c r="X141" i="18"/>
  <c r="X31" i="18"/>
  <c r="X163" i="18"/>
  <c r="X185" i="18"/>
  <c r="AG55" i="18"/>
  <c r="AG77" i="18"/>
  <c r="AG99" i="18"/>
  <c r="AG121" i="18"/>
  <c r="AG143" i="18"/>
  <c r="AG165" i="18"/>
  <c r="AG187" i="18"/>
  <c r="AG33" i="18"/>
  <c r="Y55" i="18"/>
  <c r="Y77" i="18"/>
  <c r="Y99" i="18"/>
  <c r="Y121" i="18"/>
  <c r="Y143" i="18"/>
  <c r="Y165" i="18"/>
  <c r="Y187" i="18"/>
  <c r="Y33" i="18"/>
  <c r="Q55" i="18"/>
  <c r="Q77" i="18"/>
  <c r="Q99" i="18"/>
  <c r="Q121" i="18"/>
  <c r="Q143" i="18"/>
  <c r="Q165" i="18"/>
  <c r="Q187" i="18"/>
  <c r="Q33" i="18"/>
  <c r="AD165" i="18"/>
  <c r="AD187" i="18"/>
  <c r="AD33" i="18"/>
  <c r="AD55" i="18"/>
  <c r="AD143" i="18"/>
  <c r="AD77" i="18"/>
  <c r="AD99" i="18"/>
  <c r="AD121" i="18"/>
  <c r="AE185" i="18"/>
  <c r="AE31" i="18"/>
  <c r="AE53" i="18"/>
  <c r="AE75" i="18"/>
  <c r="AE163" i="18"/>
  <c r="AE97" i="18"/>
  <c r="AE119" i="18"/>
  <c r="AE141" i="18"/>
  <c r="W185" i="18"/>
  <c r="W31" i="18"/>
  <c r="W53" i="18"/>
  <c r="W75" i="18"/>
  <c r="W97" i="18"/>
  <c r="W119" i="18"/>
  <c r="W141" i="18"/>
  <c r="W163" i="18"/>
  <c r="AF33" i="18"/>
  <c r="AF55" i="18"/>
  <c r="AF77" i="18"/>
  <c r="AF99" i="18"/>
  <c r="AF121" i="18"/>
  <c r="AF187" i="18"/>
  <c r="AF143" i="18"/>
  <c r="AF165" i="18"/>
  <c r="X55" i="18"/>
  <c r="X77" i="18"/>
  <c r="X33" i="18"/>
  <c r="X99" i="18"/>
  <c r="X121" i="18"/>
  <c r="X143" i="18"/>
  <c r="X187" i="18"/>
  <c r="X165" i="18"/>
  <c r="P55" i="18"/>
  <c r="P77" i="18"/>
  <c r="P187" i="18"/>
  <c r="P99" i="18"/>
  <c r="P121" i="18"/>
  <c r="P33" i="18"/>
  <c r="P143" i="18"/>
  <c r="P165" i="18"/>
  <c r="AC141" i="18"/>
  <c r="AC119" i="18"/>
  <c r="AC163" i="18"/>
  <c r="AC185" i="18"/>
  <c r="AC31" i="18"/>
  <c r="AC53" i="18"/>
  <c r="AC75" i="18"/>
  <c r="AC97" i="18"/>
  <c r="AD163" i="18"/>
  <c r="AD141" i="18"/>
  <c r="AD185" i="18"/>
  <c r="AD31" i="18"/>
  <c r="AD53" i="18"/>
  <c r="AD75" i="18"/>
  <c r="AD97" i="18"/>
  <c r="AD119" i="18"/>
  <c r="V163" i="18"/>
  <c r="V185" i="18"/>
  <c r="V31" i="18"/>
  <c r="V53" i="18"/>
  <c r="V75" i="18"/>
  <c r="V97" i="18"/>
  <c r="V141" i="18"/>
  <c r="V119" i="18"/>
  <c r="AE187" i="18"/>
  <c r="AE33" i="18"/>
  <c r="AE55" i="18"/>
  <c r="AE77" i="18"/>
  <c r="AE99" i="18"/>
  <c r="AE121" i="18"/>
  <c r="AE165" i="18"/>
  <c r="AE143" i="18"/>
  <c r="W187" i="18"/>
  <c r="W33" i="18"/>
  <c r="W55" i="18"/>
  <c r="W77" i="18"/>
  <c r="W99" i="18"/>
  <c r="W165" i="18"/>
  <c r="W121" i="18"/>
  <c r="W143" i="18"/>
  <c r="O187" i="18"/>
  <c r="O33" i="18"/>
  <c r="O55" i="18"/>
  <c r="O165" i="18"/>
  <c r="O77" i="18"/>
  <c r="O99" i="18"/>
  <c r="O121" i="18"/>
  <c r="O143" i="18"/>
  <c r="J33" i="18"/>
  <c r="J187" i="18"/>
  <c r="J165" i="18"/>
  <c r="J143" i="18"/>
  <c r="J121" i="18"/>
  <c r="J99" i="18"/>
  <c r="J77" i="18"/>
  <c r="J55" i="18"/>
  <c r="Q31" i="18"/>
  <c r="Q163" i="18"/>
  <c r="Q119" i="18"/>
  <c r="Q75" i="18"/>
  <c r="Q185" i="18"/>
  <c r="Q141" i="18"/>
  <c r="Q97" i="18"/>
  <c r="Q53" i="18"/>
  <c r="P185" i="18"/>
  <c r="P141" i="18"/>
  <c r="P97" i="18"/>
  <c r="P53" i="18"/>
  <c r="P31" i="18"/>
  <c r="P163" i="18"/>
  <c r="P119" i="18"/>
  <c r="P75" i="18"/>
  <c r="O185" i="18"/>
  <c r="O141" i="18"/>
  <c r="O97" i="18"/>
  <c r="O53" i="18"/>
  <c r="O31" i="18"/>
  <c r="O163" i="18"/>
  <c r="O119" i="18"/>
  <c r="O75" i="18"/>
  <c r="N119" i="18"/>
  <c r="N185" i="18"/>
  <c r="N141" i="18"/>
  <c r="N97" i="18"/>
  <c r="N53" i="18"/>
  <c r="N163" i="18"/>
  <c r="N75" i="18"/>
  <c r="N31" i="18"/>
  <c r="F63" i="48"/>
  <c r="I143" i="18"/>
  <c r="I33" i="18"/>
  <c r="I99" i="18"/>
  <c r="I165" i="18"/>
  <c r="I121" i="18"/>
  <c r="I55" i="18"/>
  <c r="I187" i="18"/>
  <c r="I77" i="18"/>
  <c r="L119" i="18"/>
  <c r="L97" i="18"/>
  <c r="L75" i="18"/>
  <c r="L53" i="18"/>
  <c r="L31" i="18"/>
  <c r="L163" i="18"/>
  <c r="L185" i="18"/>
  <c r="L141" i="18"/>
  <c r="J163" i="18"/>
  <c r="J141" i="18"/>
  <c r="J119" i="18"/>
  <c r="J97" i="18"/>
  <c r="J75" i="18"/>
  <c r="J53" i="18"/>
  <c r="J31" i="18"/>
  <c r="J185" i="18"/>
  <c r="M97" i="18"/>
  <c r="M75" i="18"/>
  <c r="M53" i="18"/>
  <c r="M31" i="18"/>
  <c r="M185" i="18"/>
  <c r="M141" i="18"/>
  <c r="M163" i="18"/>
  <c r="M119" i="18"/>
  <c r="I67" i="48"/>
  <c r="I72" i="48"/>
  <c r="H65" i="48"/>
  <c r="J68" i="48"/>
  <c r="I65" i="48"/>
  <c r="K68" i="48"/>
  <c r="H66" i="48"/>
  <c r="J69" i="48"/>
  <c r="J71" i="48"/>
  <c r="I66" i="48"/>
  <c r="J70" i="48"/>
  <c r="K71" i="48"/>
  <c r="H67" i="48"/>
  <c r="H73" i="48"/>
  <c r="J61" i="48"/>
  <c r="I73" i="48"/>
  <c r="K61" i="48"/>
  <c r="J67" i="48"/>
  <c r="J63" i="48"/>
  <c r="K67" i="48"/>
  <c r="K63" i="48"/>
  <c r="J73" i="48"/>
  <c r="J65" i="48"/>
  <c r="K73" i="48"/>
  <c r="K65" i="48"/>
  <c r="H68" i="48"/>
  <c r="J66" i="48"/>
  <c r="H71" i="48"/>
  <c r="I68" i="48"/>
  <c r="K66" i="48"/>
  <c r="I71" i="48"/>
  <c r="K72" i="48"/>
  <c r="K64" i="48"/>
  <c r="H69" i="48"/>
  <c r="H72" i="48"/>
  <c r="J72" i="48"/>
  <c r="J64" i="48"/>
  <c r="H70" i="48"/>
  <c r="G45" i="48"/>
  <c r="AW120" i="59"/>
  <c r="AG274" i="72" s="1"/>
  <c r="R130" i="59"/>
  <c r="AX100" i="59"/>
  <c r="H119" i="72" s="1"/>
  <c r="R88" i="59"/>
  <c r="E149" i="48" a="1"/>
  <c r="E149" i="48" s="1"/>
  <c r="D51" i="62"/>
  <c r="E253" i="48" s="1"/>
  <c r="C58" i="16"/>
  <c r="C138" i="16"/>
  <c r="K56" i="67"/>
  <c r="I379" i="72" s="1"/>
  <c r="BG120" i="59"/>
  <c r="Q294" i="72" s="1"/>
  <c r="AX120" i="59"/>
  <c r="H294" i="72" s="1"/>
  <c r="AV120" i="59"/>
  <c r="AT120" i="59"/>
  <c r="AL120" i="59"/>
  <c r="AK120" i="59"/>
  <c r="AJ120" i="59"/>
  <c r="AI120" i="59"/>
  <c r="AH120" i="59"/>
  <c r="AG120" i="59"/>
  <c r="AF120" i="59"/>
  <c r="BH120" i="59"/>
  <c r="R294" i="72" s="1"/>
  <c r="AD120" i="59"/>
  <c r="BD100" i="59"/>
  <c r="N119" i="72" s="1"/>
  <c r="BT100" i="59"/>
  <c r="AD119" i="72" s="1"/>
  <c r="BE100" i="59"/>
  <c r="O119" i="72" s="1"/>
  <c r="BU100" i="59"/>
  <c r="AE119" i="72" s="1"/>
  <c r="BF100" i="59"/>
  <c r="P119" i="72" s="1"/>
  <c r="BV100" i="59"/>
  <c r="AF119" i="72" s="1"/>
  <c r="BG100" i="59"/>
  <c r="Q119" i="72" s="1"/>
  <c r="BW100" i="59"/>
  <c r="AG119" i="72" s="1"/>
  <c r="BH100" i="59"/>
  <c r="R119" i="72" s="1"/>
  <c r="BI100" i="59"/>
  <c r="S119" i="72" s="1"/>
  <c r="BJ100" i="59"/>
  <c r="T119" i="72" s="1"/>
  <c r="BK100" i="59"/>
  <c r="U119" i="72" s="1"/>
  <c r="BL100" i="59"/>
  <c r="V119" i="72" s="1"/>
  <c r="BM100" i="59"/>
  <c r="W119" i="72" s="1"/>
  <c r="BN100" i="59"/>
  <c r="X119" i="72" s="1"/>
  <c r="AY100" i="59"/>
  <c r="I119" i="72" s="1"/>
  <c r="BO100" i="59"/>
  <c r="Y119" i="72" s="1"/>
  <c r="AZ100" i="59"/>
  <c r="J119" i="72" s="1"/>
  <c r="BP100" i="59"/>
  <c r="Z119" i="72" s="1"/>
  <c r="BS100" i="59"/>
  <c r="AC119" i="72" s="1"/>
  <c r="BA100" i="59"/>
  <c r="K119" i="72" s="1"/>
  <c r="BB100" i="59"/>
  <c r="L119" i="72" s="1"/>
  <c r="BC100" i="59"/>
  <c r="M119" i="72" s="1"/>
  <c r="AB100" i="59"/>
  <c r="AR100" i="59"/>
  <c r="AC100" i="59"/>
  <c r="AS100" i="59"/>
  <c r="AD100" i="59"/>
  <c r="AT100" i="59"/>
  <c r="AE100" i="59"/>
  <c r="AU100" i="59"/>
  <c r="AF100" i="59"/>
  <c r="AV100" i="59"/>
  <c r="AG100" i="59"/>
  <c r="AW100" i="59"/>
  <c r="AH100" i="59"/>
  <c r="AI100" i="59"/>
  <c r="AJ100" i="59"/>
  <c r="AK100" i="59"/>
  <c r="AL100" i="59"/>
  <c r="AM100" i="59"/>
  <c r="BQ100" i="59"/>
  <c r="AA119" i="72" s="1"/>
  <c r="AN100" i="59"/>
  <c r="BR100" i="59"/>
  <c r="AB119" i="72" s="1"/>
  <c r="Y100" i="59"/>
  <c r="AO100" i="59"/>
  <c r="AQ100" i="59"/>
  <c r="AP100" i="59"/>
  <c r="AA100" i="59"/>
  <c r="AY120" i="59"/>
  <c r="I294" i="72" s="1"/>
  <c r="BO120" i="59"/>
  <c r="Y294" i="72" s="1"/>
  <c r="AZ120" i="59"/>
  <c r="J294" i="72" s="1"/>
  <c r="BP120" i="59"/>
  <c r="Z294" i="72" s="1"/>
  <c r="BA120" i="59"/>
  <c r="K294" i="72" s="1"/>
  <c r="BQ120" i="59"/>
  <c r="AA294" i="72" s="1"/>
  <c r="BB120" i="59"/>
  <c r="L294" i="72" s="1"/>
  <c r="BR120" i="59"/>
  <c r="AB294" i="72" s="1"/>
  <c r="BC120" i="59"/>
  <c r="M294" i="72" s="1"/>
  <c r="BS120" i="59"/>
  <c r="AC294" i="72" s="1"/>
  <c r="BD120" i="59"/>
  <c r="N294" i="72" s="1"/>
  <c r="BT120" i="59"/>
  <c r="AD294" i="72" s="1"/>
  <c r="BE120" i="59"/>
  <c r="O294" i="72" s="1"/>
  <c r="BU120" i="59"/>
  <c r="AE294" i="72" s="1"/>
  <c r="BI120" i="59"/>
  <c r="S294" i="72" s="1"/>
  <c r="BJ120" i="59"/>
  <c r="T294" i="72" s="1"/>
  <c r="BK120" i="59"/>
  <c r="U294" i="72" s="1"/>
  <c r="BL120" i="59"/>
  <c r="V294" i="72" s="1"/>
  <c r="BM120" i="59"/>
  <c r="W294" i="72" s="1"/>
  <c r="BN120" i="59"/>
  <c r="X294" i="72" s="1"/>
  <c r="BV120" i="59"/>
  <c r="AF294" i="72" s="1"/>
  <c r="BW120" i="59"/>
  <c r="AG294" i="72" s="1"/>
  <c r="BF120" i="59"/>
  <c r="P294" i="72" s="1"/>
  <c r="AM120" i="59"/>
  <c r="AN120" i="59"/>
  <c r="Y120" i="59"/>
  <c r="AO120" i="59"/>
  <c r="X120" i="59"/>
  <c r="Z120" i="59"/>
  <c r="AP120" i="59"/>
  <c r="AA120" i="59"/>
  <c r="AQ120" i="59"/>
  <c r="AB120" i="59"/>
  <c r="AR120" i="59"/>
  <c r="AC120" i="59"/>
  <c r="AS120" i="59"/>
  <c r="AE120" i="59"/>
  <c r="AU120" i="59"/>
  <c r="Z100" i="59"/>
  <c r="R109" i="59"/>
  <c r="R108" i="59"/>
  <c r="R89" i="59"/>
  <c r="R110" i="59"/>
  <c r="R129" i="59"/>
  <c r="R128" i="59"/>
  <c r="R90" i="59"/>
  <c r="C83" i="16"/>
  <c r="H69" i="24"/>
  <c r="Q32" i="24" s="1"/>
  <c r="F30" i="16" s="1"/>
  <c r="E167" i="48" s="1"/>
  <c r="H68" i="24"/>
  <c r="B8" i="16"/>
  <c r="M21" i="16"/>
  <c r="AF104" i="16" s="1" a="1"/>
  <c r="AF104" i="16" s="1"/>
  <c r="AF117" i="16" s="1"/>
  <c r="AJ8" i="67"/>
  <c r="AJ9" i="67"/>
  <c r="AJ10" i="67"/>
  <c r="AJ11" i="67"/>
  <c r="AJ12" i="67"/>
  <c r="AJ13" i="67"/>
  <c r="AJ14" i="67"/>
  <c r="AJ18" i="67"/>
  <c r="AJ20" i="67"/>
  <c r="AJ21" i="67"/>
  <c r="AJ22" i="67"/>
  <c r="AJ23" i="67"/>
  <c r="AJ24" i="67"/>
  <c r="AJ25" i="67"/>
  <c r="AJ26" i="67"/>
  <c r="AJ27" i="67"/>
  <c r="AJ28" i="67"/>
  <c r="AJ29" i="67"/>
  <c r="AJ30" i="67"/>
  <c r="AJ31" i="67"/>
  <c r="AJ32" i="67"/>
  <c r="AJ33" i="67"/>
  <c r="AJ34" i="67"/>
  <c r="AJ37" i="67"/>
  <c r="AJ38" i="67"/>
  <c r="AJ40" i="67"/>
  <c r="AJ41" i="67"/>
  <c r="AJ42" i="67"/>
  <c r="AJ43" i="67"/>
  <c r="AJ44" i="67"/>
  <c r="AJ45" i="67"/>
  <c r="AJ46" i="67"/>
  <c r="AJ47" i="67"/>
  <c r="AJ48" i="67"/>
  <c r="AJ49" i="67"/>
  <c r="AJ50" i="67"/>
  <c r="AJ51" i="67"/>
  <c r="AJ52" i="67"/>
  <c r="AJ53" i="67"/>
  <c r="AJ54" i="67"/>
  <c r="AJ57" i="67"/>
  <c r="AJ58" i="67"/>
  <c r="M15" i="16" s="1"/>
  <c r="AJ60" i="67"/>
  <c r="AJ61" i="67"/>
  <c r="AJ62" i="67"/>
  <c r="AJ63" i="67"/>
  <c r="AJ64" i="67"/>
  <c r="AJ65" i="67"/>
  <c r="AJ66" i="67"/>
  <c r="G147" i="59"/>
  <c r="G146" i="59"/>
  <c r="G145" i="59"/>
  <c r="G144" i="59"/>
  <c r="G143" i="59"/>
  <c r="G142" i="59"/>
  <c r="G140" i="59"/>
  <c r="G141" i="59"/>
  <c r="G139" i="59"/>
  <c r="AJ7" i="67"/>
  <c r="G138" i="59"/>
  <c r="G137" i="59"/>
  <c r="G136" i="59"/>
  <c r="G135" i="59"/>
  <c r="G134" i="59"/>
  <c r="G133" i="59"/>
  <c r="G132" i="59"/>
  <c r="G131" i="59"/>
  <c r="G130" i="59"/>
  <c r="G129" i="59"/>
  <c r="G128" i="59"/>
  <c r="G127" i="59"/>
  <c r="G126" i="59"/>
  <c r="G125" i="59"/>
  <c r="G124" i="59"/>
  <c r="G123" i="59"/>
  <c r="G122" i="59"/>
  <c r="G120" i="59"/>
  <c r="G121" i="59"/>
  <c r="G119" i="59"/>
  <c r="G118" i="59"/>
  <c r="G117" i="59"/>
  <c r="G116" i="59"/>
  <c r="G115" i="59"/>
  <c r="G114" i="59"/>
  <c r="G112" i="59"/>
  <c r="G111" i="59"/>
  <c r="G113" i="59"/>
  <c r="G110" i="59"/>
  <c r="G109" i="59"/>
  <c r="G108" i="59"/>
  <c r="F147" i="59"/>
  <c r="F146" i="59"/>
  <c r="F145" i="59"/>
  <c r="F144" i="59"/>
  <c r="F143" i="59"/>
  <c r="F142" i="59"/>
  <c r="F140" i="59"/>
  <c r="F141" i="59"/>
  <c r="F139" i="59"/>
  <c r="F138" i="59"/>
  <c r="F137" i="59"/>
  <c r="F136" i="59"/>
  <c r="F135" i="59"/>
  <c r="F134" i="59"/>
  <c r="F133" i="59"/>
  <c r="F132" i="59"/>
  <c r="F131" i="59"/>
  <c r="F130" i="59"/>
  <c r="F129" i="59"/>
  <c r="F128" i="59"/>
  <c r="F127" i="59"/>
  <c r="F126" i="59"/>
  <c r="F125" i="59"/>
  <c r="F124" i="59"/>
  <c r="F123" i="59"/>
  <c r="F122" i="59"/>
  <c r="F120" i="59"/>
  <c r="F121" i="59"/>
  <c r="F119" i="59"/>
  <c r="F118" i="59"/>
  <c r="F117" i="59"/>
  <c r="F116" i="59"/>
  <c r="F115" i="59"/>
  <c r="F114" i="59"/>
  <c r="F112" i="59"/>
  <c r="F111" i="59"/>
  <c r="F113" i="59"/>
  <c r="F110" i="59"/>
  <c r="F109" i="59"/>
  <c r="F108" i="59"/>
  <c r="F106" i="59"/>
  <c r="G107" i="59"/>
  <c r="G106" i="59"/>
  <c r="G105" i="59"/>
  <c r="G104" i="59"/>
  <c r="G103" i="59"/>
  <c r="G99" i="59"/>
  <c r="G100" i="59"/>
  <c r="G101" i="59"/>
  <c r="G102" i="59"/>
  <c r="G98" i="59"/>
  <c r="G96" i="59"/>
  <c r="G95" i="59"/>
  <c r="G94" i="59"/>
  <c r="G97" i="59"/>
  <c r="F107" i="59"/>
  <c r="F105" i="59"/>
  <c r="F104" i="59"/>
  <c r="F103" i="59"/>
  <c r="F102" i="59"/>
  <c r="F101" i="59"/>
  <c r="F100" i="59"/>
  <c r="F99" i="59"/>
  <c r="F98" i="59"/>
  <c r="F96" i="59"/>
  <c r="F95" i="59"/>
  <c r="F94" i="59"/>
  <c r="F97" i="59"/>
  <c r="G93" i="59"/>
  <c r="G92" i="59"/>
  <c r="G91" i="59"/>
  <c r="G90" i="59"/>
  <c r="G89" i="59"/>
  <c r="F93" i="59"/>
  <c r="F92" i="59"/>
  <c r="F91" i="59"/>
  <c r="F90" i="59"/>
  <c r="F89" i="59"/>
  <c r="F88" i="59"/>
  <c r="H60" i="67"/>
  <c r="H40" i="67"/>
  <c r="H20" i="67"/>
  <c r="G88" i="59"/>
  <c r="H66" i="67"/>
  <c r="H65" i="67"/>
  <c r="H64" i="67"/>
  <c r="H63" i="67"/>
  <c r="H62" i="67"/>
  <c r="H61" i="67"/>
  <c r="H48" i="67"/>
  <c r="H46" i="67"/>
  <c r="H45" i="67"/>
  <c r="H44" i="67"/>
  <c r="H43" i="67"/>
  <c r="H42" i="67"/>
  <c r="H41" i="67"/>
  <c r="H28" i="67"/>
  <c r="H21" i="67"/>
  <c r="H22" i="67"/>
  <c r="H8" i="67"/>
  <c r="H26" i="67"/>
  <c r="H25" i="67"/>
  <c r="H24" i="67"/>
  <c r="H23" i="67"/>
  <c r="G23" i="61"/>
  <c r="F23" i="61"/>
  <c r="E23" i="61"/>
  <c r="J33" i="61"/>
  <c r="C43" i="16"/>
  <c r="C54" i="16"/>
  <c r="C55" i="16"/>
  <c r="C26" i="16"/>
  <c r="D26" i="16"/>
  <c r="C8" i="16"/>
  <c r="D8" i="16"/>
  <c r="C9" i="16"/>
  <c r="C39" i="16" s="1"/>
  <c r="D9" i="16"/>
  <c r="D10" i="16"/>
  <c r="B26" i="16"/>
  <c r="B27" i="16"/>
  <c r="G43" i="24"/>
  <c r="F43" i="24"/>
  <c r="E43" i="24"/>
  <c r="D43" i="24"/>
  <c r="C43" i="24"/>
  <c r="G42" i="24"/>
  <c r="F42" i="24"/>
  <c r="E42" i="24"/>
  <c r="D42" i="24"/>
  <c r="C42" i="24"/>
  <c r="H41" i="24"/>
  <c r="H40" i="24"/>
  <c r="H39" i="24"/>
  <c r="H38" i="24"/>
  <c r="B38" i="24"/>
  <c r="B39" i="24" s="1"/>
  <c r="B40" i="24" s="1"/>
  <c r="B41" i="24" s="1"/>
  <c r="H37" i="24"/>
  <c r="H33" i="61"/>
  <c r="I33" i="61"/>
  <c r="C88" i="61"/>
  <c r="C89" i="61"/>
  <c r="C90" i="61"/>
  <c r="C91" i="61"/>
  <c r="C92" i="61"/>
  <c r="C93" i="61"/>
  <c r="C87" i="61"/>
  <c r="C81" i="61"/>
  <c r="C82" i="61"/>
  <c r="C83" i="61"/>
  <c r="C84" i="61"/>
  <c r="C85" i="61"/>
  <c r="C86" i="61"/>
  <c r="C80" i="61"/>
  <c r="C75" i="61"/>
  <c r="C76" i="61"/>
  <c r="C77" i="61"/>
  <c r="C78" i="61"/>
  <c r="C79" i="61"/>
  <c r="C73" i="61"/>
  <c r="C8" i="61"/>
  <c r="B51" i="61"/>
  <c r="B13" i="29" s="1"/>
  <c r="B52" i="61"/>
  <c r="B36" i="29" s="1"/>
  <c r="B50" i="61"/>
  <c r="B34" i="29" s="1"/>
  <c r="B47" i="61"/>
  <c r="B33" i="29" s="1"/>
  <c r="B45" i="61"/>
  <c r="B31" i="29" s="1"/>
  <c r="B46" i="61"/>
  <c r="B44" i="29" s="1"/>
  <c r="B44" i="61"/>
  <c r="B42" i="29" s="1"/>
  <c r="C31" i="61"/>
  <c r="C32" i="61"/>
  <c r="C33" i="61"/>
  <c r="C34" i="61"/>
  <c r="C35" i="61"/>
  <c r="C36" i="61"/>
  <c r="C30" i="61"/>
  <c r="C24" i="61"/>
  <c r="C25" i="61"/>
  <c r="C26" i="61"/>
  <c r="C27" i="61"/>
  <c r="C28" i="61"/>
  <c r="C29" i="61"/>
  <c r="C23" i="61"/>
  <c r="B15" i="61"/>
  <c r="B16" i="61"/>
  <c r="B9" i="61"/>
  <c r="B10" i="61"/>
  <c r="B11" i="61"/>
  <c r="B8" i="61"/>
  <c r="I26" i="62"/>
  <c r="I27" i="62"/>
  <c r="I25" i="62"/>
  <c r="C14" i="61"/>
  <c r="F14" i="61"/>
  <c r="F11" i="61"/>
  <c r="F10" i="61"/>
  <c r="C11" i="61"/>
  <c r="C10" i="61"/>
  <c r="G30" i="24"/>
  <c r="F30" i="24"/>
  <c r="E30" i="24"/>
  <c r="D30" i="24"/>
  <c r="C30" i="24"/>
  <c r="G29" i="24"/>
  <c r="F29" i="24"/>
  <c r="E29" i="24"/>
  <c r="D29" i="24"/>
  <c r="C29" i="24"/>
  <c r="H28" i="24"/>
  <c r="H27" i="24"/>
  <c r="H26" i="24"/>
  <c r="H25" i="24"/>
  <c r="B25" i="24"/>
  <c r="B26" i="24" s="1"/>
  <c r="B27" i="24" s="1"/>
  <c r="B28" i="24" s="1"/>
  <c r="H24" i="24"/>
  <c r="C17" i="24"/>
  <c r="G17" i="24"/>
  <c r="F17" i="24"/>
  <c r="E17" i="24"/>
  <c r="D17" i="24"/>
  <c r="G16" i="24"/>
  <c r="F16" i="24"/>
  <c r="E16" i="24"/>
  <c r="D16" i="24"/>
  <c r="C16" i="24"/>
  <c r="H15" i="24"/>
  <c r="H14" i="24"/>
  <c r="H13" i="24"/>
  <c r="B12" i="24"/>
  <c r="B13" i="24" s="1"/>
  <c r="B14" i="24" s="1"/>
  <c r="B15" i="24" s="1"/>
  <c r="I28" i="62"/>
  <c r="I29" i="62"/>
  <c r="I30" i="62"/>
  <c r="I31" i="62"/>
  <c r="I32" i="62"/>
  <c r="I33" i="62"/>
  <c r="I34" i="62"/>
  <c r="I35" i="62"/>
  <c r="I36" i="62"/>
  <c r="I37" i="62"/>
  <c r="I38" i="62"/>
  <c r="I39" i="62"/>
  <c r="I40" i="62"/>
  <c r="I41" i="62"/>
  <c r="I42" i="62"/>
  <c r="I43" i="62"/>
  <c r="I44" i="62"/>
  <c r="I45" i="62"/>
  <c r="I46" i="62"/>
  <c r="I47" i="62"/>
  <c r="I48" i="62"/>
  <c r="I49" i="62"/>
  <c r="I50" i="62"/>
  <c r="AL11" i="73" l="1"/>
  <c r="AK15" i="73"/>
  <c r="M14" i="16"/>
  <c r="M8" i="16"/>
  <c r="N620" i="18"/>
  <c r="N598" i="18"/>
  <c r="N555" i="18"/>
  <c r="N489" i="18"/>
  <c r="N533" i="18"/>
  <c r="N577" i="18"/>
  <c r="N511" i="18"/>
  <c r="N467" i="18"/>
  <c r="AF620" i="18"/>
  <c r="AF598" i="18"/>
  <c r="AF577" i="18"/>
  <c r="AF555" i="18"/>
  <c r="AF533" i="18"/>
  <c r="AF511" i="18"/>
  <c r="AF489" i="18"/>
  <c r="AF467" i="18"/>
  <c r="K577" i="18"/>
  <c r="K598" i="18"/>
  <c r="K620" i="18"/>
  <c r="K511" i="18"/>
  <c r="K533" i="18"/>
  <c r="K555" i="18"/>
  <c r="K489" i="18"/>
  <c r="K467" i="18"/>
  <c r="M621" i="18"/>
  <c r="M599" i="18"/>
  <c r="M556" i="18"/>
  <c r="M578" i="18"/>
  <c r="M490" i="18"/>
  <c r="M534" i="18"/>
  <c r="M468" i="18"/>
  <c r="M512" i="18"/>
  <c r="AE621" i="18"/>
  <c r="AE599" i="18"/>
  <c r="AE578" i="18"/>
  <c r="AE556" i="18"/>
  <c r="AE534" i="18"/>
  <c r="AE512" i="18"/>
  <c r="AE468" i="18"/>
  <c r="AE490" i="18"/>
  <c r="Q599" i="18"/>
  <c r="Q578" i="18"/>
  <c r="Q556" i="18"/>
  <c r="Q534" i="18"/>
  <c r="Q512" i="18"/>
  <c r="Q490" i="18"/>
  <c r="Q621" i="18"/>
  <c r="Q468" i="18"/>
  <c r="S578" i="18"/>
  <c r="S621" i="18"/>
  <c r="S534" i="18"/>
  <c r="S512" i="18"/>
  <c r="S556" i="18"/>
  <c r="S490" i="18"/>
  <c r="S599" i="18"/>
  <c r="S468" i="18"/>
  <c r="X620" i="18"/>
  <c r="X598" i="18"/>
  <c r="X577" i="18"/>
  <c r="X555" i="18"/>
  <c r="X533" i="18"/>
  <c r="X511" i="18"/>
  <c r="X467" i="18"/>
  <c r="X489" i="18"/>
  <c r="AG599" i="18"/>
  <c r="AG578" i="18"/>
  <c r="AG621" i="18"/>
  <c r="AG556" i="18"/>
  <c r="AG534" i="18"/>
  <c r="AG512" i="18"/>
  <c r="AG490" i="18"/>
  <c r="AG468" i="18"/>
  <c r="AA577" i="18"/>
  <c r="AA598" i="18"/>
  <c r="AA620" i="18"/>
  <c r="AA511" i="18"/>
  <c r="AA533" i="18"/>
  <c r="AA489" i="18"/>
  <c r="AA555" i="18"/>
  <c r="AA467" i="18"/>
  <c r="P599" i="18"/>
  <c r="P621" i="18"/>
  <c r="P556" i="18"/>
  <c r="P578" i="18"/>
  <c r="P534" i="18"/>
  <c r="P512" i="18"/>
  <c r="P490" i="18"/>
  <c r="P468" i="18"/>
  <c r="O620" i="18"/>
  <c r="O598" i="18"/>
  <c r="O555" i="18"/>
  <c r="O533" i="18"/>
  <c r="O577" i="18"/>
  <c r="O511" i="18"/>
  <c r="O467" i="18"/>
  <c r="O489" i="18"/>
  <c r="Z578" i="18"/>
  <c r="Z599" i="18"/>
  <c r="Z534" i="18"/>
  <c r="Z621" i="18"/>
  <c r="Z556" i="18"/>
  <c r="Z512" i="18"/>
  <c r="Z490" i="18"/>
  <c r="Z468" i="18"/>
  <c r="AB578" i="18"/>
  <c r="AB621" i="18"/>
  <c r="AB599" i="18"/>
  <c r="AB556" i="18"/>
  <c r="AB534" i="18"/>
  <c r="AB490" i="18"/>
  <c r="AB468" i="18"/>
  <c r="AB512" i="18"/>
  <c r="AD621" i="18"/>
  <c r="AD599" i="18"/>
  <c r="AD556" i="18"/>
  <c r="AD534" i="18"/>
  <c r="AD578" i="18"/>
  <c r="AD512" i="18"/>
  <c r="AD468" i="18"/>
  <c r="AD490" i="18"/>
  <c r="AF599" i="18"/>
  <c r="AF621" i="18"/>
  <c r="AF556" i="18"/>
  <c r="AF534" i="18"/>
  <c r="AF578" i="18"/>
  <c r="AF512" i="18"/>
  <c r="AF490" i="18"/>
  <c r="AF468" i="18"/>
  <c r="AH578" i="18"/>
  <c r="AH599" i="18"/>
  <c r="AH534" i="18"/>
  <c r="AH512" i="18"/>
  <c r="AH490" i="18"/>
  <c r="AH621" i="18"/>
  <c r="AH556" i="18"/>
  <c r="AH468" i="18"/>
  <c r="AD620" i="18"/>
  <c r="AD598" i="18"/>
  <c r="AD577" i="18"/>
  <c r="AD555" i="18"/>
  <c r="AD489" i="18"/>
  <c r="AD511" i="18"/>
  <c r="AD467" i="18"/>
  <c r="AD533" i="18"/>
  <c r="W620" i="18"/>
  <c r="W577" i="18"/>
  <c r="W555" i="18"/>
  <c r="W533" i="18"/>
  <c r="W511" i="18"/>
  <c r="W467" i="18"/>
  <c r="W489" i="18"/>
  <c r="W598" i="18"/>
  <c r="Y598" i="18"/>
  <c r="Y620" i="18"/>
  <c r="Y555" i="18"/>
  <c r="Y577" i="18"/>
  <c r="Y533" i="18"/>
  <c r="Y511" i="18"/>
  <c r="Y489" i="18"/>
  <c r="Y467" i="18"/>
  <c r="AE620" i="18"/>
  <c r="AE577" i="18"/>
  <c r="AE555" i="18"/>
  <c r="AE598" i="18"/>
  <c r="AE533" i="18"/>
  <c r="AE511" i="18"/>
  <c r="AE489" i="18"/>
  <c r="AE467" i="18"/>
  <c r="Y599" i="18"/>
  <c r="Y578" i="18"/>
  <c r="Y556" i="18"/>
  <c r="Y534" i="18"/>
  <c r="Y621" i="18"/>
  <c r="Y512" i="18"/>
  <c r="Y490" i="18"/>
  <c r="Y468" i="18"/>
  <c r="R598" i="18"/>
  <c r="R577" i="18"/>
  <c r="R555" i="18"/>
  <c r="R533" i="18"/>
  <c r="R620" i="18"/>
  <c r="R511" i="18"/>
  <c r="R489" i="18"/>
  <c r="R467" i="18"/>
  <c r="T577" i="18"/>
  <c r="T620" i="18"/>
  <c r="T598" i="18"/>
  <c r="T555" i="18"/>
  <c r="T511" i="18"/>
  <c r="T489" i="18"/>
  <c r="T533" i="18"/>
  <c r="T467" i="18"/>
  <c r="V620" i="18"/>
  <c r="V598" i="18"/>
  <c r="V577" i="18"/>
  <c r="V555" i="18"/>
  <c r="V489" i="18"/>
  <c r="V533" i="18"/>
  <c r="V511" i="18"/>
  <c r="V467" i="18"/>
  <c r="Z598" i="18"/>
  <c r="Z577" i="18"/>
  <c r="Z555" i="18"/>
  <c r="Z533" i="18"/>
  <c r="Z620" i="18"/>
  <c r="Z511" i="18"/>
  <c r="Z489" i="18"/>
  <c r="Z467" i="18"/>
  <c r="T578" i="18"/>
  <c r="T621" i="18"/>
  <c r="T556" i="18"/>
  <c r="T490" i="18"/>
  <c r="T534" i="18"/>
  <c r="T599" i="18"/>
  <c r="T468" i="18"/>
  <c r="T512" i="18"/>
  <c r="AC621" i="18"/>
  <c r="AC599" i="18"/>
  <c r="AC556" i="18"/>
  <c r="AC490" i="18"/>
  <c r="AC578" i="18"/>
  <c r="AC512" i="18"/>
  <c r="AC468" i="18"/>
  <c r="AC534" i="18"/>
  <c r="K578" i="18"/>
  <c r="K621" i="18"/>
  <c r="K599" i="18"/>
  <c r="K512" i="18"/>
  <c r="K490" i="18"/>
  <c r="K556" i="18"/>
  <c r="K534" i="18"/>
  <c r="K468" i="18"/>
  <c r="U577" i="18"/>
  <c r="U598" i="18"/>
  <c r="U620" i="18"/>
  <c r="U555" i="18"/>
  <c r="U489" i="18"/>
  <c r="U533" i="18"/>
  <c r="U511" i="18"/>
  <c r="U467" i="18"/>
  <c r="R578" i="18"/>
  <c r="R599" i="18"/>
  <c r="R534" i="18"/>
  <c r="R621" i="18"/>
  <c r="R512" i="18"/>
  <c r="R556" i="18"/>
  <c r="R490" i="18"/>
  <c r="R468" i="18"/>
  <c r="Q598" i="18"/>
  <c r="Q620" i="18"/>
  <c r="Q555" i="18"/>
  <c r="Q533" i="18"/>
  <c r="Q577" i="18"/>
  <c r="Q511" i="18"/>
  <c r="Q489" i="18"/>
  <c r="Q467" i="18"/>
  <c r="AH598" i="18"/>
  <c r="AH577" i="18"/>
  <c r="AH555" i="18"/>
  <c r="AH620" i="18"/>
  <c r="AH533" i="18"/>
  <c r="AH511" i="18"/>
  <c r="AH489" i="18"/>
  <c r="AH467" i="18"/>
  <c r="L577" i="18"/>
  <c r="L620" i="18"/>
  <c r="L598" i="18"/>
  <c r="L511" i="18"/>
  <c r="L533" i="18"/>
  <c r="L555" i="18"/>
  <c r="L489" i="18"/>
  <c r="L467" i="18"/>
  <c r="X599" i="18"/>
  <c r="X621" i="18"/>
  <c r="X578" i="18"/>
  <c r="X556" i="18"/>
  <c r="X534" i="18"/>
  <c r="X512" i="18"/>
  <c r="X490" i="18"/>
  <c r="X468" i="18"/>
  <c r="U621" i="18"/>
  <c r="U599" i="18"/>
  <c r="U578" i="18"/>
  <c r="U556" i="18"/>
  <c r="U490" i="18"/>
  <c r="U534" i="18"/>
  <c r="U512" i="18"/>
  <c r="U468" i="18"/>
  <c r="AG598" i="18"/>
  <c r="AG620" i="18"/>
  <c r="AG555" i="18"/>
  <c r="AG533" i="18"/>
  <c r="AG511" i="18"/>
  <c r="AG577" i="18"/>
  <c r="AG489" i="18"/>
  <c r="AG467" i="18"/>
  <c r="AA578" i="18"/>
  <c r="AA621" i="18"/>
  <c r="AA534" i="18"/>
  <c r="AA599" i="18"/>
  <c r="AA556" i="18"/>
  <c r="AA512" i="18"/>
  <c r="AA490" i="18"/>
  <c r="AA468" i="18"/>
  <c r="AB577" i="18"/>
  <c r="AB620" i="18"/>
  <c r="AB511" i="18"/>
  <c r="AB533" i="18"/>
  <c r="AB489" i="18"/>
  <c r="AB467" i="18"/>
  <c r="AB598" i="18"/>
  <c r="AB555" i="18"/>
  <c r="AC577" i="18"/>
  <c r="AC620" i="18"/>
  <c r="AC598" i="18"/>
  <c r="AC555" i="18"/>
  <c r="AC533" i="18"/>
  <c r="AC489" i="18"/>
  <c r="AC511" i="18"/>
  <c r="AC467" i="18"/>
  <c r="W621" i="18"/>
  <c r="W599" i="18"/>
  <c r="W578" i="18"/>
  <c r="W556" i="18"/>
  <c r="W534" i="18"/>
  <c r="W512" i="18"/>
  <c r="W468" i="18"/>
  <c r="W490" i="18"/>
  <c r="L578" i="18"/>
  <c r="L599" i="18"/>
  <c r="L556" i="18"/>
  <c r="L490" i="18"/>
  <c r="L534" i="18"/>
  <c r="L512" i="18"/>
  <c r="L621" i="18"/>
  <c r="L468" i="18"/>
  <c r="N621" i="18"/>
  <c r="N599" i="18"/>
  <c r="N556" i="18"/>
  <c r="N578" i="18"/>
  <c r="N534" i="18"/>
  <c r="N512" i="18"/>
  <c r="N490" i="18"/>
  <c r="N468" i="18"/>
  <c r="V621" i="18"/>
  <c r="V578" i="18"/>
  <c r="V556" i="18"/>
  <c r="V599" i="18"/>
  <c r="V534" i="18"/>
  <c r="V512" i="18"/>
  <c r="V468" i="18"/>
  <c r="V490" i="18"/>
  <c r="P620" i="18"/>
  <c r="P598" i="18"/>
  <c r="P577" i="18"/>
  <c r="P555" i="18"/>
  <c r="P533" i="18"/>
  <c r="P511" i="18"/>
  <c r="P467" i="18"/>
  <c r="P489" i="18"/>
  <c r="S577" i="18"/>
  <c r="S598" i="18"/>
  <c r="S620" i="18"/>
  <c r="S555" i="18"/>
  <c r="S511" i="18"/>
  <c r="S489" i="18"/>
  <c r="S533" i="18"/>
  <c r="S467" i="18"/>
  <c r="O621" i="18"/>
  <c r="O599" i="18"/>
  <c r="O578" i="18"/>
  <c r="O556" i="18"/>
  <c r="O534" i="18"/>
  <c r="O512" i="18"/>
  <c r="O468" i="18"/>
  <c r="O490" i="18"/>
  <c r="M577" i="18"/>
  <c r="M620" i="18"/>
  <c r="M598" i="18"/>
  <c r="M555" i="18"/>
  <c r="M533" i="18"/>
  <c r="M489" i="18"/>
  <c r="M467" i="18"/>
  <c r="M511" i="18"/>
  <c r="J555" i="18"/>
  <c r="J620" i="18"/>
  <c r="J511" i="18"/>
  <c r="J577" i="18"/>
  <c r="J467" i="18"/>
  <c r="J533" i="18"/>
  <c r="J598" i="18"/>
  <c r="J489" i="18"/>
  <c r="M9" i="16"/>
  <c r="M10" i="16"/>
  <c r="M13" i="16"/>
  <c r="AH298" i="18"/>
  <c r="AH276" i="18"/>
  <c r="AH320" i="18"/>
  <c r="AH342" i="18"/>
  <c r="AH364" i="18"/>
  <c r="AH386" i="18"/>
  <c r="AH408" i="18"/>
  <c r="AH254" i="18"/>
  <c r="AH275" i="18"/>
  <c r="AH297" i="18"/>
  <c r="AH319" i="18"/>
  <c r="AH341" i="18"/>
  <c r="AH253" i="18"/>
  <c r="AH363" i="18"/>
  <c r="AH385" i="18"/>
  <c r="AH407" i="18"/>
  <c r="AG386" i="18"/>
  <c r="AG342" i="18"/>
  <c r="AG298" i="18"/>
  <c r="AG408" i="18"/>
  <c r="AG364" i="18"/>
  <c r="AG320" i="18"/>
  <c r="AG276" i="18"/>
  <c r="AG254" i="18"/>
  <c r="L407" i="18"/>
  <c r="L363" i="18"/>
  <c r="L319" i="18"/>
  <c r="L275" i="18"/>
  <c r="L385" i="18"/>
  <c r="L341" i="18"/>
  <c r="L297" i="18"/>
  <c r="L253" i="18"/>
  <c r="X386" i="18"/>
  <c r="X342" i="18"/>
  <c r="X298" i="18"/>
  <c r="X254" i="18"/>
  <c r="X408" i="18"/>
  <c r="X364" i="18"/>
  <c r="X320" i="18"/>
  <c r="X276" i="18"/>
  <c r="Z408" i="18"/>
  <c r="Z364" i="18"/>
  <c r="Z320" i="18"/>
  <c r="Z276" i="18"/>
  <c r="Z298" i="18"/>
  <c r="Z254" i="18"/>
  <c r="Z342" i="18"/>
  <c r="Z386" i="18"/>
  <c r="AB408" i="18"/>
  <c r="AB364" i="18"/>
  <c r="AB320" i="18"/>
  <c r="AB276" i="18"/>
  <c r="AB386" i="18"/>
  <c r="AB342" i="18"/>
  <c r="AB298" i="18"/>
  <c r="AB254" i="18"/>
  <c r="AF386" i="18"/>
  <c r="AF342" i="18"/>
  <c r="AF298" i="18"/>
  <c r="AF254" i="18"/>
  <c r="AF408" i="18"/>
  <c r="AF364" i="18"/>
  <c r="AF320" i="18"/>
  <c r="AF276" i="18"/>
  <c r="AA408" i="18"/>
  <c r="AA364" i="18"/>
  <c r="AA320" i="18"/>
  <c r="AA276" i="18"/>
  <c r="AA386" i="18"/>
  <c r="AA298" i="18"/>
  <c r="AA254" i="18"/>
  <c r="AA342" i="18"/>
  <c r="R407" i="18"/>
  <c r="R363" i="18"/>
  <c r="R319" i="18"/>
  <c r="R275" i="18"/>
  <c r="R385" i="18"/>
  <c r="R341" i="18"/>
  <c r="R253" i="18"/>
  <c r="R297" i="18"/>
  <c r="X385" i="18"/>
  <c r="X341" i="18"/>
  <c r="X297" i="18"/>
  <c r="X253" i="18"/>
  <c r="X407" i="18"/>
  <c r="X363" i="18"/>
  <c r="X319" i="18"/>
  <c r="X275" i="18"/>
  <c r="W386" i="18"/>
  <c r="W342" i="18"/>
  <c r="W298" i="18"/>
  <c r="W254" i="18"/>
  <c r="W408" i="18"/>
  <c r="W276" i="18"/>
  <c r="W320" i="18"/>
  <c r="W364" i="18"/>
  <c r="N386" i="18"/>
  <c r="N342" i="18"/>
  <c r="N298" i="18"/>
  <c r="N254" i="18"/>
  <c r="N408" i="18"/>
  <c r="N364" i="18"/>
  <c r="N320" i="18"/>
  <c r="N276" i="18"/>
  <c r="R408" i="18"/>
  <c r="R364" i="18"/>
  <c r="R320" i="18"/>
  <c r="R276" i="18"/>
  <c r="R298" i="18"/>
  <c r="R386" i="18"/>
  <c r="R342" i="18"/>
  <c r="R254" i="18"/>
  <c r="N385" i="18"/>
  <c r="N341" i="18"/>
  <c r="N297" i="18"/>
  <c r="N253" i="18"/>
  <c r="N407" i="18"/>
  <c r="N275" i="18"/>
  <c r="N319" i="18"/>
  <c r="N363" i="18"/>
  <c r="AE385" i="18"/>
  <c r="AE341" i="18"/>
  <c r="AE297" i="18"/>
  <c r="AE253" i="18"/>
  <c r="AE407" i="18"/>
  <c r="AE363" i="18"/>
  <c r="AE275" i="18"/>
  <c r="AE319" i="18"/>
  <c r="AG385" i="18"/>
  <c r="AG341" i="18"/>
  <c r="AG407" i="18"/>
  <c r="AG363" i="18"/>
  <c r="AG319" i="18"/>
  <c r="AG275" i="18"/>
  <c r="AG297" i="18"/>
  <c r="AG253" i="18"/>
  <c r="K407" i="18"/>
  <c r="K363" i="18"/>
  <c r="K319" i="18"/>
  <c r="K275" i="18"/>
  <c r="K385" i="18"/>
  <c r="K253" i="18"/>
  <c r="K341" i="18"/>
  <c r="K297" i="18"/>
  <c r="V386" i="18"/>
  <c r="V342" i="18"/>
  <c r="V298" i="18"/>
  <c r="V254" i="18"/>
  <c r="V276" i="18"/>
  <c r="V320" i="18"/>
  <c r="V364" i="18"/>
  <c r="V408" i="18"/>
  <c r="AD385" i="18"/>
  <c r="AD341" i="18"/>
  <c r="AD297" i="18"/>
  <c r="AD253" i="18"/>
  <c r="AD407" i="18"/>
  <c r="AD319" i="18"/>
  <c r="AD363" i="18"/>
  <c r="AD275" i="18"/>
  <c r="Y386" i="18"/>
  <c r="Y342" i="18"/>
  <c r="Y298" i="18"/>
  <c r="Y408" i="18"/>
  <c r="Y364" i="18"/>
  <c r="Y320" i="18"/>
  <c r="Y276" i="18"/>
  <c r="Y254" i="18"/>
  <c r="K408" i="18"/>
  <c r="K364" i="18"/>
  <c r="K320" i="18"/>
  <c r="K276" i="18"/>
  <c r="K386" i="18"/>
  <c r="K254" i="18"/>
  <c r="K342" i="18"/>
  <c r="K298" i="18"/>
  <c r="U407" i="18"/>
  <c r="U363" i="18"/>
  <c r="U319" i="18"/>
  <c r="U385" i="18"/>
  <c r="U341" i="18"/>
  <c r="U297" i="18"/>
  <c r="U253" i="18"/>
  <c r="U275" i="18"/>
  <c r="Y385" i="18"/>
  <c r="Y341" i="18"/>
  <c r="Y407" i="18"/>
  <c r="Y363" i="18"/>
  <c r="Y319" i="18"/>
  <c r="Y275" i="18"/>
  <c r="Y297" i="18"/>
  <c r="Y253" i="18"/>
  <c r="S408" i="18"/>
  <c r="S364" i="18"/>
  <c r="S320" i="18"/>
  <c r="S276" i="18"/>
  <c r="S386" i="18"/>
  <c r="S298" i="18"/>
  <c r="S342" i="18"/>
  <c r="S254" i="18"/>
  <c r="T407" i="18"/>
  <c r="T363" i="18"/>
  <c r="T319" i="18"/>
  <c r="T275" i="18"/>
  <c r="T385" i="18"/>
  <c r="T341" i="18"/>
  <c r="T297" i="18"/>
  <c r="T253" i="18"/>
  <c r="V385" i="18"/>
  <c r="V341" i="18"/>
  <c r="V297" i="18"/>
  <c r="V253" i="18"/>
  <c r="V407" i="18"/>
  <c r="V319" i="18"/>
  <c r="V363" i="18"/>
  <c r="V275" i="18"/>
  <c r="AB407" i="18"/>
  <c r="AB363" i="18"/>
  <c r="AB319" i="18"/>
  <c r="AB275" i="18"/>
  <c r="AB385" i="18"/>
  <c r="AB341" i="18"/>
  <c r="AB297" i="18"/>
  <c r="AB253" i="18"/>
  <c r="W407" i="18"/>
  <c r="W385" i="18"/>
  <c r="W341" i="18"/>
  <c r="W297" i="18"/>
  <c r="W253" i="18"/>
  <c r="W319" i="18"/>
  <c r="W363" i="18"/>
  <c r="W275" i="18"/>
  <c r="T408" i="18"/>
  <c r="T364" i="18"/>
  <c r="T320" i="18"/>
  <c r="T276" i="18"/>
  <c r="T386" i="18"/>
  <c r="T342" i="18"/>
  <c r="T298" i="18"/>
  <c r="T254" i="18"/>
  <c r="M407" i="18"/>
  <c r="M363" i="18"/>
  <c r="M319" i="18"/>
  <c r="M385" i="18"/>
  <c r="M341" i="18"/>
  <c r="M297" i="18"/>
  <c r="M253" i="18"/>
  <c r="M275" i="18"/>
  <c r="P385" i="18"/>
  <c r="P341" i="18"/>
  <c r="P297" i="18"/>
  <c r="P253" i="18"/>
  <c r="P407" i="18"/>
  <c r="P363" i="18"/>
  <c r="P319" i="18"/>
  <c r="P275" i="18"/>
  <c r="M408" i="18"/>
  <c r="M364" i="18"/>
  <c r="M320" i="18"/>
  <c r="M386" i="18"/>
  <c r="M342" i="18"/>
  <c r="M298" i="18"/>
  <c r="M254" i="18"/>
  <c r="M276" i="18"/>
  <c r="AA407" i="18"/>
  <c r="AA363" i="18"/>
  <c r="AA319" i="18"/>
  <c r="AA275" i="18"/>
  <c r="AA385" i="18"/>
  <c r="AA341" i="18"/>
  <c r="AA297" i="18"/>
  <c r="AA253" i="18"/>
  <c r="AE386" i="18"/>
  <c r="AE342" i="18"/>
  <c r="AE298" i="18"/>
  <c r="AE254" i="18"/>
  <c r="AE408" i="18"/>
  <c r="AE320" i="18"/>
  <c r="AE364" i="18"/>
  <c r="AE276" i="18"/>
  <c r="U408" i="18"/>
  <c r="U364" i="18"/>
  <c r="U320" i="18"/>
  <c r="U386" i="18"/>
  <c r="U342" i="18"/>
  <c r="U298" i="18"/>
  <c r="U254" i="18"/>
  <c r="U276" i="18"/>
  <c r="L408" i="18"/>
  <c r="L364" i="18"/>
  <c r="L320" i="18"/>
  <c r="L276" i="18"/>
  <c r="L386" i="18"/>
  <c r="L342" i="18"/>
  <c r="L298" i="18"/>
  <c r="L254" i="18"/>
  <c r="P386" i="18"/>
  <c r="P342" i="18"/>
  <c r="P298" i="18"/>
  <c r="P254" i="18"/>
  <c r="P408" i="18"/>
  <c r="P364" i="18"/>
  <c r="P320" i="18"/>
  <c r="P276" i="18"/>
  <c r="O385" i="18"/>
  <c r="O341" i="18"/>
  <c r="O297" i="18"/>
  <c r="O253" i="18"/>
  <c r="O407" i="18"/>
  <c r="O275" i="18"/>
  <c r="O319" i="18"/>
  <c r="O363" i="18"/>
  <c r="Q385" i="18"/>
  <c r="Q341" i="18"/>
  <c r="Q407" i="18"/>
  <c r="Q363" i="18"/>
  <c r="Q319" i="18"/>
  <c r="Q275" i="18"/>
  <c r="Q297" i="18"/>
  <c r="Q253" i="18"/>
  <c r="S385" i="18"/>
  <c r="S407" i="18"/>
  <c r="S363" i="18"/>
  <c r="S319" i="18"/>
  <c r="S275" i="18"/>
  <c r="S341" i="18"/>
  <c r="S297" i="18"/>
  <c r="S253" i="18"/>
  <c r="AC407" i="18"/>
  <c r="AC363" i="18"/>
  <c r="AC319" i="18"/>
  <c r="AC385" i="18"/>
  <c r="AC341" i="18"/>
  <c r="AC297" i="18"/>
  <c r="AC253" i="18"/>
  <c r="AC275" i="18"/>
  <c r="AD386" i="18"/>
  <c r="AD342" i="18"/>
  <c r="AD298" i="18"/>
  <c r="AD254" i="18"/>
  <c r="AD320" i="18"/>
  <c r="AD364" i="18"/>
  <c r="AD408" i="18"/>
  <c r="AD276" i="18"/>
  <c r="AF385" i="18"/>
  <c r="AF341" i="18"/>
  <c r="AF297" i="18"/>
  <c r="AF253" i="18"/>
  <c r="AF407" i="18"/>
  <c r="AF363" i="18"/>
  <c r="AF319" i="18"/>
  <c r="AF275" i="18"/>
  <c r="Z407" i="18"/>
  <c r="Z363" i="18"/>
  <c r="Z319" i="18"/>
  <c r="Z275" i="18"/>
  <c r="Z341" i="18"/>
  <c r="Z297" i="18"/>
  <c r="Z253" i="18"/>
  <c r="Z385" i="18"/>
  <c r="AC408" i="18"/>
  <c r="AC364" i="18"/>
  <c r="AC320" i="18"/>
  <c r="AC386" i="18"/>
  <c r="AC342" i="18"/>
  <c r="AC298" i="18"/>
  <c r="AC254" i="18"/>
  <c r="AC276" i="18"/>
  <c r="O386" i="18"/>
  <c r="O342" i="18"/>
  <c r="O298" i="18"/>
  <c r="O254" i="18"/>
  <c r="O408" i="18"/>
  <c r="O320" i="18"/>
  <c r="O276" i="18"/>
  <c r="O364" i="18"/>
  <c r="Q386" i="18"/>
  <c r="Q342" i="18"/>
  <c r="Q408" i="18"/>
  <c r="Q364" i="18"/>
  <c r="Q320" i="18"/>
  <c r="Q276" i="18"/>
  <c r="Q254" i="18"/>
  <c r="Q298" i="18"/>
  <c r="J298" i="18"/>
  <c r="J320" i="18"/>
  <c r="J342" i="18"/>
  <c r="J364" i="18"/>
  <c r="J386" i="18"/>
  <c r="J408" i="18"/>
  <c r="J254" i="18"/>
  <c r="J276" i="18"/>
  <c r="J275" i="18"/>
  <c r="J297" i="18"/>
  <c r="J319" i="18"/>
  <c r="J341" i="18"/>
  <c r="J363" i="18"/>
  <c r="J385" i="18"/>
  <c r="J253" i="18"/>
  <c r="J407" i="18"/>
  <c r="G69" i="48"/>
  <c r="AH171" i="18"/>
  <c r="AH83" i="18"/>
  <c r="AH149" i="18"/>
  <c r="AH61" i="18"/>
  <c r="AH127" i="18"/>
  <c r="AH39" i="18"/>
  <c r="AH193" i="18"/>
  <c r="AH105" i="18"/>
  <c r="K149" i="18"/>
  <c r="K171" i="18"/>
  <c r="K83" i="18"/>
  <c r="K105" i="18"/>
  <c r="K193" i="18"/>
  <c r="K61" i="18"/>
  <c r="K127" i="18"/>
  <c r="K39" i="18"/>
  <c r="Y105" i="18"/>
  <c r="Y127" i="18"/>
  <c r="Y39" i="18"/>
  <c r="Y83" i="18"/>
  <c r="Y193" i="18"/>
  <c r="Y149" i="18"/>
  <c r="Y61" i="18"/>
  <c r="Y171" i="18"/>
  <c r="M193" i="18"/>
  <c r="M39" i="18"/>
  <c r="M127" i="18"/>
  <c r="M149" i="18"/>
  <c r="M105" i="18"/>
  <c r="M171" i="18"/>
  <c r="M61" i="18"/>
  <c r="M83" i="18"/>
  <c r="Z127" i="18"/>
  <c r="Z149" i="18"/>
  <c r="Z61" i="18"/>
  <c r="Z83" i="18"/>
  <c r="Z193" i="18"/>
  <c r="Z105" i="18"/>
  <c r="Z39" i="18"/>
  <c r="Z171" i="18"/>
  <c r="AC193" i="18"/>
  <c r="AC39" i="18"/>
  <c r="AC127" i="18"/>
  <c r="AC149" i="18"/>
  <c r="AC105" i="18"/>
  <c r="AC83" i="18"/>
  <c r="AC171" i="18"/>
  <c r="AC61" i="18"/>
  <c r="R127" i="18"/>
  <c r="R149" i="18"/>
  <c r="R61" i="18"/>
  <c r="R83" i="18"/>
  <c r="R171" i="18"/>
  <c r="R39" i="18"/>
  <c r="R105" i="18"/>
  <c r="R193" i="18"/>
  <c r="W61" i="18"/>
  <c r="W83" i="18"/>
  <c r="W171" i="18"/>
  <c r="W193" i="18"/>
  <c r="W127" i="18"/>
  <c r="W149" i="18"/>
  <c r="W105" i="18"/>
  <c r="W39" i="18"/>
  <c r="L171" i="18"/>
  <c r="L193" i="18"/>
  <c r="L105" i="18"/>
  <c r="L127" i="18"/>
  <c r="L83" i="18"/>
  <c r="L149" i="18"/>
  <c r="L39" i="18"/>
  <c r="L61" i="18"/>
  <c r="S149" i="18"/>
  <c r="S171" i="18"/>
  <c r="S83" i="18"/>
  <c r="S105" i="18"/>
  <c r="S127" i="18"/>
  <c r="S61" i="18"/>
  <c r="S193" i="18"/>
  <c r="S39" i="18"/>
  <c r="AB171" i="18"/>
  <c r="AB193" i="18"/>
  <c r="AB105" i="18"/>
  <c r="AB127" i="18"/>
  <c r="AB83" i="18"/>
  <c r="AB149" i="18"/>
  <c r="AB39" i="18"/>
  <c r="AB61" i="18"/>
  <c r="O61" i="18"/>
  <c r="O83" i="18"/>
  <c r="O171" i="18"/>
  <c r="O193" i="18"/>
  <c r="O149" i="18"/>
  <c r="O105" i="18"/>
  <c r="O39" i="18"/>
  <c r="O127" i="18"/>
  <c r="Q105" i="18"/>
  <c r="Q127" i="18"/>
  <c r="Q39" i="18"/>
  <c r="Q171" i="18"/>
  <c r="Q193" i="18"/>
  <c r="Q149" i="18"/>
  <c r="Q61" i="18"/>
  <c r="Q83" i="18"/>
  <c r="P83" i="18"/>
  <c r="P105" i="18"/>
  <c r="P193" i="18"/>
  <c r="P39" i="18"/>
  <c r="P171" i="18"/>
  <c r="P149" i="18"/>
  <c r="P127" i="18"/>
  <c r="P61" i="18"/>
  <c r="AD39" i="18"/>
  <c r="AD61" i="18"/>
  <c r="AD149" i="18"/>
  <c r="AD171" i="18"/>
  <c r="AD105" i="18"/>
  <c r="AD127" i="18"/>
  <c r="AD83" i="18"/>
  <c r="AD193" i="18"/>
  <c r="AE61" i="18"/>
  <c r="AE83" i="18"/>
  <c r="AE171" i="18"/>
  <c r="AE193" i="18"/>
  <c r="AE149" i="18"/>
  <c r="AE105" i="18"/>
  <c r="AE39" i="18"/>
  <c r="AE127" i="18"/>
  <c r="AG105" i="18"/>
  <c r="AG127" i="18"/>
  <c r="AG39" i="18"/>
  <c r="AG61" i="18"/>
  <c r="AG171" i="18"/>
  <c r="AG83" i="18"/>
  <c r="AG193" i="18"/>
  <c r="AG149" i="18"/>
  <c r="T171" i="18"/>
  <c r="T193" i="18"/>
  <c r="T105" i="18"/>
  <c r="T127" i="18"/>
  <c r="T39" i="18"/>
  <c r="T61" i="18"/>
  <c r="T83" i="18"/>
  <c r="T149" i="18"/>
  <c r="U193" i="18"/>
  <c r="U39" i="18"/>
  <c r="U127" i="18"/>
  <c r="U149" i="18"/>
  <c r="U61" i="18"/>
  <c r="U105" i="18"/>
  <c r="U83" i="18"/>
  <c r="U171" i="18"/>
  <c r="N39" i="18"/>
  <c r="N61" i="18"/>
  <c r="N149" i="18"/>
  <c r="N171" i="18"/>
  <c r="N105" i="18"/>
  <c r="N127" i="18"/>
  <c r="N83" i="18"/>
  <c r="N193" i="18"/>
  <c r="AF83" i="18"/>
  <c r="AF105" i="18"/>
  <c r="AF193" i="18"/>
  <c r="AF171" i="18"/>
  <c r="AF61" i="18"/>
  <c r="AF127" i="18"/>
  <c r="AF39" i="18"/>
  <c r="AF149" i="18"/>
  <c r="AA149" i="18"/>
  <c r="AA171" i="18"/>
  <c r="AA83" i="18"/>
  <c r="AA105" i="18"/>
  <c r="AA193" i="18"/>
  <c r="AA39" i="18"/>
  <c r="AA61" i="18"/>
  <c r="AA127" i="18"/>
  <c r="V39" i="18"/>
  <c r="V61" i="18"/>
  <c r="V149" i="18"/>
  <c r="V171" i="18"/>
  <c r="V127" i="18"/>
  <c r="V83" i="18"/>
  <c r="V193" i="18"/>
  <c r="V105" i="18"/>
  <c r="X83" i="18"/>
  <c r="X105" i="18"/>
  <c r="X193" i="18"/>
  <c r="X127" i="18"/>
  <c r="X61" i="18"/>
  <c r="X149" i="18"/>
  <c r="X39" i="18"/>
  <c r="X171" i="18"/>
  <c r="J171" i="18"/>
  <c r="J83" i="18"/>
  <c r="J149" i="18"/>
  <c r="J61" i="18"/>
  <c r="J127" i="18"/>
  <c r="J39" i="18"/>
  <c r="J105" i="18"/>
  <c r="J193" i="18"/>
  <c r="AH145" i="18"/>
  <c r="AH123" i="18"/>
  <c r="AH101" i="18"/>
  <c r="AH57" i="18"/>
  <c r="AH189" i="18"/>
  <c r="AH79" i="18"/>
  <c r="AH167" i="18"/>
  <c r="AH35" i="18"/>
  <c r="AH78" i="18"/>
  <c r="AH166" i="18"/>
  <c r="AH144" i="18"/>
  <c r="AH100" i="18"/>
  <c r="AH122" i="18"/>
  <c r="AH34" i="18"/>
  <c r="AH188" i="18"/>
  <c r="AH56" i="18"/>
  <c r="AH58" i="18"/>
  <c r="AH36" i="18"/>
  <c r="AH146" i="18"/>
  <c r="AH124" i="18"/>
  <c r="AH190" i="18"/>
  <c r="AH168" i="18"/>
  <c r="AH102" i="18"/>
  <c r="AH80" i="18"/>
  <c r="I124" i="18"/>
  <c r="I58" i="18"/>
  <c r="I168" i="18"/>
  <c r="I102" i="18"/>
  <c r="I36" i="18"/>
  <c r="I146" i="18"/>
  <c r="I80" i="18"/>
  <c r="I190" i="18"/>
  <c r="I35" i="18"/>
  <c r="I189" i="18"/>
  <c r="I145" i="18"/>
  <c r="I101" i="18"/>
  <c r="I57" i="18"/>
  <c r="I79" i="18"/>
  <c r="I167" i="18"/>
  <c r="I123" i="18"/>
  <c r="I144" i="18"/>
  <c r="I56" i="18"/>
  <c r="I188" i="18"/>
  <c r="I100" i="18"/>
  <c r="I166" i="18"/>
  <c r="I78" i="18"/>
  <c r="I34" i="18"/>
  <c r="I122" i="18"/>
  <c r="AB387" i="72"/>
  <c r="T387" i="72"/>
  <c r="L387" i="72"/>
  <c r="AC387" i="72"/>
  <c r="U387" i="72"/>
  <c r="M387" i="72"/>
  <c r="AD387" i="72"/>
  <c r="V387" i="72"/>
  <c r="N387" i="72"/>
  <c r="AE387" i="72"/>
  <c r="W387" i="72"/>
  <c r="O387" i="72"/>
  <c r="AF387" i="72"/>
  <c r="X387" i="72"/>
  <c r="P387" i="72"/>
  <c r="AG387" i="72"/>
  <c r="Y387" i="72"/>
  <c r="Q387" i="72"/>
  <c r="I387" i="72"/>
  <c r="AA387" i="72"/>
  <c r="S387" i="72"/>
  <c r="Z387" i="72"/>
  <c r="R387" i="72"/>
  <c r="K387" i="72"/>
  <c r="H387" i="72"/>
  <c r="J387" i="72"/>
  <c r="AE36" i="72"/>
  <c r="W36" i="72"/>
  <c r="O36" i="72"/>
  <c r="AF36" i="72"/>
  <c r="X36" i="72"/>
  <c r="P36" i="72"/>
  <c r="H36" i="72"/>
  <c r="AG36" i="72"/>
  <c r="Y36" i="72"/>
  <c r="Q36" i="72"/>
  <c r="I36" i="72"/>
  <c r="Z36" i="72"/>
  <c r="R36" i="72"/>
  <c r="J36" i="72"/>
  <c r="AA36" i="72"/>
  <c r="S36" i="72"/>
  <c r="AB36" i="72"/>
  <c r="T36" i="72"/>
  <c r="L36" i="72"/>
  <c r="AD36" i="72"/>
  <c r="V36" i="72"/>
  <c r="N36" i="72"/>
  <c r="K36" i="72"/>
  <c r="M36" i="72"/>
  <c r="AC36" i="72"/>
  <c r="U36" i="72"/>
  <c r="AG384" i="72"/>
  <c r="Y384" i="72"/>
  <c r="Q384" i="72"/>
  <c r="I384" i="72"/>
  <c r="Z384" i="72"/>
  <c r="R384" i="72"/>
  <c r="J384" i="72"/>
  <c r="AA384" i="72"/>
  <c r="S384" i="72"/>
  <c r="K384" i="72"/>
  <c r="AB384" i="72"/>
  <c r="T384" i="72"/>
  <c r="L384" i="72"/>
  <c r="AC384" i="72"/>
  <c r="U384" i="72"/>
  <c r="AD384" i="72"/>
  <c r="V384" i="72"/>
  <c r="N384" i="72"/>
  <c r="AF384" i="72"/>
  <c r="X384" i="72"/>
  <c r="P384" i="72"/>
  <c r="M384" i="72"/>
  <c r="AE384" i="72"/>
  <c r="W384" i="72"/>
  <c r="O384" i="72"/>
  <c r="H384" i="72"/>
  <c r="AB211" i="72"/>
  <c r="T211" i="72"/>
  <c r="L211" i="72"/>
  <c r="AC211" i="72"/>
  <c r="U211" i="72"/>
  <c r="M211" i="72"/>
  <c r="AD211" i="72"/>
  <c r="V211" i="72"/>
  <c r="N211" i="72"/>
  <c r="AE211" i="72"/>
  <c r="W211" i="72"/>
  <c r="O211" i="72"/>
  <c r="AF211" i="72"/>
  <c r="X211" i="72"/>
  <c r="P211" i="72"/>
  <c r="AG211" i="72"/>
  <c r="Y211" i="72"/>
  <c r="Q211" i="72"/>
  <c r="I211" i="72"/>
  <c r="AA211" i="72"/>
  <c r="S211" i="72"/>
  <c r="J211" i="72"/>
  <c r="Z211" i="72"/>
  <c r="R211" i="72"/>
  <c r="H211" i="72"/>
  <c r="K211" i="72"/>
  <c r="AG38" i="72"/>
  <c r="Y38" i="72"/>
  <c r="Q38" i="72"/>
  <c r="I38" i="72"/>
  <c r="Z38" i="72"/>
  <c r="R38" i="72"/>
  <c r="J38" i="72"/>
  <c r="AA38" i="72"/>
  <c r="S38" i="72"/>
  <c r="K38" i="72"/>
  <c r="AB38" i="72"/>
  <c r="T38" i="72"/>
  <c r="L38" i="72"/>
  <c r="AC38" i="72"/>
  <c r="U38" i="72"/>
  <c r="AD38" i="72"/>
  <c r="V38" i="72"/>
  <c r="N38" i="72"/>
  <c r="AF38" i="72"/>
  <c r="X38" i="72"/>
  <c r="P38" i="72"/>
  <c r="AE38" i="72"/>
  <c r="W38" i="72"/>
  <c r="O38" i="72"/>
  <c r="H38" i="72"/>
  <c r="M38" i="72"/>
  <c r="AD198" i="72"/>
  <c r="V198" i="72"/>
  <c r="N198" i="72"/>
  <c r="AE198" i="72"/>
  <c r="W198" i="72"/>
  <c r="O198" i="72"/>
  <c r="AF198" i="72"/>
  <c r="X198" i="72"/>
  <c r="P198" i="72"/>
  <c r="H198" i="72"/>
  <c r="AG198" i="72"/>
  <c r="Y198" i="72"/>
  <c r="Q198" i="72"/>
  <c r="I198" i="72"/>
  <c r="Z198" i="72"/>
  <c r="R198" i="72"/>
  <c r="AA198" i="72"/>
  <c r="S198" i="72"/>
  <c r="K198" i="72"/>
  <c r="AC198" i="72"/>
  <c r="U198" i="72"/>
  <c r="M198" i="72"/>
  <c r="J198" i="72"/>
  <c r="L198" i="72"/>
  <c r="AB198" i="72"/>
  <c r="T198" i="72"/>
  <c r="Z385" i="72"/>
  <c r="R385" i="72"/>
  <c r="J385" i="72"/>
  <c r="AA385" i="72"/>
  <c r="S385" i="72"/>
  <c r="K385" i="72"/>
  <c r="AB385" i="72"/>
  <c r="T385" i="72"/>
  <c r="L385" i="72"/>
  <c r="AC385" i="72"/>
  <c r="U385" i="72"/>
  <c r="M385" i="72"/>
  <c r="AD385" i="72"/>
  <c r="V385" i="72"/>
  <c r="N385" i="72"/>
  <c r="AE385" i="72"/>
  <c r="W385" i="72"/>
  <c r="O385" i="72"/>
  <c r="AG385" i="72"/>
  <c r="Y385" i="72"/>
  <c r="Q385" i="72"/>
  <c r="H385" i="72"/>
  <c r="I385" i="72"/>
  <c r="AF385" i="72"/>
  <c r="X385" i="72"/>
  <c r="P385" i="72"/>
  <c r="AA210" i="72"/>
  <c r="S210" i="72"/>
  <c r="K210" i="72"/>
  <c r="AB210" i="72"/>
  <c r="T210" i="72"/>
  <c r="L210" i="72"/>
  <c r="AC210" i="72"/>
  <c r="U210" i="72"/>
  <c r="M210" i="72"/>
  <c r="AD210" i="72"/>
  <c r="V210" i="72"/>
  <c r="N210" i="72"/>
  <c r="AE210" i="72"/>
  <c r="W210" i="72"/>
  <c r="O210" i="72"/>
  <c r="AF210" i="72"/>
  <c r="X210" i="72"/>
  <c r="P210" i="72"/>
  <c r="H210" i="72"/>
  <c r="Z210" i="72"/>
  <c r="R210" i="72"/>
  <c r="AG210" i="72"/>
  <c r="I210" i="72"/>
  <c r="Q210" i="72"/>
  <c r="J210" i="72"/>
  <c r="Y210" i="72"/>
  <c r="Z39" i="72"/>
  <c r="R39" i="72"/>
  <c r="J39" i="72"/>
  <c r="AA39" i="72"/>
  <c r="S39" i="72"/>
  <c r="K39" i="72"/>
  <c r="AB39" i="72"/>
  <c r="T39" i="72"/>
  <c r="L39" i="72"/>
  <c r="AC39" i="72"/>
  <c r="U39" i="72"/>
  <c r="M39" i="72"/>
  <c r="AD39" i="72"/>
  <c r="V39" i="72"/>
  <c r="AE39" i="72"/>
  <c r="W39" i="72"/>
  <c r="O39" i="72"/>
  <c r="AG39" i="72"/>
  <c r="Y39" i="72"/>
  <c r="Q39" i="72"/>
  <c r="AF39" i="72"/>
  <c r="X39" i="72"/>
  <c r="P39" i="72"/>
  <c r="H39" i="72"/>
  <c r="N39" i="72"/>
  <c r="I39" i="72"/>
  <c r="AC212" i="72"/>
  <c r="U212" i="72"/>
  <c r="M212" i="72"/>
  <c r="AD212" i="72"/>
  <c r="V212" i="72"/>
  <c r="N212" i="72"/>
  <c r="AE212" i="72"/>
  <c r="W212" i="72"/>
  <c r="O212" i="72"/>
  <c r="AF212" i="72"/>
  <c r="X212" i="72"/>
  <c r="P212" i="72"/>
  <c r="AG212" i="72"/>
  <c r="Y212" i="72"/>
  <c r="Q212" i="72"/>
  <c r="Z212" i="72"/>
  <c r="R212" i="72"/>
  <c r="J212" i="72"/>
  <c r="AB212" i="72"/>
  <c r="T212" i="72"/>
  <c r="K212" i="72"/>
  <c r="H212" i="72"/>
  <c r="L212" i="72"/>
  <c r="AA212" i="72"/>
  <c r="S212" i="72"/>
  <c r="I212" i="72"/>
  <c r="AA386" i="72"/>
  <c r="S386" i="72"/>
  <c r="K386" i="72"/>
  <c r="AB386" i="72"/>
  <c r="T386" i="72"/>
  <c r="L386" i="72"/>
  <c r="AC386" i="72"/>
  <c r="U386" i="72"/>
  <c r="M386" i="72"/>
  <c r="AD386" i="72"/>
  <c r="V386" i="72"/>
  <c r="N386" i="72"/>
  <c r="AE386" i="72"/>
  <c r="W386" i="72"/>
  <c r="O386" i="72"/>
  <c r="AF386" i="72"/>
  <c r="X386" i="72"/>
  <c r="P386" i="72"/>
  <c r="H386" i="72"/>
  <c r="Z386" i="72"/>
  <c r="R386" i="72"/>
  <c r="J386" i="72"/>
  <c r="AG386" i="72"/>
  <c r="Y386" i="72"/>
  <c r="Q386" i="72"/>
  <c r="I386" i="72"/>
  <c r="AA40" i="72"/>
  <c r="S40" i="72"/>
  <c r="K40" i="72"/>
  <c r="AB40" i="72"/>
  <c r="T40" i="72"/>
  <c r="L40" i="72"/>
  <c r="AC40" i="72"/>
  <c r="U40" i="72"/>
  <c r="M40" i="72"/>
  <c r="AD40" i="72"/>
  <c r="V40" i="72"/>
  <c r="N40" i="72"/>
  <c r="AE40" i="72"/>
  <c r="W40" i="72"/>
  <c r="O40" i="72"/>
  <c r="AF40" i="72"/>
  <c r="X40" i="72"/>
  <c r="P40" i="72"/>
  <c r="H40" i="72"/>
  <c r="Z40" i="72"/>
  <c r="R40" i="72"/>
  <c r="I40" i="72"/>
  <c r="J40" i="72"/>
  <c r="AG40" i="72"/>
  <c r="Y40" i="72"/>
  <c r="Q40" i="72"/>
  <c r="AC388" i="72"/>
  <c r="U388" i="72"/>
  <c r="M388" i="72"/>
  <c r="AD388" i="72"/>
  <c r="V388" i="72"/>
  <c r="N388" i="72"/>
  <c r="AE388" i="72"/>
  <c r="W388" i="72"/>
  <c r="O388" i="72"/>
  <c r="AF388" i="72"/>
  <c r="X388" i="72"/>
  <c r="P388" i="72"/>
  <c r="H388" i="72"/>
  <c r="AG388" i="72"/>
  <c r="Y388" i="72"/>
  <c r="Q388" i="72"/>
  <c r="Z388" i="72"/>
  <c r="R388" i="72"/>
  <c r="J388" i="72"/>
  <c r="AB388" i="72"/>
  <c r="T388" i="72"/>
  <c r="L388" i="72"/>
  <c r="K388" i="72"/>
  <c r="I388" i="72"/>
  <c r="AA388" i="72"/>
  <c r="S388" i="72"/>
  <c r="AF215" i="72"/>
  <c r="X215" i="72"/>
  <c r="P215" i="72"/>
  <c r="H215" i="72"/>
  <c r="AG215" i="72"/>
  <c r="Y215" i="72"/>
  <c r="Q215" i="72"/>
  <c r="I215" i="72"/>
  <c r="Z215" i="72"/>
  <c r="R215" i="72"/>
  <c r="J215" i="72"/>
  <c r="AA215" i="72"/>
  <c r="S215" i="72"/>
  <c r="K215" i="72"/>
  <c r="AB215" i="72"/>
  <c r="T215" i="72"/>
  <c r="AC215" i="72"/>
  <c r="U215" i="72"/>
  <c r="M215" i="72"/>
  <c r="AE215" i="72"/>
  <c r="W215" i="72"/>
  <c r="O215" i="72"/>
  <c r="L215" i="72"/>
  <c r="V215" i="72"/>
  <c r="N215" i="72"/>
  <c r="AD215" i="72"/>
  <c r="AD389" i="72"/>
  <c r="V389" i="72"/>
  <c r="N389" i="72"/>
  <c r="AE389" i="72"/>
  <c r="W389" i="72"/>
  <c r="O389" i="72"/>
  <c r="AF389" i="72"/>
  <c r="X389" i="72"/>
  <c r="P389" i="72"/>
  <c r="H389" i="72"/>
  <c r="AG389" i="72"/>
  <c r="Y389" i="72"/>
  <c r="Q389" i="72"/>
  <c r="I389" i="72"/>
  <c r="Z389" i="72"/>
  <c r="R389" i="72"/>
  <c r="AA389" i="72"/>
  <c r="S389" i="72"/>
  <c r="K389" i="72"/>
  <c r="AC389" i="72"/>
  <c r="U389" i="72"/>
  <c r="M389" i="72"/>
  <c r="AB389" i="72"/>
  <c r="T389" i="72"/>
  <c r="J389" i="72"/>
  <c r="L389" i="72"/>
  <c r="AB41" i="72"/>
  <c r="T41" i="72"/>
  <c r="L41" i="72"/>
  <c r="AC41" i="72"/>
  <c r="U41" i="72"/>
  <c r="M41" i="72"/>
  <c r="AD41" i="72"/>
  <c r="V41" i="72"/>
  <c r="N41" i="72"/>
  <c r="AE41" i="72"/>
  <c r="W41" i="72"/>
  <c r="O41" i="72"/>
  <c r="AF41" i="72"/>
  <c r="X41" i="72"/>
  <c r="P41" i="72"/>
  <c r="AG41" i="72"/>
  <c r="Y41" i="72"/>
  <c r="Q41" i="72"/>
  <c r="I41" i="72"/>
  <c r="AA41" i="72"/>
  <c r="S41" i="72"/>
  <c r="J41" i="72"/>
  <c r="Z41" i="72"/>
  <c r="R41" i="72"/>
  <c r="K41" i="72"/>
  <c r="H41" i="72"/>
  <c r="AE214" i="72"/>
  <c r="W214" i="72"/>
  <c r="O214" i="72"/>
  <c r="AF214" i="72"/>
  <c r="X214" i="72"/>
  <c r="P214" i="72"/>
  <c r="H214" i="72"/>
  <c r="AG214" i="72"/>
  <c r="Y214" i="72"/>
  <c r="Q214" i="72"/>
  <c r="I214" i="72"/>
  <c r="Z214" i="72"/>
  <c r="R214" i="72"/>
  <c r="J214" i="72"/>
  <c r="AA214" i="72"/>
  <c r="S214" i="72"/>
  <c r="AB214" i="72"/>
  <c r="T214" i="72"/>
  <c r="L214" i="72"/>
  <c r="AD214" i="72"/>
  <c r="V214" i="72"/>
  <c r="N214" i="72"/>
  <c r="AC214" i="72"/>
  <c r="U214" i="72"/>
  <c r="M214" i="72"/>
  <c r="K214" i="72"/>
  <c r="AG23" i="72"/>
  <c r="Y23" i="72"/>
  <c r="Q23" i="72"/>
  <c r="I23" i="72"/>
  <c r="H23" i="72"/>
  <c r="Z23" i="72"/>
  <c r="R23" i="72"/>
  <c r="J23" i="72"/>
  <c r="AA23" i="72"/>
  <c r="S23" i="72"/>
  <c r="K23" i="72"/>
  <c r="AB23" i="72"/>
  <c r="T23" i="72"/>
  <c r="L23" i="72"/>
  <c r="AC23" i="72"/>
  <c r="U23" i="72"/>
  <c r="AD23" i="72"/>
  <c r="V23" i="72"/>
  <c r="N23" i="72"/>
  <c r="AF23" i="72"/>
  <c r="X23" i="72"/>
  <c r="P23" i="72"/>
  <c r="AE23" i="72"/>
  <c r="W23" i="72"/>
  <c r="O23" i="72"/>
  <c r="M23" i="72"/>
  <c r="AF37" i="72"/>
  <c r="X37" i="72"/>
  <c r="P37" i="72"/>
  <c r="H37" i="72"/>
  <c r="AG37" i="72"/>
  <c r="Y37" i="72"/>
  <c r="Q37" i="72"/>
  <c r="I37" i="72"/>
  <c r="Z37" i="72"/>
  <c r="R37" i="72"/>
  <c r="J37" i="72"/>
  <c r="AA37" i="72"/>
  <c r="S37" i="72"/>
  <c r="K37" i="72"/>
  <c r="AB37" i="72"/>
  <c r="T37" i="72"/>
  <c r="AC37" i="72"/>
  <c r="U37" i="72"/>
  <c r="M37" i="72"/>
  <c r="AE37" i="72"/>
  <c r="W37" i="72"/>
  <c r="O37" i="72"/>
  <c r="AD37" i="72"/>
  <c r="V37" i="72"/>
  <c r="N37" i="72"/>
  <c r="L37" i="72"/>
  <c r="AG216" i="72"/>
  <c r="Y216" i="72"/>
  <c r="Q216" i="72"/>
  <c r="I216" i="72"/>
  <c r="Z216" i="72"/>
  <c r="R216" i="72"/>
  <c r="J216" i="72"/>
  <c r="AA216" i="72"/>
  <c r="S216" i="72"/>
  <c r="K216" i="72"/>
  <c r="AB216" i="72"/>
  <c r="T216" i="72"/>
  <c r="L216" i="72"/>
  <c r="AC216" i="72"/>
  <c r="U216" i="72"/>
  <c r="AD216" i="72"/>
  <c r="V216" i="72"/>
  <c r="N216" i="72"/>
  <c r="AF216" i="72"/>
  <c r="X216" i="72"/>
  <c r="P216" i="72"/>
  <c r="M216" i="72"/>
  <c r="AE216" i="72"/>
  <c r="W216" i="72"/>
  <c r="O216" i="72"/>
  <c r="H216" i="72"/>
  <c r="AD213" i="72"/>
  <c r="V213" i="72"/>
  <c r="N213" i="72"/>
  <c r="AE213" i="72"/>
  <c r="W213" i="72"/>
  <c r="O213" i="72"/>
  <c r="AF213" i="72"/>
  <c r="X213" i="72"/>
  <c r="P213" i="72"/>
  <c r="H213" i="72"/>
  <c r="AG213" i="72"/>
  <c r="Y213" i="72"/>
  <c r="Q213" i="72"/>
  <c r="I213" i="72"/>
  <c r="Z213" i="72"/>
  <c r="R213" i="72"/>
  <c r="AA213" i="72"/>
  <c r="S213" i="72"/>
  <c r="K213" i="72"/>
  <c r="AC213" i="72"/>
  <c r="U213" i="72"/>
  <c r="M213" i="72"/>
  <c r="AB213" i="72"/>
  <c r="T213" i="72"/>
  <c r="J213" i="72"/>
  <c r="L213" i="72"/>
  <c r="AD35" i="72"/>
  <c r="V35" i="72"/>
  <c r="N35" i="72"/>
  <c r="AE35" i="72"/>
  <c r="W35" i="72"/>
  <c r="O35" i="72"/>
  <c r="AF35" i="72"/>
  <c r="X35" i="72"/>
  <c r="P35" i="72"/>
  <c r="H35" i="72"/>
  <c r="AG35" i="72"/>
  <c r="Y35" i="72"/>
  <c r="Q35" i="72"/>
  <c r="I35" i="72"/>
  <c r="Z35" i="72"/>
  <c r="R35" i="72"/>
  <c r="AA35" i="72"/>
  <c r="S35" i="72"/>
  <c r="K35" i="72"/>
  <c r="AC35" i="72"/>
  <c r="U35" i="72"/>
  <c r="M35" i="72"/>
  <c r="L35" i="72"/>
  <c r="J35" i="72"/>
  <c r="AB35" i="72"/>
  <c r="T35" i="72"/>
  <c r="AF383" i="72"/>
  <c r="X383" i="72"/>
  <c r="P383" i="72"/>
  <c r="H383" i="72"/>
  <c r="AG383" i="72"/>
  <c r="Y383" i="72"/>
  <c r="Q383" i="72"/>
  <c r="I383" i="72"/>
  <c r="Z383" i="72"/>
  <c r="R383" i="72"/>
  <c r="J383" i="72"/>
  <c r="AA383" i="72"/>
  <c r="S383" i="72"/>
  <c r="K383" i="72"/>
  <c r="AB383" i="72"/>
  <c r="T383" i="72"/>
  <c r="AC383" i="72"/>
  <c r="U383" i="72"/>
  <c r="M383" i="72"/>
  <c r="AE383" i="72"/>
  <c r="W383" i="72"/>
  <c r="O383" i="72"/>
  <c r="AD383" i="72"/>
  <c r="L383" i="72"/>
  <c r="V383" i="72"/>
  <c r="N383" i="72"/>
  <c r="AA371" i="72"/>
  <c r="S371" i="72"/>
  <c r="K371" i="72"/>
  <c r="AB371" i="72"/>
  <c r="T371" i="72"/>
  <c r="L371" i="72"/>
  <c r="AC371" i="72"/>
  <c r="U371" i="72"/>
  <c r="M371" i="72"/>
  <c r="AD371" i="72"/>
  <c r="V371" i="72"/>
  <c r="N371" i="72"/>
  <c r="AE371" i="72"/>
  <c r="W371" i="72"/>
  <c r="O371" i="72"/>
  <c r="AF371" i="72"/>
  <c r="X371" i="72"/>
  <c r="P371" i="72"/>
  <c r="H371" i="72"/>
  <c r="Z371" i="72"/>
  <c r="R371" i="72"/>
  <c r="J371" i="72"/>
  <c r="I371" i="72"/>
  <c r="Y371" i="72"/>
  <c r="AG371" i="72"/>
  <c r="Q371" i="72"/>
  <c r="I70" i="48"/>
  <c r="I69" i="48"/>
  <c r="G66" i="48"/>
  <c r="K69" i="48"/>
  <c r="F66" i="48"/>
  <c r="G65" i="48"/>
  <c r="G64" i="48"/>
  <c r="F65" i="48"/>
  <c r="K70" i="48"/>
  <c r="F64" i="48"/>
  <c r="H43" i="24"/>
  <c r="Q30" i="24" s="1"/>
  <c r="F28" i="16" s="1"/>
  <c r="E157" i="48" s="1"/>
  <c r="B45" i="29"/>
  <c r="AA99" i="72"/>
  <c r="CD19" i="67"/>
  <c r="AE99" i="72"/>
  <c r="CH19" i="67"/>
  <c r="S274" i="72"/>
  <c r="BV39" i="67"/>
  <c r="J99" i="72"/>
  <c r="BM19" i="67"/>
  <c r="AE274" i="72"/>
  <c r="CH39" i="67"/>
  <c r="Y99" i="72"/>
  <c r="CB19" i="67"/>
  <c r="O99" i="72"/>
  <c r="BR19" i="67"/>
  <c r="O274" i="72"/>
  <c r="BR39" i="67"/>
  <c r="I99" i="72"/>
  <c r="BL19" i="67"/>
  <c r="AD99" i="72"/>
  <c r="CG19" i="67"/>
  <c r="AC274" i="72"/>
  <c r="CF39" i="67"/>
  <c r="N99" i="72"/>
  <c r="BQ19" i="67"/>
  <c r="N274" i="72"/>
  <c r="BQ39" i="67"/>
  <c r="T274" i="72"/>
  <c r="BW39" i="67"/>
  <c r="M274" i="72"/>
  <c r="BP39" i="67"/>
  <c r="X99" i="72"/>
  <c r="CA19" i="67"/>
  <c r="AC99" i="72"/>
  <c r="CF19" i="67"/>
  <c r="AB274" i="72"/>
  <c r="CE39" i="67"/>
  <c r="M99" i="72"/>
  <c r="BP19" i="67"/>
  <c r="L274" i="72"/>
  <c r="BO39" i="67"/>
  <c r="W99" i="72"/>
  <c r="BZ19" i="67"/>
  <c r="AB99" i="72"/>
  <c r="CE19" i="67"/>
  <c r="U274" i="72"/>
  <c r="BX39" i="67"/>
  <c r="AA274" i="72"/>
  <c r="CD39" i="67"/>
  <c r="V99" i="72"/>
  <c r="BY19" i="67"/>
  <c r="L99" i="72"/>
  <c r="BO19" i="67"/>
  <c r="P274" i="72"/>
  <c r="BS39" i="67"/>
  <c r="V274" i="72"/>
  <c r="BY39" i="67"/>
  <c r="K274" i="72"/>
  <c r="BN39" i="67"/>
  <c r="U99" i="72"/>
  <c r="BX19" i="67"/>
  <c r="W274" i="72"/>
  <c r="BZ39" i="67"/>
  <c r="Z274" i="72"/>
  <c r="CC39" i="67"/>
  <c r="T99" i="72"/>
  <c r="BW19" i="67"/>
  <c r="AD274" i="72"/>
  <c r="CG39" i="67"/>
  <c r="Z99" i="72"/>
  <c r="CC19" i="67"/>
  <c r="J274" i="72"/>
  <c r="BM39" i="67"/>
  <c r="K99" i="72"/>
  <c r="BN19" i="67"/>
  <c r="S99" i="72"/>
  <c r="BV19" i="67"/>
  <c r="H274" i="72"/>
  <c r="BK39" i="67"/>
  <c r="R99" i="72"/>
  <c r="BU19" i="67"/>
  <c r="H99" i="72"/>
  <c r="BK19" i="67"/>
  <c r="Q274" i="72"/>
  <c r="BT39" i="67"/>
  <c r="Y274" i="72"/>
  <c r="CB39" i="67"/>
  <c r="AG99" i="72"/>
  <c r="CJ19" i="67"/>
  <c r="AF274" i="72"/>
  <c r="CI39" i="67"/>
  <c r="CJ39" i="67"/>
  <c r="I274" i="72"/>
  <c r="BL39" i="67"/>
  <c r="Q99" i="72"/>
  <c r="BT19" i="67"/>
  <c r="P99" i="72"/>
  <c r="BS19" i="67"/>
  <c r="X274" i="72"/>
  <c r="CA39" i="67"/>
  <c r="AF99" i="72"/>
  <c r="CI19" i="67"/>
  <c r="R274" i="72"/>
  <c r="BU39" i="67"/>
  <c r="B12" i="29"/>
  <c r="B11" i="29"/>
  <c r="B10" i="29"/>
  <c r="S101" i="59"/>
  <c r="AX101" i="59" s="1"/>
  <c r="H120" i="72" s="1"/>
  <c r="S110" i="59"/>
  <c r="BC110" i="59" s="1"/>
  <c r="M284" i="72" s="1"/>
  <c r="S133" i="59"/>
  <c r="S141" i="59"/>
  <c r="AX141" i="59" s="1"/>
  <c r="H468" i="72" s="1"/>
  <c r="S113" i="59"/>
  <c r="S134" i="59"/>
  <c r="AX134" i="59" s="1"/>
  <c r="H461" i="72" s="1"/>
  <c r="S111" i="59"/>
  <c r="S135" i="59"/>
  <c r="AX135" i="59" s="1"/>
  <c r="H462" i="72" s="1"/>
  <c r="S142" i="59"/>
  <c r="AX142" i="59" s="1"/>
  <c r="H469" i="72" s="1"/>
  <c r="S95" i="59"/>
  <c r="S104" i="59"/>
  <c r="AX104" i="59" s="1"/>
  <c r="H123" i="72" s="1"/>
  <c r="S112" i="59"/>
  <c r="S121" i="59"/>
  <c r="AX121" i="59" s="1"/>
  <c r="H295" i="72" s="1"/>
  <c r="S136" i="59"/>
  <c r="AX136" i="59" s="1"/>
  <c r="H463" i="72" s="1"/>
  <c r="S143" i="59"/>
  <c r="AX143" i="59" s="1"/>
  <c r="H470" i="72" s="1"/>
  <c r="S96" i="59"/>
  <c r="S105" i="59"/>
  <c r="AX105" i="59" s="1"/>
  <c r="H124" i="72" s="1"/>
  <c r="S114" i="59"/>
  <c r="S137" i="59"/>
  <c r="AX137" i="59" s="1"/>
  <c r="H464" i="72" s="1"/>
  <c r="S98" i="59"/>
  <c r="S107" i="59"/>
  <c r="AX107" i="59" s="1"/>
  <c r="H126" i="72" s="1"/>
  <c r="S109" i="59"/>
  <c r="BL109" i="59" s="1"/>
  <c r="V283" i="72" s="1"/>
  <c r="S93" i="59"/>
  <c r="S97" i="59"/>
  <c r="S102" i="59"/>
  <c r="AX102" i="59" s="1"/>
  <c r="H121" i="72" s="1"/>
  <c r="S140" i="59"/>
  <c r="AX140" i="59" s="1"/>
  <c r="H467" i="72" s="1"/>
  <c r="S94" i="59"/>
  <c r="S103" i="59"/>
  <c r="AX103" i="59" s="1"/>
  <c r="H122" i="72" s="1"/>
  <c r="S106" i="59"/>
  <c r="AX106" i="59" s="1"/>
  <c r="H125" i="72" s="1"/>
  <c r="S92" i="59"/>
  <c r="S132" i="59"/>
  <c r="S144" i="59"/>
  <c r="AX144" i="59" s="1"/>
  <c r="H471" i="72" s="1"/>
  <c r="S115" i="59"/>
  <c r="S122" i="59"/>
  <c r="AX122" i="59" s="1"/>
  <c r="H296" i="72" s="1"/>
  <c r="S138" i="59"/>
  <c r="AX138" i="59" s="1"/>
  <c r="H465" i="72" s="1"/>
  <c r="S145" i="59"/>
  <c r="AX145" i="59" s="1"/>
  <c r="H472" i="72" s="1"/>
  <c r="S116" i="59"/>
  <c r="AX116" i="59" s="1"/>
  <c r="H290" i="72" s="1"/>
  <c r="S123" i="59"/>
  <c r="AX123" i="59" s="1"/>
  <c r="H297" i="72" s="1"/>
  <c r="S146" i="59"/>
  <c r="AX146" i="59" s="1"/>
  <c r="H473" i="72" s="1"/>
  <c r="S117" i="59"/>
  <c r="AX117" i="59" s="1"/>
  <c r="H291" i="72" s="1"/>
  <c r="S124" i="59"/>
  <c r="AX124" i="59" s="1"/>
  <c r="H298" i="72" s="1"/>
  <c r="S147" i="59"/>
  <c r="AX147" i="59" s="1"/>
  <c r="H474" i="72" s="1"/>
  <c r="S118" i="59"/>
  <c r="AX118" i="59" s="1"/>
  <c r="H292" i="72" s="1"/>
  <c r="S125" i="59"/>
  <c r="AX125" i="59" s="1"/>
  <c r="H299" i="72" s="1"/>
  <c r="S126" i="59"/>
  <c r="AX126" i="59" s="1"/>
  <c r="H300" i="72" s="1"/>
  <c r="S127" i="59"/>
  <c r="AX127" i="59" s="1"/>
  <c r="H301" i="72" s="1"/>
  <c r="S139" i="59"/>
  <c r="AX139" i="59" s="1"/>
  <c r="H466" i="72" s="1"/>
  <c r="S88" i="59"/>
  <c r="AX88" i="59" s="1"/>
  <c r="H107" i="72" s="1"/>
  <c r="S128" i="59"/>
  <c r="BS128" i="59" s="1"/>
  <c r="AC455" i="72" s="1"/>
  <c r="S89" i="59"/>
  <c r="AY89" i="59" s="1"/>
  <c r="I108" i="72" s="1"/>
  <c r="S129" i="59"/>
  <c r="BI129" i="59" s="1"/>
  <c r="S456" i="72" s="1"/>
  <c r="S119" i="59"/>
  <c r="AX119" i="59" s="1"/>
  <c r="H293" i="72" s="1"/>
  <c r="S90" i="59"/>
  <c r="AY90" i="59" s="1"/>
  <c r="I109" i="72" s="1"/>
  <c r="S130" i="59"/>
  <c r="AX130" i="59" s="1"/>
  <c r="H457" i="72" s="1"/>
  <c r="S91" i="59"/>
  <c r="S99" i="59"/>
  <c r="AX99" i="59" s="1"/>
  <c r="H118" i="72" s="1"/>
  <c r="S108" i="59"/>
  <c r="BN108" i="59" s="1"/>
  <c r="X282" i="72" s="1"/>
  <c r="S131" i="59"/>
  <c r="B9" i="29"/>
  <c r="B14" i="29"/>
  <c r="B22" i="29"/>
  <c r="B35" i="29"/>
  <c r="B43" i="29"/>
  <c r="B8" i="29"/>
  <c r="H16" i="24"/>
  <c r="H17" i="24"/>
  <c r="Q28" i="24" s="1"/>
  <c r="C70" i="24"/>
  <c r="Q24" i="24" s="1"/>
  <c r="F22" i="16" s="1"/>
  <c r="C80" i="16"/>
  <c r="C110" i="16"/>
  <c r="C135" i="16"/>
  <c r="E70" i="24"/>
  <c r="D70" i="24"/>
  <c r="G70" i="24"/>
  <c r="Q22" i="24" s="1"/>
  <c r="F20" i="16" s="1"/>
  <c r="F70" i="24"/>
  <c r="H42" i="24"/>
  <c r="AK41" i="67"/>
  <c r="AK43" i="67"/>
  <c r="AK64" i="67"/>
  <c r="AK44" i="67"/>
  <c r="AK65" i="67"/>
  <c r="AK60" i="67"/>
  <c r="AK63" i="67"/>
  <c r="AK21" i="67"/>
  <c r="AK45" i="67"/>
  <c r="AK22" i="67"/>
  <c r="AK62" i="67"/>
  <c r="AK23" i="67"/>
  <c r="AK24" i="67"/>
  <c r="AK25" i="67"/>
  <c r="AK26" i="67"/>
  <c r="AK8" i="67"/>
  <c r="AK20" i="67"/>
  <c r="AK42" i="67"/>
  <c r="AK61" i="67"/>
  <c r="AK40" i="67"/>
  <c r="B19" i="29"/>
  <c r="B21" i="29"/>
  <c r="B20" i="29"/>
  <c r="B30" i="29"/>
  <c r="B32" i="29"/>
  <c r="C134" i="16"/>
  <c r="C123" i="16"/>
  <c r="H30" i="24"/>
  <c r="Q29" i="24" s="1"/>
  <c r="F27" i="16" s="1"/>
  <c r="E152" i="48" s="1"/>
  <c r="H29" i="24"/>
  <c r="C119" i="16"/>
  <c r="C98" i="16"/>
  <c r="C94" i="16"/>
  <c r="C109" i="16"/>
  <c r="C79" i="16"/>
  <c r="C64" i="16"/>
  <c r="C68" i="16"/>
  <c r="I51" i="62"/>
  <c r="E254" i="48" s="1"/>
  <c r="M18" i="16"/>
  <c r="M17" i="16"/>
  <c r="M16" i="16"/>
  <c r="C42" i="16"/>
  <c r="C46" i="16"/>
  <c r="C50" i="16"/>
  <c r="H76" i="24"/>
  <c r="B77" i="24"/>
  <c r="B78" i="24" s="1"/>
  <c r="B79" i="24" s="1"/>
  <c r="B80" i="24" s="1"/>
  <c r="H77" i="24"/>
  <c r="H78" i="24"/>
  <c r="H79" i="24"/>
  <c r="H80" i="24"/>
  <c r="C81" i="24"/>
  <c r="D81" i="24"/>
  <c r="E81" i="24"/>
  <c r="F81" i="24"/>
  <c r="G81" i="24"/>
  <c r="C82" i="24"/>
  <c r="D82" i="24"/>
  <c r="E82" i="24"/>
  <c r="F82" i="24"/>
  <c r="G82" i="24"/>
  <c r="G14" i="61"/>
  <c r="I11" i="62"/>
  <c r="G10" i="61" s="1"/>
  <c r="I15" i="62"/>
  <c r="I12" i="62"/>
  <c r="G11" i="61" s="1"/>
  <c r="E14" i="61"/>
  <c r="G11" i="62"/>
  <c r="E10" i="61" s="1"/>
  <c r="G14" i="62"/>
  <c r="G15" i="62"/>
  <c r="G12" i="62"/>
  <c r="E11" i="61" s="1"/>
  <c r="F10" i="62"/>
  <c r="D14" i="61"/>
  <c r="F11" i="62"/>
  <c r="D10" i="61" s="1"/>
  <c r="F14" i="62"/>
  <c r="F15" i="62"/>
  <c r="F12" i="62"/>
  <c r="D11" i="61" s="1"/>
  <c r="C31" i="24" l="1"/>
  <c r="C44" i="24"/>
  <c r="F16" i="62"/>
  <c r="AM11" i="73"/>
  <c r="AL15" i="73"/>
  <c r="J512" i="18"/>
  <c r="J578" i="18"/>
  <c r="J468" i="18"/>
  <c r="J534" i="18"/>
  <c r="J599" i="18"/>
  <c r="J490" i="18"/>
  <c r="J556" i="18"/>
  <c r="J621" i="18"/>
  <c r="T604" i="18"/>
  <c r="T582" i="18"/>
  <c r="T626" i="18"/>
  <c r="T561" i="18"/>
  <c r="T539" i="18"/>
  <c r="T517" i="18"/>
  <c r="T473" i="18"/>
  <c r="T495" i="18"/>
  <c r="K392" i="18"/>
  <c r="K370" i="18"/>
  <c r="K414" i="18"/>
  <c r="K326" i="18"/>
  <c r="K304" i="18"/>
  <c r="K282" i="18"/>
  <c r="K348" i="18"/>
  <c r="K260" i="18"/>
  <c r="T186" i="18"/>
  <c r="T164" i="18"/>
  <c r="T120" i="18"/>
  <c r="T98" i="18"/>
  <c r="T142" i="18"/>
  <c r="T54" i="18"/>
  <c r="T32" i="18"/>
  <c r="T76" i="18"/>
  <c r="Z181" i="18"/>
  <c r="Z115" i="18"/>
  <c r="Z93" i="18"/>
  <c r="Z159" i="18"/>
  <c r="Z137" i="18"/>
  <c r="Z203" i="18"/>
  <c r="Z71" i="18"/>
  <c r="Z49" i="18"/>
  <c r="AD202" i="18"/>
  <c r="AD180" i="18"/>
  <c r="AD158" i="18"/>
  <c r="AD92" i="18"/>
  <c r="AD70" i="18"/>
  <c r="AD136" i="18"/>
  <c r="AD114" i="18"/>
  <c r="AD48" i="18"/>
  <c r="S627" i="18"/>
  <c r="S605" i="18"/>
  <c r="S583" i="18"/>
  <c r="S518" i="18"/>
  <c r="S562" i="18"/>
  <c r="S540" i="18"/>
  <c r="S496" i="18"/>
  <c r="S474" i="18"/>
  <c r="K613" i="18"/>
  <c r="K591" i="18"/>
  <c r="K548" i="18"/>
  <c r="K504" i="18"/>
  <c r="K482" i="18"/>
  <c r="K570" i="18"/>
  <c r="K526" i="18"/>
  <c r="K460" i="18"/>
  <c r="AE373" i="18"/>
  <c r="AE351" i="18"/>
  <c r="AE417" i="18"/>
  <c r="AE395" i="18"/>
  <c r="AE329" i="18"/>
  <c r="AE307" i="18"/>
  <c r="AE263" i="18"/>
  <c r="AE285" i="18"/>
  <c r="U199" i="18"/>
  <c r="U67" i="18"/>
  <c r="U155" i="18"/>
  <c r="U133" i="18"/>
  <c r="U111" i="18"/>
  <c r="U177" i="18"/>
  <c r="U45" i="18"/>
  <c r="U89" i="18"/>
  <c r="Z628" i="18"/>
  <c r="Z606" i="18"/>
  <c r="Z584" i="18"/>
  <c r="Z563" i="18"/>
  <c r="Z519" i="18"/>
  <c r="Z497" i="18"/>
  <c r="Z541" i="18"/>
  <c r="Z475" i="18"/>
  <c r="K608" i="18"/>
  <c r="K630" i="18"/>
  <c r="K565" i="18"/>
  <c r="K521" i="18"/>
  <c r="K543" i="18"/>
  <c r="K586" i="18"/>
  <c r="K499" i="18"/>
  <c r="K477" i="18"/>
  <c r="AB416" i="18"/>
  <c r="AB372" i="18"/>
  <c r="AB306" i="18"/>
  <c r="AB284" i="18"/>
  <c r="AB350" i="18"/>
  <c r="AB394" i="18"/>
  <c r="AB328" i="18"/>
  <c r="AB262" i="18"/>
  <c r="R371" i="18"/>
  <c r="R415" i="18"/>
  <c r="R327" i="18"/>
  <c r="R393" i="18"/>
  <c r="R349" i="18"/>
  <c r="R283" i="18"/>
  <c r="R261" i="18"/>
  <c r="R305" i="18"/>
  <c r="O369" i="18"/>
  <c r="O347" i="18"/>
  <c r="O413" i="18"/>
  <c r="O325" i="18"/>
  <c r="O303" i="18"/>
  <c r="O259" i="18"/>
  <c r="O391" i="18"/>
  <c r="O281" i="18"/>
  <c r="Y368" i="18"/>
  <c r="Y346" i="18"/>
  <c r="Y412" i="18"/>
  <c r="Y324" i="18"/>
  <c r="Y302" i="18"/>
  <c r="Y258" i="18"/>
  <c r="Y390" i="18"/>
  <c r="Y280" i="18"/>
  <c r="AC412" i="18"/>
  <c r="AC390" i="18"/>
  <c r="AC368" i="18"/>
  <c r="AC346" i="18"/>
  <c r="AC280" i="18"/>
  <c r="AC324" i="18"/>
  <c r="AC258" i="18"/>
  <c r="AC302" i="18"/>
  <c r="AG368" i="18"/>
  <c r="AG346" i="18"/>
  <c r="AG412" i="18"/>
  <c r="AG324" i="18"/>
  <c r="AG390" i="18"/>
  <c r="AG302" i="18"/>
  <c r="AG258" i="18"/>
  <c r="AG280" i="18"/>
  <c r="AE626" i="18"/>
  <c r="AE604" i="18"/>
  <c r="AE561" i="18"/>
  <c r="AE582" i="18"/>
  <c r="AE539" i="18"/>
  <c r="AE517" i="18"/>
  <c r="AE495" i="18"/>
  <c r="AE473" i="18"/>
  <c r="U626" i="18"/>
  <c r="U604" i="18"/>
  <c r="U582" i="18"/>
  <c r="U539" i="18"/>
  <c r="U517" i="18"/>
  <c r="U561" i="18"/>
  <c r="U473" i="18"/>
  <c r="U495" i="18"/>
  <c r="Z626" i="18"/>
  <c r="Z604" i="18"/>
  <c r="Z582" i="18"/>
  <c r="Z561" i="18"/>
  <c r="Z539" i="18"/>
  <c r="Z517" i="18"/>
  <c r="Z495" i="18"/>
  <c r="Z473" i="18"/>
  <c r="Y631" i="18"/>
  <c r="Y566" i="18"/>
  <c r="Y587" i="18"/>
  <c r="Y609" i="18"/>
  <c r="Y544" i="18"/>
  <c r="Y522" i="18"/>
  <c r="Y500" i="18"/>
  <c r="Y478" i="18"/>
  <c r="N609" i="18"/>
  <c r="N587" i="18"/>
  <c r="N500" i="18"/>
  <c r="N631" i="18"/>
  <c r="N566" i="18"/>
  <c r="N544" i="18"/>
  <c r="N522" i="18"/>
  <c r="N478" i="18"/>
  <c r="M631" i="18"/>
  <c r="M609" i="18"/>
  <c r="M566" i="18"/>
  <c r="M587" i="18"/>
  <c r="M522" i="18"/>
  <c r="M500" i="18"/>
  <c r="M544" i="18"/>
  <c r="M478" i="18"/>
  <c r="AA392" i="18"/>
  <c r="AA370" i="18"/>
  <c r="AA414" i="18"/>
  <c r="AA348" i="18"/>
  <c r="AA326" i="18"/>
  <c r="AA304" i="18"/>
  <c r="AA260" i="18"/>
  <c r="AA282" i="18"/>
  <c r="O348" i="18"/>
  <c r="O414" i="18"/>
  <c r="O304" i="18"/>
  <c r="O392" i="18"/>
  <c r="O282" i="18"/>
  <c r="O370" i="18"/>
  <c r="O260" i="18"/>
  <c r="O326" i="18"/>
  <c r="T370" i="18"/>
  <c r="T414" i="18"/>
  <c r="T392" i="18"/>
  <c r="T348" i="18"/>
  <c r="T326" i="18"/>
  <c r="T282" i="18"/>
  <c r="T304" i="18"/>
  <c r="T260" i="18"/>
  <c r="Z392" i="18"/>
  <c r="Z260" i="18"/>
  <c r="Z348" i="18"/>
  <c r="Z326" i="18"/>
  <c r="Z414" i="18"/>
  <c r="Z304" i="18"/>
  <c r="Z370" i="18"/>
  <c r="Z282" i="18"/>
  <c r="Z198" i="18"/>
  <c r="Z176" i="18"/>
  <c r="Z132" i="18"/>
  <c r="Z110" i="18"/>
  <c r="Z154" i="18"/>
  <c r="Z88" i="18"/>
  <c r="Z44" i="18"/>
  <c r="Z66" i="18"/>
  <c r="N176" i="18"/>
  <c r="N198" i="18"/>
  <c r="N88" i="18"/>
  <c r="N154" i="18"/>
  <c r="N66" i="18"/>
  <c r="N132" i="18"/>
  <c r="N110" i="18"/>
  <c r="N44" i="18"/>
  <c r="Y132" i="18"/>
  <c r="Y176" i="18"/>
  <c r="Y110" i="18"/>
  <c r="Y88" i="18"/>
  <c r="Y198" i="18"/>
  <c r="Y154" i="18"/>
  <c r="Y66" i="18"/>
  <c r="Y44" i="18"/>
  <c r="Y142" i="18"/>
  <c r="Y54" i="18"/>
  <c r="Y120" i="18"/>
  <c r="Y164" i="18"/>
  <c r="Y98" i="18"/>
  <c r="Y76" i="18"/>
  <c r="Y186" i="18"/>
  <c r="Y32" i="18"/>
  <c r="R186" i="18"/>
  <c r="R142" i="18"/>
  <c r="R164" i="18"/>
  <c r="R120" i="18"/>
  <c r="R76" i="18"/>
  <c r="R54" i="18"/>
  <c r="R32" i="18"/>
  <c r="R98" i="18"/>
  <c r="N186" i="18"/>
  <c r="N164" i="18"/>
  <c r="N98" i="18"/>
  <c r="N76" i="18"/>
  <c r="N142" i="18"/>
  <c r="N120" i="18"/>
  <c r="N32" i="18"/>
  <c r="N54" i="18"/>
  <c r="X204" i="18"/>
  <c r="X182" i="18"/>
  <c r="X116" i="18"/>
  <c r="X94" i="18"/>
  <c r="X160" i="18"/>
  <c r="X138" i="18"/>
  <c r="X50" i="18"/>
  <c r="X72" i="18"/>
  <c r="AG204" i="18"/>
  <c r="AG94" i="18"/>
  <c r="AG182" i="18"/>
  <c r="AG72" i="18"/>
  <c r="AG160" i="18"/>
  <c r="AG138" i="18"/>
  <c r="AG50" i="18"/>
  <c r="AG116" i="18"/>
  <c r="N204" i="18"/>
  <c r="N182" i="18"/>
  <c r="N138" i="18"/>
  <c r="N116" i="18"/>
  <c r="N160" i="18"/>
  <c r="N72" i="18"/>
  <c r="N94" i="18"/>
  <c r="N50" i="18"/>
  <c r="G79" i="48"/>
  <c r="AH181" i="18"/>
  <c r="AH203" i="18"/>
  <c r="AH115" i="18"/>
  <c r="AH93" i="18"/>
  <c r="AH137" i="18"/>
  <c r="AH71" i="18"/>
  <c r="AH159" i="18"/>
  <c r="AH49" i="18"/>
  <c r="AD203" i="18"/>
  <c r="AD159" i="18"/>
  <c r="AD181" i="18"/>
  <c r="AD71" i="18"/>
  <c r="AD137" i="18"/>
  <c r="AD49" i="18"/>
  <c r="AD93" i="18"/>
  <c r="AD115" i="18"/>
  <c r="J181" i="18"/>
  <c r="J115" i="18"/>
  <c r="J159" i="18"/>
  <c r="J203" i="18"/>
  <c r="J93" i="18"/>
  <c r="J137" i="18"/>
  <c r="J49" i="18"/>
  <c r="J71" i="18"/>
  <c r="T181" i="18"/>
  <c r="T203" i="18"/>
  <c r="T159" i="18"/>
  <c r="T93" i="18"/>
  <c r="T71" i="18"/>
  <c r="T137" i="18"/>
  <c r="T115" i="18"/>
  <c r="T49" i="18"/>
  <c r="Y136" i="18"/>
  <c r="Y48" i="18"/>
  <c r="Y180" i="18"/>
  <c r="Y158" i="18"/>
  <c r="Y114" i="18"/>
  <c r="Y202" i="18"/>
  <c r="Y92" i="18"/>
  <c r="Y70" i="18"/>
  <c r="R180" i="18"/>
  <c r="R136" i="18"/>
  <c r="R114" i="18"/>
  <c r="R202" i="18"/>
  <c r="R70" i="18"/>
  <c r="R158" i="18"/>
  <c r="R48" i="18"/>
  <c r="R92" i="18"/>
  <c r="N180" i="18"/>
  <c r="N158" i="18"/>
  <c r="N202" i="18"/>
  <c r="N92" i="18"/>
  <c r="N70" i="18"/>
  <c r="N136" i="18"/>
  <c r="N114" i="18"/>
  <c r="N48" i="18"/>
  <c r="W400" i="18"/>
  <c r="W378" i="18"/>
  <c r="W356" i="18"/>
  <c r="W334" i="18"/>
  <c r="W312" i="18"/>
  <c r="W246" i="18"/>
  <c r="W268" i="18"/>
  <c r="W290" i="18"/>
  <c r="M400" i="18"/>
  <c r="M290" i="18"/>
  <c r="M378" i="18"/>
  <c r="M356" i="18"/>
  <c r="M334" i="18"/>
  <c r="M268" i="18"/>
  <c r="M246" i="18"/>
  <c r="M312" i="18"/>
  <c r="Q378" i="18"/>
  <c r="Q356" i="18"/>
  <c r="Q400" i="18"/>
  <c r="Q334" i="18"/>
  <c r="Q312" i="18"/>
  <c r="Q290" i="18"/>
  <c r="Q268" i="18"/>
  <c r="Q246" i="18"/>
  <c r="S135" i="18"/>
  <c r="S47" i="18"/>
  <c r="S157" i="18"/>
  <c r="S113" i="18"/>
  <c r="S201" i="18"/>
  <c r="S91" i="18"/>
  <c r="S179" i="18"/>
  <c r="S69" i="18"/>
  <c r="P179" i="18"/>
  <c r="P157" i="18"/>
  <c r="P201" i="18"/>
  <c r="P91" i="18"/>
  <c r="P69" i="18"/>
  <c r="P135" i="18"/>
  <c r="P113" i="18"/>
  <c r="P47" i="18"/>
  <c r="K157" i="18"/>
  <c r="K135" i="18"/>
  <c r="K47" i="18"/>
  <c r="K179" i="18"/>
  <c r="K113" i="18"/>
  <c r="K91" i="18"/>
  <c r="K201" i="18"/>
  <c r="K69" i="18"/>
  <c r="T627" i="18"/>
  <c r="T605" i="18"/>
  <c r="T562" i="18"/>
  <c r="T583" i="18"/>
  <c r="T518" i="18"/>
  <c r="T540" i="18"/>
  <c r="T496" i="18"/>
  <c r="T474" i="18"/>
  <c r="K627" i="18"/>
  <c r="K605" i="18"/>
  <c r="K583" i="18"/>
  <c r="K518" i="18"/>
  <c r="K540" i="18"/>
  <c r="K562" i="18"/>
  <c r="K474" i="18"/>
  <c r="K496" i="18"/>
  <c r="AD627" i="18"/>
  <c r="AD605" i="18"/>
  <c r="AD583" i="18"/>
  <c r="AD496" i="18"/>
  <c r="AD540" i="18"/>
  <c r="AD474" i="18"/>
  <c r="AD562" i="18"/>
  <c r="AD518" i="18"/>
  <c r="AH605" i="18"/>
  <c r="AH583" i="18"/>
  <c r="AH627" i="18"/>
  <c r="AH562" i="18"/>
  <c r="AH518" i="18"/>
  <c r="AH540" i="18"/>
  <c r="AH496" i="18"/>
  <c r="AH474" i="18"/>
  <c r="U613" i="18"/>
  <c r="U591" i="18"/>
  <c r="U570" i="18"/>
  <c r="U526" i="18"/>
  <c r="U460" i="18"/>
  <c r="U548" i="18"/>
  <c r="U504" i="18"/>
  <c r="U482" i="18"/>
  <c r="AA613" i="18"/>
  <c r="AA591" i="18"/>
  <c r="AA548" i="18"/>
  <c r="AA504" i="18"/>
  <c r="AA482" i="18"/>
  <c r="AA526" i="18"/>
  <c r="AA460" i="18"/>
  <c r="AA570" i="18"/>
  <c r="AE591" i="18"/>
  <c r="AE570" i="18"/>
  <c r="AE613" i="18"/>
  <c r="AE526" i="18"/>
  <c r="AE548" i="18"/>
  <c r="AE504" i="18"/>
  <c r="AE482" i="18"/>
  <c r="AE460" i="18"/>
  <c r="K68" i="18"/>
  <c r="K134" i="18"/>
  <c r="K178" i="18"/>
  <c r="K200" i="18"/>
  <c r="K156" i="18"/>
  <c r="K112" i="18"/>
  <c r="K46" i="18"/>
  <c r="K90" i="18"/>
  <c r="T156" i="18"/>
  <c r="T200" i="18"/>
  <c r="T68" i="18"/>
  <c r="T134" i="18"/>
  <c r="T46" i="18"/>
  <c r="T178" i="18"/>
  <c r="T90" i="18"/>
  <c r="T112" i="18"/>
  <c r="P200" i="18"/>
  <c r="P178" i="18"/>
  <c r="P112" i="18"/>
  <c r="P156" i="18"/>
  <c r="P90" i="18"/>
  <c r="P134" i="18"/>
  <c r="P68" i="18"/>
  <c r="P46" i="18"/>
  <c r="O373" i="18"/>
  <c r="O351" i="18"/>
  <c r="O417" i="18"/>
  <c r="O395" i="18"/>
  <c r="O329" i="18"/>
  <c r="O307" i="18"/>
  <c r="O285" i="18"/>
  <c r="O263" i="18"/>
  <c r="K417" i="18"/>
  <c r="K395" i="18"/>
  <c r="K373" i="18"/>
  <c r="K285" i="18"/>
  <c r="K351" i="18"/>
  <c r="K329" i="18"/>
  <c r="K263" i="18"/>
  <c r="K307" i="18"/>
  <c r="T395" i="18"/>
  <c r="T263" i="18"/>
  <c r="T373" i="18"/>
  <c r="T417" i="18"/>
  <c r="T329" i="18"/>
  <c r="T351" i="18"/>
  <c r="T307" i="18"/>
  <c r="T285" i="18"/>
  <c r="S199" i="18"/>
  <c r="S89" i="18"/>
  <c r="S67" i="18"/>
  <c r="S155" i="18"/>
  <c r="S133" i="18"/>
  <c r="S177" i="18"/>
  <c r="S111" i="18"/>
  <c r="S45" i="18"/>
  <c r="O177" i="18"/>
  <c r="O155" i="18"/>
  <c r="O133" i="18"/>
  <c r="O199" i="18"/>
  <c r="O111" i="18"/>
  <c r="O89" i="18"/>
  <c r="O45" i="18"/>
  <c r="O67" i="18"/>
  <c r="J199" i="18"/>
  <c r="J177" i="18"/>
  <c r="J111" i="18"/>
  <c r="J89" i="18"/>
  <c r="J155" i="18"/>
  <c r="J133" i="18"/>
  <c r="J45" i="18"/>
  <c r="J67" i="18"/>
  <c r="T177" i="18"/>
  <c r="T199" i="18"/>
  <c r="T89" i="18"/>
  <c r="T67" i="18"/>
  <c r="T155" i="18"/>
  <c r="T133" i="18"/>
  <c r="T111" i="18"/>
  <c r="T45" i="18"/>
  <c r="AA396" i="18"/>
  <c r="AA374" i="18"/>
  <c r="AA418" i="18"/>
  <c r="AA330" i="18"/>
  <c r="AA352" i="18"/>
  <c r="AA308" i="18"/>
  <c r="AA286" i="18"/>
  <c r="AA264" i="18"/>
  <c r="AE352" i="18"/>
  <c r="AE418" i="18"/>
  <c r="AE374" i="18"/>
  <c r="AE308" i="18"/>
  <c r="AE396" i="18"/>
  <c r="AE286" i="18"/>
  <c r="AE330" i="18"/>
  <c r="AE264" i="18"/>
  <c r="T374" i="18"/>
  <c r="T418" i="18"/>
  <c r="T352" i="18"/>
  <c r="T330" i="18"/>
  <c r="T396" i="18"/>
  <c r="T286" i="18"/>
  <c r="T308" i="18"/>
  <c r="T264" i="18"/>
  <c r="K628" i="18"/>
  <c r="K606" i="18"/>
  <c r="K563" i="18"/>
  <c r="K584" i="18"/>
  <c r="K519" i="18"/>
  <c r="K497" i="18"/>
  <c r="K541" i="18"/>
  <c r="K475" i="18"/>
  <c r="P606" i="18"/>
  <c r="P584" i="18"/>
  <c r="P628" i="18"/>
  <c r="P563" i="18"/>
  <c r="P541" i="18"/>
  <c r="P519" i="18"/>
  <c r="P475" i="18"/>
  <c r="P497" i="18"/>
  <c r="U606" i="18"/>
  <c r="U541" i="18"/>
  <c r="U584" i="18"/>
  <c r="U628" i="18"/>
  <c r="U563" i="18"/>
  <c r="U497" i="18"/>
  <c r="U475" i="18"/>
  <c r="U519" i="18"/>
  <c r="AB625" i="18"/>
  <c r="AB603" i="18"/>
  <c r="AB581" i="18"/>
  <c r="AB560" i="18"/>
  <c r="AB538" i="18"/>
  <c r="AB516" i="18"/>
  <c r="AB494" i="18"/>
  <c r="AB472" i="18"/>
  <c r="P625" i="18"/>
  <c r="P603" i="18"/>
  <c r="P581" i="18"/>
  <c r="P560" i="18"/>
  <c r="P516" i="18"/>
  <c r="P538" i="18"/>
  <c r="P472" i="18"/>
  <c r="P494" i="18"/>
  <c r="V603" i="18"/>
  <c r="V625" i="18"/>
  <c r="V581" i="18"/>
  <c r="V560" i="18"/>
  <c r="V538" i="18"/>
  <c r="V516" i="18"/>
  <c r="V494" i="18"/>
  <c r="V472" i="18"/>
  <c r="V630" i="18"/>
  <c r="V586" i="18"/>
  <c r="V608" i="18"/>
  <c r="V565" i="18"/>
  <c r="V521" i="18"/>
  <c r="V499" i="18"/>
  <c r="V543" i="18"/>
  <c r="V477" i="18"/>
  <c r="AB608" i="18"/>
  <c r="AB586" i="18"/>
  <c r="AB630" i="18"/>
  <c r="AB565" i="18"/>
  <c r="AB543" i="18"/>
  <c r="AB521" i="18"/>
  <c r="AB477" i="18"/>
  <c r="AB499" i="18"/>
  <c r="P630" i="18"/>
  <c r="P608" i="18"/>
  <c r="P586" i="18"/>
  <c r="P499" i="18"/>
  <c r="P565" i="18"/>
  <c r="P543" i="18"/>
  <c r="P477" i="18"/>
  <c r="P521" i="18"/>
  <c r="T608" i="18"/>
  <c r="T630" i="18"/>
  <c r="T586" i="18"/>
  <c r="T565" i="18"/>
  <c r="T521" i="18"/>
  <c r="T499" i="18"/>
  <c r="T543" i="18"/>
  <c r="T477" i="18"/>
  <c r="U416" i="18"/>
  <c r="U394" i="18"/>
  <c r="U372" i="18"/>
  <c r="U350" i="18"/>
  <c r="U284" i="18"/>
  <c r="U328" i="18"/>
  <c r="U262" i="18"/>
  <c r="U306" i="18"/>
  <c r="AE394" i="18"/>
  <c r="AE372" i="18"/>
  <c r="AE416" i="18"/>
  <c r="AE350" i="18"/>
  <c r="AE328" i="18"/>
  <c r="AE306" i="18"/>
  <c r="AE262" i="18"/>
  <c r="AE284" i="18"/>
  <c r="L416" i="18"/>
  <c r="L372" i="18"/>
  <c r="L350" i="18"/>
  <c r="L306" i="18"/>
  <c r="L284" i="18"/>
  <c r="L394" i="18"/>
  <c r="L328" i="18"/>
  <c r="L262" i="18"/>
  <c r="Q629" i="18"/>
  <c r="Q607" i="18"/>
  <c r="Q564" i="18"/>
  <c r="Q585" i="18"/>
  <c r="Q542" i="18"/>
  <c r="Q520" i="18"/>
  <c r="Q498" i="18"/>
  <c r="Q476" i="18"/>
  <c r="X585" i="18"/>
  <c r="X629" i="18"/>
  <c r="X607" i="18"/>
  <c r="X564" i="18"/>
  <c r="X520" i="18"/>
  <c r="X542" i="18"/>
  <c r="X498" i="18"/>
  <c r="X476" i="18"/>
  <c r="AB629" i="18"/>
  <c r="AB607" i="18"/>
  <c r="AB585" i="18"/>
  <c r="AB564" i="18"/>
  <c r="AB520" i="18"/>
  <c r="AB498" i="18"/>
  <c r="AB542" i="18"/>
  <c r="AB476" i="18"/>
  <c r="AH371" i="18"/>
  <c r="AH415" i="18"/>
  <c r="AH349" i="18"/>
  <c r="AH327" i="18"/>
  <c r="AH393" i="18"/>
  <c r="AH283" i="18"/>
  <c r="AH305" i="18"/>
  <c r="AH261" i="18"/>
  <c r="J371" i="18"/>
  <c r="J415" i="18"/>
  <c r="J393" i="18"/>
  <c r="J327" i="18"/>
  <c r="J349" i="18"/>
  <c r="J283" i="18"/>
  <c r="J305" i="18"/>
  <c r="J261" i="18"/>
  <c r="AC349" i="18"/>
  <c r="AC415" i="18"/>
  <c r="AC393" i="18"/>
  <c r="AC371" i="18"/>
  <c r="AC305" i="18"/>
  <c r="AC283" i="18"/>
  <c r="AC261" i="18"/>
  <c r="AC327" i="18"/>
  <c r="U391" i="18"/>
  <c r="U369" i="18"/>
  <c r="U413" i="18"/>
  <c r="U347" i="18"/>
  <c r="U325" i="18"/>
  <c r="U303" i="18"/>
  <c r="U281" i="18"/>
  <c r="U259" i="18"/>
  <c r="Z413" i="18"/>
  <c r="Z369" i="18"/>
  <c r="Z347" i="18"/>
  <c r="Z303" i="18"/>
  <c r="Z391" i="18"/>
  <c r="Z281" i="18"/>
  <c r="Z325" i="18"/>
  <c r="Z259" i="18"/>
  <c r="AE369" i="18"/>
  <c r="AE347" i="18"/>
  <c r="AE413" i="18"/>
  <c r="AE325" i="18"/>
  <c r="AE303" i="18"/>
  <c r="AE391" i="18"/>
  <c r="AE259" i="18"/>
  <c r="AE281" i="18"/>
  <c r="T391" i="18"/>
  <c r="T413" i="18"/>
  <c r="T259" i="18"/>
  <c r="T347" i="18"/>
  <c r="T325" i="18"/>
  <c r="T303" i="18"/>
  <c r="T369" i="18"/>
  <c r="T281" i="18"/>
  <c r="J626" i="18"/>
  <c r="J604" i="18"/>
  <c r="J582" i="18"/>
  <c r="J561" i="18"/>
  <c r="J539" i="18"/>
  <c r="J517" i="18"/>
  <c r="J473" i="18"/>
  <c r="J495" i="18"/>
  <c r="AD414" i="18"/>
  <c r="AD392" i="18"/>
  <c r="AD326" i="18"/>
  <c r="AD348" i="18"/>
  <c r="AD304" i="18"/>
  <c r="AD370" i="18"/>
  <c r="AD282" i="18"/>
  <c r="AD260" i="18"/>
  <c r="J186" i="18"/>
  <c r="J164" i="18"/>
  <c r="J142" i="18"/>
  <c r="J120" i="18"/>
  <c r="J76" i="18"/>
  <c r="J54" i="18"/>
  <c r="J98" i="18"/>
  <c r="J32" i="18"/>
  <c r="O203" i="18"/>
  <c r="O181" i="18"/>
  <c r="O137" i="18"/>
  <c r="O49" i="18"/>
  <c r="O115" i="18"/>
  <c r="O93" i="18"/>
  <c r="O159" i="18"/>
  <c r="O71" i="18"/>
  <c r="G78" i="48"/>
  <c r="AH180" i="18"/>
  <c r="AH136" i="18"/>
  <c r="AH114" i="18"/>
  <c r="AH202" i="18"/>
  <c r="AH158" i="18"/>
  <c r="AH70" i="18"/>
  <c r="AH92" i="18"/>
  <c r="AH48" i="18"/>
  <c r="AA179" i="18"/>
  <c r="AA135" i="18"/>
  <c r="AA47" i="18"/>
  <c r="AA201" i="18"/>
  <c r="AA113" i="18"/>
  <c r="AA157" i="18"/>
  <c r="AA91" i="18"/>
  <c r="AA69" i="18"/>
  <c r="R605" i="18"/>
  <c r="R583" i="18"/>
  <c r="R627" i="18"/>
  <c r="R562" i="18"/>
  <c r="R518" i="18"/>
  <c r="R540" i="18"/>
  <c r="R496" i="18"/>
  <c r="R474" i="18"/>
  <c r="U134" i="18"/>
  <c r="U200" i="18"/>
  <c r="U112" i="18"/>
  <c r="U178" i="18"/>
  <c r="U156" i="18"/>
  <c r="U90" i="18"/>
  <c r="U46" i="18"/>
  <c r="U68" i="18"/>
  <c r="F75" i="48"/>
  <c r="I199" i="18"/>
  <c r="I111" i="18"/>
  <c r="I89" i="18"/>
  <c r="I177" i="18"/>
  <c r="I67" i="18"/>
  <c r="I155" i="18"/>
  <c r="I133" i="18"/>
  <c r="I45" i="18"/>
  <c r="S396" i="18"/>
  <c r="S374" i="18"/>
  <c r="S418" i="18"/>
  <c r="S352" i="18"/>
  <c r="S330" i="18"/>
  <c r="S308" i="18"/>
  <c r="S286" i="18"/>
  <c r="S264" i="18"/>
  <c r="L608" i="18"/>
  <c r="L586" i="18"/>
  <c r="L630" i="18"/>
  <c r="L565" i="18"/>
  <c r="L521" i="18"/>
  <c r="L543" i="18"/>
  <c r="L499" i="18"/>
  <c r="L477" i="18"/>
  <c r="P372" i="18"/>
  <c r="P416" i="18"/>
  <c r="P328" i="18"/>
  <c r="P394" i="18"/>
  <c r="P350" i="18"/>
  <c r="P284" i="18"/>
  <c r="P306" i="18"/>
  <c r="P262" i="18"/>
  <c r="L629" i="18"/>
  <c r="L607" i="18"/>
  <c r="L585" i="18"/>
  <c r="L564" i="18"/>
  <c r="L542" i="18"/>
  <c r="L520" i="18"/>
  <c r="L498" i="18"/>
  <c r="L476" i="18"/>
  <c r="J413" i="18"/>
  <c r="J369" i="18"/>
  <c r="J303" i="18"/>
  <c r="J391" i="18"/>
  <c r="J281" i="18"/>
  <c r="J347" i="18"/>
  <c r="J325" i="18"/>
  <c r="J259" i="18"/>
  <c r="S346" i="18"/>
  <c r="S412" i="18"/>
  <c r="S302" i="18"/>
  <c r="S390" i="18"/>
  <c r="S280" i="18"/>
  <c r="S368" i="18"/>
  <c r="S324" i="18"/>
  <c r="S258" i="18"/>
  <c r="J412" i="18"/>
  <c r="J390" i="18"/>
  <c r="J324" i="18"/>
  <c r="J368" i="18"/>
  <c r="J302" i="18"/>
  <c r="J346" i="18"/>
  <c r="J280" i="18"/>
  <c r="J258" i="18"/>
  <c r="N390" i="18"/>
  <c r="N258" i="18"/>
  <c r="N346" i="18"/>
  <c r="N324" i="18"/>
  <c r="N412" i="18"/>
  <c r="N302" i="18"/>
  <c r="N280" i="18"/>
  <c r="N368" i="18"/>
  <c r="R412" i="18"/>
  <c r="R390" i="18"/>
  <c r="R324" i="18"/>
  <c r="R346" i="18"/>
  <c r="R302" i="18"/>
  <c r="R368" i="18"/>
  <c r="R280" i="18"/>
  <c r="R258" i="18"/>
  <c r="P626" i="18"/>
  <c r="P604" i="18"/>
  <c r="P582" i="18"/>
  <c r="P495" i="18"/>
  <c r="P539" i="18"/>
  <c r="P561" i="18"/>
  <c r="P517" i="18"/>
  <c r="P473" i="18"/>
  <c r="V626" i="18"/>
  <c r="V604" i="18"/>
  <c r="V582" i="18"/>
  <c r="V561" i="18"/>
  <c r="V539" i="18"/>
  <c r="V517" i="18"/>
  <c r="V495" i="18"/>
  <c r="V473" i="18"/>
  <c r="K604" i="18"/>
  <c r="K582" i="18"/>
  <c r="K626" i="18"/>
  <c r="K561" i="18"/>
  <c r="K539" i="18"/>
  <c r="K517" i="18"/>
  <c r="K473" i="18"/>
  <c r="K495" i="18"/>
  <c r="AC631" i="18"/>
  <c r="AC609" i="18"/>
  <c r="AC566" i="18"/>
  <c r="AC587" i="18"/>
  <c r="AC544" i="18"/>
  <c r="AC522" i="18"/>
  <c r="AC500" i="18"/>
  <c r="AC478" i="18"/>
  <c r="AD609" i="18"/>
  <c r="AD587" i="18"/>
  <c r="AD631" i="18"/>
  <c r="AD566" i="18"/>
  <c r="AD500" i="18"/>
  <c r="AD522" i="18"/>
  <c r="AD544" i="18"/>
  <c r="AD478" i="18"/>
  <c r="R609" i="18"/>
  <c r="R587" i="18"/>
  <c r="R631" i="18"/>
  <c r="R566" i="18"/>
  <c r="R544" i="18"/>
  <c r="R522" i="18"/>
  <c r="R478" i="18"/>
  <c r="R500" i="18"/>
  <c r="L370" i="18"/>
  <c r="L414" i="18"/>
  <c r="L326" i="18"/>
  <c r="L392" i="18"/>
  <c r="L348" i="18"/>
  <c r="L282" i="18"/>
  <c r="L260" i="18"/>
  <c r="L304" i="18"/>
  <c r="AE348" i="18"/>
  <c r="AE414" i="18"/>
  <c r="AE304" i="18"/>
  <c r="AE392" i="18"/>
  <c r="AE282" i="18"/>
  <c r="AE370" i="18"/>
  <c r="AE326" i="18"/>
  <c r="AE260" i="18"/>
  <c r="U370" i="18"/>
  <c r="U348" i="18"/>
  <c r="U414" i="18"/>
  <c r="U326" i="18"/>
  <c r="U304" i="18"/>
  <c r="U392" i="18"/>
  <c r="U260" i="18"/>
  <c r="U282" i="18"/>
  <c r="S198" i="18"/>
  <c r="S110" i="18"/>
  <c r="S88" i="18"/>
  <c r="S154" i="18"/>
  <c r="S66" i="18"/>
  <c r="S44" i="18"/>
  <c r="S176" i="18"/>
  <c r="S132" i="18"/>
  <c r="K198" i="18"/>
  <c r="K110" i="18"/>
  <c r="K88" i="18"/>
  <c r="K176" i="18"/>
  <c r="K154" i="18"/>
  <c r="K66" i="18"/>
  <c r="K132" i="18"/>
  <c r="K44" i="18"/>
  <c r="AD176" i="18"/>
  <c r="AD198" i="18"/>
  <c r="AD88" i="18"/>
  <c r="AD154" i="18"/>
  <c r="AD66" i="18"/>
  <c r="AD132" i="18"/>
  <c r="AD110" i="18"/>
  <c r="AD44" i="18"/>
  <c r="R198" i="18"/>
  <c r="R176" i="18"/>
  <c r="R132" i="18"/>
  <c r="R110" i="18"/>
  <c r="R154" i="18"/>
  <c r="R66" i="18"/>
  <c r="R44" i="18"/>
  <c r="R88" i="18"/>
  <c r="G62" i="48"/>
  <c r="AH186" i="18"/>
  <c r="AH142" i="18"/>
  <c r="AH120" i="18"/>
  <c r="AH164" i="18"/>
  <c r="AH76" i="18"/>
  <c r="AH98" i="18"/>
  <c r="AH32" i="18"/>
  <c r="AH54" i="18"/>
  <c r="AG142" i="18"/>
  <c r="AG54" i="18"/>
  <c r="AG186" i="18"/>
  <c r="AG120" i="18"/>
  <c r="AG98" i="18"/>
  <c r="AG76" i="18"/>
  <c r="AG164" i="18"/>
  <c r="AG32" i="18"/>
  <c r="AC164" i="18"/>
  <c r="AC98" i="18"/>
  <c r="AC76" i="18"/>
  <c r="AC186" i="18"/>
  <c r="AC142" i="18"/>
  <c r="AC32" i="18"/>
  <c r="AC120" i="18"/>
  <c r="AC54" i="18"/>
  <c r="W204" i="18"/>
  <c r="W116" i="18"/>
  <c r="W94" i="18"/>
  <c r="W160" i="18"/>
  <c r="W72" i="18"/>
  <c r="W182" i="18"/>
  <c r="W50" i="18"/>
  <c r="W138" i="18"/>
  <c r="Q204" i="18"/>
  <c r="Q160" i="18"/>
  <c r="Q94" i="18"/>
  <c r="Q182" i="18"/>
  <c r="Q72" i="18"/>
  <c r="Q138" i="18"/>
  <c r="Q50" i="18"/>
  <c r="Q116" i="18"/>
  <c r="AC204" i="18"/>
  <c r="AC160" i="18"/>
  <c r="AC138" i="18"/>
  <c r="AC50" i="18"/>
  <c r="AC116" i="18"/>
  <c r="AC182" i="18"/>
  <c r="AC94" i="18"/>
  <c r="AC72" i="18"/>
  <c r="R181" i="18"/>
  <c r="R203" i="18"/>
  <c r="R115" i="18"/>
  <c r="R93" i="18"/>
  <c r="R159" i="18"/>
  <c r="R137" i="18"/>
  <c r="R49" i="18"/>
  <c r="R71" i="18"/>
  <c r="N203" i="18"/>
  <c r="N159" i="18"/>
  <c r="N71" i="18"/>
  <c r="N181" i="18"/>
  <c r="N137" i="18"/>
  <c r="N49" i="18"/>
  <c r="N93" i="18"/>
  <c r="N115" i="18"/>
  <c r="Y203" i="18"/>
  <c r="Y115" i="18"/>
  <c r="Y181" i="18"/>
  <c r="Y93" i="18"/>
  <c r="Y71" i="18"/>
  <c r="Y159" i="18"/>
  <c r="Y49" i="18"/>
  <c r="Y137" i="18"/>
  <c r="AB202" i="18"/>
  <c r="AB180" i="18"/>
  <c r="AB114" i="18"/>
  <c r="AB92" i="18"/>
  <c r="AB136" i="18"/>
  <c r="AB70" i="18"/>
  <c r="AB158" i="18"/>
  <c r="AB48" i="18"/>
  <c r="X202" i="18"/>
  <c r="X158" i="18"/>
  <c r="X70" i="18"/>
  <c r="X136" i="18"/>
  <c r="X48" i="18"/>
  <c r="X180" i="18"/>
  <c r="X92" i="18"/>
  <c r="X114" i="18"/>
  <c r="AG202" i="18"/>
  <c r="AG136" i="18"/>
  <c r="AG48" i="18"/>
  <c r="AG114" i="18"/>
  <c r="AG158" i="18"/>
  <c r="AG180" i="18"/>
  <c r="AG92" i="18"/>
  <c r="AG70" i="18"/>
  <c r="AC202" i="18"/>
  <c r="AC180" i="18"/>
  <c r="AC92" i="18"/>
  <c r="AC70" i="18"/>
  <c r="AC136" i="18"/>
  <c r="AC158" i="18"/>
  <c r="AC114" i="18"/>
  <c r="AC48" i="18"/>
  <c r="X378" i="18"/>
  <c r="X400" i="18"/>
  <c r="X356" i="18"/>
  <c r="X334" i="18"/>
  <c r="X246" i="18"/>
  <c r="X290" i="18"/>
  <c r="X268" i="18"/>
  <c r="X312" i="18"/>
  <c r="AC400" i="18"/>
  <c r="AC290" i="18"/>
  <c r="AC378" i="18"/>
  <c r="AC334" i="18"/>
  <c r="AC312" i="18"/>
  <c r="AC268" i="18"/>
  <c r="AC246" i="18"/>
  <c r="AC356" i="18"/>
  <c r="AG378" i="18"/>
  <c r="AG356" i="18"/>
  <c r="AG400" i="18"/>
  <c r="AG334" i="18"/>
  <c r="AG312" i="18"/>
  <c r="AG268" i="18"/>
  <c r="AG246" i="18"/>
  <c r="AG290" i="18"/>
  <c r="G77" i="48"/>
  <c r="AH157" i="18"/>
  <c r="AH201" i="18"/>
  <c r="AH69" i="18"/>
  <c r="AH135" i="18"/>
  <c r="AH47" i="18"/>
  <c r="AH179" i="18"/>
  <c r="AH91" i="18"/>
  <c r="AH113" i="18"/>
  <c r="AD201" i="18"/>
  <c r="AD179" i="18"/>
  <c r="AD113" i="18"/>
  <c r="AD157" i="18"/>
  <c r="AD91" i="18"/>
  <c r="AD135" i="18"/>
  <c r="AD47" i="18"/>
  <c r="AD69" i="18"/>
  <c r="Z157" i="18"/>
  <c r="Z201" i="18"/>
  <c r="Z69" i="18"/>
  <c r="Z179" i="18"/>
  <c r="Z135" i="18"/>
  <c r="Z47" i="18"/>
  <c r="Z91" i="18"/>
  <c r="Z113" i="18"/>
  <c r="U627" i="18"/>
  <c r="U605" i="18"/>
  <c r="U562" i="18"/>
  <c r="U583" i="18"/>
  <c r="U518" i="18"/>
  <c r="U540" i="18"/>
  <c r="U496" i="18"/>
  <c r="U474" i="18"/>
  <c r="AA627" i="18"/>
  <c r="AA605" i="18"/>
  <c r="AA562" i="18"/>
  <c r="AA518" i="18"/>
  <c r="AA583" i="18"/>
  <c r="AA540" i="18"/>
  <c r="AA496" i="18"/>
  <c r="AA474" i="18"/>
  <c r="O605" i="18"/>
  <c r="O583" i="18"/>
  <c r="O540" i="18"/>
  <c r="O627" i="18"/>
  <c r="O496" i="18"/>
  <c r="O474" i="18"/>
  <c r="O562" i="18"/>
  <c r="O518" i="18"/>
  <c r="Q613" i="18"/>
  <c r="Q570" i="18"/>
  <c r="Q591" i="18"/>
  <c r="Q526" i="18"/>
  <c r="Q548" i="18"/>
  <c r="Q504" i="18"/>
  <c r="Q482" i="18"/>
  <c r="Q460" i="18"/>
  <c r="V613" i="18"/>
  <c r="V591" i="18"/>
  <c r="V570" i="18"/>
  <c r="V526" i="18"/>
  <c r="V548" i="18"/>
  <c r="V504" i="18"/>
  <c r="V482" i="18"/>
  <c r="V460" i="18"/>
  <c r="L613" i="18"/>
  <c r="L591" i="18"/>
  <c r="L570" i="18"/>
  <c r="L526" i="18"/>
  <c r="L460" i="18"/>
  <c r="L504" i="18"/>
  <c r="L548" i="18"/>
  <c r="L482" i="18"/>
  <c r="P591" i="18"/>
  <c r="P613" i="18"/>
  <c r="P570" i="18"/>
  <c r="P526" i="18"/>
  <c r="P548" i="18"/>
  <c r="P504" i="18"/>
  <c r="P482" i="18"/>
  <c r="P460" i="18"/>
  <c r="W200" i="18"/>
  <c r="W112" i="18"/>
  <c r="W156" i="18"/>
  <c r="W90" i="18"/>
  <c r="W178" i="18"/>
  <c r="W68" i="18"/>
  <c r="W134" i="18"/>
  <c r="W46" i="18"/>
  <c r="F76" i="48"/>
  <c r="I200" i="18"/>
  <c r="I90" i="18"/>
  <c r="I68" i="18"/>
  <c r="I178" i="18"/>
  <c r="I134" i="18"/>
  <c r="I156" i="18"/>
  <c r="I112" i="18"/>
  <c r="I46" i="18"/>
  <c r="AE200" i="18"/>
  <c r="AE112" i="18"/>
  <c r="AE90" i="18"/>
  <c r="AE156" i="18"/>
  <c r="AE68" i="18"/>
  <c r="AE134" i="18"/>
  <c r="AE178" i="18"/>
  <c r="AE46" i="18"/>
  <c r="AD373" i="18"/>
  <c r="AD417" i="18"/>
  <c r="AD329" i="18"/>
  <c r="AD395" i="18"/>
  <c r="AD351" i="18"/>
  <c r="AD285" i="18"/>
  <c r="AD263" i="18"/>
  <c r="AD307" i="18"/>
  <c r="Y351" i="18"/>
  <c r="Y417" i="18"/>
  <c r="Y373" i="18"/>
  <c r="Y307" i="18"/>
  <c r="Y285" i="18"/>
  <c r="Y395" i="18"/>
  <c r="Y329" i="18"/>
  <c r="Y263" i="18"/>
  <c r="J417" i="18"/>
  <c r="J373" i="18"/>
  <c r="J307" i="18"/>
  <c r="J285" i="18"/>
  <c r="J395" i="18"/>
  <c r="J351" i="18"/>
  <c r="J329" i="18"/>
  <c r="J263" i="18"/>
  <c r="G75" i="48"/>
  <c r="AH199" i="18"/>
  <c r="AH177" i="18"/>
  <c r="AH155" i="18"/>
  <c r="AH111" i="18"/>
  <c r="AH89" i="18"/>
  <c r="AH133" i="18"/>
  <c r="AH45" i="18"/>
  <c r="AH67" i="18"/>
  <c r="AD155" i="18"/>
  <c r="AD199" i="18"/>
  <c r="AD177" i="18"/>
  <c r="AD67" i="18"/>
  <c r="AD133" i="18"/>
  <c r="AD45" i="18"/>
  <c r="AD89" i="18"/>
  <c r="AD111" i="18"/>
  <c r="AC177" i="18"/>
  <c r="AC67" i="18"/>
  <c r="AC133" i="18"/>
  <c r="AC155" i="18"/>
  <c r="AC111" i="18"/>
  <c r="AC199" i="18"/>
  <c r="AC45" i="18"/>
  <c r="AC89" i="18"/>
  <c r="W352" i="18"/>
  <c r="W418" i="18"/>
  <c r="W308" i="18"/>
  <c r="W286" i="18"/>
  <c r="W396" i="18"/>
  <c r="W374" i="18"/>
  <c r="W330" i="18"/>
  <c r="W264" i="18"/>
  <c r="L374" i="18"/>
  <c r="L418" i="18"/>
  <c r="L352" i="18"/>
  <c r="L396" i="18"/>
  <c r="L330" i="18"/>
  <c r="L286" i="18"/>
  <c r="L264" i="18"/>
  <c r="L308" i="18"/>
  <c r="P418" i="18"/>
  <c r="P374" i="18"/>
  <c r="P308" i="18"/>
  <c r="P286" i="18"/>
  <c r="P352" i="18"/>
  <c r="P330" i="18"/>
  <c r="P396" i="18"/>
  <c r="P264" i="18"/>
  <c r="U374" i="18"/>
  <c r="U352" i="18"/>
  <c r="U418" i="18"/>
  <c r="U396" i="18"/>
  <c r="U330" i="18"/>
  <c r="U308" i="18"/>
  <c r="U286" i="18"/>
  <c r="U264" i="18"/>
  <c r="AA628" i="18"/>
  <c r="AA606" i="18"/>
  <c r="AA584" i="18"/>
  <c r="AA563" i="18"/>
  <c r="AA519" i="18"/>
  <c r="AA497" i="18"/>
  <c r="AA541" i="18"/>
  <c r="AA475" i="18"/>
  <c r="AF606" i="18"/>
  <c r="AF584" i="18"/>
  <c r="AF628" i="18"/>
  <c r="AF563" i="18"/>
  <c r="AF541" i="18"/>
  <c r="AF519" i="18"/>
  <c r="AF475" i="18"/>
  <c r="AF497" i="18"/>
  <c r="V628" i="18"/>
  <c r="V606" i="18"/>
  <c r="V584" i="18"/>
  <c r="V563" i="18"/>
  <c r="V541" i="18"/>
  <c r="V519" i="18"/>
  <c r="V475" i="18"/>
  <c r="V497" i="18"/>
  <c r="M603" i="18"/>
  <c r="M625" i="18"/>
  <c r="M581" i="18"/>
  <c r="M560" i="18"/>
  <c r="M538" i="18"/>
  <c r="M516" i="18"/>
  <c r="M494" i="18"/>
  <c r="M472" i="18"/>
  <c r="AF625" i="18"/>
  <c r="AF603" i="18"/>
  <c r="AF581" i="18"/>
  <c r="AF560" i="18"/>
  <c r="AF516" i="18"/>
  <c r="AF494" i="18"/>
  <c r="AF538" i="18"/>
  <c r="AF472" i="18"/>
  <c r="W625" i="18"/>
  <c r="W581" i="18"/>
  <c r="W603" i="18"/>
  <c r="W538" i="18"/>
  <c r="W516" i="18"/>
  <c r="W560" i="18"/>
  <c r="W494" i="18"/>
  <c r="W472" i="18"/>
  <c r="W630" i="18"/>
  <c r="W608" i="18"/>
  <c r="W586" i="18"/>
  <c r="W565" i="18"/>
  <c r="W521" i="18"/>
  <c r="W499" i="18"/>
  <c r="W543" i="18"/>
  <c r="W477" i="18"/>
  <c r="M630" i="18"/>
  <c r="M608" i="18"/>
  <c r="M565" i="18"/>
  <c r="M586" i="18"/>
  <c r="M521" i="18"/>
  <c r="M543" i="18"/>
  <c r="M499" i="18"/>
  <c r="M477" i="18"/>
  <c r="AF630" i="18"/>
  <c r="AF608" i="18"/>
  <c r="AF586" i="18"/>
  <c r="AF499" i="18"/>
  <c r="AF543" i="18"/>
  <c r="AF565" i="18"/>
  <c r="AF521" i="18"/>
  <c r="AF477" i="18"/>
  <c r="Z416" i="18"/>
  <c r="Z394" i="18"/>
  <c r="Z328" i="18"/>
  <c r="Z306" i="18"/>
  <c r="Z350" i="18"/>
  <c r="Z372" i="18"/>
  <c r="Z284" i="18"/>
  <c r="Z262" i="18"/>
  <c r="S350" i="18"/>
  <c r="S416" i="18"/>
  <c r="S372" i="18"/>
  <c r="S306" i="18"/>
  <c r="S394" i="18"/>
  <c r="S284" i="18"/>
  <c r="S328" i="18"/>
  <c r="S262" i="18"/>
  <c r="O394" i="18"/>
  <c r="O372" i="18"/>
  <c r="O416" i="18"/>
  <c r="O328" i="18"/>
  <c r="O350" i="18"/>
  <c r="O306" i="18"/>
  <c r="O284" i="18"/>
  <c r="O262" i="18"/>
  <c r="AA350" i="18"/>
  <c r="AA416" i="18"/>
  <c r="AA306" i="18"/>
  <c r="AA284" i="18"/>
  <c r="AA372" i="18"/>
  <c r="AA262" i="18"/>
  <c r="AA394" i="18"/>
  <c r="AA328" i="18"/>
  <c r="AG629" i="18"/>
  <c r="AG607" i="18"/>
  <c r="AG564" i="18"/>
  <c r="AG585" i="18"/>
  <c r="AG520" i="18"/>
  <c r="AG542" i="18"/>
  <c r="AG498" i="18"/>
  <c r="AG476" i="18"/>
  <c r="I629" i="18"/>
  <c r="I607" i="18"/>
  <c r="I564" i="18"/>
  <c r="I585" i="18"/>
  <c r="I520" i="18"/>
  <c r="I498" i="18"/>
  <c r="I542" i="18"/>
  <c r="I476" i="18"/>
  <c r="M629" i="18"/>
  <c r="M564" i="18"/>
  <c r="M585" i="18"/>
  <c r="M542" i="18"/>
  <c r="M520" i="18"/>
  <c r="M607" i="18"/>
  <c r="M498" i="18"/>
  <c r="M476" i="18"/>
  <c r="S371" i="18"/>
  <c r="S349" i="18"/>
  <c r="S415" i="18"/>
  <c r="S393" i="18"/>
  <c r="S327" i="18"/>
  <c r="S305" i="18"/>
  <c r="S261" i="18"/>
  <c r="S283" i="18"/>
  <c r="Z371" i="18"/>
  <c r="Z415" i="18"/>
  <c r="Z349" i="18"/>
  <c r="Z393" i="18"/>
  <c r="Z327" i="18"/>
  <c r="Z283" i="18"/>
  <c r="Z261" i="18"/>
  <c r="Z305" i="18"/>
  <c r="N415" i="18"/>
  <c r="N371" i="18"/>
  <c r="N305" i="18"/>
  <c r="N349" i="18"/>
  <c r="N283" i="18"/>
  <c r="N393" i="18"/>
  <c r="N327" i="18"/>
  <c r="N261" i="18"/>
  <c r="V369" i="18"/>
  <c r="V413" i="18"/>
  <c r="V347" i="18"/>
  <c r="V325" i="18"/>
  <c r="V391" i="18"/>
  <c r="V281" i="18"/>
  <c r="V303" i="18"/>
  <c r="V259" i="18"/>
  <c r="L391" i="18"/>
  <c r="L413" i="18"/>
  <c r="L347" i="18"/>
  <c r="L259" i="18"/>
  <c r="L369" i="18"/>
  <c r="L325" i="18"/>
  <c r="L303" i="18"/>
  <c r="L281" i="18"/>
  <c r="P413" i="18"/>
  <c r="P391" i="18"/>
  <c r="P325" i="18"/>
  <c r="P369" i="18"/>
  <c r="P303" i="18"/>
  <c r="P259" i="18"/>
  <c r="P281" i="18"/>
  <c r="P347" i="18"/>
  <c r="Q368" i="18"/>
  <c r="Q346" i="18"/>
  <c r="Q412" i="18"/>
  <c r="Q324" i="18"/>
  <c r="Q390" i="18"/>
  <c r="Q302" i="18"/>
  <c r="Q280" i="18"/>
  <c r="Q258" i="18"/>
  <c r="J392" i="18"/>
  <c r="J348" i="18"/>
  <c r="J260" i="18"/>
  <c r="J326" i="18"/>
  <c r="J304" i="18"/>
  <c r="J414" i="18"/>
  <c r="J370" i="18"/>
  <c r="J282" i="18"/>
  <c r="AD182" i="18"/>
  <c r="AD204" i="18"/>
  <c r="AD138" i="18"/>
  <c r="AD116" i="18"/>
  <c r="AD72" i="18"/>
  <c r="AD160" i="18"/>
  <c r="AD94" i="18"/>
  <c r="AD50" i="18"/>
  <c r="AB378" i="18"/>
  <c r="AB356" i="18"/>
  <c r="AB312" i="18"/>
  <c r="AB290" i="18"/>
  <c r="AB334" i="18"/>
  <c r="AB400" i="18"/>
  <c r="AB268" i="18"/>
  <c r="AB246" i="18"/>
  <c r="W570" i="18"/>
  <c r="W613" i="18"/>
  <c r="W591" i="18"/>
  <c r="W526" i="18"/>
  <c r="W548" i="18"/>
  <c r="W504" i="18"/>
  <c r="W482" i="18"/>
  <c r="W460" i="18"/>
  <c r="U395" i="18"/>
  <c r="U373" i="18"/>
  <c r="U417" i="18"/>
  <c r="U329" i="18"/>
  <c r="U351" i="18"/>
  <c r="U307" i="18"/>
  <c r="U263" i="18"/>
  <c r="U285" i="18"/>
  <c r="T628" i="18"/>
  <c r="T606" i="18"/>
  <c r="T584" i="18"/>
  <c r="T563" i="18"/>
  <c r="T497" i="18"/>
  <c r="T541" i="18"/>
  <c r="T519" i="18"/>
  <c r="T475" i="18"/>
  <c r="Y393" i="18"/>
  <c r="Y371" i="18"/>
  <c r="Y415" i="18"/>
  <c r="Y349" i="18"/>
  <c r="Y327" i="18"/>
  <c r="Y305" i="18"/>
  <c r="Y261" i="18"/>
  <c r="Y283" i="18"/>
  <c r="AD390" i="18"/>
  <c r="AD346" i="18"/>
  <c r="AD258" i="18"/>
  <c r="AD412" i="18"/>
  <c r="AD324" i="18"/>
  <c r="AD302" i="18"/>
  <c r="AD368" i="18"/>
  <c r="AD280" i="18"/>
  <c r="AF626" i="18"/>
  <c r="AF604" i="18"/>
  <c r="AF582" i="18"/>
  <c r="AF561" i="18"/>
  <c r="AF495" i="18"/>
  <c r="AF517" i="18"/>
  <c r="AF539" i="18"/>
  <c r="AF473" i="18"/>
  <c r="W626" i="18"/>
  <c r="W604" i="18"/>
  <c r="W582" i="18"/>
  <c r="W561" i="18"/>
  <c r="W517" i="18"/>
  <c r="W495" i="18"/>
  <c r="W539" i="18"/>
  <c r="W473" i="18"/>
  <c r="AA626" i="18"/>
  <c r="AA582" i="18"/>
  <c r="AA561" i="18"/>
  <c r="AA539" i="18"/>
  <c r="AA517" i="18"/>
  <c r="AA604" i="18"/>
  <c r="AA495" i="18"/>
  <c r="AA473" i="18"/>
  <c r="J609" i="18"/>
  <c r="J631" i="18"/>
  <c r="J587" i="18"/>
  <c r="J566" i="18"/>
  <c r="J544" i="18"/>
  <c r="J522" i="18"/>
  <c r="J478" i="18"/>
  <c r="J500" i="18"/>
  <c r="O631" i="18"/>
  <c r="O609" i="18"/>
  <c r="O544" i="18"/>
  <c r="O587" i="18"/>
  <c r="O500" i="18"/>
  <c r="O478" i="18"/>
  <c r="O566" i="18"/>
  <c r="O522" i="18"/>
  <c r="AH609" i="18"/>
  <c r="AH587" i="18"/>
  <c r="AH631" i="18"/>
  <c r="AH566" i="18"/>
  <c r="AH522" i="18"/>
  <c r="AH544" i="18"/>
  <c r="AH478" i="18"/>
  <c r="AH500" i="18"/>
  <c r="AB370" i="18"/>
  <c r="AB414" i="18"/>
  <c r="AB348" i="18"/>
  <c r="AB326" i="18"/>
  <c r="AB392" i="18"/>
  <c r="AB282" i="18"/>
  <c r="AB260" i="18"/>
  <c r="AB304" i="18"/>
  <c r="P414" i="18"/>
  <c r="P370" i="18"/>
  <c r="P304" i="18"/>
  <c r="P392" i="18"/>
  <c r="P282" i="18"/>
  <c r="P348" i="18"/>
  <c r="P326" i="18"/>
  <c r="P260" i="18"/>
  <c r="V414" i="18"/>
  <c r="V392" i="18"/>
  <c r="V326" i="18"/>
  <c r="V370" i="18"/>
  <c r="V304" i="18"/>
  <c r="V348" i="18"/>
  <c r="V282" i="18"/>
  <c r="V260" i="18"/>
  <c r="T198" i="18"/>
  <c r="T176" i="18"/>
  <c r="T110" i="18"/>
  <c r="T88" i="18"/>
  <c r="T154" i="18"/>
  <c r="T132" i="18"/>
  <c r="T66" i="18"/>
  <c r="T44" i="18"/>
  <c r="AA198" i="18"/>
  <c r="AA110" i="18"/>
  <c r="AA176" i="18"/>
  <c r="AA88" i="18"/>
  <c r="AA154" i="18"/>
  <c r="AA66" i="18"/>
  <c r="AA44" i="18"/>
  <c r="AA132" i="18"/>
  <c r="O198" i="18"/>
  <c r="O154" i="18"/>
  <c r="O66" i="18"/>
  <c r="O176" i="18"/>
  <c r="O132" i="18"/>
  <c r="O110" i="18"/>
  <c r="O88" i="18"/>
  <c r="O44" i="18"/>
  <c r="G74" i="48"/>
  <c r="AH198" i="18"/>
  <c r="AH176" i="18"/>
  <c r="AH132" i="18"/>
  <c r="AH110" i="18"/>
  <c r="AH154" i="18"/>
  <c r="AH88" i="18"/>
  <c r="AH66" i="18"/>
  <c r="AH44" i="18"/>
  <c r="X164" i="18"/>
  <c r="X186" i="18"/>
  <c r="X76" i="18"/>
  <c r="X142" i="18"/>
  <c r="X54" i="18"/>
  <c r="X120" i="18"/>
  <c r="X98" i="18"/>
  <c r="X32" i="18"/>
  <c r="Q142" i="18"/>
  <c r="Q54" i="18"/>
  <c r="Q186" i="18"/>
  <c r="Q164" i="18"/>
  <c r="Q120" i="18"/>
  <c r="Q98" i="18"/>
  <c r="Q76" i="18"/>
  <c r="Q32" i="18"/>
  <c r="M98" i="18"/>
  <c r="M76" i="18"/>
  <c r="M186" i="18"/>
  <c r="M164" i="18"/>
  <c r="M142" i="18"/>
  <c r="M32" i="18"/>
  <c r="M120" i="18"/>
  <c r="M54" i="18"/>
  <c r="V204" i="18"/>
  <c r="V182" i="18"/>
  <c r="V138" i="18"/>
  <c r="V116" i="18"/>
  <c r="V160" i="18"/>
  <c r="V72" i="18"/>
  <c r="V50" i="18"/>
  <c r="V94" i="18"/>
  <c r="AF204" i="18"/>
  <c r="AF182" i="18"/>
  <c r="AF116" i="18"/>
  <c r="AF94" i="18"/>
  <c r="AF160" i="18"/>
  <c r="AF138" i="18"/>
  <c r="AF72" i="18"/>
  <c r="AF50" i="18"/>
  <c r="M204" i="18"/>
  <c r="M138" i="18"/>
  <c r="M50" i="18"/>
  <c r="M116" i="18"/>
  <c r="M182" i="18"/>
  <c r="M160" i="18"/>
  <c r="M94" i="18"/>
  <c r="M72" i="18"/>
  <c r="AG203" i="18"/>
  <c r="AG159" i="18"/>
  <c r="AG115" i="18"/>
  <c r="AG93" i="18"/>
  <c r="AG71" i="18"/>
  <c r="AG49" i="18"/>
  <c r="AG181" i="18"/>
  <c r="AG137" i="18"/>
  <c r="F79" i="48"/>
  <c r="I203" i="18"/>
  <c r="I115" i="18"/>
  <c r="I159" i="18"/>
  <c r="I93" i="18"/>
  <c r="I181" i="18"/>
  <c r="I71" i="18"/>
  <c r="I137" i="18"/>
  <c r="I49" i="18"/>
  <c r="X203" i="18"/>
  <c r="X181" i="18"/>
  <c r="X137" i="18"/>
  <c r="X115" i="18"/>
  <c r="X71" i="18"/>
  <c r="X49" i="18"/>
  <c r="X93" i="18"/>
  <c r="X159" i="18"/>
  <c r="L202" i="18"/>
  <c r="L180" i="18"/>
  <c r="L114" i="18"/>
  <c r="L92" i="18"/>
  <c r="L158" i="18"/>
  <c r="L136" i="18"/>
  <c r="L48" i="18"/>
  <c r="L70" i="18"/>
  <c r="F78" i="48"/>
  <c r="I202" i="18"/>
  <c r="I136" i="18"/>
  <c r="I48" i="18"/>
  <c r="I114" i="18"/>
  <c r="I180" i="18"/>
  <c r="I92" i="18"/>
  <c r="I158" i="18"/>
  <c r="I70" i="18"/>
  <c r="Q202" i="18"/>
  <c r="Q158" i="18"/>
  <c r="Q136" i="18"/>
  <c r="Q48" i="18"/>
  <c r="Q114" i="18"/>
  <c r="Q92" i="18"/>
  <c r="Q70" i="18"/>
  <c r="Q180" i="18"/>
  <c r="M202" i="18"/>
  <c r="M92" i="18"/>
  <c r="M180" i="18"/>
  <c r="M158" i="18"/>
  <c r="M70" i="18"/>
  <c r="M136" i="18"/>
  <c r="M114" i="18"/>
  <c r="M48" i="18"/>
  <c r="J400" i="18"/>
  <c r="J334" i="18"/>
  <c r="J312" i="18"/>
  <c r="J378" i="18"/>
  <c r="J356" i="18"/>
  <c r="J290" i="18"/>
  <c r="J268" i="18"/>
  <c r="J246" i="18"/>
  <c r="N400" i="18"/>
  <c r="N378" i="18"/>
  <c r="N356" i="18"/>
  <c r="N268" i="18"/>
  <c r="N334" i="18"/>
  <c r="N312" i="18"/>
  <c r="N246" i="18"/>
  <c r="N290" i="18"/>
  <c r="H62" i="48"/>
  <c r="I378" i="18"/>
  <c r="I356" i="18"/>
  <c r="I400" i="18"/>
  <c r="I334" i="18"/>
  <c r="I312" i="18"/>
  <c r="I290" i="18"/>
  <c r="I268" i="18"/>
  <c r="I246" i="18"/>
  <c r="R157" i="18"/>
  <c r="R201" i="18"/>
  <c r="R69" i="18"/>
  <c r="R135" i="18"/>
  <c r="R47" i="18"/>
  <c r="R91" i="18"/>
  <c r="R113" i="18"/>
  <c r="R179" i="18"/>
  <c r="N201" i="18"/>
  <c r="N179" i="18"/>
  <c r="N113" i="18"/>
  <c r="N91" i="18"/>
  <c r="N157" i="18"/>
  <c r="N135" i="18"/>
  <c r="N69" i="18"/>
  <c r="N47" i="18"/>
  <c r="J157" i="18"/>
  <c r="J201" i="18"/>
  <c r="J69" i="18"/>
  <c r="J135" i="18"/>
  <c r="J47" i="18"/>
  <c r="J179" i="18"/>
  <c r="J91" i="18"/>
  <c r="J113" i="18"/>
  <c r="V627" i="18"/>
  <c r="V605" i="18"/>
  <c r="V583" i="18"/>
  <c r="V540" i="18"/>
  <c r="V496" i="18"/>
  <c r="V562" i="18"/>
  <c r="V474" i="18"/>
  <c r="V518" i="18"/>
  <c r="L627" i="18"/>
  <c r="L605" i="18"/>
  <c r="L562" i="18"/>
  <c r="L583" i="18"/>
  <c r="L518" i="18"/>
  <c r="L540" i="18"/>
  <c r="L496" i="18"/>
  <c r="L474" i="18"/>
  <c r="AE605" i="18"/>
  <c r="AE540" i="18"/>
  <c r="AE627" i="18"/>
  <c r="AE583" i="18"/>
  <c r="AE496" i="18"/>
  <c r="AE474" i="18"/>
  <c r="AE562" i="18"/>
  <c r="AE518" i="18"/>
  <c r="AG613" i="18"/>
  <c r="AG570" i="18"/>
  <c r="AG591" i="18"/>
  <c r="AG526" i="18"/>
  <c r="AG504" i="18"/>
  <c r="AG548" i="18"/>
  <c r="AG482" i="18"/>
  <c r="AG460" i="18"/>
  <c r="X591" i="18"/>
  <c r="X613" i="18"/>
  <c r="X570" i="18"/>
  <c r="X526" i="18"/>
  <c r="X504" i="18"/>
  <c r="X548" i="18"/>
  <c r="X482" i="18"/>
  <c r="X460" i="18"/>
  <c r="AB613" i="18"/>
  <c r="AB591" i="18"/>
  <c r="AB570" i="18"/>
  <c r="AB548" i="18"/>
  <c r="AB526" i="18"/>
  <c r="AB482" i="18"/>
  <c r="AB460" i="18"/>
  <c r="AB504" i="18"/>
  <c r="AF591" i="18"/>
  <c r="AF613" i="18"/>
  <c r="AF570" i="18"/>
  <c r="AF526" i="18"/>
  <c r="AF504" i="18"/>
  <c r="AF548" i="18"/>
  <c r="AF482" i="18"/>
  <c r="AF460" i="18"/>
  <c r="Z178" i="18"/>
  <c r="Z200" i="18"/>
  <c r="Z156" i="18"/>
  <c r="Z90" i="18"/>
  <c r="Z68" i="18"/>
  <c r="Z134" i="18"/>
  <c r="Z112" i="18"/>
  <c r="Z46" i="18"/>
  <c r="S68" i="18"/>
  <c r="S200" i="18"/>
  <c r="S134" i="18"/>
  <c r="S112" i="18"/>
  <c r="S156" i="18"/>
  <c r="S178" i="18"/>
  <c r="S90" i="18"/>
  <c r="S46" i="18"/>
  <c r="O200" i="18"/>
  <c r="O178" i="18"/>
  <c r="O112" i="18"/>
  <c r="O156" i="18"/>
  <c r="O90" i="18"/>
  <c r="O68" i="18"/>
  <c r="O134" i="18"/>
  <c r="O46" i="18"/>
  <c r="N373" i="18"/>
  <c r="N417" i="18"/>
  <c r="N395" i="18"/>
  <c r="N351" i="18"/>
  <c r="N329" i="18"/>
  <c r="N285" i="18"/>
  <c r="N263" i="18"/>
  <c r="N307" i="18"/>
  <c r="I351" i="18"/>
  <c r="I417" i="18"/>
  <c r="I373" i="18"/>
  <c r="I307" i="18"/>
  <c r="I285" i="18"/>
  <c r="I395" i="18"/>
  <c r="I263" i="18"/>
  <c r="I329" i="18"/>
  <c r="S417" i="18"/>
  <c r="S395" i="18"/>
  <c r="S285" i="18"/>
  <c r="S373" i="18"/>
  <c r="S329" i="18"/>
  <c r="S307" i="18"/>
  <c r="S263" i="18"/>
  <c r="S351" i="18"/>
  <c r="R199" i="18"/>
  <c r="R177" i="18"/>
  <c r="R111" i="18"/>
  <c r="R89" i="18"/>
  <c r="R155" i="18"/>
  <c r="R133" i="18"/>
  <c r="R67" i="18"/>
  <c r="R45" i="18"/>
  <c r="N155" i="18"/>
  <c r="N199" i="18"/>
  <c r="N67" i="18"/>
  <c r="N177" i="18"/>
  <c r="N133" i="18"/>
  <c r="N45" i="18"/>
  <c r="N89" i="18"/>
  <c r="N111" i="18"/>
  <c r="Y199" i="18"/>
  <c r="Y155" i="18"/>
  <c r="Y111" i="18"/>
  <c r="Y177" i="18"/>
  <c r="Y89" i="18"/>
  <c r="Y67" i="18"/>
  <c r="Y133" i="18"/>
  <c r="Y45" i="18"/>
  <c r="X418" i="18"/>
  <c r="X374" i="18"/>
  <c r="X352" i="18"/>
  <c r="X308" i="18"/>
  <c r="X286" i="18"/>
  <c r="X396" i="18"/>
  <c r="X330" i="18"/>
  <c r="X264" i="18"/>
  <c r="AB374" i="18"/>
  <c r="AB418" i="18"/>
  <c r="AB330" i="18"/>
  <c r="AB396" i="18"/>
  <c r="AB352" i="18"/>
  <c r="AB286" i="18"/>
  <c r="AB308" i="18"/>
  <c r="AB264" i="18"/>
  <c r="AF418" i="18"/>
  <c r="AF374" i="18"/>
  <c r="AF308" i="18"/>
  <c r="AF396" i="18"/>
  <c r="AF352" i="18"/>
  <c r="AF286" i="18"/>
  <c r="AF330" i="18"/>
  <c r="AF264" i="18"/>
  <c r="V418" i="18"/>
  <c r="V396" i="18"/>
  <c r="V330" i="18"/>
  <c r="V352" i="18"/>
  <c r="V308" i="18"/>
  <c r="V374" i="18"/>
  <c r="V286" i="18"/>
  <c r="V264" i="18"/>
  <c r="L628" i="18"/>
  <c r="L606" i="18"/>
  <c r="L584" i="18"/>
  <c r="L497" i="18"/>
  <c r="L541" i="18"/>
  <c r="L563" i="18"/>
  <c r="L475" i="18"/>
  <c r="L519" i="18"/>
  <c r="Q628" i="18"/>
  <c r="Q584" i="18"/>
  <c r="Q606" i="18"/>
  <c r="Q563" i="18"/>
  <c r="Q519" i="18"/>
  <c r="Q541" i="18"/>
  <c r="Q497" i="18"/>
  <c r="Q475" i="18"/>
  <c r="O584" i="18"/>
  <c r="O606" i="18"/>
  <c r="O563" i="18"/>
  <c r="O541" i="18"/>
  <c r="O519" i="18"/>
  <c r="O628" i="18"/>
  <c r="O475" i="18"/>
  <c r="O497" i="18"/>
  <c r="AC581" i="18"/>
  <c r="AC603" i="18"/>
  <c r="AC560" i="18"/>
  <c r="AC538" i="18"/>
  <c r="AC516" i="18"/>
  <c r="AC472" i="18"/>
  <c r="AC625" i="18"/>
  <c r="AC494" i="18"/>
  <c r="R625" i="18"/>
  <c r="R603" i="18"/>
  <c r="R581" i="18"/>
  <c r="R494" i="18"/>
  <c r="R538" i="18"/>
  <c r="R560" i="18"/>
  <c r="R472" i="18"/>
  <c r="R516" i="18"/>
  <c r="X625" i="18"/>
  <c r="X603" i="18"/>
  <c r="X581" i="18"/>
  <c r="X560" i="18"/>
  <c r="X516" i="18"/>
  <c r="X538" i="18"/>
  <c r="X494" i="18"/>
  <c r="X472" i="18"/>
  <c r="X608" i="18"/>
  <c r="X586" i="18"/>
  <c r="X630" i="18"/>
  <c r="X565" i="18"/>
  <c r="X499" i="18"/>
  <c r="X543" i="18"/>
  <c r="X477" i="18"/>
  <c r="X521" i="18"/>
  <c r="AC630" i="18"/>
  <c r="AC565" i="18"/>
  <c r="AC608" i="18"/>
  <c r="AC586" i="18"/>
  <c r="AC521" i="18"/>
  <c r="AC543" i="18"/>
  <c r="AC499" i="18"/>
  <c r="AC477" i="18"/>
  <c r="Q630" i="18"/>
  <c r="Q608" i="18"/>
  <c r="Q543" i="18"/>
  <c r="Q586" i="18"/>
  <c r="Q499" i="18"/>
  <c r="Q565" i="18"/>
  <c r="Q477" i="18"/>
  <c r="Q521" i="18"/>
  <c r="J416" i="18"/>
  <c r="J394" i="18"/>
  <c r="J328" i="18"/>
  <c r="J350" i="18"/>
  <c r="J306" i="18"/>
  <c r="J372" i="18"/>
  <c r="J284" i="18"/>
  <c r="J262" i="18"/>
  <c r="AH416" i="18"/>
  <c r="AH394" i="18"/>
  <c r="AH328" i="18"/>
  <c r="AH372" i="18"/>
  <c r="AH306" i="18"/>
  <c r="AH284" i="18"/>
  <c r="AH262" i="18"/>
  <c r="AH350" i="18"/>
  <c r="AD394" i="18"/>
  <c r="AD350" i="18"/>
  <c r="AD262" i="18"/>
  <c r="AD372" i="18"/>
  <c r="AD328" i="18"/>
  <c r="AD416" i="18"/>
  <c r="AD306" i="18"/>
  <c r="AD284" i="18"/>
  <c r="K350" i="18"/>
  <c r="K416" i="18"/>
  <c r="K306" i="18"/>
  <c r="K284" i="18"/>
  <c r="K394" i="18"/>
  <c r="K372" i="18"/>
  <c r="K328" i="18"/>
  <c r="K262" i="18"/>
  <c r="R629" i="18"/>
  <c r="R607" i="18"/>
  <c r="R585" i="18"/>
  <c r="R564" i="18"/>
  <c r="R498" i="18"/>
  <c r="R520" i="18"/>
  <c r="R542" i="18"/>
  <c r="R476" i="18"/>
  <c r="Y629" i="18"/>
  <c r="Y607" i="18"/>
  <c r="Y564" i="18"/>
  <c r="Y585" i="18"/>
  <c r="Y520" i="18"/>
  <c r="Y542" i="18"/>
  <c r="Y498" i="18"/>
  <c r="Y476" i="18"/>
  <c r="AC607" i="18"/>
  <c r="AC585" i="18"/>
  <c r="AC629" i="18"/>
  <c r="AC564" i="18"/>
  <c r="AC520" i="18"/>
  <c r="AC542" i="18"/>
  <c r="AC498" i="18"/>
  <c r="AC476" i="18"/>
  <c r="T415" i="18"/>
  <c r="T393" i="18"/>
  <c r="T327" i="18"/>
  <c r="T305" i="18"/>
  <c r="T349" i="18"/>
  <c r="T371" i="18"/>
  <c r="T261" i="18"/>
  <c r="T283" i="18"/>
  <c r="W415" i="18"/>
  <c r="W393" i="18"/>
  <c r="W283" i="18"/>
  <c r="W349" i="18"/>
  <c r="W371" i="18"/>
  <c r="W327" i="18"/>
  <c r="W305" i="18"/>
  <c r="W261" i="18"/>
  <c r="AD415" i="18"/>
  <c r="AD371" i="18"/>
  <c r="AD305" i="18"/>
  <c r="AD283" i="18"/>
  <c r="AD349" i="18"/>
  <c r="AD327" i="18"/>
  <c r="AD393" i="18"/>
  <c r="AD261" i="18"/>
  <c r="W369" i="18"/>
  <c r="W347" i="18"/>
  <c r="W413" i="18"/>
  <c r="W325" i="18"/>
  <c r="W391" i="18"/>
  <c r="W303" i="18"/>
  <c r="W281" i="18"/>
  <c r="W259" i="18"/>
  <c r="AB391" i="18"/>
  <c r="AB413" i="18"/>
  <c r="AB259" i="18"/>
  <c r="AB369" i="18"/>
  <c r="AB325" i="18"/>
  <c r="AB347" i="18"/>
  <c r="AB303" i="18"/>
  <c r="AB281" i="18"/>
  <c r="AF413" i="18"/>
  <c r="AF391" i="18"/>
  <c r="AF325" i="18"/>
  <c r="AF369" i="18"/>
  <c r="AF303" i="18"/>
  <c r="AF347" i="18"/>
  <c r="AF259" i="18"/>
  <c r="AF281" i="18"/>
  <c r="X368" i="18"/>
  <c r="X412" i="18"/>
  <c r="X390" i="18"/>
  <c r="X324" i="18"/>
  <c r="X346" i="18"/>
  <c r="X280" i="18"/>
  <c r="X302" i="18"/>
  <c r="X258" i="18"/>
  <c r="AG631" i="18"/>
  <c r="AG587" i="18"/>
  <c r="AG609" i="18"/>
  <c r="AG566" i="18"/>
  <c r="AG522" i="18"/>
  <c r="AG544" i="18"/>
  <c r="AG478" i="18"/>
  <c r="AG500" i="18"/>
  <c r="AD186" i="18"/>
  <c r="AD164" i="18"/>
  <c r="AD98" i="18"/>
  <c r="AD76" i="18"/>
  <c r="AD142" i="18"/>
  <c r="AD120" i="18"/>
  <c r="AD54" i="18"/>
  <c r="AD32" i="18"/>
  <c r="AE201" i="18"/>
  <c r="AE157" i="18"/>
  <c r="AE91" i="18"/>
  <c r="AE69" i="18"/>
  <c r="AE135" i="18"/>
  <c r="AE47" i="18"/>
  <c r="AE113" i="18"/>
  <c r="AE179" i="18"/>
  <c r="AE625" i="18"/>
  <c r="AE581" i="18"/>
  <c r="AE603" i="18"/>
  <c r="AE538" i="18"/>
  <c r="AE560" i="18"/>
  <c r="AE516" i="18"/>
  <c r="AE494" i="18"/>
  <c r="AE472" i="18"/>
  <c r="Z412" i="18"/>
  <c r="Z390" i="18"/>
  <c r="Z324" i="18"/>
  <c r="Z368" i="18"/>
  <c r="Z302" i="18"/>
  <c r="Z346" i="18"/>
  <c r="Z280" i="18"/>
  <c r="Z258" i="18"/>
  <c r="K346" i="18"/>
  <c r="K412" i="18"/>
  <c r="K368" i="18"/>
  <c r="K302" i="18"/>
  <c r="K280" i="18"/>
  <c r="K390" i="18"/>
  <c r="K258" i="18"/>
  <c r="K324" i="18"/>
  <c r="X626" i="18"/>
  <c r="X604" i="18"/>
  <c r="X582" i="18"/>
  <c r="X495" i="18"/>
  <c r="X561" i="18"/>
  <c r="X539" i="18"/>
  <c r="X517" i="18"/>
  <c r="X473" i="18"/>
  <c r="F74" i="48"/>
  <c r="I132" i="18"/>
  <c r="I198" i="18"/>
  <c r="I110" i="18"/>
  <c r="I176" i="18"/>
  <c r="I88" i="18"/>
  <c r="I44" i="18"/>
  <c r="I154" i="18"/>
  <c r="I66" i="18"/>
  <c r="AA120" i="18"/>
  <c r="AA164" i="18"/>
  <c r="AA98" i="18"/>
  <c r="AA76" i="18"/>
  <c r="AA186" i="18"/>
  <c r="AA32" i="18"/>
  <c r="AA54" i="18"/>
  <c r="AA142" i="18"/>
  <c r="AF164" i="18"/>
  <c r="AF186" i="18"/>
  <c r="AF76" i="18"/>
  <c r="AF142" i="18"/>
  <c r="AF54" i="18"/>
  <c r="AF120" i="18"/>
  <c r="AF98" i="18"/>
  <c r="AF32" i="18"/>
  <c r="U182" i="18"/>
  <c r="U138" i="18"/>
  <c r="U50" i="18"/>
  <c r="U204" i="18"/>
  <c r="U116" i="18"/>
  <c r="U94" i="18"/>
  <c r="U160" i="18"/>
  <c r="U72" i="18"/>
  <c r="AB204" i="18"/>
  <c r="AB160" i="18"/>
  <c r="AB182" i="18"/>
  <c r="AB72" i="18"/>
  <c r="AB138" i="18"/>
  <c r="AB50" i="18"/>
  <c r="AB94" i="18"/>
  <c r="AB116" i="18"/>
  <c r="AB181" i="18"/>
  <c r="AB159" i="18"/>
  <c r="AB93" i="18"/>
  <c r="AB71" i="18"/>
  <c r="AB137" i="18"/>
  <c r="AB203" i="18"/>
  <c r="AB115" i="18"/>
  <c r="AB49" i="18"/>
  <c r="W202" i="18"/>
  <c r="W70" i="18"/>
  <c r="W158" i="18"/>
  <c r="W136" i="18"/>
  <c r="W180" i="18"/>
  <c r="W114" i="18"/>
  <c r="W48" i="18"/>
  <c r="W92" i="18"/>
  <c r="Y378" i="18"/>
  <c r="Y356" i="18"/>
  <c r="Y400" i="18"/>
  <c r="Y334" i="18"/>
  <c r="Y312" i="18"/>
  <c r="Y290" i="18"/>
  <c r="Y268" i="18"/>
  <c r="Y246" i="18"/>
  <c r="AD400" i="18"/>
  <c r="AD378" i="18"/>
  <c r="AD268" i="18"/>
  <c r="AD334" i="18"/>
  <c r="AD356" i="18"/>
  <c r="AD312" i="18"/>
  <c r="AD246" i="18"/>
  <c r="AD290" i="18"/>
  <c r="AC201" i="18"/>
  <c r="AC179" i="18"/>
  <c r="AC113" i="18"/>
  <c r="AC157" i="18"/>
  <c r="AC91" i="18"/>
  <c r="AC69" i="18"/>
  <c r="AC47" i="18"/>
  <c r="AC135" i="18"/>
  <c r="I605" i="18"/>
  <c r="I562" i="18"/>
  <c r="I583" i="18"/>
  <c r="I518" i="18"/>
  <c r="I540" i="18"/>
  <c r="I627" i="18"/>
  <c r="I474" i="18"/>
  <c r="I496" i="18"/>
  <c r="R613" i="18"/>
  <c r="R591" i="18"/>
  <c r="R548" i="18"/>
  <c r="R504" i="18"/>
  <c r="R570" i="18"/>
  <c r="R482" i="18"/>
  <c r="R460" i="18"/>
  <c r="R526" i="18"/>
  <c r="M613" i="18"/>
  <c r="M591" i="18"/>
  <c r="M570" i="18"/>
  <c r="M526" i="18"/>
  <c r="M548" i="18"/>
  <c r="M460" i="18"/>
  <c r="M504" i="18"/>
  <c r="M482" i="18"/>
  <c r="G76" i="48"/>
  <c r="AH178" i="18"/>
  <c r="AH156" i="18"/>
  <c r="AH200" i="18"/>
  <c r="AH90" i="18"/>
  <c r="AH68" i="18"/>
  <c r="AH134" i="18"/>
  <c r="AH112" i="18"/>
  <c r="AH46" i="18"/>
  <c r="X417" i="18"/>
  <c r="X395" i="18"/>
  <c r="X329" i="18"/>
  <c r="X373" i="18"/>
  <c r="X307" i="18"/>
  <c r="X351" i="18"/>
  <c r="X285" i="18"/>
  <c r="X263" i="18"/>
  <c r="AB177" i="18"/>
  <c r="AB199" i="18"/>
  <c r="AB89" i="18"/>
  <c r="AB67" i="18"/>
  <c r="AB133" i="18"/>
  <c r="AB155" i="18"/>
  <c r="AB111" i="18"/>
  <c r="AB45" i="18"/>
  <c r="I418" i="18"/>
  <c r="I396" i="18"/>
  <c r="I286" i="18"/>
  <c r="I352" i="18"/>
  <c r="I374" i="18"/>
  <c r="I330" i="18"/>
  <c r="I308" i="18"/>
  <c r="I264" i="18"/>
  <c r="AE606" i="18"/>
  <c r="AE628" i="18"/>
  <c r="AE584" i="18"/>
  <c r="AE563" i="18"/>
  <c r="AE541" i="18"/>
  <c r="AE519" i="18"/>
  <c r="AE475" i="18"/>
  <c r="AE497" i="18"/>
  <c r="W606" i="18"/>
  <c r="W584" i="18"/>
  <c r="W628" i="18"/>
  <c r="W563" i="18"/>
  <c r="W541" i="18"/>
  <c r="W519" i="18"/>
  <c r="W475" i="18"/>
  <c r="W497" i="18"/>
  <c r="AH625" i="18"/>
  <c r="AH603" i="18"/>
  <c r="AH581" i="18"/>
  <c r="AH560" i="18"/>
  <c r="AH494" i="18"/>
  <c r="AH538" i="18"/>
  <c r="AH516" i="18"/>
  <c r="AH472" i="18"/>
  <c r="N630" i="18"/>
  <c r="N586" i="18"/>
  <c r="N608" i="18"/>
  <c r="N565" i="18"/>
  <c r="N521" i="18"/>
  <c r="N499" i="18"/>
  <c r="N543" i="18"/>
  <c r="N477" i="18"/>
  <c r="R416" i="18"/>
  <c r="R394" i="18"/>
  <c r="R328" i="18"/>
  <c r="R372" i="18"/>
  <c r="R306" i="18"/>
  <c r="R350" i="18"/>
  <c r="R262" i="18"/>
  <c r="R284" i="18"/>
  <c r="AH629" i="18"/>
  <c r="AH607" i="18"/>
  <c r="AH585" i="18"/>
  <c r="AH542" i="18"/>
  <c r="AH498" i="18"/>
  <c r="AH564" i="18"/>
  <c r="AH476" i="18"/>
  <c r="AH520" i="18"/>
  <c r="K371" i="18"/>
  <c r="K349" i="18"/>
  <c r="K415" i="18"/>
  <c r="K327" i="18"/>
  <c r="K305" i="18"/>
  <c r="K261" i="18"/>
  <c r="K393" i="18"/>
  <c r="K283" i="18"/>
  <c r="M391" i="18"/>
  <c r="M369" i="18"/>
  <c r="M413" i="18"/>
  <c r="M347" i="18"/>
  <c r="M325" i="18"/>
  <c r="M303" i="18"/>
  <c r="M259" i="18"/>
  <c r="M281" i="18"/>
  <c r="O626" i="18"/>
  <c r="O604" i="18"/>
  <c r="O582" i="18"/>
  <c r="O561" i="18"/>
  <c r="O517" i="18"/>
  <c r="O495" i="18"/>
  <c r="O539" i="18"/>
  <c r="O473" i="18"/>
  <c r="AB631" i="18"/>
  <c r="AB587" i="18"/>
  <c r="AB609" i="18"/>
  <c r="AB566" i="18"/>
  <c r="AB544" i="18"/>
  <c r="AB522" i="18"/>
  <c r="AB500" i="18"/>
  <c r="AB478" i="18"/>
  <c r="J198" i="18"/>
  <c r="J176" i="18"/>
  <c r="J132" i="18"/>
  <c r="J110" i="18"/>
  <c r="J154" i="18"/>
  <c r="J88" i="18"/>
  <c r="J44" i="18"/>
  <c r="J66" i="18"/>
  <c r="AG154" i="18"/>
  <c r="AG132" i="18"/>
  <c r="AG110" i="18"/>
  <c r="AG198" i="18"/>
  <c r="AG88" i="18"/>
  <c r="AG176" i="18"/>
  <c r="AG66" i="18"/>
  <c r="AG44" i="18"/>
  <c r="R182" i="18"/>
  <c r="R160" i="18"/>
  <c r="R94" i="18"/>
  <c r="R72" i="18"/>
  <c r="R204" i="18"/>
  <c r="R138" i="18"/>
  <c r="R116" i="18"/>
  <c r="R50" i="18"/>
  <c r="J202" i="18"/>
  <c r="J180" i="18"/>
  <c r="J136" i="18"/>
  <c r="J114" i="18"/>
  <c r="J158" i="18"/>
  <c r="J70" i="18"/>
  <c r="J48" i="18"/>
  <c r="J92" i="18"/>
  <c r="AF378" i="18"/>
  <c r="AF334" i="18"/>
  <c r="AF246" i="18"/>
  <c r="AF356" i="18"/>
  <c r="AF400" i="18"/>
  <c r="AF290" i="18"/>
  <c r="AF268" i="18"/>
  <c r="AF312" i="18"/>
  <c r="Z605" i="18"/>
  <c r="Z583" i="18"/>
  <c r="Z627" i="18"/>
  <c r="Z562" i="18"/>
  <c r="Z518" i="18"/>
  <c r="Z540" i="18"/>
  <c r="Z496" i="18"/>
  <c r="Z474" i="18"/>
  <c r="O613" i="18"/>
  <c r="O591" i="18"/>
  <c r="O570" i="18"/>
  <c r="O526" i="18"/>
  <c r="O548" i="18"/>
  <c r="O504" i="18"/>
  <c r="O482" i="18"/>
  <c r="O460" i="18"/>
  <c r="AF200" i="18"/>
  <c r="AF178" i="18"/>
  <c r="AF112" i="18"/>
  <c r="AF90" i="18"/>
  <c r="AF156" i="18"/>
  <c r="AF134" i="18"/>
  <c r="AF46" i="18"/>
  <c r="AF68" i="18"/>
  <c r="AE133" i="18"/>
  <c r="AE155" i="18"/>
  <c r="AE111" i="18"/>
  <c r="AE89" i="18"/>
  <c r="AE199" i="18"/>
  <c r="AE45" i="18"/>
  <c r="AE177" i="18"/>
  <c r="AE67" i="18"/>
  <c r="K396" i="18"/>
  <c r="K374" i="18"/>
  <c r="K418" i="18"/>
  <c r="K352" i="18"/>
  <c r="K330" i="18"/>
  <c r="K308" i="18"/>
  <c r="K264" i="18"/>
  <c r="K286" i="18"/>
  <c r="AD628" i="18"/>
  <c r="AD606" i="18"/>
  <c r="AD584" i="18"/>
  <c r="AD563" i="18"/>
  <c r="AD541" i="18"/>
  <c r="AD519" i="18"/>
  <c r="AD497" i="18"/>
  <c r="AD475" i="18"/>
  <c r="U625" i="18"/>
  <c r="U581" i="18"/>
  <c r="U560" i="18"/>
  <c r="U603" i="18"/>
  <c r="U538" i="18"/>
  <c r="U516" i="18"/>
  <c r="U472" i="18"/>
  <c r="U494" i="18"/>
  <c r="V394" i="18"/>
  <c r="V350" i="18"/>
  <c r="V262" i="18"/>
  <c r="V328" i="18"/>
  <c r="V306" i="18"/>
  <c r="V416" i="18"/>
  <c r="V284" i="18"/>
  <c r="V372" i="18"/>
  <c r="W629" i="18"/>
  <c r="W585" i="18"/>
  <c r="W564" i="18"/>
  <c r="W607" i="18"/>
  <c r="W520" i="18"/>
  <c r="W542" i="18"/>
  <c r="W476" i="18"/>
  <c r="W498" i="18"/>
  <c r="K413" i="18"/>
  <c r="K391" i="18"/>
  <c r="K281" i="18"/>
  <c r="K347" i="18"/>
  <c r="K369" i="18"/>
  <c r="K325" i="18"/>
  <c r="K303" i="18"/>
  <c r="K259" i="18"/>
  <c r="S413" i="18"/>
  <c r="S391" i="18"/>
  <c r="S369" i="18"/>
  <c r="S281" i="18"/>
  <c r="S347" i="18"/>
  <c r="S325" i="18"/>
  <c r="S303" i="18"/>
  <c r="S259" i="18"/>
  <c r="I368" i="18"/>
  <c r="I346" i="18"/>
  <c r="I412" i="18"/>
  <c r="I324" i="18"/>
  <c r="I302" i="18"/>
  <c r="I280" i="18"/>
  <c r="I258" i="18"/>
  <c r="I390" i="18"/>
  <c r="AH412" i="18"/>
  <c r="AH390" i="18"/>
  <c r="AH324" i="18"/>
  <c r="AH302" i="18"/>
  <c r="AH346" i="18"/>
  <c r="AH368" i="18"/>
  <c r="AH258" i="18"/>
  <c r="AH280" i="18"/>
  <c r="T412" i="18"/>
  <c r="T368" i="18"/>
  <c r="T346" i="18"/>
  <c r="T302" i="18"/>
  <c r="T390" i="18"/>
  <c r="T280" i="18"/>
  <c r="T324" i="18"/>
  <c r="T258" i="18"/>
  <c r="O390" i="18"/>
  <c r="O368" i="18"/>
  <c r="O412" i="18"/>
  <c r="O346" i="18"/>
  <c r="O324" i="18"/>
  <c r="O302" i="18"/>
  <c r="O258" i="18"/>
  <c r="O280" i="18"/>
  <c r="M626" i="18"/>
  <c r="M604" i="18"/>
  <c r="M582" i="18"/>
  <c r="M539" i="18"/>
  <c r="M517" i="18"/>
  <c r="M561" i="18"/>
  <c r="M473" i="18"/>
  <c r="M495" i="18"/>
  <c r="Q604" i="18"/>
  <c r="Q539" i="18"/>
  <c r="Q626" i="18"/>
  <c r="Q582" i="18"/>
  <c r="Q495" i="18"/>
  <c r="Q473" i="18"/>
  <c r="Q561" i="18"/>
  <c r="Q517" i="18"/>
  <c r="L604" i="18"/>
  <c r="L582" i="18"/>
  <c r="L626" i="18"/>
  <c r="L561" i="18"/>
  <c r="L539" i="18"/>
  <c r="L517" i="18"/>
  <c r="L473" i="18"/>
  <c r="L495" i="18"/>
  <c r="Z609" i="18"/>
  <c r="Z631" i="18"/>
  <c r="Z587" i="18"/>
  <c r="Z566" i="18"/>
  <c r="Z544" i="18"/>
  <c r="Z522" i="18"/>
  <c r="Z500" i="18"/>
  <c r="Z478" i="18"/>
  <c r="AE631" i="18"/>
  <c r="AE609" i="18"/>
  <c r="AE544" i="18"/>
  <c r="AE587" i="18"/>
  <c r="AE500" i="18"/>
  <c r="AE478" i="18"/>
  <c r="AE522" i="18"/>
  <c r="AE566" i="18"/>
  <c r="S631" i="18"/>
  <c r="S609" i="18"/>
  <c r="S587" i="18"/>
  <c r="S566" i="18"/>
  <c r="S544" i="18"/>
  <c r="S522" i="18"/>
  <c r="S478" i="18"/>
  <c r="S500" i="18"/>
  <c r="M370" i="18"/>
  <c r="M348" i="18"/>
  <c r="M414" i="18"/>
  <c r="M326" i="18"/>
  <c r="M392" i="18"/>
  <c r="M304" i="18"/>
  <c r="M282" i="18"/>
  <c r="M260" i="18"/>
  <c r="AF414" i="18"/>
  <c r="AF370" i="18"/>
  <c r="AF348" i="18"/>
  <c r="AF304" i="18"/>
  <c r="AF392" i="18"/>
  <c r="AF282" i="18"/>
  <c r="AF326" i="18"/>
  <c r="AF260" i="18"/>
  <c r="W348" i="18"/>
  <c r="W414" i="18"/>
  <c r="W370" i="18"/>
  <c r="W304" i="18"/>
  <c r="W282" i="18"/>
  <c r="W392" i="18"/>
  <c r="W260" i="18"/>
  <c r="W326" i="18"/>
  <c r="U198" i="18"/>
  <c r="U88" i="18"/>
  <c r="U154" i="18"/>
  <c r="U66" i="18"/>
  <c r="U132" i="18"/>
  <c r="U176" i="18"/>
  <c r="U110" i="18"/>
  <c r="U44" i="18"/>
  <c r="AE176" i="18"/>
  <c r="AE154" i="18"/>
  <c r="AE66" i="18"/>
  <c r="AE132" i="18"/>
  <c r="AE198" i="18"/>
  <c r="AE110" i="18"/>
  <c r="AE44" i="18"/>
  <c r="AE88" i="18"/>
  <c r="U186" i="18"/>
  <c r="U98" i="18"/>
  <c r="U76" i="18"/>
  <c r="U142" i="18"/>
  <c r="U32" i="18"/>
  <c r="U120" i="18"/>
  <c r="U164" i="18"/>
  <c r="U54" i="18"/>
  <c r="AB186" i="18"/>
  <c r="AB120" i="18"/>
  <c r="AB164" i="18"/>
  <c r="AB98" i="18"/>
  <c r="AB142" i="18"/>
  <c r="AB76" i="18"/>
  <c r="AB54" i="18"/>
  <c r="AB32" i="18"/>
  <c r="P204" i="18"/>
  <c r="P182" i="18"/>
  <c r="P116" i="18"/>
  <c r="P160" i="18"/>
  <c r="P94" i="18"/>
  <c r="P138" i="18"/>
  <c r="P50" i="18"/>
  <c r="P72" i="18"/>
  <c r="Q203" i="18"/>
  <c r="Q115" i="18"/>
  <c r="Q93" i="18"/>
  <c r="Q159" i="18"/>
  <c r="Q71" i="18"/>
  <c r="Q181" i="18"/>
  <c r="Q49" i="18"/>
  <c r="Q137" i="18"/>
  <c r="W203" i="18"/>
  <c r="W159" i="18"/>
  <c r="W137" i="18"/>
  <c r="W49" i="18"/>
  <c r="W115" i="18"/>
  <c r="W181" i="18"/>
  <c r="W93" i="18"/>
  <c r="W71" i="18"/>
  <c r="V202" i="18"/>
  <c r="V180" i="18"/>
  <c r="V158" i="18"/>
  <c r="V92" i="18"/>
  <c r="V70" i="18"/>
  <c r="V136" i="18"/>
  <c r="V114" i="18"/>
  <c r="V48" i="18"/>
  <c r="AF202" i="18"/>
  <c r="AF158" i="18"/>
  <c r="AF70" i="18"/>
  <c r="AF136" i="18"/>
  <c r="AF48" i="18"/>
  <c r="AF180" i="18"/>
  <c r="AF92" i="18"/>
  <c r="AF114" i="18"/>
  <c r="Z400" i="18"/>
  <c r="Z334" i="18"/>
  <c r="Z356" i="18"/>
  <c r="Z312" i="18"/>
  <c r="Z378" i="18"/>
  <c r="Z290" i="18"/>
  <c r="Z268" i="18"/>
  <c r="Z246" i="18"/>
  <c r="R400" i="18"/>
  <c r="R378" i="18"/>
  <c r="R334" i="18"/>
  <c r="R312" i="18"/>
  <c r="R290" i="18"/>
  <c r="R268" i="18"/>
  <c r="R246" i="18"/>
  <c r="R356" i="18"/>
  <c r="O201" i="18"/>
  <c r="O179" i="18"/>
  <c r="O91" i="18"/>
  <c r="O69" i="18"/>
  <c r="O157" i="18"/>
  <c r="O135" i="18"/>
  <c r="O47" i="18"/>
  <c r="O113" i="18"/>
  <c r="Y69" i="18"/>
  <c r="Y201" i="18"/>
  <c r="Y179" i="18"/>
  <c r="Y135" i="18"/>
  <c r="Y157" i="18"/>
  <c r="Y113" i="18"/>
  <c r="Y91" i="18"/>
  <c r="Y47" i="18"/>
  <c r="AB627" i="18"/>
  <c r="AB605" i="18"/>
  <c r="AB562" i="18"/>
  <c r="AB583" i="18"/>
  <c r="AB518" i="18"/>
  <c r="AB496" i="18"/>
  <c r="AB540" i="18"/>
  <c r="AB474" i="18"/>
  <c r="P627" i="18"/>
  <c r="P605" i="18"/>
  <c r="P583" i="18"/>
  <c r="P562" i="18"/>
  <c r="P518" i="18"/>
  <c r="P540" i="18"/>
  <c r="P496" i="18"/>
  <c r="P474" i="18"/>
  <c r="I613" i="18"/>
  <c r="I570" i="18"/>
  <c r="I591" i="18"/>
  <c r="I526" i="18"/>
  <c r="I548" i="18"/>
  <c r="I504" i="18"/>
  <c r="I482" i="18"/>
  <c r="I460" i="18"/>
  <c r="AC200" i="18"/>
  <c r="AC178" i="18"/>
  <c r="AC134" i="18"/>
  <c r="AC46" i="18"/>
  <c r="AC112" i="18"/>
  <c r="AC90" i="18"/>
  <c r="AC156" i="18"/>
  <c r="AC68" i="18"/>
  <c r="J178" i="18"/>
  <c r="J200" i="18"/>
  <c r="J90" i="18"/>
  <c r="J68" i="18"/>
  <c r="J134" i="18"/>
  <c r="J156" i="18"/>
  <c r="J112" i="18"/>
  <c r="J46" i="18"/>
  <c r="AD200" i="18"/>
  <c r="AD178" i="18"/>
  <c r="AD134" i="18"/>
  <c r="AD112" i="18"/>
  <c r="AD156" i="18"/>
  <c r="AD68" i="18"/>
  <c r="AD46" i="18"/>
  <c r="AD90" i="18"/>
  <c r="AC395" i="18"/>
  <c r="AC373" i="18"/>
  <c r="AC417" i="18"/>
  <c r="AC329" i="18"/>
  <c r="AC307" i="18"/>
  <c r="AC285" i="18"/>
  <c r="AC263" i="18"/>
  <c r="AC351" i="18"/>
  <c r="AH417" i="18"/>
  <c r="AH373" i="18"/>
  <c r="AH307" i="18"/>
  <c r="AH395" i="18"/>
  <c r="AH285" i="18"/>
  <c r="AH351" i="18"/>
  <c r="AH329" i="18"/>
  <c r="AH263" i="18"/>
  <c r="AG199" i="18"/>
  <c r="AG155" i="18"/>
  <c r="AG111" i="18"/>
  <c r="AG89" i="18"/>
  <c r="AG67" i="18"/>
  <c r="AG177" i="18"/>
  <c r="AG45" i="18"/>
  <c r="AG133" i="18"/>
  <c r="X199" i="18"/>
  <c r="X177" i="18"/>
  <c r="X133" i="18"/>
  <c r="X155" i="18"/>
  <c r="X111" i="18"/>
  <c r="X45" i="18"/>
  <c r="X67" i="18"/>
  <c r="X89" i="18"/>
  <c r="AC374" i="18"/>
  <c r="AC352" i="18"/>
  <c r="AC418" i="18"/>
  <c r="AC396" i="18"/>
  <c r="AC330" i="18"/>
  <c r="AC308" i="18"/>
  <c r="AC264" i="18"/>
  <c r="AC286" i="18"/>
  <c r="Q418" i="18"/>
  <c r="Q396" i="18"/>
  <c r="Q374" i="18"/>
  <c r="Q286" i="18"/>
  <c r="Q352" i="18"/>
  <c r="Q330" i="18"/>
  <c r="Q308" i="18"/>
  <c r="Q264" i="18"/>
  <c r="AB628" i="18"/>
  <c r="AB606" i="18"/>
  <c r="AB584" i="18"/>
  <c r="AB497" i="18"/>
  <c r="AB541" i="18"/>
  <c r="AB563" i="18"/>
  <c r="AB519" i="18"/>
  <c r="AB475" i="18"/>
  <c r="AG628" i="18"/>
  <c r="AG606" i="18"/>
  <c r="AG584" i="18"/>
  <c r="AG541" i="18"/>
  <c r="AG519" i="18"/>
  <c r="AG563" i="18"/>
  <c r="AG475" i="18"/>
  <c r="AG497" i="18"/>
  <c r="AG625" i="18"/>
  <c r="AG603" i="18"/>
  <c r="AG560" i="18"/>
  <c r="AG516" i="18"/>
  <c r="AG581" i="18"/>
  <c r="AG494" i="18"/>
  <c r="AG538" i="18"/>
  <c r="AG472" i="18"/>
  <c r="I625" i="18"/>
  <c r="I603" i="18"/>
  <c r="I560" i="18"/>
  <c r="I516" i="18"/>
  <c r="I494" i="18"/>
  <c r="I581" i="18"/>
  <c r="I538" i="18"/>
  <c r="I472" i="18"/>
  <c r="I608" i="18"/>
  <c r="I586" i="18"/>
  <c r="I543" i="18"/>
  <c r="I630" i="18"/>
  <c r="I499" i="18"/>
  <c r="I477" i="18"/>
  <c r="I565" i="18"/>
  <c r="I521" i="18"/>
  <c r="AG630" i="18"/>
  <c r="AG608" i="18"/>
  <c r="AG543" i="18"/>
  <c r="AG586" i="18"/>
  <c r="AG499" i="18"/>
  <c r="AG477" i="18"/>
  <c r="AG565" i="18"/>
  <c r="AG521" i="18"/>
  <c r="Y372" i="18"/>
  <c r="Y350" i="18"/>
  <c r="Y416" i="18"/>
  <c r="Y394" i="18"/>
  <c r="Y328" i="18"/>
  <c r="Y306" i="18"/>
  <c r="Y284" i="18"/>
  <c r="Y262" i="18"/>
  <c r="N394" i="18"/>
  <c r="N416" i="18"/>
  <c r="N262" i="18"/>
  <c r="N372" i="18"/>
  <c r="N328" i="18"/>
  <c r="N350" i="18"/>
  <c r="N306" i="18"/>
  <c r="N284" i="18"/>
  <c r="O629" i="18"/>
  <c r="O607" i="18"/>
  <c r="O585" i="18"/>
  <c r="O564" i="18"/>
  <c r="O542" i="18"/>
  <c r="O520" i="18"/>
  <c r="O498" i="18"/>
  <c r="O476" i="18"/>
  <c r="J629" i="18"/>
  <c r="J607" i="18"/>
  <c r="J585" i="18"/>
  <c r="J498" i="18"/>
  <c r="J564" i="18"/>
  <c r="J542" i="18"/>
  <c r="J520" i="18"/>
  <c r="J476" i="18"/>
  <c r="N607" i="18"/>
  <c r="N585" i="18"/>
  <c r="N629" i="18"/>
  <c r="N564" i="18"/>
  <c r="N542" i="18"/>
  <c r="N520" i="18"/>
  <c r="N498" i="18"/>
  <c r="N476" i="18"/>
  <c r="U349" i="18"/>
  <c r="U415" i="18"/>
  <c r="U305" i="18"/>
  <c r="U393" i="18"/>
  <c r="U283" i="18"/>
  <c r="U371" i="18"/>
  <c r="U327" i="18"/>
  <c r="U261" i="18"/>
  <c r="O415" i="18"/>
  <c r="O393" i="18"/>
  <c r="O371" i="18"/>
  <c r="O349" i="18"/>
  <c r="O283" i="18"/>
  <c r="O327" i="18"/>
  <c r="O261" i="18"/>
  <c r="O305" i="18"/>
  <c r="X413" i="18"/>
  <c r="X391" i="18"/>
  <c r="X325" i="18"/>
  <c r="X347" i="18"/>
  <c r="X303" i="18"/>
  <c r="X369" i="18"/>
  <c r="X281" i="18"/>
  <c r="X259" i="18"/>
  <c r="Q347" i="18"/>
  <c r="Q413" i="18"/>
  <c r="Q369" i="18"/>
  <c r="Q303" i="18"/>
  <c r="Q281" i="18"/>
  <c r="Q391" i="18"/>
  <c r="Q259" i="18"/>
  <c r="Q325" i="18"/>
  <c r="U412" i="18"/>
  <c r="U390" i="18"/>
  <c r="U280" i="18"/>
  <c r="U368" i="18"/>
  <c r="U324" i="18"/>
  <c r="U346" i="18"/>
  <c r="U302" i="18"/>
  <c r="U258" i="18"/>
  <c r="AA346" i="18"/>
  <c r="AA412" i="18"/>
  <c r="AA368" i="18"/>
  <c r="AA302" i="18"/>
  <c r="AA280" i="18"/>
  <c r="AA390" i="18"/>
  <c r="AA324" i="18"/>
  <c r="AA258" i="18"/>
  <c r="AE390" i="18"/>
  <c r="AE368" i="18"/>
  <c r="AE412" i="18"/>
  <c r="AE324" i="18"/>
  <c r="AE302" i="18"/>
  <c r="AE346" i="18"/>
  <c r="AE280" i="18"/>
  <c r="AE258" i="18"/>
  <c r="AC626" i="18"/>
  <c r="AC582" i="18"/>
  <c r="AC604" i="18"/>
  <c r="AC561" i="18"/>
  <c r="AC539" i="18"/>
  <c r="AC517" i="18"/>
  <c r="AC495" i="18"/>
  <c r="AC473" i="18"/>
  <c r="AG604" i="18"/>
  <c r="AG626" i="18"/>
  <c r="AG582" i="18"/>
  <c r="AG539" i="18"/>
  <c r="AG495" i="18"/>
  <c r="AG473" i="18"/>
  <c r="AG517" i="18"/>
  <c r="AG561" i="18"/>
  <c r="S604" i="18"/>
  <c r="S626" i="18"/>
  <c r="S582" i="18"/>
  <c r="S561" i="18"/>
  <c r="S539" i="18"/>
  <c r="S517" i="18"/>
  <c r="S473" i="18"/>
  <c r="S495" i="18"/>
  <c r="AB604" i="18"/>
  <c r="AB582" i="18"/>
  <c r="AB626" i="18"/>
  <c r="AB561" i="18"/>
  <c r="AB539" i="18"/>
  <c r="AB517" i="18"/>
  <c r="AB495" i="18"/>
  <c r="AB473" i="18"/>
  <c r="K631" i="18"/>
  <c r="K609" i="18"/>
  <c r="K566" i="18"/>
  <c r="K544" i="18"/>
  <c r="K522" i="18"/>
  <c r="K587" i="18"/>
  <c r="K478" i="18"/>
  <c r="K500" i="18"/>
  <c r="P631" i="18"/>
  <c r="P609" i="18"/>
  <c r="P587" i="18"/>
  <c r="P566" i="18"/>
  <c r="P544" i="18"/>
  <c r="P522" i="18"/>
  <c r="P500" i="18"/>
  <c r="P478" i="18"/>
  <c r="T631" i="18"/>
  <c r="T587" i="18"/>
  <c r="T609" i="18"/>
  <c r="T566" i="18"/>
  <c r="T544" i="18"/>
  <c r="T522" i="18"/>
  <c r="T500" i="18"/>
  <c r="T478" i="18"/>
  <c r="AC370" i="18"/>
  <c r="AC348" i="18"/>
  <c r="AC414" i="18"/>
  <c r="AC326" i="18"/>
  <c r="AC392" i="18"/>
  <c r="AC304" i="18"/>
  <c r="AC282" i="18"/>
  <c r="AC260" i="18"/>
  <c r="R392" i="18"/>
  <c r="R348" i="18"/>
  <c r="R260" i="18"/>
  <c r="R370" i="18"/>
  <c r="R326" i="18"/>
  <c r="R414" i="18"/>
  <c r="R304" i="18"/>
  <c r="R282" i="18"/>
  <c r="X414" i="18"/>
  <c r="X370" i="18"/>
  <c r="X304" i="18"/>
  <c r="X282" i="18"/>
  <c r="X392" i="18"/>
  <c r="X348" i="18"/>
  <c r="X326" i="18"/>
  <c r="X260" i="18"/>
  <c r="V176" i="18"/>
  <c r="V198" i="18"/>
  <c r="V88" i="18"/>
  <c r="V154" i="18"/>
  <c r="V66" i="18"/>
  <c r="V132" i="18"/>
  <c r="V110" i="18"/>
  <c r="V44" i="18"/>
  <c r="L198" i="18"/>
  <c r="L176" i="18"/>
  <c r="L110" i="18"/>
  <c r="L88" i="18"/>
  <c r="L154" i="18"/>
  <c r="L132" i="18"/>
  <c r="L44" i="18"/>
  <c r="L66" i="18"/>
  <c r="P198" i="18"/>
  <c r="P154" i="18"/>
  <c r="P66" i="18"/>
  <c r="P176" i="18"/>
  <c r="P132" i="18"/>
  <c r="P44" i="18"/>
  <c r="P88" i="18"/>
  <c r="P110" i="18"/>
  <c r="K120" i="18"/>
  <c r="K98" i="18"/>
  <c r="K76" i="18"/>
  <c r="K186" i="18"/>
  <c r="K32" i="18"/>
  <c r="K164" i="18"/>
  <c r="K54" i="18"/>
  <c r="K142" i="18"/>
  <c r="W186" i="18"/>
  <c r="W76" i="18"/>
  <c r="W142" i="18"/>
  <c r="W120" i="18"/>
  <c r="W164" i="18"/>
  <c r="W32" i="18"/>
  <c r="W54" i="18"/>
  <c r="W98" i="18"/>
  <c r="P164" i="18"/>
  <c r="P186" i="18"/>
  <c r="P76" i="18"/>
  <c r="P142" i="18"/>
  <c r="P54" i="18"/>
  <c r="P120" i="18"/>
  <c r="P98" i="18"/>
  <c r="P32" i="18"/>
  <c r="L186" i="18"/>
  <c r="L120" i="18"/>
  <c r="L98" i="18"/>
  <c r="L164" i="18"/>
  <c r="L142" i="18"/>
  <c r="L32" i="18"/>
  <c r="L76" i="18"/>
  <c r="L54" i="18"/>
  <c r="F80" i="48"/>
  <c r="I94" i="18"/>
  <c r="I72" i="18"/>
  <c r="I204" i="18"/>
  <c r="I138" i="18"/>
  <c r="I182" i="18"/>
  <c r="I160" i="18"/>
  <c r="I116" i="18"/>
  <c r="I50" i="18"/>
  <c r="T204" i="18"/>
  <c r="T160" i="18"/>
  <c r="T182" i="18"/>
  <c r="T72" i="18"/>
  <c r="T138" i="18"/>
  <c r="T50" i="18"/>
  <c r="T94" i="18"/>
  <c r="T116" i="18"/>
  <c r="L204" i="18"/>
  <c r="L160" i="18"/>
  <c r="L182" i="18"/>
  <c r="L72" i="18"/>
  <c r="L138" i="18"/>
  <c r="L50" i="18"/>
  <c r="L94" i="18"/>
  <c r="L116" i="18"/>
  <c r="AF203" i="18"/>
  <c r="AF181" i="18"/>
  <c r="AF137" i="18"/>
  <c r="AF159" i="18"/>
  <c r="AF115" i="18"/>
  <c r="AF71" i="18"/>
  <c r="AF49" i="18"/>
  <c r="AF93" i="18"/>
  <c r="L181" i="18"/>
  <c r="L203" i="18"/>
  <c r="L159" i="18"/>
  <c r="L93" i="18"/>
  <c r="L71" i="18"/>
  <c r="L137" i="18"/>
  <c r="L115" i="18"/>
  <c r="L49" i="18"/>
  <c r="AC203" i="18"/>
  <c r="AC181" i="18"/>
  <c r="AC71" i="18"/>
  <c r="AC159" i="18"/>
  <c r="AC137" i="18"/>
  <c r="AC115" i="18"/>
  <c r="AC49" i="18"/>
  <c r="AC93" i="18"/>
  <c r="AA158" i="18"/>
  <c r="AA180" i="18"/>
  <c r="AA114" i="18"/>
  <c r="AA92" i="18"/>
  <c r="AA202" i="18"/>
  <c r="AA70" i="18"/>
  <c r="AA48" i="18"/>
  <c r="AA136" i="18"/>
  <c r="U202" i="18"/>
  <c r="U92" i="18"/>
  <c r="U70" i="18"/>
  <c r="U158" i="18"/>
  <c r="U180" i="18"/>
  <c r="U136" i="18"/>
  <c r="U48" i="18"/>
  <c r="U114" i="18"/>
  <c r="P202" i="18"/>
  <c r="P158" i="18"/>
  <c r="P180" i="18"/>
  <c r="P70" i="18"/>
  <c r="P136" i="18"/>
  <c r="P48" i="18"/>
  <c r="P92" i="18"/>
  <c r="P114" i="18"/>
  <c r="S356" i="18"/>
  <c r="S312" i="18"/>
  <c r="S400" i="18"/>
  <c r="S290" i="18"/>
  <c r="S334" i="18"/>
  <c r="S268" i="18"/>
  <c r="S378" i="18"/>
  <c r="S246" i="18"/>
  <c r="K356" i="18"/>
  <c r="K312" i="18"/>
  <c r="K378" i="18"/>
  <c r="K290" i="18"/>
  <c r="K400" i="18"/>
  <c r="K268" i="18"/>
  <c r="K246" i="18"/>
  <c r="K334" i="18"/>
  <c r="O400" i="18"/>
  <c r="O378" i="18"/>
  <c r="O356" i="18"/>
  <c r="O334" i="18"/>
  <c r="O312" i="18"/>
  <c r="O268" i="18"/>
  <c r="O246" i="18"/>
  <c r="O290" i="18"/>
  <c r="I62" i="48"/>
  <c r="AH400" i="18"/>
  <c r="AH378" i="18"/>
  <c r="AH334" i="18"/>
  <c r="AH312" i="18"/>
  <c r="AH356" i="18"/>
  <c r="AH290" i="18"/>
  <c r="AH268" i="18"/>
  <c r="AH246" i="18"/>
  <c r="F77" i="48"/>
  <c r="I157" i="18"/>
  <c r="I69" i="18"/>
  <c r="I135" i="18"/>
  <c r="I179" i="18"/>
  <c r="I113" i="18"/>
  <c r="I47" i="18"/>
  <c r="I201" i="18"/>
  <c r="I91" i="18"/>
  <c r="M201" i="18"/>
  <c r="M113" i="18"/>
  <c r="M179" i="18"/>
  <c r="M91" i="18"/>
  <c r="M69" i="18"/>
  <c r="M157" i="18"/>
  <c r="M47" i="18"/>
  <c r="M135" i="18"/>
  <c r="X179" i="18"/>
  <c r="X157" i="18"/>
  <c r="X201" i="18"/>
  <c r="X91" i="18"/>
  <c r="X69" i="18"/>
  <c r="X135" i="18"/>
  <c r="X113" i="18"/>
  <c r="X47" i="18"/>
  <c r="W605" i="18"/>
  <c r="W540" i="18"/>
  <c r="W583" i="18"/>
  <c r="W627" i="18"/>
  <c r="W496" i="18"/>
  <c r="W562" i="18"/>
  <c r="W474" i="18"/>
  <c r="W518" i="18"/>
  <c r="Y583" i="18"/>
  <c r="Y605" i="18"/>
  <c r="Y627" i="18"/>
  <c r="Y562" i="18"/>
  <c r="Y518" i="18"/>
  <c r="Y540" i="18"/>
  <c r="Y474" i="18"/>
  <c r="Y496" i="18"/>
  <c r="AF627" i="18"/>
  <c r="AF605" i="18"/>
  <c r="AF583" i="18"/>
  <c r="AF562" i="18"/>
  <c r="AF540" i="18"/>
  <c r="AF518" i="18"/>
  <c r="AF474" i="18"/>
  <c r="AF496" i="18"/>
  <c r="AH613" i="18"/>
  <c r="AH591" i="18"/>
  <c r="AH504" i="18"/>
  <c r="AH548" i="18"/>
  <c r="AH570" i="18"/>
  <c r="AH526" i="18"/>
  <c r="AH482" i="18"/>
  <c r="AH460" i="18"/>
  <c r="Y613" i="18"/>
  <c r="Y570" i="18"/>
  <c r="Y591" i="18"/>
  <c r="Y526" i="18"/>
  <c r="Y504" i="18"/>
  <c r="Y548" i="18"/>
  <c r="Y482" i="18"/>
  <c r="Y460" i="18"/>
  <c r="AC591" i="18"/>
  <c r="AC570" i="18"/>
  <c r="AC613" i="18"/>
  <c r="AC548" i="18"/>
  <c r="AC526" i="18"/>
  <c r="AC482" i="18"/>
  <c r="AC460" i="18"/>
  <c r="AC504" i="18"/>
  <c r="M134" i="18"/>
  <c r="M178" i="18"/>
  <c r="M112" i="18"/>
  <c r="M200" i="18"/>
  <c r="M156" i="18"/>
  <c r="M90" i="18"/>
  <c r="M68" i="18"/>
  <c r="M46" i="18"/>
  <c r="Y200" i="18"/>
  <c r="Y156" i="18"/>
  <c r="Y90" i="18"/>
  <c r="Y178" i="18"/>
  <c r="Y68" i="18"/>
  <c r="Y134" i="18"/>
  <c r="Y46" i="18"/>
  <c r="Y112" i="18"/>
  <c r="R178" i="18"/>
  <c r="R200" i="18"/>
  <c r="R90" i="18"/>
  <c r="R68" i="18"/>
  <c r="R134" i="18"/>
  <c r="R112" i="18"/>
  <c r="R156" i="18"/>
  <c r="R46" i="18"/>
  <c r="N200" i="18"/>
  <c r="N178" i="18"/>
  <c r="N134" i="18"/>
  <c r="N112" i="18"/>
  <c r="N156" i="18"/>
  <c r="N68" i="18"/>
  <c r="N90" i="18"/>
  <c r="N46" i="18"/>
  <c r="M395" i="18"/>
  <c r="M373" i="18"/>
  <c r="M417" i="18"/>
  <c r="M351" i="18"/>
  <c r="M329" i="18"/>
  <c r="M307" i="18"/>
  <c r="M263" i="18"/>
  <c r="M285" i="18"/>
  <c r="Z417" i="18"/>
  <c r="Z373" i="18"/>
  <c r="Z307" i="18"/>
  <c r="Z351" i="18"/>
  <c r="Z285" i="18"/>
  <c r="Z395" i="18"/>
  <c r="Z329" i="18"/>
  <c r="Z263" i="18"/>
  <c r="R417" i="18"/>
  <c r="R373" i="18"/>
  <c r="R395" i="18"/>
  <c r="R351" i="18"/>
  <c r="R307" i="18"/>
  <c r="R285" i="18"/>
  <c r="R329" i="18"/>
  <c r="R263" i="18"/>
  <c r="Q199" i="18"/>
  <c r="Q177" i="18"/>
  <c r="Q111" i="18"/>
  <c r="Q89" i="18"/>
  <c r="Q67" i="18"/>
  <c r="Q155" i="18"/>
  <c r="Q133" i="18"/>
  <c r="Q45" i="18"/>
  <c r="L177" i="18"/>
  <c r="L199" i="18"/>
  <c r="L89" i="18"/>
  <c r="L67" i="18"/>
  <c r="L155" i="18"/>
  <c r="L133" i="18"/>
  <c r="L111" i="18"/>
  <c r="L45" i="18"/>
  <c r="M67" i="18"/>
  <c r="M155" i="18"/>
  <c r="M199" i="18"/>
  <c r="M177" i="18"/>
  <c r="M133" i="18"/>
  <c r="M111" i="18"/>
  <c r="M89" i="18"/>
  <c r="M45" i="18"/>
  <c r="Y418" i="18"/>
  <c r="Y396" i="18"/>
  <c r="Y286" i="18"/>
  <c r="Y374" i="18"/>
  <c r="Y330" i="18"/>
  <c r="Y308" i="18"/>
  <c r="Y352" i="18"/>
  <c r="Y264" i="18"/>
  <c r="N418" i="18"/>
  <c r="N396" i="18"/>
  <c r="N330" i="18"/>
  <c r="N374" i="18"/>
  <c r="N308" i="18"/>
  <c r="N264" i="18"/>
  <c r="N352" i="18"/>
  <c r="N286" i="18"/>
  <c r="AG418" i="18"/>
  <c r="AG396" i="18"/>
  <c r="AG374" i="18"/>
  <c r="AG352" i="18"/>
  <c r="AG286" i="18"/>
  <c r="AG330" i="18"/>
  <c r="AG264" i="18"/>
  <c r="AG308" i="18"/>
  <c r="I628" i="18"/>
  <c r="I584" i="18"/>
  <c r="I606" i="18"/>
  <c r="I519" i="18"/>
  <c r="I563" i="18"/>
  <c r="I541" i="18"/>
  <c r="I497" i="18"/>
  <c r="I475" i="18"/>
  <c r="M606" i="18"/>
  <c r="M628" i="18"/>
  <c r="M541" i="18"/>
  <c r="M584" i="18"/>
  <c r="M497" i="18"/>
  <c r="M475" i="18"/>
  <c r="M563" i="18"/>
  <c r="M519" i="18"/>
  <c r="R628" i="18"/>
  <c r="R606" i="18"/>
  <c r="R584" i="18"/>
  <c r="R563" i="18"/>
  <c r="R519" i="18"/>
  <c r="R497" i="18"/>
  <c r="R541" i="18"/>
  <c r="R475" i="18"/>
  <c r="X606" i="18"/>
  <c r="X584" i="18"/>
  <c r="X628" i="18"/>
  <c r="X563" i="18"/>
  <c r="X541" i="18"/>
  <c r="X519" i="18"/>
  <c r="X475" i="18"/>
  <c r="X497" i="18"/>
  <c r="N603" i="18"/>
  <c r="N625" i="18"/>
  <c r="N581" i="18"/>
  <c r="N560" i="18"/>
  <c r="N538" i="18"/>
  <c r="N516" i="18"/>
  <c r="N494" i="18"/>
  <c r="N472" i="18"/>
  <c r="S603" i="18"/>
  <c r="S625" i="18"/>
  <c r="S581" i="18"/>
  <c r="S494" i="18"/>
  <c r="S472" i="18"/>
  <c r="S538" i="18"/>
  <c r="S560" i="18"/>
  <c r="S516" i="18"/>
  <c r="Y625" i="18"/>
  <c r="Y603" i="18"/>
  <c r="Y560" i="18"/>
  <c r="Y516" i="18"/>
  <c r="Y494" i="18"/>
  <c r="Y581" i="18"/>
  <c r="Y538" i="18"/>
  <c r="Y472" i="18"/>
  <c r="Y630" i="18"/>
  <c r="Y608" i="18"/>
  <c r="Y543" i="18"/>
  <c r="Y499" i="18"/>
  <c r="Y477" i="18"/>
  <c r="Y586" i="18"/>
  <c r="Y521" i="18"/>
  <c r="Y565" i="18"/>
  <c r="AD630" i="18"/>
  <c r="AD586" i="18"/>
  <c r="AD608" i="18"/>
  <c r="AD565" i="18"/>
  <c r="AD521" i="18"/>
  <c r="AD499" i="18"/>
  <c r="AD543" i="18"/>
  <c r="AD477" i="18"/>
  <c r="R630" i="18"/>
  <c r="R608" i="18"/>
  <c r="R586" i="18"/>
  <c r="R565" i="18"/>
  <c r="R543" i="18"/>
  <c r="R521" i="18"/>
  <c r="R477" i="18"/>
  <c r="R499" i="18"/>
  <c r="I372" i="18"/>
  <c r="I350" i="18"/>
  <c r="I416" i="18"/>
  <c r="I394" i="18"/>
  <c r="I328" i="18"/>
  <c r="I306" i="18"/>
  <c r="I284" i="18"/>
  <c r="I262" i="18"/>
  <c r="AG372" i="18"/>
  <c r="AG350" i="18"/>
  <c r="AG416" i="18"/>
  <c r="AG394" i="18"/>
  <c r="AG328" i="18"/>
  <c r="AG306" i="18"/>
  <c r="AG284" i="18"/>
  <c r="AG262" i="18"/>
  <c r="AC416" i="18"/>
  <c r="AC394" i="18"/>
  <c r="AC284" i="18"/>
  <c r="AC350" i="18"/>
  <c r="AC372" i="18"/>
  <c r="AC328" i="18"/>
  <c r="AC262" i="18"/>
  <c r="AC306" i="18"/>
  <c r="AE629" i="18"/>
  <c r="AE607" i="18"/>
  <c r="AE585" i="18"/>
  <c r="AE564" i="18"/>
  <c r="AE520" i="18"/>
  <c r="AE542" i="18"/>
  <c r="AE498" i="18"/>
  <c r="AE476" i="18"/>
  <c r="S607" i="18"/>
  <c r="S629" i="18"/>
  <c r="S542" i="18"/>
  <c r="S585" i="18"/>
  <c r="S498" i="18"/>
  <c r="S476" i="18"/>
  <c r="S520" i="18"/>
  <c r="S564" i="18"/>
  <c r="Z629" i="18"/>
  <c r="Z607" i="18"/>
  <c r="Z585" i="18"/>
  <c r="Z542" i="18"/>
  <c r="Z498" i="18"/>
  <c r="Z564" i="18"/>
  <c r="Z520" i="18"/>
  <c r="Z476" i="18"/>
  <c r="AD607" i="18"/>
  <c r="AD585" i="18"/>
  <c r="AD629" i="18"/>
  <c r="AD564" i="18"/>
  <c r="AD520" i="18"/>
  <c r="AD542" i="18"/>
  <c r="AD498" i="18"/>
  <c r="AD476" i="18"/>
  <c r="V415" i="18"/>
  <c r="V371" i="18"/>
  <c r="V305" i="18"/>
  <c r="V393" i="18"/>
  <c r="V283" i="18"/>
  <c r="V349" i="18"/>
  <c r="V327" i="18"/>
  <c r="V261" i="18"/>
  <c r="AA371" i="18"/>
  <c r="AA349" i="18"/>
  <c r="AA415" i="18"/>
  <c r="AA393" i="18"/>
  <c r="AA327" i="18"/>
  <c r="AA305" i="18"/>
  <c r="AA261" i="18"/>
  <c r="AA283" i="18"/>
  <c r="AE415" i="18"/>
  <c r="AE393" i="18"/>
  <c r="AE371" i="18"/>
  <c r="AE283" i="18"/>
  <c r="AE349" i="18"/>
  <c r="AE327" i="18"/>
  <c r="AE305" i="18"/>
  <c r="AE261" i="18"/>
  <c r="AA413" i="18"/>
  <c r="AA391" i="18"/>
  <c r="AA281" i="18"/>
  <c r="AA369" i="18"/>
  <c r="AA325" i="18"/>
  <c r="AA303" i="18"/>
  <c r="AA259" i="18"/>
  <c r="AA347" i="18"/>
  <c r="AC391" i="18"/>
  <c r="AC369" i="18"/>
  <c r="AC413" i="18"/>
  <c r="AC325" i="18"/>
  <c r="AC347" i="18"/>
  <c r="AC303" i="18"/>
  <c r="AC281" i="18"/>
  <c r="AC259" i="18"/>
  <c r="AG347" i="18"/>
  <c r="AG413" i="18"/>
  <c r="AG369" i="18"/>
  <c r="AG303" i="18"/>
  <c r="AG281" i="18"/>
  <c r="AG391" i="18"/>
  <c r="AG325" i="18"/>
  <c r="AG259" i="18"/>
  <c r="M412" i="18"/>
  <c r="M390" i="18"/>
  <c r="M368" i="18"/>
  <c r="M280" i="18"/>
  <c r="M346" i="18"/>
  <c r="M324" i="18"/>
  <c r="M258" i="18"/>
  <c r="M302" i="18"/>
  <c r="I631" i="18"/>
  <c r="I587" i="18"/>
  <c r="I609" i="18"/>
  <c r="I566" i="18"/>
  <c r="I544" i="18"/>
  <c r="I522" i="18"/>
  <c r="I478" i="18"/>
  <c r="I500" i="18"/>
  <c r="Q414" i="18"/>
  <c r="Q392" i="18"/>
  <c r="Q282" i="18"/>
  <c r="Q348" i="18"/>
  <c r="Q370" i="18"/>
  <c r="Q326" i="18"/>
  <c r="Q260" i="18"/>
  <c r="Q304" i="18"/>
  <c r="AC198" i="18"/>
  <c r="AC176" i="18"/>
  <c r="AC88" i="18"/>
  <c r="AC154" i="18"/>
  <c r="AC66" i="18"/>
  <c r="AC132" i="18"/>
  <c r="AC44" i="18"/>
  <c r="AC110" i="18"/>
  <c r="Y204" i="18"/>
  <c r="Y94" i="18"/>
  <c r="Y160" i="18"/>
  <c r="Y72" i="18"/>
  <c r="Y138" i="18"/>
  <c r="Y182" i="18"/>
  <c r="Y116" i="18"/>
  <c r="Y50" i="18"/>
  <c r="S203" i="18"/>
  <c r="S93" i="18"/>
  <c r="S159" i="18"/>
  <c r="S71" i="18"/>
  <c r="S137" i="18"/>
  <c r="S181" i="18"/>
  <c r="S115" i="18"/>
  <c r="S49" i="18"/>
  <c r="U203" i="18"/>
  <c r="U159" i="18"/>
  <c r="U71" i="18"/>
  <c r="U137" i="18"/>
  <c r="U181" i="18"/>
  <c r="U115" i="18"/>
  <c r="U49" i="18"/>
  <c r="U93" i="18"/>
  <c r="V400" i="18"/>
  <c r="V268" i="18"/>
  <c r="V356" i="18"/>
  <c r="V334" i="18"/>
  <c r="V378" i="18"/>
  <c r="V312" i="18"/>
  <c r="V246" i="18"/>
  <c r="V290" i="18"/>
  <c r="AF179" i="18"/>
  <c r="AF157" i="18"/>
  <c r="AF201" i="18"/>
  <c r="AF91" i="18"/>
  <c r="AF69" i="18"/>
  <c r="AF135" i="18"/>
  <c r="AF113" i="18"/>
  <c r="AF47" i="18"/>
  <c r="N627" i="18"/>
  <c r="N605" i="18"/>
  <c r="N583" i="18"/>
  <c r="N540" i="18"/>
  <c r="N496" i="18"/>
  <c r="N562" i="18"/>
  <c r="N518" i="18"/>
  <c r="N474" i="18"/>
  <c r="AA200" i="18"/>
  <c r="AA68" i="18"/>
  <c r="AA178" i="18"/>
  <c r="AA134" i="18"/>
  <c r="AA112" i="18"/>
  <c r="AA156" i="18"/>
  <c r="AA46" i="18"/>
  <c r="AA90" i="18"/>
  <c r="AA417" i="18"/>
  <c r="AA395" i="18"/>
  <c r="AA373" i="18"/>
  <c r="AA351" i="18"/>
  <c r="AA285" i="18"/>
  <c r="AA329" i="18"/>
  <c r="AA263" i="18"/>
  <c r="AA307" i="18"/>
  <c r="Z199" i="18"/>
  <c r="Z177" i="18"/>
  <c r="Z111" i="18"/>
  <c r="Z89" i="18"/>
  <c r="Z133" i="18"/>
  <c r="Z155" i="18"/>
  <c r="Z67" i="18"/>
  <c r="Z45" i="18"/>
  <c r="O352" i="18"/>
  <c r="O418" i="18"/>
  <c r="O396" i="18"/>
  <c r="O374" i="18"/>
  <c r="O308" i="18"/>
  <c r="O286" i="18"/>
  <c r="O264" i="18"/>
  <c r="O330" i="18"/>
  <c r="L625" i="18"/>
  <c r="L603" i="18"/>
  <c r="L581" i="18"/>
  <c r="L560" i="18"/>
  <c r="L538" i="18"/>
  <c r="L516" i="18"/>
  <c r="L472" i="18"/>
  <c r="L494" i="18"/>
  <c r="U586" i="18"/>
  <c r="U630" i="18"/>
  <c r="U565" i="18"/>
  <c r="U608" i="18"/>
  <c r="U521" i="18"/>
  <c r="U543" i="18"/>
  <c r="U499" i="18"/>
  <c r="U477" i="18"/>
  <c r="AA630" i="18"/>
  <c r="AA608" i="18"/>
  <c r="AA586" i="18"/>
  <c r="AA565" i="18"/>
  <c r="AA543" i="18"/>
  <c r="AA521" i="18"/>
  <c r="AA477" i="18"/>
  <c r="AA499" i="18"/>
  <c r="U585" i="18"/>
  <c r="U607" i="18"/>
  <c r="U564" i="18"/>
  <c r="U629" i="18"/>
  <c r="U520" i="18"/>
  <c r="U542" i="18"/>
  <c r="U476" i="18"/>
  <c r="U498" i="18"/>
  <c r="M349" i="18"/>
  <c r="M415" i="18"/>
  <c r="M371" i="18"/>
  <c r="M305" i="18"/>
  <c r="M283" i="18"/>
  <c r="M393" i="18"/>
  <c r="M327" i="18"/>
  <c r="M261" i="18"/>
  <c r="V390" i="18"/>
  <c r="V258" i="18"/>
  <c r="V368" i="18"/>
  <c r="V412" i="18"/>
  <c r="V324" i="18"/>
  <c r="V346" i="18"/>
  <c r="V302" i="18"/>
  <c r="V280" i="18"/>
  <c r="L412" i="18"/>
  <c r="L368" i="18"/>
  <c r="L302" i="18"/>
  <c r="L280" i="18"/>
  <c r="L390" i="18"/>
  <c r="L346" i="18"/>
  <c r="L324" i="18"/>
  <c r="L258" i="18"/>
  <c r="P368" i="18"/>
  <c r="P412" i="18"/>
  <c r="P346" i="18"/>
  <c r="P324" i="18"/>
  <c r="P390" i="18"/>
  <c r="P280" i="18"/>
  <c r="P258" i="18"/>
  <c r="P302" i="18"/>
  <c r="N626" i="18"/>
  <c r="N604" i="18"/>
  <c r="N582" i="18"/>
  <c r="N561" i="18"/>
  <c r="N517" i="18"/>
  <c r="N495" i="18"/>
  <c r="N539" i="18"/>
  <c r="N473" i="18"/>
  <c r="R626" i="18"/>
  <c r="R604" i="18"/>
  <c r="R582" i="18"/>
  <c r="R561" i="18"/>
  <c r="R539" i="18"/>
  <c r="R517" i="18"/>
  <c r="R495" i="18"/>
  <c r="R473" i="18"/>
  <c r="I604" i="18"/>
  <c r="I582" i="18"/>
  <c r="I626" i="18"/>
  <c r="I561" i="18"/>
  <c r="I495" i="18"/>
  <c r="I473" i="18"/>
  <c r="I539" i="18"/>
  <c r="I517" i="18"/>
  <c r="W631" i="18"/>
  <c r="W609" i="18"/>
  <c r="W587" i="18"/>
  <c r="W544" i="18"/>
  <c r="W500" i="18"/>
  <c r="W566" i="18"/>
  <c r="W478" i="18"/>
  <c r="W522" i="18"/>
  <c r="AA566" i="18"/>
  <c r="AA587" i="18"/>
  <c r="AA631" i="18"/>
  <c r="AA609" i="18"/>
  <c r="AA544" i="18"/>
  <c r="AA522" i="18"/>
  <c r="AA500" i="18"/>
  <c r="AA478" i="18"/>
  <c r="AF631" i="18"/>
  <c r="AF609" i="18"/>
  <c r="AF587" i="18"/>
  <c r="AF566" i="18"/>
  <c r="AF522" i="18"/>
  <c r="AF544" i="18"/>
  <c r="AF500" i="18"/>
  <c r="AF478" i="18"/>
  <c r="U631" i="18"/>
  <c r="U609" i="18"/>
  <c r="U587" i="18"/>
  <c r="U566" i="18"/>
  <c r="U522" i="18"/>
  <c r="U500" i="18"/>
  <c r="U544" i="18"/>
  <c r="U478" i="18"/>
  <c r="AG414" i="18"/>
  <c r="AG392" i="18"/>
  <c r="AG282" i="18"/>
  <c r="AG370" i="18"/>
  <c r="AG326" i="18"/>
  <c r="AG304" i="18"/>
  <c r="AG348" i="18"/>
  <c r="AG260" i="18"/>
  <c r="AH392" i="18"/>
  <c r="AH260" i="18"/>
  <c r="AH370" i="18"/>
  <c r="AH414" i="18"/>
  <c r="AH326" i="18"/>
  <c r="AH348" i="18"/>
  <c r="AH304" i="18"/>
  <c r="AH282" i="18"/>
  <c r="I414" i="18"/>
  <c r="I392" i="18"/>
  <c r="I370" i="18"/>
  <c r="I348" i="18"/>
  <c r="I282" i="18"/>
  <c r="I326" i="18"/>
  <c r="I260" i="18"/>
  <c r="I304" i="18"/>
  <c r="W154" i="18"/>
  <c r="W66" i="18"/>
  <c r="W132" i="18"/>
  <c r="W176" i="18"/>
  <c r="W110" i="18"/>
  <c r="W44" i="18"/>
  <c r="W198" i="18"/>
  <c r="W88" i="18"/>
  <c r="AB198" i="18"/>
  <c r="AB176" i="18"/>
  <c r="AB110" i="18"/>
  <c r="AB88" i="18"/>
  <c r="AB154" i="18"/>
  <c r="AB132" i="18"/>
  <c r="AB44" i="18"/>
  <c r="AB66" i="18"/>
  <c r="AF154" i="18"/>
  <c r="AF198" i="18"/>
  <c r="AF66" i="18"/>
  <c r="AF132" i="18"/>
  <c r="AF44" i="18"/>
  <c r="AF88" i="18"/>
  <c r="AF176" i="18"/>
  <c r="AF110" i="18"/>
  <c r="S164" i="18"/>
  <c r="S120" i="18"/>
  <c r="S186" i="18"/>
  <c r="S98" i="18"/>
  <c r="S76" i="18"/>
  <c r="S54" i="18"/>
  <c r="S32" i="18"/>
  <c r="S142" i="18"/>
  <c r="F62" i="48"/>
  <c r="I164" i="18"/>
  <c r="I142" i="18"/>
  <c r="I54" i="18"/>
  <c r="I120" i="18"/>
  <c r="I98" i="18"/>
  <c r="I76" i="18"/>
  <c r="I186" i="18"/>
  <c r="I32" i="18"/>
  <c r="AE164" i="18"/>
  <c r="AE76" i="18"/>
  <c r="AE142" i="18"/>
  <c r="AE186" i="18"/>
  <c r="AE120" i="18"/>
  <c r="AE32" i="18"/>
  <c r="AE98" i="18"/>
  <c r="AE54" i="18"/>
  <c r="Z182" i="18"/>
  <c r="Z160" i="18"/>
  <c r="Z204" i="18"/>
  <c r="Z94" i="18"/>
  <c r="Z72" i="18"/>
  <c r="Z138" i="18"/>
  <c r="Z116" i="18"/>
  <c r="Z50" i="18"/>
  <c r="S204" i="18"/>
  <c r="S182" i="18"/>
  <c r="S72" i="18"/>
  <c r="S138" i="18"/>
  <c r="S116" i="18"/>
  <c r="S94" i="18"/>
  <c r="S160" i="18"/>
  <c r="S50" i="18"/>
  <c r="AE204" i="18"/>
  <c r="AE116" i="18"/>
  <c r="AE182" i="18"/>
  <c r="AE94" i="18"/>
  <c r="AE72" i="18"/>
  <c r="AE160" i="18"/>
  <c r="AE138" i="18"/>
  <c r="AE50" i="18"/>
  <c r="AA204" i="18"/>
  <c r="AA160" i="18"/>
  <c r="AA72" i="18"/>
  <c r="AA138" i="18"/>
  <c r="AA182" i="18"/>
  <c r="AA116" i="18"/>
  <c r="AA50" i="18"/>
  <c r="AA94" i="18"/>
  <c r="P181" i="18"/>
  <c r="P203" i="18"/>
  <c r="P137" i="18"/>
  <c r="P115" i="18"/>
  <c r="P159" i="18"/>
  <c r="P71" i="18"/>
  <c r="P49" i="18"/>
  <c r="P93" i="18"/>
  <c r="AA203" i="18"/>
  <c r="AA93" i="18"/>
  <c r="AA181" i="18"/>
  <c r="AA71" i="18"/>
  <c r="AA159" i="18"/>
  <c r="AA137" i="18"/>
  <c r="AA49" i="18"/>
  <c r="AA115" i="18"/>
  <c r="V203" i="18"/>
  <c r="V159" i="18"/>
  <c r="V181" i="18"/>
  <c r="V71" i="18"/>
  <c r="V137" i="18"/>
  <c r="V49" i="18"/>
  <c r="V93" i="18"/>
  <c r="V115" i="18"/>
  <c r="K202" i="18"/>
  <c r="K114" i="18"/>
  <c r="K180" i="18"/>
  <c r="K92" i="18"/>
  <c r="K158" i="18"/>
  <c r="K70" i="18"/>
  <c r="K48" i="18"/>
  <c r="K136" i="18"/>
  <c r="T202" i="18"/>
  <c r="T180" i="18"/>
  <c r="T114" i="18"/>
  <c r="T92" i="18"/>
  <c r="T158" i="18"/>
  <c r="T136" i="18"/>
  <c r="T70" i="18"/>
  <c r="T48" i="18"/>
  <c r="AE202" i="18"/>
  <c r="AE70" i="18"/>
  <c r="AE136" i="18"/>
  <c r="AE158" i="18"/>
  <c r="AE114" i="18"/>
  <c r="AE92" i="18"/>
  <c r="AE180" i="18"/>
  <c r="AE48" i="18"/>
  <c r="T378" i="18"/>
  <c r="T312" i="18"/>
  <c r="T400" i="18"/>
  <c r="T290" i="18"/>
  <c r="T356" i="18"/>
  <c r="T334" i="18"/>
  <c r="T268" i="18"/>
  <c r="T246" i="18"/>
  <c r="AA356" i="18"/>
  <c r="AA400" i="18"/>
  <c r="AA312" i="18"/>
  <c r="AA378" i="18"/>
  <c r="AA290" i="18"/>
  <c r="AA334" i="18"/>
  <c r="AA268" i="18"/>
  <c r="AA246" i="18"/>
  <c r="AE400" i="18"/>
  <c r="AE378" i="18"/>
  <c r="AE334" i="18"/>
  <c r="AE356" i="18"/>
  <c r="AE312" i="18"/>
  <c r="AE246" i="18"/>
  <c r="AE268" i="18"/>
  <c r="AE290" i="18"/>
  <c r="U201" i="18"/>
  <c r="U157" i="18"/>
  <c r="U113" i="18"/>
  <c r="U91" i="18"/>
  <c r="U179" i="18"/>
  <c r="U69" i="18"/>
  <c r="U47" i="18"/>
  <c r="U135" i="18"/>
  <c r="AG201" i="18"/>
  <c r="AG69" i="18"/>
  <c r="AG135" i="18"/>
  <c r="AG113" i="18"/>
  <c r="AG179" i="18"/>
  <c r="AG157" i="18"/>
  <c r="AG91" i="18"/>
  <c r="AG47" i="18"/>
  <c r="AB201" i="18"/>
  <c r="AB179" i="18"/>
  <c r="AB135" i="18"/>
  <c r="AB113" i="18"/>
  <c r="AB157" i="18"/>
  <c r="AB69" i="18"/>
  <c r="AB91" i="18"/>
  <c r="AB47" i="18"/>
  <c r="W201" i="18"/>
  <c r="W91" i="18"/>
  <c r="W69" i="18"/>
  <c r="W179" i="18"/>
  <c r="W135" i="18"/>
  <c r="W157" i="18"/>
  <c r="W113" i="18"/>
  <c r="W47" i="18"/>
  <c r="X627" i="18"/>
  <c r="X605" i="18"/>
  <c r="X583" i="18"/>
  <c r="X562" i="18"/>
  <c r="X540" i="18"/>
  <c r="X518" i="18"/>
  <c r="X496" i="18"/>
  <c r="X474" i="18"/>
  <c r="M627" i="18"/>
  <c r="M605" i="18"/>
  <c r="M562" i="18"/>
  <c r="M583" i="18"/>
  <c r="M518" i="18"/>
  <c r="M540" i="18"/>
  <c r="M496" i="18"/>
  <c r="M474" i="18"/>
  <c r="Q605" i="18"/>
  <c r="Q627" i="18"/>
  <c r="Q562" i="18"/>
  <c r="Q518" i="18"/>
  <c r="Q583" i="18"/>
  <c r="Q540" i="18"/>
  <c r="Q496" i="18"/>
  <c r="Q474" i="18"/>
  <c r="S613" i="18"/>
  <c r="S591" i="18"/>
  <c r="S548" i="18"/>
  <c r="S504" i="18"/>
  <c r="S570" i="18"/>
  <c r="S482" i="18"/>
  <c r="S526" i="18"/>
  <c r="S460" i="18"/>
  <c r="J613" i="18"/>
  <c r="J591" i="18"/>
  <c r="J548" i="18"/>
  <c r="J504" i="18"/>
  <c r="J570" i="18"/>
  <c r="J482" i="18"/>
  <c r="J460" i="18"/>
  <c r="J526" i="18"/>
  <c r="N613" i="18"/>
  <c r="N591" i="18"/>
  <c r="N570" i="18"/>
  <c r="N526" i="18"/>
  <c r="N548" i="18"/>
  <c r="N504" i="18"/>
  <c r="N482" i="18"/>
  <c r="N460" i="18"/>
  <c r="AB156" i="18"/>
  <c r="AB200" i="18"/>
  <c r="AB68" i="18"/>
  <c r="AB178" i="18"/>
  <c r="AB134" i="18"/>
  <c r="AB46" i="18"/>
  <c r="AB90" i="18"/>
  <c r="AB112" i="18"/>
  <c r="X200" i="18"/>
  <c r="X178" i="18"/>
  <c r="X112" i="18"/>
  <c r="X156" i="18"/>
  <c r="X90" i="18"/>
  <c r="X134" i="18"/>
  <c r="X46" i="18"/>
  <c r="X68" i="18"/>
  <c r="AG200" i="18"/>
  <c r="AG90" i="18"/>
  <c r="AG156" i="18"/>
  <c r="AG68" i="18"/>
  <c r="AG134" i="18"/>
  <c r="AG178" i="18"/>
  <c r="AG112" i="18"/>
  <c r="AG46" i="18"/>
  <c r="AF417" i="18"/>
  <c r="AF395" i="18"/>
  <c r="AF329" i="18"/>
  <c r="AF307" i="18"/>
  <c r="AF351" i="18"/>
  <c r="AF373" i="18"/>
  <c r="AF263" i="18"/>
  <c r="AF285" i="18"/>
  <c r="AB395" i="18"/>
  <c r="AB351" i="18"/>
  <c r="AB263" i="18"/>
  <c r="AB417" i="18"/>
  <c r="AB329" i="18"/>
  <c r="AB307" i="18"/>
  <c r="AB373" i="18"/>
  <c r="AB285" i="18"/>
  <c r="W373" i="18"/>
  <c r="W351" i="18"/>
  <c r="W417" i="18"/>
  <c r="W395" i="18"/>
  <c r="W329" i="18"/>
  <c r="W307" i="18"/>
  <c r="W263" i="18"/>
  <c r="W285" i="18"/>
  <c r="AG351" i="18"/>
  <c r="AG417" i="18"/>
  <c r="AG307" i="18"/>
  <c r="AG395" i="18"/>
  <c r="AG285" i="18"/>
  <c r="AG373" i="18"/>
  <c r="AG329" i="18"/>
  <c r="AG263" i="18"/>
  <c r="AF199" i="18"/>
  <c r="AF177" i="18"/>
  <c r="AF133" i="18"/>
  <c r="AF155" i="18"/>
  <c r="AF111" i="18"/>
  <c r="AF67" i="18"/>
  <c r="AF45" i="18"/>
  <c r="AF89" i="18"/>
  <c r="AA199" i="18"/>
  <c r="AA89" i="18"/>
  <c r="AA177" i="18"/>
  <c r="AA67" i="18"/>
  <c r="AA133" i="18"/>
  <c r="AA155" i="18"/>
  <c r="AA111" i="18"/>
  <c r="AA45" i="18"/>
  <c r="W199" i="18"/>
  <c r="W133" i="18"/>
  <c r="W155" i="18"/>
  <c r="W111" i="18"/>
  <c r="W177" i="18"/>
  <c r="W89" i="18"/>
  <c r="W45" i="18"/>
  <c r="W67" i="18"/>
  <c r="J396" i="18"/>
  <c r="J418" i="18"/>
  <c r="J352" i="18"/>
  <c r="J264" i="18"/>
  <c r="J374" i="18"/>
  <c r="J330" i="18"/>
  <c r="J308" i="18"/>
  <c r="J286" i="18"/>
  <c r="AD418" i="18"/>
  <c r="AD396" i="18"/>
  <c r="AD330" i="18"/>
  <c r="AD374" i="18"/>
  <c r="AD308" i="18"/>
  <c r="AD352" i="18"/>
  <c r="AD264" i="18"/>
  <c r="AD286" i="18"/>
  <c r="R396" i="18"/>
  <c r="R418" i="18"/>
  <c r="R264" i="18"/>
  <c r="R352" i="18"/>
  <c r="R330" i="18"/>
  <c r="R308" i="18"/>
  <c r="R374" i="18"/>
  <c r="R286" i="18"/>
  <c r="Y628" i="18"/>
  <c r="Y606" i="18"/>
  <c r="Y584" i="18"/>
  <c r="Y541" i="18"/>
  <c r="Y519" i="18"/>
  <c r="Y475" i="18"/>
  <c r="Y497" i="18"/>
  <c r="Y563" i="18"/>
  <c r="AC606" i="18"/>
  <c r="AC541" i="18"/>
  <c r="AC628" i="18"/>
  <c r="AC497" i="18"/>
  <c r="AC584" i="18"/>
  <c r="AC475" i="18"/>
  <c r="AC563" i="18"/>
  <c r="AC519" i="18"/>
  <c r="AH628" i="18"/>
  <c r="AH606" i="18"/>
  <c r="AH563" i="18"/>
  <c r="AH584" i="18"/>
  <c r="AH541" i="18"/>
  <c r="AH519" i="18"/>
  <c r="AH497" i="18"/>
  <c r="AH475" i="18"/>
  <c r="K603" i="18"/>
  <c r="K625" i="18"/>
  <c r="K581" i="18"/>
  <c r="K494" i="18"/>
  <c r="K560" i="18"/>
  <c r="K472" i="18"/>
  <c r="K538" i="18"/>
  <c r="K516" i="18"/>
  <c r="AD603" i="18"/>
  <c r="AD625" i="18"/>
  <c r="AD581" i="18"/>
  <c r="AD560" i="18"/>
  <c r="AD538" i="18"/>
  <c r="AD516" i="18"/>
  <c r="AD472" i="18"/>
  <c r="AD494" i="18"/>
  <c r="T625" i="18"/>
  <c r="T603" i="18"/>
  <c r="T581" i="18"/>
  <c r="T560" i="18"/>
  <c r="T538" i="18"/>
  <c r="T516" i="18"/>
  <c r="T472" i="18"/>
  <c r="T494" i="18"/>
  <c r="J625" i="18"/>
  <c r="J603" i="18"/>
  <c r="J581" i="18"/>
  <c r="J494" i="18"/>
  <c r="J560" i="18"/>
  <c r="J538" i="18"/>
  <c r="J472" i="18"/>
  <c r="J516" i="18"/>
  <c r="J630" i="18"/>
  <c r="J608" i="18"/>
  <c r="J586" i="18"/>
  <c r="J565" i="18"/>
  <c r="J543" i="18"/>
  <c r="J521" i="18"/>
  <c r="J499" i="18"/>
  <c r="J477" i="18"/>
  <c r="O630" i="18"/>
  <c r="O608" i="18"/>
  <c r="O565" i="18"/>
  <c r="O586" i="18"/>
  <c r="O521" i="18"/>
  <c r="O499" i="18"/>
  <c r="O543" i="18"/>
  <c r="O477" i="18"/>
  <c r="AH630" i="18"/>
  <c r="AH608" i="18"/>
  <c r="AH586" i="18"/>
  <c r="AH565" i="18"/>
  <c r="AH543" i="18"/>
  <c r="AH521" i="18"/>
  <c r="AH477" i="18"/>
  <c r="AH499" i="18"/>
  <c r="X372" i="18"/>
  <c r="X416" i="18"/>
  <c r="X394" i="18"/>
  <c r="X328" i="18"/>
  <c r="X350" i="18"/>
  <c r="X284" i="18"/>
  <c r="X262" i="18"/>
  <c r="X306" i="18"/>
  <c r="Q372" i="18"/>
  <c r="Q350" i="18"/>
  <c r="Q416" i="18"/>
  <c r="Q394" i="18"/>
  <c r="Q328" i="18"/>
  <c r="Q306" i="18"/>
  <c r="Q262" i="18"/>
  <c r="Q284" i="18"/>
  <c r="M416" i="18"/>
  <c r="M394" i="18"/>
  <c r="M284" i="18"/>
  <c r="M372" i="18"/>
  <c r="M328" i="18"/>
  <c r="M350" i="18"/>
  <c r="M306" i="18"/>
  <c r="M262" i="18"/>
  <c r="P629" i="18"/>
  <c r="P607" i="18"/>
  <c r="P564" i="18"/>
  <c r="P585" i="18"/>
  <c r="P542" i="18"/>
  <c r="P520" i="18"/>
  <c r="P498" i="18"/>
  <c r="P476" i="18"/>
  <c r="T629" i="18"/>
  <c r="T607" i="18"/>
  <c r="T585" i="18"/>
  <c r="T564" i="18"/>
  <c r="T520" i="18"/>
  <c r="T542" i="18"/>
  <c r="T498" i="18"/>
  <c r="T476" i="18"/>
  <c r="K607" i="18"/>
  <c r="K585" i="18"/>
  <c r="K542" i="18"/>
  <c r="K629" i="18"/>
  <c r="K498" i="18"/>
  <c r="K564" i="18"/>
  <c r="K476" i="18"/>
  <c r="K520" i="18"/>
  <c r="Q393" i="18"/>
  <c r="Q371" i="18"/>
  <c r="Q415" i="18"/>
  <c r="Q327" i="18"/>
  <c r="Q305" i="18"/>
  <c r="Q349" i="18"/>
  <c r="Q283" i="18"/>
  <c r="Q261" i="18"/>
  <c r="X393" i="18"/>
  <c r="X415" i="18"/>
  <c r="X349" i="18"/>
  <c r="X261" i="18"/>
  <c r="X371" i="18"/>
  <c r="X327" i="18"/>
  <c r="X305" i="18"/>
  <c r="X283" i="18"/>
  <c r="L415" i="18"/>
  <c r="L393" i="18"/>
  <c r="L327" i="18"/>
  <c r="L371" i="18"/>
  <c r="L305" i="18"/>
  <c r="L349" i="18"/>
  <c r="L283" i="18"/>
  <c r="L261" i="18"/>
  <c r="P393" i="18"/>
  <c r="P349" i="18"/>
  <c r="P261" i="18"/>
  <c r="P415" i="18"/>
  <c r="P327" i="18"/>
  <c r="P305" i="18"/>
  <c r="P371" i="18"/>
  <c r="P283" i="18"/>
  <c r="I347" i="18"/>
  <c r="I413" i="18"/>
  <c r="I303" i="18"/>
  <c r="I391" i="18"/>
  <c r="I281" i="18"/>
  <c r="I369" i="18"/>
  <c r="I325" i="18"/>
  <c r="I259" i="18"/>
  <c r="N369" i="18"/>
  <c r="N413" i="18"/>
  <c r="N391" i="18"/>
  <c r="N347" i="18"/>
  <c r="N325" i="18"/>
  <c r="N281" i="18"/>
  <c r="N259" i="18"/>
  <c r="N303" i="18"/>
  <c r="R413" i="18"/>
  <c r="R369" i="18"/>
  <c r="R303" i="18"/>
  <c r="R281" i="18"/>
  <c r="R391" i="18"/>
  <c r="R347" i="18"/>
  <c r="R325" i="18"/>
  <c r="R259" i="18"/>
  <c r="W390" i="18"/>
  <c r="W368" i="18"/>
  <c r="W412" i="18"/>
  <c r="W324" i="18"/>
  <c r="W346" i="18"/>
  <c r="W302" i="18"/>
  <c r="W258" i="18"/>
  <c r="W280" i="18"/>
  <c r="AB412" i="18"/>
  <c r="AB368" i="18"/>
  <c r="AB302" i="18"/>
  <c r="AB346" i="18"/>
  <c r="AB280" i="18"/>
  <c r="AB390" i="18"/>
  <c r="AB324" i="18"/>
  <c r="AB258" i="18"/>
  <c r="AF368" i="18"/>
  <c r="AF412" i="18"/>
  <c r="AF324" i="18"/>
  <c r="AF390" i="18"/>
  <c r="AF346" i="18"/>
  <c r="AF280" i="18"/>
  <c r="AF258" i="18"/>
  <c r="AF302" i="18"/>
  <c r="AD626" i="18"/>
  <c r="AD604" i="18"/>
  <c r="AD561" i="18"/>
  <c r="AD582" i="18"/>
  <c r="AD539" i="18"/>
  <c r="AD517" i="18"/>
  <c r="AD495" i="18"/>
  <c r="AD473" i="18"/>
  <c r="AH626" i="18"/>
  <c r="AH604" i="18"/>
  <c r="AH561" i="18"/>
  <c r="AH517" i="18"/>
  <c r="AH539" i="18"/>
  <c r="AH495" i="18"/>
  <c r="AH582" i="18"/>
  <c r="AH473" i="18"/>
  <c r="Y604" i="18"/>
  <c r="Y539" i="18"/>
  <c r="Y626" i="18"/>
  <c r="Y582" i="18"/>
  <c r="Y495" i="18"/>
  <c r="Y561" i="18"/>
  <c r="Y473" i="18"/>
  <c r="Y517" i="18"/>
  <c r="X631" i="18"/>
  <c r="X609" i="18"/>
  <c r="X566" i="18"/>
  <c r="X587" i="18"/>
  <c r="X544" i="18"/>
  <c r="X522" i="18"/>
  <c r="X500" i="18"/>
  <c r="X478" i="18"/>
  <c r="L631" i="18"/>
  <c r="L587" i="18"/>
  <c r="L609" i="18"/>
  <c r="L566" i="18"/>
  <c r="L522" i="18"/>
  <c r="L500" i="18"/>
  <c r="L544" i="18"/>
  <c r="L478" i="18"/>
  <c r="Q631" i="18"/>
  <c r="Q609" i="18"/>
  <c r="Q587" i="18"/>
  <c r="Q566" i="18"/>
  <c r="Q544" i="18"/>
  <c r="Q522" i="18"/>
  <c r="Q478" i="18"/>
  <c r="Q500" i="18"/>
  <c r="V631" i="18"/>
  <c r="V609" i="18"/>
  <c r="V587" i="18"/>
  <c r="V500" i="18"/>
  <c r="V566" i="18"/>
  <c r="V544" i="18"/>
  <c r="V522" i="18"/>
  <c r="V478" i="18"/>
  <c r="N414" i="18"/>
  <c r="N392" i="18"/>
  <c r="N326" i="18"/>
  <c r="N304" i="18"/>
  <c r="N348" i="18"/>
  <c r="N370" i="18"/>
  <c r="N282" i="18"/>
  <c r="N260" i="18"/>
  <c r="S392" i="18"/>
  <c r="S370" i="18"/>
  <c r="S414" i="18"/>
  <c r="S348" i="18"/>
  <c r="S326" i="18"/>
  <c r="S304" i="18"/>
  <c r="S260" i="18"/>
  <c r="S282" i="18"/>
  <c r="Y414" i="18"/>
  <c r="Y392" i="18"/>
  <c r="Y370" i="18"/>
  <c r="Y282" i="18"/>
  <c r="Y348" i="18"/>
  <c r="Y326" i="18"/>
  <c r="Y260" i="18"/>
  <c r="Y304" i="18"/>
  <c r="X198" i="18"/>
  <c r="X154" i="18"/>
  <c r="X66" i="18"/>
  <c r="X132" i="18"/>
  <c r="X44" i="18"/>
  <c r="X176" i="18"/>
  <c r="X88" i="18"/>
  <c r="X110" i="18"/>
  <c r="M198" i="18"/>
  <c r="M88" i="18"/>
  <c r="M176" i="18"/>
  <c r="M154" i="18"/>
  <c r="M66" i="18"/>
  <c r="M132" i="18"/>
  <c r="M44" i="18"/>
  <c r="M110" i="18"/>
  <c r="Q198" i="18"/>
  <c r="Q176" i="18"/>
  <c r="Q132" i="18"/>
  <c r="Q110" i="18"/>
  <c r="Q88" i="18"/>
  <c r="Q66" i="18"/>
  <c r="Q154" i="18"/>
  <c r="Q44" i="18"/>
  <c r="Z186" i="18"/>
  <c r="Z142" i="18"/>
  <c r="Z120" i="18"/>
  <c r="Z164" i="18"/>
  <c r="Z76" i="18"/>
  <c r="Z32" i="18"/>
  <c r="Z54" i="18"/>
  <c r="Z98" i="18"/>
  <c r="V186" i="18"/>
  <c r="V164" i="18"/>
  <c r="V98" i="18"/>
  <c r="V76" i="18"/>
  <c r="V142" i="18"/>
  <c r="V120" i="18"/>
  <c r="V32" i="18"/>
  <c r="V54" i="18"/>
  <c r="O76" i="18"/>
  <c r="O142" i="18"/>
  <c r="O186" i="18"/>
  <c r="O164" i="18"/>
  <c r="O120" i="18"/>
  <c r="O98" i="18"/>
  <c r="O32" i="18"/>
  <c r="O54" i="18"/>
  <c r="J182" i="18"/>
  <c r="J160" i="18"/>
  <c r="J204" i="18"/>
  <c r="J94" i="18"/>
  <c r="J72" i="18"/>
  <c r="J138" i="18"/>
  <c r="J116" i="18"/>
  <c r="J50" i="18"/>
  <c r="G80" i="48"/>
  <c r="AH204" i="18"/>
  <c r="AH182" i="18"/>
  <c r="AH160" i="18"/>
  <c r="AH94" i="18"/>
  <c r="AH72" i="18"/>
  <c r="AH138" i="18"/>
  <c r="AH116" i="18"/>
  <c r="AH50" i="18"/>
  <c r="O204" i="18"/>
  <c r="O116" i="18"/>
  <c r="O160" i="18"/>
  <c r="O182" i="18"/>
  <c r="O94" i="18"/>
  <c r="O72" i="18"/>
  <c r="O50" i="18"/>
  <c r="O138" i="18"/>
  <c r="K72" i="18"/>
  <c r="K138" i="18"/>
  <c r="K204" i="18"/>
  <c r="K182" i="18"/>
  <c r="K160" i="18"/>
  <c r="K116" i="18"/>
  <c r="K94" i="18"/>
  <c r="K50" i="18"/>
  <c r="AE203" i="18"/>
  <c r="AE181" i="18"/>
  <c r="AE137" i="18"/>
  <c r="AE49" i="18"/>
  <c r="AE159" i="18"/>
  <c r="AE115" i="18"/>
  <c r="AE93" i="18"/>
  <c r="AE71" i="18"/>
  <c r="K203" i="18"/>
  <c r="K159" i="18"/>
  <c r="K93" i="18"/>
  <c r="K181" i="18"/>
  <c r="K71" i="18"/>
  <c r="K137" i="18"/>
  <c r="K49" i="18"/>
  <c r="K115" i="18"/>
  <c r="M203" i="18"/>
  <c r="M71" i="18"/>
  <c r="M181" i="18"/>
  <c r="M137" i="18"/>
  <c r="M115" i="18"/>
  <c r="M93" i="18"/>
  <c r="M159" i="18"/>
  <c r="M49" i="18"/>
  <c r="Z202" i="18"/>
  <c r="Z180" i="18"/>
  <c r="Z136" i="18"/>
  <c r="Z158" i="18"/>
  <c r="Z114" i="18"/>
  <c r="Z70" i="18"/>
  <c r="Z48" i="18"/>
  <c r="Z92" i="18"/>
  <c r="S202" i="18"/>
  <c r="S114" i="18"/>
  <c r="S92" i="18"/>
  <c r="S70" i="18"/>
  <c r="S180" i="18"/>
  <c r="S158" i="18"/>
  <c r="S136" i="18"/>
  <c r="S48" i="18"/>
  <c r="O180" i="18"/>
  <c r="O158" i="18"/>
  <c r="O70" i="18"/>
  <c r="O136" i="18"/>
  <c r="O114" i="18"/>
  <c r="O202" i="18"/>
  <c r="O48" i="18"/>
  <c r="O92" i="18"/>
  <c r="U400" i="18"/>
  <c r="U290" i="18"/>
  <c r="U356" i="18"/>
  <c r="U334" i="18"/>
  <c r="U378" i="18"/>
  <c r="U312" i="18"/>
  <c r="U268" i="18"/>
  <c r="U246" i="18"/>
  <c r="L378" i="18"/>
  <c r="L312" i="18"/>
  <c r="L290" i="18"/>
  <c r="L356" i="18"/>
  <c r="L400" i="18"/>
  <c r="L334" i="18"/>
  <c r="L268" i="18"/>
  <c r="L246" i="18"/>
  <c r="P378" i="18"/>
  <c r="P356" i="18"/>
  <c r="P334" i="18"/>
  <c r="P246" i="18"/>
  <c r="P400" i="18"/>
  <c r="P290" i="18"/>
  <c r="P312" i="18"/>
  <c r="P268" i="18"/>
  <c r="T201" i="18"/>
  <c r="T179" i="18"/>
  <c r="T135" i="18"/>
  <c r="T157" i="18"/>
  <c r="T113" i="18"/>
  <c r="T69" i="18"/>
  <c r="T47" i="18"/>
  <c r="T91" i="18"/>
  <c r="Q179" i="18"/>
  <c r="Q69" i="18"/>
  <c r="Q157" i="18"/>
  <c r="Q135" i="18"/>
  <c r="Q201" i="18"/>
  <c r="Q113" i="18"/>
  <c r="Q47" i="18"/>
  <c r="Q91" i="18"/>
  <c r="L201" i="18"/>
  <c r="L179" i="18"/>
  <c r="L135" i="18"/>
  <c r="L113" i="18"/>
  <c r="L69" i="18"/>
  <c r="L157" i="18"/>
  <c r="L47" i="18"/>
  <c r="L91" i="18"/>
  <c r="V201" i="18"/>
  <c r="V179" i="18"/>
  <c r="V113" i="18"/>
  <c r="V91" i="18"/>
  <c r="V135" i="18"/>
  <c r="V69" i="18"/>
  <c r="V157" i="18"/>
  <c r="V47" i="18"/>
  <c r="J605" i="18"/>
  <c r="J583" i="18"/>
  <c r="J627" i="18"/>
  <c r="J562" i="18"/>
  <c r="J518" i="18"/>
  <c r="J540" i="18"/>
  <c r="J474" i="18"/>
  <c r="J496" i="18"/>
  <c r="AC627" i="18"/>
  <c r="AC605" i="18"/>
  <c r="AC562" i="18"/>
  <c r="AC583" i="18"/>
  <c r="AC518" i="18"/>
  <c r="AC496" i="18"/>
  <c r="AC540" i="18"/>
  <c r="AC474" i="18"/>
  <c r="AG627" i="18"/>
  <c r="AG583" i="18"/>
  <c r="AG562" i="18"/>
  <c r="AG540" i="18"/>
  <c r="AG518" i="18"/>
  <c r="AG605" i="18"/>
  <c r="AG474" i="18"/>
  <c r="AG496" i="18"/>
  <c r="T613" i="18"/>
  <c r="T591" i="18"/>
  <c r="T570" i="18"/>
  <c r="T548" i="18"/>
  <c r="T526" i="18"/>
  <c r="T482" i="18"/>
  <c r="T460" i="18"/>
  <c r="T504" i="18"/>
  <c r="Z613" i="18"/>
  <c r="Z591" i="18"/>
  <c r="Z570" i="18"/>
  <c r="Z504" i="18"/>
  <c r="Z548" i="18"/>
  <c r="Z482" i="18"/>
  <c r="Z460" i="18"/>
  <c r="Z526" i="18"/>
  <c r="AD613" i="18"/>
  <c r="AD591" i="18"/>
  <c r="AD570" i="18"/>
  <c r="AD526" i="18"/>
  <c r="AD504" i="18"/>
  <c r="AD548" i="18"/>
  <c r="AD482" i="18"/>
  <c r="AD460" i="18"/>
  <c r="L156" i="18"/>
  <c r="L200" i="18"/>
  <c r="L68" i="18"/>
  <c r="L134" i="18"/>
  <c r="L46" i="18"/>
  <c r="L178" i="18"/>
  <c r="L90" i="18"/>
  <c r="L112" i="18"/>
  <c r="V200" i="18"/>
  <c r="V178" i="18"/>
  <c r="V134" i="18"/>
  <c r="V112" i="18"/>
  <c r="V156" i="18"/>
  <c r="V68" i="18"/>
  <c r="V90" i="18"/>
  <c r="V46" i="18"/>
  <c r="Q200" i="18"/>
  <c r="Q178" i="18"/>
  <c r="Q156" i="18"/>
  <c r="Q90" i="18"/>
  <c r="Q68" i="18"/>
  <c r="Q134" i="18"/>
  <c r="Q112" i="18"/>
  <c r="Q46" i="18"/>
  <c r="P417" i="18"/>
  <c r="P395" i="18"/>
  <c r="P329" i="18"/>
  <c r="P351" i="18"/>
  <c r="P307" i="18"/>
  <c r="P373" i="18"/>
  <c r="P285" i="18"/>
  <c r="P263" i="18"/>
  <c r="L395" i="18"/>
  <c r="L263" i="18"/>
  <c r="L351" i="18"/>
  <c r="L329" i="18"/>
  <c r="L417" i="18"/>
  <c r="L307" i="18"/>
  <c r="L285" i="18"/>
  <c r="L373" i="18"/>
  <c r="V373" i="18"/>
  <c r="V417" i="18"/>
  <c r="V329" i="18"/>
  <c r="V351" i="18"/>
  <c r="V285" i="18"/>
  <c r="V307" i="18"/>
  <c r="V263" i="18"/>
  <c r="V395" i="18"/>
  <c r="Q351" i="18"/>
  <c r="Q417" i="18"/>
  <c r="Q395" i="18"/>
  <c r="Q307" i="18"/>
  <c r="Q285" i="18"/>
  <c r="Q373" i="18"/>
  <c r="Q329" i="18"/>
  <c r="Q263" i="18"/>
  <c r="P199" i="18"/>
  <c r="P177" i="18"/>
  <c r="P155" i="18"/>
  <c r="P133" i="18"/>
  <c r="P111" i="18"/>
  <c r="P89" i="18"/>
  <c r="P67" i="18"/>
  <c r="P45" i="18"/>
  <c r="K199" i="18"/>
  <c r="K89" i="18"/>
  <c r="K67" i="18"/>
  <c r="K177" i="18"/>
  <c r="K155" i="18"/>
  <c r="K133" i="18"/>
  <c r="K45" i="18"/>
  <c r="K111" i="18"/>
  <c r="V155" i="18"/>
  <c r="V199" i="18"/>
  <c r="V67" i="18"/>
  <c r="V133" i="18"/>
  <c r="V45" i="18"/>
  <c r="V177" i="18"/>
  <c r="V89" i="18"/>
  <c r="V111" i="18"/>
  <c r="Z396" i="18"/>
  <c r="Z418" i="18"/>
  <c r="Z264" i="18"/>
  <c r="Z374" i="18"/>
  <c r="Z330" i="18"/>
  <c r="Z352" i="18"/>
  <c r="Z308" i="18"/>
  <c r="Z286" i="18"/>
  <c r="M374" i="18"/>
  <c r="M352" i="18"/>
  <c r="M418" i="18"/>
  <c r="M396" i="18"/>
  <c r="M330" i="18"/>
  <c r="M308" i="18"/>
  <c r="M264" i="18"/>
  <c r="M286" i="18"/>
  <c r="AH396" i="18"/>
  <c r="AH352" i="18"/>
  <c r="AH264" i="18"/>
  <c r="AH330" i="18"/>
  <c r="AH308" i="18"/>
  <c r="AH374" i="18"/>
  <c r="AH286" i="18"/>
  <c r="AH418" i="18"/>
  <c r="J628" i="18"/>
  <c r="J606" i="18"/>
  <c r="J563" i="18"/>
  <c r="J519" i="18"/>
  <c r="J497" i="18"/>
  <c r="J584" i="18"/>
  <c r="J541" i="18"/>
  <c r="J475" i="18"/>
  <c r="N628" i="18"/>
  <c r="N606" i="18"/>
  <c r="N584" i="18"/>
  <c r="N563" i="18"/>
  <c r="N541" i="18"/>
  <c r="N519" i="18"/>
  <c r="N497" i="18"/>
  <c r="N475" i="18"/>
  <c r="S628" i="18"/>
  <c r="S606" i="18"/>
  <c r="S563" i="18"/>
  <c r="S519" i="18"/>
  <c r="S497" i="18"/>
  <c r="S584" i="18"/>
  <c r="S541" i="18"/>
  <c r="S475" i="18"/>
  <c r="AA603" i="18"/>
  <c r="AA625" i="18"/>
  <c r="AA581" i="18"/>
  <c r="AA494" i="18"/>
  <c r="AA472" i="18"/>
  <c r="AA560" i="18"/>
  <c r="AA538" i="18"/>
  <c r="AA516" i="18"/>
  <c r="O625" i="18"/>
  <c r="O603" i="18"/>
  <c r="O581" i="18"/>
  <c r="O560" i="18"/>
  <c r="O538" i="18"/>
  <c r="O516" i="18"/>
  <c r="O472" i="18"/>
  <c r="O494" i="18"/>
  <c r="Q625" i="18"/>
  <c r="Q603" i="18"/>
  <c r="Q560" i="18"/>
  <c r="Q516" i="18"/>
  <c r="Q494" i="18"/>
  <c r="Q581" i="18"/>
  <c r="Q538" i="18"/>
  <c r="Q472" i="18"/>
  <c r="Z625" i="18"/>
  <c r="Z603" i="18"/>
  <c r="Z581" i="18"/>
  <c r="Z494" i="18"/>
  <c r="Z560" i="18"/>
  <c r="Z538" i="18"/>
  <c r="Z472" i="18"/>
  <c r="Z516" i="18"/>
  <c r="Z630" i="18"/>
  <c r="Z608" i="18"/>
  <c r="Z586" i="18"/>
  <c r="Z565" i="18"/>
  <c r="Z543" i="18"/>
  <c r="Z521" i="18"/>
  <c r="Z499" i="18"/>
  <c r="Z477" i="18"/>
  <c r="AE630" i="18"/>
  <c r="AE608" i="18"/>
  <c r="AE565" i="18"/>
  <c r="AE586" i="18"/>
  <c r="AE521" i="18"/>
  <c r="AE499" i="18"/>
  <c r="AE543" i="18"/>
  <c r="AE477" i="18"/>
  <c r="S630" i="18"/>
  <c r="S586" i="18"/>
  <c r="S565" i="18"/>
  <c r="S543" i="18"/>
  <c r="S608" i="18"/>
  <c r="S521" i="18"/>
  <c r="S477" i="18"/>
  <c r="S499" i="18"/>
  <c r="W394" i="18"/>
  <c r="W372" i="18"/>
  <c r="W416" i="18"/>
  <c r="W328" i="18"/>
  <c r="W306" i="18"/>
  <c r="W284" i="18"/>
  <c r="W350" i="18"/>
  <c r="W262" i="18"/>
  <c r="AF372" i="18"/>
  <c r="AF416" i="18"/>
  <c r="AF350" i="18"/>
  <c r="AF328" i="18"/>
  <c r="AF394" i="18"/>
  <c r="AF284" i="18"/>
  <c r="AF306" i="18"/>
  <c r="AF262" i="18"/>
  <c r="T416" i="18"/>
  <c r="T372" i="18"/>
  <c r="T306" i="18"/>
  <c r="T394" i="18"/>
  <c r="T350" i="18"/>
  <c r="T284" i="18"/>
  <c r="T328" i="18"/>
  <c r="T262" i="18"/>
  <c r="AF585" i="18"/>
  <c r="AF629" i="18"/>
  <c r="AF607" i="18"/>
  <c r="AF564" i="18"/>
  <c r="AF520" i="18"/>
  <c r="AF542" i="18"/>
  <c r="AF498" i="18"/>
  <c r="AF476" i="18"/>
  <c r="V607" i="18"/>
  <c r="V585" i="18"/>
  <c r="V629" i="18"/>
  <c r="V564" i="18"/>
  <c r="V520" i="18"/>
  <c r="V542" i="18"/>
  <c r="V476" i="18"/>
  <c r="V498" i="18"/>
  <c r="AA607" i="18"/>
  <c r="AA542" i="18"/>
  <c r="AA629" i="18"/>
  <c r="AA585" i="18"/>
  <c r="AA498" i="18"/>
  <c r="AA476" i="18"/>
  <c r="AA564" i="18"/>
  <c r="AA520" i="18"/>
  <c r="AG393" i="18"/>
  <c r="AG371" i="18"/>
  <c r="AG415" i="18"/>
  <c r="AG349" i="18"/>
  <c r="AG327" i="18"/>
  <c r="AG305" i="18"/>
  <c r="AG283" i="18"/>
  <c r="AG261" i="18"/>
  <c r="I393" i="18"/>
  <c r="I371" i="18"/>
  <c r="I415" i="18"/>
  <c r="I327" i="18"/>
  <c r="I349" i="18"/>
  <c r="I305" i="18"/>
  <c r="I261" i="18"/>
  <c r="I283" i="18"/>
  <c r="AB415" i="18"/>
  <c r="AB393" i="18"/>
  <c r="AB327" i="18"/>
  <c r="AB371" i="18"/>
  <c r="AB305" i="18"/>
  <c r="AB349" i="18"/>
  <c r="AB261" i="18"/>
  <c r="AB283" i="18"/>
  <c r="AF393" i="18"/>
  <c r="AF415" i="18"/>
  <c r="AF261" i="18"/>
  <c r="AF349" i="18"/>
  <c r="AF327" i="18"/>
  <c r="AF305" i="18"/>
  <c r="AF283" i="18"/>
  <c r="AF371" i="18"/>
  <c r="Y347" i="18"/>
  <c r="Y413" i="18"/>
  <c r="Y303" i="18"/>
  <c r="Y391" i="18"/>
  <c r="Y281" i="18"/>
  <c r="Y369" i="18"/>
  <c r="Y325" i="18"/>
  <c r="Y259" i="18"/>
  <c r="AD369" i="18"/>
  <c r="AD413" i="18"/>
  <c r="AD391" i="18"/>
  <c r="AD325" i="18"/>
  <c r="AD347" i="18"/>
  <c r="AD281" i="18"/>
  <c r="AD303" i="18"/>
  <c r="AD259" i="18"/>
  <c r="AH413" i="18"/>
  <c r="AH369" i="18"/>
  <c r="AH303" i="18"/>
  <c r="AH347" i="18"/>
  <c r="AH281" i="18"/>
  <c r="AH391" i="18"/>
  <c r="AH325" i="18"/>
  <c r="AH259" i="18"/>
  <c r="H74" i="48"/>
  <c r="I79" i="48"/>
  <c r="H76" i="48"/>
  <c r="K77" i="48"/>
  <c r="H75" i="48"/>
  <c r="I78" i="48"/>
  <c r="K62" i="48"/>
  <c r="J78" i="48"/>
  <c r="J80" i="48"/>
  <c r="J62" i="48"/>
  <c r="H80" i="48"/>
  <c r="J74" i="48"/>
  <c r="J76" i="48"/>
  <c r="K74" i="48"/>
  <c r="H77" i="48"/>
  <c r="H79" i="48"/>
  <c r="J79" i="48"/>
  <c r="H78" i="48"/>
  <c r="J75" i="48"/>
  <c r="I76" i="48"/>
  <c r="I75" i="48"/>
  <c r="K76" i="48"/>
  <c r="I77" i="48"/>
  <c r="I74" i="48"/>
  <c r="K80" i="48"/>
  <c r="K78" i="48"/>
  <c r="I80" i="48"/>
  <c r="J77" i="48"/>
  <c r="K79" i="48"/>
  <c r="K75" i="48"/>
  <c r="BI109" i="59"/>
  <c r="S283" i="72" s="1"/>
  <c r="AB129" i="59"/>
  <c r="L436" i="72" s="1"/>
  <c r="BH109" i="59"/>
  <c r="R283" i="72" s="1"/>
  <c r="I11" i="61"/>
  <c r="I10" i="61"/>
  <c r="AL109" i="59"/>
  <c r="V263" i="72" s="1"/>
  <c r="BJ109" i="59"/>
  <c r="T283" i="72" s="1"/>
  <c r="AA129" i="59"/>
  <c r="K436" i="72" s="1"/>
  <c r="BW109" i="59"/>
  <c r="AG283" i="72" s="1"/>
  <c r="BC129" i="59"/>
  <c r="M456" i="72" s="1"/>
  <c r="BG109" i="59"/>
  <c r="Q283" i="72" s="1"/>
  <c r="BU109" i="59"/>
  <c r="AE283" i="72" s="1"/>
  <c r="AX93" i="59"/>
  <c r="H112" i="72" s="1"/>
  <c r="AQ93" i="59"/>
  <c r="AR93" i="59"/>
  <c r="AS93" i="59"/>
  <c r="AT93" i="59"/>
  <c r="AB93" i="59"/>
  <c r="AC93" i="59"/>
  <c r="AD93" i="59"/>
  <c r="AE93" i="59"/>
  <c r="AH93" i="59"/>
  <c r="Z93" i="59"/>
  <c r="AA93" i="59"/>
  <c r="AF93" i="59"/>
  <c r="AK93" i="59"/>
  <c r="AL93" i="59"/>
  <c r="AM93" i="59"/>
  <c r="AP93" i="59"/>
  <c r="X93" i="59"/>
  <c r="Y93" i="59"/>
  <c r="AG93" i="59"/>
  <c r="AI93" i="59"/>
  <c r="AO93" i="59"/>
  <c r="AV93" i="59"/>
  <c r="AJ93" i="59"/>
  <c r="AN93" i="59"/>
  <c r="AW93" i="59"/>
  <c r="AU93" i="59"/>
  <c r="AX111" i="59"/>
  <c r="H285" i="72" s="1"/>
  <c r="AE111" i="59"/>
  <c r="AF111" i="59"/>
  <c r="AG111" i="59"/>
  <c r="AH111" i="59"/>
  <c r="AN111" i="59"/>
  <c r="AO111" i="59"/>
  <c r="AP111" i="59"/>
  <c r="AQ111" i="59"/>
  <c r="AR111" i="59"/>
  <c r="AT111" i="59"/>
  <c r="AI111" i="59"/>
  <c r="AJ111" i="59"/>
  <c r="AU111" i="59"/>
  <c r="AV111" i="59"/>
  <c r="Y111" i="59"/>
  <c r="AK111" i="59"/>
  <c r="AW111" i="59"/>
  <c r="AD111" i="59"/>
  <c r="AB111" i="59"/>
  <c r="AL111" i="59"/>
  <c r="AS111" i="59"/>
  <c r="AA111" i="59"/>
  <c r="X111" i="59"/>
  <c r="Z111" i="59"/>
  <c r="AC111" i="59"/>
  <c r="AM111" i="59"/>
  <c r="AX94" i="59"/>
  <c r="H113" i="72" s="1"/>
  <c r="AW94" i="59"/>
  <c r="AX133" i="59"/>
  <c r="H460" i="72" s="1"/>
  <c r="AG133" i="59"/>
  <c r="Y133" i="59"/>
  <c r="AF133" i="59"/>
  <c r="AH133" i="59"/>
  <c r="AI133" i="59"/>
  <c r="Z133" i="59"/>
  <c r="X133" i="59"/>
  <c r="AM133" i="59"/>
  <c r="AN133" i="59"/>
  <c r="AT133" i="59"/>
  <c r="AK133" i="59"/>
  <c r="AW133" i="59"/>
  <c r="AL133" i="59"/>
  <c r="AJ133" i="59"/>
  <c r="AO133" i="59"/>
  <c r="AP133" i="59"/>
  <c r="AQ133" i="59"/>
  <c r="AA133" i="59"/>
  <c r="AV133" i="59"/>
  <c r="AC133" i="59"/>
  <c r="AD133" i="59"/>
  <c r="AE133" i="59"/>
  <c r="AU133" i="59"/>
  <c r="AB133" i="59"/>
  <c r="AR133" i="59"/>
  <c r="AS133" i="59"/>
  <c r="AX97" i="59"/>
  <c r="H116" i="72" s="1"/>
  <c r="Y97" i="59"/>
  <c r="AC97" i="59"/>
  <c r="X97" i="59"/>
  <c r="AV97" i="59"/>
  <c r="AA97" i="59"/>
  <c r="AD97" i="59"/>
  <c r="AU97" i="59"/>
  <c r="AI97" i="59"/>
  <c r="AJ97" i="59"/>
  <c r="AK97" i="59"/>
  <c r="AN97" i="59"/>
  <c r="AE97" i="59"/>
  <c r="AF97" i="59"/>
  <c r="AG97" i="59"/>
  <c r="AM97" i="59"/>
  <c r="AW97" i="59"/>
  <c r="AQ97" i="59"/>
  <c r="AR97" i="59"/>
  <c r="AS97" i="59"/>
  <c r="AT97" i="59"/>
  <c r="AO97" i="59"/>
  <c r="AB97" i="59"/>
  <c r="AH97" i="59"/>
  <c r="Z97" i="59"/>
  <c r="AL97" i="59"/>
  <c r="AP97" i="59"/>
  <c r="AX96" i="59"/>
  <c r="H115" i="72" s="1"/>
  <c r="AP96" i="59"/>
  <c r="AR96" i="59"/>
  <c r="AT96" i="59"/>
  <c r="AI96" i="59"/>
  <c r="AU96" i="59"/>
  <c r="AK96" i="59"/>
  <c r="AL96" i="59"/>
  <c r="AM96" i="59"/>
  <c r="AN96" i="59"/>
  <c r="AV96" i="59"/>
  <c r="AW96" i="59"/>
  <c r="X96" i="59"/>
  <c r="Y96" i="59"/>
  <c r="AE96" i="59"/>
  <c r="AO96" i="59"/>
  <c r="AB96" i="59"/>
  <c r="AH96" i="59"/>
  <c r="AQ96" i="59"/>
  <c r="AD96" i="59"/>
  <c r="AS96" i="59"/>
  <c r="Z96" i="59"/>
  <c r="AA96" i="59"/>
  <c r="AC96" i="59"/>
  <c r="AJ96" i="59"/>
  <c r="AF96" i="59"/>
  <c r="AG96" i="59"/>
  <c r="AX113" i="59"/>
  <c r="H287" i="72" s="1"/>
  <c r="Y113" i="59"/>
  <c r="AC113" i="59"/>
  <c r="AD113" i="59"/>
  <c r="AJ113" i="59"/>
  <c r="Z113" i="59"/>
  <c r="AK113" i="59"/>
  <c r="AA113" i="59"/>
  <c r="AL113" i="59"/>
  <c r="AE113" i="59"/>
  <c r="AF113" i="59"/>
  <c r="AG113" i="59"/>
  <c r="AO113" i="59"/>
  <c r="AP113" i="59"/>
  <c r="AB113" i="59"/>
  <c r="AH113" i="59"/>
  <c r="AI113" i="59"/>
  <c r="AQ113" i="59"/>
  <c r="AR113" i="59"/>
  <c r="AS113" i="59"/>
  <c r="AU113" i="59"/>
  <c r="AM113" i="59"/>
  <c r="AV113" i="59"/>
  <c r="AN113" i="59"/>
  <c r="AW113" i="59"/>
  <c r="X113" i="59"/>
  <c r="AT113" i="59"/>
  <c r="Q23" i="24"/>
  <c r="F21" i="16" s="1"/>
  <c r="AX114" i="59"/>
  <c r="H288" i="72" s="1"/>
  <c r="AB114" i="59"/>
  <c r="AI114" i="59"/>
  <c r="AF114" i="59"/>
  <c r="AD114" i="59"/>
  <c r="AG114" i="59"/>
  <c r="AE114" i="59"/>
  <c r="AH114" i="59"/>
  <c r="AK114" i="59"/>
  <c r="AL114" i="59"/>
  <c r="AM114" i="59"/>
  <c r="AN114" i="59"/>
  <c r="AO114" i="59"/>
  <c r="Y114" i="59"/>
  <c r="AW114" i="59"/>
  <c r="AU114" i="59"/>
  <c r="AV114" i="59"/>
  <c r="Z114" i="59"/>
  <c r="X114" i="59"/>
  <c r="AA114" i="59"/>
  <c r="AC114" i="59"/>
  <c r="AJ114" i="59"/>
  <c r="AP114" i="59"/>
  <c r="AQ114" i="59"/>
  <c r="AT114" i="59"/>
  <c r="AR114" i="59"/>
  <c r="AS114" i="59"/>
  <c r="AX112" i="59"/>
  <c r="H286" i="72" s="1"/>
  <c r="AQ112" i="59"/>
  <c r="AR112" i="59"/>
  <c r="AS112" i="59"/>
  <c r="AT112" i="59"/>
  <c r="AU112" i="59"/>
  <c r="Y112" i="59"/>
  <c r="Z112" i="59"/>
  <c r="AA112" i="59"/>
  <c r="AF112" i="59"/>
  <c r="AE112" i="59"/>
  <c r="X112" i="59"/>
  <c r="AB112" i="59"/>
  <c r="AC112" i="59"/>
  <c r="AD112" i="59"/>
  <c r="AG112" i="59"/>
  <c r="AJ112" i="59"/>
  <c r="AV112" i="59"/>
  <c r="AI112" i="59"/>
  <c r="AK112" i="59"/>
  <c r="AW112" i="59"/>
  <c r="AL112" i="59"/>
  <c r="AM112" i="59"/>
  <c r="AH112" i="59"/>
  <c r="AP112" i="59"/>
  <c r="AO112" i="59"/>
  <c r="AN112" i="59"/>
  <c r="AA92" i="59"/>
  <c r="AS92" i="59"/>
  <c r="AX92" i="59"/>
  <c r="H111" i="72" s="1"/>
  <c r="BR92" i="59"/>
  <c r="AB111" i="72" s="1"/>
  <c r="BV92" i="59"/>
  <c r="AF111" i="72" s="1"/>
  <c r="AT92" i="59"/>
  <c r="AB92" i="59"/>
  <c r="BS92" i="59"/>
  <c r="AC111" i="72" s="1"/>
  <c r="AY92" i="59"/>
  <c r="I111" i="72" s="1"/>
  <c r="AU92" i="59"/>
  <c r="BW92" i="59"/>
  <c r="AG111" i="72" s="1"/>
  <c r="BT92" i="59"/>
  <c r="AD111" i="72" s="1"/>
  <c r="BF92" i="59"/>
  <c r="P111" i="72" s="1"/>
  <c r="AZ92" i="59"/>
  <c r="J111" i="72" s="1"/>
  <c r="AW92" i="59"/>
  <c r="AJ92" i="59"/>
  <c r="AF92" i="59"/>
  <c r="X92" i="59"/>
  <c r="BG92" i="59"/>
  <c r="Q111" i="72" s="1"/>
  <c r="BC92" i="59"/>
  <c r="M111" i="72" s="1"/>
  <c r="BA92" i="59"/>
  <c r="K111" i="72" s="1"/>
  <c r="AN92" i="59"/>
  <c r="AD92" i="59"/>
  <c r="BK92" i="59"/>
  <c r="U111" i="72" s="1"/>
  <c r="BD92" i="59"/>
  <c r="N111" i="72" s="1"/>
  <c r="BN92" i="59"/>
  <c r="X111" i="72" s="1"/>
  <c r="AR92" i="59"/>
  <c r="Z92" i="59"/>
  <c r="BU92" i="59"/>
  <c r="AE111" i="72" s="1"/>
  <c r="AC92" i="59"/>
  <c r="Y92" i="59"/>
  <c r="BB92" i="59"/>
  <c r="L111" i="72" s="1"/>
  <c r="AE92" i="59"/>
  <c r="BE92" i="59"/>
  <c r="O111" i="72" s="1"/>
  <c r="AG92" i="59"/>
  <c r="BJ92" i="59"/>
  <c r="T111" i="72" s="1"/>
  <c r="AP92" i="59"/>
  <c r="AI92" i="59"/>
  <c r="AK92" i="59"/>
  <c r="BH92" i="59"/>
  <c r="R111" i="72" s="1"/>
  <c r="BO92" i="59"/>
  <c r="Y111" i="72" s="1"/>
  <c r="AQ92" i="59"/>
  <c r="AV92" i="59"/>
  <c r="BL92" i="59"/>
  <c r="V111" i="72" s="1"/>
  <c r="BM92" i="59"/>
  <c r="W111" i="72" s="1"/>
  <c r="BI92" i="59"/>
  <c r="S111" i="72" s="1"/>
  <c r="AH92" i="59"/>
  <c r="AL92" i="59"/>
  <c r="BP92" i="59"/>
  <c r="Z111" i="72" s="1"/>
  <c r="AM92" i="59"/>
  <c r="BQ92" i="59"/>
  <c r="AA111" i="72" s="1"/>
  <c r="AO92" i="59"/>
  <c r="AX98" i="59"/>
  <c r="H117" i="72" s="1"/>
  <c r="AK98" i="59"/>
  <c r="AN98" i="59"/>
  <c r="AF98" i="59"/>
  <c r="AG98" i="59"/>
  <c r="X98" i="59"/>
  <c r="AV98" i="59"/>
  <c r="Y98" i="59"/>
  <c r="AW98" i="59"/>
  <c r="Z98" i="59"/>
  <c r="AH98" i="59"/>
  <c r="AI98" i="59"/>
  <c r="AJ98" i="59"/>
  <c r="AL98" i="59"/>
  <c r="AM98" i="59"/>
  <c r="AC98" i="59"/>
  <c r="AP98" i="59"/>
  <c r="AO98" i="59"/>
  <c r="AT98" i="59"/>
  <c r="AU98" i="59"/>
  <c r="AA98" i="59"/>
  <c r="AB98" i="59"/>
  <c r="AD98" i="59"/>
  <c r="AS98" i="59"/>
  <c r="AE98" i="59"/>
  <c r="AQ98" i="59"/>
  <c r="AR98" i="59"/>
  <c r="AX115" i="59"/>
  <c r="H289" i="72" s="1"/>
  <c r="X115" i="59"/>
  <c r="AJ109" i="59"/>
  <c r="T263" i="72" s="1"/>
  <c r="AX131" i="59"/>
  <c r="H458" i="72" s="1"/>
  <c r="AB131" i="59"/>
  <c r="AH131" i="59"/>
  <c r="AJ131" i="59"/>
  <c r="AK131" i="59"/>
  <c r="AO131" i="59"/>
  <c r="AL131" i="59"/>
  <c r="AP131" i="59"/>
  <c r="AM131" i="59"/>
  <c r="AV131" i="59"/>
  <c r="AN131" i="59"/>
  <c r="AQ131" i="59"/>
  <c r="AR131" i="59"/>
  <c r="AU131" i="59"/>
  <c r="AC131" i="59"/>
  <c r="AW131" i="59"/>
  <c r="Y131" i="59"/>
  <c r="AG131" i="59"/>
  <c r="AS131" i="59"/>
  <c r="AT131" i="59"/>
  <c r="AD131" i="59"/>
  <c r="X131" i="59"/>
  <c r="AE131" i="59"/>
  <c r="AA131" i="59"/>
  <c r="AF131" i="59"/>
  <c r="AI131" i="59"/>
  <c r="Z131" i="59"/>
  <c r="AX95" i="59"/>
  <c r="H114" i="72" s="1"/>
  <c r="AS95" i="59"/>
  <c r="AK95" i="59"/>
  <c r="AT95" i="59"/>
  <c r="AU95" i="59"/>
  <c r="Y95" i="59"/>
  <c r="AC95" i="59"/>
  <c r="Z95" i="59"/>
  <c r="AD95" i="59"/>
  <c r="AJ95" i="59"/>
  <c r="AL95" i="59"/>
  <c r="AQ95" i="59"/>
  <c r="AR95" i="59"/>
  <c r="X95" i="59"/>
  <c r="AN95" i="59"/>
  <c r="AO95" i="59"/>
  <c r="AH95" i="59"/>
  <c r="AM95" i="59"/>
  <c r="AF95" i="59"/>
  <c r="AG95" i="59"/>
  <c r="AI95" i="59"/>
  <c r="AA95" i="59"/>
  <c r="AB95" i="59"/>
  <c r="AP95" i="59"/>
  <c r="AW95" i="59"/>
  <c r="AV95" i="59"/>
  <c r="AE95" i="59"/>
  <c r="AP91" i="59"/>
  <c r="AQ91" i="59"/>
  <c r="Y91" i="59"/>
  <c r="AW91" i="59"/>
  <c r="Z91" i="59"/>
  <c r="AA91" i="59"/>
  <c r="X91" i="59"/>
  <c r="AE91" i="59"/>
  <c r="AC91" i="59"/>
  <c r="AG91" i="59"/>
  <c r="AK91" i="59"/>
  <c r="AM91" i="59"/>
  <c r="AN91" i="59"/>
  <c r="AO91" i="59"/>
  <c r="AB91" i="59"/>
  <c r="AD91" i="59"/>
  <c r="AF91" i="59"/>
  <c r="AL91" i="59"/>
  <c r="AR91" i="59"/>
  <c r="AS91" i="59"/>
  <c r="AT91" i="59"/>
  <c r="AU91" i="59"/>
  <c r="AH91" i="59"/>
  <c r="AI91" i="59"/>
  <c r="AJ91" i="59"/>
  <c r="AV91" i="59"/>
  <c r="AX132" i="59"/>
  <c r="H459" i="72" s="1"/>
  <c r="X132" i="59"/>
  <c r="AC132" i="59"/>
  <c r="AD132" i="59"/>
  <c r="AE132" i="59"/>
  <c r="AF132" i="59"/>
  <c r="AH132" i="59"/>
  <c r="AG132" i="59"/>
  <c r="AI132" i="59"/>
  <c r="AJ132" i="59"/>
  <c r="AN132" i="59"/>
  <c r="AV132" i="59"/>
  <c r="AW132" i="59"/>
  <c r="AP132" i="59"/>
  <c r="AQ132" i="59"/>
  <c r="AR132" i="59"/>
  <c r="AS132" i="59"/>
  <c r="AT132" i="59"/>
  <c r="AB132" i="59"/>
  <c r="AO132" i="59"/>
  <c r="AU132" i="59"/>
  <c r="AA132" i="59"/>
  <c r="Y132" i="59"/>
  <c r="AL132" i="59"/>
  <c r="AM132" i="59"/>
  <c r="Z132" i="59"/>
  <c r="AK132" i="59"/>
  <c r="AG42" i="72"/>
  <c r="Y42" i="72"/>
  <c r="AB217" i="72"/>
  <c r="R390" i="72"/>
  <c r="Z390" i="72"/>
  <c r="J42" i="72"/>
  <c r="K390" i="72"/>
  <c r="BS129" i="59"/>
  <c r="AC456" i="72" s="1"/>
  <c r="AF42" i="72"/>
  <c r="I42" i="72"/>
  <c r="L217" i="72"/>
  <c r="T390" i="72"/>
  <c r="J390" i="72"/>
  <c r="S390" i="72"/>
  <c r="Q42" i="72"/>
  <c r="X42" i="72"/>
  <c r="U217" i="72"/>
  <c r="AA217" i="72"/>
  <c r="AG390" i="72"/>
  <c r="Y390" i="72"/>
  <c r="BF129" i="59"/>
  <c r="P456" i="72" s="1"/>
  <c r="P42" i="72"/>
  <c r="H42" i="72"/>
  <c r="S217" i="72"/>
  <c r="K217" i="72"/>
  <c r="Q390" i="72"/>
  <c r="I390" i="72"/>
  <c r="AE42" i="72"/>
  <c r="W42" i="72"/>
  <c r="T217" i="72"/>
  <c r="Z217" i="72"/>
  <c r="AF390" i="72"/>
  <c r="X390" i="72"/>
  <c r="O42" i="72"/>
  <c r="V42" i="72"/>
  <c r="R217" i="72"/>
  <c r="J217" i="72"/>
  <c r="P390" i="72"/>
  <c r="H390" i="72"/>
  <c r="AD42" i="72"/>
  <c r="U42" i="72"/>
  <c r="AG217" i="72"/>
  <c r="Y217" i="72"/>
  <c r="AE390" i="72"/>
  <c r="W390" i="72"/>
  <c r="M217" i="72"/>
  <c r="AK109" i="59"/>
  <c r="U263" i="72" s="1"/>
  <c r="N42" i="72"/>
  <c r="T42" i="72"/>
  <c r="Q217" i="72"/>
  <c r="I217" i="72"/>
  <c r="O390" i="72"/>
  <c r="V390" i="72"/>
  <c r="AC42" i="72"/>
  <c r="S42" i="72"/>
  <c r="AF217" i="72"/>
  <c r="X217" i="72"/>
  <c r="AD390" i="72"/>
  <c r="AI109" i="59"/>
  <c r="S263" i="72" s="1"/>
  <c r="M42" i="72"/>
  <c r="R42" i="72"/>
  <c r="P217" i="72"/>
  <c r="H217" i="72"/>
  <c r="N390" i="72"/>
  <c r="AH109" i="59"/>
  <c r="R263" i="72" s="1"/>
  <c r="AB42" i="72"/>
  <c r="AE217" i="72"/>
  <c r="W217" i="72"/>
  <c r="AC390" i="72"/>
  <c r="AF129" i="59"/>
  <c r="P436" i="72" s="1"/>
  <c r="AV109" i="59"/>
  <c r="AF263" i="72" s="1"/>
  <c r="L42" i="72"/>
  <c r="O217" i="72"/>
  <c r="V217" i="72"/>
  <c r="M390" i="72"/>
  <c r="BE129" i="59"/>
  <c r="O456" i="72" s="1"/>
  <c r="AB109" i="59"/>
  <c r="L263" i="72" s="1"/>
  <c r="AX109" i="59"/>
  <c r="H283" i="72" s="1"/>
  <c r="AA42" i="72"/>
  <c r="AD217" i="72"/>
  <c r="AB390" i="72"/>
  <c r="BD129" i="59"/>
  <c r="N456" i="72" s="1"/>
  <c r="BB109" i="59"/>
  <c r="L283" i="72" s="1"/>
  <c r="K42" i="72"/>
  <c r="N217" i="72"/>
  <c r="L390" i="72"/>
  <c r="AR129" i="59"/>
  <c r="AB436" i="72" s="1"/>
  <c r="BK109" i="59"/>
  <c r="U283" i="72" s="1"/>
  <c r="Z42" i="72"/>
  <c r="AC217" i="72"/>
  <c r="U390" i="72"/>
  <c r="AA390" i="72"/>
  <c r="AW90" i="59"/>
  <c r="AJ89" i="59"/>
  <c r="T88" i="72" s="1"/>
  <c r="BT89" i="59"/>
  <c r="AD108" i="72" s="1"/>
  <c r="BN90" i="59"/>
  <c r="X109" i="72" s="1"/>
  <c r="AN89" i="59"/>
  <c r="X88" i="72" s="1"/>
  <c r="BD89" i="59"/>
  <c r="N108" i="72" s="1"/>
  <c r="AX89" i="59"/>
  <c r="H108" i="72" s="1"/>
  <c r="AN90" i="59"/>
  <c r="AM89" i="59"/>
  <c r="BS89" i="59"/>
  <c r="BF90" i="59"/>
  <c r="P109" i="72" s="1"/>
  <c r="AU89" i="59"/>
  <c r="AE88" i="72" s="1"/>
  <c r="BR89" i="59"/>
  <c r="AB108" i="72" s="1"/>
  <c r="AX129" i="59"/>
  <c r="H456" i="72" s="1"/>
  <c r="BU90" i="59"/>
  <c r="AE109" i="72" s="1"/>
  <c r="AE89" i="59"/>
  <c r="O88" i="72" s="1"/>
  <c r="BN89" i="59"/>
  <c r="X108" i="72" s="1"/>
  <c r="AX90" i="59"/>
  <c r="H109" i="72" s="1"/>
  <c r="AT89" i="59"/>
  <c r="AD88" i="72" s="1"/>
  <c r="BM89" i="59"/>
  <c r="W108" i="72" s="1"/>
  <c r="AD89" i="59"/>
  <c r="N88" i="72" s="1"/>
  <c r="BL89" i="59"/>
  <c r="V108" i="72" s="1"/>
  <c r="BW91" i="59"/>
  <c r="AG110" i="72" s="1"/>
  <c r="AX91" i="59"/>
  <c r="H110" i="72" s="1"/>
  <c r="BR129" i="59"/>
  <c r="AB456" i="72" s="1"/>
  <c r="AS89" i="59"/>
  <c r="AC88" i="72" s="1"/>
  <c r="BK89" i="59"/>
  <c r="U108" i="72" s="1"/>
  <c r="AE129" i="59"/>
  <c r="O436" i="72" s="1"/>
  <c r="BB129" i="59"/>
  <c r="L456" i="72" s="1"/>
  <c r="X109" i="59"/>
  <c r="H263" i="72" s="1"/>
  <c r="AW108" i="59"/>
  <c r="AC89" i="59"/>
  <c r="M88" i="72" s="1"/>
  <c r="BJ89" i="59"/>
  <c r="T108" i="72" s="1"/>
  <c r="AD129" i="59"/>
  <c r="N436" i="72" s="1"/>
  <c r="BQ129" i="59"/>
  <c r="AA456" i="72" s="1"/>
  <c r="X108" i="59"/>
  <c r="AR89" i="59"/>
  <c r="BI89" i="59"/>
  <c r="S108" i="72" s="1"/>
  <c r="AX108" i="59"/>
  <c r="H282" i="72" s="1"/>
  <c r="AQ128" i="59"/>
  <c r="AH129" i="59"/>
  <c r="R436" i="72" s="1"/>
  <c r="BA129" i="59"/>
  <c r="K456" i="72" s="1"/>
  <c r="AR109" i="59"/>
  <c r="AB263" i="72" s="1"/>
  <c r="BF108" i="59"/>
  <c r="P282" i="72" s="1"/>
  <c r="AB89" i="59"/>
  <c r="L88" i="72" s="1"/>
  <c r="BH89" i="59"/>
  <c r="R108" i="72" s="1"/>
  <c r="AF128" i="59"/>
  <c r="AC129" i="59"/>
  <c r="M436" i="72" s="1"/>
  <c r="BO129" i="59"/>
  <c r="Y456" i="72" s="1"/>
  <c r="BM108" i="59"/>
  <c r="W282" i="72" s="1"/>
  <c r="AP89" i="59"/>
  <c r="Z88" i="72" s="1"/>
  <c r="BC128" i="59"/>
  <c r="M455" i="72" s="1"/>
  <c r="AV129" i="59"/>
  <c r="AF436" i="72" s="1"/>
  <c r="BH129" i="59"/>
  <c r="R456" i="72" s="1"/>
  <c r="AQ109" i="59"/>
  <c r="AA263" i="72" s="1"/>
  <c r="BW89" i="59"/>
  <c r="AG108" i="72" s="1"/>
  <c r="AX110" i="59"/>
  <c r="H284" i="72" s="1"/>
  <c r="AX128" i="59"/>
  <c r="H455" i="72" s="1"/>
  <c r="AI129" i="59"/>
  <c r="S436" i="72" s="1"/>
  <c r="BW129" i="59"/>
  <c r="AG456" i="72" s="1"/>
  <c r="AA109" i="59"/>
  <c r="K263" i="72" s="1"/>
  <c r="BV89" i="59"/>
  <c r="AF108" i="72" s="1"/>
  <c r="AD90" i="59"/>
  <c r="BU129" i="59"/>
  <c r="AE456" i="72" s="1"/>
  <c r="BG129" i="59"/>
  <c r="Q456" i="72" s="1"/>
  <c r="BR109" i="59"/>
  <c r="AB283" i="72" s="1"/>
  <c r="AL89" i="59"/>
  <c r="V88" i="72" s="1"/>
  <c r="BU89" i="59"/>
  <c r="AE108" i="72" s="1"/>
  <c r="X90" i="59"/>
  <c r="BT129" i="59"/>
  <c r="AD456" i="72" s="1"/>
  <c r="BV129" i="59"/>
  <c r="AF456" i="72" s="1"/>
  <c r="BQ109" i="59"/>
  <c r="AA283" i="72" s="1"/>
  <c r="AK89" i="59"/>
  <c r="U88" i="72" s="1"/>
  <c r="BG89" i="59"/>
  <c r="Q108" i="72" s="1"/>
  <c r="BO132" i="59"/>
  <c r="Y459" i="72" s="1"/>
  <c r="BG132" i="59"/>
  <c r="Q459" i="72" s="1"/>
  <c r="AZ132" i="59"/>
  <c r="J459" i="72" s="1"/>
  <c r="BW132" i="59"/>
  <c r="AG459" i="72" s="1"/>
  <c r="BP132" i="59"/>
  <c r="Z459" i="72" s="1"/>
  <c r="BH132" i="59"/>
  <c r="R459" i="72" s="1"/>
  <c r="BA132" i="59"/>
  <c r="K459" i="72" s="1"/>
  <c r="BQ132" i="59"/>
  <c r="AA459" i="72" s="1"/>
  <c r="BB132" i="59"/>
  <c r="L459" i="72" s="1"/>
  <c r="BI132" i="59"/>
  <c r="S459" i="72" s="1"/>
  <c r="BR132" i="59"/>
  <c r="AB459" i="72" s="1"/>
  <c r="BC132" i="59"/>
  <c r="M459" i="72" s="1"/>
  <c r="BJ132" i="59"/>
  <c r="T459" i="72" s="1"/>
  <c r="BS132" i="59"/>
  <c r="AC459" i="72" s="1"/>
  <c r="BD132" i="59"/>
  <c r="N459" i="72" s="1"/>
  <c r="BK132" i="59"/>
  <c r="U459" i="72" s="1"/>
  <c r="BT132" i="59"/>
  <c r="AD459" i="72" s="1"/>
  <c r="BL132" i="59"/>
  <c r="V459" i="72" s="1"/>
  <c r="BE132" i="59"/>
  <c r="O459" i="72" s="1"/>
  <c r="BM132" i="59"/>
  <c r="W459" i="72" s="1"/>
  <c r="BU132" i="59"/>
  <c r="AE459" i="72" s="1"/>
  <c r="BN132" i="59"/>
  <c r="X459" i="72" s="1"/>
  <c r="AY132" i="59"/>
  <c r="I459" i="72" s="1"/>
  <c r="BF132" i="59"/>
  <c r="P459" i="72" s="1"/>
  <c r="BV132" i="59"/>
  <c r="AF459" i="72" s="1"/>
  <c r="AJ99" i="59"/>
  <c r="AI99" i="59"/>
  <c r="BN99" i="59"/>
  <c r="X118" i="72" s="1"/>
  <c r="BF99" i="59"/>
  <c r="P118" i="72" s="1"/>
  <c r="Z99" i="59"/>
  <c r="AH99" i="59"/>
  <c r="AY99" i="59"/>
  <c r="I118" i="72" s="1"/>
  <c r="BV99" i="59"/>
  <c r="AF118" i="72" s="1"/>
  <c r="AP99" i="59"/>
  <c r="AO99" i="59"/>
  <c r="BO99" i="59"/>
  <c r="Y118" i="72" s="1"/>
  <c r="BG99" i="59"/>
  <c r="Q118" i="72" s="1"/>
  <c r="AA99" i="59"/>
  <c r="BW99" i="59"/>
  <c r="AG118" i="72" s="1"/>
  <c r="AQ99" i="59"/>
  <c r="AZ99" i="59"/>
  <c r="J118" i="72" s="1"/>
  <c r="BH99" i="59"/>
  <c r="R118" i="72" s="1"/>
  <c r="AB99" i="59"/>
  <c r="BP99" i="59"/>
  <c r="Z118" i="72" s="1"/>
  <c r="BI99" i="59"/>
  <c r="S118" i="72" s="1"/>
  <c r="AR99" i="59"/>
  <c r="BA99" i="59"/>
  <c r="K118" i="72" s="1"/>
  <c r="X99" i="59"/>
  <c r="AC99" i="59"/>
  <c r="BQ99" i="59"/>
  <c r="AA118" i="72" s="1"/>
  <c r="BJ99" i="59"/>
  <c r="T118" i="72" s="1"/>
  <c r="AS99" i="59"/>
  <c r="BB99" i="59"/>
  <c r="L118" i="72" s="1"/>
  <c r="BK99" i="59"/>
  <c r="U118" i="72" s="1"/>
  <c r="AD99" i="59"/>
  <c r="BM99" i="59"/>
  <c r="W118" i="72" s="1"/>
  <c r="BR99" i="59"/>
  <c r="AB118" i="72" s="1"/>
  <c r="BL99" i="59"/>
  <c r="V118" i="72" s="1"/>
  <c r="AT99" i="59"/>
  <c r="BU99" i="59"/>
  <c r="AE118" i="72" s="1"/>
  <c r="BC99" i="59"/>
  <c r="M118" i="72" s="1"/>
  <c r="AK99" i="59"/>
  <c r="AE99" i="59"/>
  <c r="BS99" i="59"/>
  <c r="AC118" i="72" s="1"/>
  <c r="AL99" i="59"/>
  <c r="AU99" i="59"/>
  <c r="BD99" i="59"/>
  <c r="N118" i="72" s="1"/>
  <c r="AM99" i="59"/>
  <c r="AF99" i="59"/>
  <c r="BT99" i="59"/>
  <c r="AD118" i="72" s="1"/>
  <c r="AN99" i="59"/>
  <c r="AV99" i="59"/>
  <c r="AW99" i="59"/>
  <c r="BE99" i="59"/>
  <c r="O118" i="72" s="1"/>
  <c r="Y99" i="59"/>
  <c r="AG99" i="59"/>
  <c r="AH147" i="59"/>
  <c r="R454" i="72" s="1"/>
  <c r="AD147" i="59"/>
  <c r="N454" i="72" s="1"/>
  <c r="AE147" i="59"/>
  <c r="O454" i="72" s="1"/>
  <c r="AT147" i="59"/>
  <c r="AD454" i="72" s="1"/>
  <c r="AU147" i="59"/>
  <c r="AE454" i="72" s="1"/>
  <c r="AS147" i="59"/>
  <c r="AC454" i="72" s="1"/>
  <c r="AC147" i="59"/>
  <c r="M454" i="72" s="1"/>
  <c r="AP147" i="59"/>
  <c r="Z454" i="72" s="1"/>
  <c r="AN147" i="59"/>
  <c r="X454" i="72" s="1"/>
  <c r="AQ147" i="59"/>
  <c r="AA454" i="72" s="1"/>
  <c r="Z147" i="59"/>
  <c r="J454" i="72" s="1"/>
  <c r="AA147" i="59"/>
  <c r="K454" i="72" s="1"/>
  <c r="AR147" i="59"/>
  <c r="AB454" i="72" s="1"/>
  <c r="AB147" i="59"/>
  <c r="L454" i="72" s="1"/>
  <c r="AK147" i="59"/>
  <c r="U454" i="72" s="1"/>
  <c r="BH147" i="59"/>
  <c r="R474" i="72" s="1"/>
  <c r="AW147" i="59"/>
  <c r="AG454" i="72" s="1"/>
  <c r="BI147" i="59"/>
  <c r="S474" i="72" s="1"/>
  <c r="BK147" i="59"/>
  <c r="U474" i="72" s="1"/>
  <c r="BC147" i="59"/>
  <c r="M474" i="72" s="1"/>
  <c r="AY147" i="59"/>
  <c r="I474" i="72" s="1"/>
  <c r="AO147" i="59"/>
  <c r="Y454" i="72" s="1"/>
  <c r="BS147" i="59"/>
  <c r="AC474" i="72" s="1"/>
  <c r="AZ147" i="59"/>
  <c r="J474" i="72" s="1"/>
  <c r="AJ147" i="59"/>
  <c r="T454" i="72" s="1"/>
  <c r="BD147" i="59"/>
  <c r="N474" i="72" s="1"/>
  <c r="BA147" i="59"/>
  <c r="K474" i="72" s="1"/>
  <c r="BT147" i="59"/>
  <c r="AD474" i="72" s="1"/>
  <c r="BB147" i="59"/>
  <c r="L474" i="72" s="1"/>
  <c r="BE147" i="59"/>
  <c r="O474" i="72" s="1"/>
  <c r="BJ147" i="59"/>
  <c r="T474" i="72" s="1"/>
  <c r="BU147" i="59"/>
  <c r="AE474" i="72" s="1"/>
  <c r="AM147" i="59"/>
  <c r="W454" i="72" s="1"/>
  <c r="X147" i="59"/>
  <c r="H454" i="72" s="1"/>
  <c r="BM147" i="59"/>
  <c r="W474" i="72" s="1"/>
  <c r="BF147" i="59"/>
  <c r="P474" i="72" s="1"/>
  <c r="BN147" i="59"/>
  <c r="X474" i="72" s="1"/>
  <c r="BV147" i="59"/>
  <c r="AF474" i="72" s="1"/>
  <c r="BO147" i="59"/>
  <c r="Y474" i="72" s="1"/>
  <c r="BG147" i="59"/>
  <c r="Q474" i="72" s="1"/>
  <c r="BP147" i="59"/>
  <c r="Z474" i="72" s="1"/>
  <c r="BQ147" i="59"/>
  <c r="AA474" i="72" s="1"/>
  <c r="AV147" i="59"/>
  <c r="AF454" i="72" s="1"/>
  <c r="BR147" i="59"/>
  <c r="AB474" i="72" s="1"/>
  <c r="AF147" i="59"/>
  <c r="P454" i="72" s="1"/>
  <c r="BL147" i="59"/>
  <c r="V474" i="72" s="1"/>
  <c r="AG147" i="59"/>
  <c r="Q454" i="72" s="1"/>
  <c r="AI147" i="59"/>
  <c r="S454" i="72" s="1"/>
  <c r="AL147" i="59"/>
  <c r="V454" i="72" s="1"/>
  <c r="BW147" i="59"/>
  <c r="AG474" i="72" s="1"/>
  <c r="Y147" i="59"/>
  <c r="I454" i="72" s="1"/>
  <c r="AK143" i="59"/>
  <c r="U450" i="72" s="1"/>
  <c r="AH143" i="59"/>
  <c r="R450" i="72" s="1"/>
  <c r="AW143" i="59"/>
  <c r="AG450" i="72" s="1"/>
  <c r="AG143" i="59"/>
  <c r="Q450" i="72" s="1"/>
  <c r="AE143" i="59"/>
  <c r="O450" i="72" s="1"/>
  <c r="AJ143" i="59"/>
  <c r="T450" i="72" s="1"/>
  <c r="AR143" i="59"/>
  <c r="AB450" i="72" s="1"/>
  <c r="AV143" i="59"/>
  <c r="AF450" i="72" s="1"/>
  <c r="AB143" i="59"/>
  <c r="L450" i="72" s="1"/>
  <c r="AF143" i="59"/>
  <c r="P450" i="72" s="1"/>
  <c r="AS143" i="59"/>
  <c r="AC450" i="72" s="1"/>
  <c r="AT143" i="59"/>
  <c r="AD450" i="72" s="1"/>
  <c r="AC143" i="59"/>
  <c r="M450" i="72" s="1"/>
  <c r="AD143" i="59"/>
  <c r="N450" i="72" s="1"/>
  <c r="AP143" i="59"/>
  <c r="Z450" i="72" s="1"/>
  <c r="Z143" i="59"/>
  <c r="J450" i="72" s="1"/>
  <c r="AO143" i="59"/>
  <c r="Y450" i="72" s="1"/>
  <c r="AQ143" i="59"/>
  <c r="AA450" i="72" s="1"/>
  <c r="Y143" i="59"/>
  <c r="I450" i="72" s="1"/>
  <c r="AA143" i="59"/>
  <c r="K450" i="72" s="1"/>
  <c r="AN143" i="59"/>
  <c r="X450" i="72" s="1"/>
  <c r="AU143" i="59"/>
  <c r="AE450" i="72" s="1"/>
  <c r="AL143" i="59"/>
  <c r="V450" i="72" s="1"/>
  <c r="BT143" i="59"/>
  <c r="AD470" i="72" s="1"/>
  <c r="BS143" i="59"/>
  <c r="AC470" i="72" s="1"/>
  <c r="BJ143" i="59"/>
  <c r="T470" i="72" s="1"/>
  <c r="BD143" i="59"/>
  <c r="N470" i="72" s="1"/>
  <c r="BK143" i="59"/>
  <c r="U470" i="72" s="1"/>
  <c r="BE143" i="59"/>
  <c r="O470" i="72" s="1"/>
  <c r="BL143" i="59"/>
  <c r="V470" i="72" s="1"/>
  <c r="BF143" i="59"/>
  <c r="P470" i="72" s="1"/>
  <c r="BM143" i="59"/>
  <c r="W470" i="72" s="1"/>
  <c r="BP143" i="59"/>
  <c r="Z470" i="72" s="1"/>
  <c r="BC143" i="59"/>
  <c r="M470" i="72" s="1"/>
  <c r="BN143" i="59"/>
  <c r="X470" i="72" s="1"/>
  <c r="AY143" i="59"/>
  <c r="I470" i="72" s="1"/>
  <c r="BO143" i="59"/>
  <c r="Y470" i="72" s="1"/>
  <c r="BA143" i="59"/>
  <c r="K470" i="72" s="1"/>
  <c r="AI143" i="59"/>
  <c r="S450" i="72" s="1"/>
  <c r="AM143" i="59"/>
  <c r="W450" i="72" s="1"/>
  <c r="BQ143" i="59"/>
  <c r="AA470" i="72" s="1"/>
  <c r="BB143" i="59"/>
  <c r="L470" i="72" s="1"/>
  <c r="BR143" i="59"/>
  <c r="AB470" i="72" s="1"/>
  <c r="BU143" i="59"/>
  <c r="AE470" i="72" s="1"/>
  <c r="BI143" i="59"/>
  <c r="S470" i="72" s="1"/>
  <c r="BG143" i="59"/>
  <c r="Q470" i="72" s="1"/>
  <c r="BV143" i="59"/>
  <c r="AF470" i="72" s="1"/>
  <c r="BW143" i="59"/>
  <c r="AG470" i="72" s="1"/>
  <c r="X143" i="59"/>
  <c r="H450" i="72" s="1"/>
  <c r="BH143" i="59"/>
  <c r="R470" i="72" s="1"/>
  <c r="AZ143" i="59"/>
  <c r="J470" i="72" s="1"/>
  <c r="AD128" i="59"/>
  <c r="BK128" i="59"/>
  <c r="U455" i="72" s="1"/>
  <c r="BB128" i="59"/>
  <c r="L455" i="72" s="1"/>
  <c r="AC90" i="59"/>
  <c r="BM90" i="59"/>
  <c r="W109" i="72" s="1"/>
  <c r="BE90" i="59"/>
  <c r="O109" i="72" s="1"/>
  <c r="AV108" i="59"/>
  <c r="Y108" i="59"/>
  <c r="BE108" i="59"/>
  <c r="O282" i="72" s="1"/>
  <c r="AC110" i="59"/>
  <c r="BE110" i="59"/>
  <c r="O284" i="72" s="1"/>
  <c r="BQ110" i="59"/>
  <c r="AA284" i="72" s="1"/>
  <c r="AY96" i="59"/>
  <c r="I115" i="72" s="1"/>
  <c r="BL96" i="59"/>
  <c r="V115" i="72" s="1"/>
  <c r="BJ96" i="59"/>
  <c r="T115" i="72" s="1"/>
  <c r="BP96" i="59"/>
  <c r="Z115" i="72" s="1"/>
  <c r="BO96" i="59"/>
  <c r="Y115" i="72" s="1"/>
  <c r="BM96" i="59"/>
  <c r="W115" i="72" s="1"/>
  <c r="BH96" i="59"/>
  <c r="R115" i="72" s="1"/>
  <c r="BG96" i="59"/>
  <c r="Q115" i="72" s="1"/>
  <c r="BU96" i="59"/>
  <c r="AE115" i="72" s="1"/>
  <c r="BF96" i="59"/>
  <c r="P115" i="72" s="1"/>
  <c r="BE96" i="59"/>
  <c r="O115" i="72" s="1"/>
  <c r="BN96" i="59"/>
  <c r="X115" i="72" s="1"/>
  <c r="BK96" i="59"/>
  <c r="U115" i="72" s="1"/>
  <c r="AZ96" i="59"/>
  <c r="J115" i="72" s="1"/>
  <c r="BI96" i="59"/>
  <c r="S115" i="72" s="1"/>
  <c r="BW96" i="59"/>
  <c r="AG115" i="72" s="1"/>
  <c r="BC96" i="59"/>
  <c r="M115" i="72" s="1"/>
  <c r="BA96" i="59"/>
  <c r="K115" i="72" s="1"/>
  <c r="BD96" i="59"/>
  <c r="N115" i="72" s="1"/>
  <c r="BQ96" i="59"/>
  <c r="AA115" i="72" s="1"/>
  <c r="BR96" i="59"/>
  <c r="AB115" i="72" s="1"/>
  <c r="BB96" i="59"/>
  <c r="L115" i="72" s="1"/>
  <c r="BV96" i="59"/>
  <c r="AF115" i="72" s="1"/>
  <c r="BS96" i="59"/>
  <c r="AC115" i="72" s="1"/>
  <c r="BT96" i="59"/>
  <c r="AD115" i="72" s="1"/>
  <c r="BL108" i="59"/>
  <c r="V282" i="72" s="1"/>
  <c r="AZ91" i="59"/>
  <c r="J110" i="72" s="1"/>
  <c r="BP91" i="59"/>
  <c r="Z110" i="72" s="1"/>
  <c r="BF91" i="59"/>
  <c r="P110" i="72" s="1"/>
  <c r="BA91" i="59"/>
  <c r="K110" i="72" s="1"/>
  <c r="BV91" i="59"/>
  <c r="AF110" i="72" s="1"/>
  <c r="BQ91" i="59"/>
  <c r="AA110" i="72" s="1"/>
  <c r="BG91" i="59"/>
  <c r="Q110" i="72" s="1"/>
  <c r="BB91" i="59"/>
  <c r="L110" i="72" s="1"/>
  <c r="BC91" i="59"/>
  <c r="M110" i="72" s="1"/>
  <c r="BR91" i="59"/>
  <c r="AB110" i="72" s="1"/>
  <c r="BD91" i="59"/>
  <c r="N110" i="72" s="1"/>
  <c r="BE91" i="59"/>
  <c r="O110" i="72" s="1"/>
  <c r="BI91" i="59"/>
  <c r="S110" i="72" s="1"/>
  <c r="BT91" i="59"/>
  <c r="AD110" i="72" s="1"/>
  <c r="BK91" i="59"/>
  <c r="U110" i="72" s="1"/>
  <c r="BL91" i="59"/>
  <c r="V110" i="72" s="1"/>
  <c r="BM91" i="59"/>
  <c r="W110" i="72" s="1"/>
  <c r="BN91" i="59"/>
  <c r="X110" i="72" s="1"/>
  <c r="AY91" i="59"/>
  <c r="I110" i="72" s="1"/>
  <c r="BO91" i="59"/>
  <c r="Y110" i="72" s="1"/>
  <c r="BU91" i="59"/>
  <c r="AE110" i="72" s="1"/>
  <c r="BJ91" i="59"/>
  <c r="T110" i="72" s="1"/>
  <c r="BH91" i="59"/>
  <c r="R110" i="72" s="1"/>
  <c r="BS91" i="59"/>
  <c r="AC110" i="72" s="1"/>
  <c r="BB106" i="59"/>
  <c r="L125" i="72" s="1"/>
  <c r="BK106" i="59"/>
  <c r="U125" i="72" s="1"/>
  <c r="AS106" i="59"/>
  <c r="AC105" i="72" s="1"/>
  <c r="BR106" i="59"/>
  <c r="AB125" i="72" s="1"/>
  <c r="BL106" i="59"/>
  <c r="V125" i="72" s="1"/>
  <c r="AD106" i="59"/>
  <c r="N105" i="72" s="1"/>
  <c r="BC106" i="59"/>
  <c r="M125" i="72" s="1"/>
  <c r="BM106" i="59"/>
  <c r="W125" i="72" s="1"/>
  <c r="AT106" i="59"/>
  <c r="AD105" i="72" s="1"/>
  <c r="BS106" i="59"/>
  <c r="AC125" i="72" s="1"/>
  <c r="AL106" i="59"/>
  <c r="V105" i="72" s="1"/>
  <c r="AE106" i="59"/>
  <c r="O105" i="72" s="1"/>
  <c r="BD106" i="59"/>
  <c r="N125" i="72" s="1"/>
  <c r="AM106" i="59"/>
  <c r="W105" i="72" s="1"/>
  <c r="AU106" i="59"/>
  <c r="AE105" i="72" s="1"/>
  <c r="BT106" i="59"/>
  <c r="AD125" i="72" s="1"/>
  <c r="AN106" i="59"/>
  <c r="X105" i="72" s="1"/>
  <c r="AF106" i="59"/>
  <c r="P105" i="72" s="1"/>
  <c r="BE106" i="59"/>
  <c r="O125" i="72" s="1"/>
  <c r="Y106" i="59"/>
  <c r="I105" i="72" s="1"/>
  <c r="AV106" i="59"/>
  <c r="AF105" i="72" s="1"/>
  <c r="BN106" i="59"/>
  <c r="X125" i="72" s="1"/>
  <c r="BV106" i="59"/>
  <c r="AF125" i="72" s="1"/>
  <c r="AP106" i="59"/>
  <c r="Z105" i="72" s="1"/>
  <c r="AH106" i="59"/>
  <c r="R105" i="72" s="1"/>
  <c r="AY106" i="59"/>
  <c r="I125" i="72" s="1"/>
  <c r="BG106" i="59"/>
  <c r="Q125" i="72" s="1"/>
  <c r="X106" i="59"/>
  <c r="H105" i="72" s="1"/>
  <c r="AI106" i="59"/>
  <c r="S105" i="72" s="1"/>
  <c r="BO106" i="59"/>
  <c r="Y125" i="72" s="1"/>
  <c r="BW106" i="59"/>
  <c r="AG125" i="72" s="1"/>
  <c r="AA106" i="59"/>
  <c r="K105" i="72" s="1"/>
  <c r="AZ106" i="59"/>
  <c r="J125" i="72" s="1"/>
  <c r="AQ106" i="59"/>
  <c r="AA105" i="72" s="1"/>
  <c r="AW106" i="59"/>
  <c r="AG105" i="72" s="1"/>
  <c r="BP106" i="59"/>
  <c r="Z125" i="72" s="1"/>
  <c r="BA106" i="59"/>
  <c r="K125" i="72" s="1"/>
  <c r="AK106" i="59"/>
  <c r="U105" i="72" s="1"/>
  <c r="BQ106" i="59"/>
  <c r="AA125" i="72" s="1"/>
  <c r="BU106" i="59"/>
  <c r="AE125" i="72" s="1"/>
  <c r="BF106" i="59"/>
  <c r="P125" i="72" s="1"/>
  <c r="AJ106" i="59"/>
  <c r="T105" i="72" s="1"/>
  <c r="BH106" i="59"/>
  <c r="R125" i="72" s="1"/>
  <c r="BI106" i="59"/>
  <c r="S125" i="72" s="1"/>
  <c r="BJ106" i="59"/>
  <c r="T125" i="72" s="1"/>
  <c r="AO106" i="59"/>
  <c r="Y105" i="72" s="1"/>
  <c r="Z106" i="59"/>
  <c r="J105" i="72" s="1"/>
  <c r="AB106" i="59"/>
  <c r="L105" i="72" s="1"/>
  <c r="AR106" i="59"/>
  <c r="AB105" i="72" s="1"/>
  <c r="AC106" i="59"/>
  <c r="M105" i="72" s="1"/>
  <c r="AG106" i="59"/>
  <c r="Q105" i="72" s="1"/>
  <c r="AW136" i="59"/>
  <c r="AB136" i="59"/>
  <c r="AD136" i="59"/>
  <c r="AJ136" i="59"/>
  <c r="BE136" i="59"/>
  <c r="O463" i="72" s="1"/>
  <c r="AE136" i="59"/>
  <c r="BF136" i="59"/>
  <c r="P463" i="72" s="1"/>
  <c r="AG136" i="59"/>
  <c r="AU136" i="59"/>
  <c r="AM136" i="59"/>
  <c r="AA136" i="59"/>
  <c r="AS136" i="59"/>
  <c r="AH136" i="59"/>
  <c r="AT136" i="59"/>
  <c r="AF136" i="59"/>
  <c r="AR136" i="59"/>
  <c r="AZ136" i="59"/>
  <c r="J463" i="72" s="1"/>
  <c r="AP136" i="59"/>
  <c r="AQ136" i="59"/>
  <c r="BP136" i="59"/>
  <c r="Z463" i="72" s="1"/>
  <c r="AC136" i="59"/>
  <c r="BA136" i="59"/>
  <c r="K463" i="72" s="1"/>
  <c r="X136" i="59"/>
  <c r="BQ136" i="59"/>
  <c r="AA463" i="72" s="1"/>
  <c r="AI136" i="59"/>
  <c r="BB136" i="59"/>
  <c r="L463" i="72" s="1"/>
  <c r="Z136" i="59"/>
  <c r="AK136" i="59"/>
  <c r="BG136" i="59"/>
  <c r="Q463" i="72" s="1"/>
  <c r="BR136" i="59"/>
  <c r="AB463" i="72" s="1"/>
  <c r="AL136" i="59"/>
  <c r="BW136" i="59"/>
  <c r="AG463" i="72" s="1"/>
  <c r="BC136" i="59"/>
  <c r="M463" i="72" s="1"/>
  <c r="BH136" i="59"/>
  <c r="R463" i="72" s="1"/>
  <c r="BS136" i="59"/>
  <c r="AC463" i="72" s="1"/>
  <c r="BI136" i="59"/>
  <c r="S463" i="72" s="1"/>
  <c r="BD136" i="59"/>
  <c r="N463" i="72" s="1"/>
  <c r="BJ136" i="59"/>
  <c r="T463" i="72" s="1"/>
  <c r="BT136" i="59"/>
  <c r="AD463" i="72" s="1"/>
  <c r="BK136" i="59"/>
  <c r="U463" i="72" s="1"/>
  <c r="BU136" i="59"/>
  <c r="AE463" i="72" s="1"/>
  <c r="BL136" i="59"/>
  <c r="V463" i="72" s="1"/>
  <c r="BV136" i="59"/>
  <c r="AF463" i="72" s="1"/>
  <c r="BM136" i="59"/>
  <c r="W463" i="72" s="1"/>
  <c r="AN136" i="59"/>
  <c r="AV136" i="59"/>
  <c r="BN136" i="59"/>
  <c r="X463" i="72" s="1"/>
  <c r="Y136" i="59"/>
  <c r="AY136" i="59"/>
  <c r="I463" i="72" s="1"/>
  <c r="AO136" i="59"/>
  <c r="BO136" i="59"/>
  <c r="Y463" i="72" s="1"/>
  <c r="AO128" i="59"/>
  <c r="BJ128" i="59"/>
  <c r="T455" i="72" s="1"/>
  <c r="BQ128" i="59"/>
  <c r="AA455" i="72" s="1"/>
  <c r="AB90" i="59"/>
  <c r="AM90" i="59"/>
  <c r="BT90" i="59"/>
  <c r="AD109" i="72" s="1"/>
  <c r="AF108" i="59"/>
  <c r="AN108" i="59"/>
  <c r="BT108" i="59"/>
  <c r="AD282" i="72" s="1"/>
  <c r="AR110" i="59"/>
  <c r="AI110" i="59"/>
  <c r="BA110" i="59"/>
  <c r="K284" i="72" s="1"/>
  <c r="AP128" i="59"/>
  <c r="AS110" i="59"/>
  <c r="Y88" i="59"/>
  <c r="AG88" i="59"/>
  <c r="AS88" i="59"/>
  <c r="AT88" i="59"/>
  <c r="AD88" i="59"/>
  <c r="AC88" i="59"/>
  <c r="AO88" i="59"/>
  <c r="AP88" i="59"/>
  <c r="AW88" i="59"/>
  <c r="AM88" i="59"/>
  <c r="Z88" i="59"/>
  <c r="BE88" i="59"/>
  <c r="O107" i="72" s="1"/>
  <c r="AK88" i="59"/>
  <c r="AQ88" i="59"/>
  <c r="AA88" i="59"/>
  <c r="BG88" i="59"/>
  <c r="Q107" i="72" s="1"/>
  <c r="BH88" i="59"/>
  <c r="R107" i="72" s="1"/>
  <c r="BI88" i="59"/>
  <c r="S107" i="72" s="1"/>
  <c r="AJ88" i="59"/>
  <c r="BJ88" i="59"/>
  <c r="T107" i="72" s="1"/>
  <c r="AN88" i="59"/>
  <c r="BK88" i="59"/>
  <c r="U107" i="72" s="1"/>
  <c r="BR88" i="59"/>
  <c r="AB107" i="72" s="1"/>
  <c r="AI88" i="59"/>
  <c r="BL88" i="59"/>
  <c r="V107" i="72" s="1"/>
  <c r="BT88" i="59"/>
  <c r="AD107" i="72" s="1"/>
  <c r="AR88" i="59"/>
  <c r="BM88" i="59"/>
  <c r="W107" i="72" s="1"/>
  <c r="BU88" i="59"/>
  <c r="AE107" i="72" s="1"/>
  <c r="AB88" i="59"/>
  <c r="BN88" i="59"/>
  <c r="X107" i="72" s="1"/>
  <c r="BV88" i="59"/>
  <c r="AF107" i="72" s="1"/>
  <c r="BD88" i="59"/>
  <c r="N107" i="72" s="1"/>
  <c r="BO88" i="59"/>
  <c r="Y107" i="72" s="1"/>
  <c r="BW88" i="59"/>
  <c r="AG107" i="72" s="1"/>
  <c r="AL88" i="59"/>
  <c r="AZ88" i="59"/>
  <c r="J107" i="72" s="1"/>
  <c r="AY88" i="59"/>
  <c r="I107" i="72" s="1"/>
  <c r="BP88" i="59"/>
  <c r="Z107" i="72" s="1"/>
  <c r="BB88" i="59"/>
  <c r="L107" i="72" s="1"/>
  <c r="BA88" i="59"/>
  <c r="K107" i="72" s="1"/>
  <c r="BQ88" i="59"/>
  <c r="AA107" i="72" s="1"/>
  <c r="BC88" i="59"/>
  <c r="M107" i="72" s="1"/>
  <c r="BS88" i="59"/>
  <c r="AC107" i="72" s="1"/>
  <c r="BF88" i="59"/>
  <c r="P107" i="72" s="1"/>
  <c r="AV88" i="59"/>
  <c r="AF88" i="59"/>
  <c r="AE88" i="59"/>
  <c r="X88" i="59"/>
  <c r="AH88" i="59"/>
  <c r="AU88" i="59"/>
  <c r="AW124" i="59"/>
  <c r="AG278" i="72" s="1"/>
  <c r="AT124" i="59"/>
  <c r="AD278" i="72" s="1"/>
  <c r="AS124" i="59"/>
  <c r="AC278" i="72" s="1"/>
  <c r="AP124" i="59"/>
  <c r="Z278" i="72" s="1"/>
  <c r="AR124" i="59"/>
  <c r="AB278" i="72" s="1"/>
  <c r="AF124" i="59"/>
  <c r="P278" i="72" s="1"/>
  <c r="AH124" i="59"/>
  <c r="R278" i="72" s="1"/>
  <c r="AG124" i="59"/>
  <c r="Q278" i="72" s="1"/>
  <c r="BE124" i="59"/>
  <c r="O298" i="72" s="1"/>
  <c r="AZ124" i="59"/>
  <c r="J298" i="72" s="1"/>
  <c r="AD124" i="59"/>
  <c r="N278" i="72" s="1"/>
  <c r="BU124" i="59"/>
  <c r="AE298" i="72" s="1"/>
  <c r="BP124" i="59"/>
  <c r="Z298" i="72" s="1"/>
  <c r="X124" i="59"/>
  <c r="H278" i="72" s="1"/>
  <c r="AI124" i="59"/>
  <c r="S278" i="72" s="1"/>
  <c r="AB124" i="59"/>
  <c r="L278" i="72" s="1"/>
  <c r="BF124" i="59"/>
  <c r="P298" i="72" s="1"/>
  <c r="AJ124" i="59"/>
  <c r="T278" i="72" s="1"/>
  <c r="BV124" i="59"/>
  <c r="AF298" i="72" s="1"/>
  <c r="AK124" i="59"/>
  <c r="U278" i="72" s="1"/>
  <c r="AC124" i="59"/>
  <c r="M278" i="72" s="1"/>
  <c r="BG124" i="59"/>
  <c r="Q298" i="72" s="1"/>
  <c r="AL124" i="59"/>
  <c r="V278" i="72" s="1"/>
  <c r="BW124" i="59"/>
  <c r="AG298" i="72" s="1"/>
  <c r="AM124" i="59"/>
  <c r="W278" i="72" s="1"/>
  <c r="BH124" i="59"/>
  <c r="R298" i="72" s="1"/>
  <c r="AN124" i="59"/>
  <c r="X278" i="72" s="1"/>
  <c r="BI124" i="59"/>
  <c r="S298" i="72" s="1"/>
  <c r="Y124" i="59"/>
  <c r="I278" i="72" s="1"/>
  <c r="AE124" i="59"/>
  <c r="O278" i="72" s="1"/>
  <c r="BJ124" i="59"/>
  <c r="T298" i="72" s="1"/>
  <c r="BK124" i="59"/>
  <c r="U298" i="72" s="1"/>
  <c r="BL124" i="59"/>
  <c r="V298" i="72" s="1"/>
  <c r="BM124" i="59"/>
  <c r="W298" i="72" s="1"/>
  <c r="BN124" i="59"/>
  <c r="X298" i="72" s="1"/>
  <c r="AY124" i="59"/>
  <c r="I298" i="72" s="1"/>
  <c r="BO124" i="59"/>
  <c r="Y298" i="72" s="1"/>
  <c r="AO124" i="59"/>
  <c r="Y278" i="72" s="1"/>
  <c r="BA124" i="59"/>
  <c r="K298" i="72" s="1"/>
  <c r="AA124" i="59"/>
  <c r="K278" i="72" s="1"/>
  <c r="AU124" i="59"/>
  <c r="AE278" i="72" s="1"/>
  <c r="BT124" i="59"/>
  <c r="AD298" i="72" s="1"/>
  <c r="AQ124" i="59"/>
  <c r="AA278" i="72" s="1"/>
  <c r="BB124" i="59"/>
  <c r="L298" i="72" s="1"/>
  <c r="BC124" i="59"/>
  <c r="M298" i="72" s="1"/>
  <c r="BQ124" i="59"/>
  <c r="AA298" i="72" s="1"/>
  <c r="Z124" i="59"/>
  <c r="J278" i="72" s="1"/>
  <c r="AV124" i="59"/>
  <c r="AF278" i="72" s="1"/>
  <c r="BS124" i="59"/>
  <c r="AC298" i="72" s="1"/>
  <c r="BR124" i="59"/>
  <c r="AB298" i="72" s="1"/>
  <c r="BD124" i="59"/>
  <c r="N298" i="72" s="1"/>
  <c r="Y121" i="59"/>
  <c r="I275" i="72" s="1"/>
  <c r="AS121" i="59"/>
  <c r="AC275" i="72" s="1"/>
  <c r="AR121" i="59"/>
  <c r="AB275" i="72" s="1"/>
  <c r="AP121" i="59"/>
  <c r="Z275" i="72" s="1"/>
  <c r="AO121" i="59"/>
  <c r="Y275" i="72" s="1"/>
  <c r="AB121" i="59"/>
  <c r="L275" i="72" s="1"/>
  <c r="AQ121" i="59"/>
  <c r="AA275" i="72" s="1"/>
  <c r="AN121" i="59"/>
  <c r="X275" i="72" s="1"/>
  <c r="AM121" i="59"/>
  <c r="W275" i="72" s="1"/>
  <c r="AZ121" i="59"/>
  <c r="J295" i="72" s="1"/>
  <c r="X121" i="59"/>
  <c r="H275" i="72" s="1"/>
  <c r="BH121" i="59"/>
  <c r="R295" i="72" s="1"/>
  <c r="BW121" i="59"/>
  <c r="AG295" i="72" s="1"/>
  <c r="AH121" i="59"/>
  <c r="R275" i="72" s="1"/>
  <c r="BI121" i="59"/>
  <c r="S295" i="72" s="1"/>
  <c r="BA121" i="59"/>
  <c r="K295" i="72" s="1"/>
  <c r="AI121" i="59"/>
  <c r="S275" i="72" s="1"/>
  <c r="AW121" i="59"/>
  <c r="AG275" i="72" s="1"/>
  <c r="AC121" i="59"/>
  <c r="M275" i="72" s="1"/>
  <c r="BJ121" i="59"/>
  <c r="T295" i="72" s="1"/>
  <c r="BB121" i="59"/>
  <c r="L295" i="72" s="1"/>
  <c r="AJ121" i="59"/>
  <c r="T275" i="72" s="1"/>
  <c r="BK121" i="59"/>
  <c r="U295" i="72" s="1"/>
  <c r="BC121" i="59"/>
  <c r="M295" i="72" s="1"/>
  <c r="AL121" i="59"/>
  <c r="V275" i="72" s="1"/>
  <c r="BG121" i="59"/>
  <c r="Q295" i="72" s="1"/>
  <c r="BL121" i="59"/>
  <c r="V295" i="72" s="1"/>
  <c r="BD121" i="59"/>
  <c r="N295" i="72" s="1"/>
  <c r="BN121" i="59"/>
  <c r="X295" i="72" s="1"/>
  <c r="BE121" i="59"/>
  <c r="O295" i="72" s="1"/>
  <c r="BO121" i="59"/>
  <c r="Y295" i="72" s="1"/>
  <c r="AD121" i="59"/>
  <c r="N275" i="72" s="1"/>
  <c r="BP121" i="59"/>
  <c r="Z295" i="72" s="1"/>
  <c r="AT121" i="59"/>
  <c r="AD275" i="72" s="1"/>
  <c r="BQ121" i="59"/>
  <c r="AA295" i="72" s="1"/>
  <c r="BM121" i="59"/>
  <c r="W295" i="72" s="1"/>
  <c r="BR121" i="59"/>
  <c r="AB295" i="72" s="1"/>
  <c r="AE121" i="59"/>
  <c r="O275" i="72" s="1"/>
  <c r="BV121" i="59"/>
  <c r="AF295" i="72" s="1"/>
  <c r="BS121" i="59"/>
  <c r="AC295" i="72" s="1"/>
  <c r="AU121" i="59"/>
  <c r="AE275" i="72" s="1"/>
  <c r="BT121" i="59"/>
  <c r="AD295" i="72" s="1"/>
  <c r="AF121" i="59"/>
  <c r="P275" i="72" s="1"/>
  <c r="Z121" i="59"/>
  <c r="J275" i="72" s="1"/>
  <c r="BU121" i="59"/>
  <c r="AE295" i="72" s="1"/>
  <c r="AV121" i="59"/>
  <c r="AF275" i="72" s="1"/>
  <c r="AK121" i="59"/>
  <c r="U275" i="72" s="1"/>
  <c r="BF121" i="59"/>
  <c r="P295" i="72" s="1"/>
  <c r="AY121" i="59"/>
  <c r="I295" i="72" s="1"/>
  <c r="AG121" i="59"/>
  <c r="Q275" i="72" s="1"/>
  <c r="AA121" i="59"/>
  <c r="K275" i="72" s="1"/>
  <c r="AN128" i="59"/>
  <c r="BI128" i="59"/>
  <c r="S455" i="72" s="1"/>
  <c r="BA128" i="59"/>
  <c r="K455" i="72" s="1"/>
  <c r="AA90" i="59"/>
  <c r="BL90" i="59"/>
  <c r="V109" i="72" s="1"/>
  <c r="BD90" i="59"/>
  <c r="N109" i="72" s="1"/>
  <c r="AU108" i="59"/>
  <c r="AM108" i="59"/>
  <c r="BD108" i="59"/>
  <c r="N282" i="72" s="1"/>
  <c r="AB110" i="59"/>
  <c r="AH110" i="59"/>
  <c r="BP110" i="59"/>
  <c r="Z284" i="72" s="1"/>
  <c r="AO108" i="59"/>
  <c r="AM130" i="59"/>
  <c r="AJ130" i="59"/>
  <c r="AH130" i="59"/>
  <c r="BS130" i="59"/>
  <c r="AC457" i="72" s="1"/>
  <c r="AF130" i="59"/>
  <c r="BD130" i="59"/>
  <c r="N457" i="72" s="1"/>
  <c r="AV130" i="59"/>
  <c r="BT130" i="59"/>
  <c r="AD457" i="72" s="1"/>
  <c r="AG130" i="59"/>
  <c r="AW130" i="59"/>
  <c r="AC130" i="59"/>
  <c r="BE130" i="59"/>
  <c r="O457" i="72" s="1"/>
  <c r="X130" i="59"/>
  <c r="Y130" i="59"/>
  <c r="BU130" i="59"/>
  <c r="AE457" i="72" s="1"/>
  <c r="AI130" i="59"/>
  <c r="BM130" i="59"/>
  <c r="W457" i="72" s="1"/>
  <c r="BF130" i="59"/>
  <c r="P457" i="72" s="1"/>
  <c r="BK130" i="59"/>
  <c r="U457" i="72" s="1"/>
  <c r="BN130" i="59"/>
  <c r="X457" i="72" s="1"/>
  <c r="BV130" i="59"/>
  <c r="AF457" i="72" s="1"/>
  <c r="BL130" i="59"/>
  <c r="V457" i="72" s="1"/>
  <c r="AY130" i="59"/>
  <c r="I457" i="72" s="1"/>
  <c r="BG130" i="59"/>
  <c r="Q457" i="72" s="1"/>
  <c r="Z130" i="59"/>
  <c r="BO130" i="59"/>
  <c r="Y457" i="72" s="1"/>
  <c r="BW130" i="59"/>
  <c r="AG457" i="72" s="1"/>
  <c r="AA130" i="59"/>
  <c r="AZ130" i="59"/>
  <c r="J457" i="72" s="1"/>
  <c r="BH130" i="59"/>
  <c r="R457" i="72" s="1"/>
  <c r="BP130" i="59"/>
  <c r="Z457" i="72" s="1"/>
  <c r="BI130" i="59"/>
  <c r="S457" i="72" s="1"/>
  <c r="BA130" i="59"/>
  <c r="K457" i="72" s="1"/>
  <c r="BJ130" i="59"/>
  <c r="T457" i="72" s="1"/>
  <c r="BQ130" i="59"/>
  <c r="AA457" i="72" s="1"/>
  <c r="AD130" i="59"/>
  <c r="AB130" i="59"/>
  <c r="BB130" i="59"/>
  <c r="L457" i="72" s="1"/>
  <c r="AT130" i="59"/>
  <c r="AQ130" i="59"/>
  <c r="AP130" i="59"/>
  <c r="BR130" i="59"/>
  <c r="AB457" i="72" s="1"/>
  <c r="BC130" i="59"/>
  <c r="M457" i="72" s="1"/>
  <c r="AE130" i="59"/>
  <c r="AU130" i="59"/>
  <c r="AS130" i="59"/>
  <c r="AR130" i="59"/>
  <c r="AK130" i="59"/>
  <c r="AO130" i="59"/>
  <c r="AL130" i="59"/>
  <c r="AN130" i="59"/>
  <c r="AO139" i="59"/>
  <c r="Y139" i="59"/>
  <c r="AK139" i="59"/>
  <c r="AL139" i="59"/>
  <c r="AJ139" i="59"/>
  <c r="BK139" i="59"/>
  <c r="U466" i="72" s="1"/>
  <c r="BU139" i="59"/>
  <c r="AE466" i="72" s="1"/>
  <c r="AH139" i="59"/>
  <c r="BL139" i="59"/>
  <c r="V466" i="72" s="1"/>
  <c r="BM139" i="59"/>
  <c r="W466" i="72" s="1"/>
  <c r="BF139" i="59"/>
  <c r="P466" i="72" s="1"/>
  <c r="BN139" i="59"/>
  <c r="X466" i="72" s="1"/>
  <c r="BV139" i="59"/>
  <c r="AF466" i="72" s="1"/>
  <c r="AY139" i="59"/>
  <c r="I466" i="72" s="1"/>
  <c r="BG139" i="59"/>
  <c r="Q466" i="72" s="1"/>
  <c r="BO139" i="59"/>
  <c r="Y466" i="72" s="1"/>
  <c r="BW139" i="59"/>
  <c r="AG466" i="72" s="1"/>
  <c r="AZ139" i="59"/>
  <c r="J466" i="72" s="1"/>
  <c r="BH139" i="59"/>
  <c r="R466" i="72" s="1"/>
  <c r="AI139" i="59"/>
  <c r="BP139" i="59"/>
  <c r="Z466" i="72" s="1"/>
  <c r="X139" i="59"/>
  <c r="BA139" i="59"/>
  <c r="K466" i="72" s="1"/>
  <c r="BI139" i="59"/>
  <c r="S466" i="72" s="1"/>
  <c r="BQ139" i="59"/>
  <c r="AA466" i="72" s="1"/>
  <c r="BJ139" i="59"/>
  <c r="T466" i="72" s="1"/>
  <c r="BB139" i="59"/>
  <c r="L466" i="72" s="1"/>
  <c r="BT139" i="59"/>
  <c r="AD466" i="72" s="1"/>
  <c r="AV139" i="59"/>
  <c r="BR139" i="59"/>
  <c r="AB466" i="72" s="1"/>
  <c r="BC139" i="59"/>
  <c r="M466" i="72" s="1"/>
  <c r="BS139" i="59"/>
  <c r="AC466" i="72" s="1"/>
  <c r="AQ139" i="59"/>
  <c r="AA139" i="59"/>
  <c r="AT139" i="59"/>
  <c r="AD139" i="59"/>
  <c r="BD139" i="59"/>
  <c r="N466" i="72" s="1"/>
  <c r="BE139" i="59"/>
  <c r="O466" i="72" s="1"/>
  <c r="AF139" i="59"/>
  <c r="AS139" i="59"/>
  <c r="AU139" i="59"/>
  <c r="AC139" i="59"/>
  <c r="AW139" i="59"/>
  <c r="AE139" i="59"/>
  <c r="AG139" i="59"/>
  <c r="AN139" i="59"/>
  <c r="AP139" i="59"/>
  <c r="AB139" i="59"/>
  <c r="Z139" i="59"/>
  <c r="AM139" i="59"/>
  <c r="AR139" i="59"/>
  <c r="AG117" i="59"/>
  <c r="AW117" i="59"/>
  <c r="BK117" i="59"/>
  <c r="U291" i="72" s="1"/>
  <c r="BJ117" i="59"/>
  <c r="T291" i="72" s="1"/>
  <c r="AO117" i="59"/>
  <c r="AV117" i="59"/>
  <c r="BL117" i="59"/>
  <c r="V291" i="72" s="1"/>
  <c r="BT117" i="59"/>
  <c r="AD291" i="72" s="1"/>
  <c r="Z117" i="59"/>
  <c r="BM117" i="59"/>
  <c r="W291" i="72" s="1"/>
  <c r="X117" i="59"/>
  <c r="AP117" i="59"/>
  <c r="BN117" i="59"/>
  <c r="X291" i="72" s="1"/>
  <c r="BU117" i="59"/>
  <c r="AE291" i="72" s="1"/>
  <c r="AA117" i="59"/>
  <c r="AY117" i="59"/>
  <c r="I291" i="72" s="1"/>
  <c r="BV117" i="59"/>
  <c r="AF291" i="72" s="1"/>
  <c r="AQ117" i="59"/>
  <c r="BO117" i="59"/>
  <c r="Y291" i="72" s="1"/>
  <c r="BW117" i="59"/>
  <c r="AG291" i="72" s="1"/>
  <c r="AB117" i="59"/>
  <c r="BD117" i="59"/>
  <c r="N291" i="72" s="1"/>
  <c r="AR117" i="59"/>
  <c r="BP117" i="59"/>
  <c r="Z291" i="72" s="1"/>
  <c r="BF117" i="59"/>
  <c r="P291" i="72" s="1"/>
  <c r="AC117" i="59"/>
  <c r="AH117" i="59"/>
  <c r="BQ117" i="59"/>
  <c r="AA291" i="72" s="1"/>
  <c r="BH117" i="59"/>
  <c r="R291" i="72" s="1"/>
  <c r="BB117" i="59"/>
  <c r="L291" i="72" s="1"/>
  <c r="AD117" i="59"/>
  <c r="BA117" i="59"/>
  <c r="K291" i="72" s="1"/>
  <c r="BR117" i="59"/>
  <c r="AB291" i="72" s="1"/>
  <c r="AT117" i="59"/>
  <c r="BC117" i="59"/>
  <c r="M291" i="72" s="1"/>
  <c r="AE117" i="59"/>
  <c r="BS117" i="59"/>
  <c r="AC291" i="72" s="1"/>
  <c r="AU117" i="59"/>
  <c r="BI117" i="59"/>
  <c r="S291" i="72" s="1"/>
  <c r="AF117" i="59"/>
  <c r="BE117" i="59"/>
  <c r="O291" i="72" s="1"/>
  <c r="AI117" i="59"/>
  <c r="AJ117" i="59"/>
  <c r="AK117" i="59"/>
  <c r="AL117" i="59"/>
  <c r="AS117" i="59"/>
  <c r="AM117" i="59"/>
  <c r="AN117" i="59"/>
  <c r="Y117" i="59"/>
  <c r="AZ117" i="59"/>
  <c r="J291" i="72" s="1"/>
  <c r="BG117" i="59"/>
  <c r="Q291" i="72" s="1"/>
  <c r="AV103" i="59"/>
  <c r="AF102" i="72" s="1"/>
  <c r="AF103" i="59"/>
  <c r="P102" i="72" s="1"/>
  <c r="AE103" i="59"/>
  <c r="O102" i="72" s="1"/>
  <c r="AU103" i="59"/>
  <c r="AE102" i="72" s="1"/>
  <c r="BL103" i="59"/>
  <c r="V122" i="72" s="1"/>
  <c r="BE103" i="59"/>
  <c r="O122" i="72" s="1"/>
  <c r="Y103" i="59"/>
  <c r="I102" i="72" s="1"/>
  <c r="BM103" i="59"/>
  <c r="W122" i="72" s="1"/>
  <c r="BU103" i="59"/>
  <c r="AE122" i="72" s="1"/>
  <c r="AO103" i="59"/>
  <c r="Y102" i="72" s="1"/>
  <c r="BN103" i="59"/>
  <c r="X122" i="72" s="1"/>
  <c r="X103" i="59"/>
  <c r="H102" i="72" s="1"/>
  <c r="Z103" i="59"/>
  <c r="J102" i="72" s="1"/>
  <c r="AY103" i="59"/>
  <c r="I122" i="72" s="1"/>
  <c r="BF103" i="59"/>
  <c r="P122" i="72" s="1"/>
  <c r="AP103" i="59"/>
  <c r="Z102" i="72" s="1"/>
  <c r="BO103" i="59"/>
  <c r="Y122" i="72" s="1"/>
  <c r="BG103" i="59"/>
  <c r="Q122" i="72" s="1"/>
  <c r="AA103" i="59"/>
  <c r="K102" i="72" s="1"/>
  <c r="BH103" i="59"/>
  <c r="R122" i="72" s="1"/>
  <c r="AQ103" i="59"/>
  <c r="AA102" i="72" s="1"/>
  <c r="AZ103" i="59"/>
  <c r="J122" i="72" s="1"/>
  <c r="BV103" i="59"/>
  <c r="AF122" i="72" s="1"/>
  <c r="AB103" i="59"/>
  <c r="L102" i="72" s="1"/>
  <c r="BP103" i="59"/>
  <c r="Z122" i="72" s="1"/>
  <c r="AG103" i="59"/>
  <c r="Q102" i="72" s="1"/>
  <c r="AR103" i="59"/>
  <c r="AB102" i="72" s="1"/>
  <c r="BA103" i="59"/>
  <c r="K122" i="72" s="1"/>
  <c r="AW103" i="59"/>
  <c r="AG102" i="72" s="1"/>
  <c r="AC103" i="59"/>
  <c r="M102" i="72" s="1"/>
  <c r="BQ103" i="59"/>
  <c r="AA122" i="72" s="1"/>
  <c r="AH103" i="59"/>
  <c r="R102" i="72" s="1"/>
  <c r="AS103" i="59"/>
  <c r="AC102" i="72" s="1"/>
  <c r="BB103" i="59"/>
  <c r="L122" i="72" s="1"/>
  <c r="AI103" i="59"/>
  <c r="S102" i="72" s="1"/>
  <c r="AD103" i="59"/>
  <c r="N102" i="72" s="1"/>
  <c r="BR103" i="59"/>
  <c r="AB122" i="72" s="1"/>
  <c r="AJ103" i="59"/>
  <c r="T102" i="72" s="1"/>
  <c r="AT103" i="59"/>
  <c r="AD102" i="72" s="1"/>
  <c r="BC103" i="59"/>
  <c r="M122" i="72" s="1"/>
  <c r="AK103" i="59"/>
  <c r="U102" i="72" s="1"/>
  <c r="BI103" i="59"/>
  <c r="S122" i="72" s="1"/>
  <c r="BS103" i="59"/>
  <c r="AC122" i="72" s="1"/>
  <c r="AL103" i="59"/>
  <c r="V102" i="72" s="1"/>
  <c r="BJ103" i="59"/>
  <c r="T122" i="72" s="1"/>
  <c r="BK103" i="59"/>
  <c r="U122" i="72" s="1"/>
  <c r="BD103" i="59"/>
  <c r="N122" i="72" s="1"/>
  <c r="BT103" i="59"/>
  <c r="AD122" i="72" s="1"/>
  <c r="AM103" i="59"/>
  <c r="W102" i="72" s="1"/>
  <c r="AN103" i="59"/>
  <c r="X102" i="72" s="1"/>
  <c r="BW103" i="59"/>
  <c r="AG122" i="72" s="1"/>
  <c r="BM112" i="59"/>
  <c r="W286" i="72" s="1"/>
  <c r="BC112" i="59"/>
  <c r="M286" i="72" s="1"/>
  <c r="BN112" i="59"/>
  <c r="X286" i="72" s="1"/>
  <c r="BE112" i="59"/>
  <c r="O286" i="72" s="1"/>
  <c r="AY112" i="59"/>
  <c r="I286" i="72" s="1"/>
  <c r="BO112" i="59"/>
  <c r="Y286" i="72" s="1"/>
  <c r="AZ112" i="59"/>
  <c r="J286" i="72" s="1"/>
  <c r="BP112" i="59"/>
  <c r="Z286" i="72" s="1"/>
  <c r="BB112" i="59"/>
  <c r="L286" i="72" s="1"/>
  <c r="BR112" i="59"/>
  <c r="AB286" i="72" s="1"/>
  <c r="BD112" i="59"/>
  <c r="N286" i="72" s="1"/>
  <c r="BF112" i="59"/>
  <c r="P286" i="72" s="1"/>
  <c r="BT112" i="59"/>
  <c r="AD286" i="72" s="1"/>
  <c r="BQ112" i="59"/>
  <c r="AA286" i="72" s="1"/>
  <c r="BG112" i="59"/>
  <c r="Q286" i="72" s="1"/>
  <c r="BH112" i="59"/>
  <c r="R286" i="72" s="1"/>
  <c r="BS112" i="59"/>
  <c r="AC286" i="72" s="1"/>
  <c r="BI112" i="59"/>
  <c r="S286" i="72" s="1"/>
  <c r="BU112" i="59"/>
  <c r="AE286" i="72" s="1"/>
  <c r="BJ112" i="59"/>
  <c r="T286" i="72" s="1"/>
  <c r="BV112" i="59"/>
  <c r="AF286" i="72" s="1"/>
  <c r="BK112" i="59"/>
  <c r="U286" i="72" s="1"/>
  <c r="BL112" i="59"/>
  <c r="V286" i="72" s="1"/>
  <c r="BW112" i="59"/>
  <c r="AG286" i="72" s="1"/>
  <c r="BA112" i="59"/>
  <c r="K286" i="72" s="1"/>
  <c r="AM128" i="59"/>
  <c r="BH128" i="59"/>
  <c r="R455" i="72" s="1"/>
  <c r="BP128" i="59"/>
  <c r="Z455" i="72" s="1"/>
  <c r="AL90" i="59"/>
  <c r="BS90" i="59"/>
  <c r="AC109" i="72" s="1"/>
  <c r="AE108" i="59"/>
  <c r="AL108" i="59"/>
  <c r="BS108" i="59"/>
  <c r="AC282" i="72" s="1"/>
  <c r="AQ110" i="59"/>
  <c r="BW110" i="59"/>
  <c r="AG284" i="72" s="1"/>
  <c r="AZ110" i="59"/>
  <c r="J284" i="72" s="1"/>
  <c r="AO118" i="59"/>
  <c r="AN118" i="59"/>
  <c r="Y118" i="59"/>
  <c r="BC118" i="59"/>
  <c r="M292" i="72" s="1"/>
  <c r="AZ118" i="59"/>
  <c r="J292" i="72" s="1"/>
  <c r="AT118" i="59"/>
  <c r="BS118" i="59"/>
  <c r="AC292" i="72" s="1"/>
  <c r="BA118" i="59"/>
  <c r="K292" i="72" s="1"/>
  <c r="AE118" i="59"/>
  <c r="BD118" i="59"/>
  <c r="N292" i="72" s="1"/>
  <c r="BK118" i="59"/>
  <c r="U292" i="72" s="1"/>
  <c r="AU118" i="59"/>
  <c r="BT118" i="59"/>
  <c r="AD292" i="72" s="1"/>
  <c r="BL118" i="59"/>
  <c r="V292" i="72" s="1"/>
  <c r="AF118" i="59"/>
  <c r="BE118" i="59"/>
  <c r="O292" i="72" s="1"/>
  <c r="BM118" i="59"/>
  <c r="W292" i="72" s="1"/>
  <c r="AV118" i="59"/>
  <c r="BU118" i="59"/>
  <c r="AE292" i="72" s="1"/>
  <c r="BN118" i="59"/>
  <c r="X292" i="72" s="1"/>
  <c r="AG118" i="59"/>
  <c r="BF118" i="59"/>
  <c r="P292" i="72" s="1"/>
  <c r="BO118" i="59"/>
  <c r="Y292" i="72" s="1"/>
  <c r="AW118" i="59"/>
  <c r="BV118" i="59"/>
  <c r="AF292" i="72" s="1"/>
  <c r="Z118" i="59"/>
  <c r="AH118" i="59"/>
  <c r="BG118" i="59"/>
  <c r="Q292" i="72" s="1"/>
  <c r="AP118" i="59"/>
  <c r="AI118" i="59"/>
  <c r="BW118" i="59"/>
  <c r="AG292" i="72" s="1"/>
  <c r="AA118" i="59"/>
  <c r="AJ118" i="59"/>
  <c r="AQ118" i="59"/>
  <c r="AK118" i="59"/>
  <c r="BH118" i="59"/>
  <c r="R292" i="72" s="1"/>
  <c r="AB118" i="59"/>
  <c r="BP118" i="59"/>
  <c r="Z292" i="72" s="1"/>
  <c r="BI118" i="59"/>
  <c r="S292" i="72" s="1"/>
  <c r="AR118" i="59"/>
  <c r="AL118" i="59"/>
  <c r="BJ118" i="59"/>
  <c r="T292" i="72" s="1"/>
  <c r="AC118" i="59"/>
  <c r="BQ118" i="59"/>
  <c r="AA292" i="72" s="1"/>
  <c r="AM118" i="59"/>
  <c r="BB118" i="59"/>
  <c r="L292" i="72" s="1"/>
  <c r="BR118" i="59"/>
  <c r="AB292" i="72" s="1"/>
  <c r="AD118" i="59"/>
  <c r="X118" i="59"/>
  <c r="AY118" i="59"/>
  <c r="I292" i="72" s="1"/>
  <c r="AS118" i="59"/>
  <c r="BK94" i="59"/>
  <c r="U113" i="72" s="1"/>
  <c r="BL94" i="59"/>
  <c r="V113" i="72" s="1"/>
  <c r="BM94" i="59"/>
  <c r="W113" i="72" s="1"/>
  <c r="BN94" i="59"/>
  <c r="X113" i="72" s="1"/>
  <c r="AY94" i="59"/>
  <c r="I113" i="72" s="1"/>
  <c r="BO94" i="59"/>
  <c r="Y113" i="72" s="1"/>
  <c r="AZ94" i="59"/>
  <c r="J113" i="72" s="1"/>
  <c r="BP94" i="59"/>
  <c r="Z113" i="72" s="1"/>
  <c r="BA94" i="59"/>
  <c r="K113" i="72" s="1"/>
  <c r="BQ94" i="59"/>
  <c r="AA113" i="72" s="1"/>
  <c r="BB94" i="59"/>
  <c r="L113" i="72" s="1"/>
  <c r="BR94" i="59"/>
  <c r="AB113" i="72" s="1"/>
  <c r="BC94" i="59"/>
  <c r="M113" i="72" s="1"/>
  <c r="BS94" i="59"/>
  <c r="AC113" i="72" s="1"/>
  <c r="BD94" i="59"/>
  <c r="N113" i="72" s="1"/>
  <c r="BT94" i="59"/>
  <c r="AD113" i="72" s="1"/>
  <c r="BE94" i="59"/>
  <c r="O113" i="72" s="1"/>
  <c r="BU94" i="59"/>
  <c r="AE113" i="72" s="1"/>
  <c r="BF94" i="59"/>
  <c r="P113" i="72" s="1"/>
  <c r="BV94" i="59"/>
  <c r="AF113" i="72" s="1"/>
  <c r="BG94" i="59"/>
  <c r="Q113" i="72" s="1"/>
  <c r="BW94" i="59"/>
  <c r="AG113" i="72" s="1"/>
  <c r="AE94" i="59"/>
  <c r="AU94" i="59"/>
  <c r="AF94" i="59"/>
  <c r="AV94" i="59"/>
  <c r="X94" i="59"/>
  <c r="AG94" i="59"/>
  <c r="AH94" i="59"/>
  <c r="AI94" i="59"/>
  <c r="AJ94" i="59"/>
  <c r="BH94" i="59"/>
  <c r="R113" i="72" s="1"/>
  <c r="AK94" i="59"/>
  <c r="BI94" i="59"/>
  <c r="S113" i="72" s="1"/>
  <c r="BJ94" i="59"/>
  <c r="T113" i="72" s="1"/>
  <c r="Y94" i="59"/>
  <c r="Z94" i="59"/>
  <c r="AA94" i="59"/>
  <c r="AB94" i="59"/>
  <c r="AC94" i="59"/>
  <c r="AD94" i="59"/>
  <c r="AL94" i="59"/>
  <c r="AM94" i="59"/>
  <c r="AN94" i="59"/>
  <c r="AO94" i="59"/>
  <c r="AP94" i="59"/>
  <c r="AQ94" i="59"/>
  <c r="AR94" i="59"/>
  <c r="AS94" i="59"/>
  <c r="AT94" i="59"/>
  <c r="AM104" i="59"/>
  <c r="W103" i="72" s="1"/>
  <c r="AL104" i="59"/>
  <c r="V103" i="72" s="1"/>
  <c r="BD104" i="59"/>
  <c r="N123" i="72" s="1"/>
  <c r="BO104" i="59"/>
  <c r="Y123" i="72" s="1"/>
  <c r="AU104" i="59"/>
  <c r="AE103" i="72" s="1"/>
  <c r="BT104" i="59"/>
  <c r="AD123" i="72" s="1"/>
  <c r="X104" i="59"/>
  <c r="H103" i="72" s="1"/>
  <c r="AF104" i="59"/>
  <c r="P103" i="72" s="1"/>
  <c r="BE104" i="59"/>
  <c r="O123" i="72" s="1"/>
  <c r="AN104" i="59"/>
  <c r="X103" i="72" s="1"/>
  <c r="AV104" i="59"/>
  <c r="AF103" i="72" s="1"/>
  <c r="BU104" i="59"/>
  <c r="AE123" i="72" s="1"/>
  <c r="Y104" i="59"/>
  <c r="I103" i="72" s="1"/>
  <c r="AG104" i="59"/>
  <c r="Q103" i="72" s="1"/>
  <c r="BF104" i="59"/>
  <c r="P123" i="72" s="1"/>
  <c r="AO104" i="59"/>
  <c r="Y103" i="72" s="1"/>
  <c r="AW104" i="59"/>
  <c r="AG103" i="72" s="1"/>
  <c r="BV104" i="59"/>
  <c r="AF123" i="72" s="1"/>
  <c r="Z104" i="59"/>
  <c r="J103" i="72" s="1"/>
  <c r="AH104" i="59"/>
  <c r="R103" i="72" s="1"/>
  <c r="BG104" i="59"/>
  <c r="Q123" i="72" s="1"/>
  <c r="AP104" i="59"/>
  <c r="Z103" i="72" s="1"/>
  <c r="AI104" i="59"/>
  <c r="S103" i="72" s="1"/>
  <c r="BW104" i="59"/>
  <c r="AG123" i="72" s="1"/>
  <c r="AA104" i="59"/>
  <c r="K103" i="72" s="1"/>
  <c r="AJ104" i="59"/>
  <c r="T103" i="72" s="1"/>
  <c r="AZ104" i="59"/>
  <c r="J123" i="72" s="1"/>
  <c r="AQ104" i="59"/>
  <c r="AA103" i="72" s="1"/>
  <c r="AK104" i="59"/>
  <c r="U103" i="72" s="1"/>
  <c r="BP104" i="59"/>
  <c r="Z123" i="72" s="1"/>
  <c r="BH104" i="59"/>
  <c r="R123" i="72" s="1"/>
  <c r="AB104" i="59"/>
  <c r="L103" i="72" s="1"/>
  <c r="BA104" i="59"/>
  <c r="K123" i="72" s="1"/>
  <c r="BI104" i="59"/>
  <c r="S123" i="72" s="1"/>
  <c r="AR104" i="59"/>
  <c r="AB103" i="72" s="1"/>
  <c r="BQ104" i="59"/>
  <c r="AA123" i="72" s="1"/>
  <c r="BJ104" i="59"/>
  <c r="T123" i="72" s="1"/>
  <c r="AC104" i="59"/>
  <c r="M103" i="72" s="1"/>
  <c r="BB104" i="59"/>
  <c r="L123" i="72" s="1"/>
  <c r="BK104" i="59"/>
  <c r="U123" i="72" s="1"/>
  <c r="AS104" i="59"/>
  <c r="AC103" i="72" s="1"/>
  <c r="BR104" i="59"/>
  <c r="AB123" i="72" s="1"/>
  <c r="BL104" i="59"/>
  <c r="V123" i="72" s="1"/>
  <c r="AD104" i="59"/>
  <c r="N103" i="72" s="1"/>
  <c r="BC104" i="59"/>
  <c r="M123" i="72" s="1"/>
  <c r="AE104" i="59"/>
  <c r="O103" i="72" s="1"/>
  <c r="AT104" i="59"/>
  <c r="AD103" i="72" s="1"/>
  <c r="AY104" i="59"/>
  <c r="I123" i="72" s="1"/>
  <c r="BS104" i="59"/>
  <c r="AC123" i="72" s="1"/>
  <c r="BM104" i="59"/>
  <c r="W123" i="72" s="1"/>
  <c r="BN104" i="59"/>
  <c r="X123" i="72" s="1"/>
  <c r="AC128" i="59"/>
  <c r="AL128" i="59"/>
  <c r="BW128" i="59"/>
  <c r="AG455" i="72" s="1"/>
  <c r="AZ128" i="59"/>
  <c r="J455" i="72" s="1"/>
  <c r="Z90" i="59"/>
  <c r="AK90" i="59"/>
  <c r="BC90" i="59"/>
  <c r="M109" i="72" s="1"/>
  <c r="BP129" i="59"/>
  <c r="Z456" i="72" s="1"/>
  <c r="AW109" i="59"/>
  <c r="AG263" i="72" s="1"/>
  <c r="BP109" i="59"/>
  <c r="Z283" i="72" s="1"/>
  <c r="BV109" i="59"/>
  <c r="AF283" i="72" s="1"/>
  <c r="AT108" i="59"/>
  <c r="AK108" i="59"/>
  <c r="BC108" i="59"/>
  <c r="M282" i="72" s="1"/>
  <c r="AA110" i="59"/>
  <c r="BO110" i="59"/>
  <c r="Y284" i="72" s="1"/>
  <c r="BR110" i="59"/>
  <c r="AB284" i="72" s="1"/>
  <c r="AJ127" i="59"/>
  <c r="T281" i="72" s="1"/>
  <c r="AF127" i="59"/>
  <c r="P281" i="72" s="1"/>
  <c r="AG127" i="59"/>
  <c r="Q281" i="72" s="1"/>
  <c r="AW127" i="59"/>
  <c r="AG281" i="72" s="1"/>
  <c r="AZ127" i="59"/>
  <c r="J301" i="72" s="1"/>
  <c r="Z127" i="59"/>
  <c r="J281" i="72" s="1"/>
  <c r="AE127" i="59"/>
  <c r="O281" i="72" s="1"/>
  <c r="BO127" i="59"/>
  <c r="Y301" i="72" s="1"/>
  <c r="AP127" i="59"/>
  <c r="Z281" i="72" s="1"/>
  <c r="BP127" i="59"/>
  <c r="Z301" i="72" s="1"/>
  <c r="BG127" i="59"/>
  <c r="Q301" i="72" s="1"/>
  <c r="BA127" i="59"/>
  <c r="K301" i="72" s="1"/>
  <c r="AA127" i="59"/>
  <c r="K281" i="72" s="1"/>
  <c r="BQ127" i="59"/>
  <c r="AA301" i="72" s="1"/>
  <c r="AQ127" i="59"/>
  <c r="AA281" i="72" s="1"/>
  <c r="AU127" i="59"/>
  <c r="AE281" i="72" s="1"/>
  <c r="BB127" i="59"/>
  <c r="L301" i="72" s="1"/>
  <c r="BV127" i="59"/>
  <c r="AF301" i="72" s="1"/>
  <c r="BR127" i="59"/>
  <c r="AB301" i="72" s="1"/>
  <c r="AB127" i="59"/>
  <c r="L281" i="72" s="1"/>
  <c r="BC127" i="59"/>
  <c r="M301" i="72" s="1"/>
  <c r="AR127" i="59"/>
  <c r="AB281" i="72" s="1"/>
  <c r="AM127" i="59"/>
  <c r="W281" i="72" s="1"/>
  <c r="BH127" i="59"/>
  <c r="R301" i="72" s="1"/>
  <c r="BS127" i="59"/>
  <c r="AC301" i="72" s="1"/>
  <c r="BW127" i="59"/>
  <c r="AG301" i="72" s="1"/>
  <c r="BI127" i="59"/>
  <c r="S301" i="72" s="1"/>
  <c r="BD127" i="59"/>
  <c r="N301" i="72" s="1"/>
  <c r="AC127" i="59"/>
  <c r="M281" i="72" s="1"/>
  <c r="BJ127" i="59"/>
  <c r="T301" i="72" s="1"/>
  <c r="BT127" i="59"/>
  <c r="AD301" i="72" s="1"/>
  <c r="AS127" i="59"/>
  <c r="AC281" i="72" s="1"/>
  <c r="BK127" i="59"/>
  <c r="U301" i="72" s="1"/>
  <c r="BE127" i="59"/>
  <c r="O301" i="72" s="1"/>
  <c r="AD127" i="59"/>
  <c r="N281" i="72" s="1"/>
  <c r="BL127" i="59"/>
  <c r="V301" i="72" s="1"/>
  <c r="BU127" i="59"/>
  <c r="AE301" i="72" s="1"/>
  <c r="AT127" i="59"/>
  <c r="AD281" i="72" s="1"/>
  <c r="BM127" i="59"/>
  <c r="W301" i="72" s="1"/>
  <c r="AN127" i="59"/>
  <c r="X281" i="72" s="1"/>
  <c r="X127" i="59"/>
  <c r="H281" i="72" s="1"/>
  <c r="Y127" i="59"/>
  <c r="I281" i="72" s="1"/>
  <c r="BN127" i="59"/>
  <c r="X301" i="72" s="1"/>
  <c r="AO127" i="59"/>
  <c r="Y281" i="72" s="1"/>
  <c r="AY127" i="59"/>
  <c r="I301" i="72" s="1"/>
  <c r="AH127" i="59"/>
  <c r="R281" i="72" s="1"/>
  <c r="BF127" i="59"/>
  <c r="P301" i="72" s="1"/>
  <c r="AL127" i="59"/>
  <c r="V281" i="72" s="1"/>
  <c r="AI127" i="59"/>
  <c r="S281" i="72" s="1"/>
  <c r="AV127" i="59"/>
  <c r="AF281" i="72" s="1"/>
  <c r="AK127" i="59"/>
  <c r="U281" i="72" s="1"/>
  <c r="AP146" i="59"/>
  <c r="Z453" i="72" s="1"/>
  <c r="Z146" i="59"/>
  <c r="J453" i="72" s="1"/>
  <c r="AM146" i="59"/>
  <c r="W453" i="72" s="1"/>
  <c r="AL146" i="59"/>
  <c r="V453" i="72" s="1"/>
  <c r="AG146" i="59"/>
  <c r="Q453" i="72" s="1"/>
  <c r="AB146" i="59"/>
  <c r="L453" i="72" s="1"/>
  <c r="AK146" i="59"/>
  <c r="U453" i="72" s="1"/>
  <c r="AV146" i="59"/>
  <c r="AF453" i="72" s="1"/>
  <c r="AH146" i="59"/>
  <c r="R453" i="72" s="1"/>
  <c r="AF146" i="59"/>
  <c r="P453" i="72" s="1"/>
  <c r="AI146" i="59"/>
  <c r="S453" i="72" s="1"/>
  <c r="AJ146" i="59"/>
  <c r="T453" i="72" s="1"/>
  <c r="AD146" i="59"/>
  <c r="N453" i="72" s="1"/>
  <c r="BB146" i="59"/>
  <c r="L473" i="72" s="1"/>
  <c r="BR146" i="59"/>
  <c r="AB473" i="72" s="1"/>
  <c r="AS146" i="59"/>
  <c r="AC453" i="72" s="1"/>
  <c r="BC146" i="59"/>
  <c r="M473" i="72" s="1"/>
  <c r="BU146" i="59"/>
  <c r="AE473" i="72" s="1"/>
  <c r="AC146" i="59"/>
  <c r="M453" i="72" s="1"/>
  <c r="BD146" i="59"/>
  <c r="N473" i="72" s="1"/>
  <c r="AW146" i="59"/>
  <c r="AG453" i="72" s="1"/>
  <c r="AR146" i="59"/>
  <c r="AB453" i="72" s="1"/>
  <c r="BW146" i="59"/>
  <c r="AG473" i="72" s="1"/>
  <c r="AU146" i="59"/>
  <c r="AE453" i="72" s="1"/>
  <c r="AE146" i="59"/>
  <c r="O453" i="72" s="1"/>
  <c r="BN146" i="59"/>
  <c r="X473" i="72" s="1"/>
  <c r="AY146" i="59"/>
  <c r="I473" i="72" s="1"/>
  <c r="BO146" i="59"/>
  <c r="Y473" i="72" s="1"/>
  <c r="AN146" i="59"/>
  <c r="X453" i="72" s="1"/>
  <c r="AZ146" i="59"/>
  <c r="J473" i="72" s="1"/>
  <c r="BP146" i="59"/>
  <c r="Z473" i="72" s="1"/>
  <c r="BA146" i="59"/>
  <c r="K473" i="72" s="1"/>
  <c r="BQ146" i="59"/>
  <c r="AA473" i="72" s="1"/>
  <c r="BT146" i="59"/>
  <c r="AD473" i="72" s="1"/>
  <c r="BE146" i="59"/>
  <c r="O473" i="72" s="1"/>
  <c r="AO146" i="59"/>
  <c r="Y453" i="72" s="1"/>
  <c r="BV146" i="59"/>
  <c r="AF473" i="72" s="1"/>
  <c r="BF146" i="59"/>
  <c r="P473" i="72" s="1"/>
  <c r="Y146" i="59"/>
  <c r="I453" i="72" s="1"/>
  <c r="BG146" i="59"/>
  <c r="Q473" i="72" s="1"/>
  <c r="BH146" i="59"/>
  <c r="R473" i="72" s="1"/>
  <c r="BI146" i="59"/>
  <c r="S473" i="72" s="1"/>
  <c r="AQ146" i="59"/>
  <c r="AA453" i="72" s="1"/>
  <c r="BL146" i="59"/>
  <c r="V473" i="72" s="1"/>
  <c r="BJ146" i="59"/>
  <c r="T473" i="72" s="1"/>
  <c r="AA146" i="59"/>
  <c r="K453" i="72" s="1"/>
  <c r="X146" i="59"/>
  <c r="H453" i="72" s="1"/>
  <c r="AT146" i="59"/>
  <c r="AD453" i="72" s="1"/>
  <c r="BM146" i="59"/>
  <c r="W473" i="72" s="1"/>
  <c r="BK146" i="59"/>
  <c r="U473" i="72" s="1"/>
  <c r="BS146" i="59"/>
  <c r="AC473" i="72" s="1"/>
  <c r="AV140" i="59"/>
  <c r="AF140" i="59"/>
  <c r="AR140" i="59"/>
  <c r="AB140" i="59"/>
  <c r="AC140" i="59"/>
  <c r="AS140" i="59"/>
  <c r="BS140" i="59"/>
  <c r="AC467" i="72" s="1"/>
  <c r="AY140" i="59"/>
  <c r="I467" i="72" s="1"/>
  <c r="BD140" i="59"/>
  <c r="N467" i="72" s="1"/>
  <c r="BO140" i="59"/>
  <c r="Y467" i="72" s="1"/>
  <c r="BT140" i="59"/>
  <c r="AD467" i="72" s="1"/>
  <c r="X140" i="59"/>
  <c r="BE140" i="59"/>
  <c r="O467" i="72" s="1"/>
  <c r="AZ140" i="59"/>
  <c r="J467" i="72" s="1"/>
  <c r="BU140" i="59"/>
  <c r="AE467" i="72" s="1"/>
  <c r="BA140" i="59"/>
  <c r="K467" i="72" s="1"/>
  <c r="AP140" i="59"/>
  <c r="BF140" i="59"/>
  <c r="P467" i="72" s="1"/>
  <c r="BK140" i="59"/>
  <c r="U467" i="72" s="1"/>
  <c r="Z140" i="59"/>
  <c r="BV140" i="59"/>
  <c r="AF467" i="72" s="1"/>
  <c r="BP140" i="59"/>
  <c r="Z467" i="72" s="1"/>
  <c r="BG140" i="59"/>
  <c r="Q467" i="72" s="1"/>
  <c r="BQ140" i="59"/>
  <c r="AA467" i="72" s="1"/>
  <c r="BW140" i="59"/>
  <c r="AG467" i="72" s="1"/>
  <c r="BH140" i="59"/>
  <c r="R467" i="72" s="1"/>
  <c r="BI140" i="59"/>
  <c r="S467" i="72" s="1"/>
  <c r="BJ140" i="59"/>
  <c r="T467" i="72" s="1"/>
  <c r="AQ140" i="59"/>
  <c r="BL140" i="59"/>
  <c r="V467" i="72" s="1"/>
  <c r="AA140" i="59"/>
  <c r="BB140" i="59"/>
  <c r="L467" i="72" s="1"/>
  <c r="BM140" i="59"/>
  <c r="W467" i="72" s="1"/>
  <c r="AN140" i="59"/>
  <c r="BR140" i="59"/>
  <c r="AB467" i="72" s="1"/>
  <c r="AK140" i="59"/>
  <c r="BC140" i="59"/>
  <c r="M467" i="72" s="1"/>
  <c r="BN140" i="59"/>
  <c r="X467" i="72" s="1"/>
  <c r="AM140" i="59"/>
  <c r="AJ140" i="59"/>
  <c r="AL140" i="59"/>
  <c r="AO140" i="59"/>
  <c r="Y140" i="59"/>
  <c r="AI140" i="59"/>
  <c r="AE140" i="59"/>
  <c r="AW140" i="59"/>
  <c r="AG140" i="59"/>
  <c r="AT140" i="59"/>
  <c r="AD140" i="59"/>
  <c r="AH140" i="59"/>
  <c r="AU140" i="59"/>
  <c r="BB95" i="59"/>
  <c r="L114" i="72" s="1"/>
  <c r="BR95" i="59"/>
  <c r="AB114" i="72" s="1"/>
  <c r="BC95" i="59"/>
  <c r="M114" i="72" s="1"/>
  <c r="BS95" i="59"/>
  <c r="AC114" i="72" s="1"/>
  <c r="BD95" i="59"/>
  <c r="N114" i="72" s="1"/>
  <c r="BT95" i="59"/>
  <c r="AD114" i="72" s="1"/>
  <c r="BE95" i="59"/>
  <c r="O114" i="72" s="1"/>
  <c r="BU95" i="59"/>
  <c r="AE114" i="72" s="1"/>
  <c r="BF95" i="59"/>
  <c r="P114" i="72" s="1"/>
  <c r="BV95" i="59"/>
  <c r="AF114" i="72" s="1"/>
  <c r="BG95" i="59"/>
  <c r="Q114" i="72" s="1"/>
  <c r="BW95" i="59"/>
  <c r="AG114" i="72" s="1"/>
  <c r="BH95" i="59"/>
  <c r="R114" i="72" s="1"/>
  <c r="BI95" i="59"/>
  <c r="S114" i="72" s="1"/>
  <c r="BJ95" i="59"/>
  <c r="T114" i="72" s="1"/>
  <c r="BK95" i="59"/>
  <c r="U114" i="72" s="1"/>
  <c r="BL95" i="59"/>
  <c r="V114" i="72" s="1"/>
  <c r="BM95" i="59"/>
  <c r="W114" i="72" s="1"/>
  <c r="BN95" i="59"/>
  <c r="X114" i="72" s="1"/>
  <c r="AY95" i="59"/>
  <c r="I114" i="72" s="1"/>
  <c r="AZ95" i="59"/>
  <c r="J114" i="72" s="1"/>
  <c r="BA95" i="59"/>
  <c r="K114" i="72" s="1"/>
  <c r="BO95" i="59"/>
  <c r="Y114" i="72" s="1"/>
  <c r="BP95" i="59"/>
  <c r="Z114" i="72" s="1"/>
  <c r="BQ95" i="59"/>
  <c r="AA114" i="72" s="1"/>
  <c r="AE128" i="59"/>
  <c r="BN128" i="59"/>
  <c r="X455" i="72" s="1"/>
  <c r="BG128" i="59"/>
  <c r="Q455" i="72" s="1"/>
  <c r="BO128" i="59"/>
  <c r="Y455" i="72" s="1"/>
  <c r="AV90" i="59"/>
  <c r="AJ90" i="59"/>
  <c r="BR90" i="59"/>
  <c r="AB109" i="72" s="1"/>
  <c r="AW129" i="59"/>
  <c r="AG436" i="72" s="1"/>
  <c r="AQ129" i="59"/>
  <c r="AA436" i="72" s="1"/>
  <c r="AZ129" i="59"/>
  <c r="J456" i="72" s="1"/>
  <c r="AG109" i="59"/>
  <c r="Q263" i="72" s="1"/>
  <c r="BN109" i="59"/>
  <c r="X283" i="72" s="1"/>
  <c r="BF109" i="59"/>
  <c r="P283" i="72" s="1"/>
  <c r="AD108" i="59"/>
  <c r="AJ108" i="59"/>
  <c r="BR108" i="59"/>
  <c r="AB282" i="72" s="1"/>
  <c r="BC89" i="59"/>
  <c r="M108" i="72" s="1"/>
  <c r="AP110" i="59"/>
  <c r="BU110" i="59"/>
  <c r="AE284" i="72" s="1"/>
  <c r="AY110" i="59"/>
  <c r="I284" i="72" s="1"/>
  <c r="BU108" i="59"/>
  <c r="AE282" i="72" s="1"/>
  <c r="AN102" i="59"/>
  <c r="X101" i="72" s="1"/>
  <c r="Y102" i="59"/>
  <c r="I101" i="72" s="1"/>
  <c r="BR102" i="59"/>
  <c r="AB121" i="72" s="1"/>
  <c r="BL102" i="59"/>
  <c r="V121" i="72" s="1"/>
  <c r="AC102" i="59"/>
  <c r="M101" i="72" s="1"/>
  <c r="BC102" i="59"/>
  <c r="M121" i="72" s="1"/>
  <c r="BM102" i="59"/>
  <c r="W121" i="72" s="1"/>
  <c r="AS102" i="59"/>
  <c r="AC101" i="72" s="1"/>
  <c r="BS102" i="59"/>
  <c r="AC121" i="72" s="1"/>
  <c r="BN102" i="59"/>
  <c r="X121" i="72" s="1"/>
  <c r="AD102" i="59"/>
  <c r="N101" i="72" s="1"/>
  <c r="BD102" i="59"/>
  <c r="N121" i="72" s="1"/>
  <c r="X102" i="59"/>
  <c r="H101" i="72" s="1"/>
  <c r="AT102" i="59"/>
  <c r="AD101" i="72" s="1"/>
  <c r="BT102" i="59"/>
  <c r="AD121" i="72" s="1"/>
  <c r="AY102" i="59"/>
  <c r="I121" i="72" s="1"/>
  <c r="AE102" i="59"/>
  <c r="O101" i="72" s="1"/>
  <c r="BE102" i="59"/>
  <c r="O121" i="72" s="1"/>
  <c r="AZ102" i="59"/>
  <c r="J121" i="72" s="1"/>
  <c r="AU102" i="59"/>
  <c r="AE101" i="72" s="1"/>
  <c r="BU102" i="59"/>
  <c r="AE121" i="72" s="1"/>
  <c r="BA102" i="59"/>
  <c r="K121" i="72" s="1"/>
  <c r="AF102" i="59"/>
  <c r="P101" i="72" s="1"/>
  <c r="BF102" i="59"/>
  <c r="P121" i="72" s="1"/>
  <c r="BO102" i="59"/>
  <c r="Y121" i="72" s="1"/>
  <c r="AV102" i="59"/>
  <c r="AF101" i="72" s="1"/>
  <c r="BV102" i="59"/>
  <c r="AF121" i="72" s="1"/>
  <c r="BP102" i="59"/>
  <c r="Z121" i="72" s="1"/>
  <c r="AG102" i="59"/>
  <c r="Q101" i="72" s="1"/>
  <c r="BG102" i="59"/>
  <c r="Q121" i="72" s="1"/>
  <c r="BQ102" i="59"/>
  <c r="AA121" i="72" s="1"/>
  <c r="AW102" i="59"/>
  <c r="AG101" i="72" s="1"/>
  <c r="BW102" i="59"/>
  <c r="AG121" i="72" s="1"/>
  <c r="Z102" i="59"/>
  <c r="J101" i="72" s="1"/>
  <c r="AH102" i="59"/>
  <c r="R101" i="72" s="1"/>
  <c r="AP102" i="59"/>
  <c r="Z101" i="72" s="1"/>
  <c r="AI102" i="59"/>
  <c r="S101" i="72" s="1"/>
  <c r="BH102" i="59"/>
  <c r="R121" i="72" s="1"/>
  <c r="AA102" i="59"/>
  <c r="K101" i="72" s="1"/>
  <c r="AJ102" i="59"/>
  <c r="T101" i="72" s="1"/>
  <c r="BI102" i="59"/>
  <c r="S121" i="72" s="1"/>
  <c r="AQ102" i="59"/>
  <c r="AA101" i="72" s="1"/>
  <c r="AK102" i="59"/>
  <c r="U101" i="72" s="1"/>
  <c r="BB102" i="59"/>
  <c r="L121" i="72" s="1"/>
  <c r="BJ102" i="59"/>
  <c r="T121" i="72" s="1"/>
  <c r="BK102" i="59"/>
  <c r="U121" i="72" s="1"/>
  <c r="AB102" i="59"/>
  <c r="L101" i="72" s="1"/>
  <c r="AR102" i="59"/>
  <c r="AB101" i="72" s="1"/>
  <c r="AO102" i="59"/>
  <c r="Y101" i="72" s="1"/>
  <c r="AL102" i="59"/>
  <c r="V101" i="72" s="1"/>
  <c r="AM102" i="59"/>
  <c r="W101" i="72" s="1"/>
  <c r="AN142" i="59"/>
  <c r="X449" i="72" s="1"/>
  <c r="AI142" i="59"/>
  <c r="S449" i="72" s="1"/>
  <c r="AK142" i="59"/>
  <c r="U449" i="72" s="1"/>
  <c r="AO142" i="59"/>
  <c r="Y449" i="72" s="1"/>
  <c r="Y142" i="59"/>
  <c r="I449" i="72" s="1"/>
  <c r="AL142" i="59"/>
  <c r="V449" i="72" s="1"/>
  <c r="AM142" i="59"/>
  <c r="W449" i="72" s="1"/>
  <c r="AP142" i="59"/>
  <c r="Z449" i="72" s="1"/>
  <c r="BW142" i="59"/>
  <c r="AG469" i="72" s="1"/>
  <c r="AZ142" i="59"/>
  <c r="J469" i="72" s="1"/>
  <c r="BH142" i="59"/>
  <c r="R469" i="72" s="1"/>
  <c r="BP142" i="59"/>
  <c r="Z469" i="72" s="1"/>
  <c r="BJ142" i="59"/>
  <c r="T469" i="72" s="1"/>
  <c r="BA142" i="59"/>
  <c r="K469" i="72" s="1"/>
  <c r="BK142" i="59"/>
  <c r="U469" i="72" s="1"/>
  <c r="BQ142" i="59"/>
  <c r="AA469" i="72" s="1"/>
  <c r="BL142" i="59"/>
  <c r="V469" i="72" s="1"/>
  <c r="BB142" i="59"/>
  <c r="L469" i="72" s="1"/>
  <c r="AY142" i="59"/>
  <c r="I469" i="72" s="1"/>
  <c r="BR142" i="59"/>
  <c r="AB469" i="72" s="1"/>
  <c r="BI142" i="59"/>
  <c r="S469" i="72" s="1"/>
  <c r="AH142" i="59"/>
  <c r="R449" i="72" s="1"/>
  <c r="AJ142" i="59"/>
  <c r="T449" i="72" s="1"/>
  <c r="BC142" i="59"/>
  <c r="M469" i="72" s="1"/>
  <c r="X142" i="59"/>
  <c r="H449" i="72" s="1"/>
  <c r="BS142" i="59"/>
  <c r="AC469" i="72" s="1"/>
  <c r="BM142" i="59"/>
  <c r="W469" i="72" s="1"/>
  <c r="BD142" i="59"/>
  <c r="N469" i="72" s="1"/>
  <c r="BN142" i="59"/>
  <c r="X469" i="72" s="1"/>
  <c r="AW142" i="59"/>
  <c r="AG449" i="72" s="1"/>
  <c r="AQ142" i="59"/>
  <c r="AA449" i="72" s="1"/>
  <c r="BT142" i="59"/>
  <c r="AD469" i="72" s="1"/>
  <c r="BO142" i="59"/>
  <c r="Y469" i="72" s="1"/>
  <c r="AG142" i="59"/>
  <c r="Q449" i="72" s="1"/>
  <c r="Z142" i="59"/>
  <c r="J449" i="72" s="1"/>
  <c r="BE142" i="59"/>
  <c r="O469" i="72" s="1"/>
  <c r="AA142" i="59"/>
  <c r="K449" i="72" s="1"/>
  <c r="BU142" i="59"/>
  <c r="AE469" i="72" s="1"/>
  <c r="BF142" i="59"/>
  <c r="P469" i="72" s="1"/>
  <c r="BV142" i="59"/>
  <c r="AF469" i="72" s="1"/>
  <c r="BG142" i="59"/>
  <c r="Q469" i="72" s="1"/>
  <c r="AU142" i="59"/>
  <c r="AE449" i="72" s="1"/>
  <c r="AD142" i="59"/>
  <c r="N449" i="72" s="1"/>
  <c r="AE142" i="59"/>
  <c r="O449" i="72" s="1"/>
  <c r="AT142" i="59"/>
  <c r="AD449" i="72" s="1"/>
  <c r="AR142" i="59"/>
  <c r="AB449" i="72" s="1"/>
  <c r="AV142" i="59"/>
  <c r="AF449" i="72" s="1"/>
  <c r="AB142" i="59"/>
  <c r="L449" i="72" s="1"/>
  <c r="AF142" i="59"/>
  <c r="P449" i="72" s="1"/>
  <c r="AS142" i="59"/>
  <c r="AC449" i="72" s="1"/>
  <c r="AC142" i="59"/>
  <c r="M449" i="72" s="1"/>
  <c r="AB128" i="59"/>
  <c r="AK128" i="59"/>
  <c r="BV128" i="59"/>
  <c r="AF455" i="72" s="1"/>
  <c r="AY128" i="59"/>
  <c r="I455" i="72" s="1"/>
  <c r="AU90" i="59"/>
  <c r="AI90" i="59"/>
  <c r="BB90" i="59"/>
  <c r="L109" i="72" s="1"/>
  <c r="AS108" i="59"/>
  <c r="BW108" i="59"/>
  <c r="AG282" i="72" s="1"/>
  <c r="BB108" i="59"/>
  <c r="L282" i="72" s="1"/>
  <c r="Z110" i="59"/>
  <c r="BI110" i="59"/>
  <c r="S284" i="72" s="1"/>
  <c r="BN110" i="59"/>
  <c r="X284" i="72" s="1"/>
  <c r="BL128" i="59"/>
  <c r="V455" i="72" s="1"/>
  <c r="BB110" i="59"/>
  <c r="L284" i="72" s="1"/>
  <c r="BF119" i="59"/>
  <c r="P293" i="72" s="1"/>
  <c r="AG119" i="59"/>
  <c r="BG119" i="59"/>
  <c r="Q293" i="72" s="1"/>
  <c r="AW119" i="59"/>
  <c r="BO119" i="59"/>
  <c r="Y293" i="72" s="1"/>
  <c r="X119" i="59"/>
  <c r="BP119" i="59"/>
  <c r="Z293" i="72" s="1"/>
  <c r="AH119" i="59"/>
  <c r="AM119" i="59"/>
  <c r="BQ119" i="59"/>
  <c r="AA293" i="72" s="1"/>
  <c r="AI119" i="59"/>
  <c r="AQ119" i="59"/>
  <c r="BR119" i="59"/>
  <c r="AB293" i="72" s="1"/>
  <c r="AJ119" i="59"/>
  <c r="BS119" i="59"/>
  <c r="AC293" i="72" s="1"/>
  <c r="AK119" i="59"/>
  <c r="BH119" i="59"/>
  <c r="R293" i="72" s="1"/>
  <c r="BT119" i="59"/>
  <c r="AD293" i="72" s="1"/>
  <c r="AL119" i="59"/>
  <c r="AD119" i="59"/>
  <c r="BI119" i="59"/>
  <c r="S293" i="72" s="1"/>
  <c r="BU119" i="59"/>
  <c r="AE293" i="72" s="1"/>
  <c r="AN119" i="59"/>
  <c r="BJ119" i="59"/>
  <c r="T293" i="72" s="1"/>
  <c r="AY119" i="59"/>
  <c r="I293" i="72" s="1"/>
  <c r="BB119" i="59"/>
  <c r="L293" i="72" s="1"/>
  <c r="AO119" i="59"/>
  <c r="AP119" i="59"/>
  <c r="BK119" i="59"/>
  <c r="U293" i="72" s="1"/>
  <c r="BV119" i="59"/>
  <c r="AF293" i="72" s="1"/>
  <c r="BC119" i="59"/>
  <c r="M293" i="72" s="1"/>
  <c r="BL119" i="59"/>
  <c r="V293" i="72" s="1"/>
  <c r="AZ119" i="59"/>
  <c r="J293" i="72" s="1"/>
  <c r="BM119" i="59"/>
  <c r="W293" i="72" s="1"/>
  <c r="BW119" i="59"/>
  <c r="AG293" i="72" s="1"/>
  <c r="BN119" i="59"/>
  <c r="X293" i="72" s="1"/>
  <c r="BA119" i="59"/>
  <c r="K293" i="72" s="1"/>
  <c r="AE119" i="59"/>
  <c r="AB119" i="59"/>
  <c r="BD119" i="59"/>
  <c r="N293" i="72" s="1"/>
  <c r="BE119" i="59"/>
  <c r="O293" i="72" s="1"/>
  <c r="AF119" i="59"/>
  <c r="AA119" i="59"/>
  <c r="AV119" i="59"/>
  <c r="AC119" i="59"/>
  <c r="Z119" i="59"/>
  <c r="Y119" i="59"/>
  <c r="AU119" i="59"/>
  <c r="AT119" i="59"/>
  <c r="AS119" i="59"/>
  <c r="AR119" i="59"/>
  <c r="AM123" i="59"/>
  <c r="W277" i="72" s="1"/>
  <c r="AL123" i="59"/>
  <c r="V277" i="72" s="1"/>
  <c r="AI123" i="59"/>
  <c r="S277" i="72" s="1"/>
  <c r="Y123" i="59"/>
  <c r="I277" i="72" s="1"/>
  <c r="AK123" i="59"/>
  <c r="U277" i="72" s="1"/>
  <c r="AA123" i="59"/>
  <c r="K277" i="72" s="1"/>
  <c r="Z123" i="59"/>
  <c r="J277" i="72" s="1"/>
  <c r="BN123" i="59"/>
  <c r="X297" i="72" s="1"/>
  <c r="BV123" i="59"/>
  <c r="AF297" i="72" s="1"/>
  <c r="AW123" i="59"/>
  <c r="AG277" i="72" s="1"/>
  <c r="BB123" i="59"/>
  <c r="L297" i="72" s="1"/>
  <c r="AS123" i="59"/>
  <c r="AC277" i="72" s="1"/>
  <c r="BR123" i="59"/>
  <c r="AB297" i="72" s="1"/>
  <c r="AD123" i="59"/>
  <c r="N277" i="72" s="1"/>
  <c r="AQ123" i="59"/>
  <c r="AA277" i="72" s="1"/>
  <c r="BC123" i="59"/>
  <c r="M297" i="72" s="1"/>
  <c r="AT123" i="59"/>
  <c r="AD277" i="72" s="1"/>
  <c r="AP123" i="59"/>
  <c r="Z277" i="72" s="1"/>
  <c r="BS123" i="59"/>
  <c r="AC297" i="72" s="1"/>
  <c r="AE123" i="59"/>
  <c r="O277" i="72" s="1"/>
  <c r="BD123" i="59"/>
  <c r="N297" i="72" s="1"/>
  <c r="AU123" i="59"/>
  <c r="AE277" i="72" s="1"/>
  <c r="BT123" i="59"/>
  <c r="AD297" i="72" s="1"/>
  <c r="AF123" i="59"/>
  <c r="P277" i="72" s="1"/>
  <c r="BE123" i="59"/>
  <c r="O297" i="72" s="1"/>
  <c r="AV123" i="59"/>
  <c r="AF277" i="72" s="1"/>
  <c r="BL123" i="59"/>
  <c r="V297" i="72" s="1"/>
  <c r="BU123" i="59"/>
  <c r="AE297" i="72" s="1"/>
  <c r="AG123" i="59"/>
  <c r="Q277" i="72" s="1"/>
  <c r="BM123" i="59"/>
  <c r="W297" i="72" s="1"/>
  <c r="BF123" i="59"/>
  <c r="P297" i="72" s="1"/>
  <c r="BJ123" i="59"/>
  <c r="T297" i="72" s="1"/>
  <c r="X123" i="59"/>
  <c r="H277" i="72" s="1"/>
  <c r="BG123" i="59"/>
  <c r="Q297" i="72" s="1"/>
  <c r="AH123" i="59"/>
  <c r="R277" i="72" s="1"/>
  <c r="AY123" i="59"/>
  <c r="I297" i="72" s="1"/>
  <c r="BW123" i="59"/>
  <c r="AG297" i="72" s="1"/>
  <c r="BK123" i="59"/>
  <c r="U297" i="72" s="1"/>
  <c r="AN123" i="59"/>
  <c r="X277" i="72" s="1"/>
  <c r="BQ123" i="59"/>
  <c r="AA297" i="72" s="1"/>
  <c r="BO123" i="59"/>
  <c r="Y297" i="72" s="1"/>
  <c r="BH123" i="59"/>
  <c r="R297" i="72" s="1"/>
  <c r="AJ123" i="59"/>
  <c r="T277" i="72" s="1"/>
  <c r="AZ123" i="59"/>
  <c r="J297" i="72" s="1"/>
  <c r="BI123" i="59"/>
  <c r="S297" i="72" s="1"/>
  <c r="AC123" i="59"/>
  <c r="M277" i="72" s="1"/>
  <c r="BP123" i="59"/>
  <c r="Z297" i="72" s="1"/>
  <c r="AB123" i="59"/>
  <c r="L277" i="72" s="1"/>
  <c r="AO123" i="59"/>
  <c r="Y277" i="72" s="1"/>
  <c r="BA123" i="59"/>
  <c r="K297" i="72" s="1"/>
  <c r="AR123" i="59"/>
  <c r="AB277" i="72" s="1"/>
  <c r="BS97" i="59"/>
  <c r="AC116" i="72" s="1"/>
  <c r="BD97" i="59"/>
  <c r="N116" i="72" s="1"/>
  <c r="BT97" i="59"/>
  <c r="AD116" i="72" s="1"/>
  <c r="AY97" i="59"/>
  <c r="I116" i="72" s="1"/>
  <c r="BE97" i="59"/>
  <c r="O116" i="72" s="1"/>
  <c r="BU97" i="59"/>
  <c r="AE116" i="72" s="1"/>
  <c r="BM97" i="59"/>
  <c r="W116" i="72" s="1"/>
  <c r="BF97" i="59"/>
  <c r="P116" i="72" s="1"/>
  <c r="BV97" i="59"/>
  <c r="AF116" i="72" s="1"/>
  <c r="BN97" i="59"/>
  <c r="X116" i="72" s="1"/>
  <c r="BG97" i="59"/>
  <c r="Q116" i="72" s="1"/>
  <c r="BW97" i="59"/>
  <c r="AG116" i="72" s="1"/>
  <c r="BO97" i="59"/>
  <c r="Y116" i="72" s="1"/>
  <c r="AZ97" i="59"/>
  <c r="J116" i="72" s="1"/>
  <c r="BP97" i="59"/>
  <c r="Z116" i="72" s="1"/>
  <c r="BH97" i="59"/>
  <c r="R116" i="72" s="1"/>
  <c r="BA97" i="59"/>
  <c r="K116" i="72" s="1"/>
  <c r="BI97" i="59"/>
  <c r="S116" i="72" s="1"/>
  <c r="BQ97" i="59"/>
  <c r="AA116" i="72" s="1"/>
  <c r="BJ97" i="59"/>
  <c r="T116" i="72" s="1"/>
  <c r="BB97" i="59"/>
  <c r="L116" i="72" s="1"/>
  <c r="BK97" i="59"/>
  <c r="U116" i="72" s="1"/>
  <c r="BR97" i="59"/>
  <c r="AB116" i="72" s="1"/>
  <c r="BC97" i="59"/>
  <c r="M116" i="72" s="1"/>
  <c r="BL97" i="59"/>
  <c r="V116" i="72" s="1"/>
  <c r="AD135" i="59"/>
  <c r="AB135" i="59"/>
  <c r="AE135" i="59"/>
  <c r="AM135" i="59"/>
  <c r="Y135" i="59"/>
  <c r="AF135" i="59"/>
  <c r="AS135" i="59"/>
  <c r="BC135" i="59"/>
  <c r="M462" i="72" s="1"/>
  <c r="AG135" i="59"/>
  <c r="BS135" i="59"/>
  <c r="AC462" i="72" s="1"/>
  <c r="AW135" i="59"/>
  <c r="BD135" i="59"/>
  <c r="N462" i="72" s="1"/>
  <c r="AH135" i="59"/>
  <c r="AR135" i="59"/>
  <c r="AC135" i="59"/>
  <c r="BT135" i="59"/>
  <c r="AD462" i="72" s="1"/>
  <c r="AI135" i="59"/>
  <c r="BE135" i="59"/>
  <c r="O462" i="72" s="1"/>
  <c r="AL135" i="59"/>
  <c r="BU135" i="59"/>
  <c r="AE462" i="72" s="1"/>
  <c r="AY135" i="59"/>
  <c r="I462" i="72" s="1"/>
  <c r="BF135" i="59"/>
  <c r="P462" i="72" s="1"/>
  <c r="X135" i="59"/>
  <c r="AU135" i="59"/>
  <c r="BV135" i="59"/>
  <c r="AF462" i="72" s="1"/>
  <c r="BN135" i="59"/>
  <c r="X462" i="72" s="1"/>
  <c r="AA135" i="59"/>
  <c r="BG135" i="59"/>
  <c r="Q462" i="72" s="1"/>
  <c r="BO135" i="59"/>
  <c r="Y462" i="72" s="1"/>
  <c r="AV135" i="59"/>
  <c r="BW135" i="59"/>
  <c r="AG462" i="72" s="1"/>
  <c r="AZ135" i="59"/>
  <c r="J462" i="72" s="1"/>
  <c r="BH135" i="59"/>
  <c r="R462" i="72" s="1"/>
  <c r="AJ135" i="59"/>
  <c r="BP135" i="59"/>
  <c r="Z462" i="72" s="1"/>
  <c r="BI135" i="59"/>
  <c r="S462" i="72" s="1"/>
  <c r="AK135" i="59"/>
  <c r="AT135" i="59"/>
  <c r="BA135" i="59"/>
  <c r="K462" i="72" s="1"/>
  <c r="BJ135" i="59"/>
  <c r="T462" i="72" s="1"/>
  <c r="Z135" i="59"/>
  <c r="BQ135" i="59"/>
  <c r="AA462" i="72" s="1"/>
  <c r="BK135" i="59"/>
  <c r="U462" i="72" s="1"/>
  <c r="AN135" i="59"/>
  <c r="AO135" i="59"/>
  <c r="BB135" i="59"/>
  <c r="L462" i="72" s="1"/>
  <c r="BR135" i="59"/>
  <c r="AB462" i="72" s="1"/>
  <c r="AQ135" i="59"/>
  <c r="BL135" i="59"/>
  <c r="V462" i="72" s="1"/>
  <c r="BM135" i="59"/>
  <c r="W462" i="72" s="1"/>
  <c r="AP135" i="59"/>
  <c r="AA128" i="59"/>
  <c r="BM128" i="59"/>
  <c r="W455" i="72" s="1"/>
  <c r="BF128" i="59"/>
  <c r="P455" i="72" s="1"/>
  <c r="AT90" i="59"/>
  <c r="BK90" i="59"/>
  <c r="U109" i="72" s="1"/>
  <c r="BQ90" i="59"/>
  <c r="AA109" i="72" s="1"/>
  <c r="AU129" i="59"/>
  <c r="AE436" i="72" s="1"/>
  <c r="X129" i="59"/>
  <c r="H436" i="72" s="1"/>
  <c r="AY129" i="59"/>
  <c r="I456" i="72" s="1"/>
  <c r="AF109" i="59"/>
  <c r="P263" i="72" s="1"/>
  <c r="BA109" i="59"/>
  <c r="K283" i="72" s="1"/>
  <c r="BE109" i="59"/>
  <c r="O283" i="72" s="1"/>
  <c r="AC108" i="59"/>
  <c r="BK108" i="59"/>
  <c r="U282" i="72" s="1"/>
  <c r="BQ108" i="59"/>
  <c r="AA282" i="72" s="1"/>
  <c r="AI89" i="59"/>
  <c r="S88" i="72" s="1"/>
  <c r="Z89" i="59"/>
  <c r="J88" i="72" s="1"/>
  <c r="BB89" i="59"/>
  <c r="L108" i="72" s="1"/>
  <c r="AW110" i="59"/>
  <c r="X110" i="59"/>
  <c r="BH110" i="59"/>
  <c r="R284" i="72" s="1"/>
  <c r="BM110" i="59"/>
  <c r="W284" i="72" s="1"/>
  <c r="AD110" i="59"/>
  <c r="BR128" i="59"/>
  <c r="AB455" i="72" s="1"/>
  <c r="AP116" i="59"/>
  <c r="AQ116" i="59"/>
  <c r="BJ116" i="59"/>
  <c r="T290" i="72" s="1"/>
  <c r="AR116" i="59"/>
  <c r="AL116" i="59"/>
  <c r="BF116" i="59"/>
  <c r="P290" i="72" s="1"/>
  <c r="BO116" i="59"/>
  <c r="Y290" i="72" s="1"/>
  <c r="AH116" i="59"/>
  <c r="BV116" i="59"/>
  <c r="AF290" i="72" s="1"/>
  <c r="BP116" i="59"/>
  <c r="Z290" i="72" s="1"/>
  <c r="AI116" i="59"/>
  <c r="AW116" i="59"/>
  <c r="BG116" i="59"/>
  <c r="Q290" i="72" s="1"/>
  <c r="BQ116" i="59"/>
  <c r="AA290" i="72" s="1"/>
  <c r="AJ116" i="59"/>
  <c r="BU116" i="59"/>
  <c r="AE290" i="72" s="1"/>
  <c r="BW116" i="59"/>
  <c r="AG290" i="72" s="1"/>
  <c r="BR116" i="59"/>
  <c r="AB290" i="72" s="1"/>
  <c r="AY116" i="59"/>
  <c r="I290" i="72" s="1"/>
  <c r="BS116" i="59"/>
  <c r="AC290" i="72" s="1"/>
  <c r="AK116" i="59"/>
  <c r="BH116" i="59"/>
  <c r="R290" i="72" s="1"/>
  <c r="AB116" i="59"/>
  <c r="AM116" i="59"/>
  <c r="BI116" i="59"/>
  <c r="S290" i="72" s="1"/>
  <c r="AC116" i="59"/>
  <c r="AN116" i="59"/>
  <c r="BK116" i="59"/>
  <c r="U290" i="72" s="1"/>
  <c r="AS116" i="59"/>
  <c r="Y116" i="59"/>
  <c r="BL116" i="59"/>
  <c r="V290" i="72" s="1"/>
  <c r="AD116" i="59"/>
  <c r="AO116" i="59"/>
  <c r="AZ116" i="59"/>
  <c r="J290" i="72" s="1"/>
  <c r="AT116" i="59"/>
  <c r="BN116" i="59"/>
  <c r="X290" i="72" s="1"/>
  <c r="BA116" i="59"/>
  <c r="K290" i="72" s="1"/>
  <c r="AE116" i="59"/>
  <c r="AA116" i="59"/>
  <c r="Z116" i="59"/>
  <c r="X116" i="59"/>
  <c r="AU116" i="59"/>
  <c r="BD116" i="59"/>
  <c r="N290" i="72" s="1"/>
  <c r="BB116" i="59"/>
  <c r="L290" i="72" s="1"/>
  <c r="AF116" i="59"/>
  <c r="BT116" i="59"/>
  <c r="AD290" i="72" s="1"/>
  <c r="BC116" i="59"/>
  <c r="M290" i="72" s="1"/>
  <c r="AV116" i="59"/>
  <c r="BE116" i="59"/>
  <c r="O290" i="72" s="1"/>
  <c r="BM116" i="59"/>
  <c r="W290" i="72" s="1"/>
  <c r="AG116" i="59"/>
  <c r="BF93" i="59"/>
  <c r="P112" i="72" s="1"/>
  <c r="BA93" i="59"/>
  <c r="K112" i="72" s="1"/>
  <c r="BV93" i="59"/>
  <c r="AF112" i="72" s="1"/>
  <c r="BG93" i="59"/>
  <c r="Q112" i="72" s="1"/>
  <c r="BB93" i="59"/>
  <c r="L112" i="72" s="1"/>
  <c r="BW93" i="59"/>
  <c r="AG112" i="72" s="1"/>
  <c r="BH93" i="59"/>
  <c r="R112" i="72" s="1"/>
  <c r="BI93" i="59"/>
  <c r="S112" i="72" s="1"/>
  <c r="BC93" i="59"/>
  <c r="M112" i="72" s="1"/>
  <c r="BJ93" i="59"/>
  <c r="T112" i="72" s="1"/>
  <c r="BK93" i="59"/>
  <c r="U112" i="72" s="1"/>
  <c r="BL93" i="59"/>
  <c r="V112" i="72" s="1"/>
  <c r="BQ93" i="59"/>
  <c r="AA112" i="72" s="1"/>
  <c r="BM93" i="59"/>
  <c r="W112" i="72" s="1"/>
  <c r="BN93" i="59"/>
  <c r="X112" i="72" s="1"/>
  <c r="BD93" i="59"/>
  <c r="N112" i="72" s="1"/>
  <c r="AY93" i="59"/>
  <c r="I112" i="72" s="1"/>
  <c r="BR93" i="59"/>
  <c r="AB112" i="72" s="1"/>
  <c r="BT93" i="59"/>
  <c r="AD112" i="72" s="1"/>
  <c r="BO93" i="59"/>
  <c r="Y112" i="72" s="1"/>
  <c r="BE93" i="59"/>
  <c r="O112" i="72" s="1"/>
  <c r="BU93" i="59"/>
  <c r="AE112" i="72" s="1"/>
  <c r="AZ93" i="59"/>
  <c r="J112" i="72" s="1"/>
  <c r="BP93" i="59"/>
  <c r="Z112" i="72" s="1"/>
  <c r="BS93" i="59"/>
  <c r="AC112" i="72" s="1"/>
  <c r="BU111" i="59"/>
  <c r="AE285" i="72" s="1"/>
  <c r="BP111" i="59"/>
  <c r="Z285" i="72" s="1"/>
  <c r="BF111" i="59"/>
  <c r="P285" i="72" s="1"/>
  <c r="BV111" i="59"/>
  <c r="AF285" i="72" s="1"/>
  <c r="BG111" i="59"/>
  <c r="Q285" i="72" s="1"/>
  <c r="BW111" i="59"/>
  <c r="AG285" i="72" s="1"/>
  <c r="BH111" i="59"/>
  <c r="R285" i="72" s="1"/>
  <c r="BI111" i="59"/>
  <c r="S285" i="72" s="1"/>
  <c r="BA111" i="59"/>
  <c r="K285" i="72" s="1"/>
  <c r="BK111" i="59"/>
  <c r="U285" i="72" s="1"/>
  <c r="BQ111" i="59"/>
  <c r="AA285" i="72" s="1"/>
  <c r="BM111" i="59"/>
  <c r="W285" i="72" s="1"/>
  <c r="BB111" i="59"/>
  <c r="L285" i="72" s="1"/>
  <c r="BR111" i="59"/>
  <c r="AB285" i="72" s="1"/>
  <c r="AY111" i="59"/>
  <c r="I285" i="72" s="1"/>
  <c r="BC111" i="59"/>
  <c r="M285" i="72" s="1"/>
  <c r="AZ111" i="59"/>
  <c r="J285" i="72" s="1"/>
  <c r="BS111" i="59"/>
  <c r="AC285" i="72" s="1"/>
  <c r="BJ111" i="59"/>
  <c r="T285" i="72" s="1"/>
  <c r="BD111" i="59"/>
  <c r="N285" i="72" s="1"/>
  <c r="BL111" i="59"/>
  <c r="V285" i="72" s="1"/>
  <c r="BT111" i="59"/>
  <c r="AD285" i="72" s="1"/>
  <c r="BE111" i="59"/>
  <c r="O285" i="72" s="1"/>
  <c r="BN111" i="59"/>
  <c r="X285" i="72" s="1"/>
  <c r="BO111" i="59"/>
  <c r="Y285" i="72" s="1"/>
  <c r="Z128" i="59"/>
  <c r="AJ128" i="59"/>
  <c r="X128" i="59"/>
  <c r="AS90" i="59"/>
  <c r="BJ90" i="59"/>
  <c r="T109" i="72" s="1"/>
  <c r="BA90" i="59"/>
  <c r="K109" i="72" s="1"/>
  <c r="AT129" i="59"/>
  <c r="AD436" i="72" s="1"/>
  <c r="AP129" i="59"/>
  <c r="Z436" i="72" s="1"/>
  <c r="BN129" i="59"/>
  <c r="X456" i="72" s="1"/>
  <c r="Z109" i="59"/>
  <c r="J263" i="72" s="1"/>
  <c r="AU109" i="59"/>
  <c r="AE263" i="72" s="1"/>
  <c r="AZ109" i="59"/>
  <c r="J283" i="72" s="1"/>
  <c r="BT109" i="59"/>
  <c r="AD283" i="72" s="1"/>
  <c r="AR108" i="59"/>
  <c r="BJ108" i="59"/>
  <c r="T282" i="72" s="1"/>
  <c r="BA108" i="59"/>
  <c r="K282" i="72" s="1"/>
  <c r="Y89" i="59"/>
  <c r="I88" i="72" s="1"/>
  <c r="AQ89" i="59"/>
  <c r="AA88" i="72" s="1"/>
  <c r="BQ89" i="59"/>
  <c r="AA108" i="72" s="1"/>
  <c r="AV110" i="59"/>
  <c r="AO110" i="59"/>
  <c r="BV110" i="59"/>
  <c r="AF284" i="72" s="1"/>
  <c r="BL110" i="59"/>
  <c r="V284" i="72" s="1"/>
  <c r="AH101" i="59"/>
  <c r="R100" i="72" s="1"/>
  <c r="AW101" i="59"/>
  <c r="AG100" i="72" s="1"/>
  <c r="BD101" i="59"/>
  <c r="N120" i="72" s="1"/>
  <c r="AM101" i="59"/>
  <c r="W100" i="72" s="1"/>
  <c r="AF101" i="59"/>
  <c r="P100" i="72" s="1"/>
  <c r="BK101" i="59"/>
  <c r="U120" i="72" s="1"/>
  <c r="BT101" i="59"/>
  <c r="AD120" i="72" s="1"/>
  <c r="AN101" i="59"/>
  <c r="X100" i="72" s="1"/>
  <c r="AV101" i="59"/>
  <c r="AF100" i="72" s="1"/>
  <c r="BL101" i="59"/>
  <c r="V120" i="72" s="1"/>
  <c r="BE101" i="59"/>
  <c r="O120" i="72" s="1"/>
  <c r="Y101" i="59"/>
  <c r="I100" i="72" s="1"/>
  <c r="BM101" i="59"/>
  <c r="W120" i="72" s="1"/>
  <c r="BU101" i="59"/>
  <c r="AE120" i="72" s="1"/>
  <c r="AO101" i="59"/>
  <c r="Y100" i="72" s="1"/>
  <c r="BN101" i="59"/>
  <c r="X120" i="72" s="1"/>
  <c r="BF101" i="59"/>
  <c r="P120" i="72" s="1"/>
  <c r="Z101" i="59"/>
  <c r="J100" i="72" s="1"/>
  <c r="AY101" i="59"/>
  <c r="I120" i="72" s="1"/>
  <c r="BV101" i="59"/>
  <c r="AF120" i="72" s="1"/>
  <c r="AP101" i="59"/>
  <c r="Z100" i="72" s="1"/>
  <c r="BO101" i="59"/>
  <c r="Y120" i="72" s="1"/>
  <c r="BG101" i="59"/>
  <c r="Q120" i="72" s="1"/>
  <c r="AA101" i="59"/>
  <c r="K100" i="72" s="1"/>
  <c r="AZ101" i="59"/>
  <c r="J120" i="72" s="1"/>
  <c r="BH101" i="59"/>
  <c r="R120" i="72" s="1"/>
  <c r="AB101" i="59"/>
  <c r="L100" i="72" s="1"/>
  <c r="X101" i="59"/>
  <c r="H100" i="72" s="1"/>
  <c r="BJ101" i="59"/>
  <c r="T120" i="72" s="1"/>
  <c r="AG101" i="59"/>
  <c r="Q100" i="72" s="1"/>
  <c r="AI101" i="59"/>
  <c r="S100" i="72" s="1"/>
  <c r="AJ101" i="59"/>
  <c r="T100" i="72" s="1"/>
  <c r="AK101" i="59"/>
  <c r="U100" i="72" s="1"/>
  <c r="AL101" i="59"/>
  <c r="V100" i="72" s="1"/>
  <c r="AQ101" i="59"/>
  <c r="AA100" i="72" s="1"/>
  <c r="BP101" i="59"/>
  <c r="Z120" i="72" s="1"/>
  <c r="AR101" i="59"/>
  <c r="AB100" i="72" s="1"/>
  <c r="BA101" i="59"/>
  <c r="K120" i="72" s="1"/>
  <c r="AC101" i="59"/>
  <c r="M100" i="72" s="1"/>
  <c r="BQ101" i="59"/>
  <c r="AA120" i="72" s="1"/>
  <c r="AS101" i="59"/>
  <c r="AC100" i="72" s="1"/>
  <c r="BB101" i="59"/>
  <c r="L120" i="72" s="1"/>
  <c r="AD101" i="59"/>
  <c r="N100" i="72" s="1"/>
  <c r="BR101" i="59"/>
  <c r="AB120" i="72" s="1"/>
  <c r="AT101" i="59"/>
  <c r="AD100" i="72" s="1"/>
  <c r="BC101" i="59"/>
  <c r="M120" i="72" s="1"/>
  <c r="AE101" i="59"/>
  <c r="O100" i="72" s="1"/>
  <c r="BS101" i="59"/>
  <c r="AC120" i="72" s="1"/>
  <c r="AU101" i="59"/>
  <c r="AE100" i="72" s="1"/>
  <c r="BI101" i="59"/>
  <c r="S120" i="72" s="1"/>
  <c r="BW101" i="59"/>
  <c r="AG120" i="72" s="1"/>
  <c r="AJ110" i="59"/>
  <c r="AE126" i="59"/>
  <c r="O280" i="72" s="1"/>
  <c r="AA126" i="59"/>
  <c r="K280" i="72" s="1"/>
  <c r="AB126" i="59"/>
  <c r="L280" i="72" s="1"/>
  <c r="AZ126" i="59"/>
  <c r="J300" i="72" s="1"/>
  <c r="AS126" i="59"/>
  <c r="AC280" i="72" s="1"/>
  <c r="Z126" i="59"/>
  <c r="J280" i="72" s="1"/>
  <c r="AU126" i="59"/>
  <c r="AE280" i="72" s="1"/>
  <c r="AT126" i="59"/>
  <c r="AD280" i="72" s="1"/>
  <c r="BB126" i="59"/>
  <c r="L300" i="72" s="1"/>
  <c r="BK126" i="59"/>
  <c r="U300" i="72" s="1"/>
  <c r="BR126" i="59"/>
  <c r="AB300" i="72" s="1"/>
  <c r="BL126" i="59"/>
  <c r="V300" i="72" s="1"/>
  <c r="BC126" i="59"/>
  <c r="M300" i="72" s="1"/>
  <c r="BM126" i="59"/>
  <c r="W300" i="72" s="1"/>
  <c r="BS126" i="59"/>
  <c r="AC300" i="72" s="1"/>
  <c r="BN126" i="59"/>
  <c r="X300" i="72" s="1"/>
  <c r="BD126" i="59"/>
  <c r="N300" i="72" s="1"/>
  <c r="BO126" i="59"/>
  <c r="Y300" i="72" s="1"/>
  <c r="AP126" i="59"/>
  <c r="Z280" i="72" s="1"/>
  <c r="BT126" i="59"/>
  <c r="AD300" i="72" s="1"/>
  <c r="AG126" i="59"/>
  <c r="Q280" i="72" s="1"/>
  <c r="AY126" i="59"/>
  <c r="I300" i="72" s="1"/>
  <c r="BE126" i="59"/>
  <c r="O300" i="72" s="1"/>
  <c r="AW126" i="59"/>
  <c r="AG280" i="72" s="1"/>
  <c r="BU126" i="59"/>
  <c r="AE300" i="72" s="1"/>
  <c r="BP126" i="59"/>
  <c r="Z300" i="72" s="1"/>
  <c r="AO126" i="59"/>
  <c r="Y280" i="72" s="1"/>
  <c r="X126" i="59"/>
  <c r="H280" i="72" s="1"/>
  <c r="AH126" i="59"/>
  <c r="R280" i="72" s="1"/>
  <c r="BF126" i="59"/>
  <c r="P300" i="72" s="1"/>
  <c r="AI126" i="59"/>
  <c r="S280" i="72" s="1"/>
  <c r="BV126" i="59"/>
  <c r="AF300" i="72" s="1"/>
  <c r="AJ126" i="59"/>
  <c r="T280" i="72" s="1"/>
  <c r="BG126" i="59"/>
  <c r="Q300" i="72" s="1"/>
  <c r="AK126" i="59"/>
  <c r="U280" i="72" s="1"/>
  <c r="AR126" i="59"/>
  <c r="AB280" i="72" s="1"/>
  <c r="BW126" i="59"/>
  <c r="AG300" i="72" s="1"/>
  <c r="AL126" i="59"/>
  <c r="V280" i="72" s="1"/>
  <c r="AV126" i="59"/>
  <c r="AF280" i="72" s="1"/>
  <c r="BH126" i="59"/>
  <c r="R300" i="72" s="1"/>
  <c r="AM126" i="59"/>
  <c r="W280" i="72" s="1"/>
  <c r="AF126" i="59"/>
  <c r="P280" i="72" s="1"/>
  <c r="BA126" i="59"/>
  <c r="K300" i="72" s="1"/>
  <c r="BQ126" i="59"/>
  <c r="AA300" i="72" s="1"/>
  <c r="AC126" i="59"/>
  <c r="M280" i="72" s="1"/>
  <c r="BI126" i="59"/>
  <c r="S300" i="72" s="1"/>
  <c r="BJ126" i="59"/>
  <c r="T300" i="72" s="1"/>
  <c r="AN126" i="59"/>
  <c r="X280" i="72" s="1"/>
  <c r="Y126" i="59"/>
  <c r="I280" i="72" s="1"/>
  <c r="AD126" i="59"/>
  <c r="N280" i="72" s="1"/>
  <c r="AQ126" i="59"/>
  <c r="AA280" i="72" s="1"/>
  <c r="AF145" i="59"/>
  <c r="P452" i="72" s="1"/>
  <c r="AV145" i="59"/>
  <c r="AF452" i="72" s="1"/>
  <c r="AP145" i="59"/>
  <c r="Z452" i="72" s="1"/>
  <c r="AT145" i="59"/>
  <c r="AD452" i="72" s="1"/>
  <c r="Z145" i="59"/>
  <c r="J452" i="72" s="1"/>
  <c r="AD145" i="59"/>
  <c r="N452" i="72" s="1"/>
  <c r="AQ145" i="59"/>
  <c r="AA452" i="72" s="1"/>
  <c r="AO145" i="59"/>
  <c r="Y452" i="72" s="1"/>
  <c r="AR145" i="59"/>
  <c r="AB452" i="72" s="1"/>
  <c r="AA145" i="59"/>
  <c r="K452" i="72" s="1"/>
  <c r="Y145" i="59"/>
  <c r="I452" i="72" s="1"/>
  <c r="AB145" i="59"/>
  <c r="L452" i="72" s="1"/>
  <c r="AE145" i="59"/>
  <c r="O452" i="72" s="1"/>
  <c r="AH145" i="59"/>
  <c r="R452" i="72" s="1"/>
  <c r="AS145" i="59"/>
  <c r="AC452" i="72" s="1"/>
  <c r="AC145" i="59"/>
  <c r="M452" i="72" s="1"/>
  <c r="AM145" i="59"/>
  <c r="W452" i="72" s="1"/>
  <c r="AL145" i="59"/>
  <c r="V452" i="72" s="1"/>
  <c r="BN145" i="59"/>
  <c r="X472" i="72" s="1"/>
  <c r="AN145" i="59"/>
  <c r="X452" i="72" s="1"/>
  <c r="BE145" i="59"/>
  <c r="O472" i="72" s="1"/>
  <c r="BR145" i="59"/>
  <c r="AB472" i="72" s="1"/>
  <c r="BU145" i="59"/>
  <c r="AE472" i="72" s="1"/>
  <c r="BS145" i="59"/>
  <c r="AC472" i="72" s="1"/>
  <c r="X145" i="59"/>
  <c r="H452" i="72" s="1"/>
  <c r="BT145" i="59"/>
  <c r="AD472" i="72" s="1"/>
  <c r="BF145" i="59"/>
  <c r="P472" i="72" s="1"/>
  <c r="AY145" i="59"/>
  <c r="I472" i="72" s="1"/>
  <c r="AW145" i="59"/>
  <c r="AG452" i="72" s="1"/>
  <c r="BD145" i="59"/>
  <c r="N472" i="72" s="1"/>
  <c r="BV145" i="59"/>
  <c r="AF472" i="72" s="1"/>
  <c r="AZ145" i="59"/>
  <c r="J472" i="72" s="1"/>
  <c r="AG145" i="59"/>
  <c r="Q452" i="72" s="1"/>
  <c r="BG145" i="59"/>
  <c r="Q472" i="72" s="1"/>
  <c r="BA145" i="59"/>
  <c r="K472" i="72" s="1"/>
  <c r="AK145" i="59"/>
  <c r="U452" i="72" s="1"/>
  <c r="BW145" i="59"/>
  <c r="AG472" i="72" s="1"/>
  <c r="BB145" i="59"/>
  <c r="L472" i="72" s="1"/>
  <c r="AI145" i="59"/>
  <c r="S452" i="72" s="1"/>
  <c r="BH145" i="59"/>
  <c r="R472" i="72" s="1"/>
  <c r="BC145" i="59"/>
  <c r="M472" i="72" s="1"/>
  <c r="AU145" i="59"/>
  <c r="AE452" i="72" s="1"/>
  <c r="BI145" i="59"/>
  <c r="S472" i="72" s="1"/>
  <c r="BJ145" i="59"/>
  <c r="T472" i="72" s="1"/>
  <c r="BK145" i="59"/>
  <c r="U472" i="72" s="1"/>
  <c r="BQ145" i="59"/>
  <c r="AA472" i="72" s="1"/>
  <c r="BL145" i="59"/>
  <c r="V472" i="72" s="1"/>
  <c r="BM145" i="59"/>
  <c r="W472" i="72" s="1"/>
  <c r="BO145" i="59"/>
  <c r="Y472" i="72" s="1"/>
  <c r="AJ145" i="59"/>
  <c r="T452" i="72" s="1"/>
  <c r="BP145" i="59"/>
  <c r="Z472" i="72" s="1"/>
  <c r="AN134" i="59"/>
  <c r="BO134" i="59"/>
  <c r="Y461" i="72" s="1"/>
  <c r="Z134" i="59"/>
  <c r="AZ134" i="59"/>
  <c r="J461" i="72" s="1"/>
  <c r="AP134" i="59"/>
  <c r="BP134" i="59"/>
  <c r="Z461" i="72" s="1"/>
  <c r="AA134" i="59"/>
  <c r="AI134" i="59"/>
  <c r="AG134" i="59"/>
  <c r="BA134" i="59"/>
  <c r="K461" i="72" s="1"/>
  <c r="AQ134" i="59"/>
  <c r="AJ134" i="59"/>
  <c r="BQ134" i="59"/>
  <c r="AA461" i="72" s="1"/>
  <c r="AB134" i="59"/>
  <c r="BB134" i="59"/>
  <c r="L461" i="72" s="1"/>
  <c r="AR134" i="59"/>
  <c r="BR134" i="59"/>
  <c r="AB461" i="72" s="1"/>
  <c r="AE134" i="59"/>
  <c r="AU134" i="59"/>
  <c r="BC134" i="59"/>
  <c r="M461" i="72" s="1"/>
  <c r="BG134" i="59"/>
  <c r="Q461" i="72" s="1"/>
  <c r="BI134" i="59"/>
  <c r="S461" i="72" s="1"/>
  <c r="BS134" i="59"/>
  <c r="AC461" i="72" s="1"/>
  <c r="BH134" i="59"/>
  <c r="R461" i="72" s="1"/>
  <c r="AK134" i="59"/>
  <c r="BJ134" i="59"/>
  <c r="T461" i="72" s="1"/>
  <c r="BD134" i="59"/>
  <c r="N461" i="72" s="1"/>
  <c r="BW134" i="59"/>
  <c r="AG461" i="72" s="1"/>
  <c r="BK134" i="59"/>
  <c r="U461" i="72" s="1"/>
  <c r="BT134" i="59"/>
  <c r="AD461" i="72" s="1"/>
  <c r="X134" i="59"/>
  <c r="BL134" i="59"/>
  <c r="V461" i="72" s="1"/>
  <c r="BE134" i="59"/>
  <c r="O461" i="72" s="1"/>
  <c r="BM134" i="59"/>
  <c r="W461" i="72" s="1"/>
  <c r="BU134" i="59"/>
  <c r="AE461" i="72" s="1"/>
  <c r="AL134" i="59"/>
  <c r="BN134" i="59"/>
  <c r="X461" i="72" s="1"/>
  <c r="AY134" i="59"/>
  <c r="I461" i="72" s="1"/>
  <c r="AC134" i="59"/>
  <c r="BF134" i="59"/>
  <c r="P461" i="72" s="1"/>
  <c r="BV134" i="59"/>
  <c r="AF461" i="72" s="1"/>
  <c r="AM134" i="59"/>
  <c r="AW134" i="59"/>
  <c r="AH134" i="59"/>
  <c r="Y134" i="59"/>
  <c r="AF134" i="59"/>
  <c r="AD134" i="59"/>
  <c r="AO134" i="59"/>
  <c r="AS134" i="59"/>
  <c r="AV134" i="59"/>
  <c r="AT134" i="59"/>
  <c r="AU128" i="59"/>
  <c r="AI128" i="59"/>
  <c r="BU128" i="59"/>
  <c r="AE455" i="72" s="1"/>
  <c r="AR90" i="59"/>
  <c r="BI90" i="59"/>
  <c r="S109" i="72" s="1"/>
  <c r="BP90" i="59"/>
  <c r="Z109" i="72" s="1"/>
  <c r="AG129" i="59"/>
  <c r="Q436" i="72" s="1"/>
  <c r="Z129" i="59"/>
  <c r="J436" i="72" s="1"/>
  <c r="BM129" i="59"/>
  <c r="W456" i="72" s="1"/>
  <c r="Y109" i="59"/>
  <c r="I263" i="72" s="1"/>
  <c r="AE109" i="59"/>
  <c r="O263" i="72" s="1"/>
  <c r="BD109" i="59"/>
  <c r="N283" i="72" s="1"/>
  <c r="AB108" i="59"/>
  <c r="BI108" i="59"/>
  <c r="S282" i="72" s="1"/>
  <c r="BP108" i="59"/>
  <c r="Z282" i="72" s="1"/>
  <c r="AH89" i="59"/>
  <c r="R88" i="72" s="1"/>
  <c r="AA89" i="59"/>
  <c r="K88" i="72" s="1"/>
  <c r="BA89" i="59"/>
  <c r="K108" i="72" s="1"/>
  <c r="AG110" i="59"/>
  <c r="Y110" i="59"/>
  <c r="BF110" i="59"/>
  <c r="P284" i="72" s="1"/>
  <c r="BK110" i="59"/>
  <c r="U284" i="72" s="1"/>
  <c r="Y138" i="59"/>
  <c r="AR138" i="59"/>
  <c r="AO138" i="59"/>
  <c r="AC138" i="59"/>
  <c r="AP138" i="59"/>
  <c r="AJ138" i="59"/>
  <c r="AI138" i="59"/>
  <c r="AG138" i="59"/>
  <c r="AH138" i="59"/>
  <c r="AF138" i="59"/>
  <c r="AK138" i="59"/>
  <c r="AE138" i="59"/>
  <c r="BI138" i="59"/>
  <c r="S465" i="72" s="1"/>
  <c r="AN138" i="59"/>
  <c r="AT138" i="59"/>
  <c r="BJ138" i="59"/>
  <c r="T465" i="72" s="1"/>
  <c r="BC138" i="59"/>
  <c r="M465" i="72" s="1"/>
  <c r="AA138" i="59"/>
  <c r="BK138" i="59"/>
  <c r="U465" i="72" s="1"/>
  <c r="BD138" i="59"/>
  <c r="N465" i="72" s="1"/>
  <c r="BH138" i="59"/>
  <c r="R465" i="72" s="1"/>
  <c r="BL138" i="59"/>
  <c r="V465" i="72" s="1"/>
  <c r="BS138" i="59"/>
  <c r="AC465" i="72" s="1"/>
  <c r="AU138" i="59"/>
  <c r="BM138" i="59"/>
  <c r="W465" i="72" s="1"/>
  <c r="BT138" i="59"/>
  <c r="AD465" i="72" s="1"/>
  <c r="AB138" i="59"/>
  <c r="AW138" i="59"/>
  <c r="AV138" i="59"/>
  <c r="BN138" i="59"/>
  <c r="X465" i="72" s="1"/>
  <c r="AD138" i="59"/>
  <c r="AY138" i="59"/>
  <c r="I465" i="72" s="1"/>
  <c r="BO138" i="59"/>
  <c r="Y465" i="72" s="1"/>
  <c r="BE138" i="59"/>
  <c r="O465" i="72" s="1"/>
  <c r="AZ138" i="59"/>
  <c r="J465" i="72" s="1"/>
  <c r="AQ138" i="59"/>
  <c r="BU138" i="59"/>
  <c r="AE465" i="72" s="1"/>
  <c r="BP138" i="59"/>
  <c r="Z465" i="72" s="1"/>
  <c r="AM138" i="59"/>
  <c r="X138" i="59"/>
  <c r="BA138" i="59"/>
  <c r="K465" i="72" s="1"/>
  <c r="BF138" i="59"/>
  <c r="P465" i="72" s="1"/>
  <c r="BQ138" i="59"/>
  <c r="AA465" i="72" s="1"/>
  <c r="BV138" i="59"/>
  <c r="AF465" i="72" s="1"/>
  <c r="BB138" i="59"/>
  <c r="L465" i="72" s="1"/>
  <c r="AS138" i="59"/>
  <c r="BG138" i="59"/>
  <c r="Q465" i="72" s="1"/>
  <c r="BR138" i="59"/>
  <c r="AB465" i="72" s="1"/>
  <c r="Z138" i="59"/>
  <c r="BW138" i="59"/>
  <c r="AG465" i="72" s="1"/>
  <c r="AL138" i="59"/>
  <c r="BE107" i="59"/>
  <c r="O126" i="72" s="1"/>
  <c r="AZ107" i="59"/>
  <c r="J126" i="72" s="1"/>
  <c r="AU107" i="59"/>
  <c r="AE106" i="72" s="1"/>
  <c r="BU107" i="59"/>
  <c r="AE126" i="72" s="1"/>
  <c r="BP107" i="59"/>
  <c r="Z126" i="72" s="1"/>
  <c r="AF107" i="59"/>
  <c r="P106" i="72" s="1"/>
  <c r="BF107" i="59"/>
  <c r="P126" i="72" s="1"/>
  <c r="BA107" i="59"/>
  <c r="K126" i="72" s="1"/>
  <c r="AV107" i="59"/>
  <c r="AF106" i="72" s="1"/>
  <c r="BV107" i="59"/>
  <c r="AF126" i="72" s="1"/>
  <c r="BQ107" i="59"/>
  <c r="AA126" i="72" s="1"/>
  <c r="AG107" i="59"/>
  <c r="Q106" i="72" s="1"/>
  <c r="BG107" i="59"/>
  <c r="Q126" i="72" s="1"/>
  <c r="BS107" i="59"/>
  <c r="AC126" i="72" s="1"/>
  <c r="AW107" i="59"/>
  <c r="AG106" i="72" s="1"/>
  <c r="BW107" i="59"/>
  <c r="AG126" i="72" s="1"/>
  <c r="BT107" i="59"/>
  <c r="AD126" i="72" s="1"/>
  <c r="AH107" i="59"/>
  <c r="R106" i="72" s="1"/>
  <c r="BH107" i="59"/>
  <c r="R126" i="72" s="1"/>
  <c r="X107" i="59"/>
  <c r="H106" i="72" s="1"/>
  <c r="AI107" i="59"/>
  <c r="S106" i="72" s="1"/>
  <c r="BI107" i="59"/>
  <c r="S126" i="72" s="1"/>
  <c r="BB107" i="59"/>
  <c r="L126" i="72" s="1"/>
  <c r="AJ107" i="59"/>
  <c r="T106" i="72" s="1"/>
  <c r="BJ107" i="59"/>
  <c r="T126" i="72" s="1"/>
  <c r="BC107" i="59"/>
  <c r="M126" i="72" s="1"/>
  <c r="AK107" i="59"/>
  <c r="U106" i="72" s="1"/>
  <c r="BK107" i="59"/>
  <c r="U126" i="72" s="1"/>
  <c r="BD107" i="59"/>
  <c r="N126" i="72" s="1"/>
  <c r="AL107" i="59"/>
  <c r="V106" i="72" s="1"/>
  <c r="BL107" i="59"/>
  <c r="V126" i="72" s="1"/>
  <c r="AC107" i="59"/>
  <c r="M106" i="72" s="1"/>
  <c r="AM107" i="59"/>
  <c r="W106" i="72" s="1"/>
  <c r="BM107" i="59"/>
  <c r="W126" i="72" s="1"/>
  <c r="AS107" i="59"/>
  <c r="AC106" i="72" s="1"/>
  <c r="AN107" i="59"/>
  <c r="X106" i="72" s="1"/>
  <c r="BN107" i="59"/>
  <c r="X126" i="72" s="1"/>
  <c r="BR107" i="59"/>
  <c r="AB126" i="72" s="1"/>
  <c r="Y107" i="59"/>
  <c r="I106" i="72" s="1"/>
  <c r="AY107" i="59"/>
  <c r="I126" i="72" s="1"/>
  <c r="AD107" i="59"/>
  <c r="N106" i="72" s="1"/>
  <c r="AO107" i="59"/>
  <c r="Y106" i="72" s="1"/>
  <c r="BO107" i="59"/>
  <c r="Y126" i="72" s="1"/>
  <c r="AT107" i="59"/>
  <c r="AD106" i="72" s="1"/>
  <c r="AE107" i="59"/>
  <c r="O106" i="72" s="1"/>
  <c r="Z107" i="59"/>
  <c r="J106" i="72" s="1"/>
  <c r="AP107" i="59"/>
  <c r="Z106" i="72" s="1"/>
  <c r="AQ107" i="59"/>
  <c r="AA106" i="72" s="1"/>
  <c r="AB107" i="59"/>
  <c r="L106" i="72" s="1"/>
  <c r="AR107" i="59"/>
  <c r="AB106" i="72" s="1"/>
  <c r="AA107" i="59"/>
  <c r="K106" i="72" s="1"/>
  <c r="BQ113" i="59"/>
  <c r="AA287" i="72" s="1"/>
  <c r="BK113" i="59"/>
  <c r="U287" i="72" s="1"/>
  <c r="BB113" i="59"/>
  <c r="L287" i="72" s="1"/>
  <c r="BL113" i="59"/>
  <c r="V287" i="72" s="1"/>
  <c r="BR113" i="59"/>
  <c r="AB287" i="72" s="1"/>
  <c r="BM113" i="59"/>
  <c r="W287" i="72" s="1"/>
  <c r="BC113" i="59"/>
  <c r="M287" i="72" s="1"/>
  <c r="BN113" i="59"/>
  <c r="X287" i="72" s="1"/>
  <c r="BS113" i="59"/>
  <c r="AC287" i="72" s="1"/>
  <c r="BD113" i="59"/>
  <c r="N287" i="72" s="1"/>
  <c r="BT113" i="59"/>
  <c r="AD287" i="72" s="1"/>
  <c r="BA113" i="59"/>
  <c r="K287" i="72" s="1"/>
  <c r="BE113" i="59"/>
  <c r="O287" i="72" s="1"/>
  <c r="BU113" i="59"/>
  <c r="AE287" i="72" s="1"/>
  <c r="BF113" i="59"/>
  <c r="P287" i="72" s="1"/>
  <c r="AY113" i="59"/>
  <c r="I287" i="72" s="1"/>
  <c r="BV113" i="59"/>
  <c r="AF287" i="72" s="1"/>
  <c r="BJ113" i="59"/>
  <c r="T287" i="72" s="1"/>
  <c r="BO113" i="59"/>
  <c r="Y287" i="72" s="1"/>
  <c r="BG113" i="59"/>
  <c r="Q287" i="72" s="1"/>
  <c r="BW113" i="59"/>
  <c r="AG287" i="72" s="1"/>
  <c r="AZ113" i="59"/>
  <c r="J287" i="72" s="1"/>
  <c r="BI113" i="59"/>
  <c r="S287" i="72" s="1"/>
  <c r="BP113" i="59"/>
  <c r="Z287" i="72" s="1"/>
  <c r="BH113" i="59"/>
  <c r="R287" i="72" s="1"/>
  <c r="Y128" i="59"/>
  <c r="AH128" i="59"/>
  <c r="BE128" i="59"/>
  <c r="O455" i="72" s="1"/>
  <c r="AH90" i="59"/>
  <c r="AQ90" i="59"/>
  <c r="BH90" i="59"/>
  <c r="R109" i="72" s="1"/>
  <c r="AZ90" i="59"/>
  <c r="J109" i="72" s="1"/>
  <c r="AS129" i="59"/>
  <c r="AC436" i="72" s="1"/>
  <c r="AO129" i="59"/>
  <c r="Y436" i="72" s="1"/>
  <c r="BL129" i="59"/>
  <c r="V456" i="72" s="1"/>
  <c r="AP109" i="59"/>
  <c r="Z263" i="72" s="1"/>
  <c r="AT109" i="59"/>
  <c r="AD263" i="72" s="1"/>
  <c r="BO109" i="59"/>
  <c r="Y283" i="72" s="1"/>
  <c r="BS109" i="59"/>
  <c r="AC283" i="72" s="1"/>
  <c r="AQ108" i="59"/>
  <c r="BG108" i="59"/>
  <c r="Q282" i="72" s="1"/>
  <c r="AZ108" i="59"/>
  <c r="J282" i="72" s="1"/>
  <c r="AW89" i="59"/>
  <c r="AG88" i="72" s="1"/>
  <c r="AO89" i="59"/>
  <c r="Y88" i="72" s="1"/>
  <c r="BP89" i="59"/>
  <c r="Z108" i="72" s="1"/>
  <c r="AF110" i="59"/>
  <c r="AN110" i="59"/>
  <c r="BT110" i="59"/>
  <c r="AD284" i="72" s="1"/>
  <c r="BJ110" i="59"/>
  <c r="T284" i="72" s="1"/>
  <c r="BH105" i="59"/>
  <c r="R124" i="72" s="1"/>
  <c r="BC105" i="59"/>
  <c r="M124" i="72" s="1"/>
  <c r="AI105" i="59"/>
  <c r="S104" i="72" s="1"/>
  <c r="BI105" i="59"/>
  <c r="S124" i="72" s="1"/>
  <c r="BS105" i="59"/>
  <c r="AC124" i="72" s="1"/>
  <c r="AJ105" i="59"/>
  <c r="T104" i="72" s="1"/>
  <c r="BJ105" i="59"/>
  <c r="T124" i="72" s="1"/>
  <c r="BD105" i="59"/>
  <c r="N124" i="72" s="1"/>
  <c r="AK105" i="59"/>
  <c r="U104" i="72" s="1"/>
  <c r="BK105" i="59"/>
  <c r="U124" i="72" s="1"/>
  <c r="BE105" i="59"/>
  <c r="O124" i="72" s="1"/>
  <c r="AL105" i="59"/>
  <c r="V104" i="72" s="1"/>
  <c r="BL105" i="59"/>
  <c r="V124" i="72" s="1"/>
  <c r="BF105" i="59"/>
  <c r="P124" i="72" s="1"/>
  <c r="AM105" i="59"/>
  <c r="W104" i="72" s="1"/>
  <c r="BM105" i="59"/>
  <c r="W124" i="72" s="1"/>
  <c r="BT105" i="59"/>
  <c r="AD124" i="72" s="1"/>
  <c r="AN105" i="59"/>
  <c r="X104" i="72" s="1"/>
  <c r="BB105" i="59"/>
  <c r="L124" i="72" s="1"/>
  <c r="AA105" i="59"/>
  <c r="K104" i="72" s="1"/>
  <c r="BR105" i="59"/>
  <c r="AB124" i="72" s="1"/>
  <c r="AQ105" i="59"/>
  <c r="AA104" i="72" s="1"/>
  <c r="X105" i="59"/>
  <c r="H104" i="72" s="1"/>
  <c r="AB105" i="59"/>
  <c r="L104" i="72" s="1"/>
  <c r="BU105" i="59"/>
  <c r="AE124" i="72" s="1"/>
  <c r="AR105" i="59"/>
  <c r="AB104" i="72" s="1"/>
  <c r="BV105" i="59"/>
  <c r="AF124" i="72" s="1"/>
  <c r="AE105" i="59"/>
  <c r="O104" i="72" s="1"/>
  <c r="BG105" i="59"/>
  <c r="Q124" i="72" s="1"/>
  <c r="AU105" i="59"/>
  <c r="AE104" i="72" s="1"/>
  <c r="BW105" i="59"/>
  <c r="AG124" i="72" s="1"/>
  <c r="AF105" i="59"/>
  <c r="P104" i="72" s="1"/>
  <c r="BN105" i="59"/>
  <c r="X124" i="72" s="1"/>
  <c r="AV105" i="59"/>
  <c r="AF104" i="72" s="1"/>
  <c r="AY105" i="59"/>
  <c r="I124" i="72" s="1"/>
  <c r="AG105" i="59"/>
  <c r="Q104" i="72" s="1"/>
  <c r="BO105" i="59"/>
  <c r="Y124" i="72" s="1"/>
  <c r="AW105" i="59"/>
  <c r="AG104" i="72" s="1"/>
  <c r="AH105" i="59"/>
  <c r="R104" i="72" s="1"/>
  <c r="AZ105" i="59"/>
  <c r="J124" i="72" s="1"/>
  <c r="Y105" i="59"/>
  <c r="I104" i="72" s="1"/>
  <c r="BP105" i="59"/>
  <c r="Z124" i="72" s="1"/>
  <c r="AO105" i="59"/>
  <c r="Y104" i="72" s="1"/>
  <c r="BA105" i="59"/>
  <c r="K124" i="72" s="1"/>
  <c r="Z105" i="59"/>
  <c r="J104" i="72" s="1"/>
  <c r="AC105" i="59"/>
  <c r="M104" i="72" s="1"/>
  <c r="AD105" i="59"/>
  <c r="N104" i="72" s="1"/>
  <c r="AT105" i="59"/>
  <c r="AD104" i="72" s="1"/>
  <c r="AS105" i="59"/>
  <c r="AC104" i="72" s="1"/>
  <c r="BQ105" i="59"/>
  <c r="AA124" i="72" s="1"/>
  <c r="AP105" i="59"/>
  <c r="Z104" i="72" s="1"/>
  <c r="AG108" i="59"/>
  <c r="AF122" i="59"/>
  <c r="P276" i="72" s="1"/>
  <c r="AB122" i="59"/>
  <c r="L276" i="72" s="1"/>
  <c r="AD122" i="59"/>
  <c r="N276" i="72" s="1"/>
  <c r="AH122" i="59"/>
  <c r="R276" i="72" s="1"/>
  <c r="AV122" i="59"/>
  <c r="AF276" i="72" s="1"/>
  <c r="AU122" i="59"/>
  <c r="AE276" i="72" s="1"/>
  <c r="AT122" i="59"/>
  <c r="AD276" i="72" s="1"/>
  <c r="AE122" i="59"/>
  <c r="O276" i="72" s="1"/>
  <c r="BH122" i="59"/>
  <c r="R296" i="72" s="1"/>
  <c r="AL122" i="59"/>
  <c r="V276" i="72" s="1"/>
  <c r="AK122" i="59"/>
  <c r="U276" i="72" s="1"/>
  <c r="BI122" i="59"/>
  <c r="S296" i="72" s="1"/>
  <c r="BC122" i="59"/>
  <c r="M296" i="72" s="1"/>
  <c r="AW122" i="59"/>
  <c r="AG276" i="72" s="1"/>
  <c r="AJ122" i="59"/>
  <c r="T276" i="72" s="1"/>
  <c r="BJ122" i="59"/>
  <c r="T296" i="72" s="1"/>
  <c r="AM122" i="59"/>
  <c r="W276" i="72" s="1"/>
  <c r="BW122" i="59"/>
  <c r="AG296" i="72" s="1"/>
  <c r="AI122" i="59"/>
  <c r="S276" i="72" s="1"/>
  <c r="BK122" i="59"/>
  <c r="U296" i="72" s="1"/>
  <c r="BD122" i="59"/>
  <c r="N296" i="72" s="1"/>
  <c r="BL122" i="59"/>
  <c r="V296" i="72" s="1"/>
  <c r="AN122" i="59"/>
  <c r="X276" i="72" s="1"/>
  <c r="BM122" i="59"/>
  <c r="W296" i="72" s="1"/>
  <c r="BS122" i="59"/>
  <c r="AC296" i="72" s="1"/>
  <c r="BN122" i="59"/>
  <c r="X296" i="72" s="1"/>
  <c r="Y122" i="59"/>
  <c r="I276" i="72" s="1"/>
  <c r="AY122" i="59"/>
  <c r="I296" i="72" s="1"/>
  <c r="AO122" i="59"/>
  <c r="Y276" i="72" s="1"/>
  <c r="BO122" i="59"/>
  <c r="Y296" i="72" s="1"/>
  <c r="BT122" i="59"/>
  <c r="AD296" i="72" s="1"/>
  <c r="BE122" i="59"/>
  <c r="O296" i="72" s="1"/>
  <c r="AZ122" i="59"/>
  <c r="J296" i="72" s="1"/>
  <c r="Z122" i="59"/>
  <c r="J276" i="72" s="1"/>
  <c r="BU122" i="59"/>
  <c r="AE296" i="72" s="1"/>
  <c r="BP122" i="59"/>
  <c r="Z296" i="72" s="1"/>
  <c r="AP122" i="59"/>
  <c r="Z276" i="72" s="1"/>
  <c r="X122" i="59"/>
  <c r="H276" i="72" s="1"/>
  <c r="BA122" i="59"/>
  <c r="K296" i="72" s="1"/>
  <c r="AA122" i="59"/>
  <c r="K276" i="72" s="1"/>
  <c r="AG122" i="59"/>
  <c r="Q276" i="72" s="1"/>
  <c r="BF122" i="59"/>
  <c r="P296" i="72" s="1"/>
  <c r="BQ122" i="59"/>
  <c r="AA296" i="72" s="1"/>
  <c r="AQ122" i="59"/>
  <c r="AA276" i="72" s="1"/>
  <c r="AR122" i="59"/>
  <c r="AB276" i="72" s="1"/>
  <c r="BV122" i="59"/>
  <c r="AF296" i="72" s="1"/>
  <c r="BB122" i="59"/>
  <c r="L296" i="72" s="1"/>
  <c r="AC122" i="59"/>
  <c r="M276" i="72" s="1"/>
  <c r="BG122" i="59"/>
  <c r="Q296" i="72" s="1"/>
  <c r="BR122" i="59"/>
  <c r="AB296" i="72" s="1"/>
  <c r="AS122" i="59"/>
  <c r="AC276" i="72" s="1"/>
  <c r="BH98" i="59"/>
  <c r="R117" i="72" s="1"/>
  <c r="BC98" i="59"/>
  <c r="M117" i="72" s="1"/>
  <c r="BI98" i="59"/>
  <c r="S117" i="72" s="1"/>
  <c r="BS98" i="59"/>
  <c r="AC117" i="72" s="1"/>
  <c r="BJ98" i="59"/>
  <c r="T117" i="72" s="1"/>
  <c r="BK98" i="59"/>
  <c r="U117" i="72" s="1"/>
  <c r="BL98" i="59"/>
  <c r="V117" i="72" s="1"/>
  <c r="BM98" i="59"/>
  <c r="W117" i="72" s="1"/>
  <c r="BD98" i="59"/>
  <c r="N117" i="72" s="1"/>
  <c r="BG98" i="59"/>
  <c r="Q117" i="72" s="1"/>
  <c r="BE98" i="59"/>
  <c r="O117" i="72" s="1"/>
  <c r="BW98" i="59"/>
  <c r="AG117" i="72" s="1"/>
  <c r="BF98" i="59"/>
  <c r="P117" i="72" s="1"/>
  <c r="BN98" i="59"/>
  <c r="X117" i="72" s="1"/>
  <c r="BT98" i="59"/>
  <c r="AD117" i="72" s="1"/>
  <c r="AY98" i="59"/>
  <c r="I117" i="72" s="1"/>
  <c r="BU98" i="59"/>
  <c r="AE117" i="72" s="1"/>
  <c r="BO98" i="59"/>
  <c r="Y117" i="72" s="1"/>
  <c r="BV98" i="59"/>
  <c r="AF117" i="72" s="1"/>
  <c r="AZ98" i="59"/>
  <c r="J117" i="72" s="1"/>
  <c r="BP98" i="59"/>
  <c r="Z117" i="72" s="1"/>
  <c r="BA98" i="59"/>
  <c r="K117" i="72" s="1"/>
  <c r="BQ98" i="59"/>
  <c r="AA117" i="72" s="1"/>
  <c r="BB98" i="59"/>
  <c r="L117" i="72" s="1"/>
  <c r="BR98" i="59"/>
  <c r="AB117" i="72" s="1"/>
  <c r="AJ141" i="59"/>
  <c r="T448" i="72" s="1"/>
  <c r="BC141" i="59"/>
  <c r="M468" i="72" s="1"/>
  <c r="AW141" i="59"/>
  <c r="AG448" i="72" s="1"/>
  <c r="BS141" i="59"/>
  <c r="AC468" i="72" s="1"/>
  <c r="AG141" i="59"/>
  <c r="Q448" i="72" s="1"/>
  <c r="BD141" i="59"/>
  <c r="N468" i="72" s="1"/>
  <c r="BT141" i="59"/>
  <c r="AD468" i="72" s="1"/>
  <c r="BI141" i="59"/>
  <c r="S468" i="72" s="1"/>
  <c r="BE141" i="59"/>
  <c r="O468" i="72" s="1"/>
  <c r="BJ141" i="59"/>
  <c r="T468" i="72" s="1"/>
  <c r="BU141" i="59"/>
  <c r="AE468" i="72" s="1"/>
  <c r="AH141" i="59"/>
  <c r="R448" i="72" s="1"/>
  <c r="AU141" i="59"/>
  <c r="AE448" i="72" s="1"/>
  <c r="AD141" i="59"/>
  <c r="N448" i="72" s="1"/>
  <c r="AV141" i="59"/>
  <c r="AF448" i="72" s="1"/>
  <c r="AE141" i="59"/>
  <c r="O448" i="72" s="1"/>
  <c r="AF141" i="59"/>
  <c r="P448" i="72" s="1"/>
  <c r="BB141" i="59"/>
  <c r="L468" i="72" s="1"/>
  <c r="BK141" i="59"/>
  <c r="U468" i="72" s="1"/>
  <c r="BF141" i="59"/>
  <c r="P468" i="72" s="1"/>
  <c r="BL141" i="59"/>
  <c r="V468" i="72" s="1"/>
  <c r="AR141" i="59"/>
  <c r="AB448" i="72" s="1"/>
  <c r="BM141" i="59"/>
  <c r="W468" i="72" s="1"/>
  <c r="AB141" i="59"/>
  <c r="L448" i="72" s="1"/>
  <c r="BN141" i="59"/>
  <c r="X468" i="72" s="1"/>
  <c r="AY141" i="59"/>
  <c r="I468" i="72" s="1"/>
  <c r="BO141" i="59"/>
  <c r="Y468" i="72" s="1"/>
  <c r="AT141" i="59"/>
  <c r="AD448" i="72" s="1"/>
  <c r="AZ141" i="59"/>
  <c r="J468" i="72" s="1"/>
  <c r="AQ141" i="59"/>
  <c r="AA448" i="72" s="1"/>
  <c r="BP141" i="59"/>
  <c r="Z468" i="72" s="1"/>
  <c r="AS141" i="59"/>
  <c r="AC448" i="72" s="1"/>
  <c r="AA141" i="59"/>
  <c r="K448" i="72" s="1"/>
  <c r="BA141" i="59"/>
  <c r="K468" i="72" s="1"/>
  <c r="AC141" i="59"/>
  <c r="M448" i="72" s="1"/>
  <c r="BQ141" i="59"/>
  <c r="AA468" i="72" s="1"/>
  <c r="AP141" i="59"/>
  <c r="Z448" i="72" s="1"/>
  <c r="BR141" i="59"/>
  <c r="AB468" i="72" s="1"/>
  <c r="AI141" i="59"/>
  <c r="S448" i="72" s="1"/>
  <c r="Z141" i="59"/>
  <c r="J448" i="72" s="1"/>
  <c r="BV141" i="59"/>
  <c r="AF468" i="72" s="1"/>
  <c r="BW141" i="59"/>
  <c r="AG468" i="72" s="1"/>
  <c r="AN141" i="59"/>
  <c r="X448" i="72" s="1"/>
  <c r="X141" i="59"/>
  <c r="H448" i="72" s="1"/>
  <c r="BG141" i="59"/>
  <c r="Q468" i="72" s="1"/>
  <c r="AM141" i="59"/>
  <c r="W448" i="72" s="1"/>
  <c r="BH141" i="59"/>
  <c r="R468" i="72" s="1"/>
  <c r="AK141" i="59"/>
  <c r="U448" i="72" s="1"/>
  <c r="AO141" i="59"/>
  <c r="Y448" i="72" s="1"/>
  <c r="Y141" i="59"/>
  <c r="I448" i="72" s="1"/>
  <c r="AL141" i="59"/>
  <c r="V448" i="72" s="1"/>
  <c r="AT128" i="59"/>
  <c r="AW128" i="59"/>
  <c r="BT128" i="59"/>
  <c r="AD455" i="72" s="1"/>
  <c r="AG90" i="59"/>
  <c r="AP90" i="59"/>
  <c r="BW90" i="59"/>
  <c r="AG109" i="72" s="1"/>
  <c r="AL129" i="59"/>
  <c r="V436" i="72" s="1"/>
  <c r="Y129" i="59"/>
  <c r="I436" i="72" s="1"/>
  <c r="BK129" i="59"/>
  <c r="U456" i="72" s="1"/>
  <c r="AO109" i="59"/>
  <c r="Y263" i="72" s="1"/>
  <c r="AD109" i="59"/>
  <c r="N263" i="72" s="1"/>
  <c r="AY109" i="59"/>
  <c r="I283" i="72" s="1"/>
  <c r="BC109" i="59"/>
  <c r="M283" i="72" s="1"/>
  <c r="AA108" i="59"/>
  <c r="BH108" i="59"/>
  <c r="R282" i="72" s="1"/>
  <c r="BO108" i="59"/>
  <c r="Y282" i="72" s="1"/>
  <c r="AG89" i="59"/>
  <c r="Q88" i="72" s="1"/>
  <c r="BF89" i="59"/>
  <c r="P108" i="72" s="1"/>
  <c r="AZ89" i="59"/>
  <c r="J108" i="72" s="1"/>
  <c r="AU110" i="59"/>
  <c r="AM110" i="59"/>
  <c r="BD110" i="59"/>
  <c r="N284" i="72" s="1"/>
  <c r="BC115" i="59"/>
  <c r="M289" i="72" s="1"/>
  <c r="AL115" i="59"/>
  <c r="AE115" i="59"/>
  <c r="BR115" i="59"/>
  <c r="AB289" i="72" s="1"/>
  <c r="BS115" i="59"/>
  <c r="AC289" i="72" s="1"/>
  <c r="AM115" i="59"/>
  <c r="AU115" i="59"/>
  <c r="AK115" i="59"/>
  <c r="BD115" i="59"/>
  <c r="N289" i="72" s="1"/>
  <c r="AN115" i="59"/>
  <c r="AF115" i="59"/>
  <c r="BT115" i="59"/>
  <c r="AD289" i="72" s="1"/>
  <c r="Y115" i="59"/>
  <c r="AV115" i="59"/>
  <c r="AI115" i="59"/>
  <c r="BE115" i="59"/>
  <c r="O289" i="72" s="1"/>
  <c r="AO115" i="59"/>
  <c r="AG115" i="59"/>
  <c r="BM115" i="59"/>
  <c r="W289" i="72" s="1"/>
  <c r="BU115" i="59"/>
  <c r="AE289" i="72" s="1"/>
  <c r="Z115" i="59"/>
  <c r="AW115" i="59"/>
  <c r="AJ115" i="59"/>
  <c r="BN115" i="59"/>
  <c r="X289" i="72" s="1"/>
  <c r="BG115" i="59"/>
  <c r="Q289" i="72" s="1"/>
  <c r="AP115" i="59"/>
  <c r="AH115" i="59"/>
  <c r="AY115" i="59"/>
  <c r="I289" i="72" s="1"/>
  <c r="AA115" i="59"/>
  <c r="BO115" i="59"/>
  <c r="Y289" i="72" s="1"/>
  <c r="BF115" i="59"/>
  <c r="P289" i="72" s="1"/>
  <c r="AQ115" i="59"/>
  <c r="AT115" i="59"/>
  <c r="BH115" i="59"/>
  <c r="R289" i="72" s="1"/>
  <c r="AB115" i="59"/>
  <c r="AZ115" i="59"/>
  <c r="J289" i="72" s="1"/>
  <c r="BI115" i="59"/>
  <c r="S289" i="72" s="1"/>
  <c r="AR115" i="59"/>
  <c r="BP115" i="59"/>
  <c r="Z289" i="72" s="1"/>
  <c r="BJ115" i="59"/>
  <c r="T289" i="72" s="1"/>
  <c r="BW115" i="59"/>
  <c r="AG289" i="72" s="1"/>
  <c r="BA115" i="59"/>
  <c r="K289" i="72" s="1"/>
  <c r="BK115" i="59"/>
  <c r="U289" i="72" s="1"/>
  <c r="AC115" i="59"/>
  <c r="BQ115" i="59"/>
  <c r="AA289" i="72" s="1"/>
  <c r="BL115" i="59"/>
  <c r="V289" i="72" s="1"/>
  <c r="AS115" i="59"/>
  <c r="BB115" i="59"/>
  <c r="L289" i="72" s="1"/>
  <c r="BV115" i="59"/>
  <c r="AF289" i="72" s="1"/>
  <c r="AD115" i="59"/>
  <c r="AH137" i="59"/>
  <c r="AT137" i="59"/>
  <c r="AB137" i="59"/>
  <c r="AA137" i="59"/>
  <c r="AR137" i="59"/>
  <c r="Y137" i="59"/>
  <c r="AO137" i="59"/>
  <c r="AS137" i="59"/>
  <c r="Z137" i="59"/>
  <c r="AJ137" i="59"/>
  <c r="AI137" i="59"/>
  <c r="AM137" i="59"/>
  <c r="AN137" i="59"/>
  <c r="AL137" i="59"/>
  <c r="AQ137" i="59"/>
  <c r="AP137" i="59"/>
  <c r="AK137" i="59"/>
  <c r="BO137" i="59"/>
  <c r="Y464" i="72" s="1"/>
  <c r="BW137" i="59"/>
  <c r="AG464" i="72" s="1"/>
  <c r="AZ137" i="59"/>
  <c r="J464" i="72" s="1"/>
  <c r="BH137" i="59"/>
  <c r="R464" i="72" s="1"/>
  <c r="BP137" i="59"/>
  <c r="Z464" i="72" s="1"/>
  <c r="BI137" i="59"/>
  <c r="S464" i="72" s="1"/>
  <c r="AD137" i="59"/>
  <c r="BA137" i="59"/>
  <c r="K464" i="72" s="1"/>
  <c r="BJ137" i="59"/>
  <c r="T464" i="72" s="1"/>
  <c r="BQ137" i="59"/>
  <c r="AA464" i="72" s="1"/>
  <c r="BK137" i="59"/>
  <c r="U464" i="72" s="1"/>
  <c r="BB137" i="59"/>
  <c r="L464" i="72" s="1"/>
  <c r="AE137" i="59"/>
  <c r="BR137" i="59"/>
  <c r="AB464" i="72" s="1"/>
  <c r="AU137" i="59"/>
  <c r="BG137" i="59"/>
  <c r="Q464" i="72" s="1"/>
  <c r="BC137" i="59"/>
  <c r="M464" i="72" s="1"/>
  <c r="BL137" i="59"/>
  <c r="V464" i="72" s="1"/>
  <c r="BS137" i="59"/>
  <c r="AC464" i="72" s="1"/>
  <c r="AF137" i="59"/>
  <c r="BD137" i="59"/>
  <c r="N464" i="72" s="1"/>
  <c r="AV137" i="59"/>
  <c r="BT137" i="59"/>
  <c r="AD464" i="72" s="1"/>
  <c r="BM137" i="59"/>
  <c r="W464" i="72" s="1"/>
  <c r="BE137" i="59"/>
  <c r="O464" i="72" s="1"/>
  <c r="AG137" i="59"/>
  <c r="BU137" i="59"/>
  <c r="AE464" i="72" s="1"/>
  <c r="AW137" i="59"/>
  <c r="BF137" i="59"/>
  <c r="P464" i="72" s="1"/>
  <c r="X137" i="59"/>
  <c r="BN137" i="59"/>
  <c r="X464" i="72" s="1"/>
  <c r="BV137" i="59"/>
  <c r="AF464" i="72" s="1"/>
  <c r="AC137" i="59"/>
  <c r="AY137" i="59"/>
  <c r="I464" i="72" s="1"/>
  <c r="BF133" i="59"/>
  <c r="P460" i="72" s="1"/>
  <c r="BV133" i="59"/>
  <c r="AF460" i="72" s="1"/>
  <c r="AZ133" i="59"/>
  <c r="J460" i="72" s="1"/>
  <c r="BG133" i="59"/>
  <c r="Q460" i="72" s="1"/>
  <c r="BA133" i="59"/>
  <c r="K460" i="72" s="1"/>
  <c r="BW133" i="59"/>
  <c r="AG460" i="72" s="1"/>
  <c r="BP133" i="59"/>
  <c r="Z460" i="72" s="1"/>
  <c r="BH133" i="59"/>
  <c r="R460" i="72" s="1"/>
  <c r="BI133" i="59"/>
  <c r="S460" i="72" s="1"/>
  <c r="BQ133" i="59"/>
  <c r="AA460" i="72" s="1"/>
  <c r="BJ133" i="59"/>
  <c r="T460" i="72" s="1"/>
  <c r="BB133" i="59"/>
  <c r="L460" i="72" s="1"/>
  <c r="BK133" i="59"/>
  <c r="U460" i="72" s="1"/>
  <c r="BR133" i="59"/>
  <c r="AB460" i="72" s="1"/>
  <c r="BL133" i="59"/>
  <c r="V460" i="72" s="1"/>
  <c r="BC133" i="59"/>
  <c r="M460" i="72" s="1"/>
  <c r="BM133" i="59"/>
  <c r="W460" i="72" s="1"/>
  <c r="BS133" i="59"/>
  <c r="AC460" i="72" s="1"/>
  <c r="BN133" i="59"/>
  <c r="X460" i="72" s="1"/>
  <c r="BD133" i="59"/>
  <c r="N460" i="72" s="1"/>
  <c r="AY133" i="59"/>
  <c r="I460" i="72" s="1"/>
  <c r="BT133" i="59"/>
  <c r="AD460" i="72" s="1"/>
  <c r="BO133" i="59"/>
  <c r="Y460" i="72" s="1"/>
  <c r="BE133" i="59"/>
  <c r="O460" i="72" s="1"/>
  <c r="BU133" i="59"/>
  <c r="AE460" i="72" s="1"/>
  <c r="AS128" i="59"/>
  <c r="AG128" i="59"/>
  <c r="BD128" i="59"/>
  <c r="N455" i="72" s="1"/>
  <c r="AF90" i="59"/>
  <c r="AO90" i="59"/>
  <c r="BG90" i="59"/>
  <c r="Q109" i="72" s="1"/>
  <c r="BO90" i="59"/>
  <c r="Y109" i="72" s="1"/>
  <c r="AK129" i="59"/>
  <c r="U436" i="72" s="1"/>
  <c r="AN129" i="59"/>
  <c r="X436" i="72" s="1"/>
  <c r="BJ129" i="59"/>
  <c r="T456" i="72" s="1"/>
  <c r="AN109" i="59"/>
  <c r="X263" i="72" s="1"/>
  <c r="AS109" i="59"/>
  <c r="AC263" i="72" s="1"/>
  <c r="BM109" i="59"/>
  <c r="W283" i="72" s="1"/>
  <c r="AI108" i="59"/>
  <c r="AP108" i="59"/>
  <c r="AY108" i="59"/>
  <c r="I282" i="72" s="1"/>
  <c r="AV89" i="59"/>
  <c r="AF88" i="72" s="1"/>
  <c r="BE89" i="59"/>
  <c r="O108" i="72" s="1"/>
  <c r="BO89" i="59"/>
  <c r="Y108" i="72" s="1"/>
  <c r="AE110" i="59"/>
  <c r="AL110" i="59"/>
  <c r="BS110" i="59"/>
  <c r="AC284" i="72" s="1"/>
  <c r="BG110" i="59"/>
  <c r="Q284" i="72" s="1"/>
  <c r="BF131" i="59"/>
  <c r="P458" i="72" s="1"/>
  <c r="BQ131" i="59"/>
  <c r="AA458" i="72" s="1"/>
  <c r="BV131" i="59"/>
  <c r="AF458" i="72" s="1"/>
  <c r="BR131" i="59"/>
  <c r="AB458" i="72" s="1"/>
  <c r="BG131" i="59"/>
  <c r="Q458" i="72" s="1"/>
  <c r="BS131" i="59"/>
  <c r="AC458" i="72" s="1"/>
  <c r="BW131" i="59"/>
  <c r="AG458" i="72" s="1"/>
  <c r="BC131" i="59"/>
  <c r="M458" i="72" s="1"/>
  <c r="BH131" i="59"/>
  <c r="R458" i="72" s="1"/>
  <c r="BI131" i="59"/>
  <c r="S458" i="72" s="1"/>
  <c r="BJ131" i="59"/>
  <c r="T458" i="72" s="1"/>
  <c r="BK131" i="59"/>
  <c r="U458" i="72" s="1"/>
  <c r="BL131" i="59"/>
  <c r="V458" i="72" s="1"/>
  <c r="BM131" i="59"/>
  <c r="W458" i="72" s="1"/>
  <c r="BN131" i="59"/>
  <c r="X458" i="72" s="1"/>
  <c r="AY131" i="59"/>
  <c r="I458" i="72" s="1"/>
  <c r="BD131" i="59"/>
  <c r="N458" i="72" s="1"/>
  <c r="BO131" i="59"/>
  <c r="Y458" i="72" s="1"/>
  <c r="BT131" i="59"/>
  <c r="AD458" i="72" s="1"/>
  <c r="AZ131" i="59"/>
  <c r="J458" i="72" s="1"/>
  <c r="BB131" i="59"/>
  <c r="L458" i="72" s="1"/>
  <c r="BE131" i="59"/>
  <c r="O458" i="72" s="1"/>
  <c r="BU131" i="59"/>
  <c r="AE458" i="72" s="1"/>
  <c r="BP131" i="59"/>
  <c r="Z458" i="72" s="1"/>
  <c r="BA131" i="59"/>
  <c r="K458" i="72" s="1"/>
  <c r="AM125" i="59"/>
  <c r="W279" i="72" s="1"/>
  <c r="AJ125" i="59"/>
  <c r="T279" i="72" s="1"/>
  <c r="AO125" i="59"/>
  <c r="Y279" i="72" s="1"/>
  <c r="AN125" i="59"/>
  <c r="X279" i="72" s="1"/>
  <c r="AK125" i="59"/>
  <c r="U279" i="72" s="1"/>
  <c r="BQ125" i="59"/>
  <c r="AA299" i="72" s="1"/>
  <c r="AQ125" i="59"/>
  <c r="AA279" i="72" s="1"/>
  <c r="BB125" i="59"/>
  <c r="L299" i="72" s="1"/>
  <c r="AB125" i="59"/>
  <c r="L279" i="72" s="1"/>
  <c r="BR125" i="59"/>
  <c r="AB299" i="72" s="1"/>
  <c r="AR125" i="59"/>
  <c r="AB279" i="72" s="1"/>
  <c r="BC125" i="59"/>
  <c r="M299" i="72" s="1"/>
  <c r="AC125" i="59"/>
  <c r="M279" i="72" s="1"/>
  <c r="BS125" i="59"/>
  <c r="AC299" i="72" s="1"/>
  <c r="AS125" i="59"/>
  <c r="AC279" i="72" s="1"/>
  <c r="BJ125" i="59"/>
  <c r="T299" i="72" s="1"/>
  <c r="BD125" i="59"/>
  <c r="N299" i="72" s="1"/>
  <c r="AD125" i="59"/>
  <c r="N279" i="72" s="1"/>
  <c r="BK125" i="59"/>
  <c r="U299" i="72" s="1"/>
  <c r="BT125" i="59"/>
  <c r="AD299" i="72" s="1"/>
  <c r="AT125" i="59"/>
  <c r="AD279" i="72" s="1"/>
  <c r="BL125" i="59"/>
  <c r="V299" i="72" s="1"/>
  <c r="BE125" i="59"/>
  <c r="O299" i="72" s="1"/>
  <c r="AE125" i="59"/>
  <c r="O279" i="72" s="1"/>
  <c r="BM125" i="59"/>
  <c r="W299" i="72" s="1"/>
  <c r="BU125" i="59"/>
  <c r="AE299" i="72" s="1"/>
  <c r="AU125" i="59"/>
  <c r="AE279" i="72" s="1"/>
  <c r="AI125" i="59"/>
  <c r="S279" i="72" s="1"/>
  <c r="X125" i="59"/>
  <c r="H279" i="72" s="1"/>
  <c r="BF125" i="59"/>
  <c r="P299" i="72" s="1"/>
  <c r="AF125" i="59"/>
  <c r="P279" i="72" s="1"/>
  <c r="BN125" i="59"/>
  <c r="X299" i="72" s="1"/>
  <c r="BV125" i="59"/>
  <c r="AF299" i="72" s="1"/>
  <c r="AV125" i="59"/>
  <c r="AF279" i="72" s="1"/>
  <c r="AY125" i="59"/>
  <c r="I299" i="72" s="1"/>
  <c r="BG125" i="59"/>
  <c r="Q299" i="72" s="1"/>
  <c r="AH125" i="59"/>
  <c r="R279" i="72" s="1"/>
  <c r="BO125" i="59"/>
  <c r="Y299" i="72" s="1"/>
  <c r="BW125" i="59"/>
  <c r="AG299" i="72" s="1"/>
  <c r="BH125" i="59"/>
  <c r="R299" i="72" s="1"/>
  <c r="AL125" i="59"/>
  <c r="V279" i="72" s="1"/>
  <c r="AZ125" i="59"/>
  <c r="J299" i="72" s="1"/>
  <c r="Z125" i="59"/>
  <c r="J279" i="72" s="1"/>
  <c r="BI125" i="59"/>
  <c r="S299" i="72" s="1"/>
  <c r="AW125" i="59"/>
  <c r="AG279" i="72" s="1"/>
  <c r="Y125" i="59"/>
  <c r="I279" i="72" s="1"/>
  <c r="BP125" i="59"/>
  <c r="Z299" i="72" s="1"/>
  <c r="BA125" i="59"/>
  <c r="K299" i="72" s="1"/>
  <c r="AP125" i="59"/>
  <c r="Z279" i="72" s="1"/>
  <c r="AA125" i="59"/>
  <c r="K279" i="72" s="1"/>
  <c r="AG125" i="59"/>
  <c r="Q279" i="72" s="1"/>
  <c r="AR144" i="59"/>
  <c r="AB451" i="72" s="1"/>
  <c r="AB144" i="59"/>
  <c r="L451" i="72" s="1"/>
  <c r="AN144" i="59"/>
  <c r="X451" i="72" s="1"/>
  <c r="AO144" i="59"/>
  <c r="Y451" i="72" s="1"/>
  <c r="Y144" i="59"/>
  <c r="I451" i="72" s="1"/>
  <c r="AI144" i="59"/>
  <c r="S451" i="72" s="1"/>
  <c r="AM144" i="59"/>
  <c r="W451" i="72" s="1"/>
  <c r="AJ144" i="59"/>
  <c r="T451" i="72" s="1"/>
  <c r="AK144" i="59"/>
  <c r="U451" i="72" s="1"/>
  <c r="AC144" i="59"/>
  <c r="M451" i="72" s="1"/>
  <c r="AV144" i="59"/>
  <c r="AF451" i="72" s="1"/>
  <c r="AF144" i="59"/>
  <c r="P451" i="72" s="1"/>
  <c r="AH144" i="59"/>
  <c r="R451" i="72" s="1"/>
  <c r="AU144" i="59"/>
  <c r="AE451" i="72" s="1"/>
  <c r="AE144" i="59"/>
  <c r="O451" i="72" s="1"/>
  <c r="AT144" i="59"/>
  <c r="AD451" i="72" s="1"/>
  <c r="AL144" i="59"/>
  <c r="V451" i="72" s="1"/>
  <c r="BE144" i="59"/>
  <c r="O471" i="72" s="1"/>
  <c r="BU144" i="59"/>
  <c r="AE471" i="72" s="1"/>
  <c r="BF144" i="59"/>
  <c r="P471" i="72" s="1"/>
  <c r="BN144" i="59"/>
  <c r="X471" i="72" s="1"/>
  <c r="BV144" i="59"/>
  <c r="AF471" i="72" s="1"/>
  <c r="AY144" i="59"/>
  <c r="I471" i="72" s="1"/>
  <c r="BH144" i="59"/>
  <c r="R471" i="72" s="1"/>
  <c r="BO144" i="59"/>
  <c r="Y471" i="72" s="1"/>
  <c r="BG144" i="59"/>
  <c r="Q471" i="72" s="1"/>
  <c r="AP144" i="59"/>
  <c r="Z451" i="72" s="1"/>
  <c r="AZ144" i="59"/>
  <c r="J471" i="72" s="1"/>
  <c r="BI144" i="59"/>
  <c r="S471" i="72" s="1"/>
  <c r="Z144" i="59"/>
  <c r="J451" i="72" s="1"/>
  <c r="AW144" i="59"/>
  <c r="AG451" i="72" s="1"/>
  <c r="AD144" i="59"/>
  <c r="N451" i="72" s="1"/>
  <c r="BP144" i="59"/>
  <c r="Z471" i="72" s="1"/>
  <c r="BJ144" i="59"/>
  <c r="T471" i="72" s="1"/>
  <c r="AG144" i="59"/>
  <c r="Q451" i="72" s="1"/>
  <c r="BA144" i="59"/>
  <c r="K471" i="72" s="1"/>
  <c r="BK144" i="59"/>
  <c r="U471" i="72" s="1"/>
  <c r="BQ144" i="59"/>
  <c r="AA471" i="72" s="1"/>
  <c r="BL144" i="59"/>
  <c r="V471" i="72" s="1"/>
  <c r="BB144" i="59"/>
  <c r="L471" i="72" s="1"/>
  <c r="X144" i="59"/>
  <c r="H451" i="72" s="1"/>
  <c r="AQ144" i="59"/>
  <c r="AA451" i="72" s="1"/>
  <c r="BR144" i="59"/>
  <c r="AB471" i="72" s="1"/>
  <c r="BM144" i="59"/>
  <c r="W471" i="72" s="1"/>
  <c r="AA144" i="59"/>
  <c r="K451" i="72" s="1"/>
  <c r="AS144" i="59"/>
  <c r="AC451" i="72" s="1"/>
  <c r="BC144" i="59"/>
  <c r="M471" i="72" s="1"/>
  <c r="BW144" i="59"/>
  <c r="AG471" i="72" s="1"/>
  <c r="BT144" i="59"/>
  <c r="AD471" i="72" s="1"/>
  <c r="BS144" i="59"/>
  <c r="AC471" i="72" s="1"/>
  <c r="BD144" i="59"/>
  <c r="N471" i="72" s="1"/>
  <c r="BN114" i="59"/>
  <c r="X288" i="72" s="1"/>
  <c r="AZ114" i="59"/>
  <c r="J288" i="72" s="1"/>
  <c r="BP114" i="59"/>
  <c r="Z288" i="72" s="1"/>
  <c r="BE114" i="59"/>
  <c r="O288" i="72" s="1"/>
  <c r="BO114" i="59"/>
  <c r="Y288" i="72" s="1"/>
  <c r="BF114" i="59"/>
  <c r="P288" i="72" s="1"/>
  <c r="BQ114" i="59"/>
  <c r="AA288" i="72" s="1"/>
  <c r="BV114" i="59"/>
  <c r="AF288" i="72" s="1"/>
  <c r="BR114" i="59"/>
  <c r="AB288" i="72" s="1"/>
  <c r="BG114" i="59"/>
  <c r="Q288" i="72" s="1"/>
  <c r="BS114" i="59"/>
  <c r="AC288" i="72" s="1"/>
  <c r="BC114" i="59"/>
  <c r="M288" i="72" s="1"/>
  <c r="BW114" i="59"/>
  <c r="AG288" i="72" s="1"/>
  <c r="BT114" i="59"/>
  <c r="AD288" i="72" s="1"/>
  <c r="BU114" i="59"/>
  <c r="AE288" i="72" s="1"/>
  <c r="BD114" i="59"/>
  <c r="N288" i="72" s="1"/>
  <c r="BH114" i="59"/>
  <c r="R288" i="72" s="1"/>
  <c r="AY114" i="59"/>
  <c r="I288" i="72" s="1"/>
  <c r="BI114" i="59"/>
  <c r="S288" i="72" s="1"/>
  <c r="BA114" i="59"/>
  <c r="K288" i="72" s="1"/>
  <c r="BM114" i="59"/>
  <c r="W288" i="72" s="1"/>
  <c r="BJ114" i="59"/>
  <c r="T288" i="72" s="1"/>
  <c r="BB114" i="59"/>
  <c r="L288" i="72" s="1"/>
  <c r="BK114" i="59"/>
  <c r="U288" i="72" s="1"/>
  <c r="BL114" i="59"/>
  <c r="V288" i="72" s="1"/>
  <c r="AR128" i="59"/>
  <c r="AV128" i="59"/>
  <c r="AE90" i="59"/>
  <c r="Y90" i="59"/>
  <c r="BV90" i="59"/>
  <c r="AF109" i="72" s="1"/>
  <c r="AJ129" i="59"/>
  <c r="T436" i="72" s="1"/>
  <c r="AM129" i="59"/>
  <c r="W436" i="72" s="1"/>
  <c r="AM109" i="59"/>
  <c r="W263" i="72" s="1"/>
  <c r="AC109" i="59"/>
  <c r="M263" i="72" s="1"/>
  <c r="AH108" i="59"/>
  <c r="Z108" i="59"/>
  <c r="BV108" i="59"/>
  <c r="AF282" i="72" s="1"/>
  <c r="AF89" i="59"/>
  <c r="P88" i="72" s="1"/>
  <c r="X89" i="59"/>
  <c r="H88" i="72" s="1"/>
  <c r="AT110" i="59"/>
  <c r="AK110" i="59"/>
  <c r="E44" i="24"/>
  <c r="G18" i="24"/>
  <c r="D44" i="24"/>
  <c r="G44" i="24"/>
  <c r="F44" i="24"/>
  <c r="E31" i="24"/>
  <c r="D31" i="24"/>
  <c r="G31" i="24"/>
  <c r="F31" i="24"/>
  <c r="H10" i="61"/>
  <c r="H14" i="61"/>
  <c r="H11" i="61"/>
  <c r="I14" i="61"/>
  <c r="E18" i="24"/>
  <c r="C18" i="24"/>
  <c r="Q12" i="24" s="1"/>
  <c r="F18" i="24"/>
  <c r="D18" i="24"/>
  <c r="C122" i="16"/>
  <c r="C126" i="16"/>
  <c r="C130" i="16"/>
  <c r="C97" i="16"/>
  <c r="C101" i="16"/>
  <c r="C105" i="16"/>
  <c r="C67" i="16"/>
  <c r="C71" i="16"/>
  <c r="C75" i="16"/>
  <c r="H82" i="24"/>
  <c r="Q33" i="24" s="1"/>
  <c r="F31" i="16" s="1"/>
  <c r="E172" i="48" s="1"/>
  <c r="H81" i="24"/>
  <c r="G56" i="24"/>
  <c r="F56" i="24"/>
  <c r="E56" i="24"/>
  <c r="D56" i="24"/>
  <c r="C56" i="24"/>
  <c r="G55" i="24"/>
  <c r="F55" i="24"/>
  <c r="E55" i="24"/>
  <c r="D55" i="24"/>
  <c r="C55" i="24"/>
  <c r="H54" i="24"/>
  <c r="T14" i="24" s="1"/>
  <c r="H53" i="24"/>
  <c r="T13" i="24" s="1"/>
  <c r="H52" i="24"/>
  <c r="T12" i="24" s="1"/>
  <c r="H51" i="24"/>
  <c r="T11" i="24" s="1"/>
  <c r="B51" i="24"/>
  <c r="B52" i="24" s="1"/>
  <c r="B53" i="24" s="1"/>
  <c r="B54" i="24" s="1"/>
  <c r="H50" i="24"/>
  <c r="T10" i="24" s="1"/>
  <c r="Q11" i="24" l="1"/>
  <c r="AA33" i="24"/>
  <c r="AO11" i="73"/>
  <c r="AN11" i="73"/>
  <c r="AN15" i="73" s="1"/>
  <c r="AM15" i="73"/>
  <c r="S397" i="18"/>
  <c r="S433" i="18" s="1"/>
  <c r="S375" i="18"/>
  <c r="S431" i="18" s="1"/>
  <c r="S419" i="18"/>
  <c r="S434" i="18" s="1"/>
  <c r="S287" i="18"/>
  <c r="S425" i="18" s="1"/>
  <c r="L375" i="18"/>
  <c r="L431" i="18" s="1"/>
  <c r="L287" i="18"/>
  <c r="L425" i="18" s="1"/>
  <c r="BY28" i="67"/>
  <c r="CA8" i="67"/>
  <c r="Q51" i="18"/>
  <c r="Q210" i="18" s="1"/>
  <c r="L51" i="18"/>
  <c r="L210" i="18" s="1"/>
  <c r="AG205" i="18"/>
  <c r="AG220" i="18" s="1"/>
  <c r="L501" i="18"/>
  <c r="L638" i="18" s="1"/>
  <c r="Q265" i="18"/>
  <c r="Q424" i="18" s="1"/>
  <c r="AC95" i="18"/>
  <c r="AC213" i="18" s="1"/>
  <c r="Y610" i="18"/>
  <c r="Y646" i="18" s="1"/>
  <c r="Y567" i="18"/>
  <c r="Y643" i="18" s="1"/>
  <c r="AA117" i="18"/>
  <c r="AA214" i="18" s="1"/>
  <c r="AD479" i="18"/>
  <c r="AD637" i="18" s="1"/>
  <c r="P567" i="18"/>
  <c r="P643" i="18" s="1"/>
  <c r="M523" i="18"/>
  <c r="M640" i="18" s="1"/>
  <c r="I331" i="18"/>
  <c r="I428" i="18" s="1"/>
  <c r="I444" i="18" s="1"/>
  <c r="Z610" i="18"/>
  <c r="Z646" i="18" s="1"/>
  <c r="S632" i="18"/>
  <c r="S647" i="18" s="1"/>
  <c r="AG632" i="18"/>
  <c r="AG647" i="18" s="1"/>
  <c r="Q545" i="18"/>
  <c r="Q641" i="18" s="1"/>
  <c r="AE588" i="18"/>
  <c r="AE644" i="18" s="1"/>
  <c r="M479" i="18"/>
  <c r="M637" i="18" s="1"/>
  <c r="R287" i="18"/>
  <c r="R425" i="18" s="1"/>
  <c r="AB479" i="18"/>
  <c r="AB637" i="18" s="1"/>
  <c r="I287" i="18"/>
  <c r="I425" i="18" s="1"/>
  <c r="J51" i="18"/>
  <c r="J210" i="18" s="1"/>
  <c r="AB73" i="18"/>
  <c r="AB211" i="18" s="1"/>
  <c r="M205" i="18"/>
  <c r="M220" i="18" s="1"/>
  <c r="V523" i="18"/>
  <c r="V640" i="18" s="1"/>
  <c r="N51" i="18"/>
  <c r="N210" i="18" s="1"/>
  <c r="AA545" i="18"/>
  <c r="AA641" i="18" s="1"/>
  <c r="Z523" i="18"/>
  <c r="Z640" i="18" s="1"/>
  <c r="I610" i="18"/>
  <c r="I646" i="18" s="1"/>
  <c r="X523" i="18"/>
  <c r="X640" i="18" s="1"/>
  <c r="AG588" i="18"/>
  <c r="AG644" i="18" s="1"/>
  <c r="Q501" i="18"/>
  <c r="Q638" i="18" s="1"/>
  <c r="M610" i="18"/>
  <c r="M646" i="18" s="1"/>
  <c r="R353" i="18"/>
  <c r="R430" i="18" s="1"/>
  <c r="AB545" i="18"/>
  <c r="AB641" i="18" s="1"/>
  <c r="I397" i="18"/>
  <c r="I433" i="18" s="1"/>
  <c r="AB205" i="18"/>
  <c r="AB220" i="18" s="1"/>
  <c r="Z501" i="18"/>
  <c r="Z638" i="18" s="1"/>
  <c r="W545" i="18"/>
  <c r="W641" i="18" s="1"/>
  <c r="S479" i="18"/>
  <c r="S637" i="18" s="1"/>
  <c r="K353" i="18"/>
  <c r="K430" i="18" s="1"/>
  <c r="P95" i="18"/>
  <c r="P213" i="18" s="1"/>
  <c r="I545" i="18"/>
  <c r="I641" i="18" s="1"/>
  <c r="X567" i="18"/>
  <c r="X643" i="18" s="1"/>
  <c r="M501" i="18"/>
  <c r="M638" i="18" s="1"/>
  <c r="I419" i="18"/>
  <c r="I434" i="18" s="1"/>
  <c r="S501" i="18"/>
  <c r="S638" i="18" s="1"/>
  <c r="J523" i="18"/>
  <c r="J640" i="18" s="1"/>
  <c r="L545" i="18"/>
  <c r="L641" i="18" s="1"/>
  <c r="V479" i="18"/>
  <c r="V637" i="18" s="1"/>
  <c r="W632" i="18"/>
  <c r="W647" i="18" s="1"/>
  <c r="S588" i="18"/>
  <c r="S644" i="18" s="1"/>
  <c r="I523" i="18"/>
  <c r="I640" i="18" s="1"/>
  <c r="L610" i="18"/>
  <c r="L646" i="18" s="1"/>
  <c r="AB51" i="18"/>
  <c r="AB210" i="18" s="1"/>
  <c r="Y545" i="18"/>
  <c r="Y641" i="18" s="1"/>
  <c r="BS48" i="67"/>
  <c r="I567" i="18"/>
  <c r="I643" i="18" s="1"/>
  <c r="AG523" i="18"/>
  <c r="AG640" i="18" s="1"/>
  <c r="AE501" i="18"/>
  <c r="AE638" i="18" s="1"/>
  <c r="R397" i="18"/>
  <c r="R433" i="18" s="1"/>
  <c r="AB523" i="18"/>
  <c r="AB640" i="18" s="1"/>
  <c r="J183" i="18"/>
  <c r="J219" i="18" s="1"/>
  <c r="U479" i="18"/>
  <c r="U637" i="18" s="1"/>
  <c r="AA501" i="18"/>
  <c r="AA638" i="18" s="1"/>
  <c r="O139" i="18"/>
  <c r="O216" i="18" s="1"/>
  <c r="AH523" i="18"/>
  <c r="AH640" i="18" s="1"/>
  <c r="K375" i="18"/>
  <c r="K431" i="18" s="1"/>
  <c r="P161" i="18"/>
  <c r="P217" i="18" s="1"/>
  <c r="S161" i="18"/>
  <c r="S217" i="18" s="1"/>
  <c r="J73" i="18"/>
  <c r="J211" i="18" s="1"/>
  <c r="N183" i="18"/>
  <c r="N219" i="18" s="1"/>
  <c r="AA632" i="18"/>
  <c r="AA647" i="18" s="1"/>
  <c r="AB88" i="72"/>
  <c r="CE8" i="67"/>
  <c r="AH501" i="18"/>
  <c r="AH638" i="18" s="1"/>
  <c r="J567" i="18"/>
  <c r="J643" i="18" s="1"/>
  <c r="E164" i="48" a="1"/>
  <c r="E164" i="48" s="1"/>
  <c r="R375" i="18"/>
  <c r="R431" i="18" s="1"/>
  <c r="AB139" i="18"/>
  <c r="AB216" i="18" s="1"/>
  <c r="V632" i="18"/>
  <c r="V647" i="18" s="1"/>
  <c r="AA588" i="18"/>
  <c r="AA644" i="18" s="1"/>
  <c r="Z588" i="18"/>
  <c r="Z644" i="18" s="1"/>
  <c r="AH545" i="18"/>
  <c r="AH641" i="18" s="1"/>
  <c r="P139" i="18"/>
  <c r="P216" i="18" s="1"/>
  <c r="X610" i="18"/>
  <c r="X646" i="18" s="1"/>
  <c r="Q523" i="18"/>
  <c r="Q640" i="18" s="1"/>
  <c r="Q309" i="18"/>
  <c r="Q427" i="18" s="1"/>
  <c r="AB161" i="18"/>
  <c r="AB217" i="18" s="1"/>
  <c r="AA610" i="18"/>
  <c r="AA646" i="18" s="1"/>
  <c r="Z479" i="18"/>
  <c r="Z637" i="18" s="1"/>
  <c r="K287" i="18"/>
  <c r="K425" i="18" s="1"/>
  <c r="K632" i="18"/>
  <c r="K647" i="18" s="1"/>
  <c r="M73" i="18"/>
  <c r="M211" i="18" s="1"/>
  <c r="L95" i="18"/>
  <c r="L213" i="18" s="1"/>
  <c r="W588" i="18"/>
  <c r="W644" i="18" s="1"/>
  <c r="M161" i="18"/>
  <c r="M217" i="18" s="1"/>
  <c r="V610" i="18"/>
  <c r="V646" i="18" s="1"/>
  <c r="Q588" i="18"/>
  <c r="Q644" i="18" s="1"/>
  <c r="AB501" i="18"/>
  <c r="AB638" i="18" s="1"/>
  <c r="J205" i="18"/>
  <c r="J220" i="18" s="1"/>
  <c r="M139" i="18"/>
  <c r="M216" i="18" s="1"/>
  <c r="N139" i="18"/>
  <c r="N216" i="18" s="1"/>
  <c r="W610" i="18"/>
  <c r="W646" i="18" s="1"/>
  <c r="K265" i="18"/>
  <c r="K424" i="18" s="1"/>
  <c r="I501" i="18"/>
  <c r="I638" i="18" s="1"/>
  <c r="K588" i="18"/>
  <c r="K644" i="18" s="1"/>
  <c r="M51" i="18"/>
  <c r="M210" i="18" s="1"/>
  <c r="N117" i="18"/>
  <c r="N214" i="18" s="1"/>
  <c r="AH567" i="18"/>
  <c r="AH643" i="18" s="1"/>
  <c r="P73" i="18"/>
  <c r="P211" i="18" s="1"/>
  <c r="J610" i="18"/>
  <c r="J646" i="18" s="1"/>
  <c r="X588" i="18"/>
  <c r="X644" i="18" s="1"/>
  <c r="Q567" i="18"/>
  <c r="Q643" i="18" s="1"/>
  <c r="Q331" i="18"/>
  <c r="Q428" i="18" s="1"/>
  <c r="Q444" i="18" s="1"/>
  <c r="V545" i="18"/>
  <c r="V641" i="18" s="1"/>
  <c r="N205" i="18"/>
  <c r="N220" i="18" s="1"/>
  <c r="AE117" i="18"/>
  <c r="AE214" i="18" s="1"/>
  <c r="AF501" i="18"/>
  <c r="AF638" i="18" s="1"/>
  <c r="AD501" i="18"/>
  <c r="AD638" i="18" s="1"/>
  <c r="V117" i="18"/>
  <c r="V214" i="18" s="1"/>
  <c r="I95" i="18"/>
  <c r="I213" i="18" s="1"/>
  <c r="J632" i="18"/>
  <c r="J647" i="18" s="1"/>
  <c r="X545" i="18"/>
  <c r="X641" i="18" s="1"/>
  <c r="W501" i="18"/>
  <c r="W638" i="18" s="1"/>
  <c r="AE95" i="18"/>
  <c r="AE213" i="18" s="1"/>
  <c r="AF610" i="18"/>
  <c r="AF646" i="18" s="1"/>
  <c r="AD545" i="18"/>
  <c r="AD641" i="18" s="1"/>
  <c r="V73" i="18"/>
  <c r="V211" i="18" s="1"/>
  <c r="I117" i="18"/>
  <c r="I214" i="18" s="1"/>
  <c r="J588" i="18"/>
  <c r="J644" i="18" s="1"/>
  <c r="L139" i="18"/>
  <c r="L216" i="18" s="1"/>
  <c r="W183" i="18"/>
  <c r="W219" i="18" s="1"/>
  <c r="AF95" i="18"/>
  <c r="AF213" i="18" s="1"/>
  <c r="AD161" i="18"/>
  <c r="AD217" i="18" s="1"/>
  <c r="AC501" i="18"/>
  <c r="AC638" i="18" s="1"/>
  <c r="T479" i="18"/>
  <c r="T637" i="18" s="1"/>
  <c r="AE161" i="18"/>
  <c r="AE217" i="18" s="1"/>
  <c r="AF588" i="18"/>
  <c r="AF644" i="18" s="1"/>
  <c r="V139" i="18"/>
  <c r="V216" i="18" s="1"/>
  <c r="I161" i="18"/>
  <c r="I217" i="18" s="1"/>
  <c r="W51" i="18"/>
  <c r="W210" i="18" s="1"/>
  <c r="AA139" i="18"/>
  <c r="AA216" i="18" s="1"/>
  <c r="Q161" i="18"/>
  <c r="Q217" i="18" s="1"/>
  <c r="AF51" i="18"/>
  <c r="AF210" i="18" s="1"/>
  <c r="T95" i="18"/>
  <c r="T213" i="18" s="1"/>
  <c r="AG183" i="18"/>
  <c r="AG219" i="18" s="1"/>
  <c r="R117" i="18"/>
  <c r="R214" i="18" s="1"/>
  <c r="U117" i="18"/>
  <c r="U214" i="18" s="1"/>
  <c r="AH117" i="18"/>
  <c r="AH214" i="18" s="1"/>
  <c r="Y183" i="18"/>
  <c r="Y219" i="18" s="1"/>
  <c r="X117" i="18"/>
  <c r="X214" i="18" s="1"/>
  <c r="Z117" i="18"/>
  <c r="Z214" i="18" s="1"/>
  <c r="AC183" i="18"/>
  <c r="AC219" i="18" s="1"/>
  <c r="Y479" i="18"/>
  <c r="Y637" i="18" s="1"/>
  <c r="L73" i="18"/>
  <c r="L211" i="18" s="1"/>
  <c r="T523" i="18"/>
  <c r="T640" i="18" s="1"/>
  <c r="BW28" i="67"/>
  <c r="AD139" i="18"/>
  <c r="AD216" i="18" s="1"/>
  <c r="AC479" i="18"/>
  <c r="AC637" i="18" s="1"/>
  <c r="T632" i="18"/>
  <c r="T647" i="18" s="1"/>
  <c r="AE51" i="18"/>
  <c r="AE210" i="18" s="1"/>
  <c r="AF567" i="18"/>
  <c r="AF643" i="18" s="1"/>
  <c r="AD588" i="18"/>
  <c r="AD644" i="18" s="1"/>
  <c r="V95" i="18"/>
  <c r="V213" i="18" s="1"/>
  <c r="I51" i="18"/>
  <c r="I210" i="18" s="1"/>
  <c r="W205" i="18"/>
  <c r="W220" i="18" s="1"/>
  <c r="AA95" i="18"/>
  <c r="AA213" i="18" s="1"/>
  <c r="AD51" i="18"/>
  <c r="AD210" i="18" s="1"/>
  <c r="AC588" i="18"/>
  <c r="AC644" i="18" s="1"/>
  <c r="T567" i="18"/>
  <c r="T643" i="18" s="1"/>
  <c r="R567" i="18"/>
  <c r="R643" i="18" s="1"/>
  <c r="J397" i="18"/>
  <c r="J433" i="18" s="1"/>
  <c r="O523" i="18"/>
  <c r="O640" i="18" s="1"/>
  <c r="N545" i="18"/>
  <c r="N641" i="18" s="1"/>
  <c r="W139" i="18"/>
  <c r="W216" i="18" s="1"/>
  <c r="AC108" i="72"/>
  <c r="CF8" i="67"/>
  <c r="Y632" i="18"/>
  <c r="Y647" i="18" s="1"/>
  <c r="W88" i="72"/>
  <c r="BZ8" i="67"/>
  <c r="Q117" i="18"/>
  <c r="Q214" i="18" s="1"/>
  <c r="L205" i="18"/>
  <c r="L220" i="18" s="1"/>
  <c r="Y117" i="18"/>
  <c r="Y214" i="18" s="1"/>
  <c r="K501" i="18"/>
  <c r="K638" i="18" s="1"/>
  <c r="AA183" i="18"/>
  <c r="AA219" i="18" s="1"/>
  <c r="Q183" i="18"/>
  <c r="Q219" i="18" s="1"/>
  <c r="AG51" i="18"/>
  <c r="AG210" i="18" s="1"/>
  <c r="L588" i="18"/>
  <c r="L644" i="18" s="1"/>
  <c r="Y73" i="18"/>
  <c r="Y211" i="18" s="1"/>
  <c r="Q353" i="18"/>
  <c r="Q430" i="18" s="1"/>
  <c r="K479" i="18"/>
  <c r="K637" i="18" s="1"/>
  <c r="AC117" i="18"/>
  <c r="AC214" i="18" s="1"/>
  <c r="AD183" i="18"/>
  <c r="AD219" i="18" s="1"/>
  <c r="AC632" i="18"/>
  <c r="AC647" i="18" s="1"/>
  <c r="AE73" i="18"/>
  <c r="AE211" i="18" s="1"/>
  <c r="AF479" i="18"/>
  <c r="AF637" i="18" s="1"/>
  <c r="AD632" i="18"/>
  <c r="AD647" i="18" s="1"/>
  <c r="V51" i="18"/>
  <c r="V210" i="18" s="1"/>
  <c r="I139" i="18"/>
  <c r="I216" i="18" s="1"/>
  <c r="T117" i="18"/>
  <c r="T214" i="18" s="1"/>
  <c r="AG139" i="18"/>
  <c r="AG216" i="18" s="1"/>
  <c r="R95" i="18"/>
  <c r="R213" i="18" s="1"/>
  <c r="L479" i="18"/>
  <c r="L637" i="18" s="1"/>
  <c r="Y139" i="18"/>
  <c r="Y216" i="18" s="1"/>
  <c r="Q375" i="18"/>
  <c r="Q431" i="18" s="1"/>
  <c r="K545" i="18"/>
  <c r="K641" i="18" s="1"/>
  <c r="AC205" i="18"/>
  <c r="AC220" i="18" s="1"/>
  <c r="Q10" i="24"/>
  <c r="F8" i="16" s="1"/>
  <c r="O51" i="18"/>
  <c r="O210" i="18" s="1"/>
  <c r="AH632" i="18"/>
  <c r="AH647" i="18" s="1"/>
  <c r="K309" i="18"/>
  <c r="K427" i="18" s="1"/>
  <c r="S51" i="18"/>
  <c r="S210" i="18" s="1"/>
  <c r="P632" i="18"/>
  <c r="P647" i="18" s="1"/>
  <c r="R309" i="18"/>
  <c r="R427" i="18" s="1"/>
  <c r="I309" i="18"/>
  <c r="I427" i="18" s="1"/>
  <c r="AB95" i="18"/>
  <c r="AB213" i="18" s="1"/>
  <c r="M95" i="18"/>
  <c r="M213" i="18" s="1"/>
  <c r="W523" i="18"/>
  <c r="W640" i="18" s="1"/>
  <c r="S610" i="18"/>
  <c r="S646" i="18" s="1"/>
  <c r="AH588" i="18"/>
  <c r="AH644" i="18" s="1"/>
  <c r="K397" i="18"/>
  <c r="K433" i="18" s="1"/>
  <c r="P51" i="18"/>
  <c r="P210" i="18" s="1"/>
  <c r="J501" i="18"/>
  <c r="J638" i="18" s="1"/>
  <c r="AG501" i="18"/>
  <c r="AG638" i="18" s="1"/>
  <c r="Q632" i="18"/>
  <c r="Q647" i="18" s="1"/>
  <c r="AE479" i="18"/>
  <c r="AE637" i="18" s="1"/>
  <c r="M545" i="18"/>
  <c r="M641" i="18" s="1"/>
  <c r="R265" i="18"/>
  <c r="R424" i="18" s="1"/>
  <c r="AB588" i="18"/>
  <c r="AB644" i="18" s="1"/>
  <c r="I375" i="18"/>
  <c r="I431" i="18" s="1"/>
  <c r="J95" i="18"/>
  <c r="J213" i="18" s="1"/>
  <c r="AB117" i="18"/>
  <c r="AB214" i="18" s="1"/>
  <c r="M183" i="18"/>
  <c r="M219" i="18" s="1"/>
  <c r="U588" i="18"/>
  <c r="U644" i="18" s="1"/>
  <c r="AA523" i="18"/>
  <c r="AA640" i="18" s="1"/>
  <c r="Z545" i="18"/>
  <c r="Z641" i="18" s="1"/>
  <c r="W479" i="18"/>
  <c r="W637" i="18" s="1"/>
  <c r="S567" i="18"/>
  <c r="S643" i="18" s="1"/>
  <c r="P183" i="18"/>
  <c r="P219" i="18" s="1"/>
  <c r="AG479" i="18"/>
  <c r="AG637" i="18" s="1"/>
  <c r="AE632" i="18"/>
  <c r="AE647" i="18" s="1"/>
  <c r="M567" i="18"/>
  <c r="M643" i="18" s="1"/>
  <c r="AB632" i="18"/>
  <c r="AB647" i="18" s="1"/>
  <c r="J117" i="18"/>
  <c r="J214" i="18" s="1"/>
  <c r="U567" i="18"/>
  <c r="U643" i="18" s="1"/>
  <c r="AA479" i="18"/>
  <c r="AA637" i="18" s="1"/>
  <c r="Z567" i="18"/>
  <c r="Z643" i="18" s="1"/>
  <c r="F9" i="16"/>
  <c r="S353" i="18"/>
  <c r="S430" i="18" s="1"/>
  <c r="S265" i="18"/>
  <c r="S424" i="18" s="1"/>
  <c r="S309" i="18"/>
  <c r="S427" i="18" s="1"/>
  <c r="S331" i="18"/>
  <c r="S428" i="18" s="1"/>
  <c r="S444" i="18" s="1"/>
  <c r="W567" i="18"/>
  <c r="W643" i="18" s="1"/>
  <c r="S545" i="18"/>
  <c r="S641" i="18" s="1"/>
  <c r="AH610" i="18"/>
  <c r="AH646" i="18" s="1"/>
  <c r="K419" i="18"/>
  <c r="K434" i="18" s="1"/>
  <c r="P205" i="18"/>
  <c r="P220" i="18" s="1"/>
  <c r="J545" i="18"/>
  <c r="J641" i="18" s="1"/>
  <c r="I479" i="18"/>
  <c r="I637" i="18" s="1"/>
  <c r="X632" i="18"/>
  <c r="X647" i="18" s="1"/>
  <c r="AG567" i="18"/>
  <c r="AG643" i="18" s="1"/>
  <c r="Q610" i="18"/>
  <c r="Q646" i="18" s="1"/>
  <c r="AE567" i="18"/>
  <c r="AE643" i="18" s="1"/>
  <c r="M588" i="18"/>
  <c r="M644" i="18" s="1"/>
  <c r="R419" i="18"/>
  <c r="R434" i="18" s="1"/>
  <c r="AB567" i="18"/>
  <c r="AB643" i="18" s="1"/>
  <c r="I265" i="18"/>
  <c r="I424" i="18" s="1"/>
  <c r="J161" i="18"/>
  <c r="J217" i="18" s="1"/>
  <c r="AB183" i="18"/>
  <c r="AB219" i="18" s="1"/>
  <c r="M117" i="18"/>
  <c r="M214" i="18" s="1"/>
  <c r="U501" i="18"/>
  <c r="U638" i="18" s="1"/>
  <c r="AA567" i="18"/>
  <c r="AA643" i="18" s="1"/>
  <c r="Z632" i="18"/>
  <c r="Z647" i="18" s="1"/>
  <c r="AD95" i="18"/>
  <c r="AD213" i="18" s="1"/>
  <c r="AC610" i="18"/>
  <c r="AC646" i="18" s="1"/>
  <c r="AE139" i="18"/>
  <c r="AE216" i="18" s="1"/>
  <c r="AF545" i="18"/>
  <c r="AF641" i="18" s="1"/>
  <c r="AD523" i="18"/>
  <c r="AD640" i="18" s="1"/>
  <c r="V183" i="18"/>
  <c r="V219" i="18" s="1"/>
  <c r="I205" i="18"/>
  <c r="I220" i="18" s="1"/>
  <c r="J479" i="18"/>
  <c r="J637" i="18" s="1"/>
  <c r="I588" i="18"/>
  <c r="I644" i="18" s="1"/>
  <c r="X501" i="18"/>
  <c r="X638" i="18" s="1"/>
  <c r="Q479" i="18"/>
  <c r="Q637" i="18" s="1"/>
  <c r="L523" i="18"/>
  <c r="L640" i="18" s="1"/>
  <c r="Q397" i="18"/>
  <c r="Q433" i="18" s="1"/>
  <c r="K523" i="18"/>
  <c r="K640" i="18" s="1"/>
  <c r="V567" i="18"/>
  <c r="V643" i="18" s="1"/>
  <c r="N95" i="18"/>
  <c r="N213" i="18" s="1"/>
  <c r="Y523" i="18"/>
  <c r="Y640" i="18" s="1"/>
  <c r="L117" i="18"/>
  <c r="L214" i="18" s="1"/>
  <c r="AD117" i="18"/>
  <c r="AD214" i="18" s="1"/>
  <c r="AC523" i="18"/>
  <c r="AC640" i="18" s="1"/>
  <c r="T501" i="18"/>
  <c r="T638" i="18" s="1"/>
  <c r="AE183" i="18"/>
  <c r="AE219" i="18" s="1"/>
  <c r="AF632" i="18"/>
  <c r="AF647" i="18" s="1"/>
  <c r="AD610" i="18"/>
  <c r="AD646" i="18" s="1"/>
  <c r="V205" i="18"/>
  <c r="V220" i="18" s="1"/>
  <c r="I183" i="18"/>
  <c r="I219" i="18" s="1"/>
  <c r="W95" i="18"/>
  <c r="W213" i="18" s="1"/>
  <c r="I632" i="18"/>
  <c r="I647" i="18" s="1"/>
  <c r="X479" i="18"/>
  <c r="X637" i="18" s="1"/>
  <c r="AG95" i="18"/>
  <c r="AG213" i="18" s="1"/>
  <c r="L567" i="18"/>
  <c r="L643" i="18" s="1"/>
  <c r="Y95" i="18"/>
  <c r="Y213" i="18" s="1"/>
  <c r="Q287" i="18"/>
  <c r="Q425" i="18" s="1"/>
  <c r="K610" i="18"/>
  <c r="K646" i="18" s="1"/>
  <c r="V501" i="18"/>
  <c r="V638" i="18" s="1"/>
  <c r="N73" i="18"/>
  <c r="N211" i="18" s="1"/>
  <c r="Y501" i="18"/>
  <c r="Y638" i="18" s="1"/>
  <c r="L161" i="18"/>
  <c r="L217" i="18" s="1"/>
  <c r="AD205" i="18"/>
  <c r="AD220" i="18" s="1"/>
  <c r="AC545" i="18"/>
  <c r="AC641" i="18" s="1"/>
  <c r="T545" i="18"/>
  <c r="T641" i="18" s="1"/>
  <c r="AE205" i="18"/>
  <c r="AE220" i="18" s="1"/>
  <c r="AF523" i="18"/>
  <c r="AF640" i="18" s="1"/>
  <c r="AD567" i="18"/>
  <c r="AD643" i="18" s="1"/>
  <c r="V161" i="18"/>
  <c r="V217" i="18" s="1"/>
  <c r="I73" i="18"/>
  <c r="I211" i="18" s="1"/>
  <c r="W117" i="18"/>
  <c r="W214" i="18" s="1"/>
  <c r="AA205" i="18"/>
  <c r="AA220" i="18" s="1"/>
  <c r="Q95" i="18"/>
  <c r="Q213" i="18" s="1"/>
  <c r="AG117" i="18"/>
  <c r="AG214" i="18" s="1"/>
  <c r="L632" i="18"/>
  <c r="L647" i="18" s="1"/>
  <c r="Y161" i="18"/>
  <c r="Y217" i="18" s="1"/>
  <c r="Q419" i="18"/>
  <c r="Q434" i="18" s="1"/>
  <c r="K567" i="18"/>
  <c r="K643" i="18" s="1"/>
  <c r="V588" i="18"/>
  <c r="V644" i="18" s="1"/>
  <c r="N161" i="18"/>
  <c r="N217" i="18" s="1"/>
  <c r="Y588" i="18"/>
  <c r="Y644" i="18" s="1"/>
  <c r="L183" i="18"/>
  <c r="L219" i="18" s="1"/>
  <c r="AD73" i="18"/>
  <c r="AD211" i="18" s="1"/>
  <c r="AC567" i="18"/>
  <c r="AC643" i="18" s="1"/>
  <c r="T588" i="18"/>
  <c r="T644" i="18" s="1"/>
  <c r="R523" i="18"/>
  <c r="R640" i="18" s="1"/>
  <c r="J353" i="18"/>
  <c r="J430" i="18" s="1"/>
  <c r="O545" i="18"/>
  <c r="O641" i="18" s="1"/>
  <c r="N567" i="18"/>
  <c r="N643" i="18" s="1"/>
  <c r="W161" i="18"/>
  <c r="W217" i="18" s="1"/>
  <c r="AA161" i="18"/>
  <c r="AA217" i="18" s="1"/>
  <c r="Q205" i="18"/>
  <c r="Q220" i="18" s="1"/>
  <c r="AF205" i="18"/>
  <c r="AF220" i="18" s="1"/>
  <c r="T183" i="18"/>
  <c r="T219" i="18" s="1"/>
  <c r="AG161" i="18"/>
  <c r="AG217" i="18" s="1"/>
  <c r="R73" i="18"/>
  <c r="R211" i="18" s="1"/>
  <c r="U161" i="18"/>
  <c r="U217" i="18" s="1"/>
  <c r="AH205" i="18"/>
  <c r="AH220" i="18" s="1"/>
  <c r="Y205" i="18"/>
  <c r="Y220" i="18" s="1"/>
  <c r="X183" i="18"/>
  <c r="X219" i="18" s="1"/>
  <c r="Z95" i="18"/>
  <c r="Z213" i="18" s="1"/>
  <c r="AC161" i="18"/>
  <c r="AC217" i="18" s="1"/>
  <c r="K183" i="18"/>
  <c r="K219" i="18" s="1"/>
  <c r="T610" i="18"/>
  <c r="T646" i="18" s="1"/>
  <c r="R545" i="18"/>
  <c r="R641" i="18" s="1"/>
  <c r="J287" i="18"/>
  <c r="J425" i="18" s="1"/>
  <c r="O610" i="18"/>
  <c r="O646" i="18" s="1"/>
  <c r="N523" i="18"/>
  <c r="N640" i="18" s="1"/>
  <c r="W73" i="18"/>
  <c r="W211" i="18" s="1"/>
  <c r="AA73" i="18"/>
  <c r="AA211" i="18" s="1"/>
  <c r="Q73" i="18"/>
  <c r="Q211" i="18" s="1"/>
  <c r="AF117" i="18"/>
  <c r="AF214" i="18" s="1"/>
  <c r="T139" i="18"/>
  <c r="T216" i="18" s="1"/>
  <c r="AG73" i="18"/>
  <c r="AG211" i="18" s="1"/>
  <c r="R51" i="18"/>
  <c r="R210" i="18" s="1"/>
  <c r="U205" i="18"/>
  <c r="U220" i="18" s="1"/>
  <c r="AH161" i="18"/>
  <c r="AH217" i="18" s="1"/>
  <c r="Y51" i="18"/>
  <c r="Y210" i="18" s="1"/>
  <c r="X205" i="18"/>
  <c r="X220" i="18" s="1"/>
  <c r="Z183" i="18"/>
  <c r="Z219" i="18" s="1"/>
  <c r="AC139" i="18"/>
  <c r="AC216" i="18" s="1"/>
  <c r="K117" i="18"/>
  <c r="K214" i="18" s="1"/>
  <c r="O183" i="18"/>
  <c r="O219" i="18" s="1"/>
  <c r="R610" i="18"/>
  <c r="R646" i="18" s="1"/>
  <c r="J419" i="18"/>
  <c r="J434" i="18" s="1"/>
  <c r="O479" i="18"/>
  <c r="O637" i="18" s="1"/>
  <c r="N610" i="18"/>
  <c r="N646" i="18" s="1"/>
  <c r="S117" i="18"/>
  <c r="S214" i="18" s="1"/>
  <c r="AA51" i="18"/>
  <c r="AA210" i="18" s="1"/>
  <c r="Q139" i="18"/>
  <c r="Q216" i="18" s="1"/>
  <c r="AF183" i="18"/>
  <c r="AF219" i="18" s="1"/>
  <c r="T205" i="18"/>
  <c r="T220" i="18" s="1"/>
  <c r="P545" i="18"/>
  <c r="P641" i="18" s="1"/>
  <c r="R205" i="18"/>
  <c r="R220" i="18" s="1"/>
  <c r="U95" i="18"/>
  <c r="U213" i="18" s="1"/>
  <c r="AH183" i="18"/>
  <c r="AH219" i="18" s="1"/>
  <c r="X161" i="18"/>
  <c r="X217" i="18" s="1"/>
  <c r="Z161" i="18"/>
  <c r="Z217" i="18" s="1"/>
  <c r="AC73" i="18"/>
  <c r="AC211" i="18" s="1"/>
  <c r="K205" i="18"/>
  <c r="K220" i="18" s="1"/>
  <c r="O117" i="18"/>
  <c r="O214" i="18" s="1"/>
  <c r="R588" i="18"/>
  <c r="R644" i="18" s="1"/>
  <c r="J309" i="18"/>
  <c r="J427" i="18" s="1"/>
  <c r="O632" i="18"/>
  <c r="O647" i="18" s="1"/>
  <c r="N632" i="18"/>
  <c r="N647" i="18" s="1"/>
  <c r="S73" i="18"/>
  <c r="S211" i="18" s="1"/>
  <c r="AF161" i="18"/>
  <c r="AF217" i="18" s="1"/>
  <c r="T51" i="18"/>
  <c r="T210" i="18" s="1"/>
  <c r="P610" i="18"/>
  <c r="P646" i="18" s="1"/>
  <c r="R139" i="18"/>
  <c r="R216" i="18" s="1"/>
  <c r="U183" i="18"/>
  <c r="U219" i="18" s="1"/>
  <c r="AH139" i="18"/>
  <c r="AH216" i="18" s="1"/>
  <c r="X95" i="18"/>
  <c r="X213" i="18" s="1"/>
  <c r="Z73" i="18"/>
  <c r="Z211" i="18" s="1"/>
  <c r="AC51" i="18"/>
  <c r="AC210" i="18" s="1"/>
  <c r="K95" i="18"/>
  <c r="K213" i="18" s="1"/>
  <c r="L353" i="18"/>
  <c r="L430" i="18" s="1"/>
  <c r="L265" i="18"/>
  <c r="L424" i="18" s="1"/>
  <c r="L419" i="18"/>
  <c r="L434" i="18" s="1"/>
  <c r="L397" i="18"/>
  <c r="L433" i="18" s="1"/>
  <c r="L331" i="18"/>
  <c r="L428" i="18" s="1"/>
  <c r="L444" i="18" s="1"/>
  <c r="L309" i="18"/>
  <c r="L427" i="18" s="1"/>
  <c r="O95" i="18"/>
  <c r="O213" i="18" s="1"/>
  <c r="R632" i="18"/>
  <c r="R647" i="18" s="1"/>
  <c r="J375" i="18"/>
  <c r="J431" i="18" s="1"/>
  <c r="O588" i="18"/>
  <c r="O644" i="18" s="1"/>
  <c r="N479" i="18"/>
  <c r="N637" i="18" s="1"/>
  <c r="S95" i="18"/>
  <c r="S213" i="18" s="1"/>
  <c r="AF139" i="18"/>
  <c r="AF216" i="18" s="1"/>
  <c r="T73" i="18"/>
  <c r="T211" i="18" s="1"/>
  <c r="P523" i="18"/>
  <c r="P640" i="18" s="1"/>
  <c r="R183" i="18"/>
  <c r="R219" i="18" s="1"/>
  <c r="U73" i="18"/>
  <c r="U211" i="18" s="1"/>
  <c r="AH73" i="18"/>
  <c r="AH211" i="18" s="1"/>
  <c r="X73" i="18"/>
  <c r="X211" i="18" s="1"/>
  <c r="Z205" i="18"/>
  <c r="Z220" i="18" s="1"/>
  <c r="U545" i="18"/>
  <c r="U641" i="18" s="1"/>
  <c r="K139" i="18"/>
  <c r="K216" i="18" s="1"/>
  <c r="O73" i="18"/>
  <c r="O211" i="18" s="1"/>
  <c r="R501" i="18"/>
  <c r="R638" i="18" s="1"/>
  <c r="J265" i="18"/>
  <c r="J424" i="18" s="1"/>
  <c r="O567" i="18"/>
  <c r="O643" i="18" s="1"/>
  <c r="N588" i="18"/>
  <c r="N644" i="18" s="1"/>
  <c r="S183" i="18"/>
  <c r="S219" i="18" s="1"/>
  <c r="AF73" i="18"/>
  <c r="AF211" i="18" s="1"/>
  <c r="T161" i="18"/>
  <c r="T217" i="18" s="1"/>
  <c r="P588" i="18"/>
  <c r="P644" i="18" s="1"/>
  <c r="AE545" i="18"/>
  <c r="AE641" i="18" s="1"/>
  <c r="R161" i="18"/>
  <c r="R217" i="18" s="1"/>
  <c r="U51" i="18"/>
  <c r="U210" i="18" s="1"/>
  <c r="AH95" i="18"/>
  <c r="AH213" i="18" s="1"/>
  <c r="X139" i="18"/>
  <c r="X216" i="18" s="1"/>
  <c r="Z139" i="18"/>
  <c r="Z216" i="18" s="1"/>
  <c r="U523" i="18"/>
  <c r="U640" i="18" s="1"/>
  <c r="K51" i="18"/>
  <c r="K210" i="18" s="1"/>
  <c r="O161" i="18"/>
  <c r="O217" i="18" s="1"/>
  <c r="R479" i="18"/>
  <c r="R637" i="18" s="1"/>
  <c r="J331" i="18"/>
  <c r="J428" i="18" s="1"/>
  <c r="J444" i="18" s="1"/>
  <c r="O501" i="18"/>
  <c r="O638" i="18" s="1"/>
  <c r="N501" i="18"/>
  <c r="N638" i="18" s="1"/>
  <c r="S205" i="18"/>
  <c r="S220" i="18" s="1"/>
  <c r="AG545" i="18"/>
  <c r="AG641" i="18" s="1"/>
  <c r="P501" i="18"/>
  <c r="P638" i="18" s="1"/>
  <c r="AE610" i="18"/>
  <c r="AE646" i="18" s="1"/>
  <c r="U139" i="18"/>
  <c r="U216" i="18" s="1"/>
  <c r="AH51" i="18"/>
  <c r="AH210" i="18" s="1"/>
  <c r="X51" i="18"/>
  <c r="X210" i="18" s="1"/>
  <c r="Z51" i="18"/>
  <c r="Z210" i="18" s="1"/>
  <c r="U610" i="18"/>
  <c r="U646" i="18" s="1"/>
  <c r="K73" i="18"/>
  <c r="K211" i="18" s="1"/>
  <c r="O205" i="18"/>
  <c r="O220" i="18" s="1"/>
  <c r="S523" i="18"/>
  <c r="S640" i="18" s="1"/>
  <c r="AH479" i="18"/>
  <c r="AH637" i="18" s="1"/>
  <c r="K331" i="18"/>
  <c r="K428" i="18" s="1"/>
  <c r="K444" i="18" s="1"/>
  <c r="P117" i="18"/>
  <c r="P214" i="18" s="1"/>
  <c r="S139" i="18"/>
  <c r="S216" i="18" s="1"/>
  <c r="AG610" i="18"/>
  <c r="AG646" i="18" s="1"/>
  <c r="P479" i="18"/>
  <c r="P637" i="18" s="1"/>
  <c r="AE523" i="18"/>
  <c r="AE640" i="18" s="1"/>
  <c r="M632" i="18"/>
  <c r="M647" i="18" s="1"/>
  <c r="R331" i="18"/>
  <c r="R428" i="18" s="1"/>
  <c r="R444" i="18" s="1"/>
  <c r="AB610" i="18"/>
  <c r="AB646" i="18" s="1"/>
  <c r="I353" i="18"/>
  <c r="I430" i="18" s="1"/>
  <c r="J139" i="18"/>
  <c r="J216" i="18" s="1"/>
  <c r="U632" i="18"/>
  <c r="U647" i="18" s="1"/>
  <c r="K161" i="18"/>
  <c r="K217" i="18" s="1"/>
  <c r="BX28" i="67"/>
  <c r="CA43" i="67"/>
  <c r="BV28" i="67"/>
  <c r="BU28" i="67"/>
  <c r="BQ8" i="67"/>
  <c r="CI48" i="67"/>
  <c r="BN48" i="67"/>
  <c r="BO28" i="67"/>
  <c r="CE28" i="67"/>
  <c r="Y268" i="72"/>
  <c r="CB33" i="67"/>
  <c r="K438" i="72"/>
  <c r="BN50" i="67"/>
  <c r="W268" i="72"/>
  <c r="BZ33" i="67"/>
  <c r="AF268" i="72"/>
  <c r="CI33" i="67"/>
  <c r="X438" i="72"/>
  <c r="CA50" i="67"/>
  <c r="AE438" i="72"/>
  <c r="CH50" i="67"/>
  <c r="AC438" i="72"/>
  <c r="CF50" i="67"/>
  <c r="AC435" i="72"/>
  <c r="CF47" i="67"/>
  <c r="AC440" i="72"/>
  <c r="CF52" i="67"/>
  <c r="AF444" i="72"/>
  <c r="CI56" i="67"/>
  <c r="Y444" i="72"/>
  <c r="CB56" i="67"/>
  <c r="Z269" i="72"/>
  <c r="CC34" i="67"/>
  <c r="X269" i="72"/>
  <c r="CA34" i="67"/>
  <c r="AE264" i="72"/>
  <c r="CH29" i="67"/>
  <c r="Q89" i="72"/>
  <c r="BT9" i="67"/>
  <c r="X97" i="72"/>
  <c r="CA17" i="67"/>
  <c r="R435" i="72"/>
  <c r="BU47" i="67"/>
  <c r="K267" i="72"/>
  <c r="BN32" i="67"/>
  <c r="AF267" i="72"/>
  <c r="CI32" i="67"/>
  <c r="N267" i="72"/>
  <c r="BQ32" i="67"/>
  <c r="L445" i="72"/>
  <c r="BO57" i="67"/>
  <c r="U445" i="72"/>
  <c r="BX57" i="67"/>
  <c r="AG441" i="72"/>
  <c r="CJ53" i="67"/>
  <c r="K91" i="48" s="1"/>
  <c r="AA441" i="72"/>
  <c r="CD53" i="67"/>
  <c r="AE265" i="72"/>
  <c r="CH30" i="67"/>
  <c r="K265" i="72"/>
  <c r="BN30" i="67"/>
  <c r="V92" i="72"/>
  <c r="BY12" i="67"/>
  <c r="J270" i="72"/>
  <c r="BM35" i="67"/>
  <c r="W270" i="72"/>
  <c r="BZ35" i="67"/>
  <c r="R270" i="72"/>
  <c r="BU35" i="67"/>
  <c r="AE442" i="72"/>
  <c r="CH54" i="67"/>
  <c r="J96" i="72"/>
  <c r="BM16" i="67"/>
  <c r="N273" i="72"/>
  <c r="BQ38" i="67"/>
  <c r="AG273" i="72"/>
  <c r="CJ38" i="67"/>
  <c r="I96" i="48" s="1"/>
  <c r="AF89" i="72"/>
  <c r="CI9" i="67"/>
  <c r="Q94" i="72"/>
  <c r="BT14" i="67"/>
  <c r="I94" i="72"/>
  <c r="BL14" i="67"/>
  <c r="I447" i="72"/>
  <c r="BL59" i="67"/>
  <c r="Z93" i="72"/>
  <c r="CC13" i="67"/>
  <c r="S93" i="72"/>
  <c r="BV13" i="67"/>
  <c r="R266" i="72"/>
  <c r="BU31" i="67"/>
  <c r="T271" i="72"/>
  <c r="BW36" i="67"/>
  <c r="R271" i="72"/>
  <c r="BU36" i="67"/>
  <c r="H271" i="72"/>
  <c r="BK36" i="67"/>
  <c r="H94" i="48" s="1"/>
  <c r="X446" i="72"/>
  <c r="CA58" i="67"/>
  <c r="Y437" i="72"/>
  <c r="CB49" i="67"/>
  <c r="W437" i="72"/>
  <c r="BZ49" i="67"/>
  <c r="X435" i="72"/>
  <c r="CA47" i="67"/>
  <c r="U87" i="72"/>
  <c r="BX7" i="67"/>
  <c r="AC264" i="72"/>
  <c r="CF29" i="67"/>
  <c r="AG443" i="72"/>
  <c r="CJ55" i="67"/>
  <c r="K93" i="48" s="1"/>
  <c r="M90" i="72"/>
  <c r="BP10" i="67"/>
  <c r="Y90" i="72"/>
  <c r="CB10" i="67"/>
  <c r="R95" i="72"/>
  <c r="BU15" i="67"/>
  <c r="P91" i="72"/>
  <c r="BS11" i="67"/>
  <c r="R91" i="72"/>
  <c r="BU11" i="67"/>
  <c r="W98" i="72"/>
  <c r="BZ18" i="67"/>
  <c r="AC98" i="72"/>
  <c r="CF18" i="67"/>
  <c r="CE65" i="67"/>
  <c r="BP28" i="67"/>
  <c r="CE21" i="67"/>
  <c r="CJ8" i="67"/>
  <c r="G86" i="48" s="1"/>
  <c r="BW46" i="67"/>
  <c r="BV65" i="67"/>
  <c r="BU23" i="67"/>
  <c r="BQ41" i="67"/>
  <c r="CG23" i="67"/>
  <c r="BS40" i="67"/>
  <c r="BU65" i="67"/>
  <c r="BV23" i="67"/>
  <c r="BY40" i="67"/>
  <c r="CI45" i="67"/>
  <c r="BU8" i="67"/>
  <c r="CF26" i="67"/>
  <c r="BN21" i="67"/>
  <c r="BR8" i="67"/>
  <c r="CI65" i="67"/>
  <c r="BT28" i="67"/>
  <c r="BV40" i="67"/>
  <c r="BY8" i="67"/>
  <c r="CF43" i="67"/>
  <c r="CH48" i="67"/>
  <c r="CB20" i="67"/>
  <c r="BY65" i="67"/>
  <c r="BZ28" i="67"/>
  <c r="BT8" i="67"/>
  <c r="BW63" i="67"/>
  <c r="CE40" i="67"/>
  <c r="BO43" i="67"/>
  <c r="BQ48" i="67"/>
  <c r="BX21" i="67"/>
  <c r="BX8" i="67"/>
  <c r="BY21" i="67"/>
  <c r="CC43" i="67"/>
  <c r="CI63" i="67"/>
  <c r="BY25" i="67"/>
  <c r="Z262" i="72"/>
  <c r="CC27" i="67"/>
  <c r="Y438" i="72"/>
  <c r="CB50" i="67"/>
  <c r="J438" i="72"/>
  <c r="BM50" i="67"/>
  <c r="M440" i="72"/>
  <c r="BP52" i="67"/>
  <c r="Y440" i="72"/>
  <c r="CB52" i="67"/>
  <c r="I440" i="72"/>
  <c r="BL52" i="67"/>
  <c r="I444" i="72"/>
  <c r="BL56" i="67"/>
  <c r="P97" i="72"/>
  <c r="BS17" i="67"/>
  <c r="J97" i="72"/>
  <c r="BM17" i="67"/>
  <c r="I435" i="72"/>
  <c r="BL47" i="67"/>
  <c r="X267" i="72"/>
  <c r="CA32" i="67"/>
  <c r="P445" i="72"/>
  <c r="BS57" i="67"/>
  <c r="W441" i="72"/>
  <c r="BZ53" i="67"/>
  <c r="T264" i="72"/>
  <c r="BW29" i="67"/>
  <c r="M265" i="72"/>
  <c r="BP30" i="67"/>
  <c r="AA92" i="72"/>
  <c r="CD12" i="67"/>
  <c r="M92" i="72"/>
  <c r="BP12" i="67"/>
  <c r="K270" i="72"/>
  <c r="BN35" i="67"/>
  <c r="L270" i="72"/>
  <c r="BO35" i="67"/>
  <c r="H264" i="72"/>
  <c r="BK29" i="67"/>
  <c r="H87" i="48" s="1"/>
  <c r="AD89" i="72"/>
  <c r="CG9" i="67"/>
  <c r="H442" i="72"/>
  <c r="BK54" i="67"/>
  <c r="J92" i="48" s="1"/>
  <c r="AC442" i="72"/>
  <c r="CF54" i="67"/>
  <c r="O96" i="72"/>
  <c r="BR16" i="67"/>
  <c r="T96" i="72"/>
  <c r="BW16" i="67"/>
  <c r="AB273" i="72"/>
  <c r="CE38" i="67"/>
  <c r="V273" i="72"/>
  <c r="BY38" i="67"/>
  <c r="P94" i="72"/>
  <c r="BS14" i="67"/>
  <c r="H94" i="72"/>
  <c r="BK14" i="67"/>
  <c r="F92" i="48" s="1"/>
  <c r="Y447" i="72"/>
  <c r="CB59" i="67"/>
  <c r="Y93" i="72"/>
  <c r="CB13" i="67"/>
  <c r="R93" i="72"/>
  <c r="BU13" i="67"/>
  <c r="AD272" i="72"/>
  <c r="CG37" i="67"/>
  <c r="W435" i="72"/>
  <c r="BZ47" i="67"/>
  <c r="U266" i="72"/>
  <c r="BX31" i="67"/>
  <c r="S271" i="72"/>
  <c r="BV36" i="67"/>
  <c r="M271" i="72"/>
  <c r="BP36" i="67"/>
  <c r="Q446" i="72"/>
  <c r="BT58" i="67"/>
  <c r="AF446" i="72"/>
  <c r="CI58" i="67"/>
  <c r="U437" i="72"/>
  <c r="BX49" i="67"/>
  <c r="S437" i="72"/>
  <c r="BV49" i="67"/>
  <c r="Y262" i="72"/>
  <c r="CB27" i="67"/>
  <c r="Z435" i="72"/>
  <c r="CC47" i="67"/>
  <c r="I443" i="72"/>
  <c r="BL55" i="67"/>
  <c r="AB443" i="72"/>
  <c r="CE55" i="67"/>
  <c r="AB90" i="72"/>
  <c r="CE10" i="67"/>
  <c r="I95" i="72"/>
  <c r="BL15" i="67"/>
  <c r="V95" i="72"/>
  <c r="BY15" i="67"/>
  <c r="W91" i="72"/>
  <c r="BZ11" i="67"/>
  <c r="Y98" i="72"/>
  <c r="CB18" i="67"/>
  <c r="W439" i="72"/>
  <c r="BZ51" i="67"/>
  <c r="L439" i="72"/>
  <c r="BO51" i="67"/>
  <c r="BZ60" i="67"/>
  <c r="BO24" i="67"/>
  <c r="CJ21" i="67"/>
  <c r="G99" i="48" s="1"/>
  <c r="CF20" i="67"/>
  <c r="BN46" i="67"/>
  <c r="CD65" i="67"/>
  <c r="BP24" i="67"/>
  <c r="BM41" i="67"/>
  <c r="CF24" i="67"/>
  <c r="BR20" i="67"/>
  <c r="CB65" i="67"/>
  <c r="BN28" i="67"/>
  <c r="CF25" i="67"/>
  <c r="AA435" i="72"/>
  <c r="CD47" i="67"/>
  <c r="CD45" i="67"/>
  <c r="CD20" i="67"/>
  <c r="CD66" i="67"/>
  <c r="BT45" i="67"/>
  <c r="BM8" i="67"/>
  <c r="BK65" i="67"/>
  <c r="J103" i="48" s="1"/>
  <c r="CB28" i="67"/>
  <c r="BO26" i="67"/>
  <c r="BV43" i="67"/>
  <c r="BZ48" i="67"/>
  <c r="CJ24" i="67"/>
  <c r="G102" i="48" s="1"/>
  <c r="CH60" i="67"/>
  <c r="CI24" i="67"/>
  <c r="CG61" i="67"/>
  <c r="BM63" i="67"/>
  <c r="BL20" i="67"/>
  <c r="BT43" i="67"/>
  <c r="BW25" i="67"/>
  <c r="BR21" i="67"/>
  <c r="BS20" i="67"/>
  <c r="CH21" i="67"/>
  <c r="CF64" i="67"/>
  <c r="CG63" i="67"/>
  <c r="BS25" i="67"/>
  <c r="R445" i="72"/>
  <c r="BU57" i="67"/>
  <c r="R265" i="72"/>
  <c r="BU30" i="67"/>
  <c r="P92" i="72"/>
  <c r="BS12" i="67"/>
  <c r="O270" i="72"/>
  <c r="BR35" i="67"/>
  <c r="AG264" i="72"/>
  <c r="CJ29" i="67"/>
  <c r="I87" i="48" s="1"/>
  <c r="AD442" i="72"/>
  <c r="CG54" i="67"/>
  <c r="P442" i="72"/>
  <c r="BS54" i="67"/>
  <c r="AC96" i="72"/>
  <c r="CF16" i="67"/>
  <c r="W96" i="72"/>
  <c r="BZ16" i="67"/>
  <c r="AC273" i="72"/>
  <c r="CF38" i="67"/>
  <c r="Q273" i="72"/>
  <c r="BT38" i="67"/>
  <c r="U435" i="72"/>
  <c r="BX47" i="67"/>
  <c r="O94" i="72"/>
  <c r="BR14" i="67"/>
  <c r="X94" i="72"/>
  <c r="CA14" i="67"/>
  <c r="V447" i="72"/>
  <c r="BY59" i="67"/>
  <c r="X93" i="72"/>
  <c r="CA13" i="67"/>
  <c r="AG93" i="72"/>
  <c r="CJ13" i="67"/>
  <c r="G91" i="48" s="1"/>
  <c r="L272" i="72"/>
  <c r="BO37" i="67"/>
  <c r="Q272" i="72"/>
  <c r="BT37" i="67"/>
  <c r="N266" i="72"/>
  <c r="BQ31" i="67"/>
  <c r="AA266" i="72"/>
  <c r="CD31" i="67"/>
  <c r="Y266" i="72"/>
  <c r="CB31" i="67"/>
  <c r="J271" i="72"/>
  <c r="BM36" i="67"/>
  <c r="O446" i="72"/>
  <c r="BR58" i="67"/>
  <c r="AB437" i="72"/>
  <c r="CE49" i="67"/>
  <c r="AB87" i="72"/>
  <c r="CE7" i="67"/>
  <c r="J87" i="72"/>
  <c r="BM7" i="67"/>
  <c r="V443" i="72"/>
  <c r="BY55" i="67"/>
  <c r="P443" i="72"/>
  <c r="BS55" i="67"/>
  <c r="L90" i="72"/>
  <c r="BO10" i="67"/>
  <c r="X90" i="72"/>
  <c r="CA10" i="67"/>
  <c r="T90" i="72"/>
  <c r="BW10" i="67"/>
  <c r="N95" i="72"/>
  <c r="BQ15" i="67"/>
  <c r="M264" i="72"/>
  <c r="BP29" i="67"/>
  <c r="V91" i="72"/>
  <c r="BY11" i="67"/>
  <c r="K91" i="72"/>
  <c r="BN11" i="67"/>
  <c r="AE91" i="72"/>
  <c r="CH11" i="67"/>
  <c r="AE98" i="72"/>
  <c r="CH18" i="67"/>
  <c r="Z98" i="72"/>
  <c r="CC18" i="67"/>
  <c r="AD439" i="72"/>
  <c r="CG51" i="67"/>
  <c r="CE60" i="67"/>
  <c r="BK24" i="67"/>
  <c r="F102" i="48" s="1"/>
  <c r="CA45" i="67"/>
  <c r="BU20" i="67"/>
  <c r="N89" i="72"/>
  <c r="BQ9" i="67"/>
  <c r="BX60" i="67"/>
  <c r="CA24" i="67"/>
  <c r="BL24" i="67"/>
  <c r="BS60" i="67"/>
  <c r="BQ24" i="67"/>
  <c r="CB61" i="67"/>
  <c r="BP41" i="67"/>
  <c r="CI22" i="67"/>
  <c r="BK42" i="67"/>
  <c r="H100" i="48" s="1"/>
  <c r="CF61" i="67"/>
  <c r="BO45" i="67"/>
  <c r="BN20" i="67"/>
  <c r="CJ60" i="67"/>
  <c r="K98" i="48" s="1"/>
  <c r="CH24" i="67"/>
  <c r="CJ20" i="67"/>
  <c r="G98" i="48" s="1"/>
  <c r="CA64" i="67"/>
  <c r="CG62" i="67"/>
  <c r="BX63" i="67"/>
  <c r="CD24" i="67"/>
  <c r="CH23" i="67"/>
  <c r="CG46" i="67"/>
  <c r="BN66" i="67"/>
  <c r="BY64" i="67"/>
  <c r="BS42" i="67"/>
  <c r="BX45" i="67"/>
  <c r="BZ20" i="67"/>
  <c r="X89" i="72"/>
  <c r="CA9" i="67"/>
  <c r="BY45" i="67"/>
  <c r="BU64" i="67"/>
  <c r="CE46" i="67"/>
  <c r="BR26" i="67"/>
  <c r="L440" i="72"/>
  <c r="BO52" i="67"/>
  <c r="U441" i="72"/>
  <c r="BX53" i="67"/>
  <c r="S268" i="72"/>
  <c r="BV33" i="67"/>
  <c r="J268" i="72"/>
  <c r="BM33" i="67"/>
  <c r="L438" i="72"/>
  <c r="BO50" i="67"/>
  <c r="AG438" i="72"/>
  <c r="CJ50" i="67"/>
  <c r="K88" i="48" s="1"/>
  <c r="S262" i="72"/>
  <c r="BV27" i="67"/>
  <c r="K440" i="72"/>
  <c r="BN52" i="67"/>
  <c r="AF440" i="72"/>
  <c r="CI52" i="67"/>
  <c r="K444" i="72"/>
  <c r="BN56" i="67"/>
  <c r="AB269" i="72"/>
  <c r="CE34" i="67"/>
  <c r="T269" i="72"/>
  <c r="BW34" i="67"/>
  <c r="AE269" i="72"/>
  <c r="CH34" i="67"/>
  <c r="AD435" i="72"/>
  <c r="CG47" i="67"/>
  <c r="O97" i="72"/>
  <c r="BR17" i="67"/>
  <c r="H97" i="72"/>
  <c r="BK17" i="67"/>
  <c r="F95" i="48" s="1"/>
  <c r="Q262" i="72"/>
  <c r="BT27" i="67"/>
  <c r="AA262" i="72"/>
  <c r="CD27" i="67"/>
  <c r="R267" i="72"/>
  <c r="BU32" i="67"/>
  <c r="P267" i="72"/>
  <c r="BS32" i="67"/>
  <c r="U267" i="72"/>
  <c r="BX32" i="67"/>
  <c r="H445" i="72"/>
  <c r="BK57" i="67"/>
  <c r="J95" i="48" s="1"/>
  <c r="AE445" i="72"/>
  <c r="CH57" i="67"/>
  <c r="Q445" i="72"/>
  <c r="BT57" i="67"/>
  <c r="I264" i="72"/>
  <c r="BL29" i="67"/>
  <c r="AB89" i="72"/>
  <c r="CE9" i="67"/>
  <c r="S441" i="72"/>
  <c r="BV53" i="67"/>
  <c r="V265" i="72"/>
  <c r="BY30" i="67"/>
  <c r="Z265" i="72"/>
  <c r="CC30" i="67"/>
  <c r="AB92" i="72"/>
  <c r="CE12" i="67"/>
  <c r="U92" i="72"/>
  <c r="BX12" i="67"/>
  <c r="Y92" i="72"/>
  <c r="CB12" i="67"/>
  <c r="U270" i="72"/>
  <c r="BX35" i="67"/>
  <c r="V270" i="72"/>
  <c r="BY35" i="67"/>
  <c r="U442" i="72"/>
  <c r="BX54" i="67"/>
  <c r="I442" i="72"/>
  <c r="BL54" i="67"/>
  <c r="AD273" i="72"/>
  <c r="CG38" i="67"/>
  <c r="L435" i="72"/>
  <c r="BO47" i="67"/>
  <c r="Z264" i="72"/>
  <c r="CC29" i="67"/>
  <c r="N94" i="72"/>
  <c r="BQ14" i="67"/>
  <c r="W94" i="72"/>
  <c r="BZ14" i="67"/>
  <c r="T447" i="72"/>
  <c r="BW59" i="67"/>
  <c r="U89" i="72"/>
  <c r="BX9" i="67"/>
  <c r="W93" i="72"/>
  <c r="BZ13" i="67"/>
  <c r="Q93" i="72"/>
  <c r="BT13" i="67"/>
  <c r="AE266" i="72"/>
  <c r="CH31" i="67"/>
  <c r="AG266" i="72"/>
  <c r="CJ31" i="67"/>
  <c r="I89" i="48" s="1"/>
  <c r="P271" i="72"/>
  <c r="BS36" i="67"/>
  <c r="AG446" i="72"/>
  <c r="CJ58" i="67"/>
  <c r="K96" i="48" s="1"/>
  <c r="AC437" i="72"/>
  <c r="CF49" i="67"/>
  <c r="I437" i="72"/>
  <c r="BL49" i="67"/>
  <c r="W87" i="72"/>
  <c r="BZ7" i="67"/>
  <c r="S264" i="72"/>
  <c r="BV29" i="67"/>
  <c r="AF443" i="72"/>
  <c r="CI55" i="67"/>
  <c r="AD443" i="72"/>
  <c r="CG55" i="67"/>
  <c r="P90" i="72"/>
  <c r="BS10" i="67"/>
  <c r="X95" i="72"/>
  <c r="CA15" i="67"/>
  <c r="AG91" i="72"/>
  <c r="CJ11" i="67"/>
  <c r="G89" i="48" s="1"/>
  <c r="V98" i="72"/>
  <c r="BY18" i="67"/>
  <c r="M98" i="72"/>
  <c r="BP18" i="67"/>
  <c r="BS63" i="67"/>
  <c r="BZ25" i="67"/>
  <c r="CG22" i="67"/>
  <c r="CG42" i="67"/>
  <c r="CD60" i="67"/>
  <c r="BL25" i="67"/>
  <c r="BN64" i="67"/>
  <c r="BU25" i="67"/>
  <c r="CC60" i="67"/>
  <c r="CB24" i="67"/>
  <c r="BU62" i="67"/>
  <c r="BR43" i="67"/>
  <c r="CD22" i="67"/>
  <c r="CI42" i="67"/>
  <c r="CG28" i="67"/>
  <c r="CE41" i="67"/>
  <c r="BT22" i="67"/>
  <c r="CE42" i="67"/>
  <c r="BY63" i="67"/>
  <c r="BX24" i="67"/>
  <c r="BX42" i="67"/>
  <c r="BM44" i="67"/>
  <c r="BX62" i="67"/>
  <c r="CC63" i="67"/>
  <c r="BP25" i="67"/>
  <c r="CI20" i="67"/>
  <c r="BV21" i="67"/>
  <c r="BW66" i="67"/>
  <c r="CD44" i="67"/>
  <c r="BR25" i="67"/>
  <c r="CJ41" i="67"/>
  <c r="I99" i="48" s="1"/>
  <c r="BR45" i="67"/>
  <c r="BU42" i="67"/>
  <c r="BT41" i="67"/>
  <c r="CH45" i="67"/>
  <c r="CE44" i="67"/>
  <c r="BZ21" i="67"/>
  <c r="CD8" i="67"/>
  <c r="I89" i="72"/>
  <c r="BL9" i="67"/>
  <c r="O89" i="72"/>
  <c r="BR9" i="67"/>
  <c r="V268" i="72"/>
  <c r="BY33" i="67"/>
  <c r="P268" i="72"/>
  <c r="BS33" i="67"/>
  <c r="AB438" i="72"/>
  <c r="CE50" i="67"/>
  <c r="AE440" i="72"/>
  <c r="CH52" i="67"/>
  <c r="R440" i="72"/>
  <c r="BU52" i="67"/>
  <c r="L444" i="72"/>
  <c r="BO56" i="67"/>
  <c r="AG269" i="72"/>
  <c r="CJ34" i="67"/>
  <c r="I92" i="48" s="1"/>
  <c r="W269" i="72"/>
  <c r="BZ34" i="67"/>
  <c r="V97" i="72"/>
  <c r="BY17" i="67"/>
  <c r="AE97" i="72"/>
  <c r="CH17" i="67"/>
  <c r="Z267" i="72"/>
  <c r="CC32" i="67"/>
  <c r="W267" i="72"/>
  <c r="BZ32" i="67"/>
  <c r="V267" i="72"/>
  <c r="BY32" i="67"/>
  <c r="W445" i="72"/>
  <c r="BZ57" i="67"/>
  <c r="S445" i="72"/>
  <c r="BV57" i="67"/>
  <c r="Q264" i="72"/>
  <c r="BT29" i="67"/>
  <c r="M441" i="72"/>
  <c r="BP53" i="67"/>
  <c r="K441" i="72"/>
  <c r="BN53" i="67"/>
  <c r="AB265" i="72"/>
  <c r="CE30" i="67"/>
  <c r="K92" i="72"/>
  <c r="BN12" i="67"/>
  <c r="AG92" i="72"/>
  <c r="CJ12" i="67"/>
  <c r="G90" i="48" s="1"/>
  <c r="AB270" i="72"/>
  <c r="CE35" i="67"/>
  <c r="K435" i="72"/>
  <c r="BN47" i="67"/>
  <c r="W442" i="72"/>
  <c r="BZ54" i="67"/>
  <c r="N96" i="72"/>
  <c r="BQ16" i="67"/>
  <c r="S96" i="72"/>
  <c r="BV16" i="67"/>
  <c r="AE273" i="72"/>
  <c r="CH38" i="67"/>
  <c r="U273" i="72"/>
  <c r="BX38" i="67"/>
  <c r="O435" i="72"/>
  <c r="BR47" i="67"/>
  <c r="V94" i="72"/>
  <c r="BY14" i="67"/>
  <c r="W447" i="72"/>
  <c r="BZ59" i="67"/>
  <c r="J89" i="72"/>
  <c r="BM9" i="67"/>
  <c r="V93" i="72"/>
  <c r="BY13" i="67"/>
  <c r="H93" i="72"/>
  <c r="BK13" i="67"/>
  <c r="F91" i="48" s="1"/>
  <c r="AC272" i="72"/>
  <c r="CF37" i="67"/>
  <c r="U272" i="72"/>
  <c r="BX37" i="67"/>
  <c r="I272" i="72"/>
  <c r="BL37" i="67"/>
  <c r="O266" i="72"/>
  <c r="BR31" i="67"/>
  <c r="AB271" i="72"/>
  <c r="CE36" i="67"/>
  <c r="M446" i="72"/>
  <c r="BP58" i="67"/>
  <c r="AE437" i="72"/>
  <c r="CH49" i="67"/>
  <c r="H437" i="72"/>
  <c r="BK49" i="67"/>
  <c r="J87" i="48" s="1"/>
  <c r="AG87" i="72"/>
  <c r="CJ7" i="67"/>
  <c r="G85" i="48" s="1"/>
  <c r="AB264" i="72"/>
  <c r="CE29" i="67"/>
  <c r="X443" i="72"/>
  <c r="CA55" i="67"/>
  <c r="R443" i="72"/>
  <c r="BU55" i="67"/>
  <c r="AA90" i="72"/>
  <c r="CD10" i="67"/>
  <c r="I262" i="72"/>
  <c r="BL27" i="67"/>
  <c r="H98" i="72"/>
  <c r="BK18" i="67"/>
  <c r="F96" i="48" s="1"/>
  <c r="S439" i="72"/>
  <c r="BV51" i="67"/>
  <c r="N439" i="72"/>
  <c r="BQ51" i="67"/>
  <c r="BX46" i="67"/>
  <c r="CI25" i="67"/>
  <c r="BY22" i="67"/>
  <c r="BT66" i="67"/>
  <c r="BR63" i="67"/>
  <c r="CJ25" i="67"/>
  <c r="G103" i="48" s="1"/>
  <c r="BW64" i="67"/>
  <c r="BP63" i="67"/>
  <c r="BM25" i="67"/>
  <c r="BV8" i="67"/>
  <c r="BZ43" i="67"/>
  <c r="BL48" i="67"/>
  <c r="CH66" i="67"/>
  <c r="CH20" i="67"/>
  <c r="CG43" i="67"/>
  <c r="BO22" i="67"/>
  <c r="CD61" i="67"/>
  <c r="CD63" i="67"/>
  <c r="CD25" i="67"/>
  <c r="BQ66" i="67"/>
  <c r="CJ44" i="67"/>
  <c r="I102" i="48" s="1"/>
  <c r="BP23" i="67"/>
  <c r="BR46" i="67"/>
  <c r="CE26" i="67"/>
  <c r="BO40" i="67"/>
  <c r="BQ21" i="67"/>
  <c r="CB45" i="67"/>
  <c r="BX44" i="67"/>
  <c r="CC66" i="67"/>
  <c r="CA41" i="67"/>
  <c r="BX22" i="67"/>
  <c r="BX66" i="67"/>
  <c r="BK41" i="67"/>
  <c r="H99" i="48" s="1"/>
  <c r="BZ22" i="67"/>
  <c r="BK44" i="67"/>
  <c r="H102" i="48" s="1"/>
  <c r="CI21" i="67"/>
  <c r="BW8" i="67"/>
  <c r="U269" i="72"/>
  <c r="BX34" i="67"/>
  <c r="AD438" i="72"/>
  <c r="CG50" i="67"/>
  <c r="J440" i="72"/>
  <c r="BM52" i="67"/>
  <c r="W440" i="72"/>
  <c r="BZ52" i="67"/>
  <c r="M444" i="72"/>
  <c r="BP56" i="67"/>
  <c r="AD444" i="72"/>
  <c r="CG56" i="67"/>
  <c r="J269" i="72"/>
  <c r="BM34" i="67"/>
  <c r="AA97" i="72"/>
  <c r="CD17" i="67"/>
  <c r="AD97" i="72"/>
  <c r="CG17" i="67"/>
  <c r="AB267" i="72"/>
  <c r="CE32" i="67"/>
  <c r="T445" i="72"/>
  <c r="BW57" i="67"/>
  <c r="O265" i="72"/>
  <c r="BR30" i="67"/>
  <c r="H265" i="72"/>
  <c r="BK30" i="67"/>
  <c r="H88" i="48" s="1"/>
  <c r="O92" i="72"/>
  <c r="BR12" i="67"/>
  <c r="Q270" i="72"/>
  <c r="BT35" i="67"/>
  <c r="AD270" i="72"/>
  <c r="CG35" i="67"/>
  <c r="Z442" i="72"/>
  <c r="CC54" i="67"/>
  <c r="V442" i="72"/>
  <c r="BY54" i="67"/>
  <c r="O442" i="72"/>
  <c r="BR54" i="67"/>
  <c r="AB96" i="72"/>
  <c r="CE16" i="67"/>
  <c r="V96" i="72"/>
  <c r="BY16" i="67"/>
  <c r="I273" i="72"/>
  <c r="BL38" i="67"/>
  <c r="M94" i="72"/>
  <c r="BP14" i="67"/>
  <c r="AC447" i="72"/>
  <c r="CF59" i="67"/>
  <c r="N93" i="72"/>
  <c r="BQ13" i="67"/>
  <c r="AF93" i="72"/>
  <c r="CI13" i="67"/>
  <c r="AA272" i="72"/>
  <c r="CD37" i="67"/>
  <c r="AF272" i="72"/>
  <c r="CI37" i="67"/>
  <c r="X272" i="72"/>
  <c r="CA37" i="67"/>
  <c r="I266" i="72"/>
  <c r="BL31" i="67"/>
  <c r="K266" i="72"/>
  <c r="BN31" i="67"/>
  <c r="AE271" i="72"/>
  <c r="CH36" i="67"/>
  <c r="AF271" i="72"/>
  <c r="CI36" i="67"/>
  <c r="AE446" i="72"/>
  <c r="CH58" i="67"/>
  <c r="O437" i="72"/>
  <c r="BR49" i="67"/>
  <c r="K437" i="72"/>
  <c r="BN49" i="67"/>
  <c r="S87" i="72"/>
  <c r="BV7" i="67"/>
  <c r="Z87" i="72"/>
  <c r="CC7" i="67"/>
  <c r="U443" i="72"/>
  <c r="BX55" i="67"/>
  <c r="AC443" i="72"/>
  <c r="CF55" i="67"/>
  <c r="K90" i="72"/>
  <c r="BN10" i="67"/>
  <c r="AA95" i="72"/>
  <c r="CD15" i="67"/>
  <c r="W95" i="72"/>
  <c r="BZ15" i="67"/>
  <c r="Y95" i="72"/>
  <c r="CB15" i="67"/>
  <c r="AF262" i="72"/>
  <c r="CI27" i="67"/>
  <c r="AA91" i="72"/>
  <c r="CD11" i="67"/>
  <c r="J91" i="72"/>
  <c r="BM11" i="67"/>
  <c r="O98" i="72"/>
  <c r="BR18" i="67"/>
  <c r="R98" i="72"/>
  <c r="BU18" i="67"/>
  <c r="X439" i="72"/>
  <c r="CA51" i="67"/>
  <c r="CD46" i="67"/>
  <c r="CH26" i="67"/>
  <c r="CE66" i="67"/>
  <c r="BR41" i="67"/>
  <c r="BV46" i="67"/>
  <c r="CI26" i="67"/>
  <c r="BR44" i="67"/>
  <c r="CE20" i="67"/>
  <c r="CC65" i="67"/>
  <c r="CJ46" i="67"/>
  <c r="I104" i="48" s="1"/>
  <c r="BM26" i="67"/>
  <c r="BQ61" i="67"/>
  <c r="BM64" i="67"/>
  <c r="BS62" i="67"/>
  <c r="BY66" i="67"/>
  <c r="BN40" i="67"/>
  <c r="BX43" i="67"/>
  <c r="CA48" i="67"/>
  <c r="CG40" i="67"/>
  <c r="AG262" i="72"/>
  <c r="CJ27" i="67"/>
  <c r="I85" i="48" s="1"/>
  <c r="BS46" i="67"/>
  <c r="CD26" i="67"/>
  <c r="CH61" i="67"/>
  <c r="BS65" i="67"/>
  <c r="BK28" i="67"/>
  <c r="H86" i="48" s="1"/>
  <c r="BY46" i="67"/>
  <c r="BY26" i="67"/>
  <c r="BO62" i="67"/>
  <c r="BV45" i="67"/>
  <c r="BW24" i="67"/>
  <c r="BM65" i="67"/>
  <c r="CA22" i="67"/>
  <c r="CD43" i="67"/>
  <c r="CF48" i="67"/>
  <c r="BX25" i="67"/>
  <c r="BN43" i="67"/>
  <c r="BP48" i="67"/>
  <c r="CF65" i="67"/>
  <c r="AG89" i="72"/>
  <c r="CJ9" i="67"/>
  <c r="G87" i="48" s="1"/>
  <c r="BZ45" i="67"/>
  <c r="CG20" i="67"/>
  <c r="X440" i="72"/>
  <c r="CA52" i="67"/>
  <c r="S438" i="72"/>
  <c r="BV50" i="67"/>
  <c r="AF438" i="72"/>
  <c r="CI50" i="67"/>
  <c r="W438" i="72"/>
  <c r="BZ50" i="67"/>
  <c r="O438" i="72"/>
  <c r="BR50" i="67"/>
  <c r="AD440" i="72"/>
  <c r="CG52" i="67"/>
  <c r="Z440" i="72"/>
  <c r="CC52" i="67"/>
  <c r="U444" i="72"/>
  <c r="BX56" i="67"/>
  <c r="R444" i="72"/>
  <c r="BU56" i="67"/>
  <c r="L269" i="72"/>
  <c r="BO34" i="67"/>
  <c r="K262" i="72"/>
  <c r="BN27" i="67"/>
  <c r="U97" i="72"/>
  <c r="BX17" i="67"/>
  <c r="H267" i="72"/>
  <c r="BK32" i="67"/>
  <c r="H90" i="48" s="1"/>
  <c r="AE267" i="72"/>
  <c r="CH32" i="67"/>
  <c r="Z445" i="72"/>
  <c r="CC57" i="67"/>
  <c r="S435" i="72"/>
  <c r="BV47" i="67"/>
  <c r="Z441" i="72"/>
  <c r="CC53" i="67"/>
  <c r="J265" i="72"/>
  <c r="BM30" i="67"/>
  <c r="T92" i="72"/>
  <c r="BW12" i="67"/>
  <c r="I92" i="72"/>
  <c r="BL12" i="67"/>
  <c r="AA270" i="72"/>
  <c r="CD35" i="67"/>
  <c r="T442" i="72"/>
  <c r="BW54" i="67"/>
  <c r="L442" i="72"/>
  <c r="BO54" i="67"/>
  <c r="H96" i="72"/>
  <c r="BK16" i="67"/>
  <c r="F94" i="48" s="1"/>
  <c r="J273" i="72"/>
  <c r="BM38" i="67"/>
  <c r="T273" i="72"/>
  <c r="BW38" i="67"/>
  <c r="T262" i="72"/>
  <c r="BW27" i="67"/>
  <c r="AG94" i="72"/>
  <c r="CJ14" i="67"/>
  <c r="G92" i="48" s="1"/>
  <c r="M447" i="72"/>
  <c r="BP59" i="67"/>
  <c r="M93" i="72"/>
  <c r="BP13" i="67"/>
  <c r="P93" i="72"/>
  <c r="BS13" i="67"/>
  <c r="H272" i="72"/>
  <c r="BK37" i="67"/>
  <c r="H95" i="48" s="1"/>
  <c r="T272" i="72"/>
  <c r="BW37" i="67"/>
  <c r="Y272" i="72"/>
  <c r="CB37" i="67"/>
  <c r="X266" i="72"/>
  <c r="CA31" i="67"/>
  <c r="AC266" i="72"/>
  <c r="CF31" i="67"/>
  <c r="Q266" i="72"/>
  <c r="BT31" i="67"/>
  <c r="L271" i="72"/>
  <c r="BO36" i="67"/>
  <c r="Y271" i="72"/>
  <c r="CB36" i="67"/>
  <c r="AC446" i="72"/>
  <c r="CF58" i="67"/>
  <c r="R446" i="72"/>
  <c r="BU58" i="67"/>
  <c r="M437" i="72"/>
  <c r="BP49" i="67"/>
  <c r="R264" i="72"/>
  <c r="BU29" i="67"/>
  <c r="Y87" i="72"/>
  <c r="CB7" i="67"/>
  <c r="X262" i="72"/>
  <c r="CA27" i="67"/>
  <c r="J443" i="72"/>
  <c r="BM55" i="67"/>
  <c r="K443" i="72"/>
  <c r="BN55" i="67"/>
  <c r="Z90" i="72"/>
  <c r="CC10" i="67"/>
  <c r="H90" i="72"/>
  <c r="BK10" i="67"/>
  <c r="F88" i="48" s="1"/>
  <c r="O91" i="72"/>
  <c r="BR11" i="67"/>
  <c r="Q91" i="72"/>
  <c r="BT11" i="67"/>
  <c r="U98" i="72"/>
  <c r="BX18" i="67"/>
  <c r="AB98" i="72"/>
  <c r="CE18" i="67"/>
  <c r="J98" i="72"/>
  <c r="BM18" i="67"/>
  <c r="T439" i="72"/>
  <c r="BW51" i="67"/>
  <c r="CA21" i="67"/>
  <c r="BO8" i="67"/>
  <c r="CC62" i="67"/>
  <c r="BX61" i="67"/>
  <c r="BX41" i="67"/>
  <c r="CC46" i="67"/>
  <c r="BP8" i="67"/>
  <c r="BN65" i="67"/>
  <c r="BL42" i="67"/>
  <c r="BU46" i="67"/>
  <c r="CB46" i="67"/>
  <c r="CJ26" i="67"/>
  <c r="G104" i="48" s="1"/>
  <c r="CA61" i="67"/>
  <c r="BR64" i="67"/>
  <c r="BZ62" i="67"/>
  <c r="BT61" i="67"/>
  <c r="CA62" i="67"/>
  <c r="CB64" i="67"/>
  <c r="CH62" i="67"/>
  <c r="BT24" i="67"/>
  <c r="BK46" i="67"/>
  <c r="H104" i="48" s="1"/>
  <c r="BW26" i="67"/>
  <c r="BK40" i="67"/>
  <c r="H98" i="48" s="1"/>
  <c r="BZ65" i="67"/>
  <c r="BL28" i="67"/>
  <c r="CF21" i="67"/>
  <c r="CI8" i="67"/>
  <c r="CB26" i="67"/>
  <c r="BV41" i="67"/>
  <c r="BQ45" i="67"/>
  <c r="BW65" i="67"/>
  <c r="BX20" i="67"/>
  <c r="CI43" i="67"/>
  <c r="BV48" i="67"/>
  <c r="BK8" i="67"/>
  <c r="F86" i="48" s="1"/>
  <c r="BS43" i="67"/>
  <c r="BV24" i="67"/>
  <c r="CA60" i="67"/>
  <c r="BS41" i="67"/>
  <c r="CF22" i="67"/>
  <c r="BW20" i="67"/>
  <c r="AG435" i="72"/>
  <c r="CJ47" i="67"/>
  <c r="K85" i="48" s="1"/>
  <c r="L97" i="72"/>
  <c r="BO17" i="67"/>
  <c r="Q441" i="72"/>
  <c r="BT53" i="67"/>
  <c r="AF435" i="72"/>
  <c r="CI47" i="67"/>
  <c r="AB435" i="72"/>
  <c r="CE47" i="67"/>
  <c r="H268" i="72"/>
  <c r="BK33" i="67"/>
  <c r="H91" i="48" s="1"/>
  <c r="U264" i="72"/>
  <c r="BX29" i="67"/>
  <c r="U268" i="72"/>
  <c r="BX33" i="67"/>
  <c r="AE268" i="72"/>
  <c r="CH33" i="67"/>
  <c r="Q438" i="72"/>
  <c r="BT50" i="67"/>
  <c r="N438" i="72"/>
  <c r="BQ50" i="67"/>
  <c r="P440" i="72"/>
  <c r="BS52" i="67"/>
  <c r="AE444" i="72"/>
  <c r="CH56" i="67"/>
  <c r="Z444" i="72"/>
  <c r="CC56" i="67"/>
  <c r="N269" i="72"/>
  <c r="BQ34" i="67"/>
  <c r="O269" i="72"/>
  <c r="BR34" i="67"/>
  <c r="Z97" i="72"/>
  <c r="CC17" i="67"/>
  <c r="N97" i="72"/>
  <c r="BQ17" i="67"/>
  <c r="I97" i="72"/>
  <c r="BL17" i="67"/>
  <c r="J267" i="72"/>
  <c r="BM32" i="67"/>
  <c r="AA445" i="72"/>
  <c r="CD57" i="67"/>
  <c r="M445" i="72"/>
  <c r="BP57" i="67"/>
  <c r="AE435" i="72"/>
  <c r="CH47" i="67"/>
  <c r="V441" i="72"/>
  <c r="BY53" i="67"/>
  <c r="Y264" i="72"/>
  <c r="CB29" i="67"/>
  <c r="U265" i="72"/>
  <c r="BX30" i="67"/>
  <c r="AF92" i="72"/>
  <c r="CI12" i="67"/>
  <c r="Y270" i="72"/>
  <c r="CB35" i="67"/>
  <c r="Z270" i="72"/>
  <c r="CC35" i="67"/>
  <c r="S442" i="72"/>
  <c r="BV54" i="67"/>
  <c r="N442" i="72"/>
  <c r="BQ54" i="67"/>
  <c r="AG96" i="72"/>
  <c r="CJ16" i="67"/>
  <c r="G94" i="48" s="1"/>
  <c r="L96" i="72"/>
  <c r="BO16" i="67"/>
  <c r="M273" i="72"/>
  <c r="BP38" i="67"/>
  <c r="N262" i="72"/>
  <c r="BQ27" i="67"/>
  <c r="AF94" i="72"/>
  <c r="CI14" i="67"/>
  <c r="U447" i="72"/>
  <c r="BX59" i="67"/>
  <c r="J447" i="72"/>
  <c r="BM59" i="67"/>
  <c r="L447" i="72"/>
  <c r="BO59" i="67"/>
  <c r="V435" i="72"/>
  <c r="BY47" i="67"/>
  <c r="L93" i="72"/>
  <c r="BO13" i="67"/>
  <c r="AE93" i="72"/>
  <c r="CH13" i="67"/>
  <c r="N272" i="72"/>
  <c r="BQ37" i="67"/>
  <c r="K272" i="72"/>
  <c r="BN37" i="67"/>
  <c r="T266" i="72"/>
  <c r="BW31" i="67"/>
  <c r="O271" i="72"/>
  <c r="BR36" i="67"/>
  <c r="P446" i="72"/>
  <c r="BS58" i="67"/>
  <c r="AG437" i="72"/>
  <c r="CJ49" i="67"/>
  <c r="K87" i="48" s="1"/>
  <c r="L264" i="72"/>
  <c r="BO29" i="67"/>
  <c r="M87" i="72"/>
  <c r="BP7" i="67"/>
  <c r="P262" i="72"/>
  <c r="BS27" i="67"/>
  <c r="W443" i="72"/>
  <c r="BZ55" i="67"/>
  <c r="R90" i="72"/>
  <c r="BU10" i="67"/>
  <c r="AE90" i="72"/>
  <c r="CH10" i="67"/>
  <c r="Z95" i="72"/>
  <c r="CC15" i="67"/>
  <c r="J95" i="72"/>
  <c r="BM15" i="67"/>
  <c r="U91" i="72"/>
  <c r="BX11" i="67"/>
  <c r="AD91" i="72"/>
  <c r="CG11" i="67"/>
  <c r="U439" i="72"/>
  <c r="BX51" i="67"/>
  <c r="AE439" i="72"/>
  <c r="CH51" i="67"/>
  <c r="BT21" i="67"/>
  <c r="CB23" i="67"/>
  <c r="BL40" i="67"/>
  <c r="CB43" i="67"/>
  <c r="BL21" i="67"/>
  <c r="BW60" i="67"/>
  <c r="BK66" i="67"/>
  <c r="J104" i="48" s="1"/>
  <c r="BK21" i="67"/>
  <c r="F99" i="48" s="1"/>
  <c r="BM21" i="67"/>
  <c r="CI23" i="67"/>
  <c r="BS44" i="67"/>
  <c r="CD23" i="67"/>
  <c r="BR40" i="67"/>
  <c r="CE25" i="67"/>
  <c r="CG64" i="67"/>
  <c r="BY62" i="67"/>
  <c r="CC42" i="67"/>
  <c r="CD21" i="67"/>
  <c r="CH8" i="67"/>
  <c r="BZ26" i="67"/>
  <c r="BT60" i="67"/>
  <c r="BS24" i="67"/>
  <c r="BL45" i="67"/>
  <c r="BT20" i="67"/>
  <c r="CE48" i="67"/>
  <c r="CB41" i="67"/>
  <c r="BV22" i="67"/>
  <c r="CG60" i="67"/>
  <c r="BX64" i="67"/>
  <c r="CE62" i="67"/>
  <c r="CJ48" i="67"/>
  <c r="K86" i="48" s="1"/>
  <c r="BV64" i="67"/>
  <c r="BK61" i="67"/>
  <c r="J99" i="48" s="1"/>
  <c r="BP60" i="67"/>
  <c r="BZ41" i="67"/>
  <c r="BL22" i="67"/>
  <c r="CH42" i="67"/>
  <c r="AB444" i="72"/>
  <c r="CE56" i="67"/>
  <c r="W97" i="72"/>
  <c r="BZ17" i="67"/>
  <c r="T438" i="72"/>
  <c r="BW50" i="67"/>
  <c r="V438" i="72"/>
  <c r="BY50" i="67"/>
  <c r="R438" i="72"/>
  <c r="BU50" i="67"/>
  <c r="T440" i="72"/>
  <c r="BW52" i="67"/>
  <c r="H444" i="72"/>
  <c r="BK56" i="67"/>
  <c r="J94" i="48" s="1"/>
  <c r="AA444" i="72"/>
  <c r="CD56" i="67"/>
  <c r="AD269" i="72"/>
  <c r="CG34" i="67"/>
  <c r="Q269" i="72"/>
  <c r="BT34" i="67"/>
  <c r="V269" i="72"/>
  <c r="BY34" i="67"/>
  <c r="Y97" i="72"/>
  <c r="CB17" i="67"/>
  <c r="AG97" i="72"/>
  <c r="CJ17" i="67"/>
  <c r="G95" i="48" s="1"/>
  <c r="L267" i="72"/>
  <c r="BO32" i="67"/>
  <c r="V445" i="72"/>
  <c r="BY57" i="67"/>
  <c r="Y445" i="72"/>
  <c r="CB57" i="67"/>
  <c r="AD441" i="72"/>
  <c r="CG53" i="67"/>
  <c r="AE441" i="72"/>
  <c r="CH53" i="67"/>
  <c r="J441" i="72"/>
  <c r="BM53" i="67"/>
  <c r="AF264" i="72"/>
  <c r="CI29" i="67"/>
  <c r="AC89" i="72"/>
  <c r="CF9" i="67"/>
  <c r="AD265" i="72"/>
  <c r="CG30" i="67"/>
  <c r="L265" i="72"/>
  <c r="BO30" i="67"/>
  <c r="X265" i="72"/>
  <c r="CA30" i="67"/>
  <c r="AE92" i="72"/>
  <c r="CH12" i="67"/>
  <c r="AD92" i="72"/>
  <c r="CG12" i="67"/>
  <c r="AF270" i="72"/>
  <c r="CI35" i="67"/>
  <c r="N270" i="72"/>
  <c r="BQ35" i="67"/>
  <c r="M262" i="72"/>
  <c r="BP27" i="67"/>
  <c r="AA442" i="72"/>
  <c r="CD54" i="67"/>
  <c r="R96" i="72"/>
  <c r="BU16" i="67"/>
  <c r="AA96" i="72"/>
  <c r="CD16" i="67"/>
  <c r="K96" i="72"/>
  <c r="BN16" i="67"/>
  <c r="AF273" i="72"/>
  <c r="CI38" i="67"/>
  <c r="Z273" i="72"/>
  <c r="CC38" i="67"/>
  <c r="AA273" i="72"/>
  <c r="CD38" i="67"/>
  <c r="J264" i="72"/>
  <c r="BM29" i="67"/>
  <c r="AE94" i="72"/>
  <c r="CH14" i="67"/>
  <c r="AE447" i="72"/>
  <c r="CH59" i="67"/>
  <c r="AB447" i="72"/>
  <c r="CE59" i="67"/>
  <c r="M435" i="72"/>
  <c r="BP47" i="67"/>
  <c r="K93" i="72"/>
  <c r="BN13" i="67"/>
  <c r="O93" i="72"/>
  <c r="BR13" i="67"/>
  <c r="P272" i="72"/>
  <c r="BS37" i="67"/>
  <c r="AD266" i="72"/>
  <c r="CG31" i="67"/>
  <c r="H446" i="72"/>
  <c r="BK58" i="67"/>
  <c r="J96" i="48" s="1"/>
  <c r="Z437" i="72"/>
  <c r="CC49" i="67"/>
  <c r="J437" i="72"/>
  <c r="BM49" i="67"/>
  <c r="Q437" i="72"/>
  <c r="BT49" i="67"/>
  <c r="X87" i="72"/>
  <c r="CA7" i="67"/>
  <c r="N87" i="72"/>
  <c r="BQ7" i="67"/>
  <c r="S443" i="72"/>
  <c r="BV55" i="67"/>
  <c r="AE443" i="72"/>
  <c r="CH55" i="67"/>
  <c r="J90" i="72"/>
  <c r="BM10" i="67"/>
  <c r="M95" i="72"/>
  <c r="BP15" i="67"/>
  <c r="S95" i="72"/>
  <c r="BV15" i="67"/>
  <c r="M89" i="72"/>
  <c r="BP9" i="67"/>
  <c r="AF91" i="72"/>
  <c r="CI11" i="67"/>
  <c r="Q98" i="72"/>
  <c r="BT18" i="67"/>
  <c r="H439" i="72"/>
  <c r="BK51" i="67"/>
  <c r="J89" i="48" s="1"/>
  <c r="AC439" i="72"/>
  <c r="CF51" i="67"/>
  <c r="H89" i="72"/>
  <c r="BK9" i="67"/>
  <c r="F87" i="48" s="1"/>
  <c r="BK45" i="67"/>
  <c r="H103" i="48" s="1"/>
  <c r="BQ20" i="67"/>
  <c r="CJ23" i="67"/>
  <c r="G101" i="48" s="1"/>
  <c r="CI66" i="67"/>
  <c r="BO64" i="67"/>
  <c r="BU21" i="67"/>
  <c r="BP20" i="67"/>
  <c r="BN60" i="67"/>
  <c r="CC22" i="67"/>
  <c r="BS45" i="67"/>
  <c r="CB8" i="67"/>
  <c r="BY20" i="67"/>
  <c r="CJ65" i="67"/>
  <c r="K103" i="48" s="1"/>
  <c r="BW23" i="67"/>
  <c r="BX40" i="67"/>
  <c r="CC40" i="67"/>
  <c r="CI44" i="67"/>
  <c r="BO23" i="67"/>
  <c r="CH28" i="67"/>
  <c r="CJ45" i="67"/>
  <c r="I103" i="48" s="1"/>
  <c r="CC8" i="67"/>
  <c r="BV42" i="67"/>
  <c r="BQ63" i="67"/>
  <c r="BN24" i="67"/>
  <c r="CF45" i="67"/>
  <c r="BM20" i="67"/>
  <c r="BT42" i="67"/>
  <c r="CE43" i="67"/>
  <c r="CG48" i="67"/>
  <c r="BV63" i="67"/>
  <c r="BV44" i="67"/>
  <c r="BX23" i="67"/>
  <c r="BV26" i="67"/>
  <c r="BO44" i="67"/>
  <c r="CE61" i="67"/>
  <c r="BT63" i="67"/>
  <c r="BM43" i="67"/>
  <c r="BO48" i="67"/>
  <c r="BU66" i="67"/>
  <c r="P444" i="72"/>
  <c r="BS56" i="67"/>
  <c r="M267" i="72"/>
  <c r="BP32" i="67"/>
  <c r="R268" i="72"/>
  <c r="BU33" i="67"/>
  <c r="AD264" i="72"/>
  <c r="CG29" i="67"/>
  <c r="AA268" i="72"/>
  <c r="CD33" i="67"/>
  <c r="M268" i="72"/>
  <c r="BP33" i="67"/>
  <c r="P438" i="72"/>
  <c r="BS50" i="67"/>
  <c r="Q440" i="72"/>
  <c r="BT52" i="67"/>
  <c r="O444" i="72"/>
  <c r="BR56" i="67"/>
  <c r="V444" i="72"/>
  <c r="BY56" i="67"/>
  <c r="AA269" i="72"/>
  <c r="CD34" i="67"/>
  <c r="Y269" i="72"/>
  <c r="CB34" i="67"/>
  <c r="AC97" i="72"/>
  <c r="CF17" i="67"/>
  <c r="AG267" i="72"/>
  <c r="CJ32" i="67"/>
  <c r="I90" i="48" s="1"/>
  <c r="AC267" i="72"/>
  <c r="CF32" i="67"/>
  <c r="K445" i="72"/>
  <c r="BN57" i="67"/>
  <c r="AB445" i="72"/>
  <c r="CE57" i="67"/>
  <c r="AF441" i="72"/>
  <c r="CI53" i="67"/>
  <c r="O441" i="72"/>
  <c r="BR53" i="67"/>
  <c r="AG265" i="72"/>
  <c r="CJ30" i="67"/>
  <c r="I88" i="48" s="1"/>
  <c r="L92" i="72"/>
  <c r="BO12" i="67"/>
  <c r="S92" i="72"/>
  <c r="BV12" i="67"/>
  <c r="H92" i="72"/>
  <c r="BK12" i="67"/>
  <c r="F90" i="48" s="1"/>
  <c r="T270" i="72"/>
  <c r="BW35" i="67"/>
  <c r="M442" i="72"/>
  <c r="BP54" i="67"/>
  <c r="Q96" i="72"/>
  <c r="BT16" i="67"/>
  <c r="AE96" i="72"/>
  <c r="CH16" i="67"/>
  <c r="K273" i="72"/>
  <c r="BN38" i="67"/>
  <c r="Y273" i="72"/>
  <c r="CB38" i="67"/>
  <c r="S273" i="72"/>
  <c r="BV38" i="67"/>
  <c r="AD94" i="72"/>
  <c r="CG14" i="67"/>
  <c r="AB94" i="72"/>
  <c r="CE14" i="67"/>
  <c r="R447" i="72"/>
  <c r="BU59" i="67"/>
  <c r="X447" i="72"/>
  <c r="CA59" i="67"/>
  <c r="P447" i="72"/>
  <c r="BS59" i="67"/>
  <c r="K264" i="72"/>
  <c r="BN29" i="67"/>
  <c r="J93" i="72"/>
  <c r="BM13" i="67"/>
  <c r="S272" i="72"/>
  <c r="BV37" i="67"/>
  <c r="AA264" i="72"/>
  <c r="CD29" i="67"/>
  <c r="M266" i="72"/>
  <c r="BP31" i="67"/>
  <c r="Z266" i="72"/>
  <c r="CC31" i="67"/>
  <c r="AD271" i="72"/>
  <c r="CG36" i="67"/>
  <c r="AA271" i="72"/>
  <c r="CD36" i="67"/>
  <c r="AG271" i="72"/>
  <c r="CJ36" i="67"/>
  <c r="I94" i="48" s="1"/>
  <c r="T446" i="72"/>
  <c r="BW58" i="67"/>
  <c r="AA437" i="72"/>
  <c r="CD49" i="67"/>
  <c r="W262" i="72"/>
  <c r="BZ27" i="67"/>
  <c r="V87" i="72"/>
  <c r="BY7" i="67"/>
  <c r="AD87" i="72"/>
  <c r="CG7" i="67"/>
  <c r="W89" i="72"/>
  <c r="BZ9" i="67"/>
  <c r="Q443" i="72"/>
  <c r="BT55" i="67"/>
  <c r="Q90" i="72"/>
  <c r="BT10" i="67"/>
  <c r="S90" i="72"/>
  <c r="BV10" i="67"/>
  <c r="AD95" i="72"/>
  <c r="CG15" i="67"/>
  <c r="N91" i="72"/>
  <c r="BQ11" i="67"/>
  <c r="H91" i="72"/>
  <c r="BK11" i="67"/>
  <c r="F89" i="48" s="1"/>
  <c r="I98" i="72"/>
  <c r="BL18" i="67"/>
  <c r="AD98" i="72"/>
  <c r="CG18" i="67"/>
  <c r="L98" i="72"/>
  <c r="BO18" i="67"/>
  <c r="S98" i="72"/>
  <c r="BV18" i="67"/>
  <c r="M439" i="72"/>
  <c r="BP51" i="67"/>
  <c r="CH41" i="67"/>
  <c r="BQ22" i="67"/>
  <c r="BV20" i="67"/>
  <c r="BZ40" i="67"/>
  <c r="CI64" i="67"/>
  <c r="BM45" i="67"/>
  <c r="CB42" i="67"/>
  <c r="CF63" i="67"/>
  <c r="BT62" i="67"/>
  <c r="P435" i="72"/>
  <c r="BS47" i="67"/>
  <c r="BN45" i="67"/>
  <c r="BO20" i="67"/>
  <c r="BP22" i="67"/>
  <c r="BL65" i="67"/>
  <c r="CC28" i="67"/>
  <c r="BZ42" i="67"/>
  <c r="BT65" i="67"/>
  <c r="CJ28" i="67"/>
  <c r="I86" i="48" s="1"/>
  <c r="CA26" i="67"/>
  <c r="CE45" i="67"/>
  <c r="BK20" i="67"/>
  <c r="F98" i="48" s="1"/>
  <c r="BY48" i="67"/>
  <c r="BN63" i="67"/>
  <c r="BK25" i="67"/>
  <c r="F103" i="48" s="1"/>
  <c r="BN41" i="67"/>
  <c r="BK22" i="67"/>
  <c r="F100" i="48" s="1"/>
  <c r="BW42" i="67"/>
  <c r="CJ43" i="67"/>
  <c r="I101" i="48" s="1"/>
  <c r="BW48" i="67"/>
  <c r="CB63" i="67"/>
  <c r="BY44" i="67"/>
  <c r="BS23" i="67"/>
  <c r="BZ44" i="67"/>
  <c r="BK63" i="67"/>
  <c r="J101" i="48" s="1"/>
  <c r="BP64" i="67"/>
  <c r="BT48" i="67"/>
  <c r="CB66" i="67"/>
  <c r="AG440" i="72"/>
  <c r="CJ52" i="67"/>
  <c r="K90" i="48" s="1"/>
  <c r="I268" i="72"/>
  <c r="BL33" i="67"/>
  <c r="O268" i="72"/>
  <c r="BR33" i="67"/>
  <c r="AG268" i="72"/>
  <c r="CJ33" i="67"/>
  <c r="I91" i="48" s="1"/>
  <c r="L268" i="72"/>
  <c r="BO33" i="67"/>
  <c r="H438" i="72"/>
  <c r="BK50" i="67"/>
  <c r="J88" i="48" s="1"/>
  <c r="S440" i="72"/>
  <c r="BV52" i="67"/>
  <c r="AG444" i="72"/>
  <c r="CJ56" i="67"/>
  <c r="K94" i="48" s="1"/>
  <c r="X444" i="72"/>
  <c r="CA56" i="67"/>
  <c r="AC269" i="72"/>
  <c r="CF34" i="67"/>
  <c r="T97" i="72"/>
  <c r="BW17" i="67"/>
  <c r="T267" i="72"/>
  <c r="BW32" i="67"/>
  <c r="Y267" i="72"/>
  <c r="CB32" i="67"/>
  <c r="O267" i="72"/>
  <c r="BR32" i="67"/>
  <c r="J445" i="72"/>
  <c r="BM57" i="67"/>
  <c r="I445" i="72"/>
  <c r="BL57" i="67"/>
  <c r="L262" i="72"/>
  <c r="BO27" i="67"/>
  <c r="AC441" i="72"/>
  <c r="CF53" i="67"/>
  <c r="X441" i="72"/>
  <c r="CA53" i="67"/>
  <c r="Y265" i="72"/>
  <c r="CB30" i="67"/>
  <c r="Z92" i="72"/>
  <c r="CC12" i="67"/>
  <c r="I270" i="72"/>
  <c r="BL35" i="67"/>
  <c r="AF442" i="72"/>
  <c r="CI54" i="67"/>
  <c r="AB442" i="72"/>
  <c r="CE54" i="67"/>
  <c r="U96" i="72"/>
  <c r="BX16" i="67"/>
  <c r="M96" i="72"/>
  <c r="BP16" i="67"/>
  <c r="AF96" i="72"/>
  <c r="CI16" i="67"/>
  <c r="P273" i="72"/>
  <c r="BS38" i="67"/>
  <c r="AC94" i="72"/>
  <c r="CF14" i="67"/>
  <c r="L94" i="72"/>
  <c r="BO14" i="67"/>
  <c r="N447" i="72"/>
  <c r="BQ59" i="67"/>
  <c r="Z447" i="72"/>
  <c r="CC59" i="67"/>
  <c r="AF447" i="72"/>
  <c r="CI59" i="67"/>
  <c r="I93" i="72"/>
  <c r="BL13" i="67"/>
  <c r="W272" i="72"/>
  <c r="BZ37" i="67"/>
  <c r="Z272" i="72"/>
  <c r="CC37" i="67"/>
  <c r="AF266" i="72"/>
  <c r="CI31" i="67"/>
  <c r="I271" i="72"/>
  <c r="BL36" i="67"/>
  <c r="Q271" i="72"/>
  <c r="BT36" i="67"/>
  <c r="N446" i="72"/>
  <c r="BQ58" i="67"/>
  <c r="S446" i="72"/>
  <c r="BV58" i="67"/>
  <c r="V446" i="72"/>
  <c r="BY58" i="67"/>
  <c r="AD437" i="72"/>
  <c r="CG49" i="67"/>
  <c r="AF437" i="72"/>
  <c r="CI49" i="67"/>
  <c r="AE262" i="72"/>
  <c r="CH27" i="67"/>
  <c r="AE87" i="72"/>
  <c r="CH7" i="67"/>
  <c r="T87" i="72"/>
  <c r="BW7" i="67"/>
  <c r="AC87" i="72"/>
  <c r="CF7" i="67"/>
  <c r="L89" i="72"/>
  <c r="BO9" i="67"/>
  <c r="H443" i="72"/>
  <c r="BK55" i="67"/>
  <c r="J93" i="48" s="1"/>
  <c r="O90" i="72"/>
  <c r="BR10" i="67"/>
  <c r="O95" i="72"/>
  <c r="BR15" i="67"/>
  <c r="K95" i="72"/>
  <c r="BN15" i="67"/>
  <c r="T91" i="72"/>
  <c r="BW11" i="67"/>
  <c r="Z91" i="72"/>
  <c r="CC11" i="67"/>
  <c r="T98" i="72"/>
  <c r="BW18" i="67"/>
  <c r="J439" i="72"/>
  <c r="BM51" i="67"/>
  <c r="BY41" i="67"/>
  <c r="CB22" i="67"/>
  <c r="BR42" i="67"/>
  <c r="CE24" i="67"/>
  <c r="BM66" i="67"/>
  <c r="BQ44" i="67"/>
  <c r="CG41" i="67"/>
  <c r="BR22" i="67"/>
  <c r="BQ42" i="67"/>
  <c r="BM46" i="67"/>
  <c r="CC23" i="67"/>
  <c r="CF41" i="67"/>
  <c r="BS22" i="67"/>
  <c r="CA42" i="67"/>
  <c r="CH25" i="67"/>
  <c r="BV60" i="67"/>
  <c r="CG24" i="67"/>
  <c r="BR66" i="67"/>
  <c r="CA65" i="67"/>
  <c r="BM28" i="67"/>
  <c r="BL61" i="67"/>
  <c r="BO41" i="67"/>
  <c r="CJ22" i="67"/>
  <c r="G100" i="48" s="1"/>
  <c r="BY42" i="67"/>
  <c r="BQ25" i="67"/>
  <c r="CH46" i="67"/>
  <c r="BX26" i="67"/>
  <c r="BP43" i="67"/>
  <c r="BR48" i="67"/>
  <c r="BN42" i="67"/>
  <c r="BZ64" i="67"/>
  <c r="CF62" i="67"/>
  <c r="BQ46" i="67"/>
  <c r="CG65" i="67"/>
  <c r="BR28" i="67"/>
  <c r="BQ65" i="67"/>
  <c r="BP46" i="67"/>
  <c r="CJ64" i="67"/>
  <c r="K102" i="48" s="1"/>
  <c r="CD62" i="67"/>
  <c r="BZ61" i="67"/>
  <c r="U438" i="72"/>
  <c r="BX50" i="67"/>
  <c r="W444" i="72"/>
  <c r="BZ56" i="67"/>
  <c r="S269" i="72"/>
  <c r="BV34" i="67"/>
  <c r="S97" i="72"/>
  <c r="BV17" i="67"/>
  <c r="K97" i="72"/>
  <c r="BN17" i="67"/>
  <c r="AA267" i="72"/>
  <c r="CD32" i="67"/>
  <c r="Y441" i="72"/>
  <c r="CB53" i="67"/>
  <c r="AB441" i="72"/>
  <c r="CE53" i="67"/>
  <c r="N265" i="72"/>
  <c r="BQ30" i="67"/>
  <c r="T265" i="72"/>
  <c r="BW30" i="67"/>
  <c r="N92" i="72"/>
  <c r="BQ12" i="67"/>
  <c r="P270" i="72"/>
  <c r="BS35" i="67"/>
  <c r="AC270" i="72"/>
  <c r="CF35" i="67"/>
  <c r="N264" i="72"/>
  <c r="BQ29" i="67"/>
  <c r="Y442" i="72"/>
  <c r="CB54" i="67"/>
  <c r="R442" i="72"/>
  <c r="BU54" i="67"/>
  <c r="Z96" i="72"/>
  <c r="CC16" i="67"/>
  <c r="W273" i="72"/>
  <c r="BZ38" i="67"/>
  <c r="U94" i="72"/>
  <c r="BX14" i="67"/>
  <c r="AA94" i="72"/>
  <c r="CD14" i="67"/>
  <c r="AD447" i="72"/>
  <c r="CG59" i="67"/>
  <c r="U262" i="72"/>
  <c r="BX27" i="67"/>
  <c r="AE272" i="72"/>
  <c r="CH37" i="67"/>
  <c r="V262" i="72"/>
  <c r="BY27" i="67"/>
  <c r="W266" i="72"/>
  <c r="BZ31" i="67"/>
  <c r="X271" i="72"/>
  <c r="CA36" i="67"/>
  <c r="AB446" i="72"/>
  <c r="CE58" i="67"/>
  <c r="AD446" i="72"/>
  <c r="CG58" i="67"/>
  <c r="U446" i="72"/>
  <c r="BX58" i="67"/>
  <c r="R87" i="72"/>
  <c r="BU7" i="67"/>
  <c r="Q87" i="72"/>
  <c r="BT7" i="67"/>
  <c r="O443" i="72"/>
  <c r="BR55" i="67"/>
  <c r="W90" i="72"/>
  <c r="BZ10" i="67"/>
  <c r="U95" i="72"/>
  <c r="BX15" i="67"/>
  <c r="N435" i="72"/>
  <c r="BQ47" i="67"/>
  <c r="AB91" i="72"/>
  <c r="CE11" i="67"/>
  <c r="AC91" i="72"/>
  <c r="CF11" i="67"/>
  <c r="AG98" i="72"/>
  <c r="CJ18" i="67"/>
  <c r="G96" i="48" s="1"/>
  <c r="R439" i="72"/>
  <c r="BU51" i="67"/>
  <c r="AG439" i="72"/>
  <c r="CJ51" i="67"/>
  <c r="K89" i="48" s="1"/>
  <c r="Z439" i="72"/>
  <c r="CC51" i="67"/>
  <c r="AF439" i="72"/>
  <c r="CI51" i="67"/>
  <c r="BY43" i="67"/>
  <c r="CD48" i="67"/>
  <c r="CJ66" i="67"/>
  <c r="K104" i="48" s="1"/>
  <c r="BZ24" i="67"/>
  <c r="CB44" i="67"/>
  <c r="BW41" i="67"/>
  <c r="BM22" i="67"/>
  <c r="BO66" i="67"/>
  <c r="CB21" i="67"/>
  <c r="CD28" i="67"/>
  <c r="CH43" i="67"/>
  <c r="BN22" i="67"/>
  <c r="BP42" i="67"/>
  <c r="BM60" i="67"/>
  <c r="BM24" i="67"/>
  <c r="CI61" i="67"/>
  <c r="BU60" i="67"/>
  <c r="BR24" i="67"/>
  <c r="BU48" i="67"/>
  <c r="BQ43" i="67"/>
  <c r="CE22" i="67"/>
  <c r="BO42" i="67"/>
  <c r="BM42" i="67"/>
  <c r="BZ46" i="67"/>
  <c r="BS8" i="67"/>
  <c r="BU43" i="67"/>
  <c r="BX48" i="67"/>
  <c r="CF66" i="67"/>
  <c r="BN44" i="67"/>
  <c r="BV62" i="67"/>
  <c r="BW21" i="67"/>
  <c r="CB60" i="67"/>
  <c r="BU24" i="67"/>
  <c r="BL60" i="67"/>
  <c r="BO21" i="67"/>
  <c r="BP44" i="67"/>
  <c r="CA23" i="67"/>
  <c r="BO61" i="67"/>
  <c r="J262" i="72"/>
  <c r="BM27" i="67"/>
  <c r="K268" i="72"/>
  <c r="BN33" i="67"/>
  <c r="Y89" i="72"/>
  <c r="CB9" i="67"/>
  <c r="AA440" i="72"/>
  <c r="CD52" i="67"/>
  <c r="K269" i="72"/>
  <c r="BN34" i="67"/>
  <c r="M97" i="72"/>
  <c r="BP17" i="67"/>
  <c r="X264" i="72"/>
  <c r="CA29" i="67"/>
  <c r="N445" i="72"/>
  <c r="BQ57" i="67"/>
  <c r="AD445" i="72"/>
  <c r="CG57" i="67"/>
  <c r="N441" i="72"/>
  <c r="BQ53" i="67"/>
  <c r="H441" i="72"/>
  <c r="BK53" i="67"/>
  <c r="J91" i="48" s="1"/>
  <c r="H435" i="72"/>
  <c r="BK47" i="67"/>
  <c r="J85" i="48" s="1"/>
  <c r="AA265" i="72"/>
  <c r="CD30" i="67"/>
  <c r="Q265" i="72"/>
  <c r="BT30" i="67"/>
  <c r="W92" i="72"/>
  <c r="BZ12" i="67"/>
  <c r="R92" i="72"/>
  <c r="BU12" i="67"/>
  <c r="AG270" i="72"/>
  <c r="CJ35" i="67"/>
  <c r="I93" i="48" s="1"/>
  <c r="X442" i="72"/>
  <c r="CA54" i="67"/>
  <c r="AD96" i="72"/>
  <c r="CG16" i="67"/>
  <c r="X96" i="72"/>
  <c r="CA16" i="67"/>
  <c r="R273" i="72"/>
  <c r="BU38" i="67"/>
  <c r="AC262" i="72"/>
  <c r="CF27" i="67"/>
  <c r="T94" i="72"/>
  <c r="BW14" i="67"/>
  <c r="K94" i="72"/>
  <c r="BN14" i="67"/>
  <c r="Q447" i="72"/>
  <c r="BT59" i="67"/>
  <c r="K447" i="72"/>
  <c r="BN59" i="67"/>
  <c r="AD262" i="72"/>
  <c r="CG27" i="67"/>
  <c r="AD93" i="72"/>
  <c r="CG13" i="67"/>
  <c r="M272" i="72"/>
  <c r="BP37" i="67"/>
  <c r="R272" i="72"/>
  <c r="BU37" i="67"/>
  <c r="O262" i="72"/>
  <c r="BR27" i="67"/>
  <c r="AB266" i="72"/>
  <c r="CE31" i="67"/>
  <c r="J266" i="72"/>
  <c r="BM31" i="67"/>
  <c r="W271" i="72"/>
  <c r="BZ36" i="67"/>
  <c r="N271" i="72"/>
  <c r="BQ36" i="67"/>
  <c r="K271" i="72"/>
  <c r="BN36" i="67"/>
  <c r="W446" i="72"/>
  <c r="BZ58" i="67"/>
  <c r="K446" i="72"/>
  <c r="BN58" i="67"/>
  <c r="I446" i="72"/>
  <c r="BL58" i="67"/>
  <c r="L437" i="72"/>
  <c r="BO49" i="67"/>
  <c r="P437" i="72"/>
  <c r="BS49" i="67"/>
  <c r="H87" i="72"/>
  <c r="BK7" i="67"/>
  <c r="F85" i="48" s="1"/>
  <c r="I87" i="72"/>
  <c r="BL7" i="67"/>
  <c r="M443" i="72"/>
  <c r="BP55" i="67"/>
  <c r="AD90" i="72"/>
  <c r="CG10" i="67"/>
  <c r="I90" i="72"/>
  <c r="BL10" i="67"/>
  <c r="AG95" i="72"/>
  <c r="CJ15" i="67"/>
  <c r="G93" i="48" s="1"/>
  <c r="P95" i="72"/>
  <c r="BS15" i="67"/>
  <c r="M91" i="72"/>
  <c r="BP11" i="67"/>
  <c r="I91" i="72"/>
  <c r="BL11" i="67"/>
  <c r="AF98" i="72"/>
  <c r="CI18" i="67"/>
  <c r="AA98" i="72"/>
  <c r="CD18" i="67"/>
  <c r="O439" i="72"/>
  <c r="BR51" i="67"/>
  <c r="I439" i="72"/>
  <c r="BL51" i="67"/>
  <c r="CE64" i="67"/>
  <c r="BL66" i="67"/>
  <c r="CA25" i="67"/>
  <c r="BO65" i="67"/>
  <c r="BL43" i="67"/>
  <c r="CC48" i="67"/>
  <c r="CA66" i="67"/>
  <c r="CC45" i="67"/>
  <c r="CB25" i="67"/>
  <c r="BK43" i="67"/>
  <c r="H101" i="48" s="1"/>
  <c r="CB48" i="67"/>
  <c r="BS66" i="67"/>
  <c r="CE63" i="67"/>
  <c r="CC25" i="67"/>
  <c r="BW40" i="67"/>
  <c r="BZ63" i="67"/>
  <c r="CC24" i="67"/>
  <c r="CG26" i="67"/>
  <c r="BW43" i="67"/>
  <c r="BK48" i="67"/>
  <c r="J86" i="48" s="1"/>
  <c r="CG66" i="67"/>
  <c r="CD40" i="67"/>
  <c r="BP21" i="67"/>
  <c r="CC20" i="67"/>
  <c r="BK64" i="67"/>
  <c r="J102" i="48" s="1"/>
  <c r="BQ62" i="67"/>
  <c r="BM61" i="67"/>
  <c r="BW44" i="67"/>
  <c r="BR23" i="67"/>
  <c r="CG21" i="67"/>
  <c r="BQ60" i="67"/>
  <c r="BO25" i="67"/>
  <c r="CF60" i="67"/>
  <c r="BZ23" i="67"/>
  <c r="CA44" i="67"/>
  <c r="BQ23" i="67"/>
  <c r="BM40" i="67"/>
  <c r="AA438" i="72"/>
  <c r="CD50" i="67"/>
  <c r="Q444" i="72"/>
  <c r="BT56" i="67"/>
  <c r="AF269" i="72"/>
  <c r="CI34" i="67"/>
  <c r="R262" i="72"/>
  <c r="BU27" i="67"/>
  <c r="X268" i="72"/>
  <c r="CA33" i="67"/>
  <c r="T268" i="72"/>
  <c r="BW33" i="67"/>
  <c r="Q268" i="72"/>
  <c r="BT33" i="67"/>
  <c r="Z438" i="72"/>
  <c r="CC50" i="67"/>
  <c r="O264" i="72"/>
  <c r="BR29" i="67"/>
  <c r="P89" i="72"/>
  <c r="BS9" i="67"/>
  <c r="N440" i="72"/>
  <c r="BQ52" i="67"/>
  <c r="H440" i="72"/>
  <c r="BK52" i="67"/>
  <c r="J90" i="48" s="1"/>
  <c r="U440" i="72"/>
  <c r="BX52" i="67"/>
  <c r="T444" i="72"/>
  <c r="BW56" i="67"/>
  <c r="M269" i="72"/>
  <c r="BP34" i="67"/>
  <c r="H269" i="72"/>
  <c r="BK34" i="67"/>
  <c r="H92" i="48" s="1"/>
  <c r="I269" i="72"/>
  <c r="BL34" i="67"/>
  <c r="R97" i="72"/>
  <c r="BU17" i="67"/>
  <c r="P264" i="72"/>
  <c r="BS29" i="67"/>
  <c r="AA89" i="72"/>
  <c r="CD9" i="67"/>
  <c r="Q267" i="72"/>
  <c r="BT32" i="67"/>
  <c r="AD267" i="72"/>
  <c r="CG32" i="67"/>
  <c r="AC445" i="72"/>
  <c r="CF57" i="67"/>
  <c r="X445" i="72"/>
  <c r="CA57" i="67"/>
  <c r="P441" i="72"/>
  <c r="BS53" i="67"/>
  <c r="L441" i="72"/>
  <c r="BO53" i="67"/>
  <c r="T435" i="72"/>
  <c r="BW47" i="67"/>
  <c r="I265" i="72"/>
  <c r="BL30" i="67"/>
  <c r="J92" i="72"/>
  <c r="BM12" i="67"/>
  <c r="X270" i="72"/>
  <c r="CA35" i="67"/>
  <c r="S270" i="72"/>
  <c r="BV35" i="67"/>
  <c r="K442" i="72"/>
  <c r="BN54" i="67"/>
  <c r="AG442" i="72"/>
  <c r="CJ54" i="67"/>
  <c r="K92" i="48" s="1"/>
  <c r="L273" i="72"/>
  <c r="BO38" i="67"/>
  <c r="X273" i="72"/>
  <c r="CA38" i="67"/>
  <c r="S94" i="72"/>
  <c r="BV14" i="67"/>
  <c r="Z94" i="72"/>
  <c r="CC14" i="67"/>
  <c r="AG447" i="72"/>
  <c r="CJ59" i="67"/>
  <c r="K97" i="48" s="1"/>
  <c r="AC93" i="72"/>
  <c r="CF13" i="67"/>
  <c r="U93" i="72"/>
  <c r="BX13" i="67"/>
  <c r="J272" i="72"/>
  <c r="BM37" i="67"/>
  <c r="S266" i="72"/>
  <c r="BV31" i="67"/>
  <c r="P266" i="72"/>
  <c r="BS31" i="67"/>
  <c r="AC271" i="72"/>
  <c r="CF36" i="67"/>
  <c r="J446" i="72"/>
  <c r="BM58" i="67"/>
  <c r="AA446" i="72"/>
  <c r="CD58" i="67"/>
  <c r="Y446" i="72"/>
  <c r="CB58" i="67"/>
  <c r="N437" i="72"/>
  <c r="BQ49" i="67"/>
  <c r="K89" i="72"/>
  <c r="BN9" i="67"/>
  <c r="O87" i="72"/>
  <c r="BR7" i="67"/>
  <c r="Y435" i="72"/>
  <c r="CB47" i="67"/>
  <c r="T443" i="72"/>
  <c r="BW55" i="67"/>
  <c r="N90" i="72"/>
  <c r="BQ10" i="67"/>
  <c r="AC95" i="72"/>
  <c r="CF15" i="67"/>
  <c r="L95" i="72"/>
  <c r="BO15" i="67"/>
  <c r="Q95" i="72"/>
  <c r="BT15" i="67"/>
  <c r="T95" i="72"/>
  <c r="BW15" i="67"/>
  <c r="S91" i="72"/>
  <c r="BV11" i="67"/>
  <c r="X98" i="72"/>
  <c r="CA18" i="67"/>
  <c r="N98" i="72"/>
  <c r="BQ18" i="67"/>
  <c r="K439" i="72"/>
  <c r="BN51" i="67"/>
  <c r="P439" i="72"/>
  <c r="BS51" i="67"/>
  <c r="BT64" i="67"/>
  <c r="BN62" i="67"/>
  <c r="BY61" i="67"/>
  <c r="BT25" i="67"/>
  <c r="BY60" i="67"/>
  <c r="CD64" i="67"/>
  <c r="CJ62" i="67"/>
  <c r="K100" i="48" s="1"/>
  <c r="BW61" i="67"/>
  <c r="CH22" i="67"/>
  <c r="BT26" i="67"/>
  <c r="CC64" i="67"/>
  <c r="CI62" i="67"/>
  <c r="BZ66" i="67"/>
  <c r="BT46" i="67"/>
  <c r="CC26" i="67"/>
  <c r="BP26" i="67"/>
  <c r="BO63" i="67"/>
  <c r="BN25" i="67"/>
  <c r="BP61" i="67"/>
  <c r="BL64" i="67"/>
  <c r="BR62" i="67"/>
  <c r="BN61" i="67"/>
  <c r="BY23" i="67"/>
  <c r="BU45" i="67"/>
  <c r="CD42" i="67"/>
  <c r="CC44" i="67"/>
  <c r="BW62" i="67"/>
  <c r="BR61" i="67"/>
  <c r="BR65" i="67"/>
  <c r="BS28" i="67"/>
  <c r="BW45" i="67"/>
  <c r="BU63" i="67"/>
  <c r="CG25" i="67"/>
  <c r="CJ63" i="67"/>
  <c r="K101" i="48" s="1"/>
  <c r="BQ28" i="67"/>
  <c r="BP65" i="67"/>
  <c r="CF28" i="67"/>
  <c r="BT40" i="67"/>
  <c r="AD268" i="72"/>
  <c r="CG33" i="67"/>
  <c r="V440" i="72"/>
  <c r="BY52" i="67"/>
  <c r="J444" i="72"/>
  <c r="BM56" i="67"/>
  <c r="AF97" i="72"/>
  <c r="CI17" i="67"/>
  <c r="R89" i="72"/>
  <c r="BU9" i="67"/>
  <c r="I267" i="72"/>
  <c r="BL32" i="67"/>
  <c r="AF445" i="72"/>
  <c r="CI57" i="67"/>
  <c r="I441" i="72"/>
  <c r="BL53" i="67"/>
  <c r="AB262" i="72"/>
  <c r="CE27" i="67"/>
  <c r="J435" i="72"/>
  <c r="BM47" i="67"/>
  <c r="AC265" i="72"/>
  <c r="CF30" i="67"/>
  <c r="W265" i="72"/>
  <c r="BZ30" i="67"/>
  <c r="AC92" i="72"/>
  <c r="CF12" i="67"/>
  <c r="AE270" i="72"/>
  <c r="CH35" i="67"/>
  <c r="M270" i="72"/>
  <c r="BP35" i="67"/>
  <c r="P96" i="72"/>
  <c r="BS16" i="67"/>
  <c r="Y96" i="72"/>
  <c r="CB16" i="67"/>
  <c r="O273" i="72"/>
  <c r="BR38" i="67"/>
  <c r="H273" i="72"/>
  <c r="BK38" i="67"/>
  <c r="H96" i="48" s="1"/>
  <c r="S89" i="72"/>
  <c r="BV9" i="67"/>
  <c r="R94" i="72"/>
  <c r="BU14" i="67"/>
  <c r="J94" i="72"/>
  <c r="BM14" i="67"/>
  <c r="O447" i="72"/>
  <c r="BR59" i="67"/>
  <c r="AA447" i="72"/>
  <c r="CD59" i="67"/>
  <c r="AB93" i="72"/>
  <c r="CE13" i="67"/>
  <c r="V272" i="72"/>
  <c r="BY37" i="67"/>
  <c r="O272" i="72"/>
  <c r="BR37" i="67"/>
  <c r="V89" i="72"/>
  <c r="BY9" i="67"/>
  <c r="V266" i="72"/>
  <c r="BY31" i="67"/>
  <c r="V271" i="72"/>
  <c r="BY36" i="67"/>
  <c r="L446" i="72"/>
  <c r="BO58" i="67"/>
  <c r="X437" i="72"/>
  <c r="CA49" i="67"/>
  <c r="R437" i="72"/>
  <c r="BU49" i="67"/>
  <c r="P87" i="72"/>
  <c r="BS7" i="67"/>
  <c r="K87" i="72"/>
  <c r="BN7" i="67"/>
  <c r="AA443" i="72"/>
  <c r="CD55" i="67"/>
  <c r="N443" i="72"/>
  <c r="BQ55" i="67"/>
  <c r="AC90" i="72"/>
  <c r="CF10" i="67"/>
  <c r="AG90" i="72"/>
  <c r="CJ10" i="67"/>
  <c r="G88" i="48" s="1"/>
  <c r="U90" i="72"/>
  <c r="BX10" i="67"/>
  <c r="AB95" i="72"/>
  <c r="CE15" i="67"/>
  <c r="AE95" i="72"/>
  <c r="CH15" i="67"/>
  <c r="H95" i="72"/>
  <c r="BK15" i="67"/>
  <c r="F93" i="48" s="1"/>
  <c r="Y91" i="72"/>
  <c r="CB11" i="67"/>
  <c r="K98" i="72"/>
  <c r="BN18" i="67"/>
  <c r="AA439" i="72"/>
  <c r="CD51" i="67"/>
  <c r="Y439" i="72"/>
  <c r="CB51" i="67"/>
  <c r="CF44" i="67"/>
  <c r="BL23" i="67"/>
  <c r="CJ40" i="67"/>
  <c r="I98" i="48" s="1"/>
  <c r="BS26" i="67"/>
  <c r="BO60" i="67"/>
  <c r="BS64" i="67"/>
  <c r="BM62" i="67"/>
  <c r="CI40" i="67"/>
  <c r="BM48" i="67"/>
  <c r="BL8" i="67"/>
  <c r="CH64" i="67"/>
  <c r="BL62" i="67"/>
  <c r="CJ61" i="67"/>
  <c r="K99" i="48" s="1"/>
  <c r="BL46" i="67"/>
  <c r="BU26" i="67"/>
  <c r="BP66" i="67"/>
  <c r="H262" i="72"/>
  <c r="BK27" i="67"/>
  <c r="H85" i="48" s="1"/>
  <c r="CI46" i="67"/>
  <c r="BN26" i="67"/>
  <c r="BK23" i="67"/>
  <c r="F101" i="48" s="1"/>
  <c r="BQ64" i="67"/>
  <c r="BK62" i="67"/>
  <c r="J100" i="48" s="1"/>
  <c r="BS61" i="67"/>
  <c r="CJ42" i="67"/>
  <c r="I100" i="48" s="1"/>
  <c r="BP45" i="67"/>
  <c r="CC61" i="67"/>
  <c r="BU44" i="67"/>
  <c r="CF23" i="67"/>
  <c r="BP40" i="67"/>
  <c r="BX65" i="67"/>
  <c r="BV25" i="67"/>
  <c r="BU41" i="67"/>
  <c r="CG45" i="67"/>
  <c r="BL63" i="67"/>
  <c r="BQ26" i="67"/>
  <c r="CA63" i="67"/>
  <c r="CI41" i="67"/>
  <c r="BU61" i="67"/>
  <c r="BK60" i="67"/>
  <c r="J98" i="48" s="1"/>
  <c r="CA28" i="67"/>
  <c r="BV61" i="67"/>
  <c r="AC268" i="72"/>
  <c r="CF33" i="67"/>
  <c r="AB268" i="72"/>
  <c r="CE33" i="67"/>
  <c r="V264" i="72"/>
  <c r="BY29" i="67"/>
  <c r="S444" i="72"/>
  <c r="BV56" i="67"/>
  <c r="N268" i="72"/>
  <c r="BQ33" i="67"/>
  <c r="Z268" i="72"/>
  <c r="CC33" i="67"/>
  <c r="I438" i="72"/>
  <c r="BL50" i="67"/>
  <c r="M438" i="72"/>
  <c r="BP50" i="67"/>
  <c r="Q435" i="72"/>
  <c r="BT47" i="67"/>
  <c r="O440" i="72"/>
  <c r="BR52" i="67"/>
  <c r="AB440" i="72"/>
  <c r="CE52" i="67"/>
  <c r="N444" i="72"/>
  <c r="BQ56" i="67"/>
  <c r="AC444" i="72"/>
  <c r="CF56" i="67"/>
  <c r="R269" i="72"/>
  <c r="BU34" i="67"/>
  <c r="P269" i="72"/>
  <c r="BS34" i="67"/>
  <c r="W264" i="72"/>
  <c r="BZ29" i="67"/>
  <c r="Z89" i="72"/>
  <c r="CC9" i="67"/>
  <c r="Q97" i="72"/>
  <c r="BT17" i="67"/>
  <c r="AB97" i="72"/>
  <c r="CE17" i="67"/>
  <c r="S267" i="72"/>
  <c r="BV32" i="67"/>
  <c r="AG445" i="72"/>
  <c r="CJ57" i="67"/>
  <c r="K95" i="48" s="1"/>
  <c r="O445" i="72"/>
  <c r="BR57" i="67"/>
  <c r="R441" i="72"/>
  <c r="BU53" i="67"/>
  <c r="T441" i="72"/>
  <c r="BW53" i="67"/>
  <c r="P265" i="72"/>
  <c r="BS30" i="67"/>
  <c r="S265" i="72"/>
  <c r="BV30" i="67"/>
  <c r="AF265" i="72"/>
  <c r="CI30" i="67"/>
  <c r="Q92" i="72"/>
  <c r="BT12" i="67"/>
  <c r="X92" i="72"/>
  <c r="CA12" i="67"/>
  <c r="H270" i="72"/>
  <c r="BK35" i="67"/>
  <c r="H93" i="48" s="1"/>
  <c r="J442" i="72"/>
  <c r="BM54" i="67"/>
  <c r="Q442" i="72"/>
  <c r="BT54" i="67"/>
  <c r="I96" i="72"/>
  <c r="BL16" i="67"/>
  <c r="AE89" i="72"/>
  <c r="CH9" i="67"/>
  <c r="T89" i="72"/>
  <c r="BW9" i="67"/>
  <c r="Y94" i="72"/>
  <c r="CB14" i="67"/>
  <c r="S447" i="72"/>
  <c r="BV59" i="67"/>
  <c r="H447" i="72"/>
  <c r="BK59" i="67"/>
  <c r="J97" i="48" s="1"/>
  <c r="AA93" i="72"/>
  <c r="CD13" i="67"/>
  <c r="T93" i="72"/>
  <c r="BW13" i="67"/>
  <c r="AB272" i="72"/>
  <c r="CE37" i="67"/>
  <c r="AG272" i="72"/>
  <c r="CJ37" i="67"/>
  <c r="I95" i="48" s="1"/>
  <c r="L266" i="72"/>
  <c r="BO31" i="67"/>
  <c r="H266" i="72"/>
  <c r="BK31" i="67"/>
  <c r="H89" i="48" s="1"/>
  <c r="U271" i="72"/>
  <c r="BX36" i="67"/>
  <c r="Z271" i="72"/>
  <c r="CC36" i="67"/>
  <c r="Z446" i="72"/>
  <c r="CC58" i="67"/>
  <c r="V437" i="72"/>
  <c r="BY49" i="67"/>
  <c r="T437" i="72"/>
  <c r="BW49" i="67"/>
  <c r="AF87" i="72"/>
  <c r="CI7" i="67"/>
  <c r="L87" i="72"/>
  <c r="BO7" i="67"/>
  <c r="AA87" i="72"/>
  <c r="CD7" i="67"/>
  <c r="Y443" i="72"/>
  <c r="CB55" i="67"/>
  <c r="Z443" i="72"/>
  <c r="CC55" i="67"/>
  <c r="L443" i="72"/>
  <c r="BO55" i="67"/>
  <c r="V90" i="72"/>
  <c r="BY10" i="67"/>
  <c r="AF90" i="72"/>
  <c r="CI10" i="67"/>
  <c r="AF95" i="72"/>
  <c r="CI15" i="67"/>
  <c r="X91" i="72"/>
  <c r="CA11" i="67"/>
  <c r="L91" i="72"/>
  <c r="BO11" i="67"/>
  <c r="P98" i="72"/>
  <c r="BS18" i="67"/>
  <c r="V439" i="72"/>
  <c r="BY51" i="67"/>
  <c r="Q439" i="72"/>
  <c r="BT51" i="67"/>
  <c r="AB439" i="72"/>
  <c r="CE51" i="67"/>
  <c r="BL44" i="67"/>
  <c r="BT23" i="67"/>
  <c r="CB40" i="67"/>
  <c r="CH63" i="67"/>
  <c r="CG44" i="67"/>
  <c r="BM23" i="67"/>
  <c r="CA40" i="67"/>
  <c r="CB62" i="67"/>
  <c r="CF42" i="67"/>
  <c r="CH44" i="67"/>
  <c r="BN23" i="67"/>
  <c r="CH40" i="67"/>
  <c r="CC21" i="67"/>
  <c r="CG8" i="67"/>
  <c r="BP62" i="67"/>
  <c r="CA46" i="67"/>
  <c r="BK26" i="67"/>
  <c r="F104" i="48" s="1"/>
  <c r="BV66" i="67"/>
  <c r="BT44" i="67"/>
  <c r="CE23" i="67"/>
  <c r="BQ40" i="67"/>
  <c r="BS21" i="67"/>
  <c r="CD41" i="67"/>
  <c r="BU22" i="67"/>
  <c r="CF40" i="67"/>
  <c r="CH65" i="67"/>
  <c r="CI28" i="67"/>
  <c r="BU40" i="67"/>
  <c r="BR60" i="67"/>
  <c r="CA20" i="67"/>
  <c r="BL41" i="67"/>
  <c r="BW22" i="67"/>
  <c r="BO46" i="67"/>
  <c r="BL26" i="67"/>
  <c r="CF46" i="67"/>
  <c r="CC41" i="67"/>
  <c r="CI60" i="67"/>
  <c r="BY24" i="67"/>
  <c r="BN8" i="67"/>
  <c r="Q18" i="24"/>
  <c r="F16" i="16" s="1"/>
  <c r="Q16" i="24"/>
  <c r="F14" i="16" s="1"/>
  <c r="Q17" i="24"/>
  <c r="F15" i="16" s="1"/>
  <c r="F10" i="16"/>
  <c r="F26" i="16"/>
  <c r="E147" i="48" s="1"/>
  <c r="J10" i="61"/>
  <c r="D6" i="48" s="1"/>
  <c r="J11" i="61"/>
  <c r="D7" i="48" s="1"/>
  <c r="J14" i="61"/>
  <c r="D9" i="48" s="1"/>
  <c r="C83" i="24"/>
  <c r="Q27" i="24" s="1"/>
  <c r="F25" i="16" s="1"/>
  <c r="G83" i="24"/>
  <c r="Q25" i="24" s="1"/>
  <c r="F23" i="16" s="1"/>
  <c r="E83" i="24"/>
  <c r="F83" i="24"/>
  <c r="D83" i="24"/>
  <c r="H56" i="24"/>
  <c r="Q31" i="24" s="1"/>
  <c r="F29" i="16" s="1"/>
  <c r="E162" i="48" s="1"/>
  <c r="H55" i="24"/>
  <c r="H57" i="24" l="1"/>
  <c r="H31" i="24"/>
  <c r="H18" i="24" s="1"/>
  <c r="H44" i="24"/>
  <c r="H70" i="24"/>
  <c r="H83" i="24"/>
  <c r="AP11" i="73"/>
  <c r="AP15" i="73" s="1"/>
  <c r="AO15" i="73"/>
  <c r="O215" i="18"/>
  <c r="O673" i="18" s="1"/>
  <c r="AF218" i="18"/>
  <c r="AF674" i="18" s="1"/>
  <c r="L639" i="18"/>
  <c r="L680" i="18" s="1"/>
  <c r="T648" i="18"/>
  <c r="T683" i="18" s="1"/>
  <c r="J642" i="18"/>
  <c r="J681" i="18" s="1"/>
  <c r="T397" i="18"/>
  <c r="T433" i="18" s="1"/>
  <c r="T375" i="18"/>
  <c r="T431" i="18" s="1"/>
  <c r="T331" i="18"/>
  <c r="T428" i="18" s="1"/>
  <c r="T444" i="18" s="1"/>
  <c r="T265" i="18"/>
  <c r="T424" i="18" s="1"/>
  <c r="T287" i="18"/>
  <c r="T425" i="18" s="1"/>
  <c r="S648" i="18"/>
  <c r="S683" i="18" s="1"/>
  <c r="AG648" i="18"/>
  <c r="AG683" i="18" s="1"/>
  <c r="I645" i="18"/>
  <c r="I682" i="18" s="1"/>
  <c r="M353" i="18"/>
  <c r="M430" i="18" s="1"/>
  <c r="M265" i="18"/>
  <c r="M424" i="18" s="1"/>
  <c r="M287" i="18"/>
  <c r="M425" i="18" s="1"/>
  <c r="V215" i="18"/>
  <c r="V673" i="18" s="1"/>
  <c r="R215" i="18"/>
  <c r="R673" i="18" s="1"/>
  <c r="AA648" i="18"/>
  <c r="AA683" i="18" s="1"/>
  <c r="Q642" i="18"/>
  <c r="Q681" i="18" s="1"/>
  <c r="I639" i="18"/>
  <c r="I680" i="18" s="1"/>
  <c r="W221" i="18"/>
  <c r="W675" i="18" s="1"/>
  <c r="Q212" i="18"/>
  <c r="Q672" i="18" s="1"/>
  <c r="AB639" i="18"/>
  <c r="AB680" i="18" s="1"/>
  <c r="P645" i="18"/>
  <c r="P682" i="18" s="1"/>
  <c r="AG642" i="18"/>
  <c r="AG681" i="18" s="1"/>
  <c r="I435" i="18"/>
  <c r="I679" i="18" s="1"/>
  <c r="V642" i="18"/>
  <c r="V681" i="18" s="1"/>
  <c r="S218" i="18"/>
  <c r="S674" i="18" s="1"/>
  <c r="X645" i="18"/>
  <c r="X682" i="18" s="1"/>
  <c r="V639" i="18"/>
  <c r="V680" i="18" s="1"/>
  <c r="AA215" i="18"/>
  <c r="AA673" i="18" s="1"/>
  <c r="Y645" i="18"/>
  <c r="Y682" i="18" s="1"/>
  <c r="Q218" i="18"/>
  <c r="Q674" i="18" s="1"/>
  <c r="K221" i="18"/>
  <c r="K675" i="18" s="1"/>
  <c r="AC648" i="18"/>
  <c r="AC683" i="18" s="1"/>
  <c r="L212" i="18"/>
  <c r="L672" i="18" s="1"/>
  <c r="R426" i="18"/>
  <c r="R676" i="18" s="1"/>
  <c r="V645" i="18"/>
  <c r="V682" i="18" s="1"/>
  <c r="U645" i="18"/>
  <c r="U682" i="18" s="1"/>
  <c r="L648" i="18"/>
  <c r="L683" i="18" s="1"/>
  <c r="M218" i="18"/>
  <c r="M674" i="18" s="1"/>
  <c r="N212" i="18"/>
  <c r="N672" i="18" s="1"/>
  <c r="K432" i="18"/>
  <c r="K678" i="18" s="1"/>
  <c r="P215" i="18"/>
  <c r="P673" i="18" s="1"/>
  <c r="N642" i="18"/>
  <c r="N681" i="18" s="1"/>
  <c r="AD642" i="18"/>
  <c r="AD681" i="18" s="1"/>
  <c r="Y642" i="18"/>
  <c r="Y681" i="18" s="1"/>
  <c r="Z645" i="18"/>
  <c r="Z682" i="18" s="1"/>
  <c r="Y639" i="18"/>
  <c r="Y680" i="18" s="1"/>
  <c r="N215" i="18"/>
  <c r="N673" i="18" s="1"/>
  <c r="P212" i="18"/>
  <c r="P672" i="18" s="1"/>
  <c r="AB212" i="18"/>
  <c r="AB672" i="18" s="1"/>
  <c r="AE645" i="18"/>
  <c r="AE682" i="18" s="1"/>
  <c r="AA221" i="18"/>
  <c r="AA675" i="18" s="1"/>
  <c r="Y221" i="18"/>
  <c r="Y675" i="18" s="1"/>
  <c r="Q221" i="18"/>
  <c r="Q675" i="18" s="1"/>
  <c r="J432" i="18"/>
  <c r="J678" i="18" s="1"/>
  <c r="L642" i="18"/>
  <c r="L681" i="18" s="1"/>
  <c r="AG645" i="18"/>
  <c r="AG682" i="18" s="1"/>
  <c r="W648" i="18"/>
  <c r="W683" i="18" s="1"/>
  <c r="Z648" i="18"/>
  <c r="Z683" i="18" s="1"/>
  <c r="S645" i="18"/>
  <c r="S682" i="18" s="1"/>
  <c r="I642" i="18"/>
  <c r="I681" i="18" s="1"/>
  <c r="K212" i="18"/>
  <c r="K672" i="18" s="1"/>
  <c r="AF221" i="18"/>
  <c r="AF675" i="18" s="1"/>
  <c r="Q426" i="18"/>
  <c r="Q676" i="18" s="1"/>
  <c r="K215" i="18"/>
  <c r="K673" i="18" s="1"/>
  <c r="U221" i="18"/>
  <c r="U675" i="18" s="1"/>
  <c r="AE218" i="18"/>
  <c r="AE674" i="18" s="1"/>
  <c r="Y648" i="18"/>
  <c r="Y683" i="18" s="1"/>
  <c r="L215" i="18"/>
  <c r="L673" i="18" s="1"/>
  <c r="I429" i="18"/>
  <c r="I677" i="18" s="1"/>
  <c r="V218" i="18"/>
  <c r="V674" i="18" s="1"/>
  <c r="K218" i="18"/>
  <c r="K674" i="18" s="1"/>
  <c r="S429" i="18"/>
  <c r="S677" i="18" s="1"/>
  <c r="R221" i="18"/>
  <c r="R675" i="18" s="1"/>
  <c r="J639" i="18"/>
  <c r="J680" i="18" s="1"/>
  <c r="R429" i="18"/>
  <c r="R677" i="18" s="1"/>
  <c r="K426" i="18"/>
  <c r="K676" i="18" s="1"/>
  <c r="X218" i="18"/>
  <c r="X674" i="18" s="1"/>
  <c r="P642" i="18"/>
  <c r="P681" i="18" s="1"/>
  <c r="R218" i="18"/>
  <c r="R674" i="18" s="1"/>
  <c r="AA212" i="18"/>
  <c r="AA672" i="18" s="1"/>
  <c r="Q26" i="24"/>
  <c r="F24" i="16" s="1"/>
  <c r="E169" i="48" s="1" a="1"/>
  <c r="E169" i="48" s="1"/>
  <c r="AH648" i="18"/>
  <c r="AH683" i="18" s="1"/>
  <c r="AG221" i="18"/>
  <c r="AG675" i="18" s="1"/>
  <c r="N218" i="18"/>
  <c r="N674" i="18" s="1"/>
  <c r="O639" i="18"/>
  <c r="O680" i="18" s="1"/>
  <c r="E154" i="48" a="1"/>
  <c r="E154" i="48" s="1"/>
  <c r="I648" i="18"/>
  <c r="I683" i="18" s="1"/>
  <c r="I212" i="18"/>
  <c r="I672" i="18" s="1"/>
  <c r="U648" i="18"/>
  <c r="U683" i="18" s="1"/>
  <c r="W215" i="18"/>
  <c r="W673" i="18" s="1"/>
  <c r="M221" i="18"/>
  <c r="M675" i="18" s="1"/>
  <c r="I215" i="18"/>
  <c r="I673" i="18" s="1"/>
  <c r="M639" i="18"/>
  <c r="M680" i="18" s="1"/>
  <c r="Z215" i="18"/>
  <c r="Z673" i="18" s="1"/>
  <c r="Z212" i="18"/>
  <c r="Z672" i="18" s="1"/>
  <c r="I221" i="18"/>
  <c r="I675" i="18" s="1"/>
  <c r="AD215" i="18"/>
  <c r="AD673" i="18" s="1"/>
  <c r="X212" i="18"/>
  <c r="X672" i="18" s="1"/>
  <c r="AF212" i="18"/>
  <c r="AF672" i="18" s="1"/>
  <c r="J429" i="18"/>
  <c r="J677" i="18" s="1"/>
  <c r="Q215" i="18"/>
  <c r="Q673" i="18" s="1"/>
  <c r="AD639" i="18"/>
  <c r="AD680" i="18" s="1"/>
  <c r="AH212" i="18"/>
  <c r="AH672" i="18" s="1"/>
  <c r="AD648" i="18"/>
  <c r="AD683" i="18" s="1"/>
  <c r="W218" i="18"/>
  <c r="W674" i="18" s="1"/>
  <c r="AE648" i="18"/>
  <c r="AE683" i="18" s="1"/>
  <c r="AE221" i="18"/>
  <c r="AE675" i="18" s="1"/>
  <c r="O645" i="18"/>
  <c r="O682" i="18" s="1"/>
  <c r="Y212" i="18"/>
  <c r="Y672" i="18" s="1"/>
  <c r="AB221" i="18"/>
  <c r="AB675" i="18" s="1"/>
  <c r="M642" i="18"/>
  <c r="M681" i="18" s="1"/>
  <c r="AH642" i="18"/>
  <c r="AH681" i="18" s="1"/>
  <c r="J221" i="18"/>
  <c r="J675" i="18" s="1"/>
  <c r="W642" i="18"/>
  <c r="W681" i="18" s="1"/>
  <c r="AC645" i="18"/>
  <c r="AC682" i="18" s="1"/>
  <c r="J426" i="18"/>
  <c r="J676" i="18" s="1"/>
  <c r="L435" i="18"/>
  <c r="L679" i="18" s="1"/>
  <c r="AD645" i="18"/>
  <c r="AD682" i="18" s="1"/>
  <c r="AC215" i="18"/>
  <c r="AC673" i="18" s="1"/>
  <c r="AB642" i="18"/>
  <c r="AB681" i="18" s="1"/>
  <c r="L426" i="18"/>
  <c r="L676" i="18" s="1"/>
  <c r="Z639" i="18"/>
  <c r="Z680" i="18" s="1"/>
  <c r="AF215" i="18"/>
  <c r="AF673" i="18" s="1"/>
  <c r="AC221" i="18"/>
  <c r="AC675" i="18" s="1"/>
  <c r="L218" i="18"/>
  <c r="L674" i="18" s="1"/>
  <c r="M648" i="18"/>
  <c r="M683" i="18" s="1"/>
  <c r="Q639" i="18"/>
  <c r="Q680" i="18" s="1"/>
  <c r="M645" i="18"/>
  <c r="M682" i="18" s="1"/>
  <c r="L221" i="18"/>
  <c r="L675" i="18" s="1"/>
  <c r="AG639" i="18"/>
  <c r="AG680" i="18" s="1"/>
  <c r="U212" i="18"/>
  <c r="U672" i="18" s="1"/>
  <c r="K645" i="18"/>
  <c r="K682" i="18" s="1"/>
  <c r="Z642" i="18"/>
  <c r="Z681" i="18" s="1"/>
  <c r="V212" i="18"/>
  <c r="V672" i="18" s="1"/>
  <c r="X639" i="18"/>
  <c r="X680" i="18" s="1"/>
  <c r="AA642" i="18"/>
  <c r="AA681" i="18" s="1"/>
  <c r="X642" i="18"/>
  <c r="X681" i="18" s="1"/>
  <c r="R432" i="18"/>
  <c r="R678" i="18" s="1"/>
  <c r="I426" i="18"/>
  <c r="I676" i="18" s="1"/>
  <c r="K639" i="18"/>
  <c r="K680" i="18" s="1"/>
  <c r="J212" i="18"/>
  <c r="J672" i="18" s="1"/>
  <c r="S639" i="18"/>
  <c r="S680" i="18" s="1"/>
  <c r="L429" i="18"/>
  <c r="L677" i="18" s="1"/>
  <c r="S432" i="18"/>
  <c r="S678" i="18" s="1"/>
  <c r="M215" i="18"/>
  <c r="M673" i="18" s="1"/>
  <c r="T642" i="18"/>
  <c r="T681" i="18" s="1"/>
  <c r="AH639" i="18"/>
  <c r="AH680" i="18" s="1"/>
  <c r="O212" i="18"/>
  <c r="O672" i="18" s="1"/>
  <c r="V221" i="18"/>
  <c r="V675" i="18" s="1"/>
  <c r="Q648" i="18"/>
  <c r="Q683" i="18" s="1"/>
  <c r="AB215" i="18"/>
  <c r="AB673" i="18" s="1"/>
  <c r="M419" i="18"/>
  <c r="M434" i="18" s="1"/>
  <c r="M309" i="18"/>
  <c r="M427" i="18" s="1"/>
  <c r="M375" i="18"/>
  <c r="M431" i="18" s="1"/>
  <c r="M331" i="18"/>
  <c r="M428" i="18" s="1"/>
  <c r="M444" i="18" s="1"/>
  <c r="M397" i="18"/>
  <c r="M433" i="18" s="1"/>
  <c r="O648" i="18"/>
  <c r="O683" i="18" s="1"/>
  <c r="R642" i="18"/>
  <c r="R681" i="18" s="1"/>
  <c r="AF642" i="18"/>
  <c r="AF681" i="18" s="1"/>
  <c r="J215" i="18"/>
  <c r="J673" i="18" s="1"/>
  <c r="AB218" i="18"/>
  <c r="AB674" i="18" s="1"/>
  <c r="S642" i="18"/>
  <c r="S681" i="18" s="1"/>
  <c r="U642" i="18"/>
  <c r="U681" i="18" s="1"/>
  <c r="N648" i="18"/>
  <c r="N683" i="18" s="1"/>
  <c r="AA639" i="18"/>
  <c r="AA680" i="18" s="1"/>
  <c r="O218" i="18"/>
  <c r="O674" i="18" s="1"/>
  <c r="U639" i="18"/>
  <c r="U680" i="18" s="1"/>
  <c r="R648" i="18"/>
  <c r="R683" i="18" s="1"/>
  <c r="Y218" i="18"/>
  <c r="Y674" i="18" s="1"/>
  <c r="J218" i="18"/>
  <c r="J674" i="18" s="1"/>
  <c r="AC642" i="18"/>
  <c r="AC681" i="18" s="1"/>
  <c r="AH215" i="18"/>
  <c r="AH673" i="18" s="1"/>
  <c r="AA645" i="18"/>
  <c r="AA682" i="18" s="1"/>
  <c r="K429" i="18"/>
  <c r="K677" i="18" s="1"/>
  <c r="S212" i="18"/>
  <c r="S672" i="18" s="1"/>
  <c r="O221" i="18"/>
  <c r="O675" i="18" s="1"/>
  <c r="I432" i="18"/>
  <c r="I678" i="18" s="1"/>
  <c r="AC218" i="18"/>
  <c r="AC674" i="18" s="1"/>
  <c r="X221" i="18"/>
  <c r="X675" i="18" s="1"/>
  <c r="AE639" i="18"/>
  <c r="AE680" i="18" s="1"/>
  <c r="R435" i="18"/>
  <c r="R679" i="18" s="1"/>
  <c r="Z218" i="18"/>
  <c r="Z674" i="18" s="1"/>
  <c r="L432" i="18"/>
  <c r="L678" i="18" s="1"/>
  <c r="Q432" i="18"/>
  <c r="Q678" i="18" s="1"/>
  <c r="T639" i="18"/>
  <c r="T680" i="18" s="1"/>
  <c r="T353" i="18"/>
  <c r="T430" i="18" s="1"/>
  <c r="T309" i="18"/>
  <c r="T427" i="18" s="1"/>
  <c r="T419" i="18"/>
  <c r="T434" i="18" s="1"/>
  <c r="AB648" i="18"/>
  <c r="AB683" i="18" s="1"/>
  <c r="U218" i="18"/>
  <c r="U674" i="18" s="1"/>
  <c r="Z221" i="18"/>
  <c r="Z675" i="18" s="1"/>
  <c r="AG218" i="18"/>
  <c r="AG674" i="18" s="1"/>
  <c r="AG212" i="18"/>
  <c r="AG672" i="18" s="1"/>
  <c r="J645" i="18"/>
  <c r="J682" i="18" s="1"/>
  <c r="I218" i="18"/>
  <c r="I674" i="18" s="1"/>
  <c r="AE642" i="18"/>
  <c r="AE681" i="18" s="1"/>
  <c r="S426" i="18"/>
  <c r="S676" i="18" s="1"/>
  <c r="X215" i="18"/>
  <c r="X673" i="18" s="1"/>
  <c r="AH221" i="18"/>
  <c r="AH675" i="18" s="1"/>
  <c r="T221" i="18"/>
  <c r="T675" i="18" s="1"/>
  <c r="Y215" i="18"/>
  <c r="Y673" i="18" s="1"/>
  <c r="P221" i="18"/>
  <c r="P675" i="18" s="1"/>
  <c r="O642" i="18"/>
  <c r="O681" i="18" s="1"/>
  <c r="AF645" i="18"/>
  <c r="AF682" i="18" s="1"/>
  <c r="V648" i="18"/>
  <c r="V683" i="18" s="1"/>
  <c r="Q429" i="18"/>
  <c r="Q677" i="18" s="1"/>
  <c r="Q645" i="18"/>
  <c r="Q682" i="18" s="1"/>
  <c r="Q435" i="18"/>
  <c r="Q679" i="18" s="1"/>
  <c r="P639" i="18"/>
  <c r="P680" i="18" s="1"/>
  <c r="AH218" i="18"/>
  <c r="AH674" i="18" s="1"/>
  <c r="U215" i="18"/>
  <c r="U673" i="18" s="1"/>
  <c r="R212" i="18"/>
  <c r="R672" i="18" s="1"/>
  <c r="L645" i="18"/>
  <c r="L682" i="18" s="1"/>
  <c r="J435" i="18"/>
  <c r="J679" i="18" s="1"/>
  <c r="AE212" i="18"/>
  <c r="AE672" i="18" s="1"/>
  <c r="S221" i="18"/>
  <c r="S675" i="18" s="1"/>
  <c r="S215" i="18"/>
  <c r="S673" i="18" s="1"/>
  <c r="S435" i="18"/>
  <c r="S679" i="18" s="1"/>
  <c r="AB645" i="18"/>
  <c r="AB682" i="18" s="1"/>
  <c r="W639" i="18"/>
  <c r="W680" i="18" s="1"/>
  <c r="AF639" i="18"/>
  <c r="AF680" i="18" s="1"/>
  <c r="T215" i="18"/>
  <c r="T673" i="18" s="1"/>
  <c r="AH645" i="18"/>
  <c r="AH682" i="18" s="1"/>
  <c r="X648" i="18"/>
  <c r="X683" i="18" s="1"/>
  <c r="AC212" i="18"/>
  <c r="AC672" i="18" s="1"/>
  <c r="T218" i="18"/>
  <c r="T674" i="18" s="1"/>
  <c r="K435" i="18"/>
  <c r="K679" i="18" s="1"/>
  <c r="R645" i="18"/>
  <c r="R682" i="18" s="1"/>
  <c r="P218" i="18"/>
  <c r="P674" i="18" s="1"/>
  <c r="K642" i="18"/>
  <c r="K681" i="18" s="1"/>
  <c r="N645" i="18"/>
  <c r="N682" i="18" s="1"/>
  <c r="N639" i="18"/>
  <c r="N680" i="18" s="1"/>
  <c r="P648" i="18"/>
  <c r="P683" i="18" s="1"/>
  <c r="AG215" i="18"/>
  <c r="AG673" i="18" s="1"/>
  <c r="AC639" i="18"/>
  <c r="AC680" i="18" s="1"/>
  <c r="AF648" i="18"/>
  <c r="AF683" i="18" s="1"/>
  <c r="M212" i="18"/>
  <c r="M672" i="18" s="1"/>
  <c r="N221" i="18"/>
  <c r="N675" i="18" s="1"/>
  <c r="W645" i="18"/>
  <c r="W682" i="18" s="1"/>
  <c r="T212" i="18"/>
  <c r="T672" i="18" s="1"/>
  <c r="T645" i="18"/>
  <c r="T682" i="18" s="1"/>
  <c r="AD218" i="18"/>
  <c r="AD674" i="18" s="1"/>
  <c r="AE215" i="18"/>
  <c r="AE673" i="18" s="1"/>
  <c r="R639" i="18"/>
  <c r="R680" i="18" s="1"/>
  <c r="AD221" i="18"/>
  <c r="AD675" i="18" s="1"/>
  <c r="AA218" i="18"/>
  <c r="AA674" i="18" s="1"/>
  <c r="K648" i="18"/>
  <c r="K683" i="18" s="1"/>
  <c r="J648" i="18"/>
  <c r="J683" i="18" s="1"/>
  <c r="AD212" i="18"/>
  <c r="AD672" i="18" s="1"/>
  <c r="W212" i="18"/>
  <c r="W672" i="18" s="1"/>
  <c r="C57" i="24"/>
  <c r="F19" i="16" s="1"/>
  <c r="G57" i="24"/>
  <c r="F17" i="16" s="1"/>
  <c r="E57" i="24"/>
  <c r="D57" i="24"/>
  <c r="F57" i="24"/>
  <c r="M28" i="62"/>
  <c r="M29" i="62"/>
  <c r="M30" i="62"/>
  <c r="M31" i="62"/>
  <c r="M32" i="62"/>
  <c r="M33" i="62"/>
  <c r="M34" i="62"/>
  <c r="M35" i="62"/>
  <c r="M36" i="62"/>
  <c r="M37" i="62"/>
  <c r="M38" i="62"/>
  <c r="M39" i="62"/>
  <c r="M40" i="62"/>
  <c r="M41" i="62"/>
  <c r="M42" i="62"/>
  <c r="M43" i="62"/>
  <c r="M44" i="62"/>
  <c r="M45" i="62"/>
  <c r="M46" i="62"/>
  <c r="M47" i="62"/>
  <c r="M48" i="62"/>
  <c r="M49" i="62"/>
  <c r="M50" i="62"/>
  <c r="B26" i="62"/>
  <c r="E72" i="61"/>
  <c r="O693" i="18" l="1"/>
  <c r="AF694" i="18"/>
  <c r="AQ11" i="73"/>
  <c r="AG695" i="18"/>
  <c r="L692" i="18"/>
  <c r="U397" i="18"/>
  <c r="U433" i="18" s="1"/>
  <c r="U353" i="18"/>
  <c r="U430" i="18" s="1"/>
  <c r="U331" i="18"/>
  <c r="U428" i="18" s="1"/>
  <c r="U444" i="18" s="1"/>
  <c r="U265" i="18"/>
  <c r="U424" i="18" s="1"/>
  <c r="U309" i="18"/>
  <c r="U427" i="18" s="1"/>
  <c r="Q693" i="18"/>
  <c r="N419" i="18"/>
  <c r="N434" i="18" s="1"/>
  <c r="N331" i="18"/>
  <c r="N428" i="18" s="1"/>
  <c r="N444" i="18" s="1"/>
  <c r="N265" i="18"/>
  <c r="N424" i="18" s="1"/>
  <c r="V693" i="18"/>
  <c r="R689" i="18"/>
  <c r="R693" i="18"/>
  <c r="AA693" i="18"/>
  <c r="S694" i="18"/>
  <c r="AA695" i="18"/>
  <c r="X694" i="18"/>
  <c r="AC695" i="18"/>
  <c r="AE694" i="18"/>
  <c r="T426" i="18"/>
  <c r="T676" i="18" s="1"/>
  <c r="T688" i="18" s="1"/>
  <c r="S690" i="18"/>
  <c r="I695" i="18"/>
  <c r="AB692" i="18"/>
  <c r="K691" i="18"/>
  <c r="Q692" i="18"/>
  <c r="W695" i="18"/>
  <c r="K689" i="18"/>
  <c r="Q688" i="18"/>
  <c r="Q694" i="18"/>
  <c r="L688" i="18"/>
  <c r="F682" i="18"/>
  <c r="F680" i="18"/>
  <c r="V692" i="18"/>
  <c r="F674" i="18"/>
  <c r="R690" i="18"/>
  <c r="Z692" i="18"/>
  <c r="F681" i="18"/>
  <c r="Q690" i="18"/>
  <c r="F673" i="18"/>
  <c r="F683" i="18"/>
  <c r="K695" i="18"/>
  <c r="I691" i="18"/>
  <c r="F675" i="18"/>
  <c r="M694" i="18"/>
  <c r="V694" i="18"/>
  <c r="N693" i="18"/>
  <c r="F672" i="18"/>
  <c r="AE695" i="18"/>
  <c r="Y695" i="18"/>
  <c r="J692" i="18"/>
  <c r="P692" i="18"/>
  <c r="Q691" i="18"/>
  <c r="U695" i="18"/>
  <c r="N692" i="18"/>
  <c r="Q695" i="18"/>
  <c r="Q689" i="18"/>
  <c r="X692" i="18"/>
  <c r="R695" i="18"/>
  <c r="K688" i="18"/>
  <c r="N694" i="18"/>
  <c r="M435" i="18"/>
  <c r="M679" i="18" s="1"/>
  <c r="L690" i="18"/>
  <c r="Y692" i="18"/>
  <c r="Z693" i="18"/>
  <c r="I688" i="18"/>
  <c r="K690" i="18"/>
  <c r="K694" i="18"/>
  <c r="J688" i="18"/>
  <c r="L694" i="18"/>
  <c r="AD693" i="18"/>
  <c r="P693" i="18"/>
  <c r="T432" i="18"/>
  <c r="T678" i="18" s="1"/>
  <c r="T690" i="18" s="1"/>
  <c r="M432" i="18"/>
  <c r="M678" i="18" s="1"/>
  <c r="M690" i="18" s="1"/>
  <c r="AA692" i="18"/>
  <c r="K693" i="18"/>
  <c r="W694" i="18"/>
  <c r="AC693" i="18"/>
  <c r="K692" i="18"/>
  <c r="AF695" i="18"/>
  <c r="AB695" i="18"/>
  <c r="L693" i="18"/>
  <c r="AF693" i="18"/>
  <c r="L689" i="18"/>
  <c r="I693" i="18"/>
  <c r="I689" i="18"/>
  <c r="AF692" i="18"/>
  <c r="J695" i="18"/>
  <c r="M426" i="18"/>
  <c r="M676" i="18" s="1"/>
  <c r="M688" i="18" s="1"/>
  <c r="R691" i="18"/>
  <c r="L691" i="18"/>
  <c r="AH692" i="18"/>
  <c r="M695" i="18"/>
  <c r="R694" i="18"/>
  <c r="I692" i="18"/>
  <c r="L695" i="18"/>
  <c r="U692" i="18"/>
  <c r="T435" i="18"/>
  <c r="T679" i="18" s="1"/>
  <c r="T691" i="18" s="1"/>
  <c r="W693" i="18"/>
  <c r="T695" i="18"/>
  <c r="AD692" i="18"/>
  <c r="T693" i="18"/>
  <c r="AG693" i="18"/>
  <c r="O694" i="18"/>
  <c r="AA694" i="18"/>
  <c r="S689" i="18"/>
  <c r="S693" i="18"/>
  <c r="Z694" i="18"/>
  <c r="AG694" i="18"/>
  <c r="J690" i="18"/>
  <c r="J694" i="18"/>
  <c r="Z695" i="18"/>
  <c r="AD695" i="18"/>
  <c r="AC694" i="18"/>
  <c r="S691" i="18"/>
  <c r="S695" i="18"/>
  <c r="AG692" i="18"/>
  <c r="M693" i="18"/>
  <c r="AE693" i="18"/>
  <c r="P695" i="18"/>
  <c r="U694" i="18"/>
  <c r="Y694" i="18"/>
  <c r="M429" i="18"/>
  <c r="M677" i="18" s="1"/>
  <c r="M689" i="18" s="1"/>
  <c r="I690" i="18"/>
  <c r="I694" i="18"/>
  <c r="F18" i="16"/>
  <c r="E159" i="48" s="1" a="1"/>
  <c r="E159" i="48" s="1"/>
  <c r="AD694" i="18"/>
  <c r="Y693" i="18"/>
  <c r="O695" i="18"/>
  <c r="AH695" i="18"/>
  <c r="AB693" i="18"/>
  <c r="P694" i="18"/>
  <c r="S688" i="18"/>
  <c r="S692" i="18"/>
  <c r="T694" i="18"/>
  <c r="AE692" i="18"/>
  <c r="T692" i="18"/>
  <c r="N375" i="18"/>
  <c r="N431" i="18" s="1"/>
  <c r="N397" i="18"/>
  <c r="N433" i="18" s="1"/>
  <c r="N309" i="18"/>
  <c r="N427" i="18" s="1"/>
  <c r="N287" i="18"/>
  <c r="N425" i="18" s="1"/>
  <c r="N353" i="18"/>
  <c r="N430" i="18" s="1"/>
  <c r="AB694" i="18"/>
  <c r="V695" i="18"/>
  <c r="J691" i="18"/>
  <c r="J693" i="18"/>
  <c r="J689" i="18"/>
  <c r="O692" i="18"/>
  <c r="X693" i="18"/>
  <c r="R692" i="18"/>
  <c r="R688" i="18"/>
  <c r="U287" i="18"/>
  <c r="U425" i="18" s="1"/>
  <c r="U375" i="18"/>
  <c r="U431" i="18" s="1"/>
  <c r="U419" i="18"/>
  <c r="U434" i="18" s="1"/>
  <c r="U693" i="18"/>
  <c r="AH693" i="18"/>
  <c r="N695" i="18"/>
  <c r="AC692" i="18"/>
  <c r="AH694" i="18"/>
  <c r="T429" i="18"/>
  <c r="T677" i="18" s="1"/>
  <c r="T689" i="18" s="1"/>
  <c r="W692" i="18"/>
  <c r="M692" i="18"/>
  <c r="X695" i="18"/>
  <c r="B27" i="62"/>
  <c r="B28" i="62" s="1"/>
  <c r="B29" i="62" s="1"/>
  <c r="B30" i="62" s="1"/>
  <c r="B31" i="62" s="1"/>
  <c r="B32" i="62" s="1"/>
  <c r="B33" i="62" s="1"/>
  <c r="B34" i="62" s="1"/>
  <c r="B35" i="62" s="1"/>
  <c r="B36" i="62" s="1"/>
  <c r="B37" i="62" s="1"/>
  <c r="B38" i="62" s="1"/>
  <c r="B39" i="62" s="1"/>
  <c r="B40" i="62" s="1"/>
  <c r="B41" i="62" s="1"/>
  <c r="B42" i="62" s="1"/>
  <c r="B43" i="62" s="1"/>
  <c r="B44" i="62" s="1"/>
  <c r="B45" i="62" s="1"/>
  <c r="B46" i="62" s="1"/>
  <c r="B47" i="62" s="1"/>
  <c r="B48" i="62" s="1"/>
  <c r="B49" i="62" s="1"/>
  <c r="B50" i="62" s="1"/>
  <c r="G16" i="61"/>
  <c r="G15" i="61"/>
  <c r="F16" i="61"/>
  <c r="F15" i="61"/>
  <c r="E16" i="61"/>
  <c r="E15" i="61"/>
  <c r="D16" i="61"/>
  <c r="D15" i="61"/>
  <c r="C15" i="61"/>
  <c r="C16" i="61"/>
  <c r="G9" i="61"/>
  <c r="G8" i="61"/>
  <c r="F9" i="61"/>
  <c r="F8" i="61"/>
  <c r="E9" i="61"/>
  <c r="E8" i="61"/>
  <c r="D9" i="61"/>
  <c r="D8" i="61"/>
  <c r="H8" i="61" s="1"/>
  <c r="C9" i="61"/>
  <c r="G16" i="62"/>
  <c r="H16" i="62"/>
  <c r="I16" i="62"/>
  <c r="H17" i="62" l="1"/>
  <c r="I17" i="62" s="1"/>
  <c r="I8" i="61"/>
  <c r="I9" i="61"/>
  <c r="J8" i="61"/>
  <c r="AR11" i="73"/>
  <c r="AQ15" i="73"/>
  <c r="V419" i="18"/>
  <c r="V434" i="18" s="1"/>
  <c r="V375" i="18"/>
  <c r="V431" i="18" s="1"/>
  <c r="V265" i="18"/>
  <c r="V424" i="18" s="1"/>
  <c r="V309" i="18"/>
  <c r="V427" i="18" s="1"/>
  <c r="V287" i="18"/>
  <c r="V425" i="18" s="1"/>
  <c r="O309" i="18"/>
  <c r="O427" i="18" s="1"/>
  <c r="O265" i="18"/>
  <c r="O424" i="18" s="1"/>
  <c r="P287" i="18"/>
  <c r="P425" i="18" s="1"/>
  <c r="P353" i="18"/>
  <c r="P430" i="18" s="1"/>
  <c r="P265" i="18"/>
  <c r="P424" i="18" s="1"/>
  <c r="P419" i="18"/>
  <c r="P434" i="18" s="1"/>
  <c r="P331" i="18"/>
  <c r="P428" i="18" s="1"/>
  <c r="P444" i="18" s="1"/>
  <c r="F695" i="18"/>
  <c r="E246" i="48" s="1"/>
  <c r="F693" i="18"/>
  <c r="E244" i="48" s="1"/>
  <c r="F694" i="18"/>
  <c r="E245" i="48" s="1"/>
  <c r="F692" i="18"/>
  <c r="E243" i="48" s="1"/>
  <c r="U432" i="18"/>
  <c r="U678" i="18" s="1"/>
  <c r="U690" i="18" s="1"/>
  <c r="M691" i="18"/>
  <c r="N429" i="18"/>
  <c r="N677" i="18" s="1"/>
  <c r="U426" i="18"/>
  <c r="U676" i="18" s="1"/>
  <c r="U688" i="18" s="1"/>
  <c r="U435" i="18"/>
  <c r="U679" i="18" s="1"/>
  <c r="U691" i="18" s="1"/>
  <c r="N426" i="18"/>
  <c r="N676" i="18" s="1"/>
  <c r="P375" i="18"/>
  <c r="P431" i="18" s="1"/>
  <c r="P309" i="18"/>
  <c r="P427" i="18" s="1"/>
  <c r="P397" i="18"/>
  <c r="P433" i="18" s="1"/>
  <c r="N432" i="18"/>
  <c r="N678" i="18" s="1"/>
  <c r="N435" i="18"/>
  <c r="N679" i="18" s="1"/>
  <c r="U429" i="18"/>
  <c r="U677" i="18" s="1"/>
  <c r="U689" i="18" s="1"/>
  <c r="V353" i="18"/>
  <c r="V430" i="18" s="1"/>
  <c r="V397" i="18"/>
  <c r="V433" i="18" s="1"/>
  <c r="V331" i="18"/>
  <c r="V428" i="18" s="1"/>
  <c r="V444" i="18" s="1"/>
  <c r="O353" i="18"/>
  <c r="O430" i="18" s="1"/>
  <c r="O375" i="18"/>
  <c r="O431" i="18" s="1"/>
  <c r="O397" i="18"/>
  <c r="O433" i="18" s="1"/>
  <c r="O419" i="18"/>
  <c r="O434" i="18" s="1"/>
  <c r="O287" i="18"/>
  <c r="O425" i="18" s="1"/>
  <c r="O331" i="18"/>
  <c r="O428" i="18" s="1"/>
  <c r="O444" i="18" s="1"/>
  <c r="C17" i="61"/>
  <c r="C12" i="61"/>
  <c r="F12" i="61"/>
  <c r="F17" i="61"/>
  <c r="D12" i="61"/>
  <c r="D17" i="61"/>
  <c r="E12" i="61"/>
  <c r="E17" i="61"/>
  <c r="G17" i="61"/>
  <c r="G12" i="61"/>
  <c r="H9" i="61"/>
  <c r="K27" i="62" l="1"/>
  <c r="K26" i="62"/>
  <c r="M26" i="62" s="1"/>
  <c r="K25" i="62"/>
  <c r="M25" i="62" s="1"/>
  <c r="AS11" i="73"/>
  <c r="AS15" i="73" s="1"/>
  <c r="AR15" i="73"/>
  <c r="W419" i="18"/>
  <c r="W434" i="18" s="1"/>
  <c r="W353" i="18"/>
  <c r="W430" i="18" s="1"/>
  <c r="W265" i="18"/>
  <c r="W424" i="18" s="1"/>
  <c r="I12" i="61"/>
  <c r="O435" i="18"/>
  <c r="O679" i="18" s="1"/>
  <c r="O691" i="18" s="1"/>
  <c r="V435" i="18"/>
  <c r="V679" i="18" s="1"/>
  <c r="V691" i="18" s="1"/>
  <c r="N689" i="18"/>
  <c r="P432" i="18"/>
  <c r="P678" i="18" s="1"/>
  <c r="P690" i="18" s="1"/>
  <c r="V432" i="18"/>
  <c r="V678" i="18" s="1"/>
  <c r="V690" i="18" s="1"/>
  <c r="P426" i="18"/>
  <c r="P676" i="18" s="1"/>
  <c r="P688" i="18" s="1"/>
  <c r="P435" i="18"/>
  <c r="P679" i="18" s="1"/>
  <c r="P429" i="18"/>
  <c r="P677" i="18" s="1"/>
  <c r="P689" i="18" s="1"/>
  <c r="N688" i="18"/>
  <c r="O429" i="18"/>
  <c r="O677" i="18" s="1"/>
  <c r="O689" i="18" s="1"/>
  <c r="V429" i="18"/>
  <c r="V677" i="18" s="1"/>
  <c r="V689" i="18" s="1"/>
  <c r="W287" i="18"/>
  <c r="W425" i="18" s="1"/>
  <c r="W309" i="18"/>
  <c r="W427" i="18" s="1"/>
  <c r="W397" i="18"/>
  <c r="W433" i="18" s="1"/>
  <c r="W375" i="18"/>
  <c r="W431" i="18" s="1"/>
  <c r="W331" i="18"/>
  <c r="W428" i="18" s="1"/>
  <c r="W444" i="18" s="1"/>
  <c r="O432" i="18"/>
  <c r="O678" i="18" s="1"/>
  <c r="O690" i="18" s="1"/>
  <c r="O426" i="18"/>
  <c r="O676" i="18" s="1"/>
  <c r="V426" i="18"/>
  <c r="V676" i="18" s="1"/>
  <c r="V688" i="18" s="1"/>
  <c r="N691" i="18"/>
  <c r="N690" i="18"/>
  <c r="M27" i="62"/>
  <c r="J9" i="61"/>
  <c r="D5" i="48" s="1"/>
  <c r="F116" i="48"/>
  <c r="D116" i="48"/>
  <c r="C116" i="48"/>
  <c r="F114" i="48"/>
  <c r="D114" i="48"/>
  <c r="C114" i="48"/>
  <c r="E20" i="1"/>
  <c r="C139" i="48"/>
  <c r="D139" i="48"/>
  <c r="E139" i="48"/>
  <c r="C140" i="48"/>
  <c r="D140" i="48"/>
  <c r="E140" i="48"/>
  <c r="C141" i="48"/>
  <c r="D141" i="48"/>
  <c r="E141" i="48"/>
  <c r="C142" i="48"/>
  <c r="D142" i="48"/>
  <c r="E142" i="48"/>
  <c r="F142" i="48"/>
  <c r="AT11" i="73" l="1"/>
  <c r="X331" i="18"/>
  <c r="X428" i="18" s="1"/>
  <c r="X444" i="18" s="1"/>
  <c r="X419" i="18"/>
  <c r="X434" i="18" s="1"/>
  <c r="X353" i="18"/>
  <c r="X430" i="18" s="1"/>
  <c r="X265" i="18"/>
  <c r="X424" i="18" s="1"/>
  <c r="X287" i="18"/>
  <c r="X425" i="18" s="1"/>
  <c r="W435" i="18"/>
  <c r="W679" i="18" s="1"/>
  <c r="W691" i="18" s="1"/>
  <c r="O688" i="18"/>
  <c r="P691" i="18"/>
  <c r="W429" i="18"/>
  <c r="W677" i="18" s="1"/>
  <c r="W689" i="18" s="1"/>
  <c r="W432" i="18"/>
  <c r="W678" i="18" s="1"/>
  <c r="W690" i="18" s="1"/>
  <c r="W426" i="18"/>
  <c r="W676" i="18" s="1"/>
  <c r="W688" i="18" s="1"/>
  <c r="X375" i="18"/>
  <c r="X431" i="18" s="1"/>
  <c r="X397" i="18"/>
  <c r="X433" i="18" s="1"/>
  <c r="X309" i="18"/>
  <c r="X427" i="18" s="1"/>
  <c r="E114" i="48"/>
  <c r="M51" i="62"/>
  <c r="E255" i="48" s="1"/>
  <c r="AU11" i="73" l="1"/>
  <c r="AT15" i="73"/>
  <c r="Y375" i="18"/>
  <c r="Y431" i="18" s="1"/>
  <c r="Y419" i="18"/>
  <c r="Y434" i="18" s="1"/>
  <c r="Y397" i="18"/>
  <c r="Y433" i="18" s="1"/>
  <c r="Y331" i="18"/>
  <c r="Y428" i="18" s="1"/>
  <c r="Y444" i="18" s="1"/>
  <c r="Y353" i="18"/>
  <c r="Y430" i="18" s="1"/>
  <c r="Y287" i="18"/>
  <c r="Y425" i="18" s="1"/>
  <c r="Y265" i="18"/>
  <c r="Y424" i="18" s="1"/>
  <c r="X432" i="18"/>
  <c r="X678" i="18" s="1"/>
  <c r="X690" i="18" s="1"/>
  <c r="Y309" i="18"/>
  <c r="Y427" i="18" s="1"/>
  <c r="X429" i="18"/>
  <c r="X677" i="18" s="1"/>
  <c r="X689" i="18" s="1"/>
  <c r="X435" i="18"/>
  <c r="X679" i="18" s="1"/>
  <c r="X426" i="18"/>
  <c r="X676" i="18" s="1"/>
  <c r="X688" i="18" s="1"/>
  <c r="F111" i="48"/>
  <c r="F110" i="48"/>
  <c r="F108" i="48"/>
  <c r="E108" i="48" a="1"/>
  <c r="E108" i="48" s="1"/>
  <c r="D108" i="48" a="1"/>
  <c r="D108" i="48" s="1"/>
  <c r="C108" i="48" a="1"/>
  <c r="C108" i="48" s="1"/>
  <c r="F256" i="48"/>
  <c r="E256" i="48"/>
  <c r="D256" i="48"/>
  <c r="C256" i="48"/>
  <c r="AV11" i="73" l="1"/>
  <c r="AV15" i="73" s="1"/>
  <c r="AU15" i="73"/>
  <c r="Z375" i="18"/>
  <c r="Z431" i="18" s="1"/>
  <c r="Z419" i="18"/>
  <c r="Z434" i="18" s="1"/>
  <c r="Z331" i="18"/>
  <c r="Z428" i="18" s="1"/>
  <c r="Z444" i="18" s="1"/>
  <c r="Z287" i="18"/>
  <c r="Z425" i="18" s="1"/>
  <c r="Z309" i="18"/>
  <c r="Z427" i="18" s="1"/>
  <c r="Z265" i="18"/>
  <c r="Z424" i="18" s="1"/>
  <c r="Z397" i="18"/>
  <c r="Z433" i="18" s="1"/>
  <c r="Z353" i="18"/>
  <c r="Z430" i="18" s="1"/>
  <c r="X691" i="18"/>
  <c r="Y435" i="18"/>
  <c r="Y679" i="18" s="1"/>
  <c r="Y691" i="18" s="1"/>
  <c r="Y426" i="18"/>
  <c r="Y676" i="18" s="1"/>
  <c r="Y688" i="18" s="1"/>
  <c r="Y432" i="18"/>
  <c r="Y678" i="18" s="1"/>
  <c r="Y690" i="18" s="1"/>
  <c r="Y429" i="18"/>
  <c r="Y677" i="18" s="1"/>
  <c r="Y689" i="18" s="1"/>
  <c r="F115" i="48"/>
  <c r="F112" i="48"/>
  <c r="E113" i="48"/>
  <c r="E112" i="48"/>
  <c r="D115" i="48"/>
  <c r="D113" i="48"/>
  <c r="D112" i="48"/>
  <c r="C115" i="48"/>
  <c r="C113" i="48"/>
  <c r="C112" i="48"/>
  <c r="C16" i="48"/>
  <c r="AA419" i="18" l="1"/>
  <c r="AA434" i="18" s="1"/>
  <c r="AA265" i="18"/>
  <c r="AA424" i="18" s="1"/>
  <c r="AA287" i="18"/>
  <c r="AA425" i="18" s="1"/>
  <c r="Z426" i="18"/>
  <c r="Z676" i="18" s="1"/>
  <c r="Z688" i="18" s="1"/>
  <c r="Z435" i="18"/>
  <c r="Z679" i="18" s="1"/>
  <c r="Z691" i="18" s="1"/>
  <c r="AA375" i="18"/>
  <c r="AA431" i="18" s="1"/>
  <c r="AA397" i="18"/>
  <c r="AA433" i="18" s="1"/>
  <c r="AA353" i="18"/>
  <c r="AA430" i="18" s="1"/>
  <c r="AA331" i="18"/>
  <c r="AA428" i="18" s="1"/>
  <c r="AA444" i="18" s="1"/>
  <c r="AA309" i="18"/>
  <c r="AA427" i="18" s="1"/>
  <c r="Z429" i="18"/>
  <c r="Z677" i="18" s="1"/>
  <c r="Z689" i="18" s="1"/>
  <c r="Z432" i="18"/>
  <c r="Z678" i="18" s="1"/>
  <c r="Z690" i="18" s="1"/>
  <c r="C180" i="68"/>
  <c r="D14" i="68"/>
  <c r="C14" i="68"/>
  <c r="D13" i="68"/>
  <c r="C13" i="68"/>
  <c r="D12" i="68"/>
  <c r="D11" i="68"/>
  <c r="D9" i="68"/>
  <c r="D8" i="68"/>
  <c r="AB309" i="18" l="1"/>
  <c r="AB427" i="18" s="1"/>
  <c r="AB331" i="18"/>
  <c r="AB428" i="18" s="1"/>
  <c r="AB444" i="18" s="1"/>
  <c r="AB287" i="18"/>
  <c r="AB425" i="18" s="1"/>
  <c r="AB375" i="18"/>
  <c r="AB431" i="18" s="1"/>
  <c r="AB265" i="18"/>
  <c r="AB424" i="18" s="1"/>
  <c r="AA426" i="18"/>
  <c r="AA676" i="18" s="1"/>
  <c r="AA688" i="18" s="1"/>
  <c r="AA432" i="18"/>
  <c r="AA678" i="18" s="1"/>
  <c r="AA690" i="18" s="1"/>
  <c r="AA435" i="18"/>
  <c r="AA679" i="18" s="1"/>
  <c r="AA691" i="18" s="1"/>
  <c r="AB419" i="18"/>
  <c r="AB434" i="18" s="1"/>
  <c r="AB353" i="18"/>
  <c r="AB430" i="18" s="1"/>
  <c r="AB397" i="18"/>
  <c r="AB433" i="18" s="1"/>
  <c r="AA429" i="18"/>
  <c r="AA677" i="18" s="1"/>
  <c r="AA689" i="18" s="1"/>
  <c r="C7" i="16"/>
  <c r="D7" i="16"/>
  <c r="F7" i="16"/>
  <c r="I8" i="29"/>
  <c r="I9" i="29"/>
  <c r="E17" i="1"/>
  <c r="I268" i="48" l="1"/>
  <c r="I284" i="48"/>
  <c r="G279" i="48"/>
  <c r="E274" i="48"/>
  <c r="I285" i="48"/>
  <c r="G280" i="48"/>
  <c r="E275" i="48"/>
  <c r="I272" i="48"/>
  <c r="G283" i="48"/>
  <c r="G268" i="48"/>
  <c r="E279" i="48"/>
  <c r="E273" i="48"/>
  <c r="I269" i="48"/>
  <c r="I270" i="48"/>
  <c r="I265" i="48"/>
  <c r="G281" i="48"/>
  <c r="E276" i="48"/>
  <c r="G282" i="48"/>
  <c r="G267" i="48"/>
  <c r="E278" i="48"/>
  <c r="G284" i="48"/>
  <c r="I271" i="48"/>
  <c r="G266" i="48"/>
  <c r="E277" i="48"/>
  <c r="I273" i="48"/>
  <c r="I274" i="48"/>
  <c r="G269" i="48"/>
  <c r="G285" i="48"/>
  <c r="E280" i="48"/>
  <c r="G270" i="48"/>
  <c r="E281" i="48"/>
  <c r="G271" i="48"/>
  <c r="E282" i="48"/>
  <c r="E272" i="48"/>
  <c r="I275" i="48"/>
  <c r="G265" i="48"/>
  <c r="E266" i="48"/>
  <c r="I276" i="48"/>
  <c r="I267" i="48"/>
  <c r="I277" i="48"/>
  <c r="G272" i="48"/>
  <c r="E267" i="48"/>
  <c r="E283" i="48"/>
  <c r="G273" i="48"/>
  <c r="E268" i="48"/>
  <c r="G274" i="48"/>
  <c r="E269" i="48"/>
  <c r="E285" i="48"/>
  <c r="G277" i="48"/>
  <c r="I283" i="48"/>
  <c r="I278" i="48"/>
  <c r="E284" i="48"/>
  <c r="I279" i="48"/>
  <c r="I280" i="48"/>
  <c r="G275" i="48"/>
  <c r="E270" i="48"/>
  <c r="E265" i="48"/>
  <c r="I282" i="48"/>
  <c r="I281" i="48"/>
  <c r="G276" i="48"/>
  <c r="E271" i="48"/>
  <c r="I266" i="48"/>
  <c r="G278" i="48"/>
  <c r="I44" i="61"/>
  <c r="E57" i="61" s="1"/>
  <c r="AC353" i="18"/>
  <c r="AC430" i="18" s="1"/>
  <c r="AC287" i="18"/>
  <c r="AC425" i="18" s="1"/>
  <c r="AC309" i="18"/>
  <c r="AC427" i="18" s="1"/>
  <c r="AC331" i="18"/>
  <c r="AC428" i="18" s="1"/>
  <c r="AC444" i="18" s="1"/>
  <c r="AC265" i="18"/>
  <c r="AC424" i="18" s="1"/>
  <c r="H263" i="48"/>
  <c r="H271" i="48"/>
  <c r="H279" i="48"/>
  <c r="F263" i="48"/>
  <c r="F271" i="48"/>
  <c r="F279" i="48"/>
  <c r="D263" i="48"/>
  <c r="D271" i="48"/>
  <c r="D279" i="48"/>
  <c r="F261" i="48"/>
  <c r="H264" i="48"/>
  <c r="H272" i="48"/>
  <c r="H280" i="48"/>
  <c r="F264" i="48"/>
  <c r="F272" i="48"/>
  <c r="F280" i="48"/>
  <c r="D264" i="48"/>
  <c r="D272" i="48"/>
  <c r="D280" i="48"/>
  <c r="D261" i="48"/>
  <c r="H269" i="48"/>
  <c r="H281" i="48"/>
  <c r="F267" i="48"/>
  <c r="F277" i="48"/>
  <c r="D265" i="48"/>
  <c r="D275" i="48"/>
  <c r="D285" i="48"/>
  <c r="H270" i="48"/>
  <c r="H282" i="48"/>
  <c r="F268" i="48"/>
  <c r="F278" i="48"/>
  <c r="D266" i="48"/>
  <c r="D276" i="48"/>
  <c r="H261" i="48"/>
  <c r="H273" i="48"/>
  <c r="H283" i="48"/>
  <c r="F269" i="48"/>
  <c r="F281" i="48"/>
  <c r="D267" i="48"/>
  <c r="D277" i="48"/>
  <c r="H275" i="48"/>
  <c r="F273" i="48"/>
  <c r="H262" i="48"/>
  <c r="H274" i="48"/>
  <c r="H284" i="48"/>
  <c r="F270" i="48"/>
  <c r="F282" i="48"/>
  <c r="D268" i="48"/>
  <c r="D278" i="48"/>
  <c r="H265" i="48"/>
  <c r="F262" i="48"/>
  <c r="F285" i="48"/>
  <c r="D283" i="48"/>
  <c r="H277" i="48"/>
  <c r="H285" i="48"/>
  <c r="H266" i="48"/>
  <c r="F265" i="48"/>
  <c r="D262" i="48"/>
  <c r="D284" i="48"/>
  <c r="D270" i="48"/>
  <c r="H276" i="48"/>
  <c r="F276" i="48"/>
  <c r="D274" i="48"/>
  <c r="H278" i="48"/>
  <c r="D281" i="48"/>
  <c r="F284" i="48"/>
  <c r="H267" i="48"/>
  <c r="F266" i="48"/>
  <c r="D269" i="48"/>
  <c r="H268" i="48"/>
  <c r="F274" i="48"/>
  <c r="F275" i="48"/>
  <c r="D273" i="48"/>
  <c r="F283" i="48"/>
  <c r="D282" i="48"/>
  <c r="H44" i="61"/>
  <c r="H12" i="61"/>
  <c r="O15" i="65"/>
  <c r="W15" i="65"/>
  <c r="AE15" i="65"/>
  <c r="R12" i="65"/>
  <c r="Z12" i="65"/>
  <c r="M9" i="65"/>
  <c r="U9" i="65"/>
  <c r="AC9" i="65"/>
  <c r="S15" i="65"/>
  <c r="Q9" i="65"/>
  <c r="AC15" i="65"/>
  <c r="X12" i="65"/>
  <c r="S9" i="65"/>
  <c r="N15" i="65"/>
  <c r="AD15" i="65"/>
  <c r="Q12" i="65"/>
  <c r="Y12" i="65"/>
  <c r="L9" i="65"/>
  <c r="T9" i="65"/>
  <c r="AB9" i="65"/>
  <c r="P15" i="65"/>
  <c r="X15" i="65"/>
  <c r="K15" i="65"/>
  <c r="S12" i="65"/>
  <c r="AA12" i="65"/>
  <c r="N9" i="65"/>
  <c r="V9" i="65"/>
  <c r="AD9" i="65"/>
  <c r="T15" i="65"/>
  <c r="M15" i="65"/>
  <c r="Q15" i="65"/>
  <c r="Y15" i="65"/>
  <c r="L12" i="65"/>
  <c r="T12" i="65"/>
  <c r="AB12" i="65"/>
  <c r="O9" i="65"/>
  <c r="W9" i="65"/>
  <c r="AE9" i="65"/>
  <c r="L15" i="65"/>
  <c r="AB15" i="65"/>
  <c r="W12" i="65"/>
  <c r="AE12" i="65"/>
  <c r="R9" i="65"/>
  <c r="U15" i="65"/>
  <c r="P12" i="65"/>
  <c r="K12" i="65"/>
  <c r="AA9" i="65"/>
  <c r="V15" i="65"/>
  <c r="R15" i="65"/>
  <c r="Z15" i="65"/>
  <c r="M12" i="65"/>
  <c r="U12" i="65"/>
  <c r="AC12" i="65"/>
  <c r="P9" i="65"/>
  <c r="X9" i="65"/>
  <c r="K9" i="65"/>
  <c r="AA15" i="65"/>
  <c r="N12" i="65"/>
  <c r="V12" i="65"/>
  <c r="AD12" i="65"/>
  <c r="Y9" i="65"/>
  <c r="O12" i="65"/>
  <c r="Z9" i="65"/>
  <c r="AB432" i="18"/>
  <c r="AB678" i="18" s="1"/>
  <c r="AB690" i="18" s="1"/>
  <c r="AB435" i="18"/>
  <c r="AB679" i="18" s="1"/>
  <c r="AB691" i="18" s="1"/>
  <c r="AB429" i="18"/>
  <c r="AB677" i="18" s="1"/>
  <c r="AB689" i="18" s="1"/>
  <c r="AB426" i="18"/>
  <c r="AB676" i="18" s="1"/>
  <c r="AB688" i="18" s="1"/>
  <c r="AC397" i="18"/>
  <c r="AC433" i="18" s="1"/>
  <c r="AC419" i="18"/>
  <c r="AC434" i="18" s="1"/>
  <c r="AC375" i="18"/>
  <c r="AC431" i="18" s="1"/>
  <c r="C44" i="61"/>
  <c r="C47" i="61"/>
  <c r="C50" i="61"/>
  <c r="C12" i="29" s="1"/>
  <c r="C46" i="61"/>
  <c r="F46" i="61"/>
  <c r="F50" i="61"/>
  <c r="D12" i="29" s="1"/>
  <c r="F47" i="61"/>
  <c r="G46" i="61"/>
  <c r="E47" i="61"/>
  <c r="D50" i="61"/>
  <c r="E50" i="61"/>
  <c r="G47" i="61"/>
  <c r="D47" i="61"/>
  <c r="G50" i="61"/>
  <c r="E46" i="61"/>
  <c r="D46" i="61"/>
  <c r="H46" i="61"/>
  <c r="H50" i="61"/>
  <c r="I46" i="61"/>
  <c r="I50" i="61"/>
  <c r="I47" i="61"/>
  <c r="H47" i="61"/>
  <c r="J47" i="61"/>
  <c r="J46" i="61"/>
  <c r="J50" i="61"/>
  <c r="C51" i="61"/>
  <c r="C13" i="29" s="1"/>
  <c r="G45" i="61"/>
  <c r="D44" i="61"/>
  <c r="D51" i="61"/>
  <c r="F45" i="61"/>
  <c r="G52" i="61"/>
  <c r="C45" i="61"/>
  <c r="D52" i="61"/>
  <c r="E51" i="61"/>
  <c r="C52" i="61"/>
  <c r="C14" i="29" s="1"/>
  <c r="E44" i="61"/>
  <c r="F51" i="61"/>
  <c r="D13" i="29" s="1"/>
  <c r="D45" i="61"/>
  <c r="G51" i="61"/>
  <c r="E45" i="61"/>
  <c r="E52" i="61"/>
  <c r="F52" i="61"/>
  <c r="D14" i="29" s="1"/>
  <c r="G44" i="61"/>
  <c r="F44" i="61"/>
  <c r="H45" i="61"/>
  <c r="I45" i="61"/>
  <c r="J45" i="61"/>
  <c r="C38" i="16"/>
  <c r="C93" i="16"/>
  <c r="C118" i="16"/>
  <c r="C63" i="16"/>
  <c r="I16" i="61"/>
  <c r="I52" i="61" s="1"/>
  <c r="H16" i="61"/>
  <c r="H52" i="61" s="1"/>
  <c r="I15" i="61"/>
  <c r="I51" i="61" s="1"/>
  <c r="H15" i="61"/>
  <c r="H51" i="61" s="1"/>
  <c r="AD265" i="18" l="1"/>
  <c r="AD424" i="18" s="1"/>
  <c r="AD287" i="18"/>
  <c r="AD425" i="18" s="1"/>
  <c r="W64" i="61"/>
  <c r="X64" i="61"/>
  <c r="Y64" i="61"/>
  <c r="Z64" i="61"/>
  <c r="AC64" i="61"/>
  <c r="AD64" i="61"/>
  <c r="AE64" i="61"/>
  <c r="E64" i="61"/>
  <c r="F64" i="61"/>
  <c r="G64" i="61"/>
  <c r="M64" i="61"/>
  <c r="J64" i="61"/>
  <c r="O64" i="61"/>
  <c r="P64" i="61"/>
  <c r="Q64" i="61"/>
  <c r="K64" i="61"/>
  <c r="H64" i="61"/>
  <c r="L64" i="61"/>
  <c r="I64" i="61"/>
  <c r="N64" i="61"/>
  <c r="D64" i="61"/>
  <c r="AB64" i="61"/>
  <c r="S64" i="61"/>
  <c r="AA64" i="61"/>
  <c r="R64" i="61"/>
  <c r="T64" i="61"/>
  <c r="U64" i="61"/>
  <c r="V64" i="61"/>
  <c r="Z60" i="61"/>
  <c r="AA60" i="61"/>
  <c r="F60" i="61"/>
  <c r="AD60" i="61"/>
  <c r="AD68" i="61" s="1"/>
  <c r="G60" i="61"/>
  <c r="AE60" i="61"/>
  <c r="H60" i="61"/>
  <c r="E60" i="61"/>
  <c r="I60" i="61"/>
  <c r="J60" i="61"/>
  <c r="K60" i="61"/>
  <c r="L60" i="61"/>
  <c r="M60" i="61"/>
  <c r="N60" i="61"/>
  <c r="O60" i="61"/>
  <c r="P60" i="61"/>
  <c r="Q60" i="61"/>
  <c r="W60" i="61"/>
  <c r="R60" i="61"/>
  <c r="U60" i="61"/>
  <c r="V60" i="61"/>
  <c r="S60" i="61"/>
  <c r="AC60" i="61"/>
  <c r="T60" i="61"/>
  <c r="X60" i="61"/>
  <c r="Y60" i="61"/>
  <c r="AB60" i="61"/>
  <c r="AA59" i="61"/>
  <c r="AB59" i="61"/>
  <c r="AC59" i="61"/>
  <c r="H59" i="61"/>
  <c r="I59" i="61"/>
  <c r="J59" i="61"/>
  <c r="K59" i="61"/>
  <c r="E59" i="61"/>
  <c r="L59" i="61"/>
  <c r="M59" i="61"/>
  <c r="P59" i="61"/>
  <c r="N59" i="61"/>
  <c r="O59" i="61"/>
  <c r="Q59" i="61"/>
  <c r="R59" i="61"/>
  <c r="S59" i="61"/>
  <c r="W59" i="61"/>
  <c r="Y59" i="61"/>
  <c r="Z59" i="61"/>
  <c r="AE59" i="61"/>
  <c r="G59" i="61"/>
  <c r="T59" i="61"/>
  <c r="U59" i="61"/>
  <c r="X59" i="61"/>
  <c r="AD59" i="61"/>
  <c r="F59" i="61"/>
  <c r="V59" i="61"/>
  <c r="AC58" i="61"/>
  <c r="F58" i="61"/>
  <c r="AD58" i="61"/>
  <c r="G58" i="61"/>
  <c r="AE58" i="61"/>
  <c r="J58" i="61"/>
  <c r="K58" i="61"/>
  <c r="L58" i="61"/>
  <c r="M58" i="61"/>
  <c r="N58" i="61"/>
  <c r="E58" i="61"/>
  <c r="O58" i="61"/>
  <c r="R58" i="61"/>
  <c r="T58" i="61"/>
  <c r="P58" i="61"/>
  <c r="Q58" i="61"/>
  <c r="S58" i="61"/>
  <c r="U58" i="61"/>
  <c r="I58" i="61"/>
  <c r="Z58" i="61"/>
  <c r="H58" i="61"/>
  <c r="AA58" i="61"/>
  <c r="AB58" i="61"/>
  <c r="V58" i="61"/>
  <c r="W58" i="61"/>
  <c r="X58" i="61"/>
  <c r="Y58" i="61"/>
  <c r="H57" i="61"/>
  <c r="I57" i="61"/>
  <c r="J57" i="61"/>
  <c r="K57" i="61"/>
  <c r="N57" i="61"/>
  <c r="O57" i="61"/>
  <c r="P57" i="61"/>
  <c r="Q57" i="61"/>
  <c r="R57" i="61"/>
  <c r="S57" i="61"/>
  <c r="V57" i="61"/>
  <c r="X57" i="61"/>
  <c r="T57" i="61"/>
  <c r="U57" i="61"/>
  <c r="W57" i="61"/>
  <c r="Y57" i="61"/>
  <c r="G57" i="61"/>
  <c r="L57" i="61"/>
  <c r="M57" i="61"/>
  <c r="AC57" i="61"/>
  <c r="AD57" i="61"/>
  <c r="AE57" i="61"/>
  <c r="F57" i="61"/>
  <c r="Z57" i="61"/>
  <c r="AA57" i="61"/>
  <c r="AB57" i="61"/>
  <c r="K61" i="61"/>
  <c r="L61" i="61"/>
  <c r="M61" i="61"/>
  <c r="N61" i="61"/>
  <c r="O61" i="61"/>
  <c r="P61" i="61"/>
  <c r="Q61" i="61"/>
  <c r="R61" i="61"/>
  <c r="R65" i="61" s="1"/>
  <c r="S61" i="61"/>
  <c r="T61" i="61"/>
  <c r="E61" i="61"/>
  <c r="U61" i="61"/>
  <c r="F61" i="61"/>
  <c r="V61" i="61"/>
  <c r="G61" i="61"/>
  <c r="Y61" i="61"/>
  <c r="AA61" i="61"/>
  <c r="W61" i="61"/>
  <c r="H61" i="61"/>
  <c r="X61" i="61"/>
  <c r="I61" i="61"/>
  <c r="J61" i="61"/>
  <c r="Z61" i="61"/>
  <c r="AB61" i="61"/>
  <c r="AC61" i="61"/>
  <c r="AD61" i="61"/>
  <c r="AE61" i="61"/>
  <c r="D61" i="61"/>
  <c r="D80" i="61"/>
  <c r="T63" i="61"/>
  <c r="U63" i="61"/>
  <c r="V63" i="61"/>
  <c r="V67" i="61" s="1"/>
  <c r="W63" i="61"/>
  <c r="E63" i="61"/>
  <c r="Y63" i="61"/>
  <c r="Z63" i="61"/>
  <c r="H63" i="61"/>
  <c r="AA63" i="61"/>
  <c r="I63" i="61"/>
  <c r="AB63" i="61"/>
  <c r="J63" i="61"/>
  <c r="AC63" i="61"/>
  <c r="AD63" i="61"/>
  <c r="AE63" i="61"/>
  <c r="K63" i="61"/>
  <c r="L63" i="61"/>
  <c r="M63" i="61"/>
  <c r="D63" i="61"/>
  <c r="G63" i="61"/>
  <c r="N63" i="61"/>
  <c r="R63" i="61"/>
  <c r="F63" i="61"/>
  <c r="O63" i="61"/>
  <c r="P63" i="61"/>
  <c r="Q63" i="61"/>
  <c r="Q67" i="61" s="1"/>
  <c r="S63" i="61"/>
  <c r="X63" i="61"/>
  <c r="Q62" i="61"/>
  <c r="H62" i="61"/>
  <c r="R62" i="61"/>
  <c r="I62" i="61"/>
  <c r="S62" i="61"/>
  <c r="J62" i="61"/>
  <c r="T62" i="61"/>
  <c r="U62" i="61"/>
  <c r="V62" i="61"/>
  <c r="W62" i="61"/>
  <c r="X62" i="61"/>
  <c r="Y62" i="61"/>
  <c r="Z62" i="61"/>
  <c r="AA62" i="61"/>
  <c r="AB62" i="61"/>
  <c r="K62" i="61"/>
  <c r="AC62" i="61"/>
  <c r="AD62" i="61"/>
  <c r="AE62" i="61"/>
  <c r="F62" i="61"/>
  <c r="L62" i="61"/>
  <c r="P62" i="61"/>
  <c r="E62" i="61"/>
  <c r="G62" i="61"/>
  <c r="D62" i="61"/>
  <c r="M62" i="61"/>
  <c r="N62" i="61"/>
  <c r="O62" i="61"/>
  <c r="K80" i="61"/>
  <c r="I80" i="61"/>
  <c r="J80" i="61"/>
  <c r="H80" i="61"/>
  <c r="G80" i="61"/>
  <c r="E80" i="61"/>
  <c r="F80" i="61"/>
  <c r="D58" i="61"/>
  <c r="D60" i="61"/>
  <c r="D59" i="61"/>
  <c r="D57" i="61"/>
  <c r="D73" i="61"/>
  <c r="AD76" i="61"/>
  <c r="AC76" i="61"/>
  <c r="X76" i="61"/>
  <c r="L76" i="61"/>
  <c r="T76" i="61"/>
  <c r="AB76" i="61"/>
  <c r="W76" i="61"/>
  <c r="M76" i="61"/>
  <c r="V76" i="61"/>
  <c r="Y76" i="61"/>
  <c r="N76" i="61"/>
  <c r="Z76" i="61"/>
  <c r="O76" i="61"/>
  <c r="U76" i="61"/>
  <c r="AA76" i="61"/>
  <c r="Q76" i="61"/>
  <c r="R76" i="61"/>
  <c r="S76" i="61"/>
  <c r="AE76" i="61"/>
  <c r="P76" i="61"/>
  <c r="E286" i="48"/>
  <c r="AA83" i="61"/>
  <c r="Q83" i="61"/>
  <c r="AC83" i="61"/>
  <c r="X83" i="61"/>
  <c r="N83" i="61"/>
  <c r="Y83" i="61"/>
  <c r="O83" i="61"/>
  <c r="Z83" i="61"/>
  <c r="P83" i="61"/>
  <c r="W83" i="61"/>
  <c r="L83" i="61"/>
  <c r="M83" i="61"/>
  <c r="R83" i="61"/>
  <c r="AD83" i="61"/>
  <c r="AE83" i="61"/>
  <c r="S83" i="61"/>
  <c r="T83" i="61"/>
  <c r="AB83" i="61"/>
  <c r="U83" i="61"/>
  <c r="V83" i="61"/>
  <c r="G286" i="48"/>
  <c r="Y78" i="61"/>
  <c r="S78" i="61"/>
  <c r="AA78" i="61"/>
  <c r="P78" i="61"/>
  <c r="Q78" i="61"/>
  <c r="R78" i="61"/>
  <c r="AB78" i="61"/>
  <c r="W78" i="61"/>
  <c r="T78" i="61"/>
  <c r="AC78" i="61"/>
  <c r="X78" i="61"/>
  <c r="U78" i="61"/>
  <c r="Z78" i="61"/>
  <c r="V78" i="61"/>
  <c r="M78" i="61"/>
  <c r="N78" i="61"/>
  <c r="O78" i="61"/>
  <c r="AD78" i="61"/>
  <c r="L78" i="61"/>
  <c r="AE78" i="61"/>
  <c r="W86" i="61"/>
  <c r="M86" i="61"/>
  <c r="U86" i="61"/>
  <c r="P86" i="61"/>
  <c r="X86" i="61"/>
  <c r="Q86" i="61"/>
  <c r="Y86" i="61"/>
  <c r="R86" i="61"/>
  <c r="AD86" i="61"/>
  <c r="L86" i="61"/>
  <c r="AE86" i="61"/>
  <c r="N86" i="61"/>
  <c r="AB86" i="61"/>
  <c r="O86" i="61"/>
  <c r="T86" i="61"/>
  <c r="V86" i="61"/>
  <c r="Z86" i="61"/>
  <c r="AA86" i="61"/>
  <c r="AC86" i="61"/>
  <c r="S86" i="61"/>
  <c r="AA77" i="61"/>
  <c r="Q77" i="61"/>
  <c r="AD77" i="61"/>
  <c r="T77" i="61"/>
  <c r="AE77" i="61"/>
  <c r="AB77" i="61"/>
  <c r="L77" i="61"/>
  <c r="U77" i="61"/>
  <c r="AC77" i="61"/>
  <c r="M77" i="61"/>
  <c r="V77" i="61"/>
  <c r="N77" i="61"/>
  <c r="W77" i="61"/>
  <c r="O77" i="61"/>
  <c r="X77" i="61"/>
  <c r="P77" i="61"/>
  <c r="S77" i="61"/>
  <c r="Y77" i="61"/>
  <c r="R77" i="61"/>
  <c r="Z77" i="61"/>
  <c r="D286" i="48"/>
  <c r="AD85" i="61"/>
  <c r="AC85" i="61"/>
  <c r="P85" i="61"/>
  <c r="AA85" i="61"/>
  <c r="R85" i="61"/>
  <c r="S85" i="61"/>
  <c r="T85" i="61"/>
  <c r="AE85" i="61"/>
  <c r="W85" i="61"/>
  <c r="V85" i="61"/>
  <c r="X85" i="61"/>
  <c r="AB85" i="61"/>
  <c r="Y85" i="61"/>
  <c r="L85" i="61"/>
  <c r="Z85" i="61"/>
  <c r="M85" i="61"/>
  <c r="O85" i="61"/>
  <c r="N85" i="61"/>
  <c r="Q85" i="61"/>
  <c r="U85" i="61"/>
  <c r="AD73" i="61"/>
  <c r="AC73" i="61"/>
  <c r="P73" i="61"/>
  <c r="AE73" i="61"/>
  <c r="Y73" i="61"/>
  <c r="T73" i="61"/>
  <c r="AB73" i="61"/>
  <c r="Z73" i="61"/>
  <c r="L73" i="61"/>
  <c r="U73" i="61"/>
  <c r="AA73" i="61"/>
  <c r="M73" i="61"/>
  <c r="V73" i="61"/>
  <c r="N73" i="61"/>
  <c r="W73" i="61"/>
  <c r="Q73" i="61"/>
  <c r="O73" i="61"/>
  <c r="X73" i="61"/>
  <c r="R73" i="61"/>
  <c r="S73" i="61"/>
  <c r="AD79" i="61"/>
  <c r="AC79" i="61"/>
  <c r="P79" i="61"/>
  <c r="N79" i="61"/>
  <c r="W79" i="61"/>
  <c r="O79" i="61"/>
  <c r="X79" i="61"/>
  <c r="Q79" i="61"/>
  <c r="AE79" i="61"/>
  <c r="U79" i="61"/>
  <c r="V79" i="61"/>
  <c r="AB79" i="61"/>
  <c r="Y79" i="61"/>
  <c r="L79" i="61"/>
  <c r="AA79" i="61"/>
  <c r="M79" i="61"/>
  <c r="R79" i="61"/>
  <c r="T79" i="61"/>
  <c r="Z79" i="61"/>
  <c r="S79" i="61"/>
  <c r="D74" i="61"/>
  <c r="Z74" i="61"/>
  <c r="R74" i="61"/>
  <c r="X74" i="61"/>
  <c r="P74" i="61"/>
  <c r="Y74" i="61"/>
  <c r="Q74" i="61"/>
  <c r="AA74" i="61"/>
  <c r="S74" i="61"/>
  <c r="AD74" i="61"/>
  <c r="N74" i="61"/>
  <c r="AE74" i="61"/>
  <c r="O74" i="61"/>
  <c r="AB74" i="61"/>
  <c r="T74" i="61"/>
  <c r="AC74" i="61"/>
  <c r="W74" i="61"/>
  <c r="U74" i="61"/>
  <c r="L74" i="61"/>
  <c r="M74" i="61"/>
  <c r="V74" i="61"/>
  <c r="D75" i="61"/>
  <c r="O75" i="61"/>
  <c r="N75" i="61"/>
  <c r="P75" i="61"/>
  <c r="Q75" i="61"/>
  <c r="AA75" i="61"/>
  <c r="S75" i="61"/>
  <c r="T75" i="61"/>
  <c r="AD75" i="61"/>
  <c r="U75" i="61"/>
  <c r="AE75" i="61"/>
  <c r="V75" i="61"/>
  <c r="AC75" i="61"/>
  <c r="X75" i="61"/>
  <c r="Y75" i="61"/>
  <c r="Z75" i="61"/>
  <c r="L75" i="61"/>
  <c r="W75" i="61"/>
  <c r="AB75" i="61"/>
  <c r="M75" i="61"/>
  <c r="R75" i="61"/>
  <c r="AD82" i="61"/>
  <c r="AC82" i="61"/>
  <c r="X82" i="61"/>
  <c r="L82" i="61"/>
  <c r="L89" i="61" s="1"/>
  <c r="T82" i="61"/>
  <c r="P82" i="61"/>
  <c r="Q82" i="61"/>
  <c r="R82" i="61"/>
  <c r="AA82" i="61"/>
  <c r="V82" i="61"/>
  <c r="M82" i="61"/>
  <c r="O82" i="61"/>
  <c r="S82" i="61"/>
  <c r="U82" i="61"/>
  <c r="W82" i="61"/>
  <c r="Y82" i="61"/>
  <c r="AB82" i="61"/>
  <c r="Z82" i="61"/>
  <c r="AE82" i="61"/>
  <c r="N82" i="61"/>
  <c r="W80" i="61"/>
  <c r="M80" i="61"/>
  <c r="U80" i="61"/>
  <c r="AE80" i="61"/>
  <c r="AB80" i="61"/>
  <c r="Z80" i="61"/>
  <c r="L80" i="61"/>
  <c r="V80" i="61"/>
  <c r="AC80" i="61"/>
  <c r="AA80" i="61"/>
  <c r="N80" i="61"/>
  <c r="O80" i="61"/>
  <c r="AD80" i="61"/>
  <c r="P80" i="61"/>
  <c r="Q80" i="61"/>
  <c r="S80" i="61"/>
  <c r="X80" i="61"/>
  <c r="T80" i="61"/>
  <c r="Y80" i="61"/>
  <c r="R80" i="61"/>
  <c r="I286" i="48"/>
  <c r="N84" i="61"/>
  <c r="V84" i="61"/>
  <c r="AD84" i="61"/>
  <c r="L84" i="61"/>
  <c r="U84" i="61"/>
  <c r="AE84" i="61"/>
  <c r="AB84" i="61"/>
  <c r="M84" i="61"/>
  <c r="AC84" i="61"/>
  <c r="O84" i="61"/>
  <c r="P84" i="61"/>
  <c r="Q84" i="61"/>
  <c r="W84" i="61"/>
  <c r="R84" i="61"/>
  <c r="X84" i="61"/>
  <c r="S84" i="61"/>
  <c r="Z84" i="61"/>
  <c r="AA84" i="61"/>
  <c r="T84" i="61"/>
  <c r="Y84" i="61"/>
  <c r="O81" i="61"/>
  <c r="Y81" i="61"/>
  <c r="R81" i="61"/>
  <c r="Z81" i="61"/>
  <c r="S81" i="61"/>
  <c r="AA81" i="61"/>
  <c r="T81" i="61"/>
  <c r="Q81" i="61"/>
  <c r="U81" i="61"/>
  <c r="AD81" i="61"/>
  <c r="V81" i="61"/>
  <c r="AE81" i="61"/>
  <c r="W81" i="61"/>
  <c r="M81" i="61"/>
  <c r="AB81" i="61"/>
  <c r="X81" i="61"/>
  <c r="L81" i="61"/>
  <c r="AC81" i="61"/>
  <c r="P81" i="61"/>
  <c r="N81" i="61"/>
  <c r="F286" i="48"/>
  <c r="H286" i="48"/>
  <c r="E14" i="29"/>
  <c r="AC426" i="18"/>
  <c r="AC676" i="18" s="1"/>
  <c r="AC688" i="18" s="1"/>
  <c r="AC432" i="18"/>
  <c r="AC678" i="18" s="1"/>
  <c r="AC690" i="18" s="1"/>
  <c r="AC429" i="18"/>
  <c r="AC677" i="18" s="1"/>
  <c r="AC689" i="18" s="1"/>
  <c r="AD419" i="18"/>
  <c r="AD434" i="18" s="1"/>
  <c r="AD375" i="18"/>
  <c r="AD431" i="18" s="1"/>
  <c r="AD397" i="18"/>
  <c r="AD433" i="18" s="1"/>
  <c r="AD353" i="18"/>
  <c r="AD430" i="18" s="1"/>
  <c r="AD309" i="18"/>
  <c r="AD427" i="18" s="1"/>
  <c r="AD331" i="18"/>
  <c r="AD428" i="18" s="1"/>
  <c r="AD444" i="18" s="1"/>
  <c r="AC435" i="18"/>
  <c r="AC679" i="18" s="1"/>
  <c r="AC691" i="18" s="1"/>
  <c r="H48" i="61"/>
  <c r="E12" i="29"/>
  <c r="F76" i="61"/>
  <c r="I76" i="61"/>
  <c r="G76" i="61"/>
  <c r="E76" i="61"/>
  <c r="J76" i="61"/>
  <c r="D76" i="61"/>
  <c r="H76" i="61"/>
  <c r="K76" i="61"/>
  <c r="D11" i="29"/>
  <c r="D22" i="29"/>
  <c r="D83" i="61"/>
  <c r="E83" i="61"/>
  <c r="K83" i="61"/>
  <c r="F83" i="61"/>
  <c r="I83" i="61"/>
  <c r="G83" i="61"/>
  <c r="J83" i="61"/>
  <c r="H83" i="61"/>
  <c r="F77" i="61"/>
  <c r="I77" i="61"/>
  <c r="G77" i="61"/>
  <c r="J77" i="61"/>
  <c r="E77" i="61"/>
  <c r="H77" i="61"/>
  <c r="D77" i="61"/>
  <c r="K77" i="61"/>
  <c r="E84" i="61"/>
  <c r="H84" i="61"/>
  <c r="D84" i="61"/>
  <c r="F84" i="61"/>
  <c r="G84" i="61"/>
  <c r="K84" i="61"/>
  <c r="J84" i="61"/>
  <c r="I84" i="61"/>
  <c r="E81" i="61"/>
  <c r="F81" i="61"/>
  <c r="K81" i="61"/>
  <c r="D81" i="61"/>
  <c r="J81" i="61"/>
  <c r="I81" i="61"/>
  <c r="G81" i="61"/>
  <c r="H81" i="61"/>
  <c r="C9" i="29"/>
  <c r="C20" i="29"/>
  <c r="D10" i="29"/>
  <c r="D21" i="29"/>
  <c r="K82" i="61"/>
  <c r="E82" i="61"/>
  <c r="I82" i="61"/>
  <c r="J82" i="61"/>
  <c r="G82" i="61"/>
  <c r="D82" i="61"/>
  <c r="H82" i="61"/>
  <c r="F82" i="61"/>
  <c r="D8" i="29"/>
  <c r="F48" i="61"/>
  <c r="D19" i="29"/>
  <c r="F53" i="61"/>
  <c r="C10" i="29"/>
  <c r="C21" i="29"/>
  <c r="E53" i="61"/>
  <c r="E48" i="61"/>
  <c r="G53" i="61"/>
  <c r="G48" i="61"/>
  <c r="E13" i="29"/>
  <c r="C22" i="29"/>
  <c r="C11" i="29"/>
  <c r="D9" i="29"/>
  <c r="D20" i="29"/>
  <c r="D48" i="61"/>
  <c r="D53" i="61"/>
  <c r="C8" i="29"/>
  <c r="C19" i="29"/>
  <c r="C48" i="61"/>
  <c r="C53" i="61"/>
  <c r="E85" i="61"/>
  <c r="J85" i="61"/>
  <c r="F85" i="61"/>
  <c r="G85" i="61"/>
  <c r="H85" i="61"/>
  <c r="I85" i="61"/>
  <c r="D85" i="61"/>
  <c r="K85" i="61"/>
  <c r="J73" i="61"/>
  <c r="K73" i="61"/>
  <c r="E73" i="61"/>
  <c r="F73" i="61"/>
  <c r="G73" i="61"/>
  <c r="H73" i="61"/>
  <c r="I73" i="61"/>
  <c r="G78" i="61"/>
  <c r="F78" i="61"/>
  <c r="I78" i="61"/>
  <c r="D78" i="61"/>
  <c r="J78" i="61"/>
  <c r="H78" i="61"/>
  <c r="K78" i="61"/>
  <c r="E78" i="61"/>
  <c r="F86" i="61"/>
  <c r="J86" i="61"/>
  <c r="G86" i="61"/>
  <c r="H86" i="61"/>
  <c r="K86" i="61"/>
  <c r="I86" i="61"/>
  <c r="E86" i="61"/>
  <c r="D86" i="61"/>
  <c r="E79" i="61"/>
  <c r="F79" i="61"/>
  <c r="G79" i="61"/>
  <c r="H79" i="61"/>
  <c r="K79" i="61"/>
  <c r="I79" i="61"/>
  <c r="J79" i="61"/>
  <c r="D79" i="61"/>
  <c r="H53" i="61"/>
  <c r="I53" i="61"/>
  <c r="I48" i="61"/>
  <c r="H17" i="61"/>
  <c r="I17" i="61"/>
  <c r="G75" i="61"/>
  <c r="H74" i="61"/>
  <c r="J16" i="61"/>
  <c r="J15" i="61"/>
  <c r="AE67" i="61" l="1"/>
  <c r="AE375" i="18"/>
  <c r="AE431" i="18" s="1"/>
  <c r="AE265" i="18"/>
  <c r="AE424" i="18" s="1"/>
  <c r="AE287" i="18"/>
  <c r="AE425" i="18" s="1"/>
  <c r="AE353" i="18"/>
  <c r="AE430" i="18" s="1"/>
  <c r="V65" i="61"/>
  <c r="Z68" i="61"/>
  <c r="F66" i="61"/>
  <c r="H68" i="61"/>
  <c r="N68" i="61"/>
  <c r="W65" i="61"/>
  <c r="E68" i="61"/>
  <c r="E67" i="61"/>
  <c r="U68" i="61"/>
  <c r="O66" i="61"/>
  <c r="P66" i="61"/>
  <c r="V68" i="61"/>
  <c r="Q65" i="61"/>
  <c r="G68" i="61"/>
  <c r="L68" i="61"/>
  <c r="S68" i="61"/>
  <c r="AE68" i="61"/>
  <c r="X68" i="61"/>
  <c r="I67" i="61"/>
  <c r="I68" i="61"/>
  <c r="D88" i="61"/>
  <c r="H66" i="61"/>
  <c r="AB91" i="61"/>
  <c r="L88" i="61"/>
  <c r="AD67" i="61"/>
  <c r="AB67" i="61"/>
  <c r="M68" i="61"/>
  <c r="AA68" i="61"/>
  <c r="Z66" i="61"/>
  <c r="V91" i="61"/>
  <c r="Q68" i="61"/>
  <c r="J65" i="61"/>
  <c r="P68" i="61"/>
  <c r="AE66" i="61"/>
  <c r="K68" i="61"/>
  <c r="AB93" i="61"/>
  <c r="Y65" i="61"/>
  <c r="AE93" i="61"/>
  <c r="J51" i="61"/>
  <c r="D10" i="48"/>
  <c r="P92" i="61"/>
  <c r="G66" i="61"/>
  <c r="X65" i="61"/>
  <c r="K65" i="61"/>
  <c r="I66" i="61"/>
  <c r="AD66" i="61"/>
  <c r="AC68" i="61"/>
  <c r="U66" i="61"/>
  <c r="N66" i="61"/>
  <c r="G67" i="61"/>
  <c r="AB65" i="61"/>
  <c r="M66" i="61"/>
  <c r="H67" i="61"/>
  <c r="O68" i="61"/>
  <c r="J52" i="61"/>
  <c r="D11" i="48"/>
  <c r="AD90" i="61"/>
  <c r="D65" i="61"/>
  <c r="AA65" i="61"/>
  <c r="H65" i="61"/>
  <c r="L66" i="61"/>
  <c r="P67" i="61"/>
  <c r="J44" i="61"/>
  <c r="D4" i="48"/>
  <c r="Y89" i="61"/>
  <c r="W90" i="61"/>
  <c r="X90" i="61"/>
  <c r="Z91" i="61"/>
  <c r="H87" i="61"/>
  <c r="G87" i="61"/>
  <c r="E87" i="61"/>
  <c r="U93" i="61"/>
  <c r="P91" i="61"/>
  <c r="J87" i="61"/>
  <c r="S87" i="61"/>
  <c r="X92" i="61"/>
  <c r="AA90" i="61"/>
  <c r="I87" i="61"/>
  <c r="F87" i="61"/>
  <c r="S89" i="61"/>
  <c r="K87" i="61"/>
  <c r="N91" i="61"/>
  <c r="Y92" i="61"/>
  <c r="R90" i="61"/>
  <c r="Z88" i="61"/>
  <c r="I287" i="48"/>
  <c r="U91" i="61"/>
  <c r="V92" i="61"/>
  <c r="Y93" i="61"/>
  <c r="Z92" i="61"/>
  <c r="X93" i="61"/>
  <c r="U87" i="61"/>
  <c r="E65" i="61"/>
  <c r="M88" i="61"/>
  <c r="X88" i="61"/>
  <c r="Q93" i="61"/>
  <c r="AE87" i="61"/>
  <c r="AC91" i="61"/>
  <c r="AA93" i="61"/>
  <c r="R92" i="61"/>
  <c r="M90" i="61"/>
  <c r="W66" i="61"/>
  <c r="S66" i="61"/>
  <c r="Y66" i="61"/>
  <c r="E66" i="61"/>
  <c r="U65" i="61"/>
  <c r="AE65" i="61"/>
  <c r="Z67" i="61"/>
  <c r="K67" i="61"/>
  <c r="R67" i="61"/>
  <c r="AC67" i="61"/>
  <c r="R68" i="61"/>
  <c r="X89" i="61"/>
  <c r="P87" i="61"/>
  <c r="O67" i="61"/>
  <c r="U67" i="61"/>
  <c r="Y88" i="61"/>
  <c r="AE91" i="61"/>
  <c r="Q89" i="61"/>
  <c r="U88" i="61"/>
  <c r="O93" i="61"/>
  <c r="X87" i="61"/>
  <c r="AC87" i="61"/>
  <c r="L91" i="61"/>
  <c r="AE92" i="61"/>
  <c r="V66" i="61"/>
  <c r="AB66" i="61"/>
  <c r="D66" i="61"/>
  <c r="R66" i="61"/>
  <c r="N65" i="61"/>
  <c r="AD65" i="61"/>
  <c r="O65" i="61"/>
  <c r="D67" i="61"/>
  <c r="T67" i="61"/>
  <c r="AA67" i="61"/>
  <c r="M67" i="61"/>
  <c r="Y68" i="61"/>
  <c r="O88" i="61"/>
  <c r="M89" i="61"/>
  <c r="P89" i="61"/>
  <c r="W88" i="61"/>
  <c r="S88" i="61"/>
  <c r="L87" i="61"/>
  <c r="O91" i="61"/>
  <c r="L92" i="61"/>
  <c r="O90" i="61"/>
  <c r="K66" i="61"/>
  <c r="Q66" i="61"/>
  <c r="X66" i="61"/>
  <c r="J66" i="61"/>
  <c r="F65" i="61"/>
  <c r="S65" i="61"/>
  <c r="G65" i="61"/>
  <c r="Y67" i="61"/>
  <c r="J67" i="61"/>
  <c r="J68" i="61"/>
  <c r="AE89" i="61"/>
  <c r="AA88" i="61"/>
  <c r="N93" i="61"/>
  <c r="Z87" i="61"/>
  <c r="I65" i="61"/>
  <c r="N89" i="61"/>
  <c r="S93" i="61"/>
  <c r="Q87" i="61"/>
  <c r="S92" i="61"/>
  <c r="N67" i="61"/>
  <c r="F67" i="61"/>
  <c r="AB68" i="61"/>
  <c r="D68" i="61"/>
  <c r="D89" i="61"/>
  <c r="P93" i="61"/>
  <c r="T66" i="61"/>
  <c r="AA66" i="61"/>
  <c r="AC66" i="61"/>
  <c r="Z65" i="61"/>
  <c r="M65" i="61"/>
  <c r="AC65" i="61"/>
  <c r="T65" i="61"/>
  <c r="W67" i="61"/>
  <c r="S67" i="61"/>
  <c r="X67" i="61"/>
  <c r="W68" i="61"/>
  <c r="T68" i="61"/>
  <c r="P65" i="61"/>
  <c r="L65" i="61"/>
  <c r="L67" i="61"/>
  <c r="F68" i="61"/>
  <c r="E287" i="48"/>
  <c r="AE88" i="61"/>
  <c r="U90" i="61"/>
  <c r="O87" i="61"/>
  <c r="AB89" i="61"/>
  <c r="AC88" i="61"/>
  <c r="W91" i="61"/>
  <c r="AD92" i="61"/>
  <c r="AC92" i="61"/>
  <c r="P90" i="61"/>
  <c r="Z90" i="61"/>
  <c r="L90" i="61"/>
  <c r="M93" i="61"/>
  <c r="AA89" i="61"/>
  <c r="R88" i="61"/>
  <c r="Q92" i="61"/>
  <c r="AC89" i="61"/>
  <c r="X91" i="61"/>
  <c r="U92" i="61"/>
  <c r="AB90" i="61"/>
  <c r="W93" i="61"/>
  <c r="AA92" i="61"/>
  <c r="T89" i="61"/>
  <c r="W89" i="61"/>
  <c r="U89" i="61"/>
  <c r="O89" i="61"/>
  <c r="T88" i="61"/>
  <c r="Q88" i="61"/>
  <c r="Z93" i="61"/>
  <c r="V93" i="61"/>
  <c r="W87" i="61"/>
  <c r="AB87" i="61"/>
  <c r="T91" i="61"/>
  <c r="O92" i="61"/>
  <c r="T92" i="61"/>
  <c r="AE90" i="61"/>
  <c r="N90" i="61"/>
  <c r="S91" i="61"/>
  <c r="R87" i="61"/>
  <c r="M87" i="61"/>
  <c r="AD87" i="61"/>
  <c r="T90" i="61"/>
  <c r="AA91" i="61"/>
  <c r="AD89" i="61"/>
  <c r="AB88" i="61"/>
  <c r="T93" i="61"/>
  <c r="AC93" i="61"/>
  <c r="N87" i="61"/>
  <c r="T87" i="61"/>
  <c r="R91" i="61"/>
  <c r="AD91" i="61"/>
  <c r="N92" i="61"/>
  <c r="W92" i="61"/>
  <c r="G287" i="48"/>
  <c r="S90" i="61"/>
  <c r="Y90" i="61"/>
  <c r="AC90" i="61"/>
  <c r="N88" i="61"/>
  <c r="Q90" i="61"/>
  <c r="R89" i="61"/>
  <c r="AD88" i="61"/>
  <c r="L93" i="61"/>
  <c r="AA87" i="61"/>
  <c r="V89" i="61"/>
  <c r="Z89" i="61"/>
  <c r="V88" i="61"/>
  <c r="P88" i="61"/>
  <c r="R93" i="61"/>
  <c r="AD93" i="61"/>
  <c r="V87" i="61"/>
  <c r="Y87" i="61"/>
  <c r="Y91" i="61"/>
  <c r="M91" i="61"/>
  <c r="Q91" i="61"/>
  <c r="M92" i="61"/>
  <c r="AB92" i="61"/>
  <c r="V90" i="61"/>
  <c r="AD432" i="18"/>
  <c r="AD678" i="18" s="1"/>
  <c r="AD690" i="18" s="1"/>
  <c r="AD435" i="18"/>
  <c r="AD679" i="18" s="1"/>
  <c r="AD691" i="18" s="1"/>
  <c r="AD429" i="18"/>
  <c r="AD677" i="18" s="1"/>
  <c r="AD689" i="18" s="1"/>
  <c r="AD426" i="18"/>
  <c r="AD676" i="18" s="1"/>
  <c r="AD688" i="18" s="1"/>
  <c r="I91" i="61"/>
  <c r="AE397" i="18"/>
  <c r="AE433" i="18" s="1"/>
  <c r="AE331" i="18"/>
  <c r="AE428" i="18" s="1"/>
  <c r="AE444" i="18" s="1"/>
  <c r="AE309" i="18"/>
  <c r="AE427" i="18" s="1"/>
  <c r="AE419" i="18"/>
  <c r="AE434" i="18" s="1"/>
  <c r="G89" i="61"/>
  <c r="E93" i="61"/>
  <c r="E20" i="29"/>
  <c r="E9" i="29"/>
  <c r="F93" i="61"/>
  <c r="E19" i="29"/>
  <c r="H88" i="61"/>
  <c r="E21" i="29"/>
  <c r="K93" i="61"/>
  <c r="E91" i="61"/>
  <c r="H93" i="61"/>
  <c r="E11" i="29"/>
  <c r="J91" i="61"/>
  <c r="G93" i="61"/>
  <c r="E22" i="29"/>
  <c r="F91" i="61"/>
  <c r="E8" i="29"/>
  <c r="H91" i="61"/>
  <c r="E10" i="29"/>
  <c r="G91" i="61"/>
  <c r="K90" i="61"/>
  <c r="J92" i="61"/>
  <c r="C23" i="29"/>
  <c r="E92" i="61"/>
  <c r="H90" i="61"/>
  <c r="I92" i="61"/>
  <c r="D90" i="61"/>
  <c r="J90" i="61"/>
  <c r="G92" i="61"/>
  <c r="E90" i="61"/>
  <c r="H92" i="61"/>
  <c r="F92" i="61"/>
  <c r="G90" i="61"/>
  <c r="K92" i="61"/>
  <c r="K91" i="61"/>
  <c r="I90" i="61"/>
  <c r="J93" i="61"/>
  <c r="I93" i="61"/>
  <c r="D91" i="61"/>
  <c r="F90" i="61"/>
  <c r="D93" i="61"/>
  <c r="D92" i="61"/>
  <c r="D87" i="61"/>
  <c r="J12" i="61"/>
  <c r="D8" i="48" s="1"/>
  <c r="J17" i="61"/>
  <c r="E75" i="61"/>
  <c r="F75" i="61"/>
  <c r="F89" i="61" s="1"/>
  <c r="K75" i="61"/>
  <c r="K89" i="61" s="1"/>
  <c r="I75" i="61"/>
  <c r="I89" i="61" s="1"/>
  <c r="D23" i="29"/>
  <c r="D15" i="29"/>
  <c r="H75" i="61"/>
  <c r="H89" i="61" s="1"/>
  <c r="J75" i="61"/>
  <c r="J89" i="61" s="1"/>
  <c r="G74" i="61"/>
  <c r="G88" i="61" s="1"/>
  <c r="F74" i="61"/>
  <c r="F88" i="61" s="1"/>
  <c r="E144" i="48" a="1"/>
  <c r="E144" i="48" s="1"/>
  <c r="E74" i="61"/>
  <c r="K74" i="61"/>
  <c r="K88" i="61" s="1"/>
  <c r="J74" i="61"/>
  <c r="J88" i="61" s="1"/>
  <c r="I74" i="61"/>
  <c r="I88" i="61" s="1"/>
  <c r="C15" i="29"/>
  <c r="AF419" i="18" l="1"/>
  <c r="AF434" i="18" s="1"/>
  <c r="AF331" i="18"/>
  <c r="AF428" i="18" s="1"/>
  <c r="AF444" i="18" s="1"/>
  <c r="AF353" i="18"/>
  <c r="AF430" i="18" s="1"/>
  <c r="AF265" i="18"/>
  <c r="AF424" i="18" s="1"/>
  <c r="AF287" i="18"/>
  <c r="AF425" i="18" s="1"/>
  <c r="AD69" i="61"/>
  <c r="AF84" i="40" s="1" a="1"/>
  <c r="AF84" i="40" s="1"/>
  <c r="J53" i="61"/>
  <c r="H69" i="61"/>
  <c r="J84" i="40" s="1" a="1"/>
  <c r="J84" i="40" s="1"/>
  <c r="J48" i="61"/>
  <c r="D12" i="48"/>
  <c r="S94" i="61"/>
  <c r="U97" i="40" s="1" a="1"/>
  <c r="U97" i="40" s="1"/>
  <c r="K69" i="61"/>
  <c r="M84" i="40" s="1" a="1"/>
  <c r="M84" i="40" s="1"/>
  <c r="W69" i="61"/>
  <c r="Y84" i="40" s="1" a="1"/>
  <c r="Y84" i="40" s="1"/>
  <c r="I69" i="61"/>
  <c r="K84" i="40" s="1" a="1"/>
  <c r="K84" i="40" s="1"/>
  <c r="U94" i="61"/>
  <c r="W97" i="40" s="1" a="1"/>
  <c r="W97" i="40" s="1"/>
  <c r="J69" i="61"/>
  <c r="L84" i="40" s="1" a="1"/>
  <c r="L84" i="40" s="1"/>
  <c r="AC69" i="61"/>
  <c r="AE84" i="40" s="1" a="1"/>
  <c r="AE84" i="40" s="1"/>
  <c r="Z94" i="61"/>
  <c r="AB97" i="40" s="1" a="1"/>
  <c r="AB97" i="40" s="1"/>
  <c r="P94" i="61"/>
  <c r="R97" i="40" s="1" a="1"/>
  <c r="R97" i="40" s="1"/>
  <c r="R69" i="61"/>
  <c r="T84" i="40" s="1" a="1"/>
  <c r="T84" i="40" s="1"/>
  <c r="L69" i="61"/>
  <c r="N84" i="40" s="1" a="1"/>
  <c r="N84" i="40" s="1"/>
  <c r="E69" i="61"/>
  <c r="P69" i="61"/>
  <c r="R84" i="40" s="1" a="1"/>
  <c r="R84" i="40" s="1"/>
  <c r="Q69" i="61"/>
  <c r="S84" i="40" s="1" a="1"/>
  <c r="S84" i="40" s="1"/>
  <c r="AB69" i="61"/>
  <c r="AD84" i="40" s="1" a="1"/>
  <c r="AD84" i="40" s="1"/>
  <c r="X69" i="61"/>
  <c r="Z84" i="40" s="1" a="1"/>
  <c r="Z84" i="40" s="1"/>
  <c r="V69" i="61"/>
  <c r="X84" i="40" s="1" a="1"/>
  <c r="X84" i="40" s="1"/>
  <c r="Y69" i="61"/>
  <c r="AA84" i="40" s="1" a="1"/>
  <c r="AA84" i="40" s="1"/>
  <c r="N94" i="61"/>
  <c r="P97" i="40" s="1" a="1"/>
  <c r="P97" i="40" s="1"/>
  <c r="AA69" i="61"/>
  <c r="AC84" i="40" s="1" a="1"/>
  <c r="AC84" i="40" s="1"/>
  <c r="AC94" i="61"/>
  <c r="AE97" i="40" s="1" a="1"/>
  <c r="AE97" i="40" s="1"/>
  <c r="U69" i="61"/>
  <c r="W84" i="40" s="1" a="1"/>
  <c r="W84" i="40" s="1"/>
  <c r="Q94" i="61"/>
  <c r="S97" i="40" s="1" a="1"/>
  <c r="S97" i="40" s="1"/>
  <c r="D69" i="61"/>
  <c r="F84" i="40" s="1" a="1"/>
  <c r="F84" i="40" s="1"/>
  <c r="S69" i="61"/>
  <c r="U84" i="40" s="1" a="1"/>
  <c r="U84" i="40" s="1"/>
  <c r="AE94" i="61"/>
  <c r="AG97" i="40" s="1" a="1"/>
  <c r="AG97" i="40" s="1"/>
  <c r="O69" i="61"/>
  <c r="Q84" i="40" s="1" a="1"/>
  <c r="Q84" i="40" s="1"/>
  <c r="AE69" i="61"/>
  <c r="AG84" i="40" s="1" a="1"/>
  <c r="AG84" i="40" s="1"/>
  <c r="M69" i="61"/>
  <c r="O84" i="40" s="1" a="1"/>
  <c r="O84" i="40" s="1"/>
  <c r="Z69" i="61"/>
  <c r="AB84" i="40" s="1" a="1"/>
  <c r="AB84" i="40" s="1"/>
  <c r="N69" i="61"/>
  <c r="P84" i="40" s="1" a="1"/>
  <c r="P84" i="40" s="1"/>
  <c r="G69" i="61"/>
  <c r="I84" i="40" s="1" a="1"/>
  <c r="I84" i="40" s="1"/>
  <c r="F69" i="61"/>
  <c r="H84" i="40" s="1" a="1"/>
  <c r="H84" i="40" s="1"/>
  <c r="T69" i="61"/>
  <c r="V84" i="40" s="1" a="1"/>
  <c r="V84" i="40" s="1"/>
  <c r="W94" i="61"/>
  <c r="Y97" i="40" s="1" a="1"/>
  <c r="Y97" i="40" s="1"/>
  <c r="L94" i="61"/>
  <c r="N97" i="40" s="1" a="1"/>
  <c r="N97" i="40" s="1"/>
  <c r="X94" i="61"/>
  <c r="Z97" i="40" s="1" a="1"/>
  <c r="Z97" i="40" s="1"/>
  <c r="O94" i="61"/>
  <c r="Q97" i="40" s="1" a="1"/>
  <c r="Q97" i="40" s="1"/>
  <c r="AA94" i="61"/>
  <c r="AC97" i="40" s="1" a="1"/>
  <c r="AC97" i="40" s="1"/>
  <c r="Y94" i="61"/>
  <c r="AA97" i="40" s="1" a="1"/>
  <c r="AA97" i="40" s="1"/>
  <c r="R94" i="61"/>
  <c r="T97" i="40" s="1" a="1"/>
  <c r="T97" i="40" s="1"/>
  <c r="M94" i="61"/>
  <c r="O97" i="40" s="1" a="1"/>
  <c r="O97" i="40" s="1"/>
  <c r="V94" i="61"/>
  <c r="X97" i="40" s="1" a="1"/>
  <c r="X97" i="40" s="1"/>
  <c r="AD94" i="61"/>
  <c r="AF97" i="40" s="1" a="1"/>
  <c r="AF97" i="40" s="1"/>
  <c r="T94" i="61"/>
  <c r="V97" i="40" s="1" a="1"/>
  <c r="V97" i="40" s="1"/>
  <c r="AB94" i="61"/>
  <c r="AD97" i="40" s="1" a="1"/>
  <c r="AD97" i="40" s="1"/>
  <c r="AE432" i="18"/>
  <c r="AE678" i="18" s="1"/>
  <c r="AE690" i="18" s="1"/>
  <c r="AE429" i="18"/>
  <c r="AE677" i="18" s="1"/>
  <c r="AE689" i="18" s="1"/>
  <c r="AE435" i="18"/>
  <c r="AE679" i="18" s="1"/>
  <c r="AE691" i="18" s="1"/>
  <c r="AE426" i="18"/>
  <c r="AE676" i="18" s="1"/>
  <c r="AE688" i="18" s="1"/>
  <c r="AF375" i="18"/>
  <c r="AF431" i="18" s="1"/>
  <c r="AF397" i="18"/>
  <c r="AF433" i="18" s="1"/>
  <c r="AF309" i="18"/>
  <c r="AF427" i="18" s="1"/>
  <c r="E23" i="29"/>
  <c r="E89" i="61"/>
  <c r="E88" i="61"/>
  <c r="E15" i="29"/>
  <c r="B13" i="18" a="1"/>
  <c r="B13" i="18" s="1"/>
  <c r="AG375" i="18" l="1"/>
  <c r="AG431" i="18" s="1"/>
  <c r="AG397" i="18"/>
  <c r="AG433" i="18" s="1"/>
  <c r="AG287" i="18"/>
  <c r="AG425" i="18" s="1"/>
  <c r="AG265" i="18"/>
  <c r="AG424" i="18" s="1"/>
  <c r="G84" i="40" a="1"/>
  <c r="G84" i="40" s="1"/>
  <c r="E16" i="48" a="1"/>
  <c r="AF432" i="18"/>
  <c r="AF678" i="18" s="1"/>
  <c r="AF690" i="18" s="1"/>
  <c r="AF426" i="18"/>
  <c r="AF676" i="18" s="1"/>
  <c r="AF688" i="18" s="1"/>
  <c r="AF429" i="18"/>
  <c r="AF677" i="18" s="1"/>
  <c r="AF689" i="18" s="1"/>
  <c r="AF435" i="18"/>
  <c r="AF679" i="18" s="1"/>
  <c r="AF691" i="18" s="1"/>
  <c r="AG331" i="18"/>
  <c r="AG428" i="18" s="1"/>
  <c r="AG444" i="18" s="1"/>
  <c r="AG353" i="18"/>
  <c r="AG430" i="18" s="1"/>
  <c r="AG309" i="18"/>
  <c r="AG427" i="18" s="1"/>
  <c r="AG419" i="18"/>
  <c r="AG434" i="18" s="1"/>
  <c r="C692" i="18" a="1"/>
  <c r="C692" i="18" s="1"/>
  <c r="C688" i="18" a="1"/>
  <c r="C688" i="18" s="1"/>
  <c r="C708" i="18" a="1"/>
  <c r="C708" i="18" s="1"/>
  <c r="C720" i="18" a="1"/>
  <c r="C720" i="18" s="1"/>
  <c r="C716" i="18" a="1"/>
  <c r="C716" i="18" s="1"/>
  <c r="C704" i="18" a="1"/>
  <c r="C704" i="18" s="1"/>
  <c r="C700" i="18" a="1"/>
  <c r="C700" i="18" s="1"/>
  <c r="G94" i="61"/>
  <c r="I97" i="40" s="1" a="1"/>
  <c r="I97" i="40" s="1"/>
  <c r="E94" i="61"/>
  <c r="K94" i="61"/>
  <c r="M97" i="40" s="1" a="1"/>
  <c r="M97" i="40" s="1"/>
  <c r="J94" i="61"/>
  <c r="L97" i="40" s="1" a="1"/>
  <c r="L97" i="40" s="1"/>
  <c r="H94" i="61"/>
  <c r="J97" i="40" s="1" a="1"/>
  <c r="J97" i="40" s="1"/>
  <c r="I94" i="61"/>
  <c r="K97" i="40" s="1" a="1"/>
  <c r="K97" i="40" s="1"/>
  <c r="F94" i="61"/>
  <c r="H97" i="40" s="1" a="1"/>
  <c r="H97" i="40" s="1"/>
  <c r="D94" i="61"/>
  <c r="F97" i="40" s="1" a="1"/>
  <c r="F97" i="40" s="1"/>
  <c r="C680" i="18" a="1"/>
  <c r="C680" i="18" s="1"/>
  <c r="C676" i="18" a="1"/>
  <c r="C676" i="18" s="1"/>
  <c r="C672" i="18" a="1"/>
  <c r="C672" i="18" s="1"/>
  <c r="E16" i="48" l="1"/>
  <c r="D16" i="48" s="1"/>
  <c r="D17" i="48"/>
  <c r="D18" i="48"/>
  <c r="D19" i="48"/>
  <c r="D20" i="48"/>
  <c r="D22" i="48"/>
  <c r="D21" i="48"/>
  <c r="AH353" i="18"/>
  <c r="AH430" i="18" s="1"/>
  <c r="AH375" i="18"/>
  <c r="AH431" i="18" s="1"/>
  <c r="AH287" i="18"/>
  <c r="AH425" i="18" s="1"/>
  <c r="AH397" i="18"/>
  <c r="AH433" i="18" s="1"/>
  <c r="AH309" i="18"/>
  <c r="AH427" i="18" s="1"/>
  <c r="AH419" i="18"/>
  <c r="AH434" i="18" s="1"/>
  <c r="AH331" i="18"/>
  <c r="AH428" i="18" s="1"/>
  <c r="AH444" i="18" s="1"/>
  <c r="G97" i="40" a="1"/>
  <c r="G97" i="40" s="1"/>
  <c r="E97" i="40" s="1"/>
  <c r="K62" i="40" s="1"/>
  <c r="F310" i="48" s="1"/>
  <c r="G16" i="48" a="1"/>
  <c r="E84" i="40"/>
  <c r="J62" i="40" s="1"/>
  <c r="D310" i="48" s="1"/>
  <c r="AG426" i="18"/>
  <c r="AG676" i="18" s="1"/>
  <c r="AG688" i="18" s="1"/>
  <c r="AG429" i="18"/>
  <c r="AG677" i="18" s="1"/>
  <c r="AG689" i="18" s="1"/>
  <c r="AG432" i="18"/>
  <c r="AG678" i="18" s="1"/>
  <c r="AG690" i="18" s="1"/>
  <c r="AG435" i="18"/>
  <c r="AG679" i="18" s="1"/>
  <c r="AG691" i="18" s="1"/>
  <c r="AH265" i="18"/>
  <c r="AH424" i="18" s="1"/>
  <c r="B8" i="40" a="1"/>
  <c r="B8" i="40" s="1"/>
  <c r="C126" i="40"/>
  <c r="C124" i="40"/>
  <c r="C122" i="40"/>
  <c r="C121" i="40"/>
  <c r="C118" i="40"/>
  <c r="C117" i="40"/>
  <c r="C116" i="40"/>
  <c r="F19" i="48" l="1"/>
  <c r="F18" i="48"/>
  <c r="F20" i="48"/>
  <c r="F21" i="48"/>
  <c r="F22" i="48"/>
  <c r="F17" i="48"/>
  <c r="G16" i="48"/>
  <c r="F16" i="48" s="1"/>
  <c r="AH426" i="18"/>
  <c r="AH676" i="18" s="1"/>
  <c r="F676" i="18" s="1"/>
  <c r="AH435" i="18"/>
  <c r="AH679" i="18" s="1"/>
  <c r="F679" i="18" s="1"/>
  <c r="AH432" i="18"/>
  <c r="AH678" i="18" s="1"/>
  <c r="F678" i="18" s="1"/>
  <c r="AH429" i="18"/>
  <c r="AH677" i="18" s="1"/>
  <c r="F677" i="18" s="1"/>
  <c r="E21" i="1"/>
  <c r="F15" i="72" s="1"/>
  <c r="H55" i="72" s="1" a="1"/>
  <c r="H55" i="72" s="1"/>
  <c r="H139" i="72" s="1"/>
  <c r="H412" i="72" l="1"/>
  <c r="I414" i="72"/>
  <c r="I498" i="72" s="1"/>
  <c r="T414" i="72"/>
  <c r="T498" i="72" s="1"/>
  <c r="AC414" i="72"/>
  <c r="AC498" i="72" s="1"/>
  <c r="K415" i="72"/>
  <c r="K499" i="72" s="1"/>
  <c r="W415" i="72"/>
  <c r="W499" i="72" s="1"/>
  <c r="AG415" i="72"/>
  <c r="AG499" i="72" s="1"/>
  <c r="O416" i="72"/>
  <c r="O500" i="72" s="1"/>
  <c r="Y416" i="72"/>
  <c r="Y500" i="72" s="1"/>
  <c r="L417" i="72"/>
  <c r="L501" i="72" s="1"/>
  <c r="W417" i="72"/>
  <c r="W501" i="72" s="1"/>
  <c r="AG417" i="72"/>
  <c r="AG501" i="72" s="1"/>
  <c r="R418" i="72"/>
  <c r="R502" i="72" s="1"/>
  <c r="AC418" i="72"/>
  <c r="AC502" i="72" s="1"/>
  <c r="M419" i="72"/>
  <c r="M503" i="72" s="1"/>
  <c r="Y419" i="72"/>
  <c r="Y503" i="72" s="1"/>
  <c r="H400" i="72" a="1"/>
  <c r="H400" i="72" s="1"/>
  <c r="H484" i="72" s="1"/>
  <c r="W422" i="72"/>
  <c r="W506" i="72" s="1"/>
  <c r="P423" i="72"/>
  <c r="P507" i="72" s="1"/>
  <c r="R424" i="72"/>
  <c r="R508" i="72" s="1"/>
  <c r="Q412" i="72"/>
  <c r="Z391" i="72" a="1"/>
  <c r="Z391" i="72" s="1"/>
  <c r="I220" i="72" a="1"/>
  <c r="I220" i="72" s="1"/>
  <c r="I304" i="72" s="1"/>
  <c r="Q241" i="72"/>
  <c r="Q325" i="72" s="1"/>
  <c r="Y241" i="72"/>
  <c r="Y325" i="72" s="1"/>
  <c r="AG241" i="72"/>
  <c r="AG325" i="72" s="1"/>
  <c r="P242" i="72"/>
  <c r="P326" i="72" s="1"/>
  <c r="AC242" i="72"/>
  <c r="AC326" i="72" s="1"/>
  <c r="N243" i="72"/>
  <c r="N327" i="72" s="1"/>
  <c r="Z243" i="72"/>
  <c r="Z327" i="72" s="1"/>
  <c r="I223" i="72" a="1"/>
  <c r="I223" i="72" s="1"/>
  <c r="I307" i="72" s="1"/>
  <c r="R244" i="72"/>
  <c r="R328" i="72" s="1"/>
  <c r="AB244" i="72"/>
  <c r="AB328" i="72" s="1"/>
  <c r="M245" i="72"/>
  <c r="M329" i="72" s="1"/>
  <c r="W224" i="72" a="1"/>
  <c r="W224" i="72" s="1"/>
  <c r="W308" i="72" s="1"/>
  <c r="AG245" i="72"/>
  <c r="AG329" i="72" s="1"/>
  <c r="P246" i="72"/>
  <c r="P330" i="72" s="1"/>
  <c r="AA246" i="72"/>
  <c r="AA330" i="72" s="1"/>
  <c r="M249" i="72"/>
  <c r="M333" i="72" s="1"/>
  <c r="AC249" i="72"/>
  <c r="AC333" i="72" s="1"/>
  <c r="AB250" i="72"/>
  <c r="AB334" i="72" s="1"/>
  <c r="Y251" i="72"/>
  <c r="Y335" i="72" s="1"/>
  <c r="M218" i="72" a="1"/>
  <c r="M218" i="72" s="1"/>
  <c r="W239" i="72"/>
  <c r="AF239" i="72"/>
  <c r="P45" i="72" a="1"/>
  <c r="P45" i="72" s="1"/>
  <c r="P129" i="72" s="1"/>
  <c r="P67" i="72"/>
  <c r="P151" i="72" s="1"/>
  <c r="H68" i="72"/>
  <c r="H152" i="72" s="1"/>
  <c r="Y47" i="72" a="1"/>
  <c r="Y47" i="72" s="1"/>
  <c r="Y131" i="72" s="1"/>
  <c r="P48" i="72" a="1"/>
  <c r="P48" i="72" s="1"/>
  <c r="P132" i="72" s="1"/>
  <c r="H49" i="72" a="1"/>
  <c r="H49" i="72" s="1"/>
  <c r="H133" i="72" s="1"/>
  <c r="AA70" i="72"/>
  <c r="AA154" i="72" s="1"/>
  <c r="P71" i="72"/>
  <c r="P155" i="72" s="1"/>
  <c r="X71" i="72"/>
  <c r="X155" i="72" s="1"/>
  <c r="AF71" i="72"/>
  <c r="AF155" i="72" s="1"/>
  <c r="M73" i="72"/>
  <c r="M157" i="72" s="1"/>
  <c r="U73" i="72"/>
  <c r="U157" i="72" s="1"/>
  <c r="AC73" i="72"/>
  <c r="AC157" i="72" s="1"/>
  <c r="K74" i="72"/>
  <c r="K158" i="72" s="1"/>
  <c r="S74" i="72"/>
  <c r="S158" i="72" s="1"/>
  <c r="AA74" i="72"/>
  <c r="AA158" i="72" s="1"/>
  <c r="O75" i="72"/>
  <c r="O159" i="72" s="1"/>
  <c r="AC75" i="72"/>
  <c r="AC159" i="72" s="1"/>
  <c r="J414" i="72"/>
  <c r="J498" i="72" s="1"/>
  <c r="U414" i="72"/>
  <c r="U498" i="72" s="1"/>
  <c r="AD414" i="72"/>
  <c r="AD498" i="72" s="1"/>
  <c r="L415" i="72"/>
  <c r="L499" i="72" s="1"/>
  <c r="X415" i="72"/>
  <c r="X499" i="72" s="1"/>
  <c r="H416" i="72"/>
  <c r="H500" i="72" s="1"/>
  <c r="P416" i="72"/>
  <c r="P500" i="72" s="1"/>
  <c r="Z416" i="72"/>
  <c r="Z500" i="72" s="1"/>
  <c r="M417" i="72"/>
  <c r="M501" i="72" s="1"/>
  <c r="X417" i="72"/>
  <c r="X501" i="72" s="1"/>
  <c r="H418" i="72"/>
  <c r="H502" i="72" s="1"/>
  <c r="S418" i="72"/>
  <c r="S502" i="72" s="1"/>
  <c r="AD418" i="72"/>
  <c r="AD502" i="72" s="1"/>
  <c r="N398" i="72" a="1"/>
  <c r="N398" i="72" s="1"/>
  <c r="N482" i="72" s="1"/>
  <c r="Z419" i="72"/>
  <c r="Z503" i="72" s="1"/>
  <c r="K422" i="72"/>
  <c r="K506" i="72" s="1"/>
  <c r="X401" i="72" a="1"/>
  <c r="X401" i="72" s="1"/>
  <c r="X485" i="72" s="1"/>
  <c r="T402" i="72" a="1"/>
  <c r="T402" i="72" s="1"/>
  <c r="T486" i="72" s="1"/>
  <c r="AA424" i="72"/>
  <c r="AA508" i="72" s="1"/>
  <c r="R412" i="72"/>
  <c r="AC391" i="72" a="1"/>
  <c r="AC391" i="72" s="1"/>
  <c r="J241" i="72"/>
  <c r="J325" i="72" s="1"/>
  <c r="R241" i="72"/>
  <c r="R325" i="72" s="1"/>
  <c r="Z241" i="72"/>
  <c r="Z325" i="72" s="1"/>
  <c r="I221" i="72" a="1"/>
  <c r="I221" i="72" s="1"/>
  <c r="I305" i="72" s="1"/>
  <c r="S242" i="72"/>
  <c r="S326" i="72" s="1"/>
  <c r="AE242" i="72"/>
  <c r="AE326" i="72" s="1"/>
  <c r="Q243" i="72"/>
  <c r="Q327" i="72" s="1"/>
  <c r="AA243" i="72"/>
  <c r="AA327" i="72" s="1"/>
  <c r="J244" i="72"/>
  <c r="J328" i="72" s="1"/>
  <c r="S244" i="72"/>
  <c r="S328" i="72" s="1"/>
  <c r="AE244" i="72"/>
  <c r="AE328" i="72" s="1"/>
  <c r="N245" i="72"/>
  <c r="N329" i="72" s="1"/>
  <c r="X245" i="72"/>
  <c r="X329" i="72" s="1"/>
  <c r="H225" i="72" a="1"/>
  <c r="H225" i="72" s="1"/>
  <c r="H309" i="72" s="1"/>
  <c r="R225" i="72" a="1"/>
  <c r="R225" i="72" s="1"/>
  <c r="R309" i="72" s="1"/>
  <c r="AB246" i="72"/>
  <c r="AB330" i="72" s="1"/>
  <c r="N249" i="72"/>
  <c r="N333" i="72" s="1"/>
  <c r="AD249" i="72"/>
  <c r="AD333" i="72" s="1"/>
  <c r="AD250" i="72"/>
  <c r="AD334" i="72" s="1"/>
  <c r="Z251" i="72"/>
  <c r="Z335" i="72" s="1"/>
  <c r="N239" i="72"/>
  <c r="X218" i="72" a="1"/>
  <c r="X218" i="72" s="1"/>
  <c r="H239" i="72"/>
  <c r="V66" i="72"/>
  <c r="V150" i="72" s="1"/>
  <c r="R67" i="72"/>
  <c r="R151" i="72" s="1"/>
  <c r="I47" i="72" a="1"/>
  <c r="I47" i="72" s="1"/>
  <c r="I131" i="72" s="1"/>
  <c r="Z68" i="72"/>
  <c r="Z152" i="72" s="1"/>
  <c r="R48" i="72" a="1"/>
  <c r="R48" i="72" s="1"/>
  <c r="R132" i="72" s="1"/>
  <c r="K70" i="72"/>
  <c r="K154" i="72" s="1"/>
  <c r="AG70" i="72"/>
  <c r="AG154" i="72" s="1"/>
  <c r="Q71" i="72"/>
  <c r="Q155" i="72" s="1"/>
  <c r="Y71" i="72"/>
  <c r="Y155" i="72" s="1"/>
  <c r="AG71" i="72"/>
  <c r="AG155" i="72" s="1"/>
  <c r="N73" i="72"/>
  <c r="N157" i="72" s="1"/>
  <c r="V73" i="72"/>
  <c r="V157" i="72" s="1"/>
  <c r="AD73" i="72"/>
  <c r="AD157" i="72" s="1"/>
  <c r="L74" i="72"/>
  <c r="L158" i="72" s="1"/>
  <c r="T74" i="72"/>
  <c r="T158" i="72" s="1"/>
  <c r="AB74" i="72"/>
  <c r="AB158" i="72" s="1"/>
  <c r="K414" i="72"/>
  <c r="K498" i="72" s="1"/>
  <c r="V414" i="72"/>
  <c r="V498" i="72" s="1"/>
  <c r="AE414" i="72"/>
  <c r="AE498" i="72" s="1"/>
  <c r="M415" i="72"/>
  <c r="M499" i="72" s="1"/>
  <c r="Z415" i="72"/>
  <c r="Z499" i="72" s="1"/>
  <c r="I416" i="72"/>
  <c r="I500" i="72" s="1"/>
  <c r="Q416" i="72"/>
  <c r="Q500" i="72" s="1"/>
  <c r="AA416" i="72"/>
  <c r="AA500" i="72" s="1"/>
  <c r="N417" i="72"/>
  <c r="N501" i="72" s="1"/>
  <c r="Y417" i="72"/>
  <c r="Y501" i="72" s="1"/>
  <c r="J418" i="72"/>
  <c r="J502" i="72" s="1"/>
  <c r="T418" i="72"/>
  <c r="T502" i="72" s="1"/>
  <c r="AE418" i="72"/>
  <c r="AE502" i="72" s="1"/>
  <c r="P398" i="72" a="1"/>
  <c r="P398" i="72" s="1"/>
  <c r="P482" i="72" s="1"/>
  <c r="AA398" i="72" a="1"/>
  <c r="AA398" i="72" s="1"/>
  <c r="AA482" i="72" s="1"/>
  <c r="L422" i="72"/>
  <c r="L506" i="72" s="1"/>
  <c r="AA422" i="72"/>
  <c r="AA506" i="72" s="1"/>
  <c r="X423" i="72"/>
  <c r="X507" i="72" s="1"/>
  <c r="AB424" i="72"/>
  <c r="AB508" i="72" s="1"/>
  <c r="S391" i="72" a="1"/>
  <c r="S391" i="72" s="1"/>
  <c r="AD391" i="72" a="1"/>
  <c r="AD391" i="72" s="1"/>
  <c r="K220" i="72" a="1"/>
  <c r="K220" i="72" s="1"/>
  <c r="K304" i="72" s="1"/>
  <c r="S241" i="72"/>
  <c r="S325" i="72" s="1"/>
  <c r="AA241" i="72"/>
  <c r="AA325" i="72" s="1"/>
  <c r="J221" i="72" a="1"/>
  <c r="J221" i="72" s="1"/>
  <c r="J305" i="72" s="1"/>
  <c r="T242" i="72"/>
  <c r="T326" i="72" s="1"/>
  <c r="AF242" i="72"/>
  <c r="AF326" i="72" s="1"/>
  <c r="R243" i="72"/>
  <c r="R327" i="72" s="1"/>
  <c r="AB243" i="72"/>
  <c r="AB327" i="72" s="1"/>
  <c r="K244" i="72"/>
  <c r="K328" i="72" s="1"/>
  <c r="T244" i="72"/>
  <c r="T328" i="72" s="1"/>
  <c r="AF244" i="72"/>
  <c r="AF328" i="72" s="1"/>
  <c r="O245" i="72"/>
  <c r="O329" i="72" s="1"/>
  <c r="Y245" i="72"/>
  <c r="Y329" i="72" s="1"/>
  <c r="I225" i="72" a="1"/>
  <c r="I225" i="72" s="1"/>
  <c r="I309" i="72" s="1"/>
  <c r="S246" i="72"/>
  <c r="S330" i="72" s="1"/>
  <c r="AC246" i="72"/>
  <c r="AC330" i="72" s="1"/>
  <c r="O249" i="72"/>
  <c r="O333" i="72" s="1"/>
  <c r="AE249" i="72"/>
  <c r="AE333" i="72" s="1"/>
  <c r="AE250" i="72"/>
  <c r="AE334" i="72" s="1"/>
  <c r="AB251" i="72"/>
  <c r="AB335" i="72" s="1"/>
  <c r="P239" i="72"/>
  <c r="Y239" i="72"/>
  <c r="AA66" i="72"/>
  <c r="AA150" i="72" s="1"/>
  <c r="S46" i="72" a="1"/>
  <c r="S46" i="72" s="1"/>
  <c r="S130" i="72" s="1"/>
  <c r="J68" i="72"/>
  <c r="J152" i="72" s="1"/>
  <c r="AB47" i="72" a="1"/>
  <c r="AB47" i="72" s="1"/>
  <c r="AB131" i="72" s="1"/>
  <c r="U69" i="72"/>
  <c r="U153" i="72" s="1"/>
  <c r="Q70" i="72"/>
  <c r="Q154" i="72" s="1"/>
  <c r="H71" i="72"/>
  <c r="H155" i="72" s="1"/>
  <c r="R71" i="72"/>
  <c r="R155" i="72" s="1"/>
  <c r="Z71" i="72"/>
  <c r="Z155" i="72" s="1"/>
  <c r="H72" i="72"/>
  <c r="H156" i="72" s="1"/>
  <c r="O73" i="72"/>
  <c r="O157" i="72" s="1"/>
  <c r="W73" i="72"/>
  <c r="W157" i="72" s="1"/>
  <c r="AE73" i="72"/>
  <c r="AE157" i="72" s="1"/>
  <c r="M74" i="72"/>
  <c r="M158" i="72" s="1"/>
  <c r="U74" i="72"/>
  <c r="U158" i="72" s="1"/>
  <c r="AC74" i="72"/>
  <c r="AC158" i="72" s="1"/>
  <c r="U75" i="72"/>
  <c r="U159" i="72" s="1"/>
  <c r="H76" i="72"/>
  <c r="H160" i="72" s="1"/>
  <c r="H182" i="72" s="1"/>
  <c r="I41" i="68" s="1"/>
  <c r="I88" i="68" s="1"/>
  <c r="T55" i="72" a="1"/>
  <c r="T55" i="72" s="1"/>
  <c r="T139" i="72" s="1"/>
  <c r="I64" i="72"/>
  <c r="M414" i="72"/>
  <c r="M498" i="72" s="1"/>
  <c r="Y414" i="72"/>
  <c r="Y498" i="72" s="1"/>
  <c r="AG414" i="72"/>
  <c r="AG498" i="72" s="1"/>
  <c r="P415" i="72"/>
  <c r="P499" i="72" s="1"/>
  <c r="AB415" i="72"/>
  <c r="AB499" i="72" s="1"/>
  <c r="K416" i="72"/>
  <c r="K500" i="72" s="1"/>
  <c r="S416" i="72"/>
  <c r="S500" i="72" s="1"/>
  <c r="AE395" i="72" a="1"/>
  <c r="AE395" i="72" s="1"/>
  <c r="AE479" i="72" s="1"/>
  <c r="Q417" i="72"/>
  <c r="Q501" i="72" s="1"/>
  <c r="AC417" i="72"/>
  <c r="AC501" i="72" s="1"/>
  <c r="L418" i="72"/>
  <c r="L502" i="72" s="1"/>
  <c r="V418" i="72"/>
  <c r="V502" i="72" s="1"/>
  <c r="I419" i="72"/>
  <c r="I503" i="72" s="1"/>
  <c r="S398" i="72" a="1"/>
  <c r="S398" i="72" s="1"/>
  <c r="S482" i="72" s="1"/>
  <c r="AC419" i="72"/>
  <c r="AC503" i="72" s="1"/>
  <c r="O401" i="72" a="1"/>
  <c r="O401" i="72" s="1"/>
  <c r="O485" i="72" s="1"/>
  <c r="AC422" i="72"/>
  <c r="AC506" i="72" s="1"/>
  <c r="AC402" i="72" a="1"/>
  <c r="AC402" i="72" s="1"/>
  <c r="AC486" i="72" s="1"/>
  <c r="J412" i="72"/>
  <c r="U412" i="72"/>
  <c r="AF412" i="72"/>
  <c r="M241" i="72"/>
  <c r="M325" i="72" s="1"/>
  <c r="U241" i="72"/>
  <c r="U325" i="72" s="1"/>
  <c r="AC241" i="72"/>
  <c r="AC325" i="72" s="1"/>
  <c r="L242" i="72"/>
  <c r="L326" i="72" s="1"/>
  <c r="V242" i="72"/>
  <c r="V326" i="72" s="1"/>
  <c r="I243" i="72"/>
  <c r="I327" i="72" s="1"/>
  <c r="T243" i="72"/>
  <c r="T327" i="72" s="1"/>
  <c r="AD243" i="72"/>
  <c r="AD327" i="72" s="1"/>
  <c r="M223" i="72" a="1"/>
  <c r="M223" i="72" s="1"/>
  <c r="M307" i="72" s="1"/>
  <c r="X223" i="72" a="1"/>
  <c r="X223" i="72" s="1"/>
  <c r="X307" i="72" s="1"/>
  <c r="H245" i="72"/>
  <c r="H329" i="72" s="1"/>
  <c r="Q245" i="72"/>
  <c r="Q329" i="72" s="1"/>
  <c r="AC245" i="72"/>
  <c r="AC329" i="72" s="1"/>
  <c r="K225" i="72" a="1"/>
  <c r="K225" i="72" s="1"/>
  <c r="K309" i="72" s="1"/>
  <c r="U246" i="72"/>
  <c r="U330" i="72" s="1"/>
  <c r="AE246" i="72"/>
  <c r="AE330" i="72" s="1"/>
  <c r="U249" i="72"/>
  <c r="U333" i="72" s="1"/>
  <c r="K250" i="72"/>
  <c r="K334" i="72" s="1"/>
  <c r="L251" i="72"/>
  <c r="L335" i="72" s="1"/>
  <c r="I218" i="72" a="1"/>
  <c r="I218" i="72" s="1"/>
  <c r="S239" i="72"/>
  <c r="AA239" i="72"/>
  <c r="H64" i="72"/>
  <c r="R414" i="72"/>
  <c r="R498" i="72" s="1"/>
  <c r="AB414" i="72"/>
  <c r="AB498" i="72" s="1"/>
  <c r="J394" i="72" a="1"/>
  <c r="J394" i="72" s="1"/>
  <c r="J478" i="72" s="1"/>
  <c r="S415" i="72"/>
  <c r="S499" i="72" s="1"/>
  <c r="AF415" i="72"/>
  <c r="AF499" i="72" s="1"/>
  <c r="N416" i="72"/>
  <c r="N500" i="72" s="1"/>
  <c r="X416" i="72"/>
  <c r="X500" i="72" s="1"/>
  <c r="I417" i="72"/>
  <c r="I501" i="72" s="1"/>
  <c r="V417" i="72"/>
  <c r="V501" i="72" s="1"/>
  <c r="AF417" i="72"/>
  <c r="AF501" i="72" s="1"/>
  <c r="O397" i="72" a="1"/>
  <c r="O397" i="72" s="1"/>
  <c r="O481" i="72" s="1"/>
  <c r="AB418" i="72"/>
  <c r="AB502" i="72" s="1"/>
  <c r="L419" i="72"/>
  <c r="L503" i="72" s="1"/>
  <c r="X419" i="72"/>
  <c r="X503" i="72" s="1"/>
  <c r="H399" i="72" a="1"/>
  <c r="H399" i="72" s="1"/>
  <c r="H483" i="72" s="1"/>
  <c r="U422" i="72"/>
  <c r="U506" i="72" s="1"/>
  <c r="Q393" i="72" a="1"/>
  <c r="Q393" i="72" s="1"/>
  <c r="Q477" i="72" s="1"/>
  <c r="Q394" i="72" a="1"/>
  <c r="Q394" i="72" s="1"/>
  <c r="Q478" i="72" s="1"/>
  <c r="R416" i="72"/>
  <c r="R500" i="72" s="1"/>
  <c r="T417" i="72"/>
  <c r="T501" i="72" s="1"/>
  <c r="Y397" i="72" a="1"/>
  <c r="Y397" i="72" s="1"/>
  <c r="Y481" i="72" s="1"/>
  <c r="AB398" i="72" a="1"/>
  <c r="AB398" i="72" s="1"/>
  <c r="AB482" i="72" s="1"/>
  <c r="O412" i="72"/>
  <c r="W393" i="72" a="1"/>
  <c r="W393" i="72" s="1"/>
  <c r="W477" i="72" s="1"/>
  <c r="W241" i="72"/>
  <c r="W325" i="72" s="1"/>
  <c r="N242" i="72"/>
  <c r="N326" i="72" s="1"/>
  <c r="K222" i="72" a="1"/>
  <c r="K222" i="72" s="1"/>
  <c r="K306" i="72" s="1"/>
  <c r="AG243" i="72"/>
  <c r="AG327" i="72" s="1"/>
  <c r="Z244" i="72"/>
  <c r="Z328" i="72" s="1"/>
  <c r="U245" i="72"/>
  <c r="U329" i="72" s="1"/>
  <c r="N246" i="72"/>
  <c r="N330" i="72" s="1"/>
  <c r="H227" i="72" a="1"/>
  <c r="H227" i="72" s="1"/>
  <c r="H311" i="72" s="1"/>
  <c r="U250" i="72"/>
  <c r="U334" i="72" s="1"/>
  <c r="K218" i="72" a="1"/>
  <c r="K218" i="72" s="1"/>
  <c r="AC218" i="72" a="1"/>
  <c r="AC218" i="72" s="1"/>
  <c r="AC45" i="72" a="1"/>
  <c r="AC45" i="72" s="1"/>
  <c r="AC129" i="72" s="1"/>
  <c r="AF67" i="72"/>
  <c r="AF151" i="72" s="1"/>
  <c r="L69" i="72"/>
  <c r="L153" i="72" s="1"/>
  <c r="R70" i="72"/>
  <c r="R154" i="72" s="1"/>
  <c r="N50" i="72" a="1"/>
  <c r="N50" i="72" s="1"/>
  <c r="N134" i="72" s="1"/>
  <c r="AB71" i="72"/>
  <c r="AB155" i="72" s="1"/>
  <c r="L73" i="72"/>
  <c r="L157" i="72" s="1"/>
  <c r="Z73" i="72"/>
  <c r="Z157" i="72" s="1"/>
  <c r="N74" i="72"/>
  <c r="N158" i="72" s="1"/>
  <c r="Y74" i="72"/>
  <c r="Y158" i="72" s="1"/>
  <c r="N54" i="72" a="1"/>
  <c r="N54" i="72" s="1"/>
  <c r="N138" i="72" s="1"/>
  <c r="I76" i="72"/>
  <c r="I160" i="72" s="1"/>
  <c r="W76" i="72"/>
  <c r="W160" i="72" s="1"/>
  <c r="M64" i="72"/>
  <c r="U43" i="72" a="1"/>
  <c r="U43" i="72" s="1"/>
  <c r="AC64" i="72"/>
  <c r="R74" i="72"/>
  <c r="R158" i="72" s="1"/>
  <c r="P55" i="72" a="1"/>
  <c r="P55" i="72" s="1"/>
  <c r="P139" i="72" s="1"/>
  <c r="AD69" i="72"/>
  <c r="AD153" i="72" s="1"/>
  <c r="V74" i="72"/>
  <c r="V158" i="72" s="1"/>
  <c r="Q76" i="72"/>
  <c r="Q160" i="72" s="1"/>
  <c r="AB422" i="72"/>
  <c r="AB506" i="72" s="1"/>
  <c r="H222" i="72" a="1"/>
  <c r="H222" i="72" s="1"/>
  <c r="H306" i="72" s="1"/>
  <c r="AE68" i="72"/>
  <c r="AE152" i="72" s="1"/>
  <c r="K50" i="72" a="1"/>
  <c r="K50" i="72" s="1"/>
  <c r="K134" i="72" s="1"/>
  <c r="R55" i="72" a="1"/>
  <c r="R55" i="72" s="1"/>
  <c r="R139" i="72" s="1"/>
  <c r="R417" i="72"/>
  <c r="R501" i="72" s="1"/>
  <c r="U419" i="72"/>
  <c r="U503" i="72" s="1"/>
  <c r="N412" i="72"/>
  <c r="J243" i="72"/>
  <c r="J327" i="72" s="1"/>
  <c r="Y244" i="72"/>
  <c r="Y328" i="72" s="1"/>
  <c r="AB66" i="72"/>
  <c r="AB150" i="72" s="1"/>
  <c r="AA71" i="72"/>
  <c r="AA155" i="72" s="1"/>
  <c r="V76" i="72"/>
  <c r="V160" i="72" s="1"/>
  <c r="AB64" i="72"/>
  <c r="W414" i="72"/>
  <c r="W498" i="72" s="1"/>
  <c r="R415" i="72"/>
  <c r="R499" i="72" s="1"/>
  <c r="V416" i="72"/>
  <c r="V500" i="72" s="1"/>
  <c r="AB417" i="72"/>
  <c r="AB501" i="72" s="1"/>
  <c r="Z418" i="72"/>
  <c r="Z502" i="72" s="1"/>
  <c r="AE398" i="72" a="1"/>
  <c r="AE398" i="72" s="1"/>
  <c r="AE482" i="72" s="1"/>
  <c r="O423" i="72"/>
  <c r="O507" i="72" s="1"/>
  <c r="P412" i="72"/>
  <c r="H220" i="72" a="1"/>
  <c r="H220" i="72" s="1"/>
  <c r="H304" i="72" s="1"/>
  <c r="X241" i="72"/>
  <c r="X325" i="72" s="1"/>
  <c r="O242" i="72"/>
  <c r="O326" i="72" s="1"/>
  <c r="L222" i="72" a="1"/>
  <c r="L222" i="72" s="1"/>
  <c r="L306" i="72" s="1"/>
  <c r="H244" i="72"/>
  <c r="H328" i="72" s="1"/>
  <c r="AA244" i="72"/>
  <c r="AA328" i="72" s="1"/>
  <c r="V245" i="72"/>
  <c r="V329" i="72" s="1"/>
  <c r="O246" i="72"/>
  <c r="O330" i="72" s="1"/>
  <c r="I249" i="72"/>
  <c r="I333" i="72" s="1"/>
  <c r="X250" i="72"/>
  <c r="X334" i="72" s="1"/>
  <c r="L218" i="72" a="1"/>
  <c r="L218" i="72" s="1"/>
  <c r="AD239" i="72"/>
  <c r="AD45" i="72" a="1"/>
  <c r="AD45" i="72" s="1"/>
  <c r="AD129" i="72" s="1"/>
  <c r="L47" i="72" a="1"/>
  <c r="L47" i="72" s="1"/>
  <c r="L131" i="72" s="1"/>
  <c r="N69" i="72"/>
  <c r="N153" i="72" s="1"/>
  <c r="T70" i="72"/>
  <c r="T154" i="72" s="1"/>
  <c r="O71" i="72"/>
  <c r="O155" i="72" s="1"/>
  <c r="AC71" i="72"/>
  <c r="AC155" i="72" s="1"/>
  <c r="P73" i="72"/>
  <c r="P157" i="72" s="1"/>
  <c r="AA73" i="72"/>
  <c r="AA157" i="72" s="1"/>
  <c r="O74" i="72"/>
  <c r="O158" i="72" s="1"/>
  <c r="Z74" i="72"/>
  <c r="Z158" i="72" s="1"/>
  <c r="T75" i="72"/>
  <c r="T159" i="72" s="1"/>
  <c r="K76" i="72"/>
  <c r="K160" i="72" s="1"/>
  <c r="Y76" i="72"/>
  <c r="Y160" i="72" s="1"/>
  <c r="N64" i="72"/>
  <c r="V64" i="72"/>
  <c r="AD64" i="72"/>
  <c r="S73" i="72"/>
  <c r="S157" i="72" s="1"/>
  <c r="Y54" i="72" a="1"/>
  <c r="Y54" i="72" s="1"/>
  <c r="Y138" i="72" s="1"/>
  <c r="Y64" i="72"/>
  <c r="V46" i="72" a="1"/>
  <c r="V46" i="72" s="1"/>
  <c r="V130" i="72" s="1"/>
  <c r="T73" i="72"/>
  <c r="T157" i="72" s="1"/>
  <c r="Z54" i="72" a="1"/>
  <c r="Z54" i="72" s="1"/>
  <c r="Z138" i="72" s="1"/>
  <c r="T419" i="72"/>
  <c r="T503" i="72" s="1"/>
  <c r="AE412" i="72"/>
  <c r="W244" i="72"/>
  <c r="W328" i="72" s="1"/>
  <c r="N45" i="72" a="1"/>
  <c r="N45" i="72" s="1"/>
  <c r="N129" i="72" s="1"/>
  <c r="X73" i="72"/>
  <c r="X157" i="72" s="1"/>
  <c r="J75" i="72"/>
  <c r="J159" i="72" s="1"/>
  <c r="K64" i="72"/>
  <c r="H226" i="72" a="1"/>
  <c r="H226" i="72" s="1"/>
  <c r="H310" i="72" s="1"/>
  <c r="AE67" i="72"/>
  <c r="AE151" i="72" s="1"/>
  <c r="J74" i="72"/>
  <c r="J158" i="72" s="1"/>
  <c r="T64" i="72"/>
  <c r="Z414" i="72"/>
  <c r="Z498" i="72" s="1"/>
  <c r="AA394" i="72" a="1"/>
  <c r="AA394" i="72" s="1"/>
  <c r="AA478" i="72" s="1"/>
  <c r="W416" i="72"/>
  <c r="W500" i="72" s="1"/>
  <c r="AD417" i="72"/>
  <c r="AD501" i="72" s="1"/>
  <c r="H419" i="72"/>
  <c r="H503" i="72" s="1"/>
  <c r="AF419" i="72"/>
  <c r="AF503" i="72" s="1"/>
  <c r="Y423" i="72"/>
  <c r="Y507" i="72" s="1"/>
  <c r="T412" i="72"/>
  <c r="L220" i="72" a="1"/>
  <c r="L220" i="72" s="1"/>
  <c r="L304" i="72" s="1"/>
  <c r="AB241" i="72"/>
  <c r="AB325" i="72" s="1"/>
  <c r="U242" i="72"/>
  <c r="U326" i="72" s="1"/>
  <c r="S243" i="72"/>
  <c r="S327" i="72" s="1"/>
  <c r="L223" i="72" a="1"/>
  <c r="L223" i="72" s="1"/>
  <c r="L307" i="72" s="1"/>
  <c r="AG244" i="72"/>
  <c r="AG328" i="72" s="1"/>
  <c r="Z245" i="72"/>
  <c r="Z329" i="72" s="1"/>
  <c r="T246" i="72"/>
  <c r="T330" i="72" s="1"/>
  <c r="Q249" i="72"/>
  <c r="Q333" i="72" s="1"/>
  <c r="AF250" i="72"/>
  <c r="AF334" i="72" s="1"/>
  <c r="R239" i="72"/>
  <c r="AF66" i="72"/>
  <c r="AF150" i="72" s="1"/>
  <c r="O68" i="72"/>
  <c r="O152" i="72" s="1"/>
  <c r="O48" i="72" a="1"/>
  <c r="O48" i="72" s="1"/>
  <c r="O132" i="72" s="1"/>
  <c r="U49" i="72" a="1"/>
  <c r="U49" i="72" s="1"/>
  <c r="U133" i="72" s="1"/>
  <c r="S71" i="72"/>
  <c r="S155" i="72" s="1"/>
  <c r="AD71" i="72"/>
  <c r="AD155" i="72" s="1"/>
  <c r="Q73" i="72"/>
  <c r="Q157" i="72" s="1"/>
  <c r="AB73" i="72"/>
  <c r="AB157" i="72" s="1"/>
  <c r="P74" i="72"/>
  <c r="P158" i="72" s="1"/>
  <c r="AD53" i="72" a="1"/>
  <c r="AD53" i="72" s="1"/>
  <c r="AD137" i="72" s="1"/>
  <c r="W75" i="72"/>
  <c r="W159" i="72" s="1"/>
  <c r="M76" i="72"/>
  <c r="M160" i="72" s="1"/>
  <c r="AA76" i="72"/>
  <c r="AA160" i="72" s="1"/>
  <c r="O64" i="72"/>
  <c r="W64" i="72"/>
  <c r="AE64" i="72"/>
  <c r="H52" i="72" a="1"/>
  <c r="H52" i="72" s="1"/>
  <c r="H136" i="72" s="1"/>
  <c r="Q64" i="72"/>
  <c r="X68" i="72"/>
  <c r="X152" i="72" s="1"/>
  <c r="I73" i="72"/>
  <c r="I157" i="72" s="1"/>
  <c r="R64" i="72"/>
  <c r="L414" i="72"/>
  <c r="L498" i="72" s="1"/>
  <c r="T220" i="72" a="1"/>
  <c r="T220" i="72" s="1"/>
  <c r="T304" i="72" s="1"/>
  <c r="AG249" i="72"/>
  <c r="AG333" i="72" s="1"/>
  <c r="AG230" i="72" a="1"/>
  <c r="AG230" i="72" s="1"/>
  <c r="AG314" i="72" s="1"/>
  <c r="J73" i="72"/>
  <c r="J157" i="72" s="1"/>
  <c r="S43" i="72" a="1"/>
  <c r="S43" i="72" s="1"/>
  <c r="M416" i="72"/>
  <c r="M500" i="72" s="1"/>
  <c r="AF222" i="72" a="1"/>
  <c r="AF222" i="72" s="1"/>
  <c r="AF306" i="72" s="1"/>
  <c r="AF48" i="72" a="1"/>
  <c r="AF48" i="72" s="1"/>
  <c r="AF132" i="72" s="1"/>
  <c r="AD54" i="72" a="1"/>
  <c r="AD54" i="72" s="1"/>
  <c r="AD138" i="72" s="1"/>
  <c r="AA393" i="72" a="1"/>
  <c r="AA393" i="72" s="1"/>
  <c r="AA477" i="72" s="1"/>
  <c r="AC415" i="72"/>
  <c r="AC499" i="72" s="1"/>
  <c r="AC416" i="72"/>
  <c r="AC500" i="72" s="1"/>
  <c r="AE417" i="72"/>
  <c r="AE501" i="72" s="1"/>
  <c r="J419" i="72"/>
  <c r="J503" i="72" s="1"/>
  <c r="M422" i="72"/>
  <c r="M506" i="72" s="1"/>
  <c r="AG423" i="72"/>
  <c r="AG507" i="72" s="1"/>
  <c r="V412" i="72"/>
  <c r="N241" i="72"/>
  <c r="N325" i="72" s="1"/>
  <c r="AD241" i="72"/>
  <c r="AD325" i="72" s="1"/>
  <c r="W242" i="72"/>
  <c r="W326" i="72" s="1"/>
  <c r="U243" i="72"/>
  <c r="U327" i="72" s="1"/>
  <c r="O244" i="72"/>
  <c r="O328" i="72" s="1"/>
  <c r="I224" i="72" a="1"/>
  <c r="I224" i="72" s="1"/>
  <c r="I308" i="72" s="1"/>
  <c r="AD245" i="72"/>
  <c r="AD329" i="72" s="1"/>
  <c r="V246" i="72"/>
  <c r="V330" i="72" s="1"/>
  <c r="V249" i="72"/>
  <c r="V333" i="72" s="1"/>
  <c r="O251" i="72"/>
  <c r="O335" i="72" s="1"/>
  <c r="T239" i="72"/>
  <c r="AD242" i="72"/>
  <c r="AD326" i="72" s="1"/>
  <c r="J67" i="72"/>
  <c r="J151" i="72" s="1"/>
  <c r="U68" i="72"/>
  <c r="U152" i="72" s="1"/>
  <c r="AA69" i="72"/>
  <c r="AA153" i="72" s="1"/>
  <c r="V70" i="72"/>
  <c r="V154" i="72" s="1"/>
  <c r="T71" i="72"/>
  <c r="T155" i="72" s="1"/>
  <c r="AE71" i="72"/>
  <c r="AE155" i="72" s="1"/>
  <c r="R73" i="72"/>
  <c r="R157" i="72" s="1"/>
  <c r="AF73" i="72"/>
  <c r="AF157" i="72" s="1"/>
  <c r="Q74" i="72"/>
  <c r="Q158" i="72" s="1"/>
  <c r="AE74" i="72"/>
  <c r="AE158" i="72" s="1"/>
  <c r="X75" i="72"/>
  <c r="X159" i="72" s="1"/>
  <c r="O55" i="72" a="1"/>
  <c r="O55" i="72" s="1"/>
  <c r="O139" i="72" s="1"/>
  <c r="AE76" i="72"/>
  <c r="AE160" i="72" s="1"/>
  <c r="P64" i="72"/>
  <c r="X64" i="72"/>
  <c r="AF43" i="72" a="1"/>
  <c r="AF43" i="72" s="1"/>
  <c r="X49" i="72" a="1"/>
  <c r="X49" i="72" s="1"/>
  <c r="X133" i="72" s="1"/>
  <c r="AF74" i="72"/>
  <c r="AF158" i="72" s="1"/>
  <c r="AF55" i="72" a="1"/>
  <c r="AF55" i="72" s="1"/>
  <c r="AF139" i="72" s="1"/>
  <c r="Y249" i="72"/>
  <c r="Y333" i="72" s="1"/>
  <c r="V71" i="72"/>
  <c r="V155" i="72" s="1"/>
  <c r="J64" i="72"/>
  <c r="K242" i="72"/>
  <c r="K326" i="72" s="1"/>
  <c r="P245" i="72"/>
  <c r="P329" i="72" s="1"/>
  <c r="I250" i="72"/>
  <c r="I334" i="72" s="1"/>
  <c r="AE48" i="72" a="1"/>
  <c r="AE48" i="72" s="1"/>
  <c r="AE132" i="72" s="1"/>
  <c r="W74" i="72"/>
  <c r="W158" i="72" s="1"/>
  <c r="U418" i="72"/>
  <c r="U502" i="72" s="1"/>
  <c r="AE422" i="72"/>
  <c r="AE506" i="72" s="1"/>
  <c r="M221" i="72" a="1"/>
  <c r="M221" i="72" s="1"/>
  <c r="M305" i="72" s="1"/>
  <c r="AB239" i="72"/>
  <c r="L71" i="72"/>
  <c r="L155" i="72" s="1"/>
  <c r="X74" i="72"/>
  <c r="X158" i="72" s="1"/>
  <c r="L54" i="72" a="1"/>
  <c r="L54" i="72" s="1"/>
  <c r="L138" i="72" s="1"/>
  <c r="AF414" i="72"/>
  <c r="AF498" i="72" s="1"/>
  <c r="AE415" i="72"/>
  <c r="AE499" i="72" s="1"/>
  <c r="AF416" i="72"/>
  <c r="AF500" i="72" s="1"/>
  <c r="K418" i="72"/>
  <c r="K502" i="72" s="1"/>
  <c r="K419" i="72"/>
  <c r="K503" i="72" s="1"/>
  <c r="S422" i="72"/>
  <c r="S506" i="72" s="1"/>
  <c r="H424" i="72"/>
  <c r="H508" i="72" s="1"/>
  <c r="W412" i="72"/>
  <c r="O241" i="72"/>
  <c r="O325" i="72" s="1"/>
  <c r="AE241" i="72"/>
  <c r="AE325" i="72" s="1"/>
  <c r="AA242" i="72"/>
  <c r="AA326" i="72" s="1"/>
  <c r="V243" i="72"/>
  <c r="V327" i="72" s="1"/>
  <c r="P244" i="72"/>
  <c r="P328" i="72" s="1"/>
  <c r="K224" i="72" a="1"/>
  <c r="K224" i="72" s="1"/>
  <c r="K308" i="72" s="1"/>
  <c r="AE245" i="72"/>
  <c r="AE329" i="72" s="1"/>
  <c r="W225" i="72" a="1"/>
  <c r="W225" i="72" s="1"/>
  <c r="W309" i="72" s="1"/>
  <c r="W249" i="72"/>
  <c r="W333" i="72" s="1"/>
  <c r="Q251" i="72"/>
  <c r="Q335" i="72" s="1"/>
  <c r="U239" i="72"/>
  <c r="H66" i="72"/>
  <c r="H150" i="72" s="1"/>
  <c r="T67" i="72"/>
  <c r="T151" i="72" s="1"/>
  <c r="V68" i="72"/>
  <c r="V152" i="72" s="1"/>
  <c r="AB69" i="72"/>
  <c r="AB153" i="72" s="1"/>
  <c r="U71" i="72"/>
  <c r="U155" i="72" s="1"/>
  <c r="AG73" i="72"/>
  <c r="AG157" i="72" s="1"/>
  <c r="H75" i="72"/>
  <c r="H159" i="72" s="1"/>
  <c r="AG43" i="72" a="1"/>
  <c r="AG43" i="72" s="1"/>
  <c r="V239" i="72"/>
  <c r="J71" i="72"/>
  <c r="J155" i="72" s="1"/>
  <c r="AG74" i="72"/>
  <c r="AG158" i="72" s="1"/>
  <c r="Z43" i="72" a="1"/>
  <c r="Z43" i="72" s="1"/>
  <c r="I415" i="72"/>
  <c r="I499" i="72" s="1"/>
  <c r="I391" i="72" a="1"/>
  <c r="I391" i="72" s="1"/>
  <c r="AD246" i="72"/>
  <c r="AD330" i="72" s="1"/>
  <c r="Y67" i="72"/>
  <c r="Y151" i="72" s="1"/>
  <c r="I74" i="72"/>
  <c r="I158" i="72" s="1"/>
  <c r="AA64" i="72"/>
  <c r="O415" i="72"/>
  <c r="O499" i="72" s="1"/>
  <c r="V241" i="72"/>
  <c r="V325" i="72" s="1"/>
  <c r="L246" i="72"/>
  <c r="L330" i="72" s="1"/>
  <c r="J218" i="72" a="1"/>
  <c r="J218" i="72" s="1"/>
  <c r="K73" i="72"/>
  <c r="K157" i="72" s="1"/>
  <c r="H394" i="72" a="1"/>
  <c r="H394" i="72" s="1"/>
  <c r="H478" i="72" s="1"/>
  <c r="J416" i="72"/>
  <c r="J500" i="72" s="1"/>
  <c r="H417" i="72"/>
  <c r="H501" i="72" s="1"/>
  <c r="M418" i="72"/>
  <c r="M502" i="72" s="1"/>
  <c r="R398" i="72" a="1"/>
  <c r="R398" i="72" s="1"/>
  <c r="R482" i="72" s="1"/>
  <c r="T422" i="72"/>
  <c r="T506" i="72" s="1"/>
  <c r="P424" i="72"/>
  <c r="P508" i="72" s="1"/>
  <c r="X412" i="72"/>
  <c r="P220" i="72" a="1"/>
  <c r="P220" i="72" s="1"/>
  <c r="P304" i="72" s="1"/>
  <c r="AF241" i="72"/>
  <c r="AF325" i="72" s="1"/>
  <c r="AB242" i="72"/>
  <c r="AB326" i="72" s="1"/>
  <c r="Y222" i="72" a="1"/>
  <c r="Y222" i="72" s="1"/>
  <c r="Y306" i="72" s="1"/>
  <c r="Q244" i="72"/>
  <c r="Q328" i="72" s="1"/>
  <c r="L224" i="72" a="1"/>
  <c r="L224" i="72" s="1"/>
  <c r="L308" i="72" s="1"/>
  <c r="AF245" i="72"/>
  <c r="AF329" i="72" s="1"/>
  <c r="X246" i="72"/>
  <c r="X330" i="72" s="1"/>
  <c r="W251" i="72"/>
  <c r="W335" i="72" s="1"/>
  <c r="M45" i="72" a="1"/>
  <c r="M45" i="72" s="1"/>
  <c r="M129" i="72" s="1"/>
  <c r="H74" i="72"/>
  <c r="H158" i="72" s="1"/>
  <c r="I54" i="72" a="1"/>
  <c r="I54" i="72" s="1"/>
  <c r="I138" i="72" s="1"/>
  <c r="L416" i="72"/>
  <c r="L500" i="72" s="1"/>
  <c r="O417" i="72"/>
  <c r="O501" i="72" s="1"/>
  <c r="N418" i="72"/>
  <c r="N502" i="72" s="1"/>
  <c r="AC243" i="72"/>
  <c r="AC327" i="72" s="1"/>
  <c r="J225" i="72" a="1"/>
  <c r="J225" i="72" s="1"/>
  <c r="J309" i="72" s="1"/>
  <c r="Z239" i="72"/>
  <c r="W71" i="72"/>
  <c r="W155" i="72" s="1"/>
  <c r="AB54" i="72" a="1"/>
  <c r="AB54" i="72" s="1"/>
  <c r="AB138" i="72" s="1"/>
  <c r="N414" i="72"/>
  <c r="N498" i="72" s="1"/>
  <c r="AG412" i="72"/>
  <c r="R245" i="72"/>
  <c r="R329" i="72" s="1"/>
  <c r="T250" i="72"/>
  <c r="T334" i="72" s="1"/>
  <c r="K69" i="72"/>
  <c r="K153" i="72" s="1"/>
  <c r="Y73" i="72"/>
  <c r="Y157" i="72" s="1"/>
  <c r="L43" i="72" a="1"/>
  <c r="L43" i="72" s="1"/>
  <c r="Q414" i="72"/>
  <c r="Q498" i="72" s="1"/>
  <c r="O422" i="72"/>
  <c r="O506" i="72" s="1"/>
  <c r="J239" i="72"/>
  <c r="T415" i="72"/>
  <c r="T499" i="72" s="1"/>
  <c r="K223" i="72" a="1"/>
  <c r="K223" i="72" s="1"/>
  <c r="K307" i="72" s="1"/>
  <c r="U415" i="72"/>
  <c r="U499" i="72" s="1"/>
  <c r="P414" i="72"/>
  <c r="P498" i="72" s="1"/>
  <c r="S397" i="72" a="1"/>
  <c r="S397" i="72" s="1"/>
  <c r="S481" i="72" s="1"/>
  <c r="J415" i="72"/>
  <c r="J499" i="72" s="1"/>
  <c r="H415" i="72"/>
  <c r="H499" i="72" s="1"/>
  <c r="H242" i="72"/>
  <c r="H326" i="72" s="1"/>
  <c r="X393" i="72" a="1"/>
  <c r="X393" i="72" s="1"/>
  <c r="X477" i="72" s="1"/>
  <c r="J417" i="72"/>
  <c r="J501" i="72" s="1"/>
  <c r="V398" i="72" a="1"/>
  <c r="V398" i="72" s="1"/>
  <c r="V482" i="72" s="1"/>
  <c r="I403" i="72" a="1"/>
  <c r="I403" i="72" s="1"/>
  <c r="I487" i="72" s="1"/>
  <c r="Z403" i="72" a="1"/>
  <c r="Z403" i="72" s="1"/>
  <c r="Z487" i="72" s="1"/>
  <c r="Q418" i="72"/>
  <c r="Q502" i="72" s="1"/>
  <c r="Y422" i="72"/>
  <c r="Y506" i="72" s="1"/>
  <c r="K424" i="72"/>
  <c r="K508" i="72" s="1"/>
  <c r="AC398" i="72" a="1"/>
  <c r="AC398" i="72" s="1"/>
  <c r="AC482" i="72" s="1"/>
  <c r="Z401" i="72" a="1"/>
  <c r="Z401" i="72" s="1"/>
  <c r="Z485" i="72" s="1"/>
  <c r="AA391" i="72" a="1"/>
  <c r="AA391" i="72" s="1"/>
  <c r="R397" i="72" a="1"/>
  <c r="R397" i="72" s="1"/>
  <c r="R481" i="72" s="1"/>
  <c r="R523" i="72" s="1"/>
  <c r="AC424" i="72"/>
  <c r="AC508" i="72" s="1"/>
  <c r="R396" i="72" a="1"/>
  <c r="R396" i="72" s="1"/>
  <c r="R480" i="72" s="1"/>
  <c r="AD403" i="72" a="1"/>
  <c r="AD403" i="72" s="1"/>
  <c r="AD487" i="72" s="1"/>
  <c r="AE424" i="72"/>
  <c r="AE508" i="72" s="1"/>
  <c r="N403" i="72" a="1"/>
  <c r="N403" i="72" s="1"/>
  <c r="N487" i="72" s="1"/>
  <c r="AF424" i="72"/>
  <c r="AF508" i="72" s="1"/>
  <c r="H396" i="72" a="1"/>
  <c r="H396" i="72" s="1"/>
  <c r="H480" i="72" s="1"/>
  <c r="K402" i="72" a="1"/>
  <c r="K402" i="72" s="1"/>
  <c r="K486" i="72" s="1"/>
  <c r="AE391" i="72" a="1"/>
  <c r="AE391" i="72" s="1"/>
  <c r="V391" i="72" a="1"/>
  <c r="V391" i="72" s="1"/>
  <c r="J397" i="72" a="1"/>
  <c r="J397" i="72" s="1"/>
  <c r="J481" i="72" s="1"/>
  <c r="J523" i="72" s="1"/>
  <c r="AA403" i="72" a="1"/>
  <c r="AA403" i="72" s="1"/>
  <c r="AA487" i="72" s="1"/>
  <c r="Q422" i="72"/>
  <c r="Q506" i="72" s="1"/>
  <c r="S424" i="72"/>
  <c r="S508" i="72" s="1"/>
  <c r="W396" i="72" a="1"/>
  <c r="W396" i="72" s="1"/>
  <c r="W480" i="72" s="1"/>
  <c r="P401" i="72" a="1"/>
  <c r="P401" i="72" s="1"/>
  <c r="P485" i="72" s="1"/>
  <c r="T403" i="72" a="1"/>
  <c r="T403" i="72" s="1"/>
  <c r="T487" i="72" s="1"/>
  <c r="X396" i="72" a="1"/>
  <c r="X396" i="72" s="1"/>
  <c r="X480" i="72" s="1"/>
  <c r="U403" i="72" a="1"/>
  <c r="U403" i="72" s="1"/>
  <c r="U487" i="72" s="1"/>
  <c r="K398" i="72" a="1"/>
  <c r="K398" i="72" s="1"/>
  <c r="K482" i="72" s="1"/>
  <c r="Y394" i="72" a="1"/>
  <c r="Y394" i="72" s="1"/>
  <c r="Y478" i="72" s="1"/>
  <c r="Y398" i="72" a="1"/>
  <c r="Y398" i="72" s="1"/>
  <c r="Y482" i="72" s="1"/>
  <c r="Y412" i="72"/>
  <c r="I244" i="72"/>
  <c r="I328" i="72" s="1"/>
  <c r="H223" i="72" a="1"/>
  <c r="H223" i="72" s="1"/>
  <c r="H307" i="72" s="1"/>
  <c r="M246" i="72"/>
  <c r="M330" i="72" s="1"/>
  <c r="K239" i="72"/>
  <c r="U395" i="72" a="1"/>
  <c r="U395" i="72" s="1"/>
  <c r="U479" i="72" s="1"/>
  <c r="AB416" i="72"/>
  <c r="AB500" i="72" s="1"/>
  <c r="Y415" i="72"/>
  <c r="Y499" i="72" s="1"/>
  <c r="I245" i="72"/>
  <c r="I329" i="72" s="1"/>
  <c r="I239" i="72"/>
  <c r="K243" i="72"/>
  <c r="K327" i="72" s="1"/>
  <c r="X244" i="72"/>
  <c r="X328" i="72" s="1"/>
  <c r="M393" i="72" a="1"/>
  <c r="M393" i="72" s="1"/>
  <c r="M477" i="72" s="1"/>
  <c r="L412" i="72"/>
  <c r="N415" i="72"/>
  <c r="N499" i="72" s="1"/>
  <c r="Z417" i="72"/>
  <c r="Z501" i="72" s="1"/>
  <c r="K412" i="72"/>
  <c r="Y403" i="72" a="1"/>
  <c r="Y403" i="72" s="1"/>
  <c r="Y487" i="72" s="1"/>
  <c r="T423" i="72"/>
  <c r="T507" i="72" s="1"/>
  <c r="Q397" i="72" a="1"/>
  <c r="Q397" i="72" s="1"/>
  <c r="Q481" i="72" s="1"/>
  <c r="Y401" i="72" a="1"/>
  <c r="Y401" i="72" s="1"/>
  <c r="Y485" i="72" s="1"/>
  <c r="K403" i="72" a="1"/>
  <c r="K403" i="72" s="1"/>
  <c r="K487" i="72" s="1"/>
  <c r="S401" i="72" a="1"/>
  <c r="S401" i="72" s="1"/>
  <c r="S485" i="72" s="1"/>
  <c r="Z422" i="72"/>
  <c r="Z506" i="72" s="1"/>
  <c r="Y393" i="72" a="1"/>
  <c r="Y393" i="72" s="1"/>
  <c r="Y477" i="72" s="1"/>
  <c r="AD397" i="72" a="1"/>
  <c r="AD397" i="72" s="1"/>
  <c r="AD481" i="72" s="1"/>
  <c r="AD523" i="72" s="1"/>
  <c r="AC403" i="72" a="1"/>
  <c r="AC403" i="72" s="1"/>
  <c r="AC487" i="72" s="1"/>
  <c r="AE396" i="72" a="1"/>
  <c r="AE396" i="72" s="1"/>
  <c r="AE480" i="72" s="1"/>
  <c r="AC394" i="72" a="1"/>
  <c r="AC394" i="72" s="1"/>
  <c r="AC478" i="72" s="1"/>
  <c r="AE403" i="72" a="1"/>
  <c r="AE403" i="72" s="1"/>
  <c r="AE487" i="72" s="1"/>
  <c r="I242" i="72"/>
  <c r="I326" i="72" s="1"/>
  <c r="AF403" i="72" a="1"/>
  <c r="AF403" i="72" s="1"/>
  <c r="AF487" i="72" s="1"/>
  <c r="U396" i="72" a="1"/>
  <c r="U396" i="72" s="1"/>
  <c r="U480" i="72" s="1"/>
  <c r="P403" i="72" a="1"/>
  <c r="P403" i="72" s="1"/>
  <c r="P487" i="72" s="1"/>
  <c r="AA423" i="72"/>
  <c r="AA507" i="72" s="1"/>
  <c r="AB393" i="72" a="1"/>
  <c r="AB393" i="72" s="1"/>
  <c r="AB477" i="72" s="1"/>
  <c r="I393" i="72" a="1"/>
  <c r="I393" i="72" s="1"/>
  <c r="I477" i="72" s="1"/>
  <c r="V397" i="72" a="1"/>
  <c r="V397" i="72" s="1"/>
  <c r="V481" i="72" s="1"/>
  <c r="AD412" i="72"/>
  <c r="Q401" i="72" a="1"/>
  <c r="Q401" i="72" s="1"/>
  <c r="Q485" i="72" s="1"/>
  <c r="S403" i="72" a="1"/>
  <c r="S403" i="72" s="1"/>
  <c r="S487" i="72" s="1"/>
  <c r="AC401" i="72" a="1"/>
  <c r="AC401" i="72" s="1"/>
  <c r="AC485" i="72" s="1"/>
  <c r="M391" i="72" a="1"/>
  <c r="M391" i="72" s="1"/>
  <c r="K397" i="72" a="1"/>
  <c r="K397" i="72" s="1"/>
  <c r="K481" i="72" s="1"/>
  <c r="N391" i="72" a="1"/>
  <c r="N391" i="72" s="1"/>
  <c r="K401" i="72" a="1"/>
  <c r="K401" i="72" s="1"/>
  <c r="K485" i="72" s="1"/>
  <c r="AF402" i="72" a="1"/>
  <c r="AF402" i="72" s="1"/>
  <c r="AF486" i="72" s="1"/>
  <c r="R395" i="72" a="1"/>
  <c r="R395" i="72" s="1"/>
  <c r="R479" i="72" s="1"/>
  <c r="M242" i="72"/>
  <c r="M326" i="72" s="1"/>
  <c r="L221" i="72" a="1"/>
  <c r="L221" i="72" s="1"/>
  <c r="L305" i="72" s="1"/>
  <c r="M225" i="72" a="1"/>
  <c r="M225" i="72" s="1"/>
  <c r="M309" i="72" s="1"/>
  <c r="H421" i="72"/>
  <c r="H505" i="72" s="1"/>
  <c r="U416" i="72"/>
  <c r="U500" i="72" s="1"/>
  <c r="V415" i="72"/>
  <c r="V499" i="72" s="1"/>
  <c r="P393" i="72" a="1"/>
  <c r="P393" i="72" s="1"/>
  <c r="P477" i="72" s="1"/>
  <c r="U417" i="72"/>
  <c r="U501" i="72" s="1"/>
  <c r="AA414" i="72"/>
  <c r="AA498" i="72" s="1"/>
  <c r="S412" i="72"/>
  <c r="O396" i="72" a="1"/>
  <c r="O396" i="72" s="1"/>
  <c r="O480" i="72" s="1"/>
  <c r="L391" i="72" a="1"/>
  <c r="L391" i="72" s="1"/>
  <c r="N394" i="72" a="1"/>
  <c r="N394" i="72" s="1"/>
  <c r="N478" i="72" s="1"/>
  <c r="Z396" i="72" a="1"/>
  <c r="Z396" i="72" s="1"/>
  <c r="Z480" i="72" s="1"/>
  <c r="AA412" i="72"/>
  <c r="Y424" i="72"/>
  <c r="Y508" i="72" s="1"/>
  <c r="M412" i="72"/>
  <c r="AG418" i="72"/>
  <c r="AG502" i="72" s="1"/>
  <c r="Q391" i="72" a="1"/>
  <c r="Q391" i="72" s="1"/>
  <c r="I394" i="72" a="1"/>
  <c r="I394" i="72" s="1"/>
  <c r="I478" i="72" s="1"/>
  <c r="Q398" i="72" a="1"/>
  <c r="Q398" i="72" s="1"/>
  <c r="Q482" i="72" s="1"/>
  <c r="R391" i="72" a="1"/>
  <c r="R391" i="72" s="1"/>
  <c r="T401" i="72" a="1"/>
  <c r="T401" i="72" s="1"/>
  <c r="T485" i="72" s="1"/>
  <c r="AE397" i="72" a="1"/>
  <c r="AE397" i="72" s="1"/>
  <c r="AE481" i="72" s="1"/>
  <c r="X395" i="72" a="1"/>
  <c r="X395" i="72" s="1"/>
  <c r="X479" i="72" s="1"/>
  <c r="H248" i="72"/>
  <c r="H332" i="72" s="1"/>
  <c r="J391" i="72" a="1"/>
  <c r="J391" i="72" s="1"/>
  <c r="AG396" i="72" a="1"/>
  <c r="AG396" i="72" s="1"/>
  <c r="AG480" i="72" s="1"/>
  <c r="AG522" i="72" s="1"/>
  <c r="X422" i="72"/>
  <c r="X506" i="72" s="1"/>
  <c r="AA402" i="72" a="1"/>
  <c r="AA402" i="72" s="1"/>
  <c r="AA486" i="72" s="1"/>
  <c r="U394" i="72" a="1"/>
  <c r="U394" i="72" s="1"/>
  <c r="U478" i="72" s="1"/>
  <c r="S393" i="72" a="1"/>
  <c r="S393" i="72" s="1"/>
  <c r="S477" i="72" s="1"/>
  <c r="I398" i="72" a="1"/>
  <c r="I398" i="72" s="1"/>
  <c r="I482" i="72" s="1"/>
  <c r="S396" i="72" a="1"/>
  <c r="S396" i="72" s="1"/>
  <c r="S480" i="72" s="1"/>
  <c r="AF391" i="72" a="1"/>
  <c r="AF391" i="72" s="1"/>
  <c r="W391" i="72" a="1"/>
  <c r="W391" i="72" s="1"/>
  <c r="W397" i="72" a="1"/>
  <c r="W397" i="72" s="1"/>
  <c r="W481" i="72" s="1"/>
  <c r="AG391" i="72" a="1"/>
  <c r="AG391" i="72" s="1"/>
  <c r="O418" i="72"/>
  <c r="O502" i="72" s="1"/>
  <c r="J395" i="72" a="1"/>
  <c r="J395" i="72" s="1"/>
  <c r="J479" i="72" s="1"/>
  <c r="J521" i="72" s="1"/>
  <c r="AG398" i="72" a="1"/>
  <c r="AG398" i="72" s="1"/>
  <c r="AG482" i="72" s="1"/>
  <c r="AG416" i="72"/>
  <c r="AG500" i="72" s="1"/>
  <c r="W246" i="72"/>
  <c r="W330" i="72" s="1"/>
  <c r="W418" i="72"/>
  <c r="W502" i="72" s="1"/>
  <c r="AA418" i="72"/>
  <c r="AA502" i="72" s="1"/>
  <c r="N419" i="72"/>
  <c r="N503" i="72" s="1"/>
  <c r="AA415" i="72"/>
  <c r="AA499" i="72" s="1"/>
  <c r="P419" i="72"/>
  <c r="P503" i="72" s="1"/>
  <c r="J224" i="72" a="1"/>
  <c r="J224" i="72" s="1"/>
  <c r="J308" i="72" s="1"/>
  <c r="AB412" i="72"/>
  <c r="AD415" i="72"/>
  <c r="AD499" i="72" s="1"/>
  <c r="P418" i="72"/>
  <c r="P502" i="72" s="1"/>
  <c r="P391" i="72" a="1"/>
  <c r="P391" i="72" s="1"/>
  <c r="AC412" i="72"/>
  <c r="AG397" i="72" a="1"/>
  <c r="AG397" i="72" s="1"/>
  <c r="AG481" i="72" s="1"/>
  <c r="N393" i="72" a="1"/>
  <c r="N393" i="72" s="1"/>
  <c r="N477" i="72" s="1"/>
  <c r="AB394" i="72" a="1"/>
  <c r="AB394" i="72" s="1"/>
  <c r="AB478" i="72" s="1"/>
  <c r="AF398" i="72" a="1"/>
  <c r="AF398" i="72" s="1"/>
  <c r="AF482" i="72" s="1"/>
  <c r="O393" i="72" a="1"/>
  <c r="O393" i="72" s="1"/>
  <c r="O477" i="72" s="1"/>
  <c r="W401" i="72" a="1"/>
  <c r="W401" i="72" s="1"/>
  <c r="W485" i="72" s="1"/>
  <c r="H218" i="72" a="1"/>
  <c r="H218" i="72" s="1"/>
  <c r="T391" i="72" a="1"/>
  <c r="T391" i="72" s="1"/>
  <c r="T397" i="72" a="1"/>
  <c r="T397" i="72" s="1"/>
  <c r="T481" i="72" s="1"/>
  <c r="Q424" i="72"/>
  <c r="Q508" i="72" s="1"/>
  <c r="AF394" i="72" a="1"/>
  <c r="AF394" i="72" s="1"/>
  <c r="AF478" i="72" s="1"/>
  <c r="R403" i="72" a="1"/>
  <c r="R403" i="72" s="1"/>
  <c r="R487" i="72" s="1"/>
  <c r="R529" i="72" s="1"/>
  <c r="L423" i="72"/>
  <c r="L507" i="72" s="1"/>
  <c r="L394" i="72" a="1"/>
  <c r="L394" i="72" s="1"/>
  <c r="L478" i="72" s="1"/>
  <c r="U398" i="72" a="1"/>
  <c r="U398" i="72" s="1"/>
  <c r="U482" i="72" s="1"/>
  <c r="S417" i="72"/>
  <c r="S501" i="72" s="1"/>
  <c r="J393" i="72" a="1"/>
  <c r="J393" i="72" s="1"/>
  <c r="J477" i="72" s="1"/>
  <c r="R422" i="72"/>
  <c r="R506" i="72" s="1"/>
  <c r="N423" i="72"/>
  <c r="N507" i="72" s="1"/>
  <c r="T393" i="72" a="1"/>
  <c r="T393" i="72" s="1"/>
  <c r="T477" i="72" s="1"/>
  <c r="T519" i="72" s="1"/>
  <c r="J398" i="72" a="1"/>
  <c r="J398" i="72" s="1"/>
  <c r="J482" i="72" s="1"/>
  <c r="K393" i="72" a="1"/>
  <c r="K393" i="72" s="1"/>
  <c r="K477" i="72" s="1"/>
  <c r="V403" i="72" a="1"/>
  <c r="V403" i="72" s="1"/>
  <c r="V487" i="72" s="1"/>
  <c r="M396" i="72" a="1"/>
  <c r="M396" i="72" s="1"/>
  <c r="M480" i="72" s="1"/>
  <c r="O391" i="72" a="1"/>
  <c r="O391" i="72" s="1"/>
  <c r="AF393" i="72" a="1"/>
  <c r="AF393" i="72" s="1"/>
  <c r="AF477" i="72" s="1"/>
  <c r="M398" i="72" a="1"/>
  <c r="M398" i="72" s="1"/>
  <c r="M482" i="72" s="1"/>
  <c r="M220" i="72" a="1"/>
  <c r="M220" i="72" s="1"/>
  <c r="M304" i="72" s="1"/>
  <c r="H241" i="72"/>
  <c r="H325" i="72" s="1"/>
  <c r="AF396" i="72" a="1"/>
  <c r="AF396" i="72" s="1"/>
  <c r="AF480" i="72" s="1"/>
  <c r="AG419" i="72"/>
  <c r="AG503" i="72" s="1"/>
  <c r="AG395" i="72" a="1"/>
  <c r="AG395" i="72" s="1"/>
  <c r="AG479" i="72" s="1"/>
  <c r="I241" i="72"/>
  <c r="I325" i="72" s="1"/>
  <c r="O414" i="72"/>
  <c r="O498" i="72" s="1"/>
  <c r="S414" i="72"/>
  <c r="S498" i="72" s="1"/>
  <c r="Q419" i="72"/>
  <c r="Q503" i="72" s="1"/>
  <c r="Q415" i="72"/>
  <c r="Q499" i="72" s="1"/>
  <c r="AG402" i="72" a="1"/>
  <c r="AG402" i="72" s="1"/>
  <c r="AG486" i="72" s="1"/>
  <c r="R419" i="72"/>
  <c r="R503" i="72" s="1"/>
  <c r="AD416" i="72"/>
  <c r="AD500" i="72" s="1"/>
  <c r="J245" i="72"/>
  <c r="J329" i="72" s="1"/>
  <c r="AB391" i="72" a="1"/>
  <c r="AB391" i="72" s="1"/>
  <c r="AD394" i="72" a="1"/>
  <c r="AD394" i="72" s="1"/>
  <c r="AD478" i="72" s="1"/>
  <c r="P397" i="72" a="1"/>
  <c r="P397" i="72" s="1"/>
  <c r="P481" i="72" s="1"/>
  <c r="K417" i="72"/>
  <c r="K501" i="72" s="1"/>
  <c r="W419" i="72"/>
  <c r="W503" i="72" s="1"/>
  <c r="R394" i="72" a="1"/>
  <c r="R394" i="72" s="1"/>
  <c r="R478" i="72" s="1"/>
  <c r="V402" i="72" a="1"/>
  <c r="V402" i="72" s="1"/>
  <c r="V486" i="72" s="1"/>
  <c r="L395" i="72" a="1"/>
  <c r="L395" i="72" s="1"/>
  <c r="L479" i="72" s="1"/>
  <c r="W423" i="72"/>
  <c r="W507" i="72" s="1"/>
  <c r="Z393" i="72" a="1"/>
  <c r="Z393" i="72" s="1"/>
  <c r="Z477" i="72" s="1"/>
  <c r="I423" i="72"/>
  <c r="I507" i="72" s="1"/>
  <c r="N422" i="72"/>
  <c r="N506" i="72" s="1"/>
  <c r="J423" i="72"/>
  <c r="J507" i="72" s="1"/>
  <c r="R393" i="72" a="1"/>
  <c r="R393" i="72" s="1"/>
  <c r="R477" i="72" s="1"/>
  <c r="H398" i="72" a="1"/>
  <c r="H398" i="72" s="1"/>
  <c r="H482" i="72" s="1"/>
  <c r="Q403" i="72" a="1"/>
  <c r="Q403" i="72" s="1"/>
  <c r="Q487" i="72" s="1"/>
  <c r="Y395" i="72" a="1"/>
  <c r="Y395" i="72" s="1"/>
  <c r="Y479" i="72" s="1"/>
  <c r="Y521" i="72" s="1"/>
  <c r="AG422" i="72"/>
  <c r="AG506" i="72" s="1"/>
  <c r="L402" i="72" a="1"/>
  <c r="L402" i="72" s="1"/>
  <c r="L486" i="72" s="1"/>
  <c r="V394" i="72" a="1"/>
  <c r="V394" i="72" s="1"/>
  <c r="V478" i="72" s="1"/>
  <c r="AB401" i="72" a="1"/>
  <c r="AB401" i="72" s="1"/>
  <c r="AB485" i="72" s="1"/>
  <c r="I397" i="72" a="1"/>
  <c r="I397" i="72" s="1"/>
  <c r="I481" i="72" s="1"/>
  <c r="AC393" i="72" a="1"/>
  <c r="AC393" i="72" s="1"/>
  <c r="AC477" i="72" s="1"/>
  <c r="AC519" i="72" s="1"/>
  <c r="AB403" i="72" a="1"/>
  <c r="AB403" i="72" s="1"/>
  <c r="AB487" i="72" s="1"/>
  <c r="R401" i="72" a="1"/>
  <c r="R401" i="72" s="1"/>
  <c r="R485" i="72" s="1"/>
  <c r="N402" i="72" a="1"/>
  <c r="N402" i="72" s="1"/>
  <c r="N486" i="72" s="1"/>
  <c r="M394" i="72" a="1"/>
  <c r="M394" i="72" s="1"/>
  <c r="M478" i="72" s="1"/>
  <c r="X398" i="72" a="1"/>
  <c r="X398" i="72" s="1"/>
  <c r="X482" i="72" s="1"/>
  <c r="X524" i="72" s="1"/>
  <c r="AD393" i="72" a="1"/>
  <c r="AD393" i="72" s="1"/>
  <c r="AD477" i="72" s="1"/>
  <c r="V424" i="72"/>
  <c r="V508" i="72" s="1"/>
  <c r="Y396" i="72" a="1"/>
  <c r="Y396" i="72" s="1"/>
  <c r="Y480" i="72" s="1"/>
  <c r="L393" i="72" a="1"/>
  <c r="L393" i="72" s="1"/>
  <c r="L477" i="72" s="1"/>
  <c r="Z394" i="72" a="1"/>
  <c r="Z394" i="72" s="1"/>
  <c r="Z478" i="72" s="1"/>
  <c r="Z398" i="72" a="1"/>
  <c r="Z398" i="72" s="1"/>
  <c r="Z482" i="72" s="1"/>
  <c r="I222" i="72" a="1"/>
  <c r="I222" i="72" s="1"/>
  <c r="I306" i="72" s="1"/>
  <c r="AB419" i="72"/>
  <c r="AB503" i="72" s="1"/>
  <c r="J223" i="72" a="1"/>
  <c r="J223" i="72" s="1"/>
  <c r="J307" i="72" s="1"/>
  <c r="T394" i="72" a="1"/>
  <c r="T394" i="72" s="1"/>
  <c r="T478" i="72" s="1"/>
  <c r="M222" i="72" a="1"/>
  <c r="M222" i="72" s="1"/>
  <c r="M306" i="72" s="1"/>
  <c r="AG251" i="72"/>
  <c r="AG335" i="72" s="1"/>
  <c r="K221" i="72" a="1"/>
  <c r="K221" i="72" s="1"/>
  <c r="K305" i="72" s="1"/>
  <c r="M224" i="72" a="1"/>
  <c r="M224" i="72" s="1"/>
  <c r="M308" i="72" s="1"/>
  <c r="H403" i="72" a="1"/>
  <c r="H403" i="72" s="1"/>
  <c r="H487" i="72" s="1"/>
  <c r="R218" i="72" a="1"/>
  <c r="R218" i="72" s="1"/>
  <c r="L241" i="72"/>
  <c r="L325" i="72" s="1"/>
  <c r="S419" i="72"/>
  <c r="S503" i="72" s="1"/>
  <c r="T396" i="72" a="1"/>
  <c r="T396" i="72" s="1"/>
  <c r="T480" i="72" s="1"/>
  <c r="H221" i="72" a="1"/>
  <c r="H221" i="72" s="1"/>
  <c r="H305" i="72" s="1"/>
  <c r="H347" i="72" s="1"/>
  <c r="X414" i="72"/>
  <c r="X498" i="72" s="1"/>
  <c r="J396" i="72" a="1"/>
  <c r="J396" i="72" s="1"/>
  <c r="J480" i="72" s="1"/>
  <c r="V419" i="72"/>
  <c r="V503" i="72" s="1"/>
  <c r="I424" i="72"/>
  <c r="I508" i="72" s="1"/>
  <c r="Z424" i="72"/>
  <c r="Z508" i="72" s="1"/>
  <c r="AA396" i="72" a="1"/>
  <c r="AA396" i="72" s="1"/>
  <c r="AA480" i="72" s="1"/>
  <c r="I401" i="72" a="1"/>
  <c r="I401" i="72" s="1"/>
  <c r="I485" i="72" s="1"/>
  <c r="U402" i="72" a="1"/>
  <c r="U402" i="72" s="1"/>
  <c r="U486" i="72" s="1"/>
  <c r="AC397" i="72" a="1"/>
  <c r="AC397" i="72" s="1"/>
  <c r="AC481" i="72" s="1"/>
  <c r="AC423" i="72"/>
  <c r="AC507" i="72" s="1"/>
  <c r="J422" i="72"/>
  <c r="J506" i="72" s="1"/>
  <c r="L424" i="72"/>
  <c r="L508" i="72" s="1"/>
  <c r="AD396" i="72" a="1"/>
  <c r="AD396" i="72" s="1"/>
  <c r="AD480" i="72" s="1"/>
  <c r="AE419" i="72"/>
  <c r="AE503" i="72" s="1"/>
  <c r="M403" i="72" a="1"/>
  <c r="M403" i="72" s="1"/>
  <c r="M487" i="72" s="1"/>
  <c r="W395" i="72" a="1"/>
  <c r="W395" i="72" s="1"/>
  <c r="W479" i="72" s="1"/>
  <c r="AD424" i="72"/>
  <c r="AD508" i="72" s="1"/>
  <c r="J222" i="72" a="1"/>
  <c r="J222" i="72" s="1"/>
  <c r="J306" i="72" s="1"/>
  <c r="O403" i="72" a="1"/>
  <c r="O403" i="72" s="1"/>
  <c r="O487" i="72" s="1"/>
  <c r="N424" i="72"/>
  <c r="N508" i="72" s="1"/>
  <c r="AD401" i="72" a="1"/>
  <c r="AD401" i="72" s="1"/>
  <c r="AD485" i="72" s="1"/>
  <c r="Z402" i="72" a="1"/>
  <c r="Z402" i="72" s="1"/>
  <c r="Z486" i="72" s="1"/>
  <c r="O395" i="72" a="1"/>
  <c r="O395" i="72" s="1"/>
  <c r="O479" i="72" s="1"/>
  <c r="K423" i="72"/>
  <c r="K507" i="72" s="1"/>
  <c r="U391" i="72" a="1"/>
  <c r="U391" i="72" s="1"/>
  <c r="AA401" i="72" a="1"/>
  <c r="AA401" i="72" s="1"/>
  <c r="AA485" i="72" s="1"/>
  <c r="AA527" i="72" s="1"/>
  <c r="K391" i="72" a="1"/>
  <c r="K391" i="72" s="1"/>
  <c r="V396" i="72" a="1"/>
  <c r="V396" i="72" s="1"/>
  <c r="V480" i="72" s="1"/>
  <c r="O419" i="72"/>
  <c r="O503" i="72" s="1"/>
  <c r="M402" i="72" a="1"/>
  <c r="M402" i="72" s="1"/>
  <c r="M486" i="72" s="1"/>
  <c r="Z395" i="72" a="1"/>
  <c r="Z395" i="72" s="1"/>
  <c r="Z479" i="72" s="1"/>
  <c r="P422" i="72"/>
  <c r="P506" i="72" s="1"/>
  <c r="T424" i="72"/>
  <c r="T508" i="72" s="1"/>
  <c r="L396" i="72" a="1"/>
  <c r="L396" i="72" s="1"/>
  <c r="L480" i="72" s="1"/>
  <c r="Z412" i="72"/>
  <c r="AE416" i="72"/>
  <c r="AE500" i="72" s="1"/>
  <c r="K241" i="72"/>
  <c r="K325" i="72" s="1"/>
  <c r="H414" i="72"/>
  <c r="H498" i="72" s="1"/>
  <c r="S402" i="72" a="1"/>
  <c r="S402" i="72" s="1"/>
  <c r="S486" i="72" s="1"/>
  <c r="K396" i="72" a="1"/>
  <c r="K396" i="72" s="1"/>
  <c r="K480" i="72" s="1"/>
  <c r="Y402" i="72" a="1"/>
  <c r="Y402" i="72" s="1"/>
  <c r="Y486" i="72" s="1"/>
  <c r="I402" i="72" a="1"/>
  <c r="I402" i="72" s="1"/>
  <c r="I486" i="72" s="1"/>
  <c r="J402" i="72" a="1"/>
  <c r="J402" i="72" s="1"/>
  <c r="J486" i="72" s="1"/>
  <c r="I418" i="72"/>
  <c r="I502" i="72" s="1"/>
  <c r="AD419" i="72"/>
  <c r="AD503" i="72" s="1"/>
  <c r="X394" i="72" a="1"/>
  <c r="X394" i="72" s="1"/>
  <c r="X478" i="72" s="1"/>
  <c r="AE423" i="72"/>
  <c r="AE507" i="72" s="1"/>
  <c r="U393" i="72" a="1"/>
  <c r="U393" i="72" s="1"/>
  <c r="U477" i="72" s="1"/>
  <c r="P394" i="72" a="1"/>
  <c r="P394" i="72" s="1"/>
  <c r="P478" i="72" s="1"/>
  <c r="V401" i="72" a="1"/>
  <c r="V401" i="72" s="1"/>
  <c r="V485" i="72" s="1"/>
  <c r="R402" i="72" a="1"/>
  <c r="R402" i="72" s="1"/>
  <c r="R486" i="72" s="1"/>
  <c r="AB396" i="72" a="1"/>
  <c r="AB396" i="72" s="1"/>
  <c r="AB480" i="72" s="1"/>
  <c r="Q242" i="72"/>
  <c r="Q326" i="72" s="1"/>
  <c r="AC223" i="72" a="1"/>
  <c r="AC223" i="72" s="1"/>
  <c r="AC307" i="72" s="1"/>
  <c r="AA249" i="72"/>
  <c r="AA333" i="72" s="1"/>
  <c r="M251" i="72"/>
  <c r="M335" i="72" s="1"/>
  <c r="R221" i="72" a="1"/>
  <c r="R221" i="72" s="1"/>
  <c r="R305" i="72" s="1"/>
  <c r="T245" i="72"/>
  <c r="T329" i="72" s="1"/>
  <c r="AB228" i="72" a="1"/>
  <c r="AB228" i="72" s="1"/>
  <c r="AB312" i="72" s="1"/>
  <c r="N230" i="72" a="1"/>
  <c r="N230" i="72" s="1"/>
  <c r="N314" i="72" s="1"/>
  <c r="AG228" i="72" a="1"/>
  <c r="AG228" i="72" s="1"/>
  <c r="AG312" i="72" s="1"/>
  <c r="S218" i="72" a="1"/>
  <c r="S218" i="72" s="1"/>
  <c r="AF243" i="72"/>
  <c r="AF327" i="72" s="1"/>
  <c r="P230" i="72" a="1"/>
  <c r="P230" i="72" s="1"/>
  <c r="P314" i="72" s="1"/>
  <c r="AA225" i="72" a="1"/>
  <c r="AA225" i="72" s="1"/>
  <c r="AA309" i="72" s="1"/>
  <c r="AA222" i="72" a="1"/>
  <c r="AA222" i="72" s="1"/>
  <c r="AA306" i="72" s="1"/>
  <c r="AE218" i="72" a="1"/>
  <c r="AE218" i="72" s="1"/>
  <c r="AC229" i="72" a="1"/>
  <c r="AC229" i="72" s="1"/>
  <c r="AC313" i="72" s="1"/>
  <c r="P223" i="72" a="1"/>
  <c r="P223" i="72" s="1"/>
  <c r="P307" i="72" s="1"/>
  <c r="N250" i="72"/>
  <c r="N334" i="72" s="1"/>
  <c r="AC222" i="72" a="1"/>
  <c r="AC222" i="72" s="1"/>
  <c r="AC306" i="72" s="1"/>
  <c r="U223" i="72" a="1"/>
  <c r="U223" i="72" s="1"/>
  <c r="U307" i="72" s="1"/>
  <c r="S249" i="72"/>
  <c r="S333" i="72" s="1"/>
  <c r="O250" i="72"/>
  <c r="O334" i="72" s="1"/>
  <c r="R222" i="72" a="1"/>
  <c r="R222" i="72" s="1"/>
  <c r="R306" i="72" s="1"/>
  <c r="R348" i="72" s="1"/>
  <c r="P243" i="72"/>
  <c r="P327" i="72" s="1"/>
  <c r="T249" i="72"/>
  <c r="T333" i="72" s="1"/>
  <c r="AE221" i="72" a="1"/>
  <c r="AE221" i="72" s="1"/>
  <c r="AE305" i="72" s="1"/>
  <c r="AF221" i="72" a="1"/>
  <c r="AF221" i="72" s="1"/>
  <c r="AF305" i="72" s="1"/>
  <c r="X251" i="72"/>
  <c r="X335" i="72" s="1"/>
  <c r="T225" i="72" a="1"/>
  <c r="T225" i="72" s="1"/>
  <c r="T309" i="72" s="1"/>
  <c r="T223" i="72" a="1"/>
  <c r="T223" i="72" s="1"/>
  <c r="T307" i="72" s="1"/>
  <c r="X228" i="72" a="1"/>
  <c r="X228" i="72" s="1"/>
  <c r="X312" i="72" s="1"/>
  <c r="J230" i="72" a="1"/>
  <c r="J230" i="72" s="1"/>
  <c r="J314" i="72" s="1"/>
  <c r="AD228" i="72" a="1"/>
  <c r="AD228" i="72" s="1"/>
  <c r="AD312" i="72" s="1"/>
  <c r="AC239" i="72"/>
  <c r="AA419" i="72"/>
  <c r="AA503" i="72" s="1"/>
  <c r="X418" i="72"/>
  <c r="X502" i="72" s="1"/>
  <c r="U401" i="72" a="1"/>
  <c r="U401" i="72" s="1"/>
  <c r="U485" i="72" s="1"/>
  <c r="H393" i="72" a="1"/>
  <c r="H393" i="72" s="1"/>
  <c r="H477" i="72" s="1"/>
  <c r="S423" i="72"/>
  <c r="S507" i="72" s="1"/>
  <c r="AA417" i="72"/>
  <c r="AA501" i="72" s="1"/>
  <c r="U423" i="72"/>
  <c r="U507" i="72" s="1"/>
  <c r="X402" i="72" a="1"/>
  <c r="X402" i="72" s="1"/>
  <c r="X486" i="72" s="1"/>
  <c r="H420" i="72"/>
  <c r="H504" i="72" s="1"/>
  <c r="O424" i="72"/>
  <c r="O508" i="72" s="1"/>
  <c r="Z423" i="72"/>
  <c r="Z507" i="72" s="1"/>
  <c r="O398" i="72" a="1"/>
  <c r="O398" i="72" s="1"/>
  <c r="O482" i="72" s="1"/>
  <c r="AD398" i="72" a="1"/>
  <c r="AD398" i="72" s="1"/>
  <c r="AD482" i="72" s="1"/>
  <c r="Q395" i="72" a="1"/>
  <c r="Q395" i="72" s="1"/>
  <c r="Q479" i="72" s="1"/>
  <c r="AE402" i="72" a="1"/>
  <c r="AE402" i="72" s="1"/>
  <c r="AE486" i="72" s="1"/>
  <c r="O394" i="72" a="1"/>
  <c r="O394" i="72" s="1"/>
  <c r="O478" i="72" s="1"/>
  <c r="I412" i="72"/>
  <c r="I395" i="72" a="1"/>
  <c r="I395" i="72" s="1"/>
  <c r="I479" i="72" s="1"/>
  <c r="X424" i="72"/>
  <c r="X508" i="72" s="1"/>
  <c r="N397" i="72" a="1"/>
  <c r="N397" i="72" s="1"/>
  <c r="N481" i="72" s="1"/>
  <c r="J220" i="72" a="1"/>
  <c r="J220" i="72" s="1"/>
  <c r="J304" i="72" s="1"/>
  <c r="Q221" i="72" a="1"/>
  <c r="Q221" i="72" s="1"/>
  <c r="Q305" i="72" s="1"/>
  <c r="S245" i="72"/>
  <c r="S329" i="72" s="1"/>
  <c r="AA228" i="72" a="1"/>
  <c r="AA228" i="72" s="1"/>
  <c r="AA312" i="72" s="1"/>
  <c r="M230" i="72" a="1"/>
  <c r="M230" i="72" s="1"/>
  <c r="M314" i="72" s="1"/>
  <c r="H243" i="72"/>
  <c r="H327" i="72" s="1"/>
  <c r="T224" i="72" a="1"/>
  <c r="T224" i="72" s="1"/>
  <c r="T308" i="72" s="1"/>
  <c r="AD251" i="72"/>
  <c r="AD335" i="72" s="1"/>
  <c r="Q220" i="72" a="1"/>
  <c r="Q220" i="72" s="1"/>
  <c r="Q304" i="72" s="1"/>
  <c r="AF251" i="72"/>
  <c r="AF335" i="72" s="1"/>
  <c r="Q228" i="72" a="1"/>
  <c r="Q228" i="72" s="1"/>
  <c r="Q312" i="72" s="1"/>
  <c r="AA250" i="72"/>
  <c r="AA334" i="72" s="1"/>
  <c r="O223" i="72" a="1"/>
  <c r="O223" i="72" s="1"/>
  <c r="O307" i="72" s="1"/>
  <c r="AF229" i="72" a="1"/>
  <c r="AF229" i="72" s="1"/>
  <c r="AF313" i="72" s="1"/>
  <c r="AD220" i="72" a="1"/>
  <c r="AD220" i="72" s="1"/>
  <c r="AD304" i="72" s="1"/>
  <c r="S251" i="72"/>
  <c r="S335" i="72" s="1"/>
  <c r="AB223" i="72" a="1"/>
  <c r="AB223" i="72" s="1"/>
  <c r="AB307" i="72" s="1"/>
  <c r="N229" i="72" a="1"/>
  <c r="N229" i="72" s="1"/>
  <c r="N313" i="72" s="1"/>
  <c r="P224" i="72" a="1"/>
  <c r="P224" i="72" s="1"/>
  <c r="P308" i="72" s="1"/>
  <c r="Y242" i="72"/>
  <c r="Y326" i="72" s="1"/>
  <c r="K245" i="72"/>
  <c r="K329" i="72" s="1"/>
  <c r="S228" i="72" a="1"/>
  <c r="S228" i="72" s="1"/>
  <c r="S312" i="72" s="1"/>
  <c r="O229" i="72" a="1"/>
  <c r="O229" i="72" s="1"/>
  <c r="O313" i="72" s="1"/>
  <c r="AD222" i="72" a="1"/>
  <c r="AD222" i="72" s="1"/>
  <c r="AD306" i="72" s="1"/>
  <c r="V223" i="72" a="1"/>
  <c r="V223" i="72" s="1"/>
  <c r="V307" i="72" s="1"/>
  <c r="R223" i="72" a="1"/>
  <c r="R223" i="72" s="1"/>
  <c r="R307" i="72" s="1"/>
  <c r="Q250" i="72"/>
  <c r="Q334" i="72" s="1"/>
  <c r="S222" i="72" a="1"/>
  <c r="S222" i="72" s="1"/>
  <c r="S306" i="72" s="1"/>
  <c r="X230" i="72" a="1"/>
  <c r="X230" i="72" s="1"/>
  <c r="X314" i="72" s="1"/>
  <c r="S250" i="72"/>
  <c r="S334" i="72" s="1"/>
  <c r="AG223" i="72" a="1"/>
  <c r="AG223" i="72" s="1"/>
  <c r="AG307" i="72" s="1"/>
  <c r="X249" i="72"/>
  <c r="X333" i="72" s="1"/>
  <c r="J251" i="72"/>
  <c r="J335" i="72" s="1"/>
  <c r="P396" i="72" a="1"/>
  <c r="P396" i="72" s="1"/>
  <c r="P480" i="72" s="1"/>
  <c r="L239" i="72"/>
  <c r="AB397" i="72" a="1"/>
  <c r="AB397" i="72" s="1"/>
  <c r="AB481" i="72" s="1"/>
  <c r="T416" i="72"/>
  <c r="T500" i="72" s="1"/>
  <c r="H422" i="72"/>
  <c r="H506" i="72" s="1"/>
  <c r="W398" i="72" a="1"/>
  <c r="W398" i="72" s="1"/>
  <c r="W482" i="72" s="1"/>
  <c r="K395" i="72" a="1"/>
  <c r="K395" i="72" s="1"/>
  <c r="K479" i="72" s="1"/>
  <c r="H423" i="72"/>
  <c r="H507" i="72" s="1"/>
  <c r="K394" i="72" a="1"/>
  <c r="K394" i="72" s="1"/>
  <c r="K478" i="72" s="1"/>
  <c r="AG424" i="72"/>
  <c r="AG508" i="72" s="1"/>
  <c r="AB423" i="72"/>
  <c r="AB507" i="72" s="1"/>
  <c r="AE401" i="72" a="1"/>
  <c r="AE401" i="72" s="1"/>
  <c r="AE485" i="72" s="1"/>
  <c r="U424" i="72"/>
  <c r="U508" i="72" s="1"/>
  <c r="AB395" i="72" a="1"/>
  <c r="AB395" i="72" s="1"/>
  <c r="AB479" i="72" s="1"/>
  <c r="AC395" i="72" a="1"/>
  <c r="AC395" i="72" s="1"/>
  <c r="AC479" i="72" s="1"/>
  <c r="X403" i="72" a="1"/>
  <c r="X403" i="72" s="1"/>
  <c r="X487" i="72" s="1"/>
  <c r="AA397" i="72" a="1"/>
  <c r="AA397" i="72" s="1"/>
  <c r="AA481" i="72" s="1"/>
  <c r="L244" i="72"/>
  <c r="L328" i="72" s="1"/>
  <c r="AG242" i="72"/>
  <c r="AG326" i="72" s="1"/>
  <c r="S224" i="72" a="1"/>
  <c r="S224" i="72" s="1"/>
  <c r="S308" i="72" s="1"/>
  <c r="AC251" i="72"/>
  <c r="AC335" i="72" s="1"/>
  <c r="X243" i="72"/>
  <c r="X327" i="72" s="1"/>
  <c r="J246" i="72"/>
  <c r="J330" i="72" s="1"/>
  <c r="AD230" i="72" a="1"/>
  <c r="AD230" i="72" s="1"/>
  <c r="AD314" i="72" s="1"/>
  <c r="AB229" i="72" a="1"/>
  <c r="AB229" i="72" s="1"/>
  <c r="AB313" i="72" s="1"/>
  <c r="AA221" i="72" a="1"/>
  <c r="AA221" i="72" s="1"/>
  <c r="AA305" i="72" s="1"/>
  <c r="AF230" i="72" a="1"/>
  <c r="AF230" i="72" s="1"/>
  <c r="AF314" i="72" s="1"/>
  <c r="AA229" i="72" a="1"/>
  <c r="AA229" i="72" s="1"/>
  <c r="AA313" i="72" s="1"/>
  <c r="N224" i="72" a="1"/>
  <c r="N224" i="72" s="1"/>
  <c r="N308" i="72" s="1"/>
  <c r="P228" i="72" a="1"/>
  <c r="P228" i="72" s="1"/>
  <c r="P312" i="72" s="1"/>
  <c r="O221" i="72" a="1"/>
  <c r="O221" i="72" s="1"/>
  <c r="O305" i="72" s="1"/>
  <c r="O347" i="72" s="1"/>
  <c r="S230" i="72" a="1"/>
  <c r="S230" i="72" s="1"/>
  <c r="S314" i="72" s="1"/>
  <c r="O224" i="72" a="1"/>
  <c r="O224" i="72" s="1"/>
  <c r="O308" i="72" s="1"/>
  <c r="T251" i="72"/>
  <c r="T335" i="72" s="1"/>
  <c r="O225" i="72" a="1"/>
  <c r="O225" i="72" s="1"/>
  <c r="O309" i="72" s="1"/>
  <c r="O351" i="72" s="1"/>
  <c r="Y221" i="72" a="1"/>
  <c r="Y221" i="72" s="1"/>
  <c r="Y305" i="72" s="1"/>
  <c r="AA245" i="72"/>
  <c r="AA329" i="72" s="1"/>
  <c r="U251" i="72"/>
  <c r="U335" i="72" s="1"/>
  <c r="Q223" i="72" a="1"/>
  <c r="Q223" i="72" s="1"/>
  <c r="Q307" i="72" s="1"/>
  <c r="O230" i="72" a="1"/>
  <c r="O230" i="72" s="1"/>
  <c r="O314" i="72" s="1"/>
  <c r="V244" i="72"/>
  <c r="V328" i="72" s="1"/>
  <c r="Q224" i="72" a="1"/>
  <c r="Q224" i="72" s="1"/>
  <c r="Q308" i="72" s="1"/>
  <c r="Q229" i="72" a="1"/>
  <c r="Q229" i="72" s="1"/>
  <c r="Q313" i="72" s="1"/>
  <c r="AG222" i="72" a="1"/>
  <c r="AG222" i="72" s="1"/>
  <c r="AG306" i="72" s="1"/>
  <c r="O218" i="72" a="1"/>
  <c r="O218" i="72" s="1"/>
  <c r="S229" i="72" a="1"/>
  <c r="S229" i="72" s="1"/>
  <c r="S313" i="72" s="1"/>
  <c r="U224" i="72" a="1"/>
  <c r="U224" i="72" s="1"/>
  <c r="U308" i="72" s="1"/>
  <c r="Z218" i="72" a="1"/>
  <c r="Z218" i="72" s="1"/>
  <c r="P417" i="72"/>
  <c r="P501" i="72" s="1"/>
  <c r="AG401" i="72" a="1"/>
  <c r="AG401" i="72" s="1"/>
  <c r="AG485" i="72" s="1"/>
  <c r="X229" i="72" a="1"/>
  <c r="X229" i="72" s="1"/>
  <c r="X313" i="72" s="1"/>
  <c r="T395" i="72" a="1"/>
  <c r="T395" i="72" s="1"/>
  <c r="T479" i="72" s="1"/>
  <c r="H401" i="72" a="1"/>
  <c r="H401" i="72" s="1"/>
  <c r="H485" i="72" s="1"/>
  <c r="I422" i="72"/>
  <c r="I506" i="72" s="1"/>
  <c r="V395" i="72" a="1"/>
  <c r="V395" i="72" s="1"/>
  <c r="V479" i="72" s="1"/>
  <c r="H402" i="72" a="1"/>
  <c r="H402" i="72" s="1"/>
  <c r="H486" i="72" s="1"/>
  <c r="AE394" i="72" a="1"/>
  <c r="AE394" i="72" s="1"/>
  <c r="AE478" i="72" s="1"/>
  <c r="AG403" i="72" a="1"/>
  <c r="AG403" i="72" s="1"/>
  <c r="AG487" i="72" s="1"/>
  <c r="AB402" i="72" a="1"/>
  <c r="AB402" i="72" s="1"/>
  <c r="AB486" i="72" s="1"/>
  <c r="H395" i="72" a="1"/>
  <c r="H395" i="72" s="1"/>
  <c r="H479" i="72" s="1"/>
  <c r="L397" i="72" a="1"/>
  <c r="L397" i="72" s="1"/>
  <c r="L481" i="72" s="1"/>
  <c r="Q423" i="72"/>
  <c r="Q507" i="72" s="1"/>
  <c r="M397" i="72" a="1"/>
  <c r="M397" i="72" s="1"/>
  <c r="M481" i="72" s="1"/>
  <c r="Y391" i="72" a="1"/>
  <c r="Y391" i="72" s="1"/>
  <c r="M401" i="72" a="1"/>
  <c r="M401" i="72" s="1"/>
  <c r="M485" i="72" s="1"/>
  <c r="H246" i="72"/>
  <c r="H330" i="72" s="1"/>
  <c r="AG221" i="72" a="1"/>
  <c r="AG221" i="72" s="1"/>
  <c r="AG305" i="72" s="1"/>
  <c r="I246" i="72"/>
  <c r="I330" i="72" s="1"/>
  <c r="AC230" i="72" a="1"/>
  <c r="AC230" i="72" s="1"/>
  <c r="AC314" i="72" s="1"/>
  <c r="X222" i="72" a="1"/>
  <c r="X222" i="72" s="1"/>
  <c r="X306" i="72" s="1"/>
  <c r="Z246" i="72"/>
  <c r="Z330" i="72" s="1"/>
  <c r="AB218" i="72" a="1"/>
  <c r="AB218" i="72" s="1"/>
  <c r="T241" i="72"/>
  <c r="T325" i="72" s="1"/>
  <c r="Z222" i="72" a="1"/>
  <c r="Z222" i="72" s="1"/>
  <c r="Z306" i="72" s="1"/>
  <c r="J250" i="72"/>
  <c r="J334" i="72" s="1"/>
  <c r="R220" i="72" a="1"/>
  <c r="R220" i="72" s="1"/>
  <c r="R304" i="72" s="1"/>
  <c r="T218" i="72" a="1"/>
  <c r="T218" i="72" s="1"/>
  <c r="Z224" i="72" a="1"/>
  <c r="Z224" i="72" s="1"/>
  <c r="Z308" i="72" s="1"/>
  <c r="P249" i="72"/>
  <c r="P333" i="72" s="1"/>
  <c r="AB222" i="72" a="1"/>
  <c r="AB222" i="72" s="1"/>
  <c r="AB306" i="72" s="1"/>
  <c r="AB348" i="72" s="1"/>
  <c r="U218" i="72" a="1"/>
  <c r="U218" i="72" s="1"/>
  <c r="AC224" i="72" a="1"/>
  <c r="AC224" i="72" s="1"/>
  <c r="AC308" i="72" s="1"/>
  <c r="L230" i="72" a="1"/>
  <c r="L230" i="72" s="1"/>
  <c r="L314" i="72" s="1"/>
  <c r="L356" i="72" s="1"/>
  <c r="T230" i="72" a="1"/>
  <c r="T230" i="72" s="1"/>
  <c r="T314" i="72" s="1"/>
  <c r="AD225" i="72" a="1"/>
  <c r="AD225" i="72" s="1"/>
  <c r="AD309" i="72" s="1"/>
  <c r="O243" i="72"/>
  <c r="O327" i="72" s="1"/>
  <c r="AA224" i="72" a="1"/>
  <c r="AA224" i="72" s="1"/>
  <c r="AA308" i="72" s="1"/>
  <c r="U230" i="72" a="1"/>
  <c r="U230" i="72" s="1"/>
  <c r="U314" i="72" s="1"/>
  <c r="AE223" i="72" a="1"/>
  <c r="AE223" i="72" s="1"/>
  <c r="AE307" i="72" s="1"/>
  <c r="L245" i="72"/>
  <c r="L329" i="72" s="1"/>
  <c r="P229" i="72" a="1"/>
  <c r="P229" i="72" s="1"/>
  <c r="P313" i="72" s="1"/>
  <c r="AE225" i="72" a="1"/>
  <c r="AE225" i="72" s="1"/>
  <c r="AE309" i="72" s="1"/>
  <c r="AG250" i="72"/>
  <c r="AG334" i="72" s="1"/>
  <c r="AF223" i="72" a="1"/>
  <c r="AF223" i="72" s="1"/>
  <c r="AF307" i="72" s="1"/>
  <c r="Q230" i="72" a="1"/>
  <c r="Q230" i="72" s="1"/>
  <c r="Q314" i="72" s="1"/>
  <c r="Y218" i="72" a="1"/>
  <c r="Y218" i="72" s="1"/>
  <c r="I251" i="72"/>
  <c r="I335" i="72" s="1"/>
  <c r="I228" i="72" a="1"/>
  <c r="I228" i="72" s="1"/>
  <c r="I312" i="72" s="1"/>
  <c r="H224" i="72" a="1"/>
  <c r="H224" i="72" s="1"/>
  <c r="H308" i="72" s="1"/>
  <c r="H350" i="72" s="1"/>
  <c r="L243" i="72"/>
  <c r="L327" i="72" s="1"/>
  <c r="W245" i="72"/>
  <c r="W329" i="72" s="1"/>
  <c r="X242" i="72"/>
  <c r="X326" i="72" s="1"/>
  <c r="J403" i="72" a="1"/>
  <c r="J403" i="72" s="1"/>
  <c r="J487" i="72" s="1"/>
  <c r="J401" i="72" a="1"/>
  <c r="J401" i="72" s="1"/>
  <c r="J485" i="72" s="1"/>
  <c r="J527" i="72" s="1"/>
  <c r="Q396" i="72" a="1"/>
  <c r="Q396" i="72" s="1"/>
  <c r="Q480" i="72" s="1"/>
  <c r="M395" i="72" a="1"/>
  <c r="M395" i="72" s="1"/>
  <c r="M479" i="72" s="1"/>
  <c r="AF401" i="72" a="1"/>
  <c r="AF401" i="72" s="1"/>
  <c r="AF485" i="72" s="1"/>
  <c r="AG394" i="72" a="1"/>
  <c r="AG394" i="72" s="1"/>
  <c r="AG478" i="72" s="1"/>
  <c r="AD402" i="72" a="1"/>
  <c r="AD402" i="72" s="1"/>
  <c r="AD486" i="72" s="1"/>
  <c r="X391" i="72" a="1"/>
  <c r="X391" i="72" s="1"/>
  <c r="AE393" i="72" a="1"/>
  <c r="AE393" i="72" s="1"/>
  <c r="AE477" i="72" s="1"/>
  <c r="V422" i="72"/>
  <c r="V506" i="72" s="1"/>
  <c r="R423" i="72"/>
  <c r="R507" i="72" s="1"/>
  <c r="N396" i="72" a="1"/>
  <c r="N396" i="72" s="1"/>
  <c r="N480" i="72" s="1"/>
  <c r="O239" i="72"/>
  <c r="AC244" i="72"/>
  <c r="AC328" i="72" s="1"/>
  <c r="K228" i="72" a="1"/>
  <c r="K228" i="72" s="1"/>
  <c r="K312" i="72" s="1"/>
  <c r="W229" i="72" a="1"/>
  <c r="W229" i="72" s="1"/>
  <c r="W313" i="72" s="1"/>
  <c r="R242" i="72"/>
  <c r="R326" i="72" s="1"/>
  <c r="AD223" i="72" a="1"/>
  <c r="AD223" i="72" s="1"/>
  <c r="AD307" i="72" s="1"/>
  <c r="AB249" i="72"/>
  <c r="AB333" i="72" s="1"/>
  <c r="N251" i="72"/>
  <c r="N335" i="72" s="1"/>
  <c r="O228" i="72" a="1"/>
  <c r="O228" i="72" s="1"/>
  <c r="O312" i="72" s="1"/>
  <c r="AE230" i="72" a="1"/>
  <c r="AE230" i="72" s="1"/>
  <c r="AE314" i="72" s="1"/>
  <c r="AD229" i="72" a="1"/>
  <c r="AD229" i="72" s="1"/>
  <c r="AD313" i="72" s="1"/>
  <c r="P251" i="72"/>
  <c r="P335" i="72" s="1"/>
  <c r="Y224" i="72" a="1"/>
  <c r="Y224" i="72" s="1"/>
  <c r="Y308" i="72" s="1"/>
  <c r="N222" i="72" a="1"/>
  <c r="N222" i="72" s="1"/>
  <c r="N306" i="72" s="1"/>
  <c r="R230" i="72" a="1"/>
  <c r="R230" i="72" s="1"/>
  <c r="R314" i="72" s="1"/>
  <c r="AC250" i="72"/>
  <c r="AC334" i="72" s="1"/>
  <c r="Q222" i="72" a="1"/>
  <c r="Q222" i="72" s="1"/>
  <c r="Q306" i="72" s="1"/>
  <c r="R228" i="72" a="1"/>
  <c r="R228" i="72" s="1"/>
  <c r="R312" i="72" s="1"/>
  <c r="Y418" i="72"/>
  <c r="Y502" i="72" s="1"/>
  <c r="M423" i="72"/>
  <c r="M507" i="72" s="1"/>
  <c r="AA395" i="72" a="1"/>
  <c r="AA395" i="72" s="1"/>
  <c r="AA479" i="72" s="1"/>
  <c r="V393" i="72" a="1"/>
  <c r="V393" i="72" s="1"/>
  <c r="V477" i="72" s="1"/>
  <c r="N244" i="72"/>
  <c r="N328" i="72" s="1"/>
  <c r="AG239" i="72"/>
  <c r="Z223" i="72" a="1"/>
  <c r="Z223" i="72" s="1"/>
  <c r="Z307" i="72" s="1"/>
  <c r="S220" i="72" a="1"/>
  <c r="S220" i="72" s="1"/>
  <c r="S304" i="72" s="1"/>
  <c r="U228" i="72" a="1"/>
  <c r="U228" i="72" s="1"/>
  <c r="U312" i="72" s="1"/>
  <c r="V228" i="72" a="1"/>
  <c r="V228" i="72" s="1"/>
  <c r="V312" i="72" s="1"/>
  <c r="Q246" i="72"/>
  <c r="Q330" i="72" s="1"/>
  <c r="AD224" i="72" a="1"/>
  <c r="AD224" i="72" s="1"/>
  <c r="AD308" i="72" s="1"/>
  <c r="AB224" i="72" a="1"/>
  <c r="AB224" i="72" s="1"/>
  <c r="AB308" i="72" s="1"/>
  <c r="P250" i="72"/>
  <c r="P334" i="72" s="1"/>
  <c r="R224" i="72" a="1"/>
  <c r="R224" i="72" s="1"/>
  <c r="R308" i="72" s="1"/>
  <c r="R250" i="72"/>
  <c r="R334" i="72" s="1"/>
  <c r="W230" i="72" a="1"/>
  <c r="W230" i="72" s="1"/>
  <c r="W314" i="72" s="1"/>
  <c r="I230" i="72" a="1"/>
  <c r="I230" i="72" s="1"/>
  <c r="I314" i="72" s="1"/>
  <c r="Q218" i="72" a="1"/>
  <c r="Q218" i="72" s="1"/>
  <c r="Z228" i="72" a="1"/>
  <c r="Z228" i="72" s="1"/>
  <c r="Z312" i="72" s="1"/>
  <c r="W221" i="72" a="1"/>
  <c r="W221" i="72" s="1"/>
  <c r="W305" i="72" s="1"/>
  <c r="J52" i="72" a="1"/>
  <c r="J52" i="72" s="1"/>
  <c r="J136" i="72" s="1"/>
  <c r="AD74" i="72"/>
  <c r="AD158" i="72" s="1"/>
  <c r="AA53" i="72" a="1"/>
  <c r="AA53" i="72" s="1"/>
  <c r="AA137" i="72" s="1"/>
  <c r="AA50" i="72" a="1"/>
  <c r="AA50" i="72" s="1"/>
  <c r="AA134" i="72" s="1"/>
  <c r="P50" i="72" a="1"/>
  <c r="P50" i="72" s="1"/>
  <c r="P134" i="72" s="1"/>
  <c r="Z67" i="72"/>
  <c r="Z151" i="72" s="1"/>
  <c r="AC54" i="72" a="1"/>
  <c r="AC54" i="72" s="1"/>
  <c r="AC138" i="72" s="1"/>
  <c r="AD66" i="72"/>
  <c r="AD150" i="72" s="1"/>
  <c r="Z49" i="72" a="1"/>
  <c r="Z49" i="72" s="1"/>
  <c r="Z133" i="72" s="1"/>
  <c r="N47" i="72" a="1"/>
  <c r="N47" i="72" s="1"/>
  <c r="N131" i="72" s="1"/>
  <c r="P43" i="72" a="1"/>
  <c r="P43" i="72" s="1"/>
  <c r="O76" i="72"/>
  <c r="O160" i="72" s="1"/>
  <c r="S69" i="72"/>
  <c r="S153" i="72" s="1"/>
  <c r="Z50" i="72" a="1"/>
  <c r="Z50" i="72" s="1"/>
  <c r="Z134" i="72" s="1"/>
  <c r="N66" i="72"/>
  <c r="N150" i="72" s="1"/>
  <c r="Q45" i="72" a="1"/>
  <c r="Q45" i="72" s="1"/>
  <c r="Q129" i="72" s="1"/>
  <c r="Z53" i="72" a="1"/>
  <c r="Z53" i="72" s="1"/>
  <c r="Z137" i="72" s="1"/>
  <c r="W46" i="72" a="1"/>
  <c r="W46" i="72" s="1"/>
  <c r="W130" i="72" s="1"/>
  <c r="V45" i="72" a="1"/>
  <c r="V45" i="72" s="1"/>
  <c r="V129" i="72" s="1"/>
  <c r="R52" i="72" a="1"/>
  <c r="R52" i="72" s="1"/>
  <c r="R136" i="72" s="1"/>
  <c r="L75" i="72"/>
  <c r="L159" i="72" s="1"/>
  <c r="AG55" i="72" a="1"/>
  <c r="AG55" i="72" s="1"/>
  <c r="AG139" i="72" s="1"/>
  <c r="AC55" i="72" a="1"/>
  <c r="AC55" i="72" s="1"/>
  <c r="AC139" i="72" s="1"/>
  <c r="AC69" i="72"/>
  <c r="AC153" i="72" s="1"/>
  <c r="Q67" i="72"/>
  <c r="Q151" i="72" s="1"/>
  <c r="AG52" i="72" a="1"/>
  <c r="AG52" i="72" s="1"/>
  <c r="AG136" i="72" s="1"/>
  <c r="V75" i="72"/>
  <c r="V159" i="72" s="1"/>
  <c r="K43" i="72" a="1"/>
  <c r="K43" i="72" s="1"/>
  <c r="H47" i="72" a="1"/>
  <c r="H47" i="72" s="1"/>
  <c r="H131" i="72" s="1"/>
  <c r="L68" i="72"/>
  <c r="L152" i="72" s="1"/>
  <c r="M68" i="72"/>
  <c r="M152" i="72" s="1"/>
  <c r="O46" i="72" a="1"/>
  <c r="O46" i="72" s="1"/>
  <c r="O130" i="72" s="1"/>
  <c r="Z180" i="72"/>
  <c r="O402" i="72" a="1"/>
  <c r="O402" i="72" s="1"/>
  <c r="O486" i="72" s="1"/>
  <c r="L225" i="72" a="1"/>
  <c r="L225" i="72" s="1"/>
  <c r="L309" i="72" s="1"/>
  <c r="H397" i="72" a="1"/>
  <c r="H397" i="72" s="1"/>
  <c r="H481" i="72" s="1"/>
  <c r="W394" i="72" a="1"/>
  <c r="W394" i="72" s="1"/>
  <c r="W478" i="72" s="1"/>
  <c r="X397" i="72" a="1"/>
  <c r="X397" i="72" s="1"/>
  <c r="X481" i="72" s="1"/>
  <c r="S395" i="72" a="1"/>
  <c r="S395" i="72" s="1"/>
  <c r="S479" i="72" s="1"/>
  <c r="W243" i="72"/>
  <c r="W327" i="72" s="1"/>
  <c r="N223" i="72" a="1"/>
  <c r="N223" i="72" s="1"/>
  <c r="N307" i="72" s="1"/>
  <c r="AB221" i="72" a="1"/>
  <c r="AB221" i="72" s="1"/>
  <c r="AB305" i="72" s="1"/>
  <c r="Q225" i="72" a="1"/>
  <c r="Q225" i="72" s="1"/>
  <c r="Q309" i="72" s="1"/>
  <c r="P225" i="72" a="1"/>
  <c r="P225" i="72" s="1"/>
  <c r="P309" i="72" s="1"/>
  <c r="AB245" i="72"/>
  <c r="AB329" i="72" s="1"/>
  <c r="V230" i="72" a="1"/>
  <c r="V230" i="72" s="1"/>
  <c r="V314" i="72" s="1"/>
  <c r="AE224" i="72" a="1"/>
  <c r="AE224" i="72" s="1"/>
  <c r="AE308" i="72" s="1"/>
  <c r="R229" i="72" a="1"/>
  <c r="R229" i="72" s="1"/>
  <c r="R313" i="72" s="1"/>
  <c r="P218" i="72" a="1"/>
  <c r="P218" i="72" s="1"/>
  <c r="Y220" i="72" a="1"/>
  <c r="Y220" i="72" s="1"/>
  <c r="Y304" i="72" s="1"/>
  <c r="N228" i="72" a="1"/>
  <c r="N228" i="72" s="1"/>
  <c r="N312" i="72" s="1"/>
  <c r="AG49" i="72" a="1"/>
  <c r="AG49" i="72" s="1"/>
  <c r="AG133" i="72" s="1"/>
  <c r="AG175" i="72" s="1"/>
  <c r="AH35" i="68" s="1"/>
  <c r="T54" i="72" a="1"/>
  <c r="T54" i="72" s="1"/>
  <c r="T138" i="72" s="1"/>
  <c r="AE69" i="72"/>
  <c r="AE153" i="72" s="1"/>
  <c r="M66" i="72"/>
  <c r="M150" i="72" s="1"/>
  <c r="Z46" i="72" a="1"/>
  <c r="Z46" i="72" s="1"/>
  <c r="Z130" i="72" s="1"/>
  <c r="AE53" i="72" a="1"/>
  <c r="AE53" i="72" s="1"/>
  <c r="AE137" i="72" s="1"/>
  <c r="AB70" i="72"/>
  <c r="AB154" i="72" s="1"/>
  <c r="Z70" i="72"/>
  <c r="Z154" i="72" s="1"/>
  <c r="N68" i="72"/>
  <c r="N152" i="72" s="1"/>
  <c r="N53" i="72" a="1"/>
  <c r="N53" i="72" s="1"/>
  <c r="N137" i="72" s="1"/>
  <c r="AA43" i="72" a="1"/>
  <c r="AA43" i="72" s="1"/>
  <c r="AA49" i="72" a="1"/>
  <c r="AA49" i="72" s="1"/>
  <c r="AA133" i="72" s="1"/>
  <c r="P75" i="72"/>
  <c r="P159" i="72" s="1"/>
  <c r="AE66" i="72"/>
  <c r="AE150" i="72" s="1"/>
  <c r="J53" i="72" a="1"/>
  <c r="J53" i="72" s="1"/>
  <c r="J137" i="72" s="1"/>
  <c r="Y75" i="72"/>
  <c r="Y159" i="72" s="1"/>
  <c r="W67" i="72"/>
  <c r="W151" i="72" s="1"/>
  <c r="AE55" i="72" a="1"/>
  <c r="AE55" i="72" s="1"/>
  <c r="AE139" i="72" s="1"/>
  <c r="AC396" i="72" a="1"/>
  <c r="AC396" i="72" s="1"/>
  <c r="AC480" i="72" s="1"/>
  <c r="V423" i="72"/>
  <c r="V507" i="72" s="1"/>
  <c r="U397" i="72" a="1"/>
  <c r="U397" i="72" s="1"/>
  <c r="U481" i="72" s="1"/>
  <c r="AD395" i="72" a="1"/>
  <c r="AD395" i="72" s="1"/>
  <c r="AD479" i="72" s="1"/>
  <c r="W222" i="72" a="1"/>
  <c r="W222" i="72" s="1"/>
  <c r="W306" i="72" s="1"/>
  <c r="AD244" i="72"/>
  <c r="AD328" i="72" s="1"/>
  <c r="H250" i="72"/>
  <c r="H334" i="72" s="1"/>
  <c r="Y250" i="72"/>
  <c r="Y334" i="72" s="1"/>
  <c r="AE229" i="72" a="1"/>
  <c r="AE229" i="72" s="1"/>
  <c r="AE313" i="72" s="1"/>
  <c r="AB225" i="72" a="1"/>
  <c r="AB225" i="72" s="1"/>
  <c r="AB309" i="72" s="1"/>
  <c r="M250" i="72"/>
  <c r="M334" i="72" s="1"/>
  <c r="AF246" i="72"/>
  <c r="AF330" i="72" s="1"/>
  <c r="AG246" i="72"/>
  <c r="AG330" i="72" s="1"/>
  <c r="W228" i="72" a="1"/>
  <c r="W228" i="72" s="1"/>
  <c r="W312" i="72" s="1"/>
  <c r="H247" i="72"/>
  <c r="H331" i="72" s="1"/>
  <c r="V251" i="72"/>
  <c r="V335" i="72" s="1"/>
  <c r="S225" i="72" a="1"/>
  <c r="S225" i="72" s="1"/>
  <c r="S309" i="72" s="1"/>
  <c r="H251" i="72"/>
  <c r="H335" i="72" s="1"/>
  <c r="X220" i="72" a="1"/>
  <c r="X220" i="72" s="1"/>
  <c r="X304" i="72" s="1"/>
  <c r="N220" i="72" a="1"/>
  <c r="N220" i="72" s="1"/>
  <c r="N304" i="72" s="1"/>
  <c r="T229" i="72" a="1"/>
  <c r="T229" i="72" s="1"/>
  <c r="T313" i="72" s="1"/>
  <c r="V222" i="72" a="1"/>
  <c r="V222" i="72" s="1"/>
  <c r="V306" i="72" s="1"/>
  <c r="AE228" i="72" a="1"/>
  <c r="AE228" i="72" s="1"/>
  <c r="AE312" i="72" s="1"/>
  <c r="V49" i="72" a="1"/>
  <c r="V49" i="72" s="1"/>
  <c r="V133" i="72" s="1"/>
  <c r="V175" i="72" s="1"/>
  <c r="W35" i="68" s="1"/>
  <c r="AB43" i="72" a="1"/>
  <c r="AB43" i="72" s="1"/>
  <c r="AF53" i="72" a="1"/>
  <c r="AF53" i="72" s="1"/>
  <c r="AF137" i="72" s="1"/>
  <c r="Z75" i="72"/>
  <c r="Z159" i="72" s="1"/>
  <c r="P53" i="72" a="1"/>
  <c r="P53" i="72" s="1"/>
  <c r="P137" i="72" s="1"/>
  <c r="Z52" i="72" a="1"/>
  <c r="Z52" i="72" s="1"/>
  <c r="Z136" i="72" s="1"/>
  <c r="T66" i="72"/>
  <c r="T150" i="72" s="1"/>
  <c r="I46" i="72" a="1"/>
  <c r="I46" i="72" s="1"/>
  <c r="I130" i="72" s="1"/>
  <c r="O53" i="72" a="1"/>
  <c r="O53" i="72" s="1"/>
  <c r="O137" i="72" s="1"/>
  <c r="AB49" i="72" a="1"/>
  <c r="AB49" i="72" s="1"/>
  <c r="AB133" i="72" s="1"/>
  <c r="J49" i="72" a="1"/>
  <c r="J49" i="72" s="1"/>
  <c r="J133" i="72" s="1"/>
  <c r="X46" i="72" a="1"/>
  <c r="X46" i="72" s="1"/>
  <c r="X130" i="72" s="1"/>
  <c r="X52" i="72" a="1"/>
  <c r="X52" i="72" s="1"/>
  <c r="X136" i="72" s="1"/>
  <c r="O43" i="72" a="1"/>
  <c r="O43" i="72" s="1"/>
  <c r="Z47" i="72" a="1"/>
  <c r="Z47" i="72" s="1"/>
  <c r="Z131" i="72" s="1"/>
  <c r="P54" i="72" a="1"/>
  <c r="P54" i="72" s="1"/>
  <c r="P138" i="72" s="1"/>
  <c r="AE45" i="72" a="1"/>
  <c r="AE45" i="72" s="1"/>
  <c r="AE129" i="72" s="1"/>
  <c r="T52" i="72" a="1"/>
  <c r="T52" i="72" s="1"/>
  <c r="T136" i="72" s="1"/>
  <c r="Q69" i="72"/>
  <c r="Q153" i="72" s="1"/>
  <c r="Y53" i="72" a="1"/>
  <c r="Y53" i="72" s="1"/>
  <c r="Y137" i="72" s="1"/>
  <c r="J54" i="72" a="1"/>
  <c r="J54" i="72" s="1"/>
  <c r="J138" i="72" s="1"/>
  <c r="AG69" i="72"/>
  <c r="AG153" i="72" s="1"/>
  <c r="L66" i="72"/>
  <c r="L150" i="72" s="1"/>
  <c r="Q49" i="72" a="1"/>
  <c r="Q49" i="72" s="1"/>
  <c r="Q133" i="72" s="1"/>
  <c r="AF75" i="72"/>
  <c r="AF159" i="72" s="1"/>
  <c r="M69" i="72"/>
  <c r="M153" i="72" s="1"/>
  <c r="K66" i="72"/>
  <c r="K150" i="72" s="1"/>
  <c r="U50" i="72" a="1"/>
  <c r="U50" i="72" s="1"/>
  <c r="U134" i="72" s="1"/>
  <c r="W70" i="72"/>
  <c r="W154" i="72" s="1"/>
  <c r="N395" i="72" a="1"/>
  <c r="N395" i="72" s="1"/>
  <c r="N479" i="72" s="1"/>
  <c r="N521" i="72" s="1"/>
  <c r="J424" i="72"/>
  <c r="J508" i="72" s="1"/>
  <c r="L403" i="72" a="1"/>
  <c r="L403" i="72" s="1"/>
  <c r="L487" i="72" s="1"/>
  <c r="N401" i="72" a="1"/>
  <c r="N401" i="72" s="1"/>
  <c r="N485" i="72" s="1"/>
  <c r="AF422" i="72"/>
  <c r="AF506" i="72" s="1"/>
  <c r="M244" i="72"/>
  <c r="M328" i="72" s="1"/>
  <c r="Z225" i="72" a="1"/>
  <c r="Z225" i="72" s="1"/>
  <c r="Z309" i="72" s="1"/>
  <c r="H229" i="72" a="1"/>
  <c r="H229" i="72" s="1"/>
  <c r="H313" i="72" s="1"/>
  <c r="Y229" i="72" a="1"/>
  <c r="Y229" i="72" s="1"/>
  <c r="Y313" i="72" s="1"/>
  <c r="J229" i="72" a="1"/>
  <c r="J229" i="72" s="1"/>
  <c r="J313" i="72" s="1"/>
  <c r="R246" i="72"/>
  <c r="R330" i="72" s="1"/>
  <c r="L229" i="72" a="1"/>
  <c r="L229" i="72" s="1"/>
  <c r="L313" i="72" s="1"/>
  <c r="M229" i="72" a="1"/>
  <c r="M229" i="72" s="1"/>
  <c r="M313" i="72" s="1"/>
  <c r="AF225" i="72" a="1"/>
  <c r="AF225" i="72" s="1"/>
  <c r="AF309" i="72" s="1"/>
  <c r="I229" i="72" a="1"/>
  <c r="I229" i="72" s="1"/>
  <c r="I313" i="72" s="1"/>
  <c r="AG225" i="72" a="1"/>
  <c r="AG225" i="72" s="1"/>
  <c r="AG309" i="72" s="1"/>
  <c r="T228" i="72" a="1"/>
  <c r="T228" i="72" s="1"/>
  <c r="T312" i="72" s="1"/>
  <c r="T354" i="72" s="1"/>
  <c r="V220" i="72" a="1"/>
  <c r="V220" i="72" s="1"/>
  <c r="V304" i="72" s="1"/>
  <c r="Y228" i="72" a="1"/>
  <c r="Y228" i="72" s="1"/>
  <c r="Y312" i="72" s="1"/>
  <c r="H230" i="72" a="1"/>
  <c r="H230" i="72" s="1"/>
  <c r="H314" i="72" s="1"/>
  <c r="U221" i="72" a="1"/>
  <c r="U221" i="72" s="1"/>
  <c r="U305" i="72" s="1"/>
  <c r="V221" i="72" a="1"/>
  <c r="V221" i="72" s="1"/>
  <c r="V305" i="72" s="1"/>
  <c r="V347" i="72" s="1"/>
  <c r="Y230" i="72" a="1"/>
  <c r="Y230" i="72" s="1"/>
  <c r="Y314" i="72" s="1"/>
  <c r="W223" i="72" a="1"/>
  <c r="W223" i="72" s="1"/>
  <c r="W307" i="72" s="1"/>
  <c r="U229" i="72" a="1"/>
  <c r="U229" i="72" s="1"/>
  <c r="U313" i="72" s="1"/>
  <c r="U355" i="72" s="1"/>
  <c r="V250" i="72"/>
  <c r="V334" i="72" s="1"/>
  <c r="N48" i="72" a="1"/>
  <c r="N48" i="72" s="1"/>
  <c r="N132" i="72" s="1"/>
  <c r="N174" i="72" s="1"/>
  <c r="O34" i="68" s="1"/>
  <c r="T43" i="72" a="1"/>
  <c r="T43" i="72" s="1"/>
  <c r="U70" i="72"/>
  <c r="U154" i="72" s="1"/>
  <c r="AD50" i="72" a="1"/>
  <c r="AD50" i="72" s="1"/>
  <c r="AD134" i="72" s="1"/>
  <c r="K53" i="72" a="1"/>
  <c r="K53" i="72" s="1"/>
  <c r="K137" i="72" s="1"/>
  <c r="L50" i="72" a="1"/>
  <c r="L50" i="72" s="1"/>
  <c r="L134" i="72" s="1"/>
  <c r="L176" i="72" s="1"/>
  <c r="M36" i="68" s="1"/>
  <c r="T45" i="72" a="1"/>
  <c r="T45" i="72" s="1"/>
  <c r="T129" i="72" s="1"/>
  <c r="I67" i="72"/>
  <c r="I151" i="72" s="1"/>
  <c r="Y52" i="72" a="1"/>
  <c r="Y52" i="72" s="1"/>
  <c r="Y136" i="72" s="1"/>
  <c r="Y178" i="72" s="1"/>
  <c r="Z38" i="68" s="1"/>
  <c r="P76" i="72"/>
  <c r="P160" i="72" s="1"/>
  <c r="V69" i="72"/>
  <c r="V153" i="72" s="1"/>
  <c r="J70" i="72"/>
  <c r="J154" i="72" s="1"/>
  <c r="X67" i="72"/>
  <c r="X151" i="72" s="1"/>
  <c r="AB50" i="72" a="1"/>
  <c r="AB50" i="72" s="1"/>
  <c r="AB134" i="72" s="1"/>
  <c r="AF69" i="72"/>
  <c r="AF153" i="72" s="1"/>
  <c r="U54" i="72" a="1"/>
  <c r="U54" i="72" s="1"/>
  <c r="U138" i="72" s="1"/>
  <c r="Y43" i="72" a="1"/>
  <c r="Y43" i="72" s="1"/>
  <c r="X50" i="72" a="1"/>
  <c r="X50" i="72" s="1"/>
  <c r="X134" i="72" s="1"/>
  <c r="O69" i="72"/>
  <c r="O153" i="72" s="1"/>
  <c r="Q48" i="72" a="1"/>
  <c r="Q48" i="72" s="1"/>
  <c r="Q132" i="72" s="1"/>
  <c r="I53" i="72" a="1"/>
  <c r="I53" i="72" s="1"/>
  <c r="I137" i="72" s="1"/>
  <c r="AG48" i="72" a="1"/>
  <c r="AG48" i="72" s="1"/>
  <c r="AG132" i="72" s="1"/>
  <c r="L45" i="72" a="1"/>
  <c r="L45" i="72" s="1"/>
  <c r="L129" i="72" s="1"/>
  <c r="O47" i="72" a="1"/>
  <c r="O47" i="72" s="1"/>
  <c r="O131" i="72" s="1"/>
  <c r="AF54" i="72" a="1"/>
  <c r="AF54" i="72" s="1"/>
  <c r="AF138" i="72" s="1"/>
  <c r="M48" i="72" a="1"/>
  <c r="M48" i="72" s="1"/>
  <c r="M132" i="72" s="1"/>
  <c r="K45" i="72" a="1"/>
  <c r="K45" i="72" s="1"/>
  <c r="K129" i="72" s="1"/>
  <c r="K49" i="72" a="1"/>
  <c r="K49" i="72" s="1"/>
  <c r="K133" i="72" s="1"/>
  <c r="Y68" i="72"/>
  <c r="Y152" i="72" s="1"/>
  <c r="W49" i="72" a="1"/>
  <c r="W49" i="72" s="1"/>
  <c r="W133" i="72" s="1"/>
  <c r="M54" i="72" a="1"/>
  <c r="M54" i="72" s="1"/>
  <c r="M138" i="72" s="1"/>
  <c r="AA68" i="72"/>
  <c r="AA152" i="72" s="1"/>
  <c r="I45" i="72" a="1"/>
  <c r="I45" i="72" s="1"/>
  <c r="I129" i="72" s="1"/>
  <c r="O52" i="72" a="1"/>
  <c r="O52" i="72" s="1"/>
  <c r="O136" i="72" s="1"/>
  <c r="S64" i="72"/>
  <c r="L64" i="72"/>
  <c r="H391" i="72" a="1"/>
  <c r="H391" i="72" s="1"/>
  <c r="AF395" i="72" a="1"/>
  <c r="AF395" i="72" s="1"/>
  <c r="AF479" i="72" s="1"/>
  <c r="AD422" i="72"/>
  <c r="AD506" i="72" s="1"/>
  <c r="P395" i="72" a="1"/>
  <c r="P395" i="72" s="1"/>
  <c r="P479" i="72" s="1"/>
  <c r="P521" i="72" s="1"/>
  <c r="AD423" i="72"/>
  <c r="AD507" i="72" s="1"/>
  <c r="Q402" i="72" a="1"/>
  <c r="Q402" i="72" s="1"/>
  <c r="Q486" i="72" s="1"/>
  <c r="Y246" i="72"/>
  <c r="Y330" i="72" s="1"/>
  <c r="W250" i="72"/>
  <c r="W334" i="72" s="1"/>
  <c r="L249" i="72"/>
  <c r="L333" i="72" s="1"/>
  <c r="AB220" i="72" a="1"/>
  <c r="AB220" i="72" s="1"/>
  <c r="AB304" i="72" s="1"/>
  <c r="AE251" i="72"/>
  <c r="AE335" i="72" s="1"/>
  <c r="Z250" i="72"/>
  <c r="Z334" i="72" s="1"/>
  <c r="L250" i="72"/>
  <c r="L334" i="72" s="1"/>
  <c r="AF218" i="72" a="1"/>
  <c r="AF218" i="72" s="1"/>
  <c r="R249" i="72"/>
  <c r="R333" i="72" s="1"/>
  <c r="V218" i="72" a="1"/>
  <c r="V218" i="72" s="1"/>
  <c r="O222" i="72" a="1"/>
  <c r="O222" i="72" s="1"/>
  <c r="O306" i="72" s="1"/>
  <c r="W218" i="72" a="1"/>
  <c r="W218" i="72" s="1"/>
  <c r="J242" i="72"/>
  <c r="J326" i="72" s="1"/>
  <c r="AG229" i="72" a="1"/>
  <c r="AG229" i="72" s="1"/>
  <c r="AG313" i="72" s="1"/>
  <c r="W220" i="72" a="1"/>
  <c r="W220" i="72" s="1"/>
  <c r="W304" i="72" s="1"/>
  <c r="AC228" i="72" a="1"/>
  <c r="AC228" i="72" s="1"/>
  <c r="AC312" i="72" s="1"/>
  <c r="U222" i="72" a="1"/>
  <c r="U222" i="72" s="1"/>
  <c r="U306" i="72" s="1"/>
  <c r="M239" i="72"/>
  <c r="K230" i="72" a="1"/>
  <c r="K230" i="72" s="1"/>
  <c r="K314" i="72" s="1"/>
  <c r="V224" i="72" a="1"/>
  <c r="V224" i="72" s="1"/>
  <c r="V308" i="72" s="1"/>
  <c r="V350" i="72" s="1"/>
  <c r="Z230" i="72" a="1"/>
  <c r="Z230" i="72" s="1"/>
  <c r="Z314" i="72" s="1"/>
  <c r="V229" i="72" a="1"/>
  <c r="V229" i="72" s="1"/>
  <c r="V313" i="72" s="1"/>
  <c r="X47" i="72" a="1"/>
  <c r="X47" i="72" s="1"/>
  <c r="X131" i="72" s="1"/>
  <c r="W52" i="72" a="1"/>
  <c r="W52" i="72" s="1"/>
  <c r="W136" i="72" s="1"/>
  <c r="W178" i="72" s="1"/>
  <c r="X38" i="68" s="1"/>
  <c r="R76" i="72"/>
  <c r="R160" i="72" s="1"/>
  <c r="AD43" i="72" a="1"/>
  <c r="AD43" i="72" s="1"/>
  <c r="Y50" i="72" a="1"/>
  <c r="Y50" i="72" s="1"/>
  <c r="Y134" i="72" s="1"/>
  <c r="L70" i="72"/>
  <c r="L154" i="72" s="1"/>
  <c r="U55" i="72" a="1"/>
  <c r="U55" i="72" s="1"/>
  <c r="U139" i="72" s="1"/>
  <c r="S45" i="72" a="1"/>
  <c r="S45" i="72" s="1"/>
  <c r="S129" i="72" s="1"/>
  <c r="I52" i="72" a="1"/>
  <c r="I52" i="72" s="1"/>
  <c r="I136" i="72" s="1"/>
  <c r="V48" i="72" a="1"/>
  <c r="V48" i="72" s="1"/>
  <c r="V132" i="72" s="1"/>
  <c r="T48" i="72" a="1"/>
  <c r="T48" i="72" s="1"/>
  <c r="T132" i="72" s="1"/>
  <c r="H46" i="72" a="1"/>
  <c r="H46" i="72" s="1"/>
  <c r="H130" i="72" s="1"/>
  <c r="H50" i="72" a="1"/>
  <c r="H50" i="72" s="1"/>
  <c r="H134" i="72" s="1"/>
  <c r="H176" i="72" s="1"/>
  <c r="I36" i="68" s="1"/>
  <c r="AC66" i="72"/>
  <c r="AC150" i="72" s="1"/>
  <c r="N43" i="72" a="1"/>
  <c r="N43" i="72" s="1"/>
  <c r="T49" i="72" a="1"/>
  <c r="T49" i="72" s="1"/>
  <c r="T133" i="72" s="1"/>
  <c r="AG393" i="72" a="1"/>
  <c r="AG393" i="72" s="1"/>
  <c r="AG477" i="72" s="1"/>
  <c r="X221" i="72" a="1"/>
  <c r="X221" i="72" s="1"/>
  <c r="X305" i="72" s="1"/>
  <c r="W402" i="72" a="1"/>
  <c r="W402" i="72" s="1"/>
  <c r="W486" i="72" s="1"/>
  <c r="I396" i="72" a="1"/>
  <c r="I396" i="72" s="1"/>
  <c r="I480" i="72" s="1"/>
  <c r="AF423" i="72"/>
  <c r="AF507" i="72" s="1"/>
  <c r="W424" i="72"/>
  <c r="W508" i="72" s="1"/>
  <c r="Y225" i="72" a="1"/>
  <c r="Y225" i="72" s="1"/>
  <c r="Y309" i="72" s="1"/>
  <c r="AA220" i="72" a="1"/>
  <c r="AA220" i="72" s="1"/>
  <c r="AA304" i="72" s="1"/>
  <c r="L228" i="72" a="1"/>
  <c r="L228" i="72" s="1"/>
  <c r="L312" i="72" s="1"/>
  <c r="X224" i="72" a="1"/>
  <c r="X224" i="72" s="1"/>
  <c r="X308" i="72" s="1"/>
  <c r="Y223" i="72" a="1"/>
  <c r="Y223" i="72" s="1"/>
  <c r="Y307" i="72" s="1"/>
  <c r="Z229" i="72" a="1"/>
  <c r="Z229" i="72" s="1"/>
  <c r="Z313" i="72" s="1"/>
  <c r="AF249" i="72"/>
  <c r="AF333" i="72" s="1"/>
  <c r="R251" i="72"/>
  <c r="R335" i="72" s="1"/>
  <c r="P221" i="72" a="1"/>
  <c r="P221" i="72" s="1"/>
  <c r="P305" i="72" s="1"/>
  <c r="P347" i="72" s="1"/>
  <c r="U220" i="72" a="1"/>
  <c r="U220" i="72" s="1"/>
  <c r="U304" i="72" s="1"/>
  <c r="AE243" i="72"/>
  <c r="AE327" i="72" s="1"/>
  <c r="AG218" i="72" a="1"/>
  <c r="AG218" i="72" s="1"/>
  <c r="Z221" i="72" a="1"/>
  <c r="Z221" i="72" s="1"/>
  <c r="Z305" i="72" s="1"/>
  <c r="N218" i="72" a="1"/>
  <c r="N218" i="72" s="1"/>
  <c r="T222" i="72" a="1"/>
  <c r="T222" i="72" s="1"/>
  <c r="T306" i="72" s="1"/>
  <c r="AG224" i="72" a="1"/>
  <c r="AG224" i="72" s="1"/>
  <c r="AG308" i="72" s="1"/>
  <c r="AG350" i="72" s="1"/>
  <c r="K251" i="72"/>
  <c r="K335" i="72" s="1"/>
  <c r="V225" i="72" a="1"/>
  <c r="V225" i="72" s="1"/>
  <c r="V309" i="72" s="1"/>
  <c r="V351" i="72" s="1"/>
  <c r="J249" i="72"/>
  <c r="J333" i="72" s="1"/>
  <c r="AA218" i="72" a="1"/>
  <c r="AA218" i="72" s="1"/>
  <c r="AB45" i="72" a="1"/>
  <c r="AB45" i="72" s="1"/>
  <c r="AB129" i="72" s="1"/>
  <c r="U52" i="72" a="1"/>
  <c r="U52" i="72" s="1"/>
  <c r="U136" i="72" s="1"/>
  <c r="R43" i="72" a="1"/>
  <c r="R43" i="72" s="1"/>
  <c r="AC53" i="72" a="1"/>
  <c r="AC53" i="72" s="1"/>
  <c r="AC137" i="72" s="1"/>
  <c r="R53" i="72" a="1"/>
  <c r="R53" i="72" s="1"/>
  <c r="R137" i="72" s="1"/>
  <c r="L49" i="72" a="1"/>
  <c r="L49" i="72" s="1"/>
  <c r="L133" i="72" s="1"/>
  <c r="U76" i="72"/>
  <c r="U160" i="72" s="1"/>
  <c r="S66" i="72"/>
  <c r="S150" i="72" s="1"/>
  <c r="AC50" i="72" a="1"/>
  <c r="AC50" i="72" s="1"/>
  <c r="AC134" i="72" s="1"/>
  <c r="P68" i="72"/>
  <c r="P152" i="72" s="1"/>
  <c r="T69" i="72"/>
  <c r="T153" i="72" s="1"/>
  <c r="H67" i="72"/>
  <c r="H151" i="72" s="1"/>
  <c r="K48" i="72" a="1"/>
  <c r="K48" i="72" s="1"/>
  <c r="K132" i="72" s="1"/>
  <c r="AB53" i="72" a="1"/>
  <c r="AB53" i="72" s="1"/>
  <c r="AB137" i="72" s="1"/>
  <c r="AB75" i="72"/>
  <c r="AB159" i="72" s="1"/>
  <c r="S55" i="72" a="1"/>
  <c r="S55" i="72" s="1"/>
  <c r="S139" i="72" s="1"/>
  <c r="V47" i="72" a="1"/>
  <c r="V47" i="72" s="1"/>
  <c r="V131" i="72" s="1"/>
  <c r="O45" i="72" a="1"/>
  <c r="O45" i="72" s="1"/>
  <c r="O129" i="72" s="1"/>
  <c r="W50" i="72" a="1"/>
  <c r="W50" i="72" s="1"/>
  <c r="W134" i="72" s="1"/>
  <c r="N75" i="72"/>
  <c r="N159" i="72" s="1"/>
  <c r="AD76" i="72"/>
  <c r="AD160" i="72" s="1"/>
  <c r="H54" i="72" a="1"/>
  <c r="H54" i="72" s="1"/>
  <c r="H138" i="72" s="1"/>
  <c r="M50" i="72" a="1"/>
  <c r="M50" i="72" s="1"/>
  <c r="M134" i="72" s="1"/>
  <c r="I50" i="72" a="1"/>
  <c r="I50" i="72" s="1"/>
  <c r="I134" i="72" s="1"/>
  <c r="W47" i="72" a="1"/>
  <c r="W47" i="72" s="1"/>
  <c r="W131" i="72" s="1"/>
  <c r="Y55" i="72" a="1"/>
  <c r="Y55" i="72" s="1"/>
  <c r="Y139" i="72" s="1"/>
  <c r="Y182" i="72" s="1"/>
  <c r="Z41" i="68" s="1"/>
  <c r="AB55" i="72" a="1"/>
  <c r="AB55" i="72" s="1"/>
  <c r="AB139" i="72" s="1"/>
  <c r="Y243" i="72"/>
  <c r="Y327" i="72" s="1"/>
  <c r="X225" i="72" a="1"/>
  <c r="X225" i="72" s="1"/>
  <c r="X309" i="72" s="1"/>
  <c r="AF228" i="72" a="1"/>
  <c r="AF228" i="72" s="1"/>
  <c r="AF312" i="72" s="1"/>
  <c r="AE220" i="72" a="1"/>
  <c r="AE220" i="72" s="1"/>
  <c r="AE304" i="72" s="1"/>
  <c r="AE346" i="72" s="1"/>
  <c r="Z242" i="72"/>
  <c r="Z326" i="72" s="1"/>
  <c r="AA251" i="72"/>
  <c r="AA335" i="72" s="1"/>
  <c r="O220" i="72" a="1"/>
  <c r="O220" i="72" s="1"/>
  <c r="O304" i="72" s="1"/>
  <c r="P46" i="72" a="1"/>
  <c r="P46" i="72" s="1"/>
  <c r="P130" i="72" s="1"/>
  <c r="P66" i="72"/>
  <c r="P150" i="72" s="1"/>
  <c r="AC43" i="72" a="1"/>
  <c r="AC43" i="72" s="1"/>
  <c r="AD47" i="72" a="1"/>
  <c r="AD47" i="72" s="1"/>
  <c r="AD131" i="72" s="1"/>
  <c r="L53" i="72" a="1"/>
  <c r="L53" i="72" s="1"/>
  <c r="L137" i="72" s="1"/>
  <c r="L179" i="72" s="1"/>
  <c r="M39" i="68" s="1"/>
  <c r="AA45" i="72" a="1"/>
  <c r="AA45" i="72" s="1"/>
  <c r="AA129" i="72" s="1"/>
  <c r="R49" i="72" a="1"/>
  <c r="R49" i="72" s="1"/>
  <c r="R133" i="72" s="1"/>
  <c r="K68" i="72"/>
  <c r="K152" i="72" s="1"/>
  <c r="S70" i="72"/>
  <c r="S154" i="72" s="1"/>
  <c r="AG66" i="72"/>
  <c r="AG150" i="72" s="1"/>
  <c r="V53" i="72" a="1"/>
  <c r="V53" i="72" s="1"/>
  <c r="V137" i="72" s="1"/>
  <c r="I75" i="72"/>
  <c r="I159" i="72" s="1"/>
  <c r="K75" i="72"/>
  <c r="K159" i="72" s="1"/>
  <c r="J43" i="72" a="1"/>
  <c r="J43" i="72" s="1"/>
  <c r="Z76" i="72"/>
  <c r="Z160" i="72" s="1"/>
  <c r="P70" i="72"/>
  <c r="P154" i="72" s="1"/>
  <c r="AD67" i="72"/>
  <c r="AD151" i="72" s="1"/>
  <c r="H45" i="72" a="1"/>
  <c r="H45" i="72" s="1"/>
  <c r="H129" i="72" s="1"/>
  <c r="O70" i="72"/>
  <c r="O154" i="72" s="1"/>
  <c r="AC67" i="72"/>
  <c r="AC151" i="72" s="1"/>
  <c r="S53" i="72" a="1"/>
  <c r="S53" i="72" s="1"/>
  <c r="S137" i="72" s="1"/>
  <c r="U48" i="72" a="1"/>
  <c r="U48" i="72" s="1"/>
  <c r="U132" i="72" s="1"/>
  <c r="H48" i="72" a="1"/>
  <c r="H48" i="72" s="1"/>
  <c r="H132" i="72" s="1"/>
  <c r="Q54" i="72" a="1"/>
  <c r="Q54" i="72" s="1"/>
  <c r="Q138" i="72" s="1"/>
  <c r="AG47" i="72" a="1"/>
  <c r="AG47" i="72" s="1"/>
  <c r="AG131" i="72" s="1"/>
  <c r="U45" i="72" a="1"/>
  <c r="U45" i="72" s="1"/>
  <c r="U129" i="72" s="1"/>
  <c r="R46" i="72" a="1"/>
  <c r="R46" i="72" s="1"/>
  <c r="R130" i="72" s="1"/>
  <c r="J66" i="72"/>
  <c r="J150" i="72" s="1"/>
  <c r="J48" i="72" a="1"/>
  <c r="J48" i="72" s="1"/>
  <c r="J132" i="72" s="1"/>
  <c r="I68" i="72"/>
  <c r="I152" i="72" s="1"/>
  <c r="I48" i="72" a="1"/>
  <c r="I48" i="72" s="1"/>
  <c r="I132" i="72" s="1"/>
  <c r="V67" i="72"/>
  <c r="V151" i="72" s="1"/>
  <c r="AE43" i="72" a="1"/>
  <c r="AE43" i="72" s="1"/>
  <c r="N76" i="72"/>
  <c r="N160" i="72" s="1"/>
  <c r="W43" i="72" a="1"/>
  <c r="W43" i="72" s="1"/>
  <c r="M47" i="72" a="1"/>
  <c r="M47" i="72" s="1"/>
  <c r="M131" i="72" s="1"/>
  <c r="AF49" i="72" a="1"/>
  <c r="AF49" i="72" s="1"/>
  <c r="AF133" i="72" s="1"/>
  <c r="AA75" i="72"/>
  <c r="AA159" i="72" s="1"/>
  <c r="S47" i="72" a="1"/>
  <c r="S47" i="72" s="1"/>
  <c r="S131" i="72" s="1"/>
  <c r="R47" i="72" a="1"/>
  <c r="R47" i="72" s="1"/>
  <c r="R131" i="72" s="1"/>
  <c r="Q75" i="72"/>
  <c r="Q159" i="72" s="1"/>
  <c r="O50" i="72" a="1"/>
  <c r="O50" i="72" s="1"/>
  <c r="O134" i="72" s="1"/>
  <c r="P402" i="72" a="1"/>
  <c r="P402" i="72" s="1"/>
  <c r="P486" i="72" s="1"/>
  <c r="K246" i="72"/>
  <c r="K330" i="72" s="1"/>
  <c r="Q239" i="72"/>
  <c r="AD221" i="72" a="1"/>
  <c r="AD221" i="72" s="1"/>
  <c r="AD305" i="72" s="1"/>
  <c r="P222" i="72" a="1"/>
  <c r="P222" i="72" s="1"/>
  <c r="P306" i="72" s="1"/>
  <c r="AA230" i="72" a="1"/>
  <c r="AA230" i="72" s="1"/>
  <c r="AA314" i="72" s="1"/>
  <c r="Z220" i="72" a="1"/>
  <c r="Z220" i="72" s="1"/>
  <c r="Z304" i="72" s="1"/>
  <c r="W54" i="72" a="1"/>
  <c r="W54" i="72" s="1"/>
  <c r="W138" i="72" s="1"/>
  <c r="AB52" i="72" a="1"/>
  <c r="AB52" i="72" s="1"/>
  <c r="AB136" i="72" s="1"/>
  <c r="Q43" i="72" a="1"/>
  <c r="Q43" i="72" s="1"/>
  <c r="AD68" i="72"/>
  <c r="AD152" i="72" s="1"/>
  <c r="V52" i="72" a="1"/>
  <c r="V52" i="72" s="1"/>
  <c r="V136" i="72" s="1"/>
  <c r="O54" i="72" a="1"/>
  <c r="O54" i="72" s="1"/>
  <c r="O138" i="72" s="1"/>
  <c r="O181" i="72" s="1"/>
  <c r="P40" i="68" s="1"/>
  <c r="U47" i="72" a="1"/>
  <c r="U47" i="72" s="1"/>
  <c r="U131" i="72" s="1"/>
  <c r="AF64" i="72"/>
  <c r="K47" i="72" a="1"/>
  <c r="K47" i="72" s="1"/>
  <c r="K131" i="72" s="1"/>
  <c r="S49" i="72" a="1"/>
  <c r="S49" i="72" s="1"/>
  <c r="S133" i="72" s="1"/>
  <c r="W53" i="72" a="1"/>
  <c r="W53" i="72" s="1"/>
  <c r="W137" i="72" s="1"/>
  <c r="W179" i="72" s="1"/>
  <c r="X39" i="68" s="1"/>
  <c r="AG45" i="72" a="1"/>
  <c r="AG45" i="72" s="1"/>
  <c r="AG129" i="72" s="1"/>
  <c r="AF52" i="72" a="1"/>
  <c r="AF52" i="72" s="1"/>
  <c r="AF136" i="72" s="1"/>
  <c r="K54" i="72" a="1"/>
  <c r="K54" i="72" s="1"/>
  <c r="K138" i="72" s="1"/>
  <c r="Z55" i="72" a="1"/>
  <c r="Z55" i="72" s="1"/>
  <c r="Z139" i="72" s="1"/>
  <c r="P49" i="72" a="1"/>
  <c r="P49" i="72" s="1"/>
  <c r="P133" i="72" s="1"/>
  <c r="AD46" i="72" a="1"/>
  <c r="AD46" i="72" s="1"/>
  <c r="AD130" i="72" s="1"/>
  <c r="T53" i="72" a="1"/>
  <c r="T53" i="72" s="1"/>
  <c r="T137" i="72" s="1"/>
  <c r="T179" i="72" s="1"/>
  <c r="U39" i="68" s="1"/>
  <c r="Q55" i="72" a="1"/>
  <c r="Q55" i="72" s="1"/>
  <c r="Q139" i="72" s="1"/>
  <c r="M180" i="72"/>
  <c r="O49" i="72" a="1"/>
  <c r="O49" i="72" s="1"/>
  <c r="O133" i="72" s="1"/>
  <c r="AC46" i="72" a="1"/>
  <c r="AC46" i="72" s="1"/>
  <c r="AC130" i="72" s="1"/>
  <c r="AC52" i="72" a="1"/>
  <c r="AC52" i="72" s="1"/>
  <c r="AC136" i="72" s="1"/>
  <c r="T46" i="72" a="1"/>
  <c r="T46" i="72" s="1"/>
  <c r="T130" i="72" s="1"/>
  <c r="Y49" i="72" a="1"/>
  <c r="Y49" i="72" s="1"/>
  <c r="Y133" i="72" s="1"/>
  <c r="AB67" i="72"/>
  <c r="AB151" i="72" s="1"/>
  <c r="AC70" i="72"/>
  <c r="AC154" i="72" s="1"/>
  <c r="Q68" i="72"/>
  <c r="Q152" i="72" s="1"/>
  <c r="I55" i="72" a="1"/>
  <c r="I55" i="72" s="1"/>
  <c r="I139" i="72" s="1"/>
  <c r="Y45" i="72" a="1"/>
  <c r="Y45" i="72" s="1"/>
  <c r="Y129" i="72" s="1"/>
  <c r="X45" i="72" a="1"/>
  <c r="X45" i="72" s="1"/>
  <c r="X129" i="72" s="1"/>
  <c r="S54" i="72" a="1"/>
  <c r="S54" i="72" s="1"/>
  <c r="S138" i="72" s="1"/>
  <c r="AA48" i="72" a="1"/>
  <c r="AA48" i="72" s="1"/>
  <c r="AA132" i="72" s="1"/>
  <c r="R75" i="72"/>
  <c r="R159" i="72" s="1"/>
  <c r="AG75" i="72"/>
  <c r="AG159" i="72" s="1"/>
  <c r="K67" i="72"/>
  <c r="K151" i="72" s="1"/>
  <c r="S52" i="72" a="1"/>
  <c r="S52" i="72" s="1"/>
  <c r="S136" i="72" s="1"/>
  <c r="V43" i="72" a="1"/>
  <c r="V43" i="72" s="1"/>
  <c r="T47" i="72" a="1"/>
  <c r="T47" i="72" s="1"/>
  <c r="T131" i="72" s="1"/>
  <c r="M55" i="72" a="1"/>
  <c r="M55" i="72" s="1"/>
  <c r="M139" i="72" s="1"/>
  <c r="AG68" i="72"/>
  <c r="AG152" i="72" s="1"/>
  <c r="M424" i="72"/>
  <c r="M508" i="72" s="1"/>
  <c r="Z397" i="72" a="1"/>
  <c r="Z397" i="72" s="1"/>
  <c r="Z481" i="72" s="1"/>
  <c r="K249" i="72"/>
  <c r="K333" i="72" s="1"/>
  <c r="AA223" i="72" a="1"/>
  <c r="AA223" i="72" s="1"/>
  <c r="AA307" i="72" s="1"/>
  <c r="AE222" i="72" a="1"/>
  <c r="AE222" i="72" s="1"/>
  <c r="AE306" i="72" s="1"/>
  <c r="S223" i="72" a="1"/>
  <c r="S223" i="72" s="1"/>
  <c r="S307" i="72" s="1"/>
  <c r="U225" i="72" a="1"/>
  <c r="U225" i="72" s="1"/>
  <c r="U309" i="72" s="1"/>
  <c r="M228" i="72" a="1"/>
  <c r="M228" i="72" s="1"/>
  <c r="M312" i="72" s="1"/>
  <c r="AB230" i="72" a="1"/>
  <c r="AB230" i="72" s="1"/>
  <c r="AB314" i="72" s="1"/>
  <c r="AF68" i="72"/>
  <c r="AF152" i="72" s="1"/>
  <c r="J50" i="72" a="1"/>
  <c r="J50" i="72" s="1"/>
  <c r="J134" i="72" s="1"/>
  <c r="R66" i="72"/>
  <c r="R150" i="72" s="1"/>
  <c r="I49" i="72" a="1"/>
  <c r="I49" i="72" s="1"/>
  <c r="I133" i="72" s="1"/>
  <c r="AG64" i="72"/>
  <c r="AC76" i="72"/>
  <c r="AC160" i="72" s="1"/>
  <c r="AC48" i="72" a="1"/>
  <c r="AC48" i="72" s="1"/>
  <c r="AC132" i="72" s="1"/>
  <c r="AC174" i="72" s="1"/>
  <c r="AD34" i="68" s="1"/>
  <c r="Q52" i="72" a="1"/>
  <c r="Q52" i="72" s="1"/>
  <c r="Q136" i="72" s="1"/>
  <c r="P52" i="72" a="1"/>
  <c r="P52" i="72" s="1"/>
  <c r="P136" i="72" s="1"/>
  <c r="AA47" i="72" a="1"/>
  <c r="AA47" i="72" s="1"/>
  <c r="AA131" i="72" s="1"/>
  <c r="U53" i="72" a="1"/>
  <c r="U53" i="72" s="1"/>
  <c r="U137" i="72" s="1"/>
  <c r="J76" i="72"/>
  <c r="J160" i="72" s="1"/>
  <c r="Z69" i="72"/>
  <c r="Z153" i="72" s="1"/>
  <c r="N67" i="72"/>
  <c r="N151" i="72" s="1"/>
  <c r="AD52" i="72" a="1"/>
  <c r="AD52" i="72" s="1"/>
  <c r="AD136" i="72" s="1"/>
  <c r="V180" i="72"/>
  <c r="U67" i="72"/>
  <c r="U151" i="72" s="1"/>
  <c r="Y69" i="72"/>
  <c r="Y153" i="72" s="1"/>
  <c r="M67" i="72"/>
  <c r="M151" i="72" s="1"/>
  <c r="M52" i="72" a="1"/>
  <c r="M52" i="72" s="1"/>
  <c r="M136" i="72" s="1"/>
  <c r="M178" i="72" s="1"/>
  <c r="N38" i="68" s="1"/>
  <c r="AF76" i="72"/>
  <c r="AF160" i="72" s="1"/>
  <c r="K55" i="72" a="1"/>
  <c r="K55" i="72" s="1"/>
  <c r="K139" i="72" s="1"/>
  <c r="Y70" i="72"/>
  <c r="Y154" i="72" s="1"/>
  <c r="AB46" i="72" a="1"/>
  <c r="AB46" i="72" s="1"/>
  <c r="AB130" i="72" s="1"/>
  <c r="AC49" i="72" a="1"/>
  <c r="AC49" i="72" s="1"/>
  <c r="AC133" i="72" s="1"/>
  <c r="Q47" i="72" a="1"/>
  <c r="Q47" i="72" s="1"/>
  <c r="Q131" i="72" s="1"/>
  <c r="AG53" i="72" a="1"/>
  <c r="AG53" i="72" s="1"/>
  <c r="AG137" i="72" s="1"/>
  <c r="AG179" i="72" s="1"/>
  <c r="AH39" i="68" s="1"/>
  <c r="T76" i="72"/>
  <c r="T160" i="72" s="1"/>
  <c r="Z66" i="72"/>
  <c r="Z150" i="72" s="1"/>
  <c r="T50" i="72" a="1"/>
  <c r="T50" i="72" s="1"/>
  <c r="T134" i="72" s="1"/>
  <c r="O67" i="72"/>
  <c r="O151" i="72" s="1"/>
  <c r="AE52" i="72" a="1"/>
  <c r="AE52" i="72" s="1"/>
  <c r="AE136" i="72" s="1"/>
  <c r="J55" i="72" a="1"/>
  <c r="J55" i="72" s="1"/>
  <c r="J139" i="72" s="1"/>
  <c r="Z48" i="72" a="1"/>
  <c r="Z48" i="72" s="1"/>
  <c r="Z132" i="72" s="1"/>
  <c r="N46" i="72" a="1"/>
  <c r="N46" i="72" s="1"/>
  <c r="N130" i="72" s="1"/>
  <c r="N52" i="72" a="1"/>
  <c r="N52" i="72" s="1"/>
  <c r="N136" i="72" s="1"/>
  <c r="U46" i="72" a="1"/>
  <c r="U46" i="72" s="1"/>
  <c r="U130" i="72" s="1"/>
  <c r="Y48" i="72" a="1"/>
  <c r="Y48" i="72" s="1"/>
  <c r="Y132" i="72" s="1"/>
  <c r="M46" i="72" a="1"/>
  <c r="M46" i="72" s="1"/>
  <c r="M130" i="72" s="1"/>
  <c r="AG50" i="72" a="1"/>
  <c r="AG50" i="72" s="1"/>
  <c r="AG134" i="72" s="1"/>
  <c r="X76" i="72"/>
  <c r="X160" i="72" s="1"/>
  <c r="N70" i="72"/>
  <c r="N154" i="72" s="1"/>
  <c r="L67" i="72"/>
  <c r="L151" i="72" s="1"/>
  <c r="M70" i="72"/>
  <c r="M154" i="72" s="1"/>
  <c r="AA67" i="72"/>
  <c r="AA151" i="72" s="1"/>
  <c r="Q53" i="72" a="1"/>
  <c r="Q53" i="72" s="1"/>
  <c r="Q137" i="72" s="1"/>
  <c r="AD49" i="72" a="1"/>
  <c r="AD49" i="72" s="1"/>
  <c r="AD133" i="72" s="1"/>
  <c r="W69" i="72"/>
  <c r="W153" i="72" s="1"/>
  <c r="M53" i="72" a="1"/>
  <c r="M53" i="72" s="1"/>
  <c r="M137" i="72" s="1"/>
  <c r="M179" i="72" s="1"/>
  <c r="N39" i="68" s="1"/>
  <c r="M71" i="72"/>
  <c r="M155" i="72" s="1"/>
  <c r="H69" i="72"/>
  <c r="H153" i="72" s="1"/>
  <c r="S394" i="72" a="1"/>
  <c r="S394" i="72" s="1"/>
  <c r="S478" i="72" s="1"/>
  <c r="L398" i="72" a="1"/>
  <c r="L398" i="72" s="1"/>
  <c r="L482" i="72" s="1"/>
  <c r="N225" i="72" a="1"/>
  <c r="N225" i="72" s="1"/>
  <c r="N309" i="72" s="1"/>
  <c r="U244" i="72"/>
  <c r="U328" i="72" s="1"/>
  <c r="AF224" i="72" a="1"/>
  <c r="AF224" i="72" s="1"/>
  <c r="AF308" i="72" s="1"/>
  <c r="H43" i="72" a="1"/>
  <c r="H43" i="72" s="1"/>
  <c r="AD75" i="72"/>
  <c r="AD159" i="72" s="1"/>
  <c r="AF47" i="72" a="1"/>
  <c r="AF47" i="72" s="1"/>
  <c r="AF131" i="72" s="1"/>
  <c r="L48" i="72" a="1"/>
  <c r="L48" i="72" s="1"/>
  <c r="L132" i="72" s="1"/>
  <c r="R45" i="72" a="1"/>
  <c r="R45" i="72" s="1"/>
  <c r="R129" i="72" s="1"/>
  <c r="R69" i="72"/>
  <c r="R153" i="72" s="1"/>
  <c r="I70" i="72"/>
  <c r="I154" i="72" s="1"/>
  <c r="W68" i="72"/>
  <c r="W152" i="72" s="1"/>
  <c r="J47" i="72" a="1"/>
  <c r="J47" i="72" s="1"/>
  <c r="J131" i="72" s="1"/>
  <c r="AB76" i="72"/>
  <c r="AB160" i="72" s="1"/>
  <c r="M243" i="72"/>
  <c r="M327" i="72" s="1"/>
  <c r="T398" i="72" a="1"/>
  <c r="T398" i="72" s="1"/>
  <c r="T482" i="72" s="1"/>
  <c r="W403" i="72" a="1"/>
  <c r="W403" i="72" s="1"/>
  <c r="W487" i="72" s="1"/>
  <c r="X239" i="72"/>
  <c r="AC220" i="72" a="1"/>
  <c r="AC220" i="72" s="1"/>
  <c r="AC304" i="72" s="1"/>
  <c r="AC221" i="72" a="1"/>
  <c r="AC221" i="72" s="1"/>
  <c r="AC305" i="72" s="1"/>
  <c r="K229" i="72" a="1"/>
  <c r="K229" i="72" s="1"/>
  <c r="K313" i="72" s="1"/>
  <c r="J228" i="72" a="1"/>
  <c r="J228" i="72" s="1"/>
  <c r="J312" i="72" s="1"/>
  <c r="AE47" i="72" a="1"/>
  <c r="AE47" i="72" s="1"/>
  <c r="AE131" i="72" s="1"/>
  <c r="AF50" i="72" a="1"/>
  <c r="AF50" i="72" s="1"/>
  <c r="AF134" i="72" s="1"/>
  <c r="AE54" i="72" a="1"/>
  <c r="AE54" i="72" s="1"/>
  <c r="AE138" i="72" s="1"/>
  <c r="H73" i="72"/>
  <c r="H157" i="72" s="1"/>
  <c r="J46" i="72" a="1"/>
  <c r="J46" i="72" s="1"/>
  <c r="J130" i="72" s="1"/>
  <c r="S76" i="72"/>
  <c r="S160" i="72" s="1"/>
  <c r="O66" i="72"/>
  <c r="O150" i="72" s="1"/>
  <c r="AB68" i="72"/>
  <c r="AB152" i="72" s="1"/>
  <c r="X53" i="72" a="1"/>
  <c r="X53" i="72" s="1"/>
  <c r="X137" i="72" s="1"/>
  <c r="X179" i="72" s="1"/>
  <c r="Y39" i="68" s="1"/>
  <c r="AC47" i="72" a="1"/>
  <c r="AC47" i="72" s="1"/>
  <c r="AC131" i="72" s="1"/>
  <c r="AG67" i="72"/>
  <c r="AG151" i="72" s="1"/>
  <c r="AG180" i="72"/>
  <c r="L76" i="72"/>
  <c r="L160" i="72" s="1"/>
  <c r="Z45" i="72" a="1"/>
  <c r="Z45" i="72" s="1"/>
  <c r="Z129" i="72" s="1"/>
  <c r="W55" i="72" a="1"/>
  <c r="W55" i="72" s="1"/>
  <c r="W139" i="72" s="1"/>
  <c r="W182" i="72" s="1"/>
  <c r="X41" i="68" s="1"/>
  <c r="M75" i="72"/>
  <c r="M159" i="72" s="1"/>
  <c r="Y66" i="72"/>
  <c r="Y150" i="72" s="1"/>
  <c r="S50" i="72" a="1"/>
  <c r="S50" i="72" s="1"/>
  <c r="S134" i="72" s="1"/>
  <c r="N71" i="72"/>
  <c r="N155" i="72" s="1"/>
  <c r="AD180" i="72"/>
  <c r="J69" i="72"/>
  <c r="J153" i="72" s="1"/>
  <c r="X66" i="72"/>
  <c r="X150" i="72" s="1"/>
  <c r="H51" i="72" a="1"/>
  <c r="H51" i="72" s="1"/>
  <c r="H135" i="72" s="1"/>
  <c r="S75" i="72"/>
  <c r="S159" i="72" s="1"/>
  <c r="I69" i="72"/>
  <c r="I153" i="72" s="1"/>
  <c r="W66" i="72"/>
  <c r="W150" i="72" s="1"/>
  <c r="Q50" i="72" a="1"/>
  <c r="Q50" i="72" s="1"/>
  <c r="Q134" i="72" s="1"/>
  <c r="K71" i="72"/>
  <c r="K155" i="72" s="1"/>
  <c r="AD70" i="72"/>
  <c r="AD154" i="72" s="1"/>
  <c r="X55" i="72" a="1"/>
  <c r="X55" i="72" s="1"/>
  <c r="X139" i="72" s="1"/>
  <c r="N49" i="72" a="1"/>
  <c r="N49" i="72" s="1"/>
  <c r="N133" i="72" s="1"/>
  <c r="L46" i="72" a="1"/>
  <c r="L46" i="72" s="1"/>
  <c r="L130" i="72" s="1"/>
  <c r="M49" i="72" a="1"/>
  <c r="M49" i="72" s="1"/>
  <c r="M133" i="72" s="1"/>
  <c r="AA46" i="72" a="1"/>
  <c r="AA46" i="72" s="1"/>
  <c r="AA130" i="72" s="1"/>
  <c r="AA52" i="72" a="1"/>
  <c r="AA52" i="72" s="1"/>
  <c r="AA136" i="72" s="1"/>
  <c r="S67" i="72"/>
  <c r="S151" i="72" s="1"/>
  <c r="P241" i="72"/>
  <c r="P325" i="72" s="1"/>
  <c r="L401" i="72" a="1"/>
  <c r="L401" i="72" s="1"/>
  <c r="L485" i="72" s="1"/>
  <c r="AE239" i="72"/>
  <c r="N221" i="72" a="1"/>
  <c r="N221" i="72" s="1"/>
  <c r="N305" i="72" s="1"/>
  <c r="AC225" i="72" a="1"/>
  <c r="AC225" i="72" s="1"/>
  <c r="AC309" i="72" s="1"/>
  <c r="Z249" i="72"/>
  <c r="Z333" i="72" s="1"/>
  <c r="AF45" i="72" a="1"/>
  <c r="AF45" i="72" s="1"/>
  <c r="AF129" i="72" s="1"/>
  <c r="AF171" i="72" s="1"/>
  <c r="AG31" i="68" s="1"/>
  <c r="AE75" i="72"/>
  <c r="AE159" i="72" s="1"/>
  <c r="H70" i="72"/>
  <c r="H154" i="72" s="1"/>
  <c r="X54" i="72" a="1"/>
  <c r="X54" i="72" s="1"/>
  <c r="X138" i="72" s="1"/>
  <c r="Q66" i="72"/>
  <c r="Q150" i="72" s="1"/>
  <c r="X43" i="72" a="1"/>
  <c r="X43" i="72" s="1"/>
  <c r="AD55" i="72" a="1"/>
  <c r="AD55" i="72" s="1"/>
  <c r="AD139" i="72" s="1"/>
  <c r="H53" i="72" a="1"/>
  <c r="H53" i="72" s="1"/>
  <c r="H137" i="72" s="1"/>
  <c r="AC68" i="72"/>
  <c r="AC152" i="72" s="1"/>
  <c r="AG46" i="72" a="1"/>
  <c r="AG46" i="72" s="1"/>
  <c r="AG130" i="72" s="1"/>
  <c r="L55" i="72" a="1"/>
  <c r="L55" i="72" s="1"/>
  <c r="L139" i="72" s="1"/>
  <c r="AD48" i="72" a="1"/>
  <c r="AD48" i="72" s="1"/>
  <c r="AD132" i="72" s="1"/>
  <c r="R50" i="72" a="1"/>
  <c r="R50" i="72" s="1"/>
  <c r="R134" i="72" s="1"/>
  <c r="W45" i="72" a="1"/>
  <c r="W45" i="72" s="1"/>
  <c r="W129" i="72" s="1"/>
  <c r="X69" i="72"/>
  <c r="X153" i="72" s="1"/>
  <c r="K52" i="72" a="1"/>
  <c r="K52" i="72" s="1"/>
  <c r="K136" i="72" s="1"/>
  <c r="I71" i="72"/>
  <c r="I155" i="72" s="1"/>
  <c r="U64" i="72"/>
  <c r="V55" i="72" a="1"/>
  <c r="V55" i="72" s="1"/>
  <c r="V139" i="72" s="1"/>
  <c r="V182" i="72" s="1"/>
  <c r="W41" i="68" s="1"/>
  <c r="AE46" i="72" a="1"/>
  <c r="AE46" i="72" s="1"/>
  <c r="AE130" i="72" s="1"/>
  <c r="AF418" i="72"/>
  <c r="AF502" i="72" s="1"/>
  <c r="AF220" i="72" a="1"/>
  <c r="AF220" i="72" s="1"/>
  <c r="AF304" i="72" s="1"/>
  <c r="AG220" i="72" a="1"/>
  <c r="AG220" i="72" s="1"/>
  <c r="AG304" i="72" s="1"/>
  <c r="H228" i="72" a="1"/>
  <c r="H228" i="72" s="1"/>
  <c r="H312" i="72" s="1"/>
  <c r="L52" i="72" a="1"/>
  <c r="L52" i="72" s="1"/>
  <c r="L136" i="72" s="1"/>
  <c r="P69" i="72"/>
  <c r="P153" i="72" s="1"/>
  <c r="P47" i="72" a="1"/>
  <c r="P47" i="72" s="1"/>
  <c r="P131" i="72" s="1"/>
  <c r="M43" i="72" a="1"/>
  <c r="M43" i="72" s="1"/>
  <c r="N55" i="72" a="1"/>
  <c r="N55" i="72" s="1"/>
  <c r="N139" i="72" s="1"/>
  <c r="V50" i="72" a="1"/>
  <c r="V50" i="72" s="1"/>
  <c r="V134" i="72" s="1"/>
  <c r="AG76" i="72"/>
  <c r="AG160" i="72" s="1"/>
  <c r="Q46" i="72" a="1"/>
  <c r="Q46" i="72" s="1"/>
  <c r="Q130" i="72" s="1"/>
  <c r="Z64" i="72"/>
  <c r="V54" i="72" a="1"/>
  <c r="V54" i="72" s="1"/>
  <c r="V138" i="72" s="1"/>
  <c r="J45" i="72" a="1"/>
  <c r="J45" i="72" s="1"/>
  <c r="J129" i="72" s="1"/>
  <c r="I66" i="72"/>
  <c r="I150" i="72" s="1"/>
  <c r="AF46" i="72" a="1"/>
  <c r="AF46" i="72" s="1"/>
  <c r="AF130" i="72" s="1"/>
  <c r="AF70" i="72"/>
  <c r="AF154" i="72" s="1"/>
  <c r="T68" i="72"/>
  <c r="T152" i="72" s="1"/>
  <c r="I43" i="72" a="1"/>
  <c r="I43" i="72" s="1"/>
  <c r="AB48" i="72" a="1"/>
  <c r="AB48" i="72" s="1"/>
  <c r="AB132" i="72" s="1"/>
  <c r="AA54" i="72" a="1"/>
  <c r="AA54" i="72" s="1"/>
  <c r="AA138" i="72" s="1"/>
  <c r="AE70" i="72"/>
  <c r="AE154" i="72" s="1"/>
  <c r="S68" i="72"/>
  <c r="S152" i="72" s="1"/>
  <c r="Y46" i="72" a="1"/>
  <c r="Y46" i="72" s="1"/>
  <c r="Y130" i="72" s="1"/>
  <c r="R68" i="72"/>
  <c r="R152" i="72" s="1"/>
  <c r="X70" i="72"/>
  <c r="X154" i="72" s="1"/>
  <c r="R54" i="72" a="1"/>
  <c r="R54" i="72" s="1"/>
  <c r="R138" i="72" s="1"/>
  <c r="X48" i="72" a="1"/>
  <c r="X48" i="72" s="1"/>
  <c r="X132" i="72" s="1"/>
  <c r="AG54" i="72" a="1"/>
  <c r="AG54" i="72" s="1"/>
  <c r="AG138" i="72" s="1"/>
  <c r="W48" i="72" a="1"/>
  <c r="W48" i="72" s="1"/>
  <c r="W132" i="72" s="1"/>
  <c r="K46" i="72" a="1"/>
  <c r="K46" i="72" s="1"/>
  <c r="K130" i="72" s="1"/>
  <c r="AE50" i="72" a="1"/>
  <c r="AE50" i="72" s="1"/>
  <c r="AE134" i="72" s="1"/>
  <c r="AF397" i="72" a="1"/>
  <c r="AF397" i="72" s="1"/>
  <c r="AF481" i="72" s="1"/>
  <c r="AD218" i="72" a="1"/>
  <c r="AD218" i="72" s="1"/>
  <c r="S221" i="72" a="1"/>
  <c r="S221" i="72" s="1"/>
  <c r="S305" i="72" s="1"/>
  <c r="T221" i="72" a="1"/>
  <c r="T221" i="72" s="1"/>
  <c r="T305" i="72" s="1"/>
  <c r="H249" i="72"/>
  <c r="H333" i="72" s="1"/>
  <c r="S48" i="72" a="1"/>
  <c r="S48" i="72" s="1"/>
  <c r="S132" i="72" s="1"/>
  <c r="AA55" i="72" a="1"/>
  <c r="AA55" i="72" s="1"/>
  <c r="AA139" i="72" s="1"/>
  <c r="AE49" i="72" a="1"/>
  <c r="AE49" i="72" s="1"/>
  <c r="AE133" i="72" s="1"/>
  <c r="U66" i="72"/>
  <c r="U150" i="72" s="1"/>
  <c r="I51" i="72" a="1"/>
  <c r="I51" i="72" s="1"/>
  <c r="I135" i="72" s="1"/>
  <c r="AF51" i="72" a="1"/>
  <c r="AF51" i="72" s="1"/>
  <c r="AF135" i="72" s="1"/>
  <c r="L51" i="72" a="1"/>
  <c r="L51" i="72" s="1"/>
  <c r="L135" i="72" s="1"/>
  <c r="AB72" i="72"/>
  <c r="AB156" i="72" s="1"/>
  <c r="U51" i="72" a="1"/>
  <c r="U51" i="72" s="1"/>
  <c r="U135" i="72" s="1"/>
  <c r="Y51" i="72" a="1"/>
  <c r="Y51" i="72" s="1"/>
  <c r="Y135" i="72" s="1"/>
  <c r="S72" i="72"/>
  <c r="S156" i="72" s="1"/>
  <c r="Q72" i="72"/>
  <c r="Q156" i="72" s="1"/>
  <c r="P72" i="72"/>
  <c r="P156" i="72" s="1"/>
  <c r="N72" i="72"/>
  <c r="N156" i="72" s="1"/>
  <c r="AA72" i="72"/>
  <c r="AA156" i="72" s="1"/>
  <c r="AB51" i="72" a="1"/>
  <c r="AB51" i="72" s="1"/>
  <c r="AB135" i="72" s="1"/>
  <c r="W72" i="72"/>
  <c r="W156" i="72" s="1"/>
  <c r="O51" i="72" a="1"/>
  <c r="O51" i="72" s="1"/>
  <c r="O135" i="72" s="1"/>
  <c r="S51" i="72" a="1"/>
  <c r="S51" i="72" s="1"/>
  <c r="S135" i="72" s="1"/>
  <c r="Q51" i="72" a="1"/>
  <c r="Q51" i="72" s="1"/>
  <c r="Q135" i="72" s="1"/>
  <c r="P51" i="72" a="1"/>
  <c r="P51" i="72" s="1"/>
  <c r="P135" i="72" s="1"/>
  <c r="AE72" i="72"/>
  <c r="AE156" i="72" s="1"/>
  <c r="N51" i="72" a="1"/>
  <c r="N51" i="72" s="1"/>
  <c r="N135" i="72" s="1"/>
  <c r="AA51" i="72" a="1"/>
  <c r="AA51" i="72" s="1"/>
  <c r="AA135" i="72" s="1"/>
  <c r="Z72" i="72"/>
  <c r="Z156" i="72" s="1"/>
  <c r="W51" i="72" a="1"/>
  <c r="W51" i="72" s="1"/>
  <c r="W135" i="72" s="1"/>
  <c r="AG51" i="72" a="1"/>
  <c r="AG51" i="72" s="1"/>
  <c r="AG135" i="72" s="1"/>
  <c r="X72" i="72"/>
  <c r="X156" i="72" s="1"/>
  <c r="R51" i="72" a="1"/>
  <c r="R51" i="72" s="1"/>
  <c r="R135" i="72" s="1"/>
  <c r="AE51" i="72" a="1"/>
  <c r="AE51" i="72" s="1"/>
  <c r="AE135" i="72" s="1"/>
  <c r="AC72" i="72"/>
  <c r="AC156" i="72" s="1"/>
  <c r="K72" i="72"/>
  <c r="K156" i="72" s="1"/>
  <c r="J72" i="72"/>
  <c r="J156" i="72" s="1"/>
  <c r="Z51" i="72" a="1"/>
  <c r="Z51" i="72" s="1"/>
  <c r="Z135" i="72" s="1"/>
  <c r="O72" i="72"/>
  <c r="O156" i="72" s="1"/>
  <c r="AG72" i="72"/>
  <c r="AG156" i="72" s="1"/>
  <c r="AC51" i="72" a="1"/>
  <c r="AC51" i="72" s="1"/>
  <c r="AC135" i="72" s="1"/>
  <c r="K51" i="72" a="1"/>
  <c r="K51" i="72" s="1"/>
  <c r="K135" i="72" s="1"/>
  <c r="J51" i="72" a="1"/>
  <c r="J51" i="72" s="1"/>
  <c r="J135" i="72" s="1"/>
  <c r="M51" i="72" a="1"/>
  <c r="M51" i="72" s="1"/>
  <c r="M135" i="72" s="1"/>
  <c r="I72" i="72"/>
  <c r="I156" i="72" s="1"/>
  <c r="AF72" i="72"/>
  <c r="AF156" i="72" s="1"/>
  <c r="R72" i="72"/>
  <c r="R156" i="72" s="1"/>
  <c r="L72" i="72"/>
  <c r="L156" i="72" s="1"/>
  <c r="V51" i="72" a="1"/>
  <c r="V51" i="72" s="1"/>
  <c r="V135" i="72" s="1"/>
  <c r="U72" i="72"/>
  <c r="U156" i="72" s="1"/>
  <c r="T72" i="72"/>
  <c r="T156" i="72" s="1"/>
  <c r="AD72" i="72"/>
  <c r="AD156" i="72" s="1"/>
  <c r="M72" i="72"/>
  <c r="M156" i="72" s="1"/>
  <c r="Y72" i="72"/>
  <c r="Y156" i="72" s="1"/>
  <c r="T51" i="72" a="1"/>
  <c r="T51" i="72" s="1"/>
  <c r="T135" i="72" s="1"/>
  <c r="AD51" i="72" a="1"/>
  <c r="AD51" i="72" s="1"/>
  <c r="AD135" i="72" s="1"/>
  <c r="X51" i="72" a="1"/>
  <c r="X51" i="72" s="1"/>
  <c r="X135" i="72" s="1"/>
  <c r="V72" i="72"/>
  <c r="V156" i="72" s="1"/>
  <c r="R226" i="72" a="1"/>
  <c r="R226" i="72" s="1"/>
  <c r="R310" i="72" s="1"/>
  <c r="P399" i="72" a="1"/>
  <c r="P399" i="72" s="1"/>
  <c r="P483" i="72" s="1"/>
  <c r="AD248" i="72"/>
  <c r="AD332" i="72" s="1"/>
  <c r="N421" i="72"/>
  <c r="N505" i="72" s="1"/>
  <c r="Z399" i="72" a="1"/>
  <c r="Z399" i="72" s="1"/>
  <c r="Z483" i="72" s="1"/>
  <c r="AD400" i="72" a="1"/>
  <c r="AD400" i="72" s="1"/>
  <c r="AD484" i="72" s="1"/>
  <c r="Y399" i="72" a="1"/>
  <c r="Y399" i="72" s="1"/>
  <c r="Y483" i="72" s="1"/>
  <c r="L421" i="72"/>
  <c r="L505" i="72" s="1"/>
  <c r="O248" i="72"/>
  <c r="O332" i="72" s="1"/>
  <c r="Z421" i="72"/>
  <c r="Z505" i="72" s="1"/>
  <c r="K420" i="72"/>
  <c r="K504" i="72" s="1"/>
  <c r="L227" i="72" a="1"/>
  <c r="L227" i="72" s="1"/>
  <c r="L311" i="72" s="1"/>
  <c r="AC247" i="72"/>
  <c r="AC331" i="72" s="1"/>
  <c r="T399" i="72" a="1"/>
  <c r="T399" i="72" s="1"/>
  <c r="T483" i="72" s="1"/>
  <c r="W226" i="72" a="1"/>
  <c r="W226" i="72" s="1"/>
  <c r="W310" i="72" s="1"/>
  <c r="I248" i="72"/>
  <c r="I332" i="72" s="1"/>
  <c r="AF226" i="72" a="1"/>
  <c r="AF226" i="72" s="1"/>
  <c r="AF310" i="72" s="1"/>
  <c r="AF400" i="72" a="1"/>
  <c r="AF400" i="72" s="1"/>
  <c r="AF484" i="72" s="1"/>
  <c r="Q227" i="72" a="1"/>
  <c r="Q227" i="72" s="1"/>
  <c r="Q311" i="72" s="1"/>
  <c r="Z226" i="72" a="1"/>
  <c r="Z226" i="72" s="1"/>
  <c r="Z310" i="72" s="1"/>
  <c r="K248" i="72"/>
  <c r="K332" i="72" s="1"/>
  <c r="Q420" i="72"/>
  <c r="Q504" i="72" s="1"/>
  <c r="X420" i="72"/>
  <c r="X504" i="72" s="1"/>
  <c r="AG248" i="72"/>
  <c r="AG332" i="72" s="1"/>
  <c r="AA227" i="72" a="1"/>
  <c r="AA227" i="72" s="1"/>
  <c r="AA311" i="72" s="1"/>
  <c r="Q247" i="72"/>
  <c r="Q331" i="72" s="1"/>
  <c r="T248" i="72"/>
  <c r="T332" i="72" s="1"/>
  <c r="J421" i="72"/>
  <c r="J505" i="72" s="1"/>
  <c r="N400" i="72" a="1"/>
  <c r="N400" i="72" s="1"/>
  <c r="N484" i="72" s="1"/>
  <c r="R227" i="72" a="1"/>
  <c r="R227" i="72" s="1"/>
  <c r="R311" i="72" s="1"/>
  <c r="I420" i="72"/>
  <c r="I504" i="72" s="1"/>
  <c r="AA247" i="72"/>
  <c r="AA331" i="72" s="1"/>
  <c r="V248" i="72"/>
  <c r="V332" i="72" s="1"/>
  <c r="L400" i="72" a="1"/>
  <c r="L400" i="72" s="1"/>
  <c r="L484" i="72" s="1"/>
  <c r="O227" i="72" a="1"/>
  <c r="O227" i="72" s="1"/>
  <c r="O311" i="72" s="1"/>
  <c r="Z400" i="72" a="1"/>
  <c r="Z400" i="72" s="1"/>
  <c r="Z484" i="72" s="1"/>
  <c r="K399" i="72" a="1"/>
  <c r="K399" i="72" s="1"/>
  <c r="K483" i="72" s="1"/>
  <c r="L248" i="72"/>
  <c r="L332" i="72" s="1"/>
  <c r="AC226" i="72" a="1"/>
  <c r="AC226" i="72" s="1"/>
  <c r="AC310" i="72" s="1"/>
  <c r="P421" i="72"/>
  <c r="P505" i="72" s="1"/>
  <c r="AA420" i="72"/>
  <c r="AA504" i="72" s="1"/>
  <c r="AB248" i="72"/>
  <c r="AB332" i="72" s="1"/>
  <c r="V247" i="72"/>
  <c r="V331" i="72" s="1"/>
  <c r="Y421" i="72"/>
  <c r="Y505" i="72" s="1"/>
  <c r="M227" i="72" a="1"/>
  <c r="M227" i="72" s="1"/>
  <c r="M311" i="72" s="1"/>
  <c r="N420" i="72"/>
  <c r="N504" i="72" s="1"/>
  <c r="Q399" i="72" a="1"/>
  <c r="Q399" i="72" s="1"/>
  <c r="Q483" i="72" s="1"/>
  <c r="X399" i="72" a="1"/>
  <c r="X399" i="72" s="1"/>
  <c r="X483" i="72" s="1"/>
  <c r="AG227" i="72" a="1"/>
  <c r="AG227" i="72" s="1"/>
  <c r="AG311" i="72" s="1"/>
  <c r="K421" i="72"/>
  <c r="K505" i="72" s="1"/>
  <c r="AE421" i="72"/>
  <c r="AE505" i="72" s="1"/>
  <c r="L399" i="72" a="1"/>
  <c r="L399" i="72" s="1"/>
  <c r="L483" i="72" s="1"/>
  <c r="Q226" i="72" a="1"/>
  <c r="Q226" i="72" s="1"/>
  <c r="Q310" i="72" s="1"/>
  <c r="T227" i="72" a="1"/>
  <c r="T227" i="72" s="1"/>
  <c r="T311" i="72" s="1"/>
  <c r="J400" i="72" a="1"/>
  <c r="J400" i="72" s="1"/>
  <c r="J484" i="72" s="1"/>
  <c r="S420" i="72"/>
  <c r="S504" i="72" s="1"/>
  <c r="O420" i="72"/>
  <c r="O504" i="72" s="1"/>
  <c r="N247" i="72"/>
  <c r="N331" i="72" s="1"/>
  <c r="R248" i="72"/>
  <c r="R332" i="72" s="1"/>
  <c r="I399" i="72" a="1"/>
  <c r="I399" i="72" s="1"/>
  <c r="I483" i="72" s="1"/>
  <c r="AA226" i="72" a="1"/>
  <c r="AA226" i="72" s="1"/>
  <c r="AA310" i="72" s="1"/>
  <c r="V227" i="72" a="1"/>
  <c r="V227" i="72" s="1"/>
  <c r="V311" i="72" s="1"/>
  <c r="AC399" i="72" a="1"/>
  <c r="AC399" i="72" s="1"/>
  <c r="AC483" i="72" s="1"/>
  <c r="T421" i="72"/>
  <c r="T505" i="72" s="1"/>
  <c r="Y247" i="72"/>
  <c r="Y331" i="72" s="1"/>
  <c r="AE248" i="72"/>
  <c r="AE332" i="72" s="1"/>
  <c r="P400" i="72" a="1"/>
  <c r="P400" i="72" s="1"/>
  <c r="P484" i="72" s="1"/>
  <c r="AA399" i="72" a="1"/>
  <c r="AA399" i="72" s="1"/>
  <c r="AA483" i="72" s="1"/>
  <c r="AB227" i="72" a="1"/>
  <c r="AB227" i="72" s="1"/>
  <c r="AB311" i="72" s="1"/>
  <c r="V226" i="72" a="1"/>
  <c r="V226" i="72" s="1"/>
  <c r="V310" i="72" s="1"/>
  <c r="Y400" i="72" a="1"/>
  <c r="Y400" i="72" s="1"/>
  <c r="Y484" i="72" s="1"/>
  <c r="M248" i="72"/>
  <c r="M332" i="72" s="1"/>
  <c r="N399" i="72" a="1"/>
  <c r="N399" i="72" s="1"/>
  <c r="N483" i="72" s="1"/>
  <c r="AB420" i="72"/>
  <c r="AB504" i="72" s="1"/>
  <c r="O421" i="72"/>
  <c r="O505" i="72" s="1"/>
  <c r="K400" i="72" a="1"/>
  <c r="K400" i="72" s="1"/>
  <c r="K484" i="72" s="1"/>
  <c r="AE400" i="72" a="1"/>
  <c r="AE400" i="72" s="1"/>
  <c r="AE484" i="72" s="1"/>
  <c r="L420" i="72"/>
  <c r="L504" i="72" s="1"/>
  <c r="Q400" i="72" a="1"/>
  <c r="Q400" i="72" s="1"/>
  <c r="Q484" i="72" s="1"/>
  <c r="X226" i="72" a="1"/>
  <c r="X226" i="72" s="1"/>
  <c r="X310" i="72" s="1"/>
  <c r="W227" i="72" a="1"/>
  <c r="W227" i="72" s="1"/>
  <c r="W311" i="72" s="1"/>
  <c r="AG247" i="72"/>
  <c r="AG331" i="72" s="1"/>
  <c r="N227" i="72" a="1"/>
  <c r="N227" i="72" s="1"/>
  <c r="N311" i="72" s="1"/>
  <c r="S399" i="72" a="1"/>
  <c r="S399" i="72" s="1"/>
  <c r="S483" i="72" s="1"/>
  <c r="O399" i="72" a="1"/>
  <c r="O399" i="72" s="1"/>
  <c r="O483" i="72" s="1"/>
  <c r="N226" i="72" a="1"/>
  <c r="N226" i="72" s="1"/>
  <c r="N310" i="72" s="1"/>
  <c r="AD247" i="72"/>
  <c r="AD331" i="72" s="1"/>
  <c r="AC420" i="72"/>
  <c r="AC504" i="72" s="1"/>
  <c r="T400" i="72" a="1"/>
  <c r="T400" i="72" s="1"/>
  <c r="T484" i="72" s="1"/>
  <c r="Y226" i="72" a="1"/>
  <c r="Y226" i="72" s="1"/>
  <c r="Y310" i="72" s="1"/>
  <c r="AE227" i="72" a="1"/>
  <c r="AE227" i="72" s="1"/>
  <c r="AE311" i="72" s="1"/>
  <c r="R399" i="72" a="1"/>
  <c r="R399" i="72" s="1"/>
  <c r="R483" i="72" s="1"/>
  <c r="AG399" i="72" a="1"/>
  <c r="AG399" i="72" s="1"/>
  <c r="AG483" i="72" s="1"/>
  <c r="S247" i="72"/>
  <c r="S331" i="72" s="1"/>
  <c r="AB399" i="72" a="1"/>
  <c r="AB399" i="72" s="1"/>
  <c r="AB483" i="72" s="1"/>
  <c r="O400" i="72" a="1"/>
  <c r="O400" i="72" s="1"/>
  <c r="O484" i="72" s="1"/>
  <c r="Z62" i="72" a="1"/>
  <c r="Z62" i="72" s="1"/>
  <c r="Z146" i="72" s="1"/>
  <c r="Z83" i="72"/>
  <c r="Z167" i="72" s="1"/>
  <c r="Q421" i="72"/>
  <c r="Q505" i="72" s="1"/>
  <c r="X247" i="72"/>
  <c r="X331" i="72" s="1"/>
  <c r="W248" i="72"/>
  <c r="W332" i="72" s="1"/>
  <c r="AG226" i="72" a="1"/>
  <c r="AG226" i="72" s="1"/>
  <c r="AG310" i="72" s="1"/>
  <c r="N248" i="72"/>
  <c r="N332" i="72" s="1"/>
  <c r="K247" i="72"/>
  <c r="K331" i="72" s="1"/>
  <c r="AD226" i="72" a="1"/>
  <c r="AD226" i="72" s="1"/>
  <c r="AD310" i="72" s="1"/>
  <c r="P248" i="72"/>
  <c r="P332" i="72" s="1"/>
  <c r="M400" i="72" a="1"/>
  <c r="M400" i="72" s="1"/>
  <c r="M484" i="72" s="1"/>
  <c r="U248" i="72"/>
  <c r="U332" i="72" s="1"/>
  <c r="S248" i="72"/>
  <c r="S332" i="72" s="1"/>
  <c r="AC421" i="72"/>
  <c r="AC505" i="72" s="1"/>
  <c r="AD420" i="72"/>
  <c r="AD504" i="72" s="1"/>
  <c r="R420" i="72"/>
  <c r="R504" i="72" s="1"/>
  <c r="AG420" i="72"/>
  <c r="AG504" i="72" s="1"/>
  <c r="S226" i="72" a="1"/>
  <c r="S226" i="72" s="1"/>
  <c r="S310" i="72" s="1"/>
  <c r="X248" i="72"/>
  <c r="X332" i="72" s="1"/>
  <c r="J227" i="72" a="1"/>
  <c r="J227" i="72" s="1"/>
  <c r="J311" i="72" s="1"/>
  <c r="R237" i="72" a="1"/>
  <c r="R237" i="72" s="1"/>
  <c r="R321" i="72" s="1"/>
  <c r="AA431" i="72"/>
  <c r="AA515" i="72" s="1"/>
  <c r="AA421" i="72"/>
  <c r="AA505" i="72" s="1"/>
  <c r="W400" i="72" a="1"/>
  <c r="W400" i="72" s="1"/>
  <c r="W484" i="72" s="1"/>
  <c r="AE247" i="72"/>
  <c r="AE331" i="72" s="1"/>
  <c r="K226" i="72" a="1"/>
  <c r="K226" i="72" s="1"/>
  <c r="K310" i="72" s="1"/>
  <c r="U247" i="72"/>
  <c r="U331" i="72" s="1"/>
  <c r="M420" i="72"/>
  <c r="M504" i="72" s="1"/>
  <c r="T247" i="72"/>
  <c r="T331" i="72" s="1"/>
  <c r="AE420" i="72"/>
  <c r="AE504" i="72" s="1"/>
  <c r="P227" i="72" a="1"/>
  <c r="P227" i="72" s="1"/>
  <c r="P311" i="72" s="1"/>
  <c r="M421" i="72"/>
  <c r="M505" i="72" s="1"/>
  <c r="U227" i="72" a="1"/>
  <c r="U227" i="72" s="1"/>
  <c r="U311" i="72" s="1"/>
  <c r="S227" i="72" a="1"/>
  <c r="S227" i="72" s="1"/>
  <c r="S311" i="72" s="1"/>
  <c r="R247" i="72"/>
  <c r="R331" i="72" s="1"/>
  <c r="P420" i="72"/>
  <c r="P504" i="72" s="1"/>
  <c r="AD227" i="72" a="1"/>
  <c r="AD227" i="72" s="1"/>
  <c r="AD311" i="72" s="1"/>
  <c r="U400" i="72" a="1"/>
  <c r="U400" i="72" s="1"/>
  <c r="U484" i="72" s="1"/>
  <c r="J247" i="72"/>
  <c r="J331" i="72" s="1"/>
  <c r="AG400" i="72" a="1"/>
  <c r="AG400" i="72" s="1"/>
  <c r="AG484" i="72" s="1"/>
  <c r="AF399" i="72" a="1"/>
  <c r="AF399" i="72" s="1"/>
  <c r="AF483" i="72" s="1"/>
  <c r="Z420" i="72"/>
  <c r="Z504" i="72" s="1"/>
  <c r="AD421" i="72"/>
  <c r="AD505" i="72" s="1"/>
  <c r="Y420" i="72"/>
  <c r="Y504" i="72" s="1"/>
  <c r="S400" i="72" a="1"/>
  <c r="S400" i="72" s="1"/>
  <c r="S484" i="72" s="1"/>
  <c r="Y227" i="72" a="1"/>
  <c r="Y227" i="72" s="1"/>
  <c r="Y311" i="72" s="1"/>
  <c r="V399" i="72" a="1"/>
  <c r="V399" i="72" s="1"/>
  <c r="V483" i="72" s="1"/>
  <c r="R421" i="72"/>
  <c r="R505" i="72" s="1"/>
  <c r="M247" i="72"/>
  <c r="M331" i="72" s="1"/>
  <c r="AB400" i="72" a="1"/>
  <c r="AB400" i="72" s="1"/>
  <c r="AB484" i="72" s="1"/>
  <c r="AF227" i="72" a="1"/>
  <c r="AF227" i="72" s="1"/>
  <c r="AF311" i="72" s="1"/>
  <c r="P226" i="72" a="1"/>
  <c r="P226" i="72" s="1"/>
  <c r="P310" i="72" s="1"/>
  <c r="L226" i="72" a="1"/>
  <c r="L226" i="72" s="1"/>
  <c r="L310" i="72" s="1"/>
  <c r="T420" i="72"/>
  <c r="T504" i="72" s="1"/>
  <c r="W247" i="72"/>
  <c r="W331" i="72" s="1"/>
  <c r="I227" i="72" a="1"/>
  <c r="I227" i="72" s="1"/>
  <c r="I311" i="72" s="1"/>
  <c r="AF247" i="72"/>
  <c r="AF331" i="72" s="1"/>
  <c r="V400" i="72" a="1"/>
  <c r="V400" i="72" s="1"/>
  <c r="V484" i="72" s="1"/>
  <c r="AB226" i="72" a="1"/>
  <c r="AB226" i="72" s="1"/>
  <c r="AB310" i="72" s="1"/>
  <c r="AF421" i="72"/>
  <c r="AF505" i="72" s="1"/>
  <c r="Q248" i="72"/>
  <c r="Q332" i="72" s="1"/>
  <c r="Z247" i="72"/>
  <c r="Z331" i="72" s="1"/>
  <c r="W420" i="72"/>
  <c r="W504" i="72" s="1"/>
  <c r="K227" i="72" a="1"/>
  <c r="K227" i="72" s="1"/>
  <c r="K311" i="72" s="1"/>
  <c r="Z227" i="72" a="1"/>
  <c r="Z227" i="72" s="1"/>
  <c r="Z311" i="72" s="1"/>
  <c r="AC227" i="72" a="1"/>
  <c r="AC227" i="72" s="1"/>
  <c r="AC311" i="72" s="1"/>
  <c r="AA248" i="72"/>
  <c r="AA332" i="72" s="1"/>
  <c r="J226" i="72" a="1"/>
  <c r="J226" i="72" s="1"/>
  <c r="J310" i="72" s="1"/>
  <c r="V420" i="72"/>
  <c r="V504" i="72" s="1"/>
  <c r="U399" i="72" a="1"/>
  <c r="U399" i="72" s="1"/>
  <c r="U483" i="72" s="1"/>
  <c r="W421" i="72"/>
  <c r="W505" i="72" s="1"/>
  <c r="AG421" i="72"/>
  <c r="AG505" i="72" s="1"/>
  <c r="U420" i="72"/>
  <c r="U504" i="72" s="1"/>
  <c r="J420" i="72"/>
  <c r="J504" i="72" s="1"/>
  <c r="AE226" i="72" a="1"/>
  <c r="AE226" i="72" s="1"/>
  <c r="AE310" i="72" s="1"/>
  <c r="R400" i="72" a="1"/>
  <c r="R400" i="72" s="1"/>
  <c r="R484" i="72" s="1"/>
  <c r="P247" i="72"/>
  <c r="P331" i="72" s="1"/>
  <c r="L247" i="72"/>
  <c r="L331" i="72" s="1"/>
  <c r="J399" i="72" a="1"/>
  <c r="J399" i="72" s="1"/>
  <c r="J483" i="72" s="1"/>
  <c r="X227" i="72" a="1"/>
  <c r="X227" i="72" s="1"/>
  <c r="X311" i="72" s="1"/>
  <c r="O247" i="72"/>
  <c r="O331" i="72" s="1"/>
  <c r="AD399" i="72" a="1"/>
  <c r="AD399" i="72" s="1"/>
  <c r="AD483" i="72" s="1"/>
  <c r="AF420" i="72"/>
  <c r="AF504" i="72" s="1"/>
  <c r="T226" i="72" a="1"/>
  <c r="T226" i="72" s="1"/>
  <c r="T310" i="72" s="1"/>
  <c r="M226" i="72" a="1"/>
  <c r="M226" i="72" s="1"/>
  <c r="M310" i="72" s="1"/>
  <c r="AC400" i="72" a="1"/>
  <c r="AC400" i="72" s="1"/>
  <c r="AC484" i="72" s="1"/>
  <c r="I247" i="72"/>
  <c r="I331" i="72" s="1"/>
  <c r="O226" i="72" a="1"/>
  <c r="O226" i="72" s="1"/>
  <c r="O310" i="72" s="1"/>
  <c r="AB247" i="72"/>
  <c r="AB331" i="72" s="1"/>
  <c r="S421" i="72"/>
  <c r="S505" i="72" s="1"/>
  <c r="AB421" i="72"/>
  <c r="AB505" i="72" s="1"/>
  <c r="I226" i="72" a="1"/>
  <c r="I226" i="72" s="1"/>
  <c r="I310" i="72" s="1"/>
  <c r="U421" i="72"/>
  <c r="U505" i="72" s="1"/>
  <c r="AE399" i="72" a="1"/>
  <c r="AE399" i="72" s="1"/>
  <c r="AE483" i="72" s="1"/>
  <c r="V421" i="72"/>
  <c r="V505" i="72" s="1"/>
  <c r="W399" i="72" a="1"/>
  <c r="W399" i="72" s="1"/>
  <c r="W483" i="72" s="1"/>
  <c r="X421" i="72"/>
  <c r="X505" i="72" s="1"/>
  <c r="Z248" i="72"/>
  <c r="Z332" i="72" s="1"/>
  <c r="Y248" i="72"/>
  <c r="Y332" i="72" s="1"/>
  <c r="AA400" i="72" a="1"/>
  <c r="AA400" i="72" s="1"/>
  <c r="AA484" i="72" s="1"/>
  <c r="U226" i="72" a="1"/>
  <c r="U226" i="72" s="1"/>
  <c r="U310" i="72" s="1"/>
  <c r="AF248" i="72"/>
  <c r="AF332" i="72" s="1"/>
  <c r="X400" i="72" a="1"/>
  <c r="X400" i="72" s="1"/>
  <c r="X484" i="72" s="1"/>
  <c r="J248" i="72"/>
  <c r="J332" i="72" s="1"/>
  <c r="AC248" i="72"/>
  <c r="AC332" i="72" s="1"/>
  <c r="M399" i="72" a="1"/>
  <c r="M399" i="72" s="1"/>
  <c r="M483" i="72" s="1"/>
  <c r="X258" i="72"/>
  <c r="X342" i="72" s="1"/>
  <c r="J429" i="72"/>
  <c r="J513" i="72" s="1"/>
  <c r="V425" i="72"/>
  <c r="V509" i="72" s="1"/>
  <c r="P426" i="72"/>
  <c r="P510" i="72" s="1"/>
  <c r="H407" i="72" a="1"/>
  <c r="H407" i="72" s="1"/>
  <c r="H491" i="72" s="1"/>
  <c r="Z82" i="72"/>
  <c r="Z166" i="72" s="1"/>
  <c r="X81" i="72"/>
  <c r="X165" i="72" s="1"/>
  <c r="I231" i="72" a="1"/>
  <c r="I231" i="72" s="1"/>
  <c r="I315" i="72" s="1"/>
  <c r="R392" i="72" a="1"/>
  <c r="R392" i="72" s="1"/>
  <c r="R476" i="72" s="1"/>
  <c r="T79" i="72"/>
  <c r="T163" i="72" s="1"/>
  <c r="AA409" i="72" a="1"/>
  <c r="AA409" i="72" s="1"/>
  <c r="AA493" i="72" s="1"/>
  <c r="O408" i="72" a="1"/>
  <c r="O408" i="72" s="1"/>
  <c r="O492" i="72" s="1"/>
  <c r="K413" i="72"/>
  <c r="K497" i="72" s="1"/>
  <c r="U427" i="72"/>
  <c r="U511" i="72" s="1"/>
  <c r="Q253" i="72"/>
  <c r="Q337" i="72" s="1"/>
  <c r="AE428" i="72"/>
  <c r="AE512" i="72" s="1"/>
  <c r="I44" i="72" a="1"/>
  <c r="I44" i="72" s="1"/>
  <c r="I128" i="72" s="1"/>
  <c r="AE60" i="72" a="1"/>
  <c r="AE60" i="72" s="1"/>
  <c r="AE144" i="72" s="1"/>
  <c r="AF252" i="72"/>
  <c r="AF336" i="72" s="1"/>
  <c r="Z57" i="72" a="1"/>
  <c r="Z57" i="72" s="1"/>
  <c r="Z141" i="72" s="1"/>
  <c r="AF410" i="72" a="1"/>
  <c r="AF410" i="72" s="1"/>
  <c r="AF494" i="72" s="1"/>
  <c r="T237" i="72" a="1"/>
  <c r="T237" i="72" s="1"/>
  <c r="T321" i="72" s="1"/>
  <c r="I429" i="72"/>
  <c r="I513" i="72" s="1"/>
  <c r="T425" i="72"/>
  <c r="T509" i="72" s="1"/>
  <c r="M77" i="72"/>
  <c r="M161" i="72" s="1"/>
  <c r="P237" i="72" a="1"/>
  <c r="P237" i="72" s="1"/>
  <c r="P321" i="72" s="1"/>
  <c r="Y61" i="72" a="1"/>
  <c r="Y61" i="72" s="1"/>
  <c r="Y145" i="72" s="1"/>
  <c r="U240" i="72"/>
  <c r="U324" i="72" s="1"/>
  <c r="H252" i="72"/>
  <c r="H336" i="72" s="1"/>
  <c r="Z409" i="72" a="1"/>
  <c r="Z409" i="72" s="1"/>
  <c r="Z493" i="72" s="1"/>
  <c r="X408" i="72" a="1"/>
  <c r="X408" i="72" s="1"/>
  <c r="X492" i="72" s="1"/>
  <c r="Z235" i="72" a="1"/>
  <c r="Z235" i="72" s="1"/>
  <c r="Z319" i="72" s="1"/>
  <c r="M427" i="72"/>
  <c r="M511" i="72" s="1"/>
  <c r="AA234" i="72" a="1"/>
  <c r="AA234" i="72" s="1"/>
  <c r="AA318" i="72" s="1"/>
  <c r="AB56" i="72" a="1"/>
  <c r="AB56" i="72" s="1"/>
  <c r="AB140" i="72" s="1"/>
  <c r="H44" i="72" a="1"/>
  <c r="H44" i="72" s="1"/>
  <c r="H128" i="72" s="1"/>
  <c r="X254" i="72"/>
  <c r="X338" i="72" s="1"/>
  <c r="K240" i="72"/>
  <c r="K324" i="72" s="1"/>
  <c r="K80" i="72"/>
  <c r="K164" i="72" s="1"/>
  <c r="I413" i="72"/>
  <c r="I497" i="72" s="1"/>
  <c r="J257" i="72"/>
  <c r="J341" i="72" s="1"/>
  <c r="H429" i="72"/>
  <c r="H513" i="72" s="1"/>
  <c r="R406" i="72" a="1"/>
  <c r="R406" i="72" s="1"/>
  <c r="R490" i="72" s="1"/>
  <c r="AE253" i="72"/>
  <c r="AE337" i="72" s="1"/>
  <c r="Z56" i="72" a="1"/>
  <c r="Z56" i="72" s="1"/>
  <c r="Z140" i="72" s="1"/>
  <c r="W44" i="72" a="1"/>
  <c r="W44" i="72" s="1"/>
  <c r="W128" i="72" s="1"/>
  <c r="R62" i="72" a="1"/>
  <c r="R62" i="72" s="1"/>
  <c r="R146" i="72" s="1"/>
  <c r="R57" i="72" a="1"/>
  <c r="R57" i="72" s="1"/>
  <c r="R141" i="72" s="1"/>
  <c r="X392" i="72" a="1"/>
  <c r="X392" i="72" s="1"/>
  <c r="X476" i="72" s="1"/>
  <c r="AG236" i="72" a="1"/>
  <c r="AG236" i="72" s="1"/>
  <c r="AG320" i="72" s="1"/>
  <c r="X235" i="72" a="1"/>
  <c r="X235" i="72" s="1"/>
  <c r="X319" i="72" s="1"/>
  <c r="J253" i="72"/>
  <c r="J337" i="72" s="1"/>
  <c r="W237" i="72" a="1"/>
  <c r="W237" i="72" s="1"/>
  <c r="W321" i="72" s="1"/>
  <c r="S234" i="72" a="1"/>
  <c r="S234" i="72" s="1"/>
  <c r="S318" i="72" s="1"/>
  <c r="AC405" i="72" a="1"/>
  <c r="AC405" i="72" s="1"/>
  <c r="AC489" i="72" s="1"/>
  <c r="O44" i="72" a="1"/>
  <c r="O44" i="72" s="1"/>
  <c r="O128" i="72" s="1"/>
  <c r="AE233" i="72" a="1"/>
  <c r="AE233" i="72" s="1"/>
  <c r="AE317" i="72" s="1"/>
  <c r="R219" i="72" a="1"/>
  <c r="R219" i="72" s="1"/>
  <c r="R303" i="72" s="1"/>
  <c r="U231" i="72" a="1"/>
  <c r="U231" i="72" s="1"/>
  <c r="U315" i="72" s="1"/>
  <c r="P392" i="72" a="1"/>
  <c r="P392" i="72" s="1"/>
  <c r="P476" i="72" s="1"/>
  <c r="AC410" i="72" a="1"/>
  <c r="AC410" i="72" s="1"/>
  <c r="AC494" i="72" s="1"/>
  <c r="Q409" i="72" a="1"/>
  <c r="Q409" i="72" s="1"/>
  <c r="Q493" i="72" s="1"/>
  <c r="AA237" i="72" a="1"/>
  <c r="AA237" i="72" s="1"/>
  <c r="AA321" i="72" s="1"/>
  <c r="S77" i="72"/>
  <c r="S161" i="72" s="1"/>
  <c r="L404" i="72" a="1"/>
  <c r="L404" i="72" s="1"/>
  <c r="L488" i="72" s="1"/>
  <c r="AD232" i="72" a="1"/>
  <c r="AD232" i="72" s="1"/>
  <c r="AD316" i="72" s="1"/>
  <c r="P77" i="72"/>
  <c r="P161" i="72" s="1"/>
  <c r="N81" i="72"/>
  <c r="N165" i="72" s="1"/>
  <c r="AB83" i="72"/>
  <c r="AB167" i="72" s="1"/>
  <c r="Q78" i="72"/>
  <c r="Q162" i="72" s="1"/>
  <c r="W413" i="72"/>
  <c r="W497" i="72" s="1"/>
  <c r="Q236" i="72" a="1"/>
  <c r="Q236" i="72" s="1"/>
  <c r="Q320" i="72" s="1"/>
  <c r="X430" i="72"/>
  <c r="X514" i="72" s="1"/>
  <c r="L408" i="72" a="1"/>
  <c r="L408" i="72" s="1"/>
  <c r="L492" i="72" s="1"/>
  <c r="AA427" i="72"/>
  <c r="AA511" i="72" s="1"/>
  <c r="Y234" i="72" a="1"/>
  <c r="Y234" i="72" s="1"/>
  <c r="Y318" i="72" s="1"/>
  <c r="X426" i="72"/>
  <c r="X510" i="72" s="1"/>
  <c r="T62" i="72" a="1"/>
  <c r="T62" i="72" s="1"/>
  <c r="T146" i="72" s="1"/>
  <c r="S82" i="72"/>
  <c r="S166" i="72" s="1"/>
  <c r="U233" i="72" a="1"/>
  <c r="U233" i="72" s="1"/>
  <c r="U317" i="72" s="1"/>
  <c r="I59" i="72" a="1"/>
  <c r="I59" i="72" s="1"/>
  <c r="I143" i="72" s="1"/>
  <c r="K58" i="72" a="1"/>
  <c r="K58" i="72" s="1"/>
  <c r="K142" i="72" s="1"/>
  <c r="AE409" i="72" a="1"/>
  <c r="AE409" i="72" s="1"/>
  <c r="AE493" i="72" s="1"/>
  <c r="U429" i="72"/>
  <c r="U513" i="72" s="1"/>
  <c r="I410" i="72" a="1"/>
  <c r="I410" i="72" s="1"/>
  <c r="I494" i="72" s="1"/>
  <c r="Q234" i="72" a="1"/>
  <c r="Q234" i="72" s="1"/>
  <c r="Q318" i="72" s="1"/>
  <c r="AC232" i="72" a="1"/>
  <c r="AC232" i="72" s="1"/>
  <c r="AC316" i="72" s="1"/>
  <c r="I77" i="72"/>
  <c r="I161" i="72" s="1"/>
  <c r="N254" i="72"/>
  <c r="N338" i="72" s="1"/>
  <c r="AF219" i="72" a="1"/>
  <c r="AF219" i="72" s="1"/>
  <c r="AF303" i="72" s="1"/>
  <c r="M231" i="72" a="1"/>
  <c r="M231" i="72" s="1"/>
  <c r="M315" i="72" s="1"/>
  <c r="K78" i="72"/>
  <c r="K162" i="72" s="1"/>
  <c r="O258" i="72"/>
  <c r="O342" i="72" s="1"/>
  <c r="AA83" i="72"/>
  <c r="AA167" i="72" s="1"/>
  <c r="W430" i="72"/>
  <c r="W514" i="72" s="1"/>
  <c r="AF428" i="72"/>
  <c r="AF512" i="72" s="1"/>
  <c r="Z404" i="72" a="1"/>
  <c r="Z404" i="72" s="1"/>
  <c r="Z488" i="72" s="1"/>
  <c r="AG237" i="72" a="1"/>
  <c r="AG237" i="72" s="1"/>
  <c r="AG321" i="72" s="1"/>
  <c r="U405" i="72" a="1"/>
  <c r="U405" i="72" s="1"/>
  <c r="U489" i="72" s="1"/>
  <c r="AA428" i="72"/>
  <c r="AA512" i="72" s="1"/>
  <c r="R65" i="72"/>
  <c r="R149" i="72" s="1"/>
  <c r="S233" i="72" a="1"/>
  <c r="S233" i="72" s="1"/>
  <c r="S317" i="72" s="1"/>
  <c r="H240" i="72"/>
  <c r="H324" i="72" s="1"/>
  <c r="X80" i="72"/>
  <c r="X164" i="72" s="1"/>
  <c r="AC237" i="72" a="1"/>
  <c r="AC237" i="72" s="1"/>
  <c r="AC321" i="72" s="1"/>
  <c r="H237" i="72" a="1"/>
  <c r="H237" i="72" s="1"/>
  <c r="H321" i="72" s="1"/>
  <c r="R431" i="72"/>
  <c r="R515" i="72" s="1"/>
  <c r="J408" i="72" a="1"/>
  <c r="J408" i="72" s="1"/>
  <c r="J492" i="72" s="1"/>
  <c r="V404" i="72" a="1"/>
  <c r="V404" i="72" s="1"/>
  <c r="V488" i="72" s="1"/>
  <c r="P405" i="72" a="1"/>
  <c r="P405" i="72" s="1"/>
  <c r="P489" i="72" s="1"/>
  <c r="H428" i="72"/>
  <c r="H512" i="72" s="1"/>
  <c r="Z61" i="72" a="1"/>
  <c r="Z61" i="72" s="1"/>
  <c r="Z145" i="72" s="1"/>
  <c r="X60" i="72" a="1"/>
  <c r="X60" i="72" s="1"/>
  <c r="X144" i="72" s="1"/>
  <c r="M80" i="72"/>
  <c r="M164" i="72" s="1"/>
  <c r="K256" i="72"/>
  <c r="K340" i="72" s="1"/>
  <c r="W427" i="72"/>
  <c r="W511" i="72" s="1"/>
  <c r="U406" i="72" a="1"/>
  <c r="U406" i="72" s="1"/>
  <c r="U490" i="72" s="1"/>
  <c r="Q232" i="72" a="1"/>
  <c r="Q232" i="72" s="1"/>
  <c r="Q316" i="72" s="1"/>
  <c r="AE407" i="72" a="1"/>
  <c r="AE407" i="72" s="1"/>
  <c r="AE491" i="72" s="1"/>
  <c r="I65" i="72"/>
  <c r="I149" i="72" s="1"/>
  <c r="AE81" i="72"/>
  <c r="AE165" i="72" s="1"/>
  <c r="X252" i="72"/>
  <c r="X336" i="72" s="1"/>
  <c r="T413" i="72"/>
  <c r="T497" i="72" s="1"/>
  <c r="AE237" i="72" a="1"/>
  <c r="AE237" i="72" s="1"/>
  <c r="AE321" i="72" s="1"/>
  <c r="K430" i="72"/>
  <c r="K514" i="72" s="1"/>
  <c r="AD429" i="72"/>
  <c r="AD513" i="72" s="1"/>
  <c r="S392" i="72" a="1"/>
  <c r="S392" i="72" s="1"/>
  <c r="S476" i="72" s="1"/>
  <c r="T404" i="72" a="1"/>
  <c r="T404" i="72" s="1"/>
  <c r="T488" i="72" s="1"/>
  <c r="M56" i="72" a="1"/>
  <c r="M56" i="72" s="1"/>
  <c r="M140" i="72" s="1"/>
  <c r="P258" i="72"/>
  <c r="P342" i="72" s="1"/>
  <c r="Y82" i="72"/>
  <c r="Y166" i="72" s="1"/>
  <c r="U219" i="72" a="1"/>
  <c r="U219" i="72" s="1"/>
  <c r="U303" i="72" s="1"/>
  <c r="H231" i="72" a="1"/>
  <c r="H231" i="72" s="1"/>
  <c r="H315" i="72" s="1"/>
  <c r="Z430" i="72"/>
  <c r="Z514" i="72" s="1"/>
  <c r="X429" i="72"/>
  <c r="X513" i="72" s="1"/>
  <c r="Z256" i="72"/>
  <c r="Z340" i="72" s="1"/>
  <c r="S427" i="72"/>
  <c r="S511" i="72" s="1"/>
  <c r="P253" i="72"/>
  <c r="P337" i="72" s="1"/>
  <c r="Q56" i="72" a="1"/>
  <c r="Q56" i="72" s="1"/>
  <c r="Q140" i="72" s="1"/>
  <c r="K83" i="72"/>
  <c r="K167" i="72" s="1"/>
  <c r="K219" i="72" a="1"/>
  <c r="K219" i="72" s="1"/>
  <c r="K303" i="72" s="1"/>
  <c r="S57" i="72" a="1"/>
  <c r="S57" i="72" s="1"/>
  <c r="S141" i="72" s="1"/>
  <c r="I392" i="72" a="1"/>
  <c r="I392" i="72" s="1"/>
  <c r="I476" i="72" s="1"/>
  <c r="J430" i="72"/>
  <c r="J514" i="72" s="1"/>
  <c r="AC408" i="72" a="1"/>
  <c r="AC408" i="72" s="1"/>
  <c r="AC492" i="72" s="1"/>
  <c r="M425" i="72"/>
  <c r="M509" i="72" s="1"/>
  <c r="I426" i="72"/>
  <c r="I510" i="72" s="1"/>
  <c r="N407" i="72" a="1"/>
  <c r="N407" i="72" s="1"/>
  <c r="N491" i="72" s="1"/>
  <c r="L60" i="72" a="1"/>
  <c r="L60" i="72" s="1"/>
  <c r="L144" i="72" s="1"/>
  <c r="O252" i="72"/>
  <c r="O336" i="72" s="1"/>
  <c r="I57" i="72" a="1"/>
  <c r="I57" i="72" s="1"/>
  <c r="I141" i="72" s="1"/>
  <c r="J258" i="72"/>
  <c r="J342" i="72" s="1"/>
  <c r="Y257" i="72"/>
  <c r="Y341" i="72" s="1"/>
  <c r="AC256" i="72"/>
  <c r="AC340" i="72" s="1"/>
  <c r="S80" i="72"/>
  <c r="S164" i="72" s="1"/>
  <c r="L406" i="72" a="1"/>
  <c r="L406" i="72" s="1"/>
  <c r="L490" i="72" s="1"/>
  <c r="Z255" i="72"/>
  <c r="Z339" i="72" s="1"/>
  <c r="AA56" i="72" a="1"/>
  <c r="AA56" i="72" s="1"/>
  <c r="AA140" i="72" s="1"/>
  <c r="W254" i="72"/>
  <c r="W338" i="72" s="1"/>
  <c r="Z59" i="72" a="1"/>
  <c r="Z59" i="72" s="1"/>
  <c r="Z143" i="72" s="1"/>
  <c r="AF236" i="72" a="1"/>
  <c r="AF236" i="72" s="1"/>
  <c r="AF320" i="72" s="1"/>
  <c r="I430" i="72"/>
  <c r="I514" i="72" s="1"/>
  <c r="W429" i="72"/>
  <c r="W513" i="72" s="1"/>
  <c r="AC81" i="72"/>
  <c r="AC165" i="72" s="1"/>
  <c r="R255" i="72"/>
  <c r="R339" i="72" s="1"/>
  <c r="W426" i="72"/>
  <c r="W510" i="72" s="1"/>
  <c r="M428" i="72"/>
  <c r="M512" i="72" s="1"/>
  <c r="U61" i="72" a="1"/>
  <c r="U61" i="72" s="1"/>
  <c r="U145" i="72" s="1"/>
  <c r="AG240" i="72"/>
  <c r="AG324" i="72" s="1"/>
  <c r="N252" i="72"/>
  <c r="N336" i="72" s="1"/>
  <c r="H78" i="72"/>
  <c r="H162" i="72" s="1"/>
  <c r="W392" i="72" a="1"/>
  <c r="W392" i="72" s="1"/>
  <c r="W476" i="72" s="1"/>
  <c r="X236" i="72" a="1"/>
  <c r="X236" i="72" s="1"/>
  <c r="X320" i="72" s="1"/>
  <c r="W256" i="72"/>
  <c r="W340" i="72" s="1"/>
  <c r="J62" i="72" a="1"/>
  <c r="J62" i="72" s="1"/>
  <c r="J146" i="72" s="1"/>
  <c r="AF427" i="72"/>
  <c r="AF511" i="72" s="1"/>
  <c r="N431" i="72"/>
  <c r="N515" i="72" s="1"/>
  <c r="AB426" i="72"/>
  <c r="AB510" i="72" s="1"/>
  <c r="N65" i="72"/>
  <c r="N149" i="72" s="1"/>
  <c r="S237" i="72" a="1"/>
  <c r="S237" i="72" s="1"/>
  <c r="S321" i="72" s="1"/>
  <c r="M60" i="72" a="1"/>
  <c r="M60" i="72" s="1"/>
  <c r="M144" i="72" s="1"/>
  <c r="Y258" i="72"/>
  <c r="Y342" i="72" s="1"/>
  <c r="P57" i="72" a="1"/>
  <c r="P57" i="72" s="1"/>
  <c r="P141" i="72" s="1"/>
  <c r="O392" i="72" a="1"/>
  <c r="O392" i="72" s="1"/>
  <c r="O476" i="72" s="1"/>
  <c r="O58" i="72" a="1"/>
  <c r="O58" i="72" s="1"/>
  <c r="O142" i="72" s="1"/>
  <c r="H430" i="72"/>
  <c r="H514" i="72" s="1"/>
  <c r="U58" i="72" a="1"/>
  <c r="U58" i="72" s="1"/>
  <c r="U142" i="72" s="1"/>
  <c r="K406" i="72" a="1"/>
  <c r="K406" i="72" s="1"/>
  <c r="K490" i="72" s="1"/>
  <c r="I255" i="72"/>
  <c r="I339" i="72" s="1"/>
  <c r="AD410" i="72" a="1"/>
  <c r="AD410" i="72" s="1"/>
  <c r="AD494" i="72" s="1"/>
  <c r="L428" i="72"/>
  <c r="L512" i="72" s="1"/>
  <c r="S44" i="72" a="1"/>
  <c r="S44" i="72" s="1"/>
  <c r="S128" i="72" s="1"/>
  <c r="T254" i="72"/>
  <c r="T338" i="72" s="1"/>
  <c r="AG80" i="72"/>
  <c r="AG164" i="72" s="1"/>
  <c r="P431" i="72"/>
  <c r="P515" i="72" s="1"/>
  <c r="O237" i="72" a="1"/>
  <c r="O237" i="72" s="1"/>
  <c r="O321" i="72" s="1"/>
  <c r="AA62" i="72" a="1"/>
  <c r="AA62" i="72" s="1"/>
  <c r="AA146" i="72" s="1"/>
  <c r="W409" i="72" a="1"/>
  <c r="W409" i="72" s="1"/>
  <c r="W493" i="72" s="1"/>
  <c r="AF407" i="72" a="1"/>
  <c r="AF407" i="72" s="1"/>
  <c r="AF491" i="72" s="1"/>
  <c r="AF255" i="72"/>
  <c r="AF339" i="72" s="1"/>
  <c r="H253" i="72"/>
  <c r="H337" i="72" s="1"/>
  <c r="AA426" i="72"/>
  <c r="AA510" i="72" s="1"/>
  <c r="N62" i="72" a="1"/>
  <c r="N62" i="72" s="1"/>
  <c r="N146" i="72" s="1"/>
  <c r="V81" i="72"/>
  <c r="V165" i="72" s="1"/>
  <c r="H219" i="72" a="1"/>
  <c r="H219" i="72" s="1"/>
  <c r="H303" i="72" s="1"/>
  <c r="O57" i="72" a="1"/>
  <c r="O57" i="72" s="1"/>
  <c r="O141" i="72" s="1"/>
  <c r="AC258" i="72"/>
  <c r="AC342" i="72" s="1"/>
  <c r="O236" i="72" a="1"/>
  <c r="O236" i="72" s="1"/>
  <c r="O320" i="72" s="1"/>
  <c r="T256" i="72"/>
  <c r="T340" i="72" s="1"/>
  <c r="AC80" i="72"/>
  <c r="AC164" i="72" s="1"/>
  <c r="O431" i="72"/>
  <c r="O515" i="72" s="1"/>
  <c r="J404" i="72" a="1"/>
  <c r="J404" i="72" s="1"/>
  <c r="J488" i="72" s="1"/>
  <c r="W232" i="72" a="1"/>
  <c r="W232" i="72" s="1"/>
  <c r="W316" i="72" s="1"/>
  <c r="T405" i="72" a="1"/>
  <c r="T405" i="72" s="1"/>
  <c r="T489" i="72" s="1"/>
  <c r="H62" i="72" a="1"/>
  <c r="H62" i="72" s="1"/>
  <c r="H146" i="72" s="1"/>
  <c r="AG62" i="72" a="1"/>
  <c r="AG62" i="72" s="1"/>
  <c r="AG146" i="72" s="1"/>
  <c r="W425" i="72"/>
  <c r="W509" i="72" s="1"/>
  <c r="O427" i="72"/>
  <c r="O511" i="72" s="1"/>
  <c r="M255" i="72"/>
  <c r="M339" i="72" s="1"/>
  <c r="AE56" i="72" a="1"/>
  <c r="AE56" i="72" s="1"/>
  <c r="AE140" i="72" s="1"/>
  <c r="H61" i="72" a="1"/>
  <c r="H61" i="72" s="1"/>
  <c r="H145" i="72" s="1"/>
  <c r="AB240" i="72"/>
  <c r="AB324" i="72" s="1"/>
  <c r="M59" i="72" a="1"/>
  <c r="M59" i="72" s="1"/>
  <c r="M143" i="72" s="1"/>
  <c r="Z413" i="72"/>
  <c r="Z497" i="72" s="1"/>
  <c r="K235" i="72" a="1"/>
  <c r="K235" i="72" s="1"/>
  <c r="K319" i="72" s="1"/>
  <c r="W406" i="72" a="1"/>
  <c r="W406" i="72" s="1"/>
  <c r="W490" i="72" s="1"/>
  <c r="K392" i="72" a="1"/>
  <c r="K392" i="72" s="1"/>
  <c r="K476" i="72" s="1"/>
  <c r="AD425" i="72"/>
  <c r="AD509" i="72" s="1"/>
  <c r="AE405" i="72" a="1"/>
  <c r="AE405" i="72" s="1"/>
  <c r="AE489" i="72" s="1"/>
  <c r="W428" i="72"/>
  <c r="W512" i="72" s="1"/>
  <c r="J82" i="72"/>
  <c r="J166" i="72" s="1"/>
  <c r="H81" i="72"/>
  <c r="H165" i="72" s="1"/>
  <c r="X231" i="72" a="1"/>
  <c r="X231" i="72" s="1"/>
  <c r="X315" i="72" s="1"/>
  <c r="T392" i="72" a="1"/>
  <c r="T392" i="72" s="1"/>
  <c r="T476" i="72" s="1"/>
  <c r="AE258" i="72"/>
  <c r="AE342" i="72" s="1"/>
  <c r="K409" i="72" a="1"/>
  <c r="K409" i="72" s="1"/>
  <c r="K493" i="72" s="1"/>
  <c r="AD408" i="72" a="1"/>
  <c r="AD408" i="72" s="1"/>
  <c r="AD492" i="72" s="1"/>
  <c r="AC406" i="72" a="1"/>
  <c r="AC406" i="72" s="1"/>
  <c r="AC490" i="72" s="1"/>
  <c r="L234" i="72" a="1"/>
  <c r="L234" i="72" s="1"/>
  <c r="L318" i="72" s="1"/>
  <c r="AG56" i="72" a="1"/>
  <c r="AG56" i="72" s="1"/>
  <c r="AG140" i="72" s="1"/>
  <c r="Q65" i="72"/>
  <c r="Q149" i="72" s="1"/>
  <c r="AD61" i="72" a="1"/>
  <c r="AD61" i="72" s="1"/>
  <c r="AD145" i="72" s="1"/>
  <c r="AA80" i="72"/>
  <c r="AA164" i="72" s="1"/>
  <c r="AG413" i="72"/>
  <c r="AG497" i="72" s="1"/>
  <c r="R79" i="72"/>
  <c r="R163" i="72" s="1"/>
  <c r="Y256" i="72"/>
  <c r="Y340" i="72" s="1"/>
  <c r="N429" i="72"/>
  <c r="N513" i="72" s="1"/>
  <c r="S406" i="72" a="1"/>
  <c r="S406" i="72" s="1"/>
  <c r="S490" i="72" s="1"/>
  <c r="P232" i="72" a="1"/>
  <c r="P232" i="72" s="1"/>
  <c r="P316" i="72" s="1"/>
  <c r="Q77" i="72"/>
  <c r="Q161" i="72" s="1"/>
  <c r="H65" i="72"/>
  <c r="H149" i="72" s="1"/>
  <c r="K62" i="72" a="1"/>
  <c r="K62" i="72" s="1"/>
  <c r="K146" i="72" s="1"/>
  <c r="S78" i="72"/>
  <c r="S162" i="72" s="1"/>
  <c r="J409" i="72" a="1"/>
  <c r="J409" i="72" s="1"/>
  <c r="J493" i="72" s="1"/>
  <c r="AC429" i="72"/>
  <c r="AC513" i="72" s="1"/>
  <c r="M404" i="72" a="1"/>
  <c r="M404" i="72" s="1"/>
  <c r="M488" i="72" s="1"/>
  <c r="I405" i="72" a="1"/>
  <c r="I405" i="72" s="1"/>
  <c r="I489" i="72" s="1"/>
  <c r="N428" i="72"/>
  <c r="N512" i="72" s="1"/>
  <c r="W65" i="72"/>
  <c r="W149" i="72" s="1"/>
  <c r="L81" i="72"/>
  <c r="L165" i="72" s="1"/>
  <c r="O231" i="72" a="1"/>
  <c r="O231" i="72" s="1"/>
  <c r="O315" i="72" s="1"/>
  <c r="I78" i="72"/>
  <c r="I162" i="72" s="1"/>
  <c r="J237" i="72" a="1"/>
  <c r="J237" i="72" s="1"/>
  <c r="J321" i="72" s="1"/>
  <c r="Y236" i="72" a="1"/>
  <c r="Y236" i="72" s="1"/>
  <c r="Y320" i="72" s="1"/>
  <c r="AC235" i="72" a="1"/>
  <c r="AC235" i="72" s="1"/>
  <c r="AC319" i="72" s="1"/>
  <c r="S59" i="72" a="1"/>
  <c r="S59" i="72" s="1"/>
  <c r="S143" i="72" s="1"/>
  <c r="L427" i="72"/>
  <c r="L511" i="72" s="1"/>
  <c r="Z234" i="72" a="1"/>
  <c r="Z234" i="72" s="1"/>
  <c r="Z318" i="72" s="1"/>
  <c r="AA77" i="72"/>
  <c r="AA161" i="72" s="1"/>
  <c r="V44" i="72" a="1"/>
  <c r="V44" i="72" s="1"/>
  <c r="V128" i="72" s="1"/>
  <c r="W233" i="72" a="1"/>
  <c r="W233" i="72" s="1"/>
  <c r="W317" i="72" s="1"/>
  <c r="J240" i="72"/>
  <c r="J324" i="72" s="1"/>
  <c r="Z80" i="72"/>
  <c r="Z164" i="72" s="1"/>
  <c r="H413" i="72"/>
  <c r="H497" i="72" s="1"/>
  <c r="AF257" i="72"/>
  <c r="AF341" i="72" s="1"/>
  <c r="I409" i="72" a="1"/>
  <c r="I409" i="72" s="1"/>
  <c r="I493" i="72" s="1"/>
  <c r="W408" i="72" a="1"/>
  <c r="W408" i="72" s="1"/>
  <c r="W492" i="72" s="1"/>
  <c r="AC60" i="72" a="1"/>
  <c r="AC60" i="72" s="1"/>
  <c r="AC144" i="72" s="1"/>
  <c r="R234" i="72" a="1"/>
  <c r="R234" i="72" s="1"/>
  <c r="R318" i="72" s="1"/>
  <c r="W405" i="72" a="1"/>
  <c r="W405" i="72" s="1"/>
  <c r="W489" i="72" s="1"/>
  <c r="M407" i="72" a="1"/>
  <c r="M407" i="72" s="1"/>
  <c r="M491" i="72" s="1"/>
  <c r="U82" i="72"/>
  <c r="U166" i="72" s="1"/>
  <c r="N231" i="72" a="1"/>
  <c r="N231" i="72" s="1"/>
  <c r="N315" i="72" s="1"/>
  <c r="H57" i="72" a="1"/>
  <c r="H57" i="72" s="1"/>
  <c r="H141" i="72" s="1"/>
  <c r="X257" i="72"/>
  <c r="X341" i="72" s="1"/>
  <c r="W235" i="72" a="1"/>
  <c r="W235" i="72" s="1"/>
  <c r="W319" i="72" s="1"/>
  <c r="J83" i="72"/>
  <c r="J167" i="72" s="1"/>
  <c r="AF406" i="72" a="1"/>
  <c r="AF406" i="72" s="1"/>
  <c r="AF490" i="72" s="1"/>
  <c r="N410" i="72" a="1"/>
  <c r="N410" i="72" s="1"/>
  <c r="N494" i="72" s="1"/>
  <c r="AB405" i="72" a="1"/>
  <c r="AB405" i="72" s="1"/>
  <c r="AB489" i="72" s="1"/>
  <c r="S258" i="72"/>
  <c r="S342" i="72" s="1"/>
  <c r="M81" i="72"/>
  <c r="M165" i="72" s="1"/>
  <c r="Y237" i="72" a="1"/>
  <c r="Y237" i="72" s="1"/>
  <c r="Y321" i="72" s="1"/>
  <c r="P78" i="72"/>
  <c r="P162" i="72" s="1"/>
  <c r="V413" i="72"/>
  <c r="V497" i="72" s="1"/>
  <c r="O79" i="72"/>
  <c r="O163" i="72" s="1"/>
  <c r="H409" i="72" a="1"/>
  <c r="H409" i="72" s="1"/>
  <c r="H493" i="72" s="1"/>
  <c r="U79" i="72"/>
  <c r="U163" i="72" s="1"/>
  <c r="K427" i="72"/>
  <c r="K511" i="72" s="1"/>
  <c r="I234" i="72" a="1"/>
  <c r="I234" i="72" s="1"/>
  <c r="I318" i="72" s="1"/>
  <c r="AD431" i="72"/>
  <c r="AD515" i="72" s="1"/>
  <c r="L407" i="72" a="1"/>
  <c r="L407" i="72" s="1"/>
  <c r="L491" i="72" s="1"/>
  <c r="S65" i="72"/>
  <c r="S149" i="72" s="1"/>
  <c r="T233" i="72" a="1"/>
  <c r="T233" i="72" s="1"/>
  <c r="T317" i="72" s="1"/>
  <c r="X240" i="72"/>
  <c r="X324" i="72" s="1"/>
  <c r="AG59" i="72" a="1"/>
  <c r="AG59" i="72" s="1"/>
  <c r="AG143" i="72" s="1"/>
  <c r="P410" i="72" a="1"/>
  <c r="P410" i="72" s="1"/>
  <c r="P494" i="72" s="1"/>
  <c r="X83" i="72"/>
  <c r="X167" i="72" s="1"/>
  <c r="AE236" i="72" a="1"/>
  <c r="AE236" i="72" s="1"/>
  <c r="AE320" i="72" s="1"/>
  <c r="U256" i="72"/>
  <c r="U340" i="72" s="1"/>
  <c r="X237" i="72" a="1"/>
  <c r="X237" i="72" s="1"/>
  <c r="X321" i="72" s="1"/>
  <c r="H431" i="72"/>
  <c r="H515" i="72" s="1"/>
  <c r="H83" i="72"/>
  <c r="H167" i="72" s="1"/>
  <c r="W404" i="72" a="1"/>
  <c r="W404" i="72" s="1"/>
  <c r="W488" i="72" s="1"/>
  <c r="O406" i="72" a="1"/>
  <c r="O406" i="72" s="1"/>
  <c r="O490" i="72" s="1"/>
  <c r="M234" i="72" a="1"/>
  <c r="M234" i="72" s="1"/>
  <c r="M318" i="72" s="1"/>
  <c r="AE77" i="72"/>
  <c r="AE161" i="72" s="1"/>
  <c r="AG44" i="72" a="1"/>
  <c r="AG44" i="72" s="1"/>
  <c r="AG128" i="72" s="1"/>
  <c r="H82" i="72"/>
  <c r="H166" i="72" s="1"/>
  <c r="AB219" i="72" a="1"/>
  <c r="AB219" i="72" s="1"/>
  <c r="AB303" i="72" s="1"/>
  <c r="R80" i="72"/>
  <c r="R164" i="72" s="1"/>
  <c r="AA257" i="72"/>
  <c r="AA341" i="72" s="1"/>
  <c r="AE256" i="72"/>
  <c r="AE340" i="72" s="1"/>
  <c r="AF426" i="72"/>
  <c r="AF510" i="72" s="1"/>
  <c r="AE429" i="72"/>
  <c r="AE513" i="72" s="1"/>
  <c r="AD404" i="72" a="1"/>
  <c r="AD404" i="72" s="1"/>
  <c r="AD488" i="72" s="1"/>
  <c r="AE426" i="72"/>
  <c r="AE510" i="72" s="1"/>
  <c r="W407" i="72" a="1"/>
  <c r="W407" i="72" s="1"/>
  <c r="W491" i="72" s="1"/>
  <c r="J61" i="72" a="1"/>
  <c r="J61" i="72" s="1"/>
  <c r="J145" i="72" s="1"/>
  <c r="H60" i="72" a="1"/>
  <c r="H60" i="72" s="1"/>
  <c r="H144" i="72" s="1"/>
  <c r="L59" i="72" a="1"/>
  <c r="L59" i="72" s="1"/>
  <c r="L143" i="72" s="1"/>
  <c r="S58" i="72" a="1"/>
  <c r="S58" i="72" s="1"/>
  <c r="S142" i="72" s="1"/>
  <c r="J235" i="72" a="1"/>
  <c r="J235" i="72" s="1"/>
  <c r="J319" i="72" s="1"/>
  <c r="X428" i="72"/>
  <c r="X512" i="72" s="1"/>
  <c r="AC427" i="72"/>
  <c r="AC511" i="72" s="1"/>
  <c r="L255" i="72"/>
  <c r="L339" i="72" s="1"/>
  <c r="AG77" i="72"/>
  <c r="AG161" i="72" s="1"/>
  <c r="Q44" i="72" a="1"/>
  <c r="Q44" i="72" s="1"/>
  <c r="Q128" i="72" s="1"/>
  <c r="AD82" i="72"/>
  <c r="AD166" i="72" s="1"/>
  <c r="AA240" i="72"/>
  <c r="AA324" i="72" s="1"/>
  <c r="AA59" i="72" a="1"/>
  <c r="AA59" i="72" s="1"/>
  <c r="AA143" i="72" s="1"/>
  <c r="R58" i="72" a="1"/>
  <c r="R58" i="72" s="1"/>
  <c r="R142" i="72" s="1"/>
  <c r="Y235" i="72" a="1"/>
  <c r="Y235" i="72" s="1"/>
  <c r="Y319" i="72" s="1"/>
  <c r="N408" i="72" a="1"/>
  <c r="N408" i="72" s="1"/>
  <c r="N492" i="72" s="1"/>
  <c r="AC404" i="72" a="1"/>
  <c r="AC404" i="72" s="1"/>
  <c r="AC488" i="72" s="1"/>
  <c r="Y426" i="72"/>
  <c r="Y510" i="72" s="1"/>
  <c r="AD407" i="72" a="1"/>
  <c r="AD407" i="72" s="1"/>
  <c r="AD491" i="72" s="1"/>
  <c r="I82" i="72"/>
  <c r="I166" i="72" s="1"/>
  <c r="AB60" i="72" a="1"/>
  <c r="AB60" i="72" s="1"/>
  <c r="AB144" i="72" s="1"/>
  <c r="AE252" i="72"/>
  <c r="AE336" i="72" s="1"/>
  <c r="Y57" i="72" a="1"/>
  <c r="Y57" i="72" s="1"/>
  <c r="Y141" i="72" s="1"/>
  <c r="Q58" i="72" a="1"/>
  <c r="Q58" i="72" s="1"/>
  <c r="Q142" i="72" s="1"/>
  <c r="I235" i="72" a="1"/>
  <c r="I235" i="72" s="1"/>
  <c r="I319" i="72" s="1"/>
  <c r="L79" i="72"/>
  <c r="L163" i="72" s="1"/>
  <c r="T234" i="72" a="1"/>
  <c r="T234" i="72" s="1"/>
  <c r="T318" i="72" s="1"/>
  <c r="N426" i="72"/>
  <c r="N510" i="72" s="1"/>
  <c r="W82" i="72"/>
  <c r="W166" i="72" s="1"/>
  <c r="T240" i="72"/>
  <c r="T324" i="72" s="1"/>
  <c r="V252" i="72"/>
  <c r="V336" i="72" s="1"/>
  <c r="AF413" i="72"/>
  <c r="AF497" i="72" s="1"/>
  <c r="AF79" i="72"/>
  <c r="AF163" i="72" s="1"/>
  <c r="AG430" i="72"/>
  <c r="AG514" i="72" s="1"/>
  <c r="Z408" i="72" a="1"/>
  <c r="Z408" i="72" s="1"/>
  <c r="Z492" i="72" s="1"/>
  <c r="M258" i="72"/>
  <c r="M342" i="72" s="1"/>
  <c r="AG427" i="72"/>
  <c r="AG511" i="72" s="1"/>
  <c r="O253" i="72"/>
  <c r="O337" i="72" s="1"/>
  <c r="AF56" i="72" a="1"/>
  <c r="AF56" i="72" s="1"/>
  <c r="AF140" i="72" s="1"/>
  <c r="V65" i="72"/>
  <c r="V149" i="72" s="1"/>
  <c r="Z431" i="72"/>
  <c r="Z515" i="72" s="1"/>
  <c r="J219" i="72" a="1"/>
  <c r="J219" i="72" s="1"/>
  <c r="J303" i="72" s="1"/>
  <c r="AG78" i="72"/>
  <c r="AG162" i="72" s="1"/>
  <c r="H392" i="72" a="1"/>
  <c r="H392" i="72" s="1"/>
  <c r="H476" i="72" s="1"/>
  <c r="I257" i="72"/>
  <c r="I341" i="72" s="1"/>
  <c r="H256" i="72"/>
  <c r="H340" i="72" s="1"/>
  <c r="AB429" i="72"/>
  <c r="AB513" i="72" s="1"/>
  <c r="AD427" i="72"/>
  <c r="AD511" i="72" s="1"/>
  <c r="J255" i="72"/>
  <c r="J339" i="72" s="1"/>
  <c r="M405" i="72" a="1"/>
  <c r="M405" i="72" s="1"/>
  <c r="M489" i="72" s="1"/>
  <c r="AD65" i="72"/>
  <c r="AD149" i="72" s="1"/>
  <c r="AD233" i="72" a="1"/>
  <c r="AD233" i="72" s="1"/>
  <c r="AD317" i="72" s="1"/>
  <c r="AG219" i="72" a="1"/>
  <c r="AG219" i="72" s="1"/>
  <c r="AG303" i="72" s="1"/>
  <c r="T252" i="72"/>
  <c r="T336" i="72" s="1"/>
  <c r="I421" i="72"/>
  <c r="I505" i="72" s="1"/>
  <c r="J79" i="72"/>
  <c r="J163" i="72" s="1"/>
  <c r="K258" i="72"/>
  <c r="K342" i="72" s="1"/>
  <c r="AB235" i="72" a="1"/>
  <c r="AB235" i="72" s="1"/>
  <c r="AB319" i="72" s="1"/>
  <c r="M240" i="72"/>
  <c r="M324" i="72" s="1"/>
  <c r="AA425" i="72"/>
  <c r="AA509" i="72" s="1"/>
  <c r="X232" i="72" a="1"/>
  <c r="X232" i="72" s="1"/>
  <c r="X316" i="72" s="1"/>
  <c r="Y77" i="72"/>
  <c r="Y161" i="72" s="1"/>
  <c r="N44" i="72" a="1"/>
  <c r="N44" i="72" s="1"/>
  <c r="N128" i="72" s="1"/>
  <c r="I62" i="72" a="1"/>
  <c r="I62" i="72" s="1"/>
  <c r="I146" i="72" s="1"/>
  <c r="Q240" i="72"/>
  <c r="Q324" i="72" s="1"/>
  <c r="AC252" i="72"/>
  <c r="AC336" i="72" s="1"/>
  <c r="AB57" i="72" a="1"/>
  <c r="AB57" i="72" s="1"/>
  <c r="AB141" i="72" s="1"/>
  <c r="P257" i="72"/>
  <c r="P341" i="72" s="1"/>
  <c r="V256" i="72"/>
  <c r="V340" i="72" s="1"/>
  <c r="P235" i="72" a="1"/>
  <c r="P235" i="72" s="1"/>
  <c r="P319" i="72" s="1"/>
  <c r="P427" i="72"/>
  <c r="P511" i="72" s="1"/>
  <c r="AC83" i="72"/>
  <c r="AC167" i="72" s="1"/>
  <c r="V426" i="72"/>
  <c r="V510" i="72" s="1"/>
  <c r="R61" i="72" a="1"/>
  <c r="R61" i="72" s="1"/>
  <c r="R145" i="72" s="1"/>
  <c r="W81" i="72"/>
  <c r="W165" i="72" s="1"/>
  <c r="AB59" i="72" a="1"/>
  <c r="AB59" i="72" s="1"/>
  <c r="AB143" i="72" s="1"/>
  <c r="AD413" i="72"/>
  <c r="AD497" i="72" s="1"/>
  <c r="X62" i="72" a="1"/>
  <c r="X62" i="72" s="1"/>
  <c r="X146" i="72" s="1"/>
  <c r="AE257" i="72"/>
  <c r="AE341" i="72" s="1"/>
  <c r="U235" i="72" a="1"/>
  <c r="U235" i="72" s="1"/>
  <c r="U319" i="72" s="1"/>
  <c r="R258" i="72"/>
  <c r="R342" i="72" s="1"/>
  <c r="AA410" i="72" a="1"/>
  <c r="AA410" i="72" s="1"/>
  <c r="AA494" i="72" s="1"/>
  <c r="P60" i="72" a="1"/>
  <c r="P60" i="72" s="1"/>
  <c r="P144" i="72" s="1"/>
  <c r="V427" i="72"/>
  <c r="V511" i="72" s="1"/>
  <c r="N237" i="72" a="1"/>
  <c r="N237" i="72" s="1"/>
  <c r="N321" i="72" s="1"/>
  <c r="J56" i="72" a="1"/>
  <c r="J56" i="72" s="1"/>
  <c r="J140" i="72" s="1"/>
  <c r="AG65" i="72"/>
  <c r="AG149" i="72" s="1"/>
  <c r="J254" i="72"/>
  <c r="J338" i="72" s="1"/>
  <c r="R59" i="72" a="1"/>
  <c r="R59" i="72" s="1"/>
  <c r="R143" i="72" s="1"/>
  <c r="Z392" i="72" a="1"/>
  <c r="Z392" i="72" s="1"/>
  <c r="Z476" i="72" s="1"/>
  <c r="AA236" i="72" a="1"/>
  <c r="AA236" i="72" s="1"/>
  <c r="AA320" i="72" s="1"/>
  <c r="AE235" i="72" a="1"/>
  <c r="AE235" i="72" s="1"/>
  <c r="AE319" i="72" s="1"/>
  <c r="AF405" i="72" a="1"/>
  <c r="AF405" i="72" s="1"/>
  <c r="AF489" i="72" s="1"/>
  <c r="AE408" i="72" a="1"/>
  <c r="AE408" i="72" s="1"/>
  <c r="AE492" i="72" s="1"/>
  <c r="U404" i="72" a="1"/>
  <c r="U404" i="72" s="1"/>
  <c r="U488" i="72" s="1"/>
  <c r="AC77" i="72"/>
  <c r="AC161" i="72" s="1"/>
  <c r="T61" i="72" a="1"/>
  <c r="T61" i="72" s="1"/>
  <c r="T145" i="72" s="1"/>
  <c r="L80" i="72"/>
  <c r="L164" i="72" s="1"/>
  <c r="J413" i="72"/>
  <c r="J497" i="72" s="1"/>
  <c r="S79" i="72"/>
  <c r="S163" i="72" s="1"/>
  <c r="J256" i="72"/>
  <c r="J340" i="72" s="1"/>
  <c r="X407" i="72" a="1"/>
  <c r="X407" i="72" s="1"/>
  <c r="X491" i="72" s="1"/>
  <c r="T427" i="72"/>
  <c r="T511" i="72" s="1"/>
  <c r="AF253" i="72"/>
  <c r="AF337" i="72" s="1"/>
  <c r="O428" i="72"/>
  <c r="O512" i="72" s="1"/>
  <c r="I254" i="72"/>
  <c r="I338" i="72" s="1"/>
  <c r="AA219" i="72" a="1"/>
  <c r="AA219" i="72" s="1"/>
  <c r="AA303" i="72" s="1"/>
  <c r="U57" i="72" a="1"/>
  <c r="U57" i="72" s="1"/>
  <c r="U141" i="72" s="1"/>
  <c r="AG392" i="72" a="1"/>
  <c r="AG392" i="72" s="1"/>
  <c r="AG476" i="72" s="1"/>
  <c r="Z236" i="72" a="1"/>
  <c r="Z236" i="72" s="1"/>
  <c r="Z320" i="72" s="1"/>
  <c r="AD256" i="72"/>
  <c r="AD340" i="72" s="1"/>
  <c r="K82" i="72"/>
  <c r="K166" i="72" s="1"/>
  <c r="AC425" i="72"/>
  <c r="AC509" i="72" s="1"/>
  <c r="Y405" i="72" a="1"/>
  <c r="Y405" i="72" s="1"/>
  <c r="Y489" i="72" s="1"/>
  <c r="AD428" i="72"/>
  <c r="AD512" i="72" s="1"/>
  <c r="I61" i="72" a="1"/>
  <c r="I61" i="72" s="1"/>
  <c r="I145" i="72" s="1"/>
  <c r="AB81" i="72"/>
  <c r="AB165" i="72" s="1"/>
  <c r="AE231" i="72" a="1"/>
  <c r="AE231" i="72" s="1"/>
  <c r="AE315" i="72" s="1"/>
  <c r="Y78" i="72"/>
  <c r="Y162" i="72" s="1"/>
  <c r="Q79" i="72"/>
  <c r="Q163" i="72" s="1"/>
  <c r="I256" i="72"/>
  <c r="I340" i="72" s="1"/>
  <c r="L58" i="72" a="1"/>
  <c r="L58" i="72" s="1"/>
  <c r="L142" i="72" s="1"/>
  <c r="T255" i="72"/>
  <c r="T339" i="72" s="1"/>
  <c r="N405" i="72" a="1"/>
  <c r="N405" i="72" s="1"/>
  <c r="N489" i="72" s="1"/>
  <c r="W61" i="72" a="1"/>
  <c r="W61" i="72" s="1"/>
  <c r="W145" i="72" s="1"/>
  <c r="V231" i="72" a="1"/>
  <c r="V231" i="72" s="1"/>
  <c r="V315" i="72" s="1"/>
  <c r="AF392" i="72" a="1"/>
  <c r="AF392" i="72" s="1"/>
  <c r="AF476" i="72" s="1"/>
  <c r="AF58" i="72" a="1"/>
  <c r="AF58" i="72" s="1"/>
  <c r="AF142" i="72" s="1"/>
  <c r="AG409" i="72" a="1"/>
  <c r="AG409" i="72" s="1"/>
  <c r="AG493" i="72" s="1"/>
  <c r="Z429" i="72"/>
  <c r="Z513" i="72" s="1"/>
  <c r="M237" i="72" a="1"/>
  <c r="M237" i="72" s="1"/>
  <c r="M321" i="72" s="1"/>
  <c r="AG406" i="72" a="1"/>
  <c r="AG406" i="72" s="1"/>
  <c r="AG490" i="72" s="1"/>
  <c r="O232" i="72" a="1"/>
  <c r="O232" i="72" s="1"/>
  <c r="O316" i="72" s="1"/>
  <c r="AF77" i="72"/>
  <c r="AF161" i="72" s="1"/>
  <c r="Z410" i="72" a="1"/>
  <c r="Z410" i="72" s="1"/>
  <c r="Z494" i="72" s="1"/>
  <c r="AG57" i="72" a="1"/>
  <c r="AG57" i="72" s="1"/>
  <c r="AG141" i="72" s="1"/>
  <c r="I236" i="72" a="1"/>
  <c r="I236" i="72" s="1"/>
  <c r="I320" i="72" s="1"/>
  <c r="H235" i="72" a="1"/>
  <c r="H235" i="72" s="1"/>
  <c r="H319" i="72" s="1"/>
  <c r="AB408" i="72" a="1"/>
  <c r="AB408" i="72" s="1"/>
  <c r="AB492" i="72" s="1"/>
  <c r="AD406" i="72" a="1"/>
  <c r="AD406" i="72" s="1"/>
  <c r="AD490" i="72" s="1"/>
  <c r="J234" i="72" a="1"/>
  <c r="J234" i="72" s="1"/>
  <c r="J318" i="72" s="1"/>
  <c r="M426" i="72"/>
  <c r="M510" i="72" s="1"/>
  <c r="AD254" i="72"/>
  <c r="AD338" i="72" s="1"/>
  <c r="Y240" i="72"/>
  <c r="Y324" i="72" s="1"/>
  <c r="T231" i="72" a="1"/>
  <c r="T231" i="72" s="1"/>
  <c r="T315" i="72" s="1"/>
  <c r="I400" i="72" a="1"/>
  <c r="I400" i="72" s="1"/>
  <c r="I484" i="72" s="1"/>
  <c r="J58" i="72" a="1"/>
  <c r="J58" i="72" s="1"/>
  <c r="J142" i="72" s="1"/>
  <c r="K237" i="72" a="1"/>
  <c r="K237" i="72" s="1"/>
  <c r="K321" i="72" s="1"/>
  <c r="AB256" i="72"/>
  <c r="AB340" i="72" s="1"/>
  <c r="M219" i="72" a="1"/>
  <c r="M219" i="72" s="1"/>
  <c r="M303" i="72" s="1"/>
  <c r="AA404" i="72" a="1"/>
  <c r="AA404" i="72" s="1"/>
  <c r="AA488" i="72" s="1"/>
  <c r="X253" i="72"/>
  <c r="X337" i="72" s="1"/>
  <c r="Y56" i="72" a="1"/>
  <c r="Y56" i="72" s="1"/>
  <c r="Y140" i="72" s="1"/>
  <c r="T65" i="72"/>
  <c r="T149" i="72" s="1"/>
  <c r="I83" i="72"/>
  <c r="I167" i="72" s="1"/>
  <c r="AC231" i="72" a="1"/>
  <c r="AC231" i="72" s="1"/>
  <c r="AC315" i="72" s="1"/>
  <c r="AB78" i="72"/>
  <c r="AB162" i="72" s="1"/>
  <c r="V392" i="72" a="1"/>
  <c r="V392" i="72" s="1"/>
  <c r="V476" i="72" s="1"/>
  <c r="P236" i="72" a="1"/>
  <c r="P236" i="72" s="1"/>
  <c r="P320" i="72" s="1"/>
  <c r="V235" i="72" a="1"/>
  <c r="V235" i="72" s="1"/>
  <c r="V319" i="72" s="1"/>
  <c r="P256" i="72"/>
  <c r="P340" i="72" s="1"/>
  <c r="P406" i="72" a="1"/>
  <c r="P406" i="72" s="1"/>
  <c r="P490" i="72" s="1"/>
  <c r="AC62" i="72" a="1"/>
  <c r="AC62" i="72" s="1"/>
  <c r="AC146" i="72" s="1"/>
  <c r="V405" i="72" a="1"/>
  <c r="V405" i="72" s="1"/>
  <c r="V489" i="72" s="1"/>
  <c r="R82" i="72"/>
  <c r="R166" i="72" s="1"/>
  <c r="W60" i="72" a="1"/>
  <c r="W60" i="72" s="1"/>
  <c r="W144" i="72" s="1"/>
  <c r="X219" i="72" a="1"/>
  <c r="X219" i="72" s="1"/>
  <c r="X303" i="72" s="1"/>
  <c r="AB80" i="72"/>
  <c r="AB164" i="72" s="1"/>
  <c r="AD392" i="72" a="1"/>
  <c r="AD392" i="72" s="1"/>
  <c r="AD476" i="72" s="1"/>
  <c r="AA79" i="72"/>
  <c r="AA163" i="72" s="1"/>
  <c r="W257" i="72"/>
  <c r="W341" i="72" s="1"/>
  <c r="T429" i="72"/>
  <c r="T513" i="72" s="1"/>
  <c r="Z406" i="72" a="1"/>
  <c r="Z406" i="72" s="1"/>
  <c r="Z490" i="72" s="1"/>
  <c r="X234" i="72" a="1"/>
  <c r="X234" i="72" s="1"/>
  <c r="X318" i="72" s="1"/>
  <c r="M232" i="72" a="1"/>
  <c r="M232" i="72" s="1"/>
  <c r="M316" i="72" s="1"/>
  <c r="H77" i="72"/>
  <c r="H161" i="72" s="1"/>
  <c r="L431" i="72"/>
  <c r="L515" i="72" s="1"/>
  <c r="AG82" i="72"/>
  <c r="AG166" i="72" s="1"/>
  <c r="K60" i="72" a="1"/>
  <c r="K60" i="72" s="1"/>
  <c r="K144" i="72" s="1"/>
  <c r="AB252" i="72"/>
  <c r="AB336" i="72" s="1"/>
  <c r="W57" i="72" a="1"/>
  <c r="W57" i="72" s="1"/>
  <c r="W141" i="72" s="1"/>
  <c r="AG83" i="72"/>
  <c r="AG167" i="72" s="1"/>
  <c r="R410" i="72" a="1"/>
  <c r="R410" i="72" s="1"/>
  <c r="R494" i="72" s="1"/>
  <c r="H258" i="72"/>
  <c r="H342" i="72" s="1"/>
  <c r="P81" i="72"/>
  <c r="P165" i="72" s="1"/>
  <c r="V406" i="72" a="1"/>
  <c r="V406" i="72" s="1"/>
  <c r="V490" i="72" s="1"/>
  <c r="N258" i="72"/>
  <c r="N342" i="72" s="1"/>
  <c r="J77" i="72"/>
  <c r="J161" i="72" s="1"/>
  <c r="Y65" i="72"/>
  <c r="Y149" i="72" s="1"/>
  <c r="J233" i="72" a="1"/>
  <c r="J233" i="72" s="1"/>
  <c r="J317" i="72" s="1"/>
  <c r="Q231" i="72" a="1"/>
  <c r="Q231" i="72" s="1"/>
  <c r="Q315" i="72" s="1"/>
  <c r="AF78" i="72"/>
  <c r="AF162" i="72" s="1"/>
  <c r="V62" i="72" a="1"/>
  <c r="V62" i="72" s="1"/>
  <c r="V146" i="72" s="1"/>
  <c r="O62" i="72" a="1"/>
  <c r="O62" i="72" s="1"/>
  <c r="O146" i="72" s="1"/>
  <c r="Y429" i="72"/>
  <c r="Y513" i="72" s="1"/>
  <c r="J44" i="72" a="1"/>
  <c r="J44" i="72" s="1"/>
  <c r="J128" i="72" s="1"/>
  <c r="U425" i="72"/>
  <c r="U509" i="72" s="1"/>
  <c r="AC56" i="72" a="1"/>
  <c r="AC56" i="72" s="1"/>
  <c r="AC140" i="72" s="1"/>
  <c r="AF65" i="72"/>
  <c r="AF149" i="72" s="1"/>
  <c r="T82" i="72"/>
  <c r="T166" i="72" s="1"/>
  <c r="L240" i="72"/>
  <c r="L324" i="72" s="1"/>
  <c r="T57" i="72" a="1"/>
  <c r="T57" i="72" s="1"/>
  <c r="T141" i="72" s="1"/>
  <c r="J392" i="72" a="1"/>
  <c r="J392" i="72" s="1"/>
  <c r="J476" i="72" s="1"/>
  <c r="K257" i="72"/>
  <c r="K341" i="72" s="1"/>
  <c r="O256" i="72"/>
  <c r="O340" i="72" s="1"/>
  <c r="T406" i="72" a="1"/>
  <c r="T406" i="72" s="1"/>
  <c r="T490" i="72" s="1"/>
  <c r="AF232" i="72" a="1"/>
  <c r="AF232" i="72" s="1"/>
  <c r="AF316" i="72" s="1"/>
  <c r="O407" i="72" a="1"/>
  <c r="O407" i="72" s="1"/>
  <c r="O491" i="72" s="1"/>
  <c r="X44" i="72" a="1"/>
  <c r="X44" i="72" s="1"/>
  <c r="X128" i="72" s="1"/>
  <c r="I233" i="72" a="1"/>
  <c r="I233" i="72" s="1"/>
  <c r="I317" i="72" s="1"/>
  <c r="U78" i="72"/>
  <c r="U162" i="72" s="1"/>
  <c r="Y413" i="72"/>
  <c r="Y497" i="72" s="1"/>
  <c r="Z257" i="72"/>
  <c r="Z341" i="72" s="1"/>
  <c r="AD235" i="72" a="1"/>
  <c r="AD235" i="72" s="1"/>
  <c r="AD319" i="72" s="1"/>
  <c r="K61" i="72" a="1"/>
  <c r="K61" i="72" s="1"/>
  <c r="K145" i="72" s="1"/>
  <c r="Q258" i="72"/>
  <c r="Q342" i="72" s="1"/>
  <c r="U255" i="72"/>
  <c r="U339" i="72" s="1"/>
  <c r="AD426" i="72"/>
  <c r="AD510" i="72" s="1"/>
  <c r="P65" i="72"/>
  <c r="P149" i="72" s="1"/>
  <c r="N82" i="72"/>
  <c r="N166" i="72" s="1"/>
  <c r="S240" i="72"/>
  <c r="S324" i="72" s="1"/>
  <c r="W252" i="72"/>
  <c r="W336" i="72" s="1"/>
  <c r="Q413" i="72"/>
  <c r="Q497" i="72" s="1"/>
  <c r="T431" i="72"/>
  <c r="T515" i="72" s="1"/>
  <c r="N256" i="72"/>
  <c r="N340" i="72" s="1"/>
  <c r="AB406" i="72" a="1"/>
  <c r="AB406" i="72" s="1"/>
  <c r="AB490" i="72" s="1"/>
  <c r="K255" i="72"/>
  <c r="K339" i="72" s="1"/>
  <c r="L77" i="72"/>
  <c r="L161" i="72" s="1"/>
  <c r="AE44" i="72" a="1"/>
  <c r="AE44" i="72" s="1"/>
  <c r="AE128" i="72" s="1"/>
  <c r="H233" i="72" a="1"/>
  <c r="H233" i="72" s="1"/>
  <c r="H317" i="72" s="1"/>
  <c r="T219" i="72" a="1"/>
  <c r="T219" i="72" s="1"/>
  <c r="T303" i="72" s="1"/>
  <c r="J59" i="72" a="1"/>
  <c r="J59" i="72" s="1"/>
  <c r="J143" i="72" s="1"/>
  <c r="AE83" i="72"/>
  <c r="AE167" i="72" s="1"/>
  <c r="Y430" i="72"/>
  <c r="Y514" i="72" s="1"/>
  <c r="M429" i="72"/>
  <c r="M513" i="72" s="1"/>
  <c r="L257" i="72"/>
  <c r="L341" i="72" s="1"/>
  <c r="AB404" i="72" a="1"/>
  <c r="AB404" i="72" s="1"/>
  <c r="AB488" i="72" s="1"/>
  <c r="H405" i="72" a="1"/>
  <c r="H405" i="72" s="1"/>
  <c r="H489" i="72" s="1"/>
  <c r="AC428" i="72"/>
  <c r="AC512" i="72" s="1"/>
  <c r="V61" i="72" a="1"/>
  <c r="V61" i="72" s="1"/>
  <c r="V145" i="72" s="1"/>
  <c r="R60" i="72" a="1"/>
  <c r="R60" i="72" s="1"/>
  <c r="R144" i="72" s="1"/>
  <c r="AD252" i="72"/>
  <c r="AD336" i="72" s="1"/>
  <c r="X57" i="72" a="1"/>
  <c r="X57" i="72" s="1"/>
  <c r="X141" i="72" s="1"/>
  <c r="P79" i="72"/>
  <c r="P163" i="72" s="1"/>
  <c r="Q431" i="72"/>
  <c r="Q515" i="72" s="1"/>
  <c r="M256" i="72"/>
  <c r="M340" i="72" s="1"/>
  <c r="AE427" i="72"/>
  <c r="AE511" i="72" s="1"/>
  <c r="Q427" i="72"/>
  <c r="Q511" i="72" s="1"/>
  <c r="Y253" i="72"/>
  <c r="Y337" i="72" s="1"/>
  <c r="K77" i="72"/>
  <c r="K161" i="72" s="1"/>
  <c r="AD44" i="72" a="1"/>
  <c r="AD44" i="72" s="1"/>
  <c r="AD128" i="72" s="1"/>
  <c r="V254" i="72"/>
  <c r="V338" i="72" s="1"/>
  <c r="Y219" i="72" a="1"/>
  <c r="Y219" i="72" s="1"/>
  <c r="Y303" i="72" s="1"/>
  <c r="Y80" i="72"/>
  <c r="Y164" i="72" s="1"/>
  <c r="AE413" i="72"/>
  <c r="AE497" i="72" s="1"/>
  <c r="AE79" i="72"/>
  <c r="AE163" i="72" s="1"/>
  <c r="AF430" i="72"/>
  <c r="AF514" i="72" s="1"/>
  <c r="V408" i="72" a="1"/>
  <c r="V408" i="72" s="1"/>
  <c r="V492" i="72" s="1"/>
  <c r="AG255" i="72"/>
  <c r="AG339" i="72" s="1"/>
  <c r="N253" i="72"/>
  <c r="N337" i="72" s="1"/>
  <c r="AB407" i="72" a="1"/>
  <c r="AB407" i="72" s="1"/>
  <c r="AB491" i="72" s="1"/>
  <c r="T44" i="72" a="1"/>
  <c r="T44" i="72" s="1"/>
  <c r="T128" i="72" s="1"/>
  <c r="O254" i="72"/>
  <c r="O338" i="72" s="1"/>
  <c r="Q219" i="72" a="1"/>
  <c r="Q219" i="72" s="1"/>
  <c r="Q303" i="72" s="1"/>
  <c r="AF80" i="72"/>
  <c r="AF164" i="72" s="1"/>
  <c r="L62" i="72" a="1"/>
  <c r="L62" i="72" s="1"/>
  <c r="L146" i="72" s="1"/>
  <c r="S431" i="72"/>
  <c r="S515" i="72" s="1"/>
  <c r="H236" i="72" a="1"/>
  <c r="H236" i="72" s="1"/>
  <c r="H320" i="72" s="1"/>
  <c r="L235" i="72" a="1"/>
  <c r="L235" i="72" s="1"/>
  <c r="L319" i="72" s="1"/>
  <c r="K404" i="72" a="1"/>
  <c r="K404" i="72" s="1"/>
  <c r="K488" i="72" s="1"/>
  <c r="I253" i="72"/>
  <c r="I337" i="72" s="1"/>
  <c r="L426" i="72"/>
  <c r="L510" i="72" s="1"/>
  <c r="AC65" i="72"/>
  <c r="AC149" i="72" s="1"/>
  <c r="J431" i="72"/>
  <c r="J515" i="72" s="1"/>
  <c r="AA60" i="72" a="1"/>
  <c r="AA60" i="72" s="1"/>
  <c r="AA144" i="72" s="1"/>
  <c r="U258" i="72"/>
  <c r="U342" i="72" s="1"/>
  <c r="AE78" i="72"/>
  <c r="AE162" i="72" s="1"/>
  <c r="AA58" i="72" a="1"/>
  <c r="AA58" i="72" s="1"/>
  <c r="AA142" i="72" s="1"/>
  <c r="W236" i="72" a="1"/>
  <c r="W236" i="72" s="1"/>
  <c r="W320" i="72" s="1"/>
  <c r="T408" i="72" a="1"/>
  <c r="T408" i="72" s="1"/>
  <c r="T492" i="72" s="1"/>
  <c r="S404" i="72" a="1"/>
  <c r="S404" i="72" s="1"/>
  <c r="S488" i="72" s="1"/>
  <c r="AE431" i="72"/>
  <c r="AE515" i="72" s="1"/>
  <c r="M62" i="72" a="1"/>
  <c r="M62" i="72" s="1"/>
  <c r="M146" i="72" s="1"/>
  <c r="U428" i="72"/>
  <c r="U512" i="72" s="1"/>
  <c r="M65" i="72"/>
  <c r="M149" i="72" s="1"/>
  <c r="AC254" i="72"/>
  <c r="AC338" i="72" s="1"/>
  <c r="P240" i="72"/>
  <c r="P324" i="72" s="1"/>
  <c r="Q80" i="72"/>
  <c r="Q164" i="72" s="1"/>
  <c r="N413" i="72"/>
  <c r="N497" i="72" s="1"/>
  <c r="AD58" i="72" a="1"/>
  <c r="AD58" i="72" s="1"/>
  <c r="AD142" i="72" s="1"/>
  <c r="P430" i="72"/>
  <c r="P514" i="72" s="1"/>
  <c r="R253" i="72"/>
  <c r="R337" i="72" s="1"/>
  <c r="J406" i="72" a="1"/>
  <c r="J406" i="72" s="1"/>
  <c r="J490" i="72" s="1"/>
  <c r="H234" i="72" a="1"/>
  <c r="H234" i="72" s="1"/>
  <c r="H318" i="72" s="1"/>
  <c r="W83" i="72"/>
  <c r="W167" i="72" s="1"/>
  <c r="H410" i="72" a="1"/>
  <c r="H410" i="72" s="1"/>
  <c r="H494" i="72" s="1"/>
  <c r="AA57" i="72" a="1"/>
  <c r="AA57" i="72" s="1"/>
  <c r="AA141" i="72" s="1"/>
  <c r="O425" i="72"/>
  <c r="O509" i="72" s="1"/>
  <c r="AG253" i="72"/>
  <c r="AG337" i="72" s="1"/>
  <c r="P428" i="72"/>
  <c r="P512" i="72" s="1"/>
  <c r="AF60" i="72" a="1"/>
  <c r="AF60" i="72" s="1"/>
  <c r="AF144" i="72" s="1"/>
  <c r="Q252" i="72"/>
  <c r="Q336" i="72" s="1"/>
  <c r="AF57" i="72" a="1"/>
  <c r="AF57" i="72" s="1"/>
  <c r="AF141" i="72" s="1"/>
  <c r="V83" i="72"/>
  <c r="V167" i="72" s="1"/>
  <c r="O83" i="72"/>
  <c r="O167" i="72" s="1"/>
  <c r="Y408" i="72" a="1"/>
  <c r="Y408" i="72" s="1"/>
  <c r="Y492" i="72" s="1"/>
  <c r="J65" i="72"/>
  <c r="J149" i="72" s="1"/>
  <c r="N406" i="72" a="1"/>
  <c r="N406" i="72" s="1"/>
  <c r="N490" i="72" s="1"/>
  <c r="AB255" i="72"/>
  <c r="AB339" i="72" s="1"/>
  <c r="R77" i="72"/>
  <c r="R161" i="72" s="1"/>
  <c r="AF44" i="72" a="1"/>
  <c r="AF44" i="72" s="1"/>
  <c r="AF128" i="72" s="1"/>
  <c r="Y233" i="72" a="1"/>
  <c r="Y233" i="72" s="1"/>
  <c r="Y317" i="72" s="1"/>
  <c r="L219" i="72" a="1"/>
  <c r="L219" i="72" s="1"/>
  <c r="L303" i="72" s="1"/>
  <c r="T78" i="72"/>
  <c r="T162" i="72" s="1"/>
  <c r="K236" i="72" a="1"/>
  <c r="K236" i="72" s="1"/>
  <c r="K320" i="72" s="1"/>
  <c r="O235" i="72" a="1"/>
  <c r="O235" i="72" s="1"/>
  <c r="O319" i="72" s="1"/>
  <c r="N425" i="72"/>
  <c r="N509" i="72" s="1"/>
  <c r="O405" i="72" a="1"/>
  <c r="O405" i="72" s="1"/>
  <c r="O489" i="72" s="1"/>
  <c r="V428" i="72"/>
  <c r="V512" i="72" s="1"/>
  <c r="X65" i="72"/>
  <c r="X149" i="72" s="1"/>
  <c r="O81" i="72"/>
  <c r="O165" i="72" s="1"/>
  <c r="P231" i="72" a="1"/>
  <c r="P231" i="72" s="1"/>
  <c r="P315" i="72" s="1"/>
  <c r="J78" i="72"/>
  <c r="J162" i="72" s="1"/>
  <c r="AF83" i="72"/>
  <c r="AF167" i="72" s="1"/>
  <c r="AG410" i="72" a="1"/>
  <c r="AG410" i="72" s="1"/>
  <c r="AG494" i="72" s="1"/>
  <c r="AG252" i="72"/>
  <c r="AG336" i="72" s="1"/>
  <c r="Q237" i="72" a="1"/>
  <c r="Q237" i="72" s="1"/>
  <c r="Q321" i="72" s="1"/>
  <c r="U234" i="72" a="1"/>
  <c r="U234" i="72" s="1"/>
  <c r="U318" i="72" s="1"/>
  <c r="AD405" i="72" a="1"/>
  <c r="AD405" i="72" s="1"/>
  <c r="AD489" i="72" s="1"/>
  <c r="P44" i="72" a="1"/>
  <c r="P44" i="72" s="1"/>
  <c r="P128" i="72" s="1"/>
  <c r="N61" i="72" a="1"/>
  <c r="N61" i="72" s="1"/>
  <c r="N145" i="72" s="1"/>
  <c r="W231" i="72" a="1"/>
  <c r="W231" i="72" s="1"/>
  <c r="W315" i="72" s="1"/>
  <c r="Q392" i="72" a="1"/>
  <c r="Q392" i="72" s="1"/>
  <c r="Q476" i="72" s="1"/>
  <c r="Q518" i="72" s="1"/>
  <c r="T410" i="72" a="1"/>
  <c r="T410" i="72" s="1"/>
  <c r="T494" i="72" s="1"/>
  <c r="N235" i="72" a="1"/>
  <c r="N235" i="72" s="1"/>
  <c r="N319" i="72" s="1"/>
  <c r="AB427" i="72"/>
  <c r="AB511" i="72" s="1"/>
  <c r="K234" i="72" a="1"/>
  <c r="K234" i="72" s="1"/>
  <c r="K318" i="72" s="1"/>
  <c r="L56" i="72" a="1"/>
  <c r="L56" i="72" s="1"/>
  <c r="L140" i="72" s="1"/>
  <c r="H254" i="72"/>
  <c r="H338" i="72" s="1"/>
  <c r="Z240" i="72"/>
  <c r="Z324" i="72" s="1"/>
  <c r="J80" i="72"/>
  <c r="J164" i="72" s="1"/>
  <c r="X413" i="72"/>
  <c r="X497" i="72" s="1"/>
  <c r="AE62" i="72" a="1"/>
  <c r="AE62" i="72" s="1"/>
  <c r="AE146" i="72" s="1"/>
  <c r="Y409" i="72" a="1"/>
  <c r="Y409" i="72" s="1"/>
  <c r="Y493" i="72" s="1"/>
  <c r="M408" i="72" a="1"/>
  <c r="M408" i="72" s="1"/>
  <c r="M492" i="72" s="1"/>
  <c r="L236" i="72" a="1"/>
  <c r="L236" i="72" s="1"/>
  <c r="L320" i="72" s="1"/>
  <c r="AF81" i="72"/>
  <c r="AF165" i="72" s="1"/>
  <c r="O429" i="72"/>
  <c r="O513" i="72" s="1"/>
  <c r="T258" i="72"/>
  <c r="T342" i="72" s="1"/>
  <c r="Y392" i="72" a="1"/>
  <c r="Y392" i="72" s="1"/>
  <c r="Y476" i="72" s="1"/>
  <c r="AG257" i="72"/>
  <c r="AG341" i="72" s="1"/>
  <c r="AC407" i="72" a="1"/>
  <c r="AC407" i="72" s="1"/>
  <c r="AC491" i="72" s="1"/>
  <c r="P58" i="72" a="1"/>
  <c r="P58" i="72" s="1"/>
  <c r="P142" i="72" s="1"/>
  <c r="Q406" i="72" a="1"/>
  <c r="Q406" i="72" s="1"/>
  <c r="Q490" i="72" s="1"/>
  <c r="U65" i="72"/>
  <c r="U149" i="72" s="1"/>
  <c r="Q57" i="72" a="1"/>
  <c r="Q57" i="72" s="1"/>
  <c r="Q141" i="72" s="1"/>
  <c r="V429" i="72"/>
  <c r="V513" i="72" s="1"/>
  <c r="X405" i="72" a="1"/>
  <c r="X405" i="72" s="1"/>
  <c r="X489" i="72" s="1"/>
  <c r="V58" i="72" a="1"/>
  <c r="V58" i="72" s="1"/>
  <c r="V142" i="72" s="1"/>
  <c r="S425" i="72"/>
  <c r="S509" i="72" s="1"/>
  <c r="M83" i="72"/>
  <c r="M167" i="72" s="1"/>
  <c r="M44" i="72" a="1"/>
  <c r="M44" i="72" s="1"/>
  <c r="M128" i="72" s="1"/>
  <c r="K81" i="72"/>
  <c r="K165" i="72" s="1"/>
  <c r="W78" i="72"/>
  <c r="W162" i="72" s="1"/>
  <c r="O257" i="72"/>
  <c r="O341" i="72" s="1"/>
  <c r="S408" i="72" a="1"/>
  <c r="S408" i="72" s="1"/>
  <c r="S492" i="72" s="1"/>
  <c r="J425" i="72"/>
  <c r="J509" i="72" s="1"/>
  <c r="AB232" i="72" a="1"/>
  <c r="AB232" i="72" s="1"/>
  <c r="AB316" i="72" s="1"/>
  <c r="X77" i="72"/>
  <c r="X161" i="72" s="1"/>
  <c r="AB82" i="72"/>
  <c r="AB166" i="72" s="1"/>
  <c r="U81" i="72"/>
  <c r="U165" i="72" s="1"/>
  <c r="W219" i="72" a="1"/>
  <c r="W219" i="72" s="1"/>
  <c r="W303" i="72" s="1"/>
  <c r="AD78" i="72"/>
  <c r="AD162" i="72" s="1"/>
  <c r="Y83" i="72"/>
  <c r="Y167" i="72" s="1"/>
  <c r="AD236" i="72" a="1"/>
  <c r="AD236" i="72" s="1"/>
  <c r="AD320" i="72" s="1"/>
  <c r="S235" i="72" a="1"/>
  <c r="S235" i="72" s="1"/>
  <c r="S319" i="72" s="1"/>
  <c r="Y425" i="72"/>
  <c r="Y509" i="72" s="1"/>
  <c r="L253" i="72"/>
  <c r="L337" i="72" s="1"/>
  <c r="W56" i="72" a="1"/>
  <c r="W56" i="72" s="1"/>
  <c r="W140" i="72" s="1"/>
  <c r="AG233" i="72" a="1"/>
  <c r="AG233" i="72" s="1"/>
  <c r="AG317" i="72" s="1"/>
  <c r="O219" i="72" a="1"/>
  <c r="O219" i="72" s="1"/>
  <c r="O303" i="72" s="1"/>
  <c r="AE59" i="72" a="1"/>
  <c r="AE59" i="72" s="1"/>
  <c r="AE143" i="72" s="1"/>
  <c r="AB237" i="72" a="1"/>
  <c r="AB237" i="72" s="1"/>
  <c r="AB321" i="72" s="1"/>
  <c r="T257" i="72"/>
  <c r="T341" i="72" s="1"/>
  <c r="R256" i="72"/>
  <c r="R340" i="72" s="1"/>
  <c r="O234" i="72" a="1"/>
  <c r="O234" i="72" s="1"/>
  <c r="O318" i="72" s="1"/>
  <c r="AA232" i="72" a="1"/>
  <c r="AA232" i="72" s="1"/>
  <c r="AA316" i="72" s="1"/>
  <c r="V77" i="72"/>
  <c r="V161" i="72" s="1"/>
  <c r="L82" i="72"/>
  <c r="L166" i="72" s="1"/>
  <c r="Q254" i="72"/>
  <c r="Q338" i="72" s="1"/>
  <c r="AD240" i="72"/>
  <c r="AD324" i="72" s="1"/>
  <c r="V59" i="72" a="1"/>
  <c r="V59" i="72" s="1"/>
  <c r="V143" i="72" s="1"/>
  <c r="X79" i="72"/>
  <c r="X163" i="72" s="1"/>
  <c r="AC430" i="72"/>
  <c r="AC514" i="72" s="1"/>
  <c r="Q408" i="72" a="1"/>
  <c r="Q408" i="72" s="1"/>
  <c r="Q492" i="72" s="1"/>
  <c r="X406" i="72" a="1"/>
  <c r="X406" i="72" s="1"/>
  <c r="X490" i="72" s="1"/>
  <c r="Y431" i="72"/>
  <c r="Y515" i="72" s="1"/>
  <c r="AG426" i="72"/>
  <c r="AG510" i="72" s="1"/>
  <c r="Y428" i="72"/>
  <c r="Y512" i="72" s="1"/>
  <c r="X61" i="72" a="1"/>
  <c r="X61" i="72" s="1"/>
  <c r="X145" i="72" s="1"/>
  <c r="Y60" i="72" a="1"/>
  <c r="Y60" i="72" s="1"/>
  <c r="Y144" i="72" s="1"/>
  <c r="AD59" i="72" a="1"/>
  <c r="AD59" i="72" s="1"/>
  <c r="AD143" i="72" s="1"/>
  <c r="L413" i="72"/>
  <c r="L497" i="72" s="1"/>
  <c r="M236" i="72" a="1"/>
  <c r="M236" i="72" s="1"/>
  <c r="M320" i="72" s="1"/>
  <c r="Q235" i="72" a="1"/>
  <c r="Q235" i="72" s="1"/>
  <c r="Q319" i="72" s="1"/>
  <c r="R425" i="72"/>
  <c r="R509" i="72" s="1"/>
  <c r="Z253" i="72"/>
  <c r="Z337" i="72" s="1"/>
  <c r="Q428" i="72"/>
  <c r="Q512" i="72" s="1"/>
  <c r="AA82" i="72"/>
  <c r="AA166" i="72" s="1"/>
  <c r="P233" i="72" a="1"/>
  <c r="P233" i="72" s="1"/>
  <c r="P317" i="72" s="1"/>
  <c r="AC219" i="72" a="1"/>
  <c r="AC219" i="72" s="1"/>
  <c r="AC303" i="72" s="1"/>
  <c r="T59" i="72" a="1"/>
  <c r="T59" i="72" s="1"/>
  <c r="T143" i="72" s="1"/>
  <c r="AA413" i="72"/>
  <c r="AA497" i="72" s="1"/>
  <c r="AB236" i="72" a="1"/>
  <c r="AB236" i="72" s="1"/>
  <c r="AB320" i="72" s="1"/>
  <c r="AA408" i="72" a="1"/>
  <c r="AA408" i="72" s="1"/>
  <c r="AA492" i="72" s="1"/>
  <c r="AA78" i="72"/>
  <c r="AA162" i="72" s="1"/>
  <c r="Y254" i="72"/>
  <c r="Y338" i="72" s="1"/>
  <c r="I408" i="72" a="1"/>
  <c r="I408" i="72" s="1"/>
  <c r="I492" i="72" s="1"/>
  <c r="O60" i="72" a="1"/>
  <c r="O60" i="72" s="1"/>
  <c r="O144" i="72" s="1"/>
  <c r="AF62" i="72" a="1"/>
  <c r="AF62" i="72" s="1"/>
  <c r="AF146" i="72" s="1"/>
  <c r="J236" i="72" a="1"/>
  <c r="J236" i="72" s="1"/>
  <c r="J320" i="72" s="1"/>
  <c r="R83" i="72"/>
  <c r="R167" i="72" s="1"/>
  <c r="X256" i="72"/>
  <c r="X340" i="72" s="1"/>
  <c r="O65" i="72"/>
  <c r="O149" i="72" s="1"/>
  <c r="AC431" i="72"/>
  <c r="AC515" i="72" s="1"/>
  <c r="L425" i="72"/>
  <c r="L509" i="72" s="1"/>
  <c r="AE392" i="72" a="1"/>
  <c r="AE392" i="72" s="1"/>
  <c r="AE476" i="72" s="1"/>
  <c r="L429" i="72"/>
  <c r="L513" i="72" s="1"/>
  <c r="AB428" i="72"/>
  <c r="AB512" i="72" s="1"/>
  <c r="I219" i="72" a="1"/>
  <c r="I219" i="72" s="1"/>
  <c r="I303" i="72" s="1"/>
  <c r="I431" i="72"/>
  <c r="I515" i="72" s="1"/>
  <c r="AC44" i="72" a="1"/>
  <c r="AC44" i="72" s="1"/>
  <c r="AC128" i="72" s="1"/>
  <c r="U237" i="72" a="1"/>
  <c r="U237" i="72" s="1"/>
  <c r="U321" i="72" s="1"/>
  <c r="V79" i="72"/>
  <c r="V163" i="72" s="1"/>
  <c r="Z425" i="72"/>
  <c r="Z509" i="72" s="1"/>
  <c r="U426" i="72"/>
  <c r="U510" i="72" s="1"/>
  <c r="V257" i="72"/>
  <c r="V341" i="72" s="1"/>
  <c r="R232" i="72" a="1"/>
  <c r="R232" i="72" s="1"/>
  <c r="R316" i="72" s="1"/>
  <c r="P255" i="72"/>
  <c r="P339" i="72" s="1"/>
  <c r="W62" i="72" a="1"/>
  <c r="W62" i="72" s="1"/>
  <c r="W146" i="72" s="1"/>
  <c r="S407" i="72" a="1"/>
  <c r="S407" i="72" s="1"/>
  <c r="S491" i="72" s="1"/>
  <c r="AB61" i="72" a="1"/>
  <c r="AB61" i="72" s="1"/>
  <c r="AB145" i="72" s="1"/>
  <c r="U60" i="72" a="1"/>
  <c r="U60" i="72" s="1"/>
  <c r="U144" i="72" s="1"/>
  <c r="AD57" i="72" a="1"/>
  <c r="AD57" i="72" s="1"/>
  <c r="AD141" i="72" s="1"/>
  <c r="Y79" i="72"/>
  <c r="Y163" i="72" s="1"/>
  <c r="U257" i="72"/>
  <c r="U341" i="72" s="1"/>
  <c r="R429" i="72"/>
  <c r="R513" i="72" s="1"/>
  <c r="Y404" i="72" a="1"/>
  <c r="Y404" i="72" s="1"/>
  <c r="Y488" i="72" s="1"/>
  <c r="L232" i="72" a="1"/>
  <c r="L232" i="72" s="1"/>
  <c r="L316" i="72" s="1"/>
  <c r="W77" i="72"/>
  <c r="W161" i="72" s="1"/>
  <c r="M82" i="72"/>
  <c r="M166" i="72" s="1"/>
  <c r="I258" i="72"/>
  <c r="I342" i="72" s="1"/>
  <c r="W59" i="72" a="1"/>
  <c r="W59" i="72" s="1"/>
  <c r="W143" i="72" s="1"/>
  <c r="AB258" i="72"/>
  <c r="AB342" i="72" s="1"/>
  <c r="T236" i="72" a="1"/>
  <c r="T236" i="72" s="1"/>
  <c r="T320" i="72" s="1"/>
  <c r="R235" i="72" a="1"/>
  <c r="R235" i="72" s="1"/>
  <c r="R319" i="72" s="1"/>
  <c r="I427" i="72"/>
  <c r="I511" i="72" s="1"/>
  <c r="V234" i="72" a="1"/>
  <c r="V234" i="72" s="1"/>
  <c r="V318" i="72" s="1"/>
  <c r="R407" i="72" a="1"/>
  <c r="R407" i="72" s="1"/>
  <c r="R491" i="72" s="1"/>
  <c r="L61" i="72" a="1"/>
  <c r="L61" i="72" s="1"/>
  <c r="L145" i="72" s="1"/>
  <c r="Q233" i="72" a="1"/>
  <c r="Q233" i="72" s="1"/>
  <c r="Q317" i="72" s="1"/>
  <c r="AC78" i="72"/>
  <c r="AC162" i="72" s="1"/>
  <c r="X58" i="72" a="1"/>
  <c r="X58" i="72" s="1"/>
  <c r="X142" i="72" s="1"/>
  <c r="AC409" i="72" a="1"/>
  <c r="AC409" i="72" s="1"/>
  <c r="AC493" i="72" s="1"/>
  <c r="Q429" i="72"/>
  <c r="Q513" i="72" s="1"/>
  <c r="X427" i="72"/>
  <c r="X511" i="72" s="1"/>
  <c r="Y410" i="72" a="1"/>
  <c r="Y410" i="72" s="1"/>
  <c r="Y494" i="72" s="1"/>
  <c r="AG405" i="72" a="1"/>
  <c r="AG405" i="72" s="1"/>
  <c r="AG489" i="72" s="1"/>
  <c r="Y407" i="72" a="1"/>
  <c r="Y407" i="72" s="1"/>
  <c r="Y491" i="72" s="1"/>
  <c r="AA254" i="72"/>
  <c r="AA338" i="72" s="1"/>
  <c r="N240" i="72"/>
  <c r="N324" i="72" s="1"/>
  <c r="AD80" i="72"/>
  <c r="AD164" i="72" s="1"/>
  <c r="R236" i="72" a="1"/>
  <c r="R236" i="72" s="1"/>
  <c r="R320" i="72" s="1"/>
  <c r="K429" i="72"/>
  <c r="K513" i="72" s="1"/>
  <c r="H425" i="72"/>
  <c r="H509" i="72" s="1"/>
  <c r="Q426" i="72"/>
  <c r="Q510" i="72" s="1"/>
  <c r="I428" i="72"/>
  <c r="I512" i="72" s="1"/>
  <c r="AA61" i="72" a="1"/>
  <c r="AA61" i="72" s="1"/>
  <c r="AA145" i="72" s="1"/>
  <c r="P254" i="72"/>
  <c r="P338" i="72" s="1"/>
  <c r="R252" i="72"/>
  <c r="R336" i="72" s="1"/>
  <c r="L57" i="72" a="1"/>
  <c r="L57" i="72" s="1"/>
  <c r="L141" i="72" s="1"/>
  <c r="AA392" i="72" a="1"/>
  <c r="AA392" i="72" s="1"/>
  <c r="AA476" i="72" s="1"/>
  <c r="AB430" i="72"/>
  <c r="AB514" i="72" s="1"/>
  <c r="P429" i="72"/>
  <c r="P513" i="72" s="1"/>
  <c r="O404" i="72" a="1"/>
  <c r="O404" i="72" s="1"/>
  <c r="O488" i="72" s="1"/>
  <c r="I252" i="72"/>
  <c r="I336" i="72" s="1"/>
  <c r="S413" i="72"/>
  <c r="S497" i="72" s="1"/>
  <c r="AG431" i="72"/>
  <c r="AG515" i="72" s="1"/>
  <c r="X233" i="72" a="1"/>
  <c r="X233" i="72" s="1"/>
  <c r="X317" i="72" s="1"/>
  <c r="H408" i="72" a="1"/>
  <c r="H408" i="72" s="1"/>
  <c r="H492" i="72" s="1"/>
  <c r="J232" i="72" a="1"/>
  <c r="J232" i="72" s="1"/>
  <c r="J316" i="72" s="1"/>
  <c r="AD231" i="72" a="1"/>
  <c r="AD231" i="72" s="1"/>
  <c r="AD315" i="72" s="1"/>
  <c r="Q410" i="72" a="1"/>
  <c r="Q410" i="72" s="1"/>
  <c r="Q494" i="72" s="1"/>
  <c r="Y232" i="72" a="1"/>
  <c r="Y232" i="72" s="1"/>
  <c r="Y316" i="72" s="1"/>
  <c r="V233" i="72" a="1"/>
  <c r="V233" i="72" s="1"/>
  <c r="V317" i="72" s="1"/>
  <c r="T83" i="72"/>
  <c r="T167" i="72" s="1"/>
  <c r="I240" i="72"/>
  <c r="I324" i="72" s="1"/>
  <c r="S410" i="72" a="1"/>
  <c r="S410" i="72" s="1"/>
  <c r="S494" i="72" s="1"/>
  <c r="K425" i="72"/>
  <c r="K509" i="72" s="1"/>
  <c r="M252" i="72"/>
  <c r="M336" i="72" s="1"/>
  <c r="O430" i="72"/>
  <c r="O514" i="72" s="1"/>
  <c r="AF234" i="72" a="1"/>
  <c r="AF234" i="72" s="1"/>
  <c r="AF318" i="72" s="1"/>
  <c r="AA405" i="72" a="1"/>
  <c r="AA405" i="72" s="1"/>
  <c r="AA489" i="72" s="1"/>
  <c r="P219" i="72" a="1"/>
  <c r="P219" i="72" s="1"/>
  <c r="P303" i="72" s="1"/>
  <c r="N392" i="72" a="1"/>
  <c r="N392" i="72" s="1"/>
  <c r="N476" i="72" s="1"/>
  <c r="V236" i="72" a="1"/>
  <c r="V236" i="72" s="1"/>
  <c r="V320" i="72" s="1"/>
  <c r="O82" i="72"/>
  <c r="O166" i="72" s="1"/>
  <c r="O410" i="72" a="1"/>
  <c r="O410" i="72" s="1"/>
  <c r="O494" i="72" s="1"/>
  <c r="P234" i="72" a="1"/>
  <c r="P234" i="72" s="1"/>
  <c r="P318" i="72" s="1"/>
  <c r="X410" i="72" a="1"/>
  <c r="X410" i="72" s="1"/>
  <c r="X494" i="72" s="1"/>
  <c r="S428" i="72"/>
  <c r="S512" i="72" s="1"/>
  <c r="Q61" i="72" a="1"/>
  <c r="Q61" i="72" s="1"/>
  <c r="Q145" i="72" s="1"/>
  <c r="Z81" i="72"/>
  <c r="Z165" i="72" s="1"/>
  <c r="L252" i="72"/>
  <c r="L336" i="72" s="1"/>
  <c r="V78" i="72"/>
  <c r="V162" i="72" s="1"/>
  <c r="Y58" i="72" a="1"/>
  <c r="Y58" i="72" s="1"/>
  <c r="Y142" i="72" s="1"/>
  <c r="U236" i="72" a="1"/>
  <c r="U236" i="72" s="1"/>
  <c r="U320" i="72" s="1"/>
  <c r="R408" i="72" a="1"/>
  <c r="R408" i="72" s="1"/>
  <c r="R492" i="72" s="1"/>
  <c r="Q62" i="72" a="1"/>
  <c r="Q62" i="72" s="1"/>
  <c r="Q146" i="72" s="1"/>
  <c r="AE255" i="72"/>
  <c r="AE339" i="72" s="1"/>
  <c r="AD237" i="72" a="1"/>
  <c r="AD237" i="72" s="1"/>
  <c r="AD321" i="72" s="1"/>
  <c r="T428" i="72"/>
  <c r="T512" i="72" s="1"/>
  <c r="M61" i="72" a="1"/>
  <c r="M61" i="72" s="1"/>
  <c r="M145" i="72" s="1"/>
  <c r="I237" i="72" a="1"/>
  <c r="I237" i="72" s="1"/>
  <c r="I321" i="72" s="1"/>
  <c r="V219" i="72" a="1"/>
  <c r="V219" i="72" s="1"/>
  <c r="V303" i="72" s="1"/>
  <c r="W80" i="72"/>
  <c r="W164" i="72" s="1"/>
  <c r="I79" i="72"/>
  <c r="I163" i="72" s="1"/>
  <c r="AB410" i="72" a="1"/>
  <c r="AB410" i="72" s="1"/>
  <c r="AB494" i="72" s="1"/>
  <c r="AG429" i="72"/>
  <c r="AG513" i="72" s="1"/>
  <c r="I406" i="72" a="1"/>
  <c r="I406" i="72" s="1"/>
  <c r="I490" i="72" s="1"/>
  <c r="V255" i="72"/>
  <c r="V339" i="72" s="1"/>
  <c r="R428" i="72"/>
  <c r="R512" i="72" s="1"/>
  <c r="P61" i="72" a="1"/>
  <c r="P61" i="72" s="1"/>
  <c r="P145" i="72" s="1"/>
  <c r="U62" i="72" a="1"/>
  <c r="U62" i="72" s="1"/>
  <c r="U146" i="72" s="1"/>
  <c r="AD219" i="72" a="1"/>
  <c r="AD219" i="72" s="1"/>
  <c r="AD303" i="72" s="1"/>
  <c r="AC57" i="72" a="1"/>
  <c r="AC57" i="72" s="1"/>
  <c r="AC141" i="72" s="1"/>
  <c r="AC79" i="72"/>
  <c r="AC163" i="72" s="1"/>
  <c r="S430" i="72"/>
  <c r="S514" i="72" s="1"/>
  <c r="AD77" i="72"/>
  <c r="AD161" i="72" s="1"/>
  <c r="P404" i="72" a="1"/>
  <c r="P404" i="72" s="1"/>
  <c r="P488" i="72" s="1"/>
  <c r="T253" i="72"/>
  <c r="T337" i="72" s="1"/>
  <c r="O77" i="72"/>
  <c r="O161" i="72" s="1"/>
  <c r="K44" i="72" a="1"/>
  <c r="K44" i="72" s="1"/>
  <c r="K128" i="72" s="1"/>
  <c r="AA233" i="72" a="1"/>
  <c r="AA233" i="72" s="1"/>
  <c r="AA317" i="72" s="1"/>
  <c r="U80" i="72"/>
  <c r="U164" i="72" s="1"/>
  <c r="L392" i="72" a="1"/>
  <c r="L392" i="72" s="1"/>
  <c r="L476" i="72" s="1"/>
  <c r="R257" i="72"/>
  <c r="R341" i="72" s="1"/>
  <c r="K408" i="72" a="1"/>
  <c r="K408" i="72" s="1"/>
  <c r="K492" i="72" s="1"/>
  <c r="H404" i="72" a="1"/>
  <c r="H404" i="72" s="1"/>
  <c r="H488" i="72" s="1"/>
  <c r="Q405" i="72" a="1"/>
  <c r="Q405" i="72" s="1"/>
  <c r="Q489" i="72" s="1"/>
  <c r="I407" i="72" a="1"/>
  <c r="I407" i="72" s="1"/>
  <c r="I491" i="72" s="1"/>
  <c r="AE61" i="72" a="1"/>
  <c r="AE61" i="72" s="1"/>
  <c r="AE145" i="72" s="1"/>
  <c r="Q60" i="72" a="1"/>
  <c r="Q60" i="72" s="1"/>
  <c r="Q144" i="72" s="1"/>
  <c r="R231" i="72" a="1"/>
  <c r="R231" i="72" s="1"/>
  <c r="R315" i="72" s="1"/>
  <c r="L78" i="72"/>
  <c r="L162" i="72" s="1"/>
  <c r="AB409" i="72" a="1"/>
  <c r="AB409" i="72" s="1"/>
  <c r="AB493" i="72" s="1"/>
  <c r="P408" i="72" a="1"/>
  <c r="P408" i="72" s="1"/>
  <c r="P492" i="72" s="1"/>
  <c r="AG232" i="72" a="1"/>
  <c r="AG232" i="72" s="1"/>
  <c r="AG316" i="72" s="1"/>
  <c r="R413" i="72"/>
  <c r="R497" i="72" s="1"/>
  <c r="AF231" i="72" a="1"/>
  <c r="AF231" i="72" s="1"/>
  <c r="AF315" i="72" s="1"/>
  <c r="AF357" i="72" s="1"/>
  <c r="AG231" i="72" a="1"/>
  <c r="AG231" i="72" s="1"/>
  <c r="AG315" i="72" s="1"/>
  <c r="R427" i="72"/>
  <c r="R511" i="72" s="1"/>
  <c r="Z219" i="72" a="1"/>
  <c r="Z219" i="72" s="1"/>
  <c r="Z303" i="72" s="1"/>
  <c r="W258" i="72"/>
  <c r="W342" i="72" s="1"/>
  <c r="U252" i="72"/>
  <c r="U336" i="72" s="1"/>
  <c r="Q430" i="72"/>
  <c r="Q514" i="72" s="1"/>
  <c r="AD253" i="72"/>
  <c r="AD337" i="72" s="1"/>
  <c r="N60" i="72" a="1"/>
  <c r="N60" i="72" s="1"/>
  <c r="N144" i="72" s="1"/>
  <c r="K79" i="72"/>
  <c r="K163" i="72" s="1"/>
  <c r="Q255" i="72"/>
  <c r="Q339" i="72" s="1"/>
  <c r="J410" i="72" a="1"/>
  <c r="J410" i="72" s="1"/>
  <c r="J494" i="72" s="1"/>
  <c r="AE57" i="72" a="1"/>
  <c r="AE57" i="72" s="1"/>
  <c r="AE141" i="72" s="1"/>
  <c r="O409" i="72" a="1"/>
  <c r="O409" i="72" s="1"/>
  <c r="O493" i="72" s="1"/>
  <c r="X255" i="72"/>
  <c r="X339" i="72" s="1"/>
  <c r="H56" i="72" a="1"/>
  <c r="H56" i="72" s="1"/>
  <c r="H140" i="72" s="1"/>
  <c r="R44" i="72" a="1"/>
  <c r="R44" i="72" s="1"/>
  <c r="R128" i="72" s="1"/>
  <c r="Z79" i="72"/>
  <c r="Z163" i="72" s="1"/>
  <c r="P409" i="72" a="1"/>
  <c r="P409" i="72" s="1"/>
  <c r="P493" i="72" s="1"/>
  <c r="O61" i="72" a="1"/>
  <c r="O61" i="72" s="1"/>
  <c r="O145" i="72" s="1"/>
  <c r="AD83" i="72"/>
  <c r="AD167" i="72" s="1"/>
  <c r="H255" i="72"/>
  <c r="H339" i="72" s="1"/>
  <c r="X431" i="72"/>
  <c r="X515" i="72" s="1"/>
  <c r="K407" i="72" a="1"/>
  <c r="K407" i="72" s="1"/>
  <c r="K491" i="72" s="1"/>
  <c r="Q82" i="72"/>
  <c r="Q166" i="72" s="1"/>
  <c r="Z60" i="72" a="1"/>
  <c r="Z60" i="72" s="1"/>
  <c r="Z144" i="72" s="1"/>
  <c r="L231" i="72" a="1"/>
  <c r="L231" i="72" s="1"/>
  <c r="L315" i="72" s="1"/>
  <c r="V57" i="72" a="1"/>
  <c r="V57" i="72" s="1"/>
  <c r="V141" i="72" s="1"/>
  <c r="N79" i="72"/>
  <c r="N163" i="72" s="1"/>
  <c r="AD409" i="72" a="1"/>
  <c r="AD409" i="72" s="1"/>
  <c r="AD493" i="72" s="1"/>
  <c r="Z254" i="72"/>
  <c r="Z338" i="72" s="1"/>
  <c r="Q83" i="72"/>
  <c r="Q167" i="72" s="1"/>
  <c r="AE234" i="72" a="1"/>
  <c r="AE234" i="72" s="1"/>
  <c r="AE318" i="72" s="1"/>
  <c r="AD258" i="72"/>
  <c r="AD342" i="72" s="1"/>
  <c r="T407" i="72" a="1"/>
  <c r="T407" i="72" s="1"/>
  <c r="T491" i="72" s="1"/>
  <c r="AF82" i="72"/>
  <c r="AF166" i="72" s="1"/>
  <c r="T81" i="72"/>
  <c r="T165" i="72" s="1"/>
  <c r="V240" i="72"/>
  <c r="V324" i="72" s="1"/>
  <c r="N57" i="72" a="1"/>
  <c r="N57" i="72" s="1"/>
  <c r="N141" i="72" s="1"/>
  <c r="I58" i="72" a="1"/>
  <c r="I58" i="72" s="1"/>
  <c r="I142" i="72" s="1"/>
  <c r="AB431" i="72"/>
  <c r="AB515" i="72" s="1"/>
  <c r="AG408" i="72" a="1"/>
  <c r="AG408" i="72" s="1"/>
  <c r="AG492" i="72" s="1"/>
  <c r="AF425" i="72"/>
  <c r="AF509" i="72" s="1"/>
  <c r="S83" i="72"/>
  <c r="S167" i="72" s="1"/>
  <c r="R426" i="72"/>
  <c r="R510" i="72" s="1"/>
  <c r="J428" i="72"/>
  <c r="J512" i="72" s="1"/>
  <c r="P82" i="72"/>
  <c r="P166" i="72" s="1"/>
  <c r="U83" i="72"/>
  <c r="U167" i="72" s="1"/>
  <c r="K252" i="72"/>
  <c r="K336" i="72" s="1"/>
  <c r="AB413" i="72"/>
  <c r="AB497" i="72" s="1"/>
  <c r="AC58" i="72" a="1"/>
  <c r="AC58" i="72" s="1"/>
  <c r="AC142" i="72" s="1"/>
  <c r="S409" i="72" a="1"/>
  <c r="S409" i="72" s="1"/>
  <c r="S493" i="72" s="1"/>
  <c r="AD56" i="72" a="1"/>
  <c r="AD56" i="72" s="1"/>
  <c r="AD140" i="72" s="1"/>
  <c r="P425" i="72"/>
  <c r="P509" i="72" s="1"/>
  <c r="T232" i="72" a="1"/>
  <c r="T232" i="72" s="1"/>
  <c r="T316" i="72" s="1"/>
  <c r="O56" i="72" a="1"/>
  <c r="O56" i="72" s="1"/>
  <c r="O140" i="72" s="1"/>
  <c r="AF233" i="72" a="1"/>
  <c r="AF233" i="72" s="1"/>
  <c r="AF317" i="72" s="1"/>
  <c r="N219" i="72" a="1"/>
  <c r="N219" i="72" s="1"/>
  <c r="N303" i="72" s="1"/>
  <c r="U59" i="72" a="1"/>
  <c r="U59" i="72" s="1"/>
  <c r="U143" i="72" s="1"/>
  <c r="H79" i="72"/>
  <c r="H163" i="72" s="1"/>
  <c r="M430" i="72"/>
  <c r="M514" i="72" s="1"/>
  <c r="AF408" i="72" a="1"/>
  <c r="AF408" i="72" s="1"/>
  <c r="AF492" i="72" s="1"/>
  <c r="N234" i="72" a="1"/>
  <c r="N234" i="72" s="1"/>
  <c r="N318" i="72" s="1"/>
  <c r="N77" i="72"/>
  <c r="N161" i="72" s="1"/>
  <c r="U431" i="72"/>
  <c r="U515" i="72" s="1"/>
  <c r="AE82" i="72"/>
  <c r="AE166" i="72" s="1"/>
  <c r="Q81" i="72"/>
  <c r="Q165" i="72" s="1"/>
  <c r="J252" i="72"/>
  <c r="J336" i="72" s="1"/>
  <c r="W79" i="72"/>
  <c r="W163" i="72" s="1"/>
  <c r="AA256" i="72"/>
  <c r="AA340" i="72" s="1"/>
  <c r="P407" i="72" a="1"/>
  <c r="P407" i="72" s="1"/>
  <c r="P491" i="72" s="1"/>
  <c r="N427" i="72"/>
  <c r="N511" i="72" s="1"/>
  <c r="Z78" i="72"/>
  <c r="Z162" i="72" s="1"/>
  <c r="N404" i="72" a="1"/>
  <c r="N404" i="72" s="1"/>
  <c r="N488" i="72" s="1"/>
  <c r="P252" i="72"/>
  <c r="P336" i="72" s="1"/>
  <c r="S219" i="72" a="1"/>
  <c r="S219" i="72" s="1"/>
  <c r="S303" i="72" s="1"/>
  <c r="AE232" i="72" a="1"/>
  <c r="AE232" i="72" s="1"/>
  <c r="AE316" i="72" s="1"/>
  <c r="AB425" i="72"/>
  <c r="AB509" i="72" s="1"/>
  <c r="V82" i="72"/>
  <c r="V166" i="72" s="1"/>
  <c r="X78" i="72"/>
  <c r="X162" i="72" s="1"/>
  <c r="M235" i="72" a="1"/>
  <c r="M235" i="72" s="1"/>
  <c r="M319" i="72" s="1"/>
  <c r="K56" i="72" a="1"/>
  <c r="K56" i="72" s="1"/>
  <c r="K140" i="72" s="1"/>
  <c r="AE58" i="72" a="1"/>
  <c r="AE58" i="72" s="1"/>
  <c r="AE142" i="72" s="1"/>
  <c r="AA406" i="72" a="1"/>
  <c r="AA406" i="72" s="1"/>
  <c r="AA490" i="72" s="1"/>
  <c r="AF59" i="72" a="1"/>
  <c r="AF59" i="72" s="1"/>
  <c r="AF143" i="72" s="1"/>
  <c r="H257" i="72"/>
  <c r="H341" i="72" s="1"/>
  <c r="I232" i="72" a="1"/>
  <c r="I232" i="72" s="1"/>
  <c r="I316" i="72" s="1"/>
  <c r="N233" i="72" a="1"/>
  <c r="N233" i="72" s="1"/>
  <c r="N317" i="72" s="1"/>
  <c r="K57" i="72" a="1"/>
  <c r="K57" i="72" s="1"/>
  <c r="K141" i="72" s="1"/>
  <c r="AE425" i="72"/>
  <c r="AE509" i="72" s="1"/>
  <c r="AE410" i="72" a="1"/>
  <c r="AE410" i="72" s="1"/>
  <c r="AE494" i="72" s="1"/>
  <c r="U407" i="72" a="1"/>
  <c r="U407" i="72" s="1"/>
  <c r="U491" i="72" s="1"/>
  <c r="AG61" i="72" a="1"/>
  <c r="AG61" i="72" s="1"/>
  <c r="AG145" i="72" s="1"/>
  <c r="AB231" i="72" a="1"/>
  <c r="AB231" i="72" s="1"/>
  <c r="AB315" i="72" s="1"/>
  <c r="Z58" i="72" a="1"/>
  <c r="Z58" i="72" s="1"/>
  <c r="Z142" i="72" s="1"/>
  <c r="V409" i="72" a="1"/>
  <c r="V409" i="72" s="1"/>
  <c r="V493" i="72" s="1"/>
  <c r="AC59" i="72" a="1"/>
  <c r="AC59" i="72" s="1"/>
  <c r="AC143" i="72" s="1"/>
  <c r="AD62" i="72" a="1"/>
  <c r="AD62" i="72" s="1"/>
  <c r="AD146" i="72" s="1"/>
  <c r="T426" i="72"/>
  <c r="T510" i="72" s="1"/>
  <c r="K428" i="72"/>
  <c r="K512" i="72" s="1"/>
  <c r="M254" i="72"/>
  <c r="M338" i="72" s="1"/>
  <c r="AE240" i="72"/>
  <c r="AE324" i="72" s="1"/>
  <c r="P59" i="72" a="1"/>
  <c r="P59" i="72" s="1"/>
  <c r="P143" i="72" s="1"/>
  <c r="AC413" i="72"/>
  <c r="AC497" i="72" s="1"/>
  <c r="N58" i="72" a="1"/>
  <c r="N58" i="72" s="1"/>
  <c r="N142" i="72" s="1"/>
  <c r="AD430" i="72"/>
  <c r="AD514" i="72" s="1"/>
  <c r="Z233" i="72" a="1"/>
  <c r="Z233" i="72" s="1"/>
  <c r="Z317" i="72" s="1"/>
  <c r="Y427" i="72"/>
  <c r="Y511" i="72" s="1"/>
  <c r="W255" i="72"/>
  <c r="W339" i="72" s="1"/>
  <c r="S426" i="72"/>
  <c r="S510" i="72" s="1"/>
  <c r="Z428" i="72"/>
  <c r="Z512" i="72" s="1"/>
  <c r="AF61" i="72" a="1"/>
  <c r="AF61" i="72" s="1"/>
  <c r="AF145" i="72" s="1"/>
  <c r="T60" i="72" a="1"/>
  <c r="T60" i="72" s="1"/>
  <c r="T144" i="72" s="1"/>
  <c r="N78" i="72"/>
  <c r="N162" i="72" s="1"/>
  <c r="AG58" i="72" a="1"/>
  <c r="AG58" i="72" s="1"/>
  <c r="AG142" i="72" s="1"/>
  <c r="N430" i="72"/>
  <c r="N514" i="72" s="1"/>
  <c r="Y252" i="72"/>
  <c r="Y336" i="72" s="1"/>
  <c r="AF404" i="72" a="1"/>
  <c r="AF404" i="72" s="1"/>
  <c r="AF488" i="72" s="1"/>
  <c r="S62" i="72" a="1"/>
  <c r="S62" i="72" s="1"/>
  <c r="S146" i="72" s="1"/>
  <c r="R405" i="72" a="1"/>
  <c r="R405" i="72" s="1"/>
  <c r="R489" i="72" s="1"/>
  <c r="J407" i="72" a="1"/>
  <c r="J407" i="72" s="1"/>
  <c r="J491" i="72" s="1"/>
  <c r="W431" i="72"/>
  <c r="W515" i="72" s="1"/>
  <c r="S60" i="72" a="1"/>
  <c r="S60" i="72" s="1"/>
  <c r="S144" i="72" s="1"/>
  <c r="K231" i="72" a="1"/>
  <c r="K231" i="72" s="1"/>
  <c r="K315" i="72" s="1"/>
  <c r="AC257" i="72"/>
  <c r="AC341" i="72" s="1"/>
  <c r="AG256" i="72"/>
  <c r="AG340" i="72" s="1"/>
  <c r="M410" i="72" a="1"/>
  <c r="M410" i="72" s="1"/>
  <c r="M494" i="72" s="1"/>
  <c r="X425" i="72"/>
  <c r="X509" i="72" s="1"/>
  <c r="K253" i="72"/>
  <c r="K337" i="72" s="1"/>
  <c r="U56" i="72" a="1"/>
  <c r="U56" i="72" s="1"/>
  <c r="U140" i="72" s="1"/>
  <c r="K65" i="72"/>
  <c r="K149" i="72" s="1"/>
  <c r="AF254" i="72"/>
  <c r="AF338" i="72" s="1"/>
  <c r="S252" i="72"/>
  <c r="S336" i="72" s="1"/>
  <c r="M78" i="72"/>
  <c r="M162" i="72" s="1"/>
  <c r="H58" i="72" a="1"/>
  <c r="H58" i="72" s="1"/>
  <c r="H142" i="72" s="1"/>
  <c r="M409" i="72" a="1"/>
  <c r="M409" i="72" s="1"/>
  <c r="M493" i="72" s="1"/>
  <c r="AF429" i="72"/>
  <c r="AF513" i="72" s="1"/>
  <c r="N255" i="72"/>
  <c r="N339" i="72" s="1"/>
  <c r="N56" i="72" a="1"/>
  <c r="N56" i="72" s="1"/>
  <c r="N140" i="72" s="1"/>
  <c r="U410" i="72" a="1"/>
  <c r="U410" i="72" s="1"/>
  <c r="U494" i="72" s="1"/>
  <c r="AF237" i="72" a="1"/>
  <c r="AF237" i="72" s="1"/>
  <c r="AF321" i="72" s="1"/>
  <c r="I81" i="72"/>
  <c r="I165" i="72" s="1"/>
  <c r="J231" i="72" a="1"/>
  <c r="J231" i="72" s="1"/>
  <c r="J315" i="72" s="1"/>
  <c r="W58" i="72" a="1"/>
  <c r="W58" i="72" s="1"/>
  <c r="W142" i="72" s="1"/>
  <c r="AA235" i="72" a="1"/>
  <c r="AA235" i="72" s="1"/>
  <c r="AA319" i="72" s="1"/>
  <c r="AB234" i="72" a="1"/>
  <c r="AB234" i="72" s="1"/>
  <c r="AB318" i="72" s="1"/>
  <c r="O426" i="72"/>
  <c r="O510" i="72" s="1"/>
  <c r="J57" i="72" a="1"/>
  <c r="J57" i="72" s="1"/>
  <c r="J141" i="72" s="1"/>
  <c r="M406" i="72" a="1"/>
  <c r="M406" i="72" s="1"/>
  <c r="M490" i="72" s="1"/>
  <c r="Z77" i="72"/>
  <c r="Z161" i="72" s="1"/>
  <c r="R78" i="72"/>
  <c r="R162" i="72" s="1"/>
  <c r="S255" i="72"/>
  <c r="S339" i="72" s="1"/>
  <c r="AE254" i="72"/>
  <c r="AE338" i="72" s="1"/>
  <c r="P413" i="72"/>
  <c r="P497" i="72" s="1"/>
  <c r="AA258" i="72"/>
  <c r="AA342" i="72" s="1"/>
  <c r="P56" i="72" a="1"/>
  <c r="P56" i="72" s="1"/>
  <c r="P140" i="72" s="1"/>
  <c r="P183" i="72" s="1"/>
  <c r="Q42" i="68" s="1"/>
  <c r="Q257" i="72"/>
  <c r="Q341" i="72" s="1"/>
  <c r="AG234" i="72" a="1"/>
  <c r="AG234" i="72" s="1"/>
  <c r="AG318" i="72" s="1"/>
  <c r="S61" i="72" a="1"/>
  <c r="S61" i="72" s="1"/>
  <c r="S145" i="72" s="1"/>
  <c r="I80" i="72"/>
  <c r="I164" i="72" s="1"/>
  <c r="AE430" i="72"/>
  <c r="AE514" i="72" s="1"/>
  <c r="AC253" i="72"/>
  <c r="AC337" i="72" s="1"/>
  <c r="AA81" i="72"/>
  <c r="AA165" i="72" s="1"/>
  <c r="AE404" i="72" a="1"/>
  <c r="AE404" i="72" s="1"/>
  <c r="AE488" i="72" s="1"/>
  <c r="AG258" i="72"/>
  <c r="AG342" i="72" s="1"/>
  <c r="AA407" i="72" a="1"/>
  <c r="AA407" i="72" s="1"/>
  <c r="AA491" i="72" s="1"/>
  <c r="AC233" i="72" a="1"/>
  <c r="AC233" i="72" s="1"/>
  <c r="AC317" i="72" s="1"/>
  <c r="Q59" i="72" a="1"/>
  <c r="Q59" i="72" s="1"/>
  <c r="Q143" i="72" s="1"/>
  <c r="AD79" i="72"/>
  <c r="AD163" i="72" s="1"/>
  <c r="V430" i="72"/>
  <c r="V514" i="72" s="1"/>
  <c r="L430" i="72"/>
  <c r="L514" i="72" s="1"/>
  <c r="J427" i="72"/>
  <c r="J511" i="72" s="1"/>
  <c r="K426" i="72"/>
  <c r="K510" i="72" s="1"/>
  <c r="AB44" i="72" a="1"/>
  <c r="AB44" i="72" s="1"/>
  <c r="AB128" i="72" s="1"/>
  <c r="M233" i="72" a="1"/>
  <c r="M233" i="72" s="1"/>
  <c r="M317" i="72" s="1"/>
  <c r="P80" i="72"/>
  <c r="P164" i="72" s="1"/>
  <c r="Z258" i="72"/>
  <c r="Z342" i="72" s="1"/>
  <c r="U430" i="72"/>
  <c r="U514" i="72" s="1"/>
  <c r="Y406" i="72" a="1"/>
  <c r="Y406" i="72" s="1"/>
  <c r="Y490" i="72" s="1"/>
  <c r="W234" i="72" a="1"/>
  <c r="W234" i="72" s="1"/>
  <c r="W318" i="72" s="1"/>
  <c r="S405" i="72" a="1"/>
  <c r="S405" i="72" s="1"/>
  <c r="S489" i="72" s="1"/>
  <c r="Z407" i="72" a="1"/>
  <c r="Z407" i="72" s="1"/>
  <c r="Z491" i="72" s="1"/>
  <c r="AB254" i="72"/>
  <c r="AB338" i="72" s="1"/>
  <c r="J81" i="72"/>
  <c r="J165" i="72" s="1"/>
  <c r="AA252" i="72"/>
  <c r="AA336" i="72" s="1"/>
  <c r="M413" i="72"/>
  <c r="M497" i="72" s="1"/>
  <c r="AG79" i="72"/>
  <c r="AG163" i="72" s="1"/>
  <c r="N409" i="72" a="1"/>
  <c r="N409" i="72" s="1"/>
  <c r="N493" i="72" s="1"/>
  <c r="Y231" i="72" a="1"/>
  <c r="Y231" i="72" s="1"/>
  <c r="Y315" i="72" s="1"/>
  <c r="I404" i="72" a="1"/>
  <c r="I404" i="72" s="1"/>
  <c r="I488" i="72" s="1"/>
  <c r="U253" i="72"/>
  <c r="U337" i="72" s="1"/>
  <c r="J405" i="72" a="1"/>
  <c r="J405" i="72" s="1"/>
  <c r="J489" i="72" s="1"/>
  <c r="AA44" i="72" a="1"/>
  <c r="AA44" i="72" s="1"/>
  <c r="AA128" i="72" s="1"/>
  <c r="W410" i="72" a="1"/>
  <c r="W410" i="72" s="1"/>
  <c r="W494" i="72" s="1"/>
  <c r="S81" i="72"/>
  <c r="S165" i="72" s="1"/>
  <c r="O80" i="72"/>
  <c r="O164" i="72" s="1"/>
  <c r="AB392" i="72" a="1"/>
  <c r="AB392" i="72" s="1"/>
  <c r="AB476" i="72" s="1"/>
  <c r="AC236" i="72" a="1"/>
  <c r="AC236" i="72" s="1"/>
  <c r="AC320" i="72" s="1"/>
  <c r="AG235" i="72" a="1"/>
  <c r="AG235" i="72" s="1"/>
  <c r="AG319" i="72" s="1"/>
  <c r="M431" i="72"/>
  <c r="M515" i="72" s="1"/>
  <c r="X404" i="72" a="1"/>
  <c r="X404" i="72" s="1"/>
  <c r="X488" i="72" s="1"/>
  <c r="K232" i="72" a="1"/>
  <c r="K232" i="72" s="1"/>
  <c r="K316" i="72" s="1"/>
  <c r="U77" i="72"/>
  <c r="U161" i="72" s="1"/>
  <c r="AC61" i="72" a="1"/>
  <c r="AC61" i="72" s="1"/>
  <c r="AC145" i="72" s="1"/>
  <c r="AG60" i="72" a="1"/>
  <c r="AG60" i="72" s="1"/>
  <c r="AG144" i="72" s="1"/>
  <c r="S231" i="72" a="1"/>
  <c r="S231" i="72" s="1"/>
  <c r="S315" i="72" s="1"/>
  <c r="M57" i="72" a="1"/>
  <c r="M57" i="72" s="1"/>
  <c r="M141" i="72" s="1"/>
  <c r="M79" i="72"/>
  <c r="M163" i="72" s="1"/>
  <c r="R430" i="72"/>
  <c r="R514" i="72" s="1"/>
  <c r="AC255" i="72"/>
  <c r="AC339" i="72" s="1"/>
  <c r="H427" i="72"/>
  <c r="H511" i="72" s="1"/>
  <c r="S253" i="72"/>
  <c r="S337" i="72" s="1"/>
  <c r="T56" i="72" a="1"/>
  <c r="T56" i="72" s="1"/>
  <c r="T140" i="72" s="1"/>
  <c r="Z65" i="72"/>
  <c r="Z149" i="72" s="1"/>
  <c r="AF258" i="72"/>
  <c r="AF342" i="72" s="1"/>
  <c r="I60" i="72" a="1"/>
  <c r="I60" i="72" s="1"/>
  <c r="I144" i="72" s="1"/>
  <c r="N80" i="72"/>
  <c r="N164" i="72" s="1"/>
  <c r="U413" i="72"/>
  <c r="U497" i="72" s="1"/>
  <c r="AB58" i="72" a="1"/>
  <c r="AB58" i="72" s="1"/>
  <c r="AB142" i="72" s="1"/>
  <c r="AF256" i="72"/>
  <c r="AF340" i="72" s="1"/>
  <c r="T58" i="72" a="1"/>
  <c r="T58" i="72" s="1"/>
  <c r="T142" i="72" s="1"/>
  <c r="R56" i="72" a="1"/>
  <c r="R56" i="72" s="1"/>
  <c r="R140" i="72" s="1"/>
  <c r="V407" i="72" a="1"/>
  <c r="V407" i="72" s="1"/>
  <c r="V491" i="72" s="1"/>
  <c r="AA255" i="72"/>
  <c r="AA339" i="72" s="1"/>
  <c r="K59" i="72" a="1"/>
  <c r="K59" i="72" s="1"/>
  <c r="K143" i="72" s="1"/>
  <c r="H426" i="72"/>
  <c r="H510" i="72" s="1"/>
  <c r="R81" i="72"/>
  <c r="R165" i="72" s="1"/>
  <c r="AE406" i="72" a="1"/>
  <c r="AE406" i="72" s="1"/>
  <c r="AE490" i="72" s="1"/>
  <c r="AB62" i="72" a="1"/>
  <c r="AB62" i="72" s="1"/>
  <c r="AB146" i="72" s="1"/>
  <c r="AF409" i="72" a="1"/>
  <c r="AF409" i="72" s="1"/>
  <c r="AF493" i="72" s="1"/>
  <c r="Y255" i="72"/>
  <c r="Y339" i="72" s="1"/>
  <c r="O233" i="72" a="1"/>
  <c r="O233" i="72" s="1"/>
  <c r="O317" i="72" s="1"/>
  <c r="L83" i="72"/>
  <c r="L167" i="72" s="1"/>
  <c r="L256" i="72"/>
  <c r="L340" i="72" s="1"/>
  <c r="L405" i="72" a="1"/>
  <c r="L405" i="72" s="1"/>
  <c r="L489" i="72" s="1"/>
  <c r="AF240" i="72"/>
  <c r="AF324" i="72" s="1"/>
  <c r="V258" i="72"/>
  <c r="V342" i="72" s="1"/>
  <c r="H232" i="72" a="1"/>
  <c r="H232" i="72" s="1"/>
  <c r="H316" i="72" s="1"/>
  <c r="N83" i="72"/>
  <c r="N167" i="72" s="1"/>
  <c r="S254" i="72"/>
  <c r="S338" i="72" s="1"/>
  <c r="X59" i="72" a="1"/>
  <c r="X59" i="72" s="1"/>
  <c r="X143" i="72" s="1"/>
  <c r="V431" i="72"/>
  <c r="V515" i="72" s="1"/>
  <c r="T235" i="72" a="1"/>
  <c r="T235" i="72" s="1"/>
  <c r="T319" i="72" s="1"/>
  <c r="L409" i="72" a="1"/>
  <c r="L409" i="72" s="1"/>
  <c r="L493" i="72" s="1"/>
  <c r="AG425" i="72"/>
  <c r="AG509" i="72" s="1"/>
  <c r="W253" i="72"/>
  <c r="W337" i="72" s="1"/>
  <c r="K405" i="72" a="1"/>
  <c r="K405" i="72" s="1"/>
  <c r="K489" i="72" s="1"/>
  <c r="AB65" i="72"/>
  <c r="AB149" i="72" s="1"/>
  <c r="R254" i="72"/>
  <c r="R338" i="72" s="1"/>
  <c r="AE219" i="72" a="1"/>
  <c r="AE219" i="72" s="1"/>
  <c r="AE303" i="72" s="1"/>
  <c r="H59" i="72" a="1"/>
  <c r="H59" i="72" s="1"/>
  <c r="H143" i="72" s="1"/>
  <c r="AC392" i="72" a="1"/>
  <c r="AC392" i="72" s="1"/>
  <c r="AC476" i="72" s="1"/>
  <c r="Z237" i="72" a="1"/>
  <c r="Z237" i="72" s="1"/>
  <c r="Z321" i="72" s="1"/>
  <c r="U409" i="72" a="1"/>
  <c r="U409" i="72" s="1"/>
  <c r="U493" i="72" s="1"/>
  <c r="Q425" i="72"/>
  <c r="Q509" i="72" s="1"/>
  <c r="V232" i="72" a="1"/>
  <c r="V232" i="72" s="1"/>
  <c r="V316" i="72" s="1"/>
  <c r="Z426" i="72"/>
  <c r="Z510" i="72" s="1"/>
  <c r="L65" i="72"/>
  <c r="L149" i="72" s="1"/>
  <c r="AB233" i="72" a="1"/>
  <c r="AB233" i="72" s="1"/>
  <c r="AB317" i="72" s="1"/>
  <c r="J60" i="72" a="1"/>
  <c r="J60" i="72" s="1"/>
  <c r="J144" i="72" s="1"/>
  <c r="AA231" i="72" a="1"/>
  <c r="AA231" i="72" s="1"/>
  <c r="AA315" i="72" s="1"/>
  <c r="M392" i="72" a="1"/>
  <c r="M392" i="72" s="1"/>
  <c r="M476" i="72" s="1"/>
  <c r="N257" i="72"/>
  <c r="N341" i="72" s="1"/>
  <c r="T430" i="72"/>
  <c r="T514" i="72" s="1"/>
  <c r="I425" i="72"/>
  <c r="I509" i="72" s="1"/>
  <c r="U232" i="72" a="1"/>
  <c r="U232" i="72" s="1"/>
  <c r="U316" i="72" s="1"/>
  <c r="J426" i="72"/>
  <c r="J510" i="72" s="1"/>
  <c r="AA65" i="72"/>
  <c r="AA149" i="72" s="1"/>
  <c r="L254" i="72"/>
  <c r="L338" i="72" s="1"/>
  <c r="AD60" i="72" a="1"/>
  <c r="AD60" i="72" s="1"/>
  <c r="AD144" i="72" s="1"/>
  <c r="O59" i="72" a="1"/>
  <c r="O59" i="72" s="1"/>
  <c r="O143" i="72" s="1"/>
  <c r="P83" i="72"/>
  <c r="P167" i="72" s="1"/>
  <c r="S257" i="72"/>
  <c r="S341" i="72" s="1"/>
  <c r="K410" i="72" a="1"/>
  <c r="K410" i="72" s="1"/>
  <c r="K494" i="72" s="1"/>
  <c r="AD234" i="72" a="1"/>
  <c r="AD234" i="72" s="1"/>
  <c r="AD318" i="72" s="1"/>
  <c r="AG407" i="72" a="1"/>
  <c r="AG407" i="72" s="1"/>
  <c r="AG491" i="72" s="1"/>
  <c r="AC82" i="72"/>
  <c r="AC166" i="72" s="1"/>
  <c r="AG81" i="72"/>
  <c r="AG165" i="72" s="1"/>
  <c r="Z252" i="72"/>
  <c r="Z336" i="72" s="1"/>
  <c r="L237" i="72" a="1"/>
  <c r="L237" i="72" s="1"/>
  <c r="L321" i="72" s="1"/>
  <c r="M58" i="72" a="1"/>
  <c r="M58" i="72" s="1"/>
  <c r="M142" i="72" s="1"/>
  <c r="R409" i="72" a="1"/>
  <c r="R409" i="72" s="1"/>
  <c r="R493" i="72" s="1"/>
  <c r="AC234" i="72" a="1"/>
  <c r="AC234" i="72" s="1"/>
  <c r="AC318" i="72" s="1"/>
  <c r="H406" i="72" a="1"/>
  <c r="H406" i="72" s="1"/>
  <c r="H490" i="72" s="1"/>
  <c r="S232" i="72" a="1"/>
  <c r="S232" i="72" s="1"/>
  <c r="S316" i="72" s="1"/>
  <c r="T77" i="72"/>
  <c r="T161" i="72" s="1"/>
  <c r="Z44" i="72" a="1"/>
  <c r="Z44" i="72" s="1"/>
  <c r="Z128" i="72" s="1"/>
  <c r="K254" i="72"/>
  <c r="K338" i="72" s="1"/>
  <c r="AC240" i="72"/>
  <c r="AC324" i="72" s="1"/>
  <c r="N59" i="72" a="1"/>
  <c r="N59" i="72" s="1"/>
  <c r="N143" i="72" s="1"/>
  <c r="U392" i="72" a="1"/>
  <c r="U392" i="72" s="1"/>
  <c r="U476" i="72" s="1"/>
  <c r="AB79" i="72"/>
  <c r="AB163" i="72" s="1"/>
  <c r="AF235" i="72" a="1"/>
  <c r="AF235" i="72" s="1"/>
  <c r="AF319" i="72" s="1"/>
  <c r="U254" i="72"/>
  <c r="U338" i="72" s="1"/>
  <c r="M253" i="72"/>
  <c r="M337" i="72" s="1"/>
  <c r="R233" i="72" a="1"/>
  <c r="R233" i="72" s="1"/>
  <c r="R317" i="72" s="1"/>
  <c r="S256" i="72"/>
  <c r="S340" i="72" s="1"/>
  <c r="T409" i="72" a="1"/>
  <c r="T409" i="72" s="1"/>
  <c r="T493" i="72" s="1"/>
  <c r="L233" i="72" a="1"/>
  <c r="L233" i="72" s="1"/>
  <c r="L317" i="72" s="1"/>
  <c r="R404" i="72" a="1"/>
  <c r="R404" i="72" s="1"/>
  <c r="R488" i="72" s="1"/>
  <c r="AA430" i="72"/>
  <c r="AA514" i="72" s="1"/>
  <c r="AC426" i="72"/>
  <c r="AC510" i="72" s="1"/>
  <c r="S56" i="72" a="1"/>
  <c r="S56" i="72" s="1"/>
  <c r="S140" i="72" s="1"/>
  <c r="L410" i="72" a="1"/>
  <c r="L410" i="72" s="1"/>
  <c r="L494" i="72" s="1"/>
  <c r="V410" i="72" a="1"/>
  <c r="V410" i="72" s="1"/>
  <c r="V494" i="72" s="1"/>
  <c r="AG254" i="72"/>
  <c r="AG338" i="72" s="1"/>
  <c r="AD81" i="72"/>
  <c r="AD165" i="72" s="1"/>
  <c r="Z231" i="72" a="1"/>
  <c r="Z231" i="72" s="1"/>
  <c r="Z315" i="72" s="1"/>
  <c r="Z232" i="72" a="1"/>
  <c r="Z232" i="72" s="1"/>
  <c r="Z316" i="72" s="1"/>
  <c r="AB257" i="72"/>
  <c r="AB341" i="72" s="1"/>
  <c r="AF431" i="72"/>
  <c r="AF515" i="72" s="1"/>
  <c r="X409" i="72" a="1"/>
  <c r="X409" i="72" s="1"/>
  <c r="X493" i="72" s="1"/>
  <c r="S429" i="72"/>
  <c r="S513" i="72" s="1"/>
  <c r="W240" i="72"/>
  <c r="W324" i="72" s="1"/>
  <c r="O240" i="72"/>
  <c r="O324" i="72" s="1"/>
  <c r="AD255" i="72"/>
  <c r="AD339" i="72" s="1"/>
  <c r="L258" i="72"/>
  <c r="L342" i="72" s="1"/>
  <c r="Q407" i="72" a="1"/>
  <c r="Q407" i="72" s="1"/>
  <c r="Q491" i="72" s="1"/>
  <c r="AA429" i="72"/>
  <c r="AA513" i="72" s="1"/>
  <c r="Y59" i="72" a="1"/>
  <c r="Y59" i="72" s="1"/>
  <c r="Y143" i="72" s="1"/>
  <c r="N236" i="72" a="1"/>
  <c r="N236" i="72" s="1"/>
  <c r="N320" i="72" s="1"/>
  <c r="AB77" i="72"/>
  <c r="AB161" i="72" s="1"/>
  <c r="AB183" i="72" s="1"/>
  <c r="AC42" i="68" s="1"/>
  <c r="AE65" i="72"/>
  <c r="AE149" i="72" s="1"/>
  <c r="U44" i="72" a="1"/>
  <c r="U44" i="72" s="1"/>
  <c r="U128" i="72" s="1"/>
  <c r="O413" i="72"/>
  <c r="O497" i="72" s="1"/>
  <c r="V80" i="72"/>
  <c r="V164" i="72" s="1"/>
  <c r="R240" i="72"/>
  <c r="R324" i="72" s="1"/>
  <c r="V60" i="72" a="1"/>
  <c r="V60" i="72" s="1"/>
  <c r="V144" i="72" s="1"/>
  <c r="AG404" i="72" a="1"/>
  <c r="AG404" i="72" s="1"/>
  <c r="AG488" i="72" s="1"/>
  <c r="H80" i="72"/>
  <c r="H164" i="72" s="1"/>
  <c r="Q404" i="72" a="1"/>
  <c r="Q404" i="72" s="1"/>
  <c r="Q488" i="72" s="1"/>
  <c r="O255" i="72"/>
  <c r="O339" i="72" s="1"/>
  <c r="AG428" i="72"/>
  <c r="AG512" i="72" s="1"/>
  <c r="M257" i="72"/>
  <c r="M341" i="72" s="1"/>
  <c r="K233" i="72" a="1"/>
  <c r="K233" i="72" s="1"/>
  <c r="K317" i="72" s="1"/>
  <c r="I56" i="72" a="1"/>
  <c r="I56" i="72" s="1"/>
  <c r="I140" i="72" s="1"/>
  <c r="Y44" i="72" a="1"/>
  <c r="Y44" i="72" s="1"/>
  <c r="Y128" i="72" s="1"/>
  <c r="N232" i="72" a="1"/>
  <c r="N232" i="72" s="1"/>
  <c r="N316" i="72" s="1"/>
  <c r="V237" i="72" a="1"/>
  <c r="V237" i="72" s="1"/>
  <c r="V321" i="72" s="1"/>
  <c r="AB253" i="72"/>
  <c r="AB337" i="72" s="1"/>
  <c r="V253" i="72"/>
  <c r="V337" i="72" s="1"/>
  <c r="AE80" i="72"/>
  <c r="AE164" i="72" s="1"/>
  <c r="AA253" i="72"/>
  <c r="AA337" i="72" s="1"/>
  <c r="P62" i="72" a="1"/>
  <c r="P62" i="72" s="1"/>
  <c r="P146" i="72" s="1"/>
  <c r="Q256" i="72"/>
  <c r="Q340" i="72" s="1"/>
  <c r="O78" i="72"/>
  <c r="O162" i="72" s="1"/>
  <c r="L44" i="72" a="1"/>
  <c r="L44" i="72" s="1"/>
  <c r="L128" i="72" s="1"/>
  <c r="Y81" i="72"/>
  <c r="Y165" i="72" s="1"/>
  <c r="U408" i="72" a="1"/>
  <c r="U408" i="72" s="1"/>
  <c r="U492" i="72" s="1"/>
  <c r="X56" i="72" a="1"/>
  <c r="X56" i="72" s="1"/>
  <c r="X140" i="72" s="1"/>
  <c r="Y62" i="72" a="1"/>
  <c r="Y62" i="72" s="1"/>
  <c r="Y146" i="72" s="1"/>
  <c r="Z405" i="72" a="1"/>
  <c r="Z405" i="72" s="1"/>
  <c r="Z489" i="72" s="1"/>
  <c r="V56" i="72" a="1"/>
  <c r="V56" i="72" s="1"/>
  <c r="V140" i="72" s="1"/>
  <c r="S236" i="72" a="1"/>
  <c r="S236" i="72" s="1"/>
  <c r="S320" i="72" s="1"/>
  <c r="X82" i="72"/>
  <c r="X166" i="72" s="1"/>
  <c r="T80" i="72"/>
  <c r="T164" i="72" s="1"/>
  <c r="Z427" i="72"/>
  <c r="Z511" i="72" s="1"/>
  <c r="AD257" i="72"/>
  <c r="AD341" i="72" s="1"/>
  <c r="K431" i="72"/>
  <c r="K515" i="72" s="1"/>
  <c r="F23" i="48"/>
  <c r="G23" i="48"/>
  <c r="AH688" i="18"/>
  <c r="F688" i="18" s="1"/>
  <c r="D243" i="48" s="1"/>
  <c r="D23" i="48"/>
  <c r="E23" i="48"/>
  <c r="AH691" i="18"/>
  <c r="F691" i="18" s="1"/>
  <c r="D246" i="48" s="1"/>
  <c r="AH690" i="18"/>
  <c r="F690" i="18" s="1"/>
  <c r="D245" i="48" s="1"/>
  <c r="AH689" i="18"/>
  <c r="F689" i="18" s="1"/>
  <c r="E22" i="1"/>
  <c r="E115" i="48"/>
  <c r="T350" i="72" l="1"/>
  <c r="K360" i="72"/>
  <c r="L264" i="68" s="1"/>
  <c r="Z519" i="72"/>
  <c r="AG348" i="72"/>
  <c r="T520" i="72"/>
  <c r="I519" i="72"/>
  <c r="L522" i="72"/>
  <c r="L183" i="72"/>
  <c r="M42" i="68" s="1"/>
  <c r="K359" i="72"/>
  <c r="M361" i="72"/>
  <c r="Y189" i="72"/>
  <c r="Z48" i="68" s="1"/>
  <c r="N361" i="72"/>
  <c r="S351" i="72"/>
  <c r="AG349" i="72"/>
  <c r="AC523" i="72"/>
  <c r="N530" i="72"/>
  <c r="AB176" i="72"/>
  <c r="AC36" i="68" s="1"/>
  <c r="Z348" i="72"/>
  <c r="AB527" i="72"/>
  <c r="V521" i="72"/>
  <c r="O524" i="72"/>
  <c r="P474" i="68" s="1"/>
  <c r="N527" i="72"/>
  <c r="M182" i="72"/>
  <c r="N41" i="68" s="1"/>
  <c r="N350" i="72"/>
  <c r="M521" i="72"/>
  <c r="H173" i="72"/>
  <c r="I33" i="68" s="1"/>
  <c r="V346" i="72"/>
  <c r="W250" i="68" s="1"/>
  <c r="T355" i="72"/>
  <c r="J522" i="72"/>
  <c r="T536" i="72"/>
  <c r="V174" i="72"/>
  <c r="W34" i="68" s="1"/>
  <c r="S178" i="72"/>
  <c r="T38" i="68" s="1"/>
  <c r="X523" i="72"/>
  <c r="I352" i="72"/>
  <c r="Z184" i="72"/>
  <c r="AA43" i="68" s="1"/>
  <c r="R534" i="72"/>
  <c r="Q175" i="72"/>
  <c r="R35" i="68" s="1"/>
  <c r="R70" i="68" s="1"/>
  <c r="V178" i="72"/>
  <c r="W38" i="68" s="1"/>
  <c r="U174" i="72"/>
  <c r="V34" i="68" s="1"/>
  <c r="AD178" i="72"/>
  <c r="AE38" i="68" s="1"/>
  <c r="S349" i="72"/>
  <c r="L529" i="72"/>
  <c r="M479" i="68" s="1"/>
  <c r="AG171" i="72"/>
  <c r="AH31" i="68" s="1"/>
  <c r="AH58" i="68" s="1"/>
  <c r="AE354" i="72"/>
  <c r="AF258" i="68" s="1"/>
  <c r="AA532" i="72"/>
  <c r="S346" i="72"/>
  <c r="T250" i="68" s="1"/>
  <c r="O175" i="72"/>
  <c r="P35" i="68" s="1"/>
  <c r="P70" i="68" s="1"/>
  <c r="AD172" i="72"/>
  <c r="AE32" i="68" s="1"/>
  <c r="AE61" i="68" s="1"/>
  <c r="Z182" i="72"/>
  <c r="AA41" i="68" s="1"/>
  <c r="S527" i="72"/>
  <c r="S354" i="72"/>
  <c r="S175" i="72"/>
  <c r="T35" i="68" s="1"/>
  <c r="H534" i="72"/>
  <c r="I484" i="68" s="1"/>
  <c r="U187" i="72"/>
  <c r="V46" i="68" s="1"/>
  <c r="I358" i="72"/>
  <c r="J262" i="68" s="1"/>
  <c r="AE185" i="72"/>
  <c r="AF44" i="68" s="1"/>
  <c r="AF98" i="68" s="1"/>
  <c r="AF162" i="68" s="1"/>
  <c r="AF226" i="68" s="1"/>
  <c r="Y185" i="72"/>
  <c r="Z44" i="68" s="1"/>
  <c r="Z98" i="68" s="1"/>
  <c r="Z162" i="68" s="1"/>
  <c r="Z226" i="68" s="1"/>
  <c r="Q359" i="72"/>
  <c r="R263" i="68" s="1"/>
  <c r="K181" i="72"/>
  <c r="L40" i="68" s="1"/>
  <c r="L85" i="68" s="1"/>
  <c r="L188" i="72"/>
  <c r="M47" i="68" s="1"/>
  <c r="P175" i="72"/>
  <c r="Q35" i="68" s="1"/>
  <c r="V363" i="72"/>
  <c r="N359" i="72"/>
  <c r="AB188" i="72"/>
  <c r="AC47" i="68" s="1"/>
  <c r="AC106" i="68" s="1"/>
  <c r="O355" i="72"/>
  <c r="T522" i="72"/>
  <c r="V523" i="72"/>
  <c r="U170" i="72"/>
  <c r="V30" i="68" s="1"/>
  <c r="AD524" i="72"/>
  <c r="AE474" i="68" s="1"/>
  <c r="N358" i="72"/>
  <c r="O262" i="68" s="1"/>
  <c r="U362" i="72"/>
  <c r="V266" i="68" s="1"/>
  <c r="X174" i="72"/>
  <c r="Y34" i="68" s="1"/>
  <c r="AC172" i="72"/>
  <c r="AD32" i="68" s="1"/>
  <c r="N355" i="72"/>
  <c r="L170" i="72"/>
  <c r="M30" i="68" s="1"/>
  <c r="M55" i="68" s="1"/>
  <c r="J345" i="72"/>
  <c r="V354" i="72"/>
  <c r="T349" i="72"/>
  <c r="AE523" i="72"/>
  <c r="AF473" i="68" s="1"/>
  <c r="U527" i="72"/>
  <c r="V477" i="68" s="1"/>
  <c r="Z524" i="72"/>
  <c r="AA474" i="68" s="1"/>
  <c r="AA359" i="72"/>
  <c r="AB263" i="68" s="1"/>
  <c r="AC184" i="72"/>
  <c r="AD43" i="68" s="1"/>
  <c r="AD95" i="68" s="1"/>
  <c r="AD159" i="68" s="1"/>
  <c r="AD223" i="68" s="1"/>
  <c r="Z350" i="72"/>
  <c r="AA254" i="68" s="1"/>
  <c r="M520" i="72"/>
  <c r="N470" i="68" s="1"/>
  <c r="K349" i="72"/>
  <c r="L253" i="68" s="1"/>
  <c r="AD350" i="72"/>
  <c r="AE254" i="68" s="1"/>
  <c r="L347" i="72"/>
  <c r="Y176" i="72"/>
  <c r="Z36" i="68" s="1"/>
  <c r="K175" i="72"/>
  <c r="L35" i="68" s="1"/>
  <c r="L70" i="68" s="1"/>
  <c r="H180" i="72"/>
  <c r="Q172" i="72"/>
  <c r="R32" i="68" s="1"/>
  <c r="R62" i="68" s="1"/>
  <c r="R126" i="68" s="1"/>
  <c r="R190" i="68" s="1"/>
  <c r="AB171" i="72"/>
  <c r="AC31" i="68" s="1"/>
  <c r="AC59" i="68" s="1"/>
  <c r="AC123" i="68" s="1"/>
  <c r="AC187" i="68" s="1"/>
  <c r="T523" i="72"/>
  <c r="U473" i="68" s="1"/>
  <c r="W520" i="72"/>
  <c r="Q521" i="72"/>
  <c r="R471" i="68" s="1"/>
  <c r="Y519" i="72"/>
  <c r="Z469" i="68" s="1"/>
  <c r="AE525" i="72"/>
  <c r="AF475" i="68" s="1"/>
  <c r="Y356" i="72"/>
  <c r="Z260" i="68" s="1"/>
  <c r="K518" i="72"/>
  <c r="L468" i="68" s="1"/>
  <c r="Q352" i="72"/>
  <c r="R256" i="68" s="1"/>
  <c r="H356" i="72"/>
  <c r="I260" i="68" s="1"/>
  <c r="Q176" i="72"/>
  <c r="R36" i="68" s="1"/>
  <c r="H532" i="72"/>
  <c r="I482" i="68" s="1"/>
  <c r="Y357" i="72"/>
  <c r="Z261" i="68" s="1"/>
  <c r="O532" i="72"/>
  <c r="P482" i="68" s="1"/>
  <c r="AA189" i="72"/>
  <c r="AB48" i="68" s="1"/>
  <c r="L526" i="72"/>
  <c r="L536" i="72"/>
  <c r="M486" i="68" s="1"/>
  <c r="N519" i="72"/>
  <c r="O469" i="68" s="1"/>
  <c r="J187" i="72"/>
  <c r="K46" i="68" s="1"/>
  <c r="K103" i="68" s="1"/>
  <c r="P345" i="72"/>
  <c r="Q249" i="68" s="1"/>
  <c r="U361" i="72"/>
  <c r="N352" i="72"/>
  <c r="O256" i="68" s="1"/>
  <c r="T175" i="72"/>
  <c r="U35" i="68" s="1"/>
  <c r="U71" i="68" s="1"/>
  <c r="U135" i="68" s="1"/>
  <c r="U199" i="68" s="1"/>
  <c r="U534" i="72"/>
  <c r="U580" i="72" s="1"/>
  <c r="Y179" i="72"/>
  <c r="Z39" i="68" s="1"/>
  <c r="Z82" i="68" s="1"/>
  <c r="H189" i="72"/>
  <c r="I48" i="68" s="1"/>
  <c r="I110" i="68" s="1"/>
  <c r="AA526" i="72"/>
  <c r="K353" i="72"/>
  <c r="L257" i="68" s="1"/>
  <c r="O525" i="72"/>
  <c r="P475" i="68" s="1"/>
  <c r="K525" i="72"/>
  <c r="L475" i="68" s="1"/>
  <c r="AE518" i="72"/>
  <c r="Y522" i="72"/>
  <c r="Z472" i="68" s="1"/>
  <c r="W346" i="72"/>
  <c r="X250" i="68" s="1"/>
  <c r="U181" i="72"/>
  <c r="V40" i="68" s="1"/>
  <c r="V85" i="68" s="1"/>
  <c r="AE532" i="72"/>
  <c r="AF482" i="68" s="1"/>
  <c r="W360" i="72"/>
  <c r="X264" i="68" s="1"/>
  <c r="O183" i="72"/>
  <c r="P42" i="68" s="1"/>
  <c r="P91" i="68" s="1"/>
  <c r="P155" i="68" s="1"/>
  <c r="K362" i="72"/>
  <c r="L266" i="68" s="1"/>
  <c r="AA530" i="72"/>
  <c r="AB480" i="68" s="1"/>
  <c r="Q170" i="72"/>
  <c r="R30" i="68" s="1"/>
  <c r="R55" i="68" s="1"/>
  <c r="S186" i="72"/>
  <c r="T45" i="68" s="1"/>
  <c r="T101" i="68" s="1"/>
  <c r="T165" i="68" s="1"/>
  <c r="T229" i="68" s="1"/>
  <c r="AB525" i="72"/>
  <c r="AC475" i="68" s="1"/>
  <c r="AE176" i="72"/>
  <c r="AF36" i="68" s="1"/>
  <c r="AF74" i="68" s="1"/>
  <c r="AF138" i="68" s="1"/>
  <c r="AF202" i="68" s="1"/>
  <c r="J173" i="72"/>
  <c r="K33" i="68" s="1"/>
  <c r="K65" i="68" s="1"/>
  <c r="K129" i="68" s="1"/>
  <c r="K193" i="68" s="1"/>
  <c r="AA349" i="72"/>
  <c r="AB253" i="68" s="1"/>
  <c r="O349" i="72"/>
  <c r="P253" i="68" s="1"/>
  <c r="U520" i="72"/>
  <c r="V470" i="68" s="1"/>
  <c r="L174" i="72"/>
  <c r="M34" i="68" s="1"/>
  <c r="M67" i="68" s="1"/>
  <c r="I182" i="72"/>
  <c r="J41" i="68" s="1"/>
  <c r="J88" i="68" s="1"/>
  <c r="AG355" i="72"/>
  <c r="AH259" i="68" s="1"/>
  <c r="I179" i="72"/>
  <c r="J39" i="68" s="1"/>
  <c r="J82" i="68" s="1"/>
  <c r="O356" i="72"/>
  <c r="P260" i="68" s="1"/>
  <c r="J176" i="72"/>
  <c r="K36" i="68" s="1"/>
  <c r="K74" i="68" s="1"/>
  <c r="K138" i="68" s="1"/>
  <c r="K202" i="68" s="1"/>
  <c r="W345" i="72"/>
  <c r="X249" i="68" s="1"/>
  <c r="X275" i="68" s="1"/>
  <c r="X339" i="68" s="1"/>
  <c r="X403" i="68" s="1"/>
  <c r="H530" i="72"/>
  <c r="I480" i="68" s="1"/>
  <c r="S353" i="72"/>
  <c r="S550" i="72" s="1"/>
  <c r="O178" i="72"/>
  <c r="P38" i="68" s="1"/>
  <c r="P79" i="68" s="1"/>
  <c r="N354" i="72"/>
  <c r="O258" i="68" s="1"/>
  <c r="J349" i="72"/>
  <c r="K253" i="68" s="1"/>
  <c r="AF520" i="72"/>
  <c r="AG470" i="68" s="1"/>
  <c r="S523" i="72"/>
  <c r="T473" i="68" s="1"/>
  <c r="R180" i="72"/>
  <c r="O346" i="72"/>
  <c r="P250" i="68" s="1"/>
  <c r="Y349" i="72"/>
  <c r="Z253" i="68" s="1"/>
  <c r="Y186" i="72"/>
  <c r="Z45" i="68" s="1"/>
  <c r="Z101" i="68" s="1"/>
  <c r="Z165" i="68" s="1"/>
  <c r="Z229" i="68" s="1"/>
  <c r="AE184" i="72"/>
  <c r="AF43" i="68" s="1"/>
  <c r="AF94" i="68" s="1"/>
  <c r="AF158" i="68" s="1"/>
  <c r="U346" i="72"/>
  <c r="V250" i="68" s="1"/>
  <c r="P181" i="72"/>
  <c r="Q40" i="68" s="1"/>
  <c r="Q85" i="68" s="1"/>
  <c r="AA179" i="72"/>
  <c r="AB39" i="68" s="1"/>
  <c r="AB82" i="68" s="1"/>
  <c r="T356" i="72"/>
  <c r="U260" i="68" s="1"/>
  <c r="L524" i="72"/>
  <c r="M474" i="68" s="1"/>
  <c r="P528" i="72"/>
  <c r="Q478" i="68" s="1"/>
  <c r="Z173" i="72"/>
  <c r="AA33" i="68" s="1"/>
  <c r="AA65" i="68" s="1"/>
  <c r="AA129" i="68" s="1"/>
  <c r="AA193" i="68" s="1"/>
  <c r="N518" i="72"/>
  <c r="AE533" i="72"/>
  <c r="AF483" i="68" s="1"/>
  <c r="AC526" i="72"/>
  <c r="AD476" i="68" s="1"/>
  <c r="Q525" i="72"/>
  <c r="R475" i="68" s="1"/>
  <c r="Z536" i="72"/>
  <c r="AA486" i="68" s="1"/>
  <c r="V186" i="72"/>
  <c r="W45" i="68" s="1"/>
  <c r="W100" i="68" s="1"/>
  <c r="R186" i="72"/>
  <c r="S45" i="68" s="1"/>
  <c r="S101" i="68" s="1"/>
  <c r="S165" i="68" s="1"/>
  <c r="S229" i="68" s="1"/>
  <c r="R176" i="72"/>
  <c r="S36" i="68" s="1"/>
  <c r="S73" i="68" s="1"/>
  <c r="N175" i="72"/>
  <c r="O35" i="68" s="1"/>
  <c r="O71" i="68" s="1"/>
  <c r="O135" i="68" s="1"/>
  <c r="O199" i="68" s="1"/>
  <c r="R179" i="72"/>
  <c r="S39" i="68" s="1"/>
  <c r="S83" i="68" s="1"/>
  <c r="S147" i="68" s="1"/>
  <c r="S211" i="68" s="1"/>
  <c r="K186" i="72"/>
  <c r="K557" i="72" s="1"/>
  <c r="O187" i="72"/>
  <c r="P46" i="68" s="1"/>
  <c r="P104" i="68" s="1"/>
  <c r="P168" i="68" s="1"/>
  <c r="P232" i="68" s="1"/>
  <c r="I185" i="72"/>
  <c r="J44" i="68" s="1"/>
  <c r="J98" i="68" s="1"/>
  <c r="J162" i="68" s="1"/>
  <c r="J226" i="68" s="1"/>
  <c r="AC188" i="72"/>
  <c r="AD47" i="68" s="1"/>
  <c r="AD107" i="68" s="1"/>
  <c r="AD171" i="68" s="1"/>
  <c r="AD235" i="68" s="1"/>
  <c r="H183" i="72"/>
  <c r="I42" i="68" s="1"/>
  <c r="I91" i="68" s="1"/>
  <c r="I533" i="72"/>
  <c r="J483" i="68" s="1"/>
  <c r="Y187" i="72"/>
  <c r="Z46" i="68" s="1"/>
  <c r="Z103" i="68" s="1"/>
  <c r="Z167" i="68" s="1"/>
  <c r="H362" i="72"/>
  <c r="I266" i="68" s="1"/>
  <c r="X360" i="72"/>
  <c r="Y264" i="68" s="1"/>
  <c r="U359" i="72"/>
  <c r="V263" i="68" s="1"/>
  <c r="Z361" i="72"/>
  <c r="AA265" i="68" s="1"/>
  <c r="P363" i="72"/>
  <c r="Q267" i="68" s="1"/>
  <c r="M352" i="72"/>
  <c r="N256" i="68" s="1"/>
  <c r="M353" i="72"/>
  <c r="N257" i="68" s="1"/>
  <c r="W177" i="72"/>
  <c r="X37" i="68" s="1"/>
  <c r="X76" i="68" s="1"/>
  <c r="K358" i="72"/>
  <c r="L262" i="68" s="1"/>
  <c r="V184" i="72"/>
  <c r="W43" i="68" s="1"/>
  <c r="W95" i="68" s="1"/>
  <c r="W159" i="68" s="1"/>
  <c r="W223" i="68" s="1"/>
  <c r="Z357" i="72"/>
  <c r="AA261" i="68" s="1"/>
  <c r="AB189" i="72"/>
  <c r="AC48" i="68" s="1"/>
  <c r="AC110" i="68" s="1"/>
  <c r="AC174" i="68" s="1"/>
  <c r="AC238" i="68" s="1"/>
  <c r="AB518" i="72"/>
  <c r="AC468" i="68" s="1"/>
  <c r="J357" i="72"/>
  <c r="K261" i="68" s="1"/>
  <c r="R170" i="72"/>
  <c r="S30" i="68" s="1"/>
  <c r="S55" i="68" s="1"/>
  <c r="N187" i="72"/>
  <c r="O46" i="68" s="1"/>
  <c r="O104" i="68" s="1"/>
  <c r="O168" i="68" s="1"/>
  <c r="O232" i="68" s="1"/>
  <c r="X359" i="72"/>
  <c r="Y263" i="68" s="1"/>
  <c r="I534" i="72"/>
  <c r="J484" i="68" s="1"/>
  <c r="J172" i="72"/>
  <c r="K32" i="68" s="1"/>
  <c r="K61" i="68" s="1"/>
  <c r="AF180" i="72"/>
  <c r="U523" i="72"/>
  <c r="V473" i="68" s="1"/>
  <c r="V520" i="72"/>
  <c r="W470" i="68" s="1"/>
  <c r="AG188" i="72"/>
  <c r="AH47" i="68" s="1"/>
  <c r="AH106" i="68" s="1"/>
  <c r="P534" i="72"/>
  <c r="Q484" i="68" s="1"/>
  <c r="AF360" i="72"/>
  <c r="AG264" i="68" s="1"/>
  <c r="X533" i="72"/>
  <c r="Y483" i="68" s="1"/>
  <c r="AF532" i="72"/>
  <c r="AG482" i="68" s="1"/>
  <c r="W174" i="72"/>
  <c r="X34" i="68" s="1"/>
  <c r="X67" i="68" s="1"/>
  <c r="W181" i="72"/>
  <c r="X40" i="68" s="1"/>
  <c r="X85" i="68" s="1"/>
  <c r="X351" i="72"/>
  <c r="Y255" i="68" s="1"/>
  <c r="Z179" i="72"/>
  <c r="AA39" i="68" s="1"/>
  <c r="AA83" i="68" s="1"/>
  <c r="AA147" i="68" s="1"/>
  <c r="AA211" i="68" s="1"/>
  <c r="AA176" i="72"/>
  <c r="AB36" i="68" s="1"/>
  <c r="AB74" i="68" s="1"/>
  <c r="AB138" i="68" s="1"/>
  <c r="AB202" i="68" s="1"/>
  <c r="T351" i="72"/>
  <c r="U255" i="68" s="1"/>
  <c r="Z345" i="72"/>
  <c r="AA249" i="68" s="1"/>
  <c r="O173" i="72"/>
  <c r="P33" i="68" s="1"/>
  <c r="P64" i="68" s="1"/>
  <c r="O520" i="72"/>
  <c r="P470" i="68" s="1"/>
  <c r="W361" i="72"/>
  <c r="X265" i="68" s="1"/>
  <c r="AB172" i="72"/>
  <c r="AC32" i="68" s="1"/>
  <c r="AC62" i="68" s="1"/>
  <c r="AC126" i="68" s="1"/>
  <c r="AC190" i="68" s="1"/>
  <c r="AF179" i="72"/>
  <c r="AG39" i="68" s="1"/>
  <c r="AG82" i="68" s="1"/>
  <c r="V348" i="72"/>
  <c r="W252" i="68" s="1"/>
  <c r="AC521" i="72"/>
  <c r="AD471" i="68" s="1"/>
  <c r="AB522" i="72"/>
  <c r="AC472" i="68" s="1"/>
  <c r="T181" i="72"/>
  <c r="U40" i="68" s="1"/>
  <c r="U85" i="68" s="1"/>
  <c r="I354" i="72"/>
  <c r="J258" i="68" s="1"/>
  <c r="W521" i="72"/>
  <c r="X471" i="68" s="1"/>
  <c r="AG533" i="72"/>
  <c r="AH483" i="68" s="1"/>
  <c r="I525" i="72"/>
  <c r="J475" i="68" s="1"/>
  <c r="AC518" i="72"/>
  <c r="AD468" i="68" s="1"/>
  <c r="AF518" i="72"/>
  <c r="AG468" i="68" s="1"/>
  <c r="W518" i="72"/>
  <c r="X468" i="68" s="1"/>
  <c r="AG360" i="72"/>
  <c r="AH264" i="68" s="1"/>
  <c r="U353" i="72"/>
  <c r="V257" i="68" s="1"/>
  <c r="X345" i="72"/>
  <c r="Y249" i="68" s="1"/>
  <c r="Q346" i="72"/>
  <c r="R250" i="68" s="1"/>
  <c r="I353" i="72"/>
  <c r="J257" i="68" s="1"/>
  <c r="I363" i="72"/>
  <c r="J267" i="68" s="1"/>
  <c r="I188" i="72"/>
  <c r="J47" i="68" s="1"/>
  <c r="J107" i="68" s="1"/>
  <c r="J171" i="68" s="1"/>
  <c r="J235" i="68" s="1"/>
  <c r="AA182" i="72"/>
  <c r="AB41" i="68" s="1"/>
  <c r="AB88" i="68" s="1"/>
  <c r="J181" i="72"/>
  <c r="K40" i="68" s="1"/>
  <c r="K85" i="68" s="1"/>
  <c r="AA529" i="72"/>
  <c r="X530" i="72"/>
  <c r="Y480" i="68" s="1"/>
  <c r="O530" i="72"/>
  <c r="P480" i="68" s="1"/>
  <c r="AG518" i="72"/>
  <c r="AH468" i="68" s="1"/>
  <c r="S535" i="72"/>
  <c r="T485" i="68" s="1"/>
  <c r="J536" i="72"/>
  <c r="K486" i="68" s="1"/>
  <c r="N531" i="72"/>
  <c r="O481" i="68" s="1"/>
  <c r="P526" i="72"/>
  <c r="Q476" i="68" s="1"/>
  <c r="AB519" i="72"/>
  <c r="AC469" i="68" s="1"/>
  <c r="N520" i="72"/>
  <c r="O470" i="68" s="1"/>
  <c r="AE529" i="72"/>
  <c r="AF479" i="68" s="1"/>
  <c r="K529" i="72"/>
  <c r="L479" i="68" s="1"/>
  <c r="Q528" i="72"/>
  <c r="R478" i="68" s="1"/>
  <c r="K352" i="72"/>
  <c r="L256" i="68" s="1"/>
  <c r="AE355" i="72"/>
  <c r="AF259" i="68" s="1"/>
  <c r="AA347" i="72"/>
  <c r="AB251" i="68" s="1"/>
  <c r="AE349" i="72"/>
  <c r="AF253" i="68" s="1"/>
  <c r="N348" i="72"/>
  <c r="O252" i="68" s="1"/>
  <c r="AE348" i="72"/>
  <c r="AF252" i="68" s="1"/>
  <c r="T348" i="72"/>
  <c r="U252" i="68" s="1"/>
  <c r="O350" i="72"/>
  <c r="AF346" i="72"/>
  <c r="AG250" i="68" s="1"/>
  <c r="AE172" i="72"/>
  <c r="AF32" i="68" s="1"/>
  <c r="AF61" i="68" s="1"/>
  <c r="S361" i="72"/>
  <c r="T265" i="68" s="1"/>
  <c r="L345" i="72"/>
  <c r="M249" i="68" s="1"/>
  <c r="Z359" i="72"/>
  <c r="AA263" i="68" s="1"/>
  <c r="Y361" i="72"/>
  <c r="X363" i="72"/>
  <c r="Y267" i="68" s="1"/>
  <c r="J363" i="72"/>
  <c r="K267" i="68" s="1"/>
  <c r="V353" i="72"/>
  <c r="V550" i="72" s="1"/>
  <c r="AF363" i="72"/>
  <c r="AG267" i="68" s="1"/>
  <c r="M359" i="72"/>
  <c r="L354" i="72"/>
  <c r="M258" i="68" s="1"/>
  <c r="AA355" i="72"/>
  <c r="AA361" i="72"/>
  <c r="AB265" i="68" s="1"/>
  <c r="AC362" i="72"/>
  <c r="AD266" i="68" s="1"/>
  <c r="N345" i="72"/>
  <c r="O249" i="68" s="1"/>
  <c r="Q357" i="72"/>
  <c r="R261" i="68" s="1"/>
  <c r="P353" i="72"/>
  <c r="Q257" i="68" s="1"/>
  <c r="H185" i="72"/>
  <c r="I44" i="68" s="1"/>
  <c r="I97" i="68" s="1"/>
  <c r="S189" i="72"/>
  <c r="T48" i="68" s="1"/>
  <c r="T109" i="68" s="1"/>
  <c r="M185" i="72"/>
  <c r="N44" i="68" s="1"/>
  <c r="N97" i="68" s="1"/>
  <c r="N161" i="68" s="1"/>
  <c r="R188" i="72"/>
  <c r="S47" i="68" s="1"/>
  <c r="S106" i="68" s="1"/>
  <c r="AF181" i="72"/>
  <c r="AG40" i="68" s="1"/>
  <c r="AG86" i="68" s="1"/>
  <c r="AG150" i="68" s="1"/>
  <c r="AG214" i="68" s="1"/>
  <c r="R181" i="72"/>
  <c r="S40" i="68" s="1"/>
  <c r="S86" i="68" s="1"/>
  <c r="S150" i="68" s="1"/>
  <c r="S214" i="68" s="1"/>
  <c r="AB180" i="72"/>
  <c r="AE175" i="72"/>
  <c r="AF35" i="68" s="1"/>
  <c r="AF70" i="68" s="1"/>
  <c r="R175" i="72"/>
  <c r="S35" i="68" s="1"/>
  <c r="S70" i="68" s="1"/>
  <c r="M174" i="72"/>
  <c r="N34" i="68" s="1"/>
  <c r="N67" i="68" s="1"/>
  <c r="AG174" i="72"/>
  <c r="AH34" i="68" s="1"/>
  <c r="AH67" i="68" s="1"/>
  <c r="N170" i="72"/>
  <c r="O30" i="68" s="1"/>
  <c r="O56" i="68" s="1"/>
  <c r="O120" i="68" s="1"/>
  <c r="O184" i="68" s="1"/>
  <c r="O170" i="72"/>
  <c r="P30" i="68" s="1"/>
  <c r="P55" i="68" s="1"/>
  <c r="S177" i="72"/>
  <c r="T37" i="68" s="1"/>
  <c r="T76" i="68" s="1"/>
  <c r="K173" i="72"/>
  <c r="L33" i="68" s="1"/>
  <c r="L65" i="68" s="1"/>
  <c r="L129" i="68" s="1"/>
  <c r="L193" i="68" s="1"/>
  <c r="U358" i="72"/>
  <c r="V262" i="68" s="1"/>
  <c r="AE534" i="72"/>
  <c r="AF484" i="68" s="1"/>
  <c r="Q349" i="72"/>
  <c r="R253" i="68" s="1"/>
  <c r="Q530" i="72"/>
  <c r="R480" i="68" s="1"/>
  <c r="AG184" i="72"/>
  <c r="AH43" i="68" s="1"/>
  <c r="AH94" i="68" s="1"/>
  <c r="AF355" i="72"/>
  <c r="AG259" i="68" s="1"/>
  <c r="AF530" i="72"/>
  <c r="AG480" i="68" s="1"/>
  <c r="Z185" i="72"/>
  <c r="AA44" i="68" s="1"/>
  <c r="AA97" i="68" s="1"/>
  <c r="S533" i="72"/>
  <c r="T483" i="68" s="1"/>
  <c r="AD177" i="72"/>
  <c r="AE37" i="68" s="1"/>
  <c r="AB359" i="72"/>
  <c r="AC263" i="68" s="1"/>
  <c r="AB345" i="72"/>
  <c r="AC249" i="68" s="1"/>
  <c r="W354" i="72"/>
  <c r="AG185" i="72"/>
  <c r="AH44" i="68" s="1"/>
  <c r="K187" i="72"/>
  <c r="L46" i="68" s="1"/>
  <c r="V355" i="72"/>
  <c r="W259" i="68" s="1"/>
  <c r="AB535" i="72"/>
  <c r="AC485" i="68" s="1"/>
  <c r="O188" i="72"/>
  <c r="P47" i="68" s="1"/>
  <c r="P107" i="68" s="1"/>
  <c r="P171" i="68" s="1"/>
  <c r="P235" i="68" s="1"/>
  <c r="M363" i="72"/>
  <c r="N267" i="68" s="1"/>
  <c r="R185" i="72"/>
  <c r="S44" i="68" s="1"/>
  <c r="S98" i="68" s="1"/>
  <c r="S162" i="68" s="1"/>
  <c r="S226" i="68" s="1"/>
  <c r="P177" i="72"/>
  <c r="Q37" i="68" s="1"/>
  <c r="Q77" i="68" s="1"/>
  <c r="Q141" i="68" s="1"/>
  <c r="Q205" i="68" s="1"/>
  <c r="AA180" i="72"/>
  <c r="J528" i="72"/>
  <c r="AB520" i="72"/>
  <c r="AC470" i="68" s="1"/>
  <c r="O177" i="72"/>
  <c r="M173" i="72"/>
  <c r="I522" i="72"/>
  <c r="J472" i="68" s="1"/>
  <c r="Q350" i="72"/>
  <c r="R254" i="68" s="1"/>
  <c r="H184" i="72"/>
  <c r="I43" i="68" s="1"/>
  <c r="I95" i="68" s="1"/>
  <c r="I159" i="68" s="1"/>
  <c r="I223" i="68" s="1"/>
  <c r="P536" i="72"/>
  <c r="Q486" i="68" s="1"/>
  <c r="O348" i="72"/>
  <c r="I355" i="72"/>
  <c r="J259" i="68" s="1"/>
  <c r="AG528" i="72"/>
  <c r="AH478" i="68" s="1"/>
  <c r="W187" i="72"/>
  <c r="X46" i="68" s="1"/>
  <c r="AC524" i="72"/>
  <c r="AD474" i="68" s="1"/>
  <c r="V176" i="72"/>
  <c r="W36" i="68" s="1"/>
  <c r="W73" i="68" s="1"/>
  <c r="AB178" i="72"/>
  <c r="AC38" i="68" s="1"/>
  <c r="AA354" i="72"/>
  <c r="AE347" i="72"/>
  <c r="X521" i="72"/>
  <c r="AE358" i="72"/>
  <c r="AC533" i="72"/>
  <c r="AD483" i="68" s="1"/>
  <c r="AE357" i="72"/>
  <c r="AF261" i="68" s="1"/>
  <c r="W533" i="72"/>
  <c r="X483" i="68" s="1"/>
  <c r="M530" i="72"/>
  <c r="N480" i="68" s="1"/>
  <c r="X353" i="72"/>
  <c r="Y257" i="68" s="1"/>
  <c r="N182" i="72"/>
  <c r="O41" i="68" s="1"/>
  <c r="O88" i="68" s="1"/>
  <c r="AF176" i="72"/>
  <c r="AG36" i="68" s="1"/>
  <c r="AG73" i="68" s="1"/>
  <c r="AE178" i="72"/>
  <c r="AF38" i="68" s="1"/>
  <c r="AF79" i="68" s="1"/>
  <c r="AB356" i="72"/>
  <c r="AC260" i="68" s="1"/>
  <c r="AA174" i="72"/>
  <c r="P172" i="72"/>
  <c r="X173" i="72"/>
  <c r="Y33" i="68" s="1"/>
  <c r="Y65" i="68" s="1"/>
  <c r="Y129" i="68" s="1"/>
  <c r="Y193" i="68" s="1"/>
  <c r="AD521" i="72"/>
  <c r="AE471" i="68" s="1"/>
  <c r="V519" i="72"/>
  <c r="W469" i="68" s="1"/>
  <c r="AB360" i="72"/>
  <c r="AC264" i="68" s="1"/>
  <c r="S187" i="72"/>
  <c r="AD183" i="72"/>
  <c r="AE42" i="68" s="1"/>
  <c r="R189" i="72"/>
  <c r="S48" i="68" s="1"/>
  <c r="Q363" i="72"/>
  <c r="R267" i="68" s="1"/>
  <c r="V189" i="72"/>
  <c r="W48" i="68" s="1"/>
  <c r="W109" i="68" s="1"/>
  <c r="V532" i="72"/>
  <c r="W482" i="68" s="1"/>
  <c r="AD532" i="72"/>
  <c r="AF531" i="72"/>
  <c r="AG481" i="68" s="1"/>
  <c r="P361" i="72"/>
  <c r="Q265" i="68" s="1"/>
  <c r="AF353" i="72"/>
  <c r="AG257" i="68" s="1"/>
  <c r="AG526" i="72"/>
  <c r="AH476" i="68" s="1"/>
  <c r="AG353" i="72"/>
  <c r="AC352" i="72"/>
  <c r="AD256" i="68" s="1"/>
  <c r="AC351" i="72"/>
  <c r="AD255" i="68" s="1"/>
  <c r="AE173" i="72"/>
  <c r="Z346" i="72"/>
  <c r="AC179" i="72"/>
  <c r="AD39" i="68" s="1"/>
  <c r="AD83" i="68" s="1"/>
  <c r="AD147" i="68" s="1"/>
  <c r="AD211" i="68" s="1"/>
  <c r="U176" i="72"/>
  <c r="S521" i="72"/>
  <c r="T471" i="68" s="1"/>
  <c r="AG178" i="72"/>
  <c r="AH38" i="68" s="1"/>
  <c r="X356" i="72"/>
  <c r="Y260" i="68" s="1"/>
  <c r="Q347" i="72"/>
  <c r="R251" i="68" s="1"/>
  <c r="AA351" i="72"/>
  <c r="L519" i="72"/>
  <c r="M469" i="68" s="1"/>
  <c r="J524" i="72"/>
  <c r="K474" i="68" s="1"/>
  <c r="W527" i="72"/>
  <c r="X477" i="68" s="1"/>
  <c r="AG357" i="72"/>
  <c r="AH261" i="68" s="1"/>
  <c r="L357" i="72"/>
  <c r="M261" i="68" s="1"/>
  <c r="AF189" i="72"/>
  <c r="AG48" i="68" s="1"/>
  <c r="AG109" i="68" s="1"/>
  <c r="T532" i="72"/>
  <c r="U482" i="68" s="1"/>
  <c r="P173" i="72"/>
  <c r="W171" i="72"/>
  <c r="X31" i="68" s="1"/>
  <c r="X58" i="68" s="1"/>
  <c r="Z356" i="72"/>
  <c r="R355" i="72"/>
  <c r="Q529" i="72"/>
  <c r="R520" i="72"/>
  <c r="R171" i="72"/>
  <c r="S31" i="68" s="1"/>
  <c r="S59" i="68" s="1"/>
  <c r="S123" i="68" s="1"/>
  <c r="S187" i="68" s="1"/>
  <c r="AF184" i="72"/>
  <c r="L533" i="72"/>
  <c r="M483" i="68" s="1"/>
  <c r="U351" i="72"/>
  <c r="V255" i="68" s="1"/>
  <c r="AD346" i="72"/>
  <c r="AE250" i="68" s="1"/>
  <c r="AA533" i="72"/>
  <c r="AB483" i="68" s="1"/>
  <c r="Y345" i="72"/>
  <c r="Z249" i="68" s="1"/>
  <c r="V361" i="72"/>
  <c r="W265" i="68" s="1"/>
  <c r="H345" i="72"/>
  <c r="I249" i="68" s="1"/>
  <c r="Z188" i="72"/>
  <c r="AA47" i="68" s="1"/>
  <c r="AA106" i="68" s="1"/>
  <c r="AA181" i="72"/>
  <c r="AB40" i="68" s="1"/>
  <c r="AB86" i="68" s="1"/>
  <c r="AB150" i="68" s="1"/>
  <c r="AB214" i="68" s="1"/>
  <c r="AF350" i="72"/>
  <c r="AG254" i="68" s="1"/>
  <c r="U179" i="72"/>
  <c r="V39" i="68" s="1"/>
  <c r="V82" i="68" s="1"/>
  <c r="P348" i="72"/>
  <c r="Q252" i="68" s="1"/>
  <c r="W349" i="72"/>
  <c r="Y355" i="72"/>
  <c r="Z259" i="68" s="1"/>
  <c r="O354" i="72"/>
  <c r="X520" i="72"/>
  <c r="Y470" i="68" s="1"/>
  <c r="AF522" i="72"/>
  <c r="AG472" i="68" s="1"/>
  <c r="O522" i="72"/>
  <c r="P472" i="68" s="1"/>
  <c r="J535" i="72"/>
  <c r="K485" i="68" s="1"/>
  <c r="W534" i="72"/>
  <c r="X484" i="68" s="1"/>
  <c r="O179" i="72"/>
  <c r="P39" i="68" s="1"/>
  <c r="P83" i="68" s="1"/>
  <c r="P147" i="68" s="1"/>
  <c r="P211" i="68" s="1"/>
  <c r="R518" i="72"/>
  <c r="S468" i="68" s="1"/>
  <c r="L362" i="72"/>
  <c r="M266" i="68" s="1"/>
  <c r="P357" i="72"/>
  <c r="Q261" i="68" s="1"/>
  <c r="P362" i="72"/>
  <c r="Q266" i="68" s="1"/>
  <c r="AE187" i="72"/>
  <c r="AF46" i="68" s="1"/>
  <c r="AF104" i="68" s="1"/>
  <c r="AF168" i="68" s="1"/>
  <c r="AF232" i="68" s="1"/>
  <c r="AD353" i="72"/>
  <c r="AC177" i="72"/>
  <c r="AD37" i="68" s="1"/>
  <c r="AD76" i="68" s="1"/>
  <c r="T347" i="72"/>
  <c r="U251" i="68" s="1"/>
  <c r="AB174" i="72"/>
  <c r="AC34" i="68" s="1"/>
  <c r="AC67" i="68" s="1"/>
  <c r="AD174" i="72"/>
  <c r="AE34" i="68" s="1"/>
  <c r="AE68" i="68" s="1"/>
  <c r="AE132" i="68" s="1"/>
  <c r="AE196" i="68" s="1"/>
  <c r="S176" i="72"/>
  <c r="AD347" i="72"/>
  <c r="V173" i="72"/>
  <c r="AB346" i="72"/>
  <c r="AE351" i="72"/>
  <c r="AF255" i="68" s="1"/>
  <c r="AC520" i="72"/>
  <c r="AC566" i="72" s="1"/>
  <c r="N523" i="72"/>
  <c r="O473" i="68" s="1"/>
  <c r="M534" i="72"/>
  <c r="N484" i="68" s="1"/>
  <c r="H357" i="72"/>
  <c r="I261" i="68" s="1"/>
  <c r="O352" i="72"/>
  <c r="P256" i="68" s="1"/>
  <c r="AC347" i="72"/>
  <c r="AA173" i="72"/>
  <c r="AB33" i="68" s="1"/>
  <c r="AB65" i="68" s="1"/>
  <c r="AB129" i="68" s="1"/>
  <c r="AB193" i="68" s="1"/>
  <c r="Z178" i="72"/>
  <c r="AA38" i="68" s="1"/>
  <c r="AA80" i="68" s="1"/>
  <c r="AA144" i="68" s="1"/>
  <c r="AA208" i="68" s="1"/>
  <c r="L351" i="72"/>
  <c r="L548" i="72" s="1"/>
  <c r="P176" i="72"/>
  <c r="Q36" i="68" s="1"/>
  <c r="Q74" i="68" s="1"/>
  <c r="Q138" i="68" s="1"/>
  <c r="Q202" i="68" s="1"/>
  <c r="R349" i="72"/>
  <c r="S253" i="68" s="1"/>
  <c r="H524" i="72"/>
  <c r="I474" i="68" s="1"/>
  <c r="J519" i="72"/>
  <c r="K469" i="68" s="1"/>
  <c r="T362" i="72"/>
  <c r="U266" i="68" s="1"/>
  <c r="P170" i="72"/>
  <c r="Q30" i="68" s="1"/>
  <c r="Q55" i="68" s="1"/>
  <c r="Q119" i="68" s="1"/>
  <c r="J346" i="72"/>
  <c r="Y535" i="72"/>
  <c r="J518" i="72"/>
  <c r="K468" i="68" s="1"/>
  <c r="U345" i="72"/>
  <c r="V249" i="68" s="1"/>
  <c r="AA178" i="72"/>
  <c r="AB38" i="68" s="1"/>
  <c r="AB80" i="68" s="1"/>
  <c r="AB144" i="68" s="1"/>
  <c r="AB208" i="68" s="1"/>
  <c r="AE180" i="72"/>
  <c r="AC346" i="72"/>
  <c r="AD250" i="68" s="1"/>
  <c r="R178" i="72"/>
  <c r="S38" i="68" s="1"/>
  <c r="S80" i="68" s="1"/>
  <c r="S144" i="68" s="1"/>
  <c r="S208" i="68" s="1"/>
  <c r="AD522" i="72"/>
  <c r="AE472" i="68" s="1"/>
  <c r="R519" i="72"/>
  <c r="AC527" i="72"/>
  <c r="AE522" i="72"/>
  <c r="AF472" i="68" s="1"/>
  <c r="R184" i="72"/>
  <c r="S43" i="68" s="1"/>
  <c r="S94" i="68" s="1"/>
  <c r="S158" i="68" s="1"/>
  <c r="K523" i="72"/>
  <c r="AD189" i="72"/>
  <c r="AE48" i="68" s="1"/>
  <c r="AB362" i="72"/>
  <c r="T184" i="72"/>
  <c r="U43" i="68" s="1"/>
  <c r="AG532" i="72"/>
  <c r="AH482" i="68" s="1"/>
  <c r="W359" i="72"/>
  <c r="X263" i="68" s="1"/>
  <c r="X352" i="72"/>
  <c r="J526" i="72"/>
  <c r="K476" i="68" s="1"/>
  <c r="AA172" i="72"/>
  <c r="P178" i="72"/>
  <c r="Q38" i="68" s="1"/>
  <c r="Q79" i="68" s="1"/>
  <c r="AG173" i="72"/>
  <c r="AH33" i="68" s="1"/>
  <c r="AH64" i="68" s="1"/>
  <c r="W175" i="72"/>
  <c r="X35" i="68" s="1"/>
  <c r="X70" i="68" s="1"/>
  <c r="P179" i="72"/>
  <c r="Q39" i="68" s="1"/>
  <c r="Q82" i="68" s="1"/>
  <c r="AC522" i="72"/>
  <c r="AC568" i="72" s="1"/>
  <c r="P351" i="72"/>
  <c r="Q255" i="68" s="1"/>
  <c r="R346" i="72"/>
  <c r="S250" i="68" s="1"/>
  <c r="U350" i="72"/>
  <c r="V254" i="68" s="1"/>
  <c r="AD354" i="72"/>
  <c r="AE258" i="68" s="1"/>
  <c r="AF519" i="72"/>
  <c r="AG469" i="68" s="1"/>
  <c r="I524" i="72"/>
  <c r="J474" i="68" s="1"/>
  <c r="J531" i="72"/>
  <c r="K481" i="68" s="1"/>
  <c r="AC189" i="72"/>
  <c r="AD48" i="68" s="1"/>
  <c r="AD110" i="68" s="1"/>
  <c r="AD174" i="68" s="1"/>
  <c r="AD238" i="68" s="1"/>
  <c r="L363" i="72"/>
  <c r="M267" i="68" s="1"/>
  <c r="O536" i="72"/>
  <c r="M186" i="72"/>
  <c r="N45" i="68" s="1"/>
  <c r="N100" i="68" s="1"/>
  <c r="N164" i="68" s="1"/>
  <c r="Y526" i="72"/>
  <c r="Y572" i="72" s="1"/>
  <c r="M175" i="72"/>
  <c r="N35" i="68" s="1"/>
  <c r="AF178" i="72"/>
  <c r="V179" i="72"/>
  <c r="O528" i="72"/>
  <c r="O574" i="72" s="1"/>
  <c r="AE519" i="72"/>
  <c r="AF469" i="68" s="1"/>
  <c r="AC350" i="72"/>
  <c r="AD254" i="68" s="1"/>
  <c r="Q179" i="72"/>
  <c r="R39" i="68" s="1"/>
  <c r="R83" i="68" s="1"/>
  <c r="R147" i="68" s="1"/>
  <c r="R211" i="68" s="1"/>
  <c r="AG527" i="72"/>
  <c r="AG573" i="72" s="1"/>
  <c r="V536" i="72"/>
  <c r="W486" i="68" s="1"/>
  <c r="M183" i="72"/>
  <c r="AE352" i="72"/>
  <c r="T524" i="72"/>
  <c r="U474" i="68" s="1"/>
  <c r="AC354" i="72"/>
  <c r="AD258" i="68" s="1"/>
  <c r="H521" i="72"/>
  <c r="I471" i="68" s="1"/>
  <c r="K521" i="72"/>
  <c r="K347" i="72"/>
  <c r="L251" i="68" s="1"/>
  <c r="U524" i="72"/>
  <c r="V474" i="68" s="1"/>
  <c r="P519" i="72"/>
  <c r="Q469" i="68" s="1"/>
  <c r="Q527" i="72"/>
  <c r="R477" i="68" s="1"/>
  <c r="R359" i="72"/>
  <c r="S263" i="68" s="1"/>
  <c r="U183" i="72"/>
  <c r="V42" i="68" s="1"/>
  <c r="V91" i="68" s="1"/>
  <c r="V155" i="68" s="1"/>
  <c r="AC178" i="72"/>
  <c r="AD38" i="68" s="1"/>
  <c r="AD80" i="68" s="1"/>
  <c r="AD144" i="68" s="1"/>
  <c r="AD208" i="68" s="1"/>
  <c r="M522" i="72"/>
  <c r="N472" i="68" s="1"/>
  <c r="Q533" i="72"/>
  <c r="R483" i="68" s="1"/>
  <c r="AB170" i="72"/>
  <c r="S536" i="72"/>
  <c r="K535" i="72"/>
  <c r="L485" i="68" s="1"/>
  <c r="Z520" i="72"/>
  <c r="N357" i="72"/>
  <c r="O261" i="68" s="1"/>
  <c r="W528" i="72"/>
  <c r="M356" i="72"/>
  <c r="AG523" i="72"/>
  <c r="H181" i="72"/>
  <c r="L521" i="72"/>
  <c r="M471" i="68" s="1"/>
  <c r="M533" i="72"/>
  <c r="N483" i="68" s="1"/>
  <c r="I531" i="72"/>
  <c r="J481" i="68" s="1"/>
  <c r="S174" i="72"/>
  <c r="T34" i="68" s="1"/>
  <c r="T67" i="68" s="1"/>
  <c r="N347" i="72"/>
  <c r="O251" i="68" s="1"/>
  <c r="AA356" i="72"/>
  <c r="AB260" i="68" s="1"/>
  <c r="X176" i="72"/>
  <c r="Y36" i="68" s="1"/>
  <c r="Y73" i="68" s="1"/>
  <c r="AD355" i="72"/>
  <c r="AE259" i="68" s="1"/>
  <c r="H519" i="72"/>
  <c r="I469" i="68" s="1"/>
  <c r="H522" i="72"/>
  <c r="I472" i="68" s="1"/>
  <c r="J525" i="72"/>
  <c r="K475" i="68" s="1"/>
  <c r="K524" i="72"/>
  <c r="L474" i="68" s="1"/>
  <c r="O359" i="72"/>
  <c r="P263" i="68" s="1"/>
  <c r="S357" i="72"/>
  <c r="S188" i="72"/>
  <c r="AF188" i="72"/>
  <c r="AG47" i="68" s="1"/>
  <c r="AG107" i="68" s="1"/>
  <c r="AG171" i="68" s="1"/>
  <c r="AG235" i="68" s="1"/>
  <c r="K184" i="72"/>
  <c r="Q187" i="72"/>
  <c r="R46" i="68" s="1"/>
  <c r="V362" i="72"/>
  <c r="W266" i="68" s="1"/>
  <c r="Z534" i="72"/>
  <c r="AA484" i="68" s="1"/>
  <c r="W535" i="72"/>
  <c r="Q178" i="72"/>
  <c r="R38" i="68" s="1"/>
  <c r="R80" i="68" s="1"/>
  <c r="R144" i="68" s="1"/>
  <c r="R208" i="68" s="1"/>
  <c r="V171" i="72"/>
  <c r="W31" i="68" s="1"/>
  <c r="W58" i="68" s="1"/>
  <c r="AE528" i="72"/>
  <c r="Y528" i="72"/>
  <c r="Z478" i="68" s="1"/>
  <c r="L520" i="72"/>
  <c r="M470" i="68" s="1"/>
  <c r="W522" i="72"/>
  <c r="AE170" i="72"/>
  <c r="AF30" i="68" s="1"/>
  <c r="AF55" i="68" s="1"/>
  <c r="L359" i="72"/>
  <c r="M263" i="68" s="1"/>
  <c r="L535" i="72"/>
  <c r="M485" i="68" s="1"/>
  <c r="N535" i="72"/>
  <c r="O485" i="68" s="1"/>
  <c r="K170" i="72"/>
  <c r="L30" i="68" s="1"/>
  <c r="AB536" i="72"/>
  <c r="AC486" i="68" s="1"/>
  <c r="Q188" i="72"/>
  <c r="R47" i="68" s="1"/>
  <c r="R107" i="68" s="1"/>
  <c r="R171" i="68" s="1"/>
  <c r="R235" i="68" s="1"/>
  <c r="T189" i="72"/>
  <c r="U48" i="68" s="1"/>
  <c r="U110" i="68" s="1"/>
  <c r="U174" i="68" s="1"/>
  <c r="U238" i="68" s="1"/>
  <c r="AC535" i="72"/>
  <c r="H187" i="72"/>
  <c r="W530" i="72"/>
  <c r="AD188" i="72"/>
  <c r="AE47" i="68" s="1"/>
  <c r="AE107" i="68" s="1"/>
  <c r="AE171" i="68" s="1"/>
  <c r="AE235" i="68" s="1"/>
  <c r="W532" i="72"/>
  <c r="X482" i="68" s="1"/>
  <c r="K532" i="72"/>
  <c r="L482" i="68" s="1"/>
  <c r="U518" i="72"/>
  <c r="V468" i="68" s="1"/>
  <c r="M532" i="72"/>
  <c r="N482" i="68" s="1"/>
  <c r="P533" i="72"/>
  <c r="Q483" i="68" s="1"/>
  <c r="AD345" i="72"/>
  <c r="AE249" i="68" s="1"/>
  <c r="L358" i="72"/>
  <c r="M262" i="68" s="1"/>
  <c r="U363" i="72"/>
  <c r="V267" i="68" s="1"/>
  <c r="AA187" i="72"/>
  <c r="AB46" i="68" s="1"/>
  <c r="AB103" i="68" s="1"/>
  <c r="O361" i="72"/>
  <c r="J360" i="72"/>
  <c r="K264" i="68" s="1"/>
  <c r="AG186" i="72"/>
  <c r="AH45" i="68" s="1"/>
  <c r="AH100" i="68" s="1"/>
  <c r="AB531" i="72"/>
  <c r="AC481" i="68" s="1"/>
  <c r="T518" i="72"/>
  <c r="U468" i="68" s="1"/>
  <c r="J530" i="72"/>
  <c r="K480" i="68" s="1"/>
  <c r="O363" i="72"/>
  <c r="P267" i="68" s="1"/>
  <c r="L532" i="72"/>
  <c r="M482" i="68" s="1"/>
  <c r="Q358" i="72"/>
  <c r="R262" i="68" s="1"/>
  <c r="AG530" i="72"/>
  <c r="AH480" i="68" s="1"/>
  <c r="T361" i="72"/>
  <c r="U265" i="68" s="1"/>
  <c r="U323" i="68" s="1"/>
  <c r="U387" i="68" s="1"/>
  <c r="U451" i="68" s="1"/>
  <c r="Y532" i="72"/>
  <c r="Z482" i="68" s="1"/>
  <c r="AB357" i="72"/>
  <c r="AC261" i="68" s="1"/>
  <c r="AB530" i="72"/>
  <c r="AC480" i="68" s="1"/>
  <c r="T358" i="72"/>
  <c r="U262" i="68" s="1"/>
  <c r="Q531" i="72"/>
  <c r="R481" i="68" s="1"/>
  <c r="AA531" i="72"/>
  <c r="AB481" i="68" s="1"/>
  <c r="W189" i="72"/>
  <c r="X48" i="68" s="1"/>
  <c r="X110" i="68" s="1"/>
  <c r="X174" i="68" s="1"/>
  <c r="X238" i="68" s="1"/>
  <c r="AC170" i="72"/>
  <c r="AD30" i="68" s="1"/>
  <c r="AD55" i="68" s="1"/>
  <c r="AD119" i="68" s="1"/>
  <c r="AD531" i="72"/>
  <c r="AE481" i="68" s="1"/>
  <c r="Y534" i="72"/>
  <c r="Z484" i="68" s="1"/>
  <c r="AD170" i="72"/>
  <c r="AE30" i="68" s="1"/>
  <c r="AE55" i="68" s="1"/>
  <c r="V357" i="72"/>
  <c r="W261" i="68" s="1"/>
  <c r="H535" i="72"/>
  <c r="I485" i="68" s="1"/>
  <c r="AC361" i="72"/>
  <c r="AD265" i="68" s="1"/>
  <c r="P358" i="72"/>
  <c r="Q262" i="68" s="1"/>
  <c r="X357" i="72"/>
  <c r="Y261" i="68" s="1"/>
  <c r="U532" i="72"/>
  <c r="V482" i="68" s="1"/>
  <c r="P531" i="72"/>
  <c r="Q481" i="68" s="1"/>
  <c r="K357" i="72"/>
  <c r="Y172" i="72"/>
  <c r="Z32" i="68" s="1"/>
  <c r="Z62" i="68" s="1"/>
  <c r="Z126" i="68" s="1"/>
  <c r="Z190" i="68" s="1"/>
  <c r="H177" i="72"/>
  <c r="I37" i="68" s="1"/>
  <c r="I76" i="68" s="1"/>
  <c r="U172" i="72"/>
  <c r="V32" i="68" s="1"/>
  <c r="V62" i="68" s="1"/>
  <c r="V126" i="68" s="1"/>
  <c r="V190" i="68" s="1"/>
  <c r="T178" i="72"/>
  <c r="U38" i="68" s="1"/>
  <c r="U79" i="68" s="1"/>
  <c r="AB351" i="72"/>
  <c r="AB548" i="72" s="1"/>
  <c r="AG347" i="72"/>
  <c r="AH251" i="68" s="1"/>
  <c r="AG529" i="72"/>
  <c r="H527" i="72"/>
  <c r="I477" i="68" s="1"/>
  <c r="R527" i="72"/>
  <c r="S477" i="68" s="1"/>
  <c r="L528" i="72"/>
  <c r="M478" i="68" s="1"/>
  <c r="AD520" i="72"/>
  <c r="AE470" i="68" s="1"/>
  <c r="AE353" i="72"/>
  <c r="AF257" i="68" s="1"/>
  <c r="U533" i="72"/>
  <c r="V483" i="68" s="1"/>
  <c r="V345" i="72"/>
  <c r="W249" i="68" s="1"/>
  <c r="Q536" i="72"/>
  <c r="R486" i="68" s="1"/>
  <c r="N363" i="72"/>
  <c r="O267" i="68" s="1"/>
  <c r="R360" i="72"/>
  <c r="S264" i="68" s="1"/>
  <c r="L360" i="72"/>
  <c r="M264" i="68" s="1"/>
  <c r="Y188" i="72"/>
  <c r="Z47" i="68" s="1"/>
  <c r="Z107" i="68" s="1"/>
  <c r="Z171" i="68" s="1"/>
  <c r="Z235" i="68" s="1"/>
  <c r="Z189" i="72"/>
  <c r="J362" i="72"/>
  <c r="K266" i="68" s="1"/>
  <c r="X531" i="72"/>
  <c r="Y481" i="68" s="1"/>
  <c r="O533" i="72"/>
  <c r="P483" i="68" s="1"/>
  <c r="AB534" i="72"/>
  <c r="AC484" i="68" s="1"/>
  <c r="AE361" i="72"/>
  <c r="S352" i="72"/>
  <c r="Q526" i="72"/>
  <c r="AA352" i="72"/>
  <c r="AB256" i="68" s="1"/>
  <c r="X525" i="72"/>
  <c r="Y475" i="68" s="1"/>
  <c r="J177" i="72"/>
  <c r="K37" i="68" s="1"/>
  <c r="K76" i="68" s="1"/>
  <c r="H354" i="72"/>
  <c r="I258" i="68" s="1"/>
  <c r="K178" i="72"/>
  <c r="L38" i="68" s="1"/>
  <c r="L79" i="68" s="1"/>
  <c r="J354" i="72"/>
  <c r="K258" i="68" s="1"/>
  <c r="W529" i="72"/>
  <c r="W575" i="72" s="1"/>
  <c r="N178" i="72"/>
  <c r="O38" i="68" s="1"/>
  <c r="O80" i="68" s="1"/>
  <c r="O144" i="68" s="1"/>
  <c r="O208" i="68" s="1"/>
  <c r="U173" i="72"/>
  <c r="V33" i="68" s="1"/>
  <c r="V64" i="68" s="1"/>
  <c r="S179" i="72"/>
  <c r="T39" i="68" s="1"/>
  <c r="AB179" i="72"/>
  <c r="AC39" i="68" s="1"/>
  <c r="X350" i="72"/>
  <c r="Y254" i="68" s="1"/>
  <c r="U536" i="72"/>
  <c r="V486" i="68" s="1"/>
  <c r="V530" i="72"/>
  <c r="W480" i="68" s="1"/>
  <c r="R526" i="72"/>
  <c r="S476" i="68" s="1"/>
  <c r="Z531" i="72"/>
  <c r="Z577" i="72" s="1"/>
  <c r="S345" i="72"/>
  <c r="T249" i="68" s="1"/>
  <c r="P530" i="72"/>
  <c r="P576" i="72" s="1"/>
  <c r="Y533" i="72"/>
  <c r="I345" i="72"/>
  <c r="S534" i="72"/>
  <c r="T484" i="68" s="1"/>
  <c r="H536" i="72"/>
  <c r="O189" i="72"/>
  <c r="P48" i="68" s="1"/>
  <c r="P109" i="68" s="1"/>
  <c r="AC357" i="72"/>
  <c r="AD261" i="68" s="1"/>
  <c r="O185" i="72"/>
  <c r="P44" i="68" s="1"/>
  <c r="P98" i="68" s="1"/>
  <c r="P162" i="68" s="1"/>
  <c r="P226" i="68" s="1"/>
  <c r="AF362" i="72"/>
  <c r="M525" i="72"/>
  <c r="AD352" i="72"/>
  <c r="AD357" i="72"/>
  <c r="AE261" i="68" s="1"/>
  <c r="W185" i="72"/>
  <c r="J533" i="72"/>
  <c r="K183" i="72"/>
  <c r="L42" i="68" s="1"/>
  <c r="L92" i="68" s="1"/>
  <c r="L156" i="68" s="1"/>
  <c r="L220" i="68" s="1"/>
  <c r="L518" i="72"/>
  <c r="M468" i="68" s="1"/>
  <c r="V360" i="72"/>
  <c r="V557" i="72" s="1"/>
  <c r="J358" i="72"/>
  <c r="J186" i="72"/>
  <c r="K45" i="68" s="1"/>
  <c r="K101" i="68" s="1"/>
  <c r="K165" i="68" s="1"/>
  <c r="K229" i="68" s="1"/>
  <c r="P532" i="72"/>
  <c r="I526" i="72"/>
  <c r="AA345" i="72"/>
  <c r="AB249" i="68" s="1"/>
  <c r="AA186" i="72"/>
  <c r="AB45" i="68" s="1"/>
  <c r="AB100" i="68" s="1"/>
  <c r="AB164" i="68" s="1"/>
  <c r="Y363" i="72"/>
  <c r="Z267" i="68" s="1"/>
  <c r="O357" i="72"/>
  <c r="P261" i="68" s="1"/>
  <c r="X535" i="72"/>
  <c r="Y485" i="68" s="1"/>
  <c r="Y544" i="68" s="1"/>
  <c r="Y608" i="68" s="1"/>
  <c r="P360" i="72"/>
  <c r="R358" i="72"/>
  <c r="M518" i="72"/>
  <c r="N468" i="68" s="1"/>
  <c r="U535" i="72"/>
  <c r="V485" i="68" s="1"/>
  <c r="H358" i="72"/>
  <c r="I262" i="68" s="1"/>
  <c r="AF535" i="72"/>
  <c r="AG485" i="68" s="1"/>
  <c r="Z533" i="72"/>
  <c r="AC186" i="72"/>
  <c r="AD45" i="68" s="1"/>
  <c r="AG534" i="72"/>
  <c r="Z187" i="72"/>
  <c r="AA518" i="72"/>
  <c r="Q534" i="72"/>
  <c r="W183" i="72"/>
  <c r="X42" i="68" s="1"/>
  <c r="X92" i="68" s="1"/>
  <c r="X156" i="68" s="1"/>
  <c r="X220" i="68" s="1"/>
  <c r="Q184" i="72"/>
  <c r="R43" i="68" s="1"/>
  <c r="AF187" i="72"/>
  <c r="AG46" i="68" s="1"/>
  <c r="AG103" i="68" s="1"/>
  <c r="H359" i="72"/>
  <c r="I263" i="68" s="1"/>
  <c r="I362" i="72"/>
  <c r="J266" i="68" s="1"/>
  <c r="AG535" i="72"/>
  <c r="AH485" i="68" s="1"/>
  <c r="Z518" i="72"/>
  <c r="AA468" i="68" s="1"/>
  <c r="I360" i="72"/>
  <c r="J264" i="68" s="1"/>
  <c r="I535" i="72"/>
  <c r="J485" i="68" s="1"/>
  <c r="Z360" i="72"/>
  <c r="AA264" i="68" s="1"/>
  <c r="T530" i="72"/>
  <c r="U480" i="68" s="1"/>
  <c r="O353" i="72"/>
  <c r="Q353" i="72"/>
  <c r="R257" i="68" s="1"/>
  <c r="L353" i="72"/>
  <c r="M257" i="68" s="1"/>
  <c r="R352" i="72"/>
  <c r="S256" i="68" s="1"/>
  <c r="M177" i="72"/>
  <c r="N37" i="68" s="1"/>
  <c r="N76" i="68" s="1"/>
  <c r="Z177" i="72"/>
  <c r="AA37" i="68" s="1"/>
  <c r="AA76" i="68" s="1"/>
  <c r="N177" i="72"/>
  <c r="AF177" i="72"/>
  <c r="AG37" i="68" s="1"/>
  <c r="X182" i="72"/>
  <c r="Y41" i="68" s="1"/>
  <c r="Y88" i="68" s="1"/>
  <c r="Y174" i="72"/>
  <c r="J182" i="72"/>
  <c r="K41" i="68" s="1"/>
  <c r="K182" i="72"/>
  <c r="L41" i="68" s="1"/>
  <c r="AC180" i="72"/>
  <c r="Y175" i="72"/>
  <c r="Z35" i="68" s="1"/>
  <c r="Z70" i="68" s="1"/>
  <c r="Z347" i="72"/>
  <c r="AA251" i="68" s="1"/>
  <c r="S171" i="72"/>
  <c r="T31" i="68" s="1"/>
  <c r="T58" i="68" s="1"/>
  <c r="K356" i="72"/>
  <c r="L260" i="68" s="1"/>
  <c r="Y354" i="72"/>
  <c r="H355" i="72"/>
  <c r="I259" i="68" s="1"/>
  <c r="X178" i="72"/>
  <c r="Y38" i="68" s="1"/>
  <c r="Y79" i="68" s="1"/>
  <c r="N349" i="72"/>
  <c r="O253" i="68" s="1"/>
  <c r="H523" i="72"/>
  <c r="W172" i="72"/>
  <c r="X32" i="68" s="1"/>
  <c r="X62" i="68" s="1"/>
  <c r="X126" i="68" s="1"/>
  <c r="X190" i="68" s="1"/>
  <c r="U354" i="72"/>
  <c r="AF527" i="72"/>
  <c r="AG477" i="68" s="1"/>
  <c r="J529" i="72"/>
  <c r="M523" i="72"/>
  <c r="N473" i="68" s="1"/>
  <c r="AF356" i="72"/>
  <c r="AG260" i="68" s="1"/>
  <c r="AB521" i="72"/>
  <c r="AC471" i="68" s="1"/>
  <c r="K520" i="72"/>
  <c r="L470" i="68" s="1"/>
  <c r="AA348" i="72"/>
  <c r="AB252" i="68" s="1"/>
  <c r="V527" i="72"/>
  <c r="W477" i="68" s="1"/>
  <c r="N528" i="72"/>
  <c r="K519" i="72"/>
  <c r="L469" i="68" s="1"/>
  <c r="U522" i="72"/>
  <c r="Y527" i="72"/>
  <c r="Z477" i="68" s="1"/>
  <c r="M347" i="72"/>
  <c r="N251" i="68" s="1"/>
  <c r="AF182" i="72"/>
  <c r="AF174" i="72"/>
  <c r="AG34" i="68" s="1"/>
  <c r="N171" i="72"/>
  <c r="O31" i="68" s="1"/>
  <c r="O59" i="68" s="1"/>
  <c r="O123" i="68" s="1"/>
  <c r="O187" i="68" s="1"/>
  <c r="V172" i="72"/>
  <c r="W32" i="68" s="1"/>
  <c r="W61" i="68" s="1"/>
  <c r="L348" i="72"/>
  <c r="M252" i="68" s="1"/>
  <c r="H348" i="72"/>
  <c r="I252" i="68" s="1"/>
  <c r="AC171" i="72"/>
  <c r="AD31" i="68" s="1"/>
  <c r="AD59" i="68" s="1"/>
  <c r="AD123" i="68" s="1"/>
  <c r="AD187" i="68" s="1"/>
  <c r="O523" i="72"/>
  <c r="P473" i="68" s="1"/>
  <c r="R351" i="72"/>
  <c r="S255" i="68" s="1"/>
  <c r="H175" i="72"/>
  <c r="AE526" i="72"/>
  <c r="AF476" i="68" s="1"/>
  <c r="T177" i="72"/>
  <c r="U37" i="68" s="1"/>
  <c r="U76" i="68" s="1"/>
  <c r="S347" i="72"/>
  <c r="T251" i="68" s="1"/>
  <c r="K172" i="72"/>
  <c r="L178" i="72"/>
  <c r="M38" i="68" s="1"/>
  <c r="M80" i="68" s="1"/>
  <c r="M144" i="68" s="1"/>
  <c r="M208" i="68" s="1"/>
  <c r="X181" i="72"/>
  <c r="Y40" i="68" s="1"/>
  <c r="T172" i="72"/>
  <c r="U32" i="68" s="1"/>
  <c r="U62" i="68" s="1"/>
  <c r="U126" i="68" s="1"/>
  <c r="U190" i="68" s="1"/>
  <c r="Q182" i="72"/>
  <c r="R41" i="68" s="1"/>
  <c r="R89" i="68" s="1"/>
  <c r="R153" i="68" s="1"/>
  <c r="R217" i="68" s="1"/>
  <c r="X347" i="72"/>
  <c r="Y251" i="68" s="1"/>
  <c r="Q180" i="72"/>
  <c r="I180" i="72"/>
  <c r="AF351" i="72"/>
  <c r="AG255" i="68" s="1"/>
  <c r="Z351" i="72"/>
  <c r="AA255" i="68" s="1"/>
  <c r="N346" i="72"/>
  <c r="W348" i="72"/>
  <c r="X252" i="68" s="1"/>
  <c r="AA523" i="72"/>
  <c r="AB473" i="68" s="1"/>
  <c r="AB523" i="72"/>
  <c r="AC473" i="68" s="1"/>
  <c r="I521" i="72"/>
  <c r="P349" i="72"/>
  <c r="Q253" i="68" s="1"/>
  <c r="AG354" i="72"/>
  <c r="AG551" i="72" s="1"/>
  <c r="P520" i="72"/>
  <c r="M346" i="72"/>
  <c r="N250" i="68" s="1"/>
  <c r="AA528" i="72"/>
  <c r="AB478" i="68" s="1"/>
  <c r="M351" i="72"/>
  <c r="N255" i="68" s="1"/>
  <c r="K527" i="72"/>
  <c r="L477" i="68" s="1"/>
  <c r="AF529" i="72"/>
  <c r="AG479" i="68" s="1"/>
  <c r="Q523" i="72"/>
  <c r="Q569" i="72" s="1"/>
  <c r="Y524" i="72"/>
  <c r="Z474" i="68" s="1"/>
  <c r="AC175" i="72"/>
  <c r="AD35" i="68" s="1"/>
  <c r="AD70" i="68" s="1"/>
  <c r="M354" i="72"/>
  <c r="N258" i="68" s="1"/>
  <c r="Z523" i="72"/>
  <c r="AA473" i="68" s="1"/>
  <c r="AC176" i="72"/>
  <c r="AD36" i="68" s="1"/>
  <c r="AD73" i="68" s="1"/>
  <c r="H172" i="72"/>
  <c r="I32" i="68" s="1"/>
  <c r="I61" i="68" s="1"/>
  <c r="U348" i="72"/>
  <c r="AF521" i="72"/>
  <c r="AG471" i="68" s="1"/>
  <c r="AE171" i="72"/>
  <c r="AB175" i="72"/>
  <c r="X346" i="72"/>
  <c r="Y250" i="68" s="1"/>
  <c r="I356" i="72"/>
  <c r="Z349" i="72"/>
  <c r="AA253" i="68" s="1"/>
  <c r="N522" i="72"/>
  <c r="O472" i="68" s="1"/>
  <c r="Q355" i="72"/>
  <c r="AE527" i="72"/>
  <c r="AF477" i="68" s="1"/>
  <c r="Q354" i="72"/>
  <c r="R258" i="68" s="1"/>
  <c r="V522" i="72"/>
  <c r="W472" i="68" s="1"/>
  <c r="J348" i="72"/>
  <c r="AD519" i="72"/>
  <c r="AE469" i="68" s="1"/>
  <c r="AB529" i="72"/>
  <c r="I520" i="72"/>
  <c r="J470" i="68" s="1"/>
  <c r="S529" i="72"/>
  <c r="AC529" i="72"/>
  <c r="M519" i="72"/>
  <c r="N469" i="68" s="1"/>
  <c r="U521" i="72"/>
  <c r="V471" i="68" s="1"/>
  <c r="AC181" i="72"/>
  <c r="AD40" i="68" s="1"/>
  <c r="AD86" i="68" s="1"/>
  <c r="AD150" i="68" s="1"/>
  <c r="AD214" i="68" s="1"/>
  <c r="W356" i="72"/>
  <c r="Q356" i="72"/>
  <c r="R260" i="68" s="1"/>
  <c r="X355" i="72"/>
  <c r="Y259" i="68" s="1"/>
  <c r="AC348" i="72"/>
  <c r="AD252" i="68" s="1"/>
  <c r="O521" i="72"/>
  <c r="P471" i="68" s="1"/>
  <c r="M350" i="72"/>
  <c r="I348" i="72"/>
  <c r="J252" i="68" s="1"/>
  <c r="S519" i="72"/>
  <c r="T469" i="68" s="1"/>
  <c r="N526" i="72"/>
  <c r="O476" i="68" s="1"/>
  <c r="AA177" i="72"/>
  <c r="AB37" i="68" s="1"/>
  <c r="AB76" i="68" s="1"/>
  <c r="Q177" i="72"/>
  <c r="R37" i="68" s="1"/>
  <c r="R76" i="68" s="1"/>
  <c r="AG346" i="72"/>
  <c r="K180" i="72"/>
  <c r="Z171" i="72"/>
  <c r="N172" i="72"/>
  <c r="J180" i="72"/>
  <c r="Q181" i="72"/>
  <c r="R40" i="68" s="1"/>
  <c r="R85" i="68" s="1"/>
  <c r="W176" i="72"/>
  <c r="X36" i="68" s="1"/>
  <c r="X74" i="68" s="1"/>
  <c r="X138" i="68" s="1"/>
  <c r="X202" i="68" s="1"/>
  <c r="U178" i="72"/>
  <c r="V38" i="68" s="1"/>
  <c r="V79" i="68" s="1"/>
  <c r="AD176" i="72"/>
  <c r="AE36" i="68" s="1"/>
  <c r="AE74" i="68" s="1"/>
  <c r="AE138" i="68" s="1"/>
  <c r="AE202" i="68" s="1"/>
  <c r="Q351" i="72"/>
  <c r="R255" i="68" s="1"/>
  <c r="Q522" i="72"/>
  <c r="AF349" i="72"/>
  <c r="X348" i="72"/>
  <c r="Y252" i="68" s="1"/>
  <c r="H528" i="72"/>
  <c r="AB355" i="72"/>
  <c r="AC259" i="68" s="1"/>
  <c r="I528" i="72"/>
  <c r="J478" i="68" s="1"/>
  <c r="AG521" i="72"/>
  <c r="AH471" i="68" s="1"/>
  <c r="T353" i="72"/>
  <c r="K177" i="72"/>
  <c r="R177" i="72"/>
  <c r="S37" i="68" s="1"/>
  <c r="S76" i="68" s="1"/>
  <c r="AF172" i="72"/>
  <c r="AG32" i="68" s="1"/>
  <c r="AG61" i="68" s="1"/>
  <c r="AD182" i="72"/>
  <c r="AE41" i="68" s="1"/>
  <c r="AE88" i="68" s="1"/>
  <c r="S520" i="72"/>
  <c r="T470" i="68" s="1"/>
  <c r="T176" i="72"/>
  <c r="U36" i="68" s="1"/>
  <c r="U74" i="68" s="1"/>
  <c r="U138" i="68" s="1"/>
  <c r="U202" i="68" s="1"/>
  <c r="AA346" i="72"/>
  <c r="K171" i="72"/>
  <c r="L31" i="68" s="1"/>
  <c r="L58" i="68" s="1"/>
  <c r="AG351" i="72"/>
  <c r="AH255" i="68" s="1"/>
  <c r="J355" i="72"/>
  <c r="K259" i="68" s="1"/>
  <c r="AA175" i="72"/>
  <c r="AB35" i="68" s="1"/>
  <c r="AB70" i="68" s="1"/>
  <c r="AE179" i="72"/>
  <c r="R350" i="72"/>
  <c r="U356" i="72"/>
  <c r="AC356" i="72"/>
  <c r="S356" i="72"/>
  <c r="AD356" i="72"/>
  <c r="AE260" i="68" s="1"/>
  <c r="S350" i="72"/>
  <c r="T254" i="68" s="1"/>
  <c r="W524" i="72"/>
  <c r="X474" i="68" s="1"/>
  <c r="S348" i="72"/>
  <c r="T252" i="68" s="1"/>
  <c r="AF347" i="72"/>
  <c r="AG251" i="68" s="1"/>
  <c r="Z521" i="72"/>
  <c r="AA471" i="68" s="1"/>
  <c r="H349" i="72"/>
  <c r="I253" i="68" s="1"/>
  <c r="R522" i="72"/>
  <c r="Z527" i="72"/>
  <c r="M92" i="68"/>
  <c r="M156" i="68" s="1"/>
  <c r="M220" i="68" s="1"/>
  <c r="M91" i="68"/>
  <c r="W88" i="68"/>
  <c r="W89" i="68"/>
  <c r="W153" i="68" s="1"/>
  <c r="W217" i="68" s="1"/>
  <c r="AF250" i="68"/>
  <c r="AA238" i="72"/>
  <c r="AA302" i="72"/>
  <c r="AG182" i="72"/>
  <c r="AH41" i="68" s="1"/>
  <c r="AD473" i="68"/>
  <c r="AC477" i="68"/>
  <c r="N529" i="72"/>
  <c r="Z323" i="72"/>
  <c r="Z343" i="72" s="1"/>
  <c r="Z259" i="72"/>
  <c r="X186" i="72"/>
  <c r="AF361" i="72"/>
  <c r="AD187" i="72"/>
  <c r="AE46" i="68" s="1"/>
  <c r="W267" i="68"/>
  <c r="V56" i="68"/>
  <c r="V120" i="68" s="1"/>
  <c r="V184" i="68" s="1"/>
  <c r="V55" i="68"/>
  <c r="R530" i="72"/>
  <c r="AA357" i="72"/>
  <c r="Z363" i="72"/>
  <c r="T185" i="72"/>
  <c r="U44" i="68" s="1"/>
  <c r="T183" i="72"/>
  <c r="U42" i="68" s="1"/>
  <c r="AG187" i="72"/>
  <c r="AH46" i="68" s="1"/>
  <c r="S531" i="72"/>
  <c r="K531" i="72"/>
  <c r="M536" i="72"/>
  <c r="P186" i="72"/>
  <c r="Q45" i="68" s="1"/>
  <c r="V535" i="72"/>
  <c r="O263" i="68"/>
  <c r="AF359" i="72"/>
  <c r="AE360" i="72"/>
  <c r="AG261" i="68"/>
  <c r="AE188" i="72"/>
  <c r="AF47" i="68" s="1"/>
  <c r="AD94" i="68"/>
  <c r="AD363" i="72"/>
  <c r="L184" i="72"/>
  <c r="M43" i="68" s="1"/>
  <c r="R362" i="72"/>
  <c r="P359" i="72"/>
  <c r="AD186" i="72"/>
  <c r="AE45" i="68" s="1"/>
  <c r="O360" i="72"/>
  <c r="M170" i="72"/>
  <c r="N30" i="68" s="1"/>
  <c r="N188" i="72"/>
  <c r="O47" i="68" s="1"/>
  <c r="J184" i="72"/>
  <c r="K43" i="68" s="1"/>
  <c r="N532" i="72"/>
  <c r="L361" i="72"/>
  <c r="AB533" i="72"/>
  <c r="AC183" i="72"/>
  <c r="AD42" i="68" s="1"/>
  <c r="J359" i="72"/>
  <c r="M358" i="72"/>
  <c r="AF185" i="72"/>
  <c r="T188" i="72"/>
  <c r="U47" i="68" s="1"/>
  <c r="AB361" i="72"/>
  <c r="M531" i="72"/>
  <c r="K249" i="68"/>
  <c r="T360" i="72"/>
  <c r="AD533" i="72"/>
  <c r="L186" i="72"/>
  <c r="M45" i="68" s="1"/>
  <c r="S363" i="72"/>
  <c r="AE183" i="72"/>
  <c r="AF42" i="68" s="1"/>
  <c r="W358" i="72"/>
  <c r="M187" i="72"/>
  <c r="N46" i="68" s="1"/>
  <c r="X362" i="72"/>
  <c r="L187" i="72"/>
  <c r="M46" i="68" s="1"/>
  <c r="S518" i="72"/>
  <c r="AC363" i="72"/>
  <c r="Z530" i="72"/>
  <c r="I186" i="72"/>
  <c r="L530" i="72"/>
  <c r="AE359" i="72"/>
  <c r="X518" i="72"/>
  <c r="AA535" i="72"/>
  <c r="U352" i="72"/>
  <c r="U525" i="72"/>
  <c r="P352" i="72"/>
  <c r="U526" i="72"/>
  <c r="J353" i="72"/>
  <c r="O526" i="72"/>
  <c r="N353" i="72"/>
  <c r="AB353" i="72"/>
  <c r="AC525" i="72"/>
  <c r="M476" i="68"/>
  <c r="Z352" i="72"/>
  <c r="AF352" i="72"/>
  <c r="X177" i="72"/>
  <c r="Y37" i="68" s="1"/>
  <c r="AE177" i="72"/>
  <c r="AF37" i="68" s="1"/>
  <c r="AF523" i="72"/>
  <c r="X63" i="72"/>
  <c r="X127" i="72"/>
  <c r="K355" i="72"/>
  <c r="AD175" i="72"/>
  <c r="AE35" i="68" s="1"/>
  <c r="M172" i="72"/>
  <c r="AD68" i="68"/>
  <c r="AD132" i="68" s="1"/>
  <c r="AD196" i="68" s="1"/>
  <c r="AD67" i="68"/>
  <c r="N89" i="68"/>
  <c r="N153" i="68" s="1"/>
  <c r="N217" i="68" s="1"/>
  <c r="N88" i="68"/>
  <c r="X83" i="68"/>
  <c r="X147" i="68" s="1"/>
  <c r="X211" i="68" s="1"/>
  <c r="X82" i="68"/>
  <c r="AE63" i="72"/>
  <c r="AE127" i="72"/>
  <c r="AD173" i="72"/>
  <c r="AE33" i="68" s="1"/>
  <c r="AB182" i="72"/>
  <c r="AC41" i="68" s="1"/>
  <c r="W180" i="72"/>
  <c r="L175" i="72"/>
  <c r="M35" i="68" s="1"/>
  <c r="AH254" i="68"/>
  <c r="AG547" i="72"/>
  <c r="Y351" i="72"/>
  <c r="I178" i="72"/>
  <c r="J38" i="68" s="1"/>
  <c r="W254" i="68"/>
  <c r="V547" i="72"/>
  <c r="N180" i="72"/>
  <c r="Z79" i="68"/>
  <c r="Z80" i="68"/>
  <c r="Z144" i="68" s="1"/>
  <c r="Z208" i="68" s="1"/>
  <c r="L180" i="72"/>
  <c r="AE182" i="72"/>
  <c r="AA63" i="72"/>
  <c r="AA127" i="72"/>
  <c r="AH70" i="68"/>
  <c r="AH71" i="68"/>
  <c r="AH135" i="68" s="1"/>
  <c r="AH199" i="68" s="1"/>
  <c r="AE350" i="72"/>
  <c r="X470" i="68"/>
  <c r="AC182" i="72"/>
  <c r="AD41" i="68" s="1"/>
  <c r="Y180" i="72"/>
  <c r="W258" i="68"/>
  <c r="Q348" i="72"/>
  <c r="K354" i="72"/>
  <c r="M260" i="68"/>
  <c r="O238" i="72"/>
  <c r="O302" i="72"/>
  <c r="Y347" i="72"/>
  <c r="AH253" i="68"/>
  <c r="O552" i="72"/>
  <c r="P259" i="68"/>
  <c r="X528" i="72"/>
  <c r="U253" i="68"/>
  <c r="S238" i="72"/>
  <c r="S302" i="72"/>
  <c r="M528" i="72"/>
  <c r="AB477" i="68"/>
  <c r="AD527" i="72"/>
  <c r="M529" i="72"/>
  <c r="U472" i="68"/>
  <c r="M348" i="72"/>
  <c r="I523" i="72"/>
  <c r="T411" i="72"/>
  <c r="T475" i="72"/>
  <c r="AF411" i="72"/>
  <c r="AF475" i="72"/>
  <c r="R411" i="72"/>
  <c r="R475" i="72"/>
  <c r="AF528" i="72"/>
  <c r="W473" i="68"/>
  <c r="V569" i="72"/>
  <c r="P529" i="72"/>
  <c r="K496" i="72"/>
  <c r="K516" i="72" s="1"/>
  <c r="K432" i="72"/>
  <c r="I323" i="72"/>
  <c r="I343" i="72" s="1"/>
  <c r="I259" i="72"/>
  <c r="I181" i="72"/>
  <c r="J40" i="68" s="1"/>
  <c r="Y348" i="72"/>
  <c r="V323" i="72"/>
  <c r="V343" i="72" s="1"/>
  <c r="V259" i="72"/>
  <c r="W351" i="72"/>
  <c r="W496" i="72"/>
  <c r="W516" i="72" s="1"/>
  <c r="W432" i="72"/>
  <c r="P148" i="72"/>
  <c r="P168" i="72" s="1"/>
  <c r="P84" i="72"/>
  <c r="W148" i="72"/>
  <c r="W168" i="72" s="1"/>
  <c r="W84" i="72"/>
  <c r="V148" i="72"/>
  <c r="V168" i="72" s="1"/>
  <c r="V84" i="72"/>
  <c r="AB148" i="72"/>
  <c r="AB168" i="72" s="1"/>
  <c r="AB84" i="72"/>
  <c r="P182" i="72"/>
  <c r="Q41" i="68" s="1"/>
  <c r="N181" i="72"/>
  <c r="O40" i="68" s="1"/>
  <c r="H353" i="72"/>
  <c r="W519" i="72"/>
  <c r="M349" i="72"/>
  <c r="S172" i="72"/>
  <c r="I351" i="72"/>
  <c r="I173" i="72"/>
  <c r="J33" i="68" s="1"/>
  <c r="AC411" i="72"/>
  <c r="AC475" i="72"/>
  <c r="W323" i="72"/>
  <c r="W343" i="72" s="1"/>
  <c r="W259" i="72"/>
  <c r="AC63" i="72"/>
  <c r="AC127" i="72"/>
  <c r="L148" i="72"/>
  <c r="L168" i="72" s="1"/>
  <c r="L84" i="72"/>
  <c r="W471" i="68"/>
  <c r="U411" i="72"/>
  <c r="U475" i="72"/>
  <c r="AB496" i="72"/>
  <c r="AB516" i="72" s="1"/>
  <c r="AB432" i="72"/>
  <c r="N148" i="72"/>
  <c r="N168" i="72" s="1"/>
  <c r="N84" i="72"/>
  <c r="J520" i="72"/>
  <c r="AF496" i="72"/>
  <c r="AF516" i="72" s="1"/>
  <c r="AF432" i="72"/>
  <c r="Y170" i="72"/>
  <c r="Z30" i="68" s="1"/>
  <c r="AC92" i="68"/>
  <c r="AC156" i="68" s="1"/>
  <c r="AC220" i="68" s="1"/>
  <c r="AC91" i="68"/>
  <c r="T535" i="72"/>
  <c r="N186" i="72"/>
  <c r="O45" i="68" s="1"/>
  <c r="R535" i="72"/>
  <c r="AD360" i="72"/>
  <c r="H186" i="72"/>
  <c r="I45" i="68" s="1"/>
  <c r="L531" i="72"/>
  <c r="AB185" i="72"/>
  <c r="AC44" i="68" s="1"/>
  <c r="Q91" i="68"/>
  <c r="Q92" i="68"/>
  <c r="Q156" i="68" s="1"/>
  <c r="Q220" i="68" s="1"/>
  <c r="N360" i="72"/>
  <c r="N184" i="72"/>
  <c r="O43" i="68" s="1"/>
  <c r="AG358" i="72"/>
  <c r="U189" i="72"/>
  <c r="V48" i="68" s="1"/>
  <c r="Q189" i="72"/>
  <c r="R48" i="68" s="1"/>
  <c r="V359" i="72"/>
  <c r="X185" i="72"/>
  <c r="Y44" i="68" s="1"/>
  <c r="R361" i="72"/>
  <c r="Y530" i="72"/>
  <c r="X188" i="72"/>
  <c r="AB358" i="72"/>
  <c r="P185" i="72"/>
  <c r="Q44" i="68" s="1"/>
  <c r="L320" i="68"/>
  <c r="L384" i="68" s="1"/>
  <c r="L448" i="68" s="1"/>
  <c r="L319" i="68"/>
  <c r="AD185" i="72"/>
  <c r="AE44" i="68" s="1"/>
  <c r="AE536" i="72"/>
  <c r="X184" i="72"/>
  <c r="Y43" i="68" s="1"/>
  <c r="J170" i="72"/>
  <c r="W184" i="72"/>
  <c r="X43" i="68" s="1"/>
  <c r="Z532" i="72"/>
  <c r="V518" i="72"/>
  <c r="M345" i="72"/>
  <c r="Y184" i="72"/>
  <c r="Z43" i="68" s="1"/>
  <c r="AD361" i="72"/>
  <c r="U530" i="72"/>
  <c r="I189" i="72"/>
  <c r="J48" i="68" s="1"/>
  <c r="J185" i="72"/>
  <c r="K44" i="68" s="1"/>
  <c r="I361" i="72"/>
  <c r="AC530" i="72"/>
  <c r="J188" i="72"/>
  <c r="K47" i="68" s="1"/>
  <c r="N536" i="72"/>
  <c r="K361" i="72"/>
  <c r="N189" i="72"/>
  <c r="O48" i="68" s="1"/>
  <c r="U185" i="72"/>
  <c r="V44" i="68" s="1"/>
  <c r="Q183" i="72"/>
  <c r="R42" i="68" s="1"/>
  <c r="AC358" i="72"/>
  <c r="AA363" i="72"/>
  <c r="AC531" i="72"/>
  <c r="X534" i="72"/>
  <c r="I170" i="72"/>
  <c r="J30" i="68" s="1"/>
  <c r="W525" i="72"/>
  <c r="AB352" i="72"/>
  <c r="V525" i="72"/>
  <c r="AF525" i="72"/>
  <c r="R525" i="72"/>
  <c r="W353" i="72"/>
  <c r="AF526" i="72"/>
  <c r="I63" i="72"/>
  <c r="I127" i="72"/>
  <c r="U148" i="72"/>
  <c r="U168" i="72" s="1"/>
  <c r="U84" i="72"/>
  <c r="AE181" i="72"/>
  <c r="AH82" i="68"/>
  <c r="AH83" i="68"/>
  <c r="AH147" i="68" s="1"/>
  <c r="AH211" i="68" s="1"/>
  <c r="AE80" i="68"/>
  <c r="AE144" i="68" s="1"/>
  <c r="AE208" i="68" s="1"/>
  <c r="AE79" i="68"/>
  <c r="T173" i="72"/>
  <c r="U33" i="68" s="1"/>
  <c r="S173" i="72"/>
  <c r="T33" i="68" s="1"/>
  <c r="R172" i="72"/>
  <c r="S32" i="68" s="1"/>
  <c r="V67" i="68"/>
  <c r="V68" i="68"/>
  <c r="V132" i="68" s="1"/>
  <c r="V196" i="68" s="1"/>
  <c r="H171" i="72"/>
  <c r="I31" i="68" s="1"/>
  <c r="AF354" i="72"/>
  <c r="Z88" i="68"/>
  <c r="Z89" i="68"/>
  <c r="Z153" i="68" s="1"/>
  <c r="Z217" i="68" s="1"/>
  <c r="AG238" i="72"/>
  <c r="AG302" i="72"/>
  <c r="X79" i="68"/>
  <c r="X80" i="68"/>
  <c r="X144" i="68" s="1"/>
  <c r="X208" i="68" s="1"/>
  <c r="Q471" i="68"/>
  <c r="S148" i="72"/>
  <c r="S168" i="72" s="1"/>
  <c r="S84" i="72"/>
  <c r="X172" i="72"/>
  <c r="Y32" i="68" s="1"/>
  <c r="N179" i="72"/>
  <c r="O39" i="68" s="1"/>
  <c r="Z172" i="72"/>
  <c r="AA32" i="68" s="1"/>
  <c r="V356" i="72"/>
  <c r="O172" i="72"/>
  <c r="P32" i="68" s="1"/>
  <c r="N173" i="72"/>
  <c r="O33" i="68" s="1"/>
  <c r="W347" i="72"/>
  <c r="AB350" i="72"/>
  <c r="Y350" i="72"/>
  <c r="O323" i="72"/>
  <c r="O343" i="72" s="1"/>
  <c r="O259" i="72"/>
  <c r="P355" i="72"/>
  <c r="AA350" i="72"/>
  <c r="U238" i="72"/>
  <c r="U302" i="72"/>
  <c r="AB238" i="72"/>
  <c r="AB302" i="72"/>
  <c r="AB528" i="72"/>
  <c r="T258" i="68"/>
  <c r="AB349" i="72"/>
  <c r="M472" i="68"/>
  <c r="O529" i="72"/>
  <c r="U528" i="72"/>
  <c r="V528" i="72"/>
  <c r="P523" i="72"/>
  <c r="S479" i="68"/>
  <c r="O519" i="72"/>
  <c r="J350" i="72"/>
  <c r="W523" i="72"/>
  <c r="Q411" i="72"/>
  <c r="Q475" i="72"/>
  <c r="S496" i="72"/>
  <c r="S516" i="72" s="1"/>
  <c r="S432" i="72"/>
  <c r="X522" i="72"/>
  <c r="K528" i="72"/>
  <c r="I529" i="72"/>
  <c r="J351" i="72"/>
  <c r="M171" i="72"/>
  <c r="N31" i="68" s="1"/>
  <c r="R524" i="72"/>
  <c r="I411" i="72"/>
  <c r="I475" i="72"/>
  <c r="U323" i="72"/>
  <c r="U343" i="72" s="1"/>
  <c r="U259" i="72"/>
  <c r="K350" i="72"/>
  <c r="O182" i="72"/>
  <c r="P41" i="68" s="1"/>
  <c r="AG356" i="72"/>
  <c r="U175" i="72"/>
  <c r="AE524" i="72"/>
  <c r="AC238" i="72"/>
  <c r="AC302" i="72"/>
  <c r="Q520" i="72"/>
  <c r="U496" i="72"/>
  <c r="U516" i="72" s="1"/>
  <c r="U432" i="72"/>
  <c r="Y323" i="72"/>
  <c r="Y343" i="72" s="1"/>
  <c r="Y259" i="72"/>
  <c r="J347" i="72"/>
  <c r="AA524" i="72"/>
  <c r="H351" i="72"/>
  <c r="X527" i="72"/>
  <c r="P174" i="72"/>
  <c r="Q34" i="68" s="1"/>
  <c r="R173" i="72"/>
  <c r="S33" i="68" s="1"/>
  <c r="V238" i="72"/>
  <c r="V302" i="72"/>
  <c r="W71" i="68"/>
  <c r="W135" i="68" s="1"/>
  <c r="W199" i="68" s="1"/>
  <c r="W70" i="68"/>
  <c r="P63" i="72"/>
  <c r="P127" i="72"/>
  <c r="T238" i="72"/>
  <c r="T302" i="72"/>
  <c r="U470" i="68"/>
  <c r="J238" i="72"/>
  <c r="J302" i="72"/>
  <c r="N496" i="72"/>
  <c r="N516" i="72" s="1"/>
  <c r="N432" i="72"/>
  <c r="O496" i="72"/>
  <c r="O516" i="72" s="1"/>
  <c r="O432" i="72"/>
  <c r="R496" i="72"/>
  <c r="R516" i="72" s="1"/>
  <c r="R432" i="72"/>
  <c r="I183" i="72"/>
  <c r="J42" i="68" s="1"/>
  <c r="V187" i="72"/>
  <c r="W46" i="68" s="1"/>
  <c r="K536" i="72"/>
  <c r="AE345" i="72"/>
  <c r="AC360" i="72"/>
  <c r="W536" i="72"/>
  <c r="K533" i="72"/>
  <c r="AF186" i="72"/>
  <c r="AG45" i="68" s="1"/>
  <c r="AF534" i="72"/>
  <c r="AD535" i="72"/>
  <c r="O535" i="72"/>
  <c r="P188" i="72"/>
  <c r="Q47" i="68" s="1"/>
  <c r="S484" i="68"/>
  <c r="X536" i="72"/>
  <c r="Y358" i="72"/>
  <c r="AA188" i="72"/>
  <c r="AB47" i="68" s="1"/>
  <c r="AA534" i="72"/>
  <c r="Z358" i="72"/>
  <c r="AB363" i="72"/>
  <c r="AD362" i="72"/>
  <c r="V185" i="72"/>
  <c r="U360" i="72"/>
  <c r="X170" i="72"/>
  <c r="Y30" i="68" s="1"/>
  <c r="AA184" i="72"/>
  <c r="AB43" i="68" s="1"/>
  <c r="S530" i="72"/>
  <c r="L189" i="72"/>
  <c r="M48" i="68" s="1"/>
  <c r="V534" i="72"/>
  <c r="AB532" i="72"/>
  <c r="T534" i="72"/>
  <c r="O358" i="72"/>
  <c r="Z362" i="72"/>
  <c r="J183" i="72"/>
  <c r="K42" i="68" s="1"/>
  <c r="X189" i="72"/>
  <c r="AF183" i="72"/>
  <c r="AG42" i="68" s="1"/>
  <c r="Q185" i="72"/>
  <c r="R44" i="68" s="1"/>
  <c r="N534" i="72"/>
  <c r="T359" i="72"/>
  <c r="W531" i="72"/>
  <c r="Y362" i="72"/>
  <c r="S532" i="72"/>
  <c r="AG183" i="72"/>
  <c r="AH42" i="68" s="1"/>
  <c r="AE363" i="72"/>
  <c r="S359" i="72"/>
  <c r="Q360" i="72"/>
  <c r="Q535" i="72"/>
  <c r="S360" i="72"/>
  <c r="W170" i="72"/>
  <c r="K345" i="72"/>
  <c r="Z535" i="72"/>
  <c r="I357" i="72"/>
  <c r="T352" i="72"/>
  <c r="AC353" i="72"/>
  <c r="V526" i="72"/>
  <c r="Y353" i="72"/>
  <c r="W526" i="72"/>
  <c r="T526" i="72"/>
  <c r="K526" i="72"/>
  <c r="N525" i="72"/>
  <c r="W352" i="72"/>
  <c r="Z525" i="72"/>
  <c r="AG177" i="72"/>
  <c r="AH37" i="68" s="1"/>
  <c r="I177" i="72"/>
  <c r="J37" i="68" s="1"/>
  <c r="L182" i="72"/>
  <c r="M41" i="68" s="1"/>
  <c r="AC173" i="72"/>
  <c r="AF173" i="72"/>
  <c r="AG33" i="68" s="1"/>
  <c r="N351" i="72"/>
  <c r="Q173" i="72"/>
  <c r="R33" i="68" s="1"/>
  <c r="V63" i="72"/>
  <c r="V127" i="72"/>
  <c r="U82" i="68"/>
  <c r="U83" i="68"/>
  <c r="U147" i="68" s="1"/>
  <c r="U211" i="68" s="1"/>
  <c r="AF148" i="72"/>
  <c r="AF168" i="72" s="1"/>
  <c r="AF84" i="72"/>
  <c r="Q323" i="72"/>
  <c r="Q343" i="72" s="1"/>
  <c r="Q259" i="72"/>
  <c r="U171" i="72"/>
  <c r="V31" i="68" s="1"/>
  <c r="S182" i="72"/>
  <c r="T41" i="68" s="1"/>
  <c r="Z355" i="72"/>
  <c r="AG519" i="72"/>
  <c r="I73" i="68"/>
  <c r="I74" i="68"/>
  <c r="I138" i="68" s="1"/>
  <c r="I202" i="68" s="1"/>
  <c r="U182" i="72"/>
  <c r="V41" i="68" s="1"/>
  <c r="M323" i="72"/>
  <c r="M343" i="72" s="1"/>
  <c r="M259" i="72"/>
  <c r="AF238" i="72"/>
  <c r="AF302" i="72"/>
  <c r="P180" i="72"/>
  <c r="U180" i="72"/>
  <c r="Q174" i="72"/>
  <c r="R34" i="68" s="1"/>
  <c r="AC73" i="68"/>
  <c r="AC74" i="68"/>
  <c r="AC138" i="68" s="1"/>
  <c r="AC202" i="68" s="1"/>
  <c r="T171" i="72"/>
  <c r="U31" i="68" s="1"/>
  <c r="O67" i="68"/>
  <c r="O68" i="68"/>
  <c r="O132" i="68" s="1"/>
  <c r="O196" i="68" s="1"/>
  <c r="M355" i="72"/>
  <c r="O477" i="68"/>
  <c r="R71" i="68"/>
  <c r="R135" i="68" s="1"/>
  <c r="R199" i="68" s="1"/>
  <c r="J175" i="72"/>
  <c r="O180" i="72"/>
  <c r="Z175" i="72"/>
  <c r="AA35" i="68" s="1"/>
  <c r="R356" i="72"/>
  <c r="X411" i="72"/>
  <c r="X475" i="72"/>
  <c r="Y238" i="72"/>
  <c r="Y302" i="72"/>
  <c r="AH252" i="68"/>
  <c r="X529" i="72"/>
  <c r="L323" i="72"/>
  <c r="L343" i="72" s="1"/>
  <c r="L259" i="72"/>
  <c r="AC323" i="72"/>
  <c r="AC343" i="72" s="1"/>
  <c r="AC259" i="72"/>
  <c r="U349" i="72"/>
  <c r="AC355" i="72"/>
  <c r="N356" i="72"/>
  <c r="AC349" i="72"/>
  <c r="K522" i="72"/>
  <c r="R238" i="72"/>
  <c r="R302" i="72"/>
  <c r="M524" i="72"/>
  <c r="H238" i="72"/>
  <c r="H302" i="72"/>
  <c r="W411" i="72"/>
  <c r="W475" i="72"/>
  <c r="S522" i="72"/>
  <c r="Q524" i="72"/>
  <c r="M251" i="68"/>
  <c r="N411" i="72"/>
  <c r="N475" i="72"/>
  <c r="L496" i="72"/>
  <c r="L516" i="72" s="1"/>
  <c r="L432" i="72"/>
  <c r="Y520" i="72"/>
  <c r="T529" i="72"/>
  <c r="S473" i="68"/>
  <c r="S569" i="72"/>
  <c r="J323" i="72"/>
  <c r="J343" i="72" s="1"/>
  <c r="J259" i="72"/>
  <c r="P346" i="72"/>
  <c r="L181" i="72"/>
  <c r="M40" i="68" s="1"/>
  <c r="AF348" i="72"/>
  <c r="O174" i="72"/>
  <c r="P34" i="68" s="1"/>
  <c r="L346" i="72"/>
  <c r="H352" i="72"/>
  <c r="Y148" i="72"/>
  <c r="Y168" i="72" s="1"/>
  <c r="Y84" i="72"/>
  <c r="AC148" i="72"/>
  <c r="AC168" i="72" s="1"/>
  <c r="AC84" i="72"/>
  <c r="K238" i="72"/>
  <c r="K302" i="72"/>
  <c r="Q519" i="72"/>
  <c r="K351" i="72"/>
  <c r="J496" i="72"/>
  <c r="J516" i="72" s="1"/>
  <c r="J432" i="72"/>
  <c r="P323" i="72"/>
  <c r="P343" i="72" s="1"/>
  <c r="P259" i="72"/>
  <c r="P524" i="72"/>
  <c r="H323" i="72"/>
  <c r="H343" i="72" s="1"/>
  <c r="H259" i="72"/>
  <c r="T528" i="72"/>
  <c r="Y173" i="72"/>
  <c r="Z33" i="68" s="1"/>
  <c r="I349" i="72"/>
  <c r="I346" i="72"/>
  <c r="T70" i="68"/>
  <c r="T71" i="68"/>
  <c r="T135" i="68" s="1"/>
  <c r="T199" i="68" s="1"/>
  <c r="U259" i="68"/>
  <c r="AE186" i="72"/>
  <c r="AF45" i="68" s="1"/>
  <c r="O265" i="68"/>
  <c r="Y359" i="72"/>
  <c r="R187" i="72"/>
  <c r="S46" i="68" s="1"/>
  <c r="AE189" i="72"/>
  <c r="AF48" i="68" s="1"/>
  <c r="V531" i="72"/>
  <c r="K363" i="72"/>
  <c r="AG189" i="72"/>
  <c r="AH48" i="68" s="1"/>
  <c r="AC534" i="72"/>
  <c r="J534" i="72"/>
  <c r="I536" i="72"/>
  <c r="AC536" i="72"/>
  <c r="W363" i="72"/>
  <c r="Z183" i="72"/>
  <c r="AA42" i="68" s="1"/>
  <c r="L352" i="72"/>
  <c r="AG352" i="72"/>
  <c r="AA525" i="72"/>
  <c r="AA353" i="72"/>
  <c r="AD238" i="72"/>
  <c r="AD302" i="72"/>
  <c r="J171" i="72"/>
  <c r="K31" i="68" s="1"/>
  <c r="M63" i="72"/>
  <c r="M127" i="72"/>
  <c r="I89" i="68"/>
  <c r="I153" i="68" s="1"/>
  <c r="I217" i="68" s="1"/>
  <c r="AG172" i="72"/>
  <c r="AH32" i="68" s="1"/>
  <c r="Y82" i="68"/>
  <c r="Y83" i="68"/>
  <c r="Y147" i="68" s="1"/>
  <c r="Y211" i="68" s="1"/>
  <c r="X323" i="72"/>
  <c r="X343" i="72" s="1"/>
  <c r="X259" i="72"/>
  <c r="N79" i="68"/>
  <c r="N80" i="68"/>
  <c r="N144" i="68" s="1"/>
  <c r="N208" i="68" s="1"/>
  <c r="AG148" i="72"/>
  <c r="AG168" i="72" s="1"/>
  <c r="AG84" i="72"/>
  <c r="S181" i="72"/>
  <c r="T40" i="68" s="1"/>
  <c r="AF175" i="72"/>
  <c r="AG35" i="68" s="1"/>
  <c r="I174" i="72"/>
  <c r="J34" i="68" s="1"/>
  <c r="T180" i="72"/>
  <c r="W173" i="72"/>
  <c r="W255" i="68"/>
  <c r="I171" i="72"/>
  <c r="J31" i="68" s="1"/>
  <c r="M74" i="68"/>
  <c r="M138" i="68" s="1"/>
  <c r="M202" i="68" s="1"/>
  <c r="M73" i="68"/>
  <c r="W251" i="68"/>
  <c r="U258" i="68"/>
  <c r="T551" i="72"/>
  <c r="L355" i="72"/>
  <c r="J179" i="72"/>
  <c r="K39" i="68" s="1"/>
  <c r="AB347" i="72"/>
  <c r="Q171" i="72"/>
  <c r="R31" i="68" s="1"/>
  <c r="Z354" i="72"/>
  <c r="AD349" i="72"/>
  <c r="AD351" i="72"/>
  <c r="AC252" i="68"/>
  <c r="L523" i="72"/>
  <c r="AE520" i="72"/>
  <c r="T521" i="72"/>
  <c r="P354" i="72"/>
  <c r="P522" i="72"/>
  <c r="I496" i="72"/>
  <c r="I516" i="72" s="1"/>
  <c r="I432" i="72"/>
  <c r="S528" i="72"/>
  <c r="H529" i="72"/>
  <c r="AB411" i="72"/>
  <c r="AB475" i="72"/>
  <c r="P411" i="72"/>
  <c r="P475" i="72"/>
  <c r="AG524" i="72"/>
  <c r="AA496" i="72"/>
  <c r="AA516" i="72" s="1"/>
  <c r="AA432" i="72"/>
  <c r="K473" i="68"/>
  <c r="AA411" i="72"/>
  <c r="AA475" i="72"/>
  <c r="V524" i="72"/>
  <c r="AG496" i="72"/>
  <c r="AG516" i="72" s="1"/>
  <c r="AG432" i="72"/>
  <c r="X496" i="72"/>
  <c r="X516" i="72" s="1"/>
  <c r="X432" i="72"/>
  <c r="Z63" i="72"/>
  <c r="Z127" i="72"/>
  <c r="J148" i="72"/>
  <c r="J168" i="72" s="1"/>
  <c r="J84" i="72"/>
  <c r="V496" i="72"/>
  <c r="V516" i="72" s="1"/>
  <c r="V432" i="72"/>
  <c r="T346" i="72"/>
  <c r="Q148" i="72"/>
  <c r="Q168" i="72" s="1"/>
  <c r="Q84" i="72"/>
  <c r="AD179" i="72"/>
  <c r="AE39" i="68" s="1"/>
  <c r="T496" i="72"/>
  <c r="T516" i="72" s="1"/>
  <c r="T432" i="72"/>
  <c r="AE496" i="72"/>
  <c r="AE516" i="72" s="1"/>
  <c r="AE432" i="72"/>
  <c r="Y181" i="72"/>
  <c r="Z40" i="68" s="1"/>
  <c r="L173" i="72"/>
  <c r="M33" i="68" s="1"/>
  <c r="H346" i="72"/>
  <c r="R182" i="72"/>
  <c r="S41" i="68" s="1"/>
  <c r="U63" i="72"/>
  <c r="U127" i="72"/>
  <c r="H148" i="72"/>
  <c r="H168" i="72" s="1"/>
  <c r="H84" i="72"/>
  <c r="AC528" i="72"/>
  <c r="O527" i="72"/>
  <c r="AE521" i="72"/>
  <c r="I148" i="72"/>
  <c r="I168" i="72" s="1"/>
  <c r="I84" i="72"/>
  <c r="X238" i="72"/>
  <c r="X302" i="72"/>
  <c r="I347" i="72"/>
  <c r="Z411" i="72"/>
  <c r="Z475" i="72"/>
  <c r="N533" i="72"/>
  <c r="P255" i="68"/>
  <c r="J469" i="68"/>
  <c r="AE411" i="72"/>
  <c r="AE475" i="72"/>
  <c r="AG63" i="72"/>
  <c r="AG127" i="72"/>
  <c r="O148" i="72"/>
  <c r="O168" i="72" s="1"/>
  <c r="O84" i="72"/>
  <c r="Z110" i="68"/>
  <c r="Z174" i="68" s="1"/>
  <c r="Z238" i="68" s="1"/>
  <c r="Z109" i="68"/>
  <c r="AA170" i="72"/>
  <c r="N183" i="72"/>
  <c r="O42" i="68" s="1"/>
  <c r="S183" i="72"/>
  <c r="T42" i="68" s="1"/>
  <c r="Z170" i="72"/>
  <c r="AA30" i="68" s="1"/>
  <c r="P189" i="72"/>
  <c r="Q48" i="68" s="1"/>
  <c r="V358" i="72"/>
  <c r="I187" i="72"/>
  <c r="J46" i="68" s="1"/>
  <c r="AG531" i="72"/>
  <c r="M106" i="68"/>
  <c r="M170" i="68" s="1"/>
  <c r="M107" i="68"/>
  <c r="W186" i="72"/>
  <c r="X45" i="68" s="1"/>
  <c r="Q361" i="72"/>
  <c r="O345" i="72"/>
  <c r="Y518" i="72"/>
  <c r="U486" i="68"/>
  <c r="O531" i="72"/>
  <c r="W362" i="72"/>
  <c r="Q345" i="72"/>
  <c r="Q532" i="72"/>
  <c r="V188" i="72"/>
  <c r="W47" i="68" s="1"/>
  <c r="AA185" i="72"/>
  <c r="AB44" i="68" s="1"/>
  <c r="U184" i="72"/>
  <c r="V43" i="68" s="1"/>
  <c r="AB186" i="72"/>
  <c r="AC45" i="68" s="1"/>
  <c r="X358" i="72"/>
  <c r="AG345" i="72"/>
  <c r="W188" i="72"/>
  <c r="X47" i="68" s="1"/>
  <c r="AG170" i="72"/>
  <c r="AH30" i="68" s="1"/>
  <c r="AC187" i="72"/>
  <c r="AD46" i="68" s="1"/>
  <c r="V170" i="72"/>
  <c r="AC532" i="72"/>
  <c r="O362" i="72"/>
  <c r="S170" i="72"/>
  <c r="T30" i="68" s="1"/>
  <c r="O518" i="72"/>
  <c r="U188" i="72"/>
  <c r="V47" i="68" s="1"/>
  <c r="Z186" i="72"/>
  <c r="AA45" i="68" s="1"/>
  <c r="R536" i="72"/>
  <c r="Y360" i="72"/>
  <c r="P518" i="72"/>
  <c r="H170" i="72"/>
  <c r="I30" i="68" s="1"/>
  <c r="T363" i="72"/>
  <c r="J256" i="68"/>
  <c r="Y352" i="72"/>
  <c r="S525" i="72"/>
  <c r="T525" i="72"/>
  <c r="AB177" i="72"/>
  <c r="Y177" i="72"/>
  <c r="Z37" i="68" s="1"/>
  <c r="AG181" i="72"/>
  <c r="AH40" i="68" s="1"/>
  <c r="V181" i="72"/>
  <c r="W40" i="68" s="1"/>
  <c r="R74" i="68"/>
  <c r="R138" i="68" s="1"/>
  <c r="R202" i="68" s="1"/>
  <c r="R73" i="68"/>
  <c r="X89" i="68"/>
  <c r="X153" i="68" s="1"/>
  <c r="X217" i="68" s="1"/>
  <c r="X88" i="68"/>
  <c r="H63" i="72"/>
  <c r="H127" i="72"/>
  <c r="I175" i="72"/>
  <c r="J35" i="68" s="1"/>
  <c r="X171" i="72"/>
  <c r="Y31" i="68" s="1"/>
  <c r="Q71" i="68"/>
  <c r="Q135" i="68" s="1"/>
  <c r="Q199" i="68" s="1"/>
  <c r="Q70" i="68"/>
  <c r="I176" i="72"/>
  <c r="J36" i="68" s="1"/>
  <c r="R63" i="72"/>
  <c r="R127" i="72"/>
  <c r="T174" i="72"/>
  <c r="U34" i="68" s="1"/>
  <c r="Z73" i="68"/>
  <c r="Z74" i="68"/>
  <c r="Z138" i="68" s="1"/>
  <c r="Z202" i="68" s="1"/>
  <c r="P65" i="68"/>
  <c r="P129" i="68" s="1"/>
  <c r="P193" i="68" s="1"/>
  <c r="K179" i="72"/>
  <c r="L39" i="68" s="1"/>
  <c r="P238" i="72"/>
  <c r="P302" i="72"/>
  <c r="N471" i="68"/>
  <c r="M527" i="72"/>
  <c r="S355" i="72"/>
  <c r="O254" i="68"/>
  <c r="V349" i="72"/>
  <c r="P350" i="72"/>
  <c r="J356" i="72"/>
  <c r="AE238" i="72"/>
  <c r="AE302" i="72"/>
  <c r="P356" i="72"/>
  <c r="AB354" i="72"/>
  <c r="U519" i="72"/>
  <c r="K411" i="72"/>
  <c r="K475" i="72"/>
  <c r="I527" i="72"/>
  <c r="K472" i="68"/>
  <c r="AD469" i="68"/>
  <c r="AA469" i="68"/>
  <c r="U469" i="68"/>
  <c r="AF524" i="72"/>
  <c r="K471" i="68"/>
  <c r="AH472" i="68"/>
  <c r="Z522" i="72"/>
  <c r="T477" i="68"/>
  <c r="K323" i="72"/>
  <c r="K343" i="72" s="1"/>
  <c r="K259" i="72"/>
  <c r="V411" i="72"/>
  <c r="V475" i="72"/>
  <c r="AD529" i="72"/>
  <c r="AA148" i="72"/>
  <c r="AA168" i="72" s="1"/>
  <c r="AA84" i="72"/>
  <c r="X175" i="72"/>
  <c r="X180" i="72"/>
  <c r="AA520" i="72"/>
  <c r="K148" i="72"/>
  <c r="K168" i="72" s="1"/>
  <c r="K84" i="72"/>
  <c r="AD171" i="72"/>
  <c r="P496" i="72"/>
  <c r="P516" i="72" s="1"/>
  <c r="P432" i="72"/>
  <c r="M148" i="72"/>
  <c r="M168" i="72" s="1"/>
  <c r="M84" i="72"/>
  <c r="N176" i="72"/>
  <c r="O36" i="68" s="1"/>
  <c r="K348" i="72"/>
  <c r="H525" i="72"/>
  <c r="AA323" i="72"/>
  <c r="AA343" i="72" s="1"/>
  <c r="AA259" i="72"/>
  <c r="T182" i="72"/>
  <c r="U41" i="68" s="1"/>
  <c r="K346" i="72"/>
  <c r="N323" i="72"/>
  <c r="N343" i="72" s="1"/>
  <c r="N259" i="72"/>
  <c r="N524" i="72"/>
  <c r="Q496" i="72"/>
  <c r="Q516" i="72" s="1"/>
  <c r="Q432" i="72"/>
  <c r="M189" i="72"/>
  <c r="N48" i="68" s="1"/>
  <c r="Q63" i="72"/>
  <c r="Q127" i="72"/>
  <c r="Z238" i="72"/>
  <c r="Z302" i="72"/>
  <c r="Z496" i="72"/>
  <c r="Z516" i="72" s="1"/>
  <c r="Z432" i="72"/>
  <c r="AC496" i="72"/>
  <c r="AC516" i="72" s="1"/>
  <c r="AC432" i="72"/>
  <c r="M238" i="72"/>
  <c r="M302" i="72"/>
  <c r="L263" i="68"/>
  <c r="X183" i="72"/>
  <c r="Y42" i="68" s="1"/>
  <c r="W101" i="68"/>
  <c r="W165" i="68" s="1"/>
  <c r="W229" i="68" s="1"/>
  <c r="O186" i="72"/>
  <c r="P45" i="68" s="1"/>
  <c r="N362" i="72"/>
  <c r="V533" i="72"/>
  <c r="M184" i="72"/>
  <c r="N43" i="68" s="1"/>
  <c r="AG361" i="72"/>
  <c r="Q186" i="72"/>
  <c r="R45" i="68" s="1"/>
  <c r="T187" i="72"/>
  <c r="N185" i="72"/>
  <c r="O44" i="68" s="1"/>
  <c r="AE530" i="72"/>
  <c r="O480" i="68"/>
  <c r="U186" i="72"/>
  <c r="V45" i="68" s="1"/>
  <c r="AC185" i="72"/>
  <c r="AD44" i="68" s="1"/>
  <c r="T533" i="72"/>
  <c r="P535" i="72"/>
  <c r="R357" i="72"/>
  <c r="M188" i="72"/>
  <c r="N47" i="68" s="1"/>
  <c r="Y536" i="72"/>
  <c r="R533" i="72"/>
  <c r="AD184" i="72"/>
  <c r="AE43" i="68" s="1"/>
  <c r="T186" i="72"/>
  <c r="U45" i="68" s="1"/>
  <c r="M362" i="72"/>
  <c r="X532" i="72"/>
  <c r="V183" i="72"/>
  <c r="W42" i="68" s="1"/>
  <c r="AG359" i="72"/>
  <c r="R468" i="68"/>
  <c r="AG536" i="72"/>
  <c r="R183" i="72"/>
  <c r="S42" i="68" s="1"/>
  <c r="H360" i="72"/>
  <c r="AC359" i="72"/>
  <c r="K530" i="72"/>
  <c r="T345" i="72"/>
  <c r="K188" i="72"/>
  <c r="L47" i="68" s="1"/>
  <c r="AF358" i="72"/>
  <c r="AD518" i="72"/>
  <c r="T170" i="72"/>
  <c r="U30" i="68" s="1"/>
  <c r="H361" i="72"/>
  <c r="AA362" i="72"/>
  <c r="P187" i="72"/>
  <c r="Q46" i="68" s="1"/>
  <c r="AD359" i="72"/>
  <c r="H518" i="72"/>
  <c r="AB187" i="72"/>
  <c r="AC46" i="68" s="1"/>
  <c r="J361" i="72"/>
  <c r="AE362" i="72"/>
  <c r="AD534" i="72"/>
  <c r="AE531" i="72"/>
  <c r="AF533" i="72"/>
  <c r="P184" i="72"/>
  <c r="Q43" i="68" s="1"/>
  <c r="J189" i="72"/>
  <c r="K48" i="68" s="1"/>
  <c r="I184" i="72"/>
  <c r="J43" i="68" s="1"/>
  <c r="I518" i="72"/>
  <c r="U531" i="72"/>
  <c r="M357" i="72"/>
  <c r="AE535" i="72"/>
  <c r="U357" i="72"/>
  <c r="X361" i="72"/>
  <c r="R532" i="72"/>
  <c r="AF536" i="72"/>
  <c r="H533" i="72"/>
  <c r="J352" i="72"/>
  <c r="Z353" i="72"/>
  <c r="AB526" i="72"/>
  <c r="S526" i="72"/>
  <c r="R363" i="72"/>
  <c r="M526" i="72"/>
  <c r="Y525" i="72"/>
  <c r="P525" i="72"/>
  <c r="V177" i="72"/>
  <c r="W37" i="68" s="1"/>
  <c r="Y67" i="68"/>
  <c r="Y68" i="68"/>
  <c r="Y132" i="68" s="1"/>
  <c r="Y196" i="68" s="1"/>
  <c r="Z148" i="72"/>
  <c r="Z168" i="72" s="1"/>
  <c r="Z84" i="72"/>
  <c r="H179" i="72"/>
  <c r="I39" i="68" s="1"/>
  <c r="AG59" i="68"/>
  <c r="AG123" i="68" s="1"/>
  <c r="AG187" i="68" s="1"/>
  <c r="AG58" i="68"/>
  <c r="AE323" i="72"/>
  <c r="AE343" i="72" s="1"/>
  <c r="AE259" i="72"/>
  <c r="N82" i="68"/>
  <c r="N83" i="68"/>
  <c r="N147" i="68" s="1"/>
  <c r="N211" i="68" s="1"/>
  <c r="T253" i="68"/>
  <c r="T79" i="68"/>
  <c r="T80" i="68"/>
  <c r="T144" i="68" s="1"/>
  <c r="T208" i="68" s="1"/>
  <c r="AD61" i="68"/>
  <c r="AD62" i="68"/>
  <c r="AD126" i="68" s="1"/>
  <c r="AD190" i="68" s="1"/>
  <c r="P86" i="68"/>
  <c r="P150" i="68" s="1"/>
  <c r="P214" i="68" s="1"/>
  <c r="P85" i="68"/>
  <c r="W63" i="72"/>
  <c r="W127" i="72"/>
  <c r="J174" i="72"/>
  <c r="K34" i="68" s="1"/>
  <c r="AA171" i="72"/>
  <c r="AB31" i="68" s="1"/>
  <c r="N238" i="72"/>
  <c r="N302" i="72"/>
  <c r="N63" i="72"/>
  <c r="N127" i="72"/>
  <c r="W68" i="68"/>
  <c r="W132" i="68" s="1"/>
  <c r="W196" i="68" s="1"/>
  <c r="W67" i="68"/>
  <c r="W238" i="72"/>
  <c r="W302" i="72"/>
  <c r="H411" i="72"/>
  <c r="H475" i="72"/>
  <c r="L71" i="68"/>
  <c r="L135" i="68" s="1"/>
  <c r="L199" i="68" s="1"/>
  <c r="L171" i="72"/>
  <c r="M31" i="68" s="1"/>
  <c r="Y63" i="72"/>
  <c r="Y127" i="72"/>
  <c r="U347" i="72"/>
  <c r="O471" i="68"/>
  <c r="I65" i="68"/>
  <c r="I129" i="68" s="1"/>
  <c r="I193" i="68" s="1"/>
  <c r="I64" i="68"/>
  <c r="Z176" i="72"/>
  <c r="AA36" i="68" s="1"/>
  <c r="Q238" i="72"/>
  <c r="Q302" i="72"/>
  <c r="AG323" i="72"/>
  <c r="AG343" i="72" s="1"/>
  <c r="AG259" i="72"/>
  <c r="AA521" i="72"/>
  <c r="R354" i="72"/>
  <c r="AE356" i="72"/>
  <c r="W355" i="72"/>
  <c r="AD528" i="72"/>
  <c r="I254" i="68"/>
  <c r="Y411" i="72"/>
  <c r="Y475" i="72"/>
  <c r="O259" i="68"/>
  <c r="U254" i="68"/>
  <c r="Z528" i="72"/>
  <c r="AA522" i="72"/>
  <c r="Z471" i="68"/>
  <c r="V529" i="72"/>
  <c r="J411" i="72"/>
  <c r="J475" i="72"/>
  <c r="Y529" i="72"/>
  <c r="P527" i="72"/>
  <c r="X519" i="72"/>
  <c r="L63" i="72"/>
  <c r="L127" i="72"/>
  <c r="AB181" i="72"/>
  <c r="AC40" i="68" s="1"/>
  <c r="L350" i="72"/>
  <c r="H520" i="72"/>
  <c r="AF63" i="72"/>
  <c r="AF127" i="72"/>
  <c r="T323" i="72"/>
  <c r="T343" i="72" s="1"/>
  <c r="T259" i="72"/>
  <c r="I350" i="72"/>
  <c r="AA519" i="72"/>
  <c r="S63" i="72"/>
  <c r="S127" i="72"/>
  <c r="H178" i="72"/>
  <c r="I38" i="68" s="1"/>
  <c r="R323" i="72"/>
  <c r="R343" i="72" s="1"/>
  <c r="R259" i="72"/>
  <c r="Z181" i="72"/>
  <c r="AA40" i="68" s="1"/>
  <c r="AD323" i="72"/>
  <c r="AD343" i="72" s="1"/>
  <c r="AD259" i="72"/>
  <c r="K176" i="72"/>
  <c r="L36" i="68" s="1"/>
  <c r="AB524" i="72"/>
  <c r="S323" i="72"/>
  <c r="S343" i="72" s="1"/>
  <c r="S259" i="72"/>
  <c r="S524" i="72"/>
  <c r="AB173" i="72"/>
  <c r="AC33" i="68" s="1"/>
  <c r="AD411" i="72"/>
  <c r="AD475" i="72"/>
  <c r="R174" i="72"/>
  <c r="S34" i="68" s="1"/>
  <c r="P171" i="72"/>
  <c r="Q31" i="68" s="1"/>
  <c r="Q362" i="72"/>
  <c r="J63" i="72"/>
  <c r="J127" i="72"/>
  <c r="T63" i="72"/>
  <c r="T127" i="72"/>
  <c r="P251" i="68"/>
  <c r="O411" i="72"/>
  <c r="O475" i="72"/>
  <c r="Y496" i="72"/>
  <c r="Y516" i="72" s="1"/>
  <c r="Y432" i="72"/>
  <c r="S362" i="72"/>
  <c r="AB482" i="68"/>
  <c r="S358" i="72"/>
  <c r="I530" i="72"/>
  <c r="M535" i="72"/>
  <c r="R531" i="72"/>
  <c r="N265" i="68"/>
  <c r="AA94" i="68"/>
  <c r="AA95" i="68"/>
  <c r="AA159" i="68" s="1"/>
  <c r="AA223" i="68" s="1"/>
  <c r="I532" i="72"/>
  <c r="K534" i="72"/>
  <c r="L484" i="68" s="1"/>
  <c r="V103" i="68"/>
  <c r="V104" i="68"/>
  <c r="V168" i="68" s="1"/>
  <c r="V232" i="68" s="1"/>
  <c r="AC345" i="72"/>
  <c r="AA358" i="72"/>
  <c r="J532" i="72"/>
  <c r="H531" i="72"/>
  <c r="W357" i="72"/>
  <c r="AF170" i="72"/>
  <c r="AG30" i="68" s="1"/>
  <c r="Y183" i="72"/>
  <c r="Z42" i="68" s="1"/>
  <c r="T357" i="72"/>
  <c r="L185" i="72"/>
  <c r="M44" i="68" s="1"/>
  <c r="Y531" i="72"/>
  <c r="I359" i="72"/>
  <c r="AA536" i="72"/>
  <c r="AB486" i="68" s="1"/>
  <c r="AB184" i="72"/>
  <c r="AC43" i="68" s="1"/>
  <c r="S185" i="72"/>
  <c r="T44" i="68" s="1"/>
  <c r="M360" i="72"/>
  <c r="K189" i="72"/>
  <c r="L48" i="68" s="1"/>
  <c r="AD530" i="72"/>
  <c r="H188" i="72"/>
  <c r="I47" i="68" s="1"/>
  <c r="T531" i="72"/>
  <c r="O184" i="72"/>
  <c r="P43" i="68" s="1"/>
  <c r="AD536" i="72"/>
  <c r="AA183" i="72"/>
  <c r="AB42" i="68" s="1"/>
  <c r="S184" i="72"/>
  <c r="T43" i="68" s="1"/>
  <c r="X187" i="72"/>
  <c r="Y46" i="68" s="1"/>
  <c r="H363" i="72"/>
  <c r="AG363" i="72"/>
  <c r="AF345" i="72"/>
  <c r="K185" i="72"/>
  <c r="L44" i="68" s="1"/>
  <c r="L534" i="72"/>
  <c r="AD358" i="72"/>
  <c r="R345" i="72"/>
  <c r="AG362" i="72"/>
  <c r="AA360" i="72"/>
  <c r="O534" i="72"/>
  <c r="X526" i="72"/>
  <c r="AD525" i="72"/>
  <c r="AG525" i="72"/>
  <c r="V352" i="72"/>
  <c r="L525" i="72"/>
  <c r="Z526" i="72"/>
  <c r="R353" i="72"/>
  <c r="AD526" i="72"/>
  <c r="U177" i="72"/>
  <c r="V37" i="68" s="1"/>
  <c r="L177" i="72"/>
  <c r="M37" i="68" s="1"/>
  <c r="R61" i="68"/>
  <c r="L527" i="72"/>
  <c r="L172" i="72"/>
  <c r="M32" i="68" s="1"/>
  <c r="AG176" i="72"/>
  <c r="AH36" i="68" s="1"/>
  <c r="Z174" i="72"/>
  <c r="AA34" i="68" s="1"/>
  <c r="Y171" i="72"/>
  <c r="Z31" i="68" s="1"/>
  <c r="AA89" i="68"/>
  <c r="AA153" i="68" s="1"/>
  <c r="AA217" i="68" s="1"/>
  <c r="AA88" i="68"/>
  <c r="W79" i="68"/>
  <c r="W80" i="68"/>
  <c r="W144" i="68" s="1"/>
  <c r="W208" i="68" s="1"/>
  <c r="O176" i="72"/>
  <c r="P36" i="68" s="1"/>
  <c r="H174" i="72"/>
  <c r="I34" i="68" s="1"/>
  <c r="M83" i="68"/>
  <c r="M147" i="68" s="1"/>
  <c r="M211" i="68" s="1"/>
  <c r="M82" i="68"/>
  <c r="M176" i="72"/>
  <c r="N36" i="68" s="1"/>
  <c r="O171" i="72"/>
  <c r="P31" i="68" s="1"/>
  <c r="K174" i="72"/>
  <c r="L34" i="68" s="1"/>
  <c r="Q251" i="68"/>
  <c r="AD63" i="72"/>
  <c r="AD127" i="72"/>
  <c r="M181" i="72"/>
  <c r="N40" i="68" s="1"/>
  <c r="V259" i="68"/>
  <c r="O63" i="72"/>
  <c r="O127" i="72"/>
  <c r="I172" i="72"/>
  <c r="J32" i="68" s="1"/>
  <c r="AB63" i="72"/>
  <c r="AB127" i="72"/>
  <c r="T255" i="68"/>
  <c r="Y346" i="72"/>
  <c r="Y473" i="68"/>
  <c r="K63" i="72"/>
  <c r="K127" i="72"/>
  <c r="J178" i="72"/>
  <c r="K38" i="68" s="1"/>
  <c r="AG520" i="72"/>
  <c r="K477" i="68"/>
  <c r="AA252" i="68"/>
  <c r="AD348" i="72"/>
  <c r="X354" i="72"/>
  <c r="S252" i="68"/>
  <c r="R347" i="72"/>
  <c r="R528" i="72"/>
  <c r="I251" i="68"/>
  <c r="Y474" i="68"/>
  <c r="AG411" i="72"/>
  <c r="AG475" i="72"/>
  <c r="T527" i="72"/>
  <c r="M496" i="72"/>
  <c r="M516" i="72" s="1"/>
  <c r="M432" i="72"/>
  <c r="L411" i="72"/>
  <c r="L475" i="72"/>
  <c r="R521" i="72"/>
  <c r="M411" i="72"/>
  <c r="M475" i="72"/>
  <c r="AD496" i="72"/>
  <c r="AD516" i="72" s="1"/>
  <c r="AD432" i="72"/>
  <c r="AE473" i="68"/>
  <c r="U529" i="72"/>
  <c r="Z529" i="72"/>
  <c r="S180" i="72"/>
  <c r="AB323" i="72"/>
  <c r="AB343" i="72" s="1"/>
  <c r="AB259" i="72"/>
  <c r="AE174" i="72"/>
  <c r="AF34" i="68" s="1"/>
  <c r="X148" i="72"/>
  <c r="X168" i="72" s="1"/>
  <c r="X84" i="72"/>
  <c r="AD181" i="72"/>
  <c r="AE40" i="68" s="1"/>
  <c r="R84" i="72"/>
  <c r="R148" i="72"/>
  <c r="R168" i="72" s="1"/>
  <c r="AE148" i="72"/>
  <c r="AE168" i="72" s="1"/>
  <c r="AE84" i="72"/>
  <c r="L349" i="72"/>
  <c r="T148" i="72"/>
  <c r="T168" i="72" s="1"/>
  <c r="T84" i="72"/>
  <c r="AD148" i="72"/>
  <c r="AD168" i="72" s="1"/>
  <c r="AD84" i="72"/>
  <c r="L238" i="72"/>
  <c r="L302" i="72"/>
  <c r="Y523" i="72"/>
  <c r="I238" i="72"/>
  <c r="I302" i="72"/>
  <c r="X349" i="72"/>
  <c r="S411" i="72"/>
  <c r="S475" i="72"/>
  <c r="AF323" i="72"/>
  <c r="AF343" i="72" s="1"/>
  <c r="AF259" i="72"/>
  <c r="W350" i="72"/>
  <c r="H526" i="72"/>
  <c r="H496" i="72"/>
  <c r="H516" i="72" s="1"/>
  <c r="H432" i="72"/>
  <c r="D244" i="48"/>
  <c r="E116" i="48"/>
  <c r="E22" i="61"/>
  <c r="F22" i="61" s="1"/>
  <c r="G22" i="61" s="1"/>
  <c r="H22" i="61" s="1"/>
  <c r="I22" i="61" s="1"/>
  <c r="J22" i="61" s="1"/>
  <c r="K22" i="61" s="1"/>
  <c r="L22" i="61" s="1"/>
  <c r="M22" i="61" s="1"/>
  <c r="N22" i="61" s="1"/>
  <c r="O22" i="61" s="1"/>
  <c r="P22" i="61" s="1"/>
  <c r="Q22" i="61" s="1"/>
  <c r="R22" i="61" s="1"/>
  <c r="S22" i="61" s="1"/>
  <c r="T22" i="61" s="1"/>
  <c r="U22" i="61" s="1"/>
  <c r="V22" i="61" s="1"/>
  <c r="W22" i="61" s="1"/>
  <c r="X22" i="61" s="1"/>
  <c r="Y22" i="61" s="1"/>
  <c r="Z22" i="61" s="1"/>
  <c r="AA22" i="61" s="1"/>
  <c r="AB22" i="61" s="1"/>
  <c r="AC22" i="61" s="1"/>
  <c r="AD22" i="61" s="1"/>
  <c r="AE22" i="61" s="1"/>
  <c r="F72" i="61"/>
  <c r="G72" i="61" s="1"/>
  <c r="H72" i="61" s="1"/>
  <c r="I72" i="61" s="1"/>
  <c r="J72" i="61" s="1"/>
  <c r="K72" i="61" s="1"/>
  <c r="L72" i="61" s="1"/>
  <c r="M72" i="61" s="1"/>
  <c r="N72" i="61" s="1"/>
  <c r="O72" i="61" s="1"/>
  <c r="P72" i="61" s="1"/>
  <c r="Q72" i="61" s="1"/>
  <c r="R72" i="61" s="1"/>
  <c r="S72" i="61" s="1"/>
  <c r="T72" i="61" s="1"/>
  <c r="U72" i="61" s="1"/>
  <c r="V72" i="61" s="1"/>
  <c r="W72" i="61" s="1"/>
  <c r="X72" i="61" s="1"/>
  <c r="Y72" i="61" s="1"/>
  <c r="Z72" i="61" s="1"/>
  <c r="AA72" i="61" s="1"/>
  <c r="AB72" i="61" s="1"/>
  <c r="AC72" i="61" s="1"/>
  <c r="AD72" i="61" s="1"/>
  <c r="AE72" i="61" s="1"/>
  <c r="AC107" i="68" l="1"/>
  <c r="AC171" i="68" s="1"/>
  <c r="AC235" i="68" s="1"/>
  <c r="U568" i="72"/>
  <c r="Z553" i="72"/>
  <c r="S71" i="68"/>
  <c r="S135" i="68" s="1"/>
  <c r="S199" i="68" s="1"/>
  <c r="H553" i="72"/>
  <c r="M56" i="68"/>
  <c r="M120" i="68" s="1"/>
  <c r="M184" i="68" s="1"/>
  <c r="AH59" i="68"/>
  <c r="AH123" i="68" s="1"/>
  <c r="AH187" i="68" s="1"/>
  <c r="L86" i="68"/>
  <c r="L150" i="68" s="1"/>
  <c r="L214" i="68" s="1"/>
  <c r="U558" i="72"/>
  <c r="I94" i="68"/>
  <c r="V265" i="68"/>
  <c r="AF97" i="68"/>
  <c r="X86" i="68"/>
  <c r="X150" i="68" s="1"/>
  <c r="X214" i="68" s="1"/>
  <c r="AF62" i="68"/>
  <c r="AF126" i="68" s="1"/>
  <c r="AF190" i="68" s="1"/>
  <c r="P71" i="68"/>
  <c r="P135" i="68" s="1"/>
  <c r="P199" i="68" s="1"/>
  <c r="O576" i="72"/>
  <c r="O547" i="72"/>
  <c r="P92" i="68"/>
  <c r="P93" i="68" s="1"/>
  <c r="Z97" i="68"/>
  <c r="Z99" i="68" s="1"/>
  <c r="V484" i="68"/>
  <c r="AE62" i="68"/>
  <c r="AE126" i="68" s="1"/>
  <c r="AE190" i="68" s="1"/>
  <c r="AB79" i="68"/>
  <c r="AB143" i="68" s="1"/>
  <c r="I98" i="68"/>
  <c r="I162" i="68" s="1"/>
  <c r="I226" i="68" s="1"/>
  <c r="X68" i="68"/>
  <c r="X132" i="68" s="1"/>
  <c r="X196" i="68" s="1"/>
  <c r="AF73" i="68"/>
  <c r="AF137" i="68" s="1"/>
  <c r="K73" i="68"/>
  <c r="S582" i="72"/>
  <c r="X274" i="68"/>
  <c r="AC58" i="68"/>
  <c r="P254" i="68"/>
  <c r="P289" i="68" s="1"/>
  <c r="U573" i="72"/>
  <c r="Y553" i="72"/>
  <c r="AB83" i="68"/>
  <c r="AB147" i="68" s="1"/>
  <c r="AB211" i="68" s="1"/>
  <c r="O55" i="68"/>
  <c r="O57" i="68" s="1"/>
  <c r="U70" i="68"/>
  <c r="U72" i="68" s="1"/>
  <c r="T547" i="72"/>
  <c r="K104" i="68"/>
  <c r="K168" i="68" s="1"/>
  <c r="K232" i="68" s="1"/>
  <c r="AA82" i="68"/>
  <c r="AA146" i="68" s="1"/>
  <c r="AC61" i="68"/>
  <c r="AC63" i="68" s="1"/>
  <c r="K64" i="68"/>
  <c r="K66" i="68" s="1"/>
  <c r="I109" i="68"/>
  <c r="I173" i="68" s="1"/>
  <c r="I237" i="68" s="1"/>
  <c r="AA64" i="68"/>
  <c r="AA66" i="68" s="1"/>
  <c r="J567" i="72"/>
  <c r="V86" i="68"/>
  <c r="V150" i="68" s="1"/>
  <c r="V214" i="68" s="1"/>
  <c r="S100" i="68"/>
  <c r="S102" i="68" s="1"/>
  <c r="U552" i="72"/>
  <c r="M68" i="68"/>
  <c r="M132" i="68" s="1"/>
  <c r="M196" i="68" s="1"/>
  <c r="J545" i="72"/>
  <c r="H582" i="72"/>
  <c r="Q86" i="68"/>
  <c r="Q150" i="68" s="1"/>
  <c r="Q214" i="68" s="1"/>
  <c r="Q564" i="72"/>
  <c r="R56" i="68"/>
  <c r="R120" i="68" s="1"/>
  <c r="R184" i="68" s="1"/>
  <c r="X77" i="68"/>
  <c r="X141" i="68" s="1"/>
  <c r="X205" i="68" s="1"/>
  <c r="U86" i="68"/>
  <c r="U150" i="68" s="1"/>
  <c r="U214" i="68" s="1"/>
  <c r="T110" i="68"/>
  <c r="T174" i="68" s="1"/>
  <c r="T238" i="68" s="1"/>
  <c r="T552" i="72"/>
  <c r="N555" i="72"/>
  <c r="T569" i="72"/>
  <c r="W568" i="72"/>
  <c r="S82" i="68"/>
  <c r="X479" i="68"/>
  <c r="X526" i="68" s="1"/>
  <c r="W573" i="72"/>
  <c r="I486" i="68"/>
  <c r="I547" i="68" s="1"/>
  <c r="I611" i="68" s="1"/>
  <c r="Z104" i="68"/>
  <c r="Z168" i="68" s="1"/>
  <c r="Z232" i="68" s="1"/>
  <c r="Y551" i="72"/>
  <c r="Y558" i="72"/>
  <c r="X472" i="68"/>
  <c r="X505" i="68" s="1"/>
  <c r="Z545" i="72"/>
  <c r="AA98" i="68"/>
  <c r="AA162" i="68" s="1"/>
  <c r="AA226" i="68" s="1"/>
  <c r="H578" i="72"/>
  <c r="P103" i="68"/>
  <c r="P167" i="68" s="1"/>
  <c r="N558" i="72"/>
  <c r="AG74" i="68"/>
  <c r="AG138" i="68" s="1"/>
  <c r="AG202" i="68" s="1"/>
  <c r="X557" i="72"/>
  <c r="M556" i="72"/>
  <c r="AA260" i="68"/>
  <c r="AA308" i="68" s="1"/>
  <c r="AA372" i="68" s="1"/>
  <c r="AA436" i="68" s="1"/>
  <c r="P574" i="72"/>
  <c r="AD472" i="68"/>
  <c r="AD506" i="68" s="1"/>
  <c r="AD570" i="68" s="1"/>
  <c r="AD634" i="68" s="1"/>
  <c r="N98" i="68"/>
  <c r="N99" i="68" s="1"/>
  <c r="AB576" i="72"/>
  <c r="Z83" i="68"/>
  <c r="Z147" i="68" s="1"/>
  <c r="Z211" i="68" s="1"/>
  <c r="M550" i="72"/>
  <c r="AE565" i="72"/>
  <c r="R79" i="68"/>
  <c r="R143" i="68" s="1"/>
  <c r="W564" i="72"/>
  <c r="N68" i="68"/>
  <c r="N132" i="68" s="1"/>
  <c r="N196" i="68" s="1"/>
  <c r="AE564" i="72"/>
  <c r="AD566" i="72"/>
  <c r="AH107" i="68"/>
  <c r="AH171" i="68" s="1"/>
  <c r="AH235" i="68" s="1"/>
  <c r="AG581" i="72"/>
  <c r="N263" i="68"/>
  <c r="N316" i="68" s="1"/>
  <c r="N380" i="68" s="1"/>
  <c r="T257" i="68"/>
  <c r="T299" i="68" s="1"/>
  <c r="T363" i="68" s="1"/>
  <c r="T427" i="68" s="1"/>
  <c r="AG83" i="68"/>
  <c r="AG147" i="68" s="1"/>
  <c r="AG211" i="68" s="1"/>
  <c r="AF468" i="68"/>
  <c r="AF493" i="68" s="1"/>
  <c r="U77" i="68"/>
  <c r="U141" i="68" s="1"/>
  <c r="U205" i="68" s="1"/>
  <c r="X59" i="68"/>
  <c r="X123" i="68" s="1"/>
  <c r="X187" i="68" s="1"/>
  <c r="AB73" i="68"/>
  <c r="AB75" i="68" s="1"/>
  <c r="P56" i="68"/>
  <c r="P120" i="68" s="1"/>
  <c r="P184" i="68" s="1"/>
  <c r="Z100" i="68"/>
  <c r="Z102" i="68" s="1"/>
  <c r="Y579" i="72"/>
  <c r="AA572" i="72"/>
  <c r="P478" i="68"/>
  <c r="P523" i="68" s="1"/>
  <c r="K62" i="68"/>
  <c r="K126" i="68" s="1"/>
  <c r="K190" i="68" s="1"/>
  <c r="AD570" i="72"/>
  <c r="Q83" i="68"/>
  <c r="Q147" i="68" s="1"/>
  <c r="Q211" i="68" s="1"/>
  <c r="AB476" i="68"/>
  <c r="AB518" i="68" s="1"/>
  <c r="AB582" i="68" s="1"/>
  <c r="AB646" i="68" s="1"/>
  <c r="J83" i="68"/>
  <c r="J147" i="68" s="1"/>
  <c r="J211" i="68" s="1"/>
  <c r="AB566" i="72"/>
  <c r="N576" i="72"/>
  <c r="AE578" i="72"/>
  <c r="AC572" i="72"/>
  <c r="I551" i="72"/>
  <c r="Q547" i="72"/>
  <c r="J570" i="72"/>
  <c r="AH65" i="68"/>
  <c r="AH129" i="68" s="1"/>
  <c r="AH193" i="68" s="1"/>
  <c r="K86" i="68"/>
  <c r="K150" i="68" s="1"/>
  <c r="K214" i="68" s="1"/>
  <c r="AF95" i="68"/>
  <c r="AF96" i="68" s="1"/>
  <c r="I92" i="68"/>
  <c r="I156" i="68" s="1"/>
  <c r="I220" i="68" s="1"/>
  <c r="Z265" i="68"/>
  <c r="Z323" i="68" s="1"/>
  <c r="Z387" i="68" s="1"/>
  <c r="Z451" i="68" s="1"/>
  <c r="L570" i="72"/>
  <c r="Q480" i="68"/>
  <c r="Q530" i="68" s="1"/>
  <c r="Q594" i="68" s="1"/>
  <c r="Q658" i="68" s="1"/>
  <c r="H576" i="72"/>
  <c r="O550" i="72"/>
  <c r="N564" i="72"/>
  <c r="P80" i="68"/>
  <c r="P144" i="68" s="1"/>
  <c r="P208" i="68" s="1"/>
  <c r="W543" i="72"/>
  <c r="N569" i="72"/>
  <c r="W557" i="72"/>
  <c r="N547" i="72"/>
  <c r="O70" i="68"/>
  <c r="O134" i="68" s="1"/>
  <c r="N565" i="72"/>
  <c r="AB564" i="72"/>
  <c r="AC255" i="68"/>
  <c r="AC293" i="68" s="1"/>
  <c r="AC357" i="68" s="1"/>
  <c r="AC421" i="68" s="1"/>
  <c r="K550" i="72"/>
  <c r="AH95" i="68"/>
  <c r="AH159" i="68" s="1"/>
  <c r="AH223" i="68" s="1"/>
  <c r="AD549" i="72"/>
  <c r="AB85" i="68"/>
  <c r="AB87" i="68" s="1"/>
  <c r="AG110" i="68"/>
  <c r="AG174" i="68" s="1"/>
  <c r="AG238" i="68" s="1"/>
  <c r="Q548" i="72"/>
  <c r="J89" i="68"/>
  <c r="J153" i="68" s="1"/>
  <c r="J217" i="68" s="1"/>
  <c r="T100" i="68"/>
  <c r="T164" i="68" s="1"/>
  <c r="J97" i="68"/>
  <c r="J99" i="68" s="1"/>
  <c r="AD547" i="72"/>
  <c r="H554" i="72"/>
  <c r="AD106" i="68"/>
  <c r="AD108" i="68" s="1"/>
  <c r="AD79" i="68"/>
  <c r="AD81" i="68" s="1"/>
  <c r="AB89" i="68"/>
  <c r="AB153" i="68" s="1"/>
  <c r="AB217" i="68" s="1"/>
  <c r="L568" i="72"/>
  <c r="AA573" i="72"/>
  <c r="S74" i="68"/>
  <c r="S138" i="68" s="1"/>
  <c r="S202" i="68" s="1"/>
  <c r="O468" i="68"/>
  <c r="O493" i="68" s="1"/>
  <c r="O103" i="68"/>
  <c r="O105" i="68" s="1"/>
  <c r="Z558" i="72"/>
  <c r="U550" i="72"/>
  <c r="S579" i="72"/>
  <c r="V568" i="72"/>
  <c r="T486" i="68"/>
  <c r="T548" i="68" s="1"/>
  <c r="T612" i="68" s="1"/>
  <c r="T676" i="68" s="1"/>
  <c r="Q550" i="72"/>
  <c r="AC109" i="68"/>
  <c r="AG62" i="68"/>
  <c r="AG126" i="68" s="1"/>
  <c r="AG190" i="68" s="1"/>
  <c r="Z61" i="68"/>
  <c r="Z63" i="68" s="1"/>
  <c r="AF566" i="72"/>
  <c r="O89" i="68"/>
  <c r="O153" i="68" s="1"/>
  <c r="O217" i="68" s="1"/>
  <c r="Q554" i="72"/>
  <c r="O79" i="68"/>
  <c r="O81" i="68" s="1"/>
  <c r="R569" i="72"/>
  <c r="S56" i="68"/>
  <c r="S120" i="68" s="1"/>
  <c r="S184" i="68" s="1"/>
  <c r="O545" i="72"/>
  <c r="L45" i="68"/>
  <c r="L100" i="68" s="1"/>
  <c r="L80" i="68"/>
  <c r="L144" i="68" s="1"/>
  <c r="L208" i="68" s="1"/>
  <c r="R547" i="72"/>
  <c r="J574" i="72"/>
  <c r="R564" i="72"/>
  <c r="R573" i="72"/>
  <c r="S85" i="68"/>
  <c r="S87" i="68" s="1"/>
  <c r="O567" i="72"/>
  <c r="J571" i="72"/>
  <c r="J106" i="68"/>
  <c r="J108" i="68" s="1"/>
  <c r="W94" i="68"/>
  <c r="W96" i="68" s="1"/>
  <c r="AB71" i="68"/>
  <c r="AB135" i="68" s="1"/>
  <c r="AB199" i="68" s="1"/>
  <c r="W558" i="72"/>
  <c r="N568" i="72"/>
  <c r="AB581" i="72"/>
  <c r="AC575" i="72"/>
  <c r="U73" i="68"/>
  <c r="U75" i="68" s="1"/>
  <c r="Y74" i="68"/>
  <c r="Y138" i="68" s="1"/>
  <c r="Y202" i="68" s="1"/>
  <c r="Y80" i="68"/>
  <c r="Y144" i="68" s="1"/>
  <c r="Y208" i="68" s="1"/>
  <c r="N543" i="72"/>
  <c r="Q573" i="72"/>
  <c r="AG568" i="72"/>
  <c r="Y567" i="72"/>
  <c r="V65" i="68"/>
  <c r="V129" i="68" s="1"/>
  <c r="V193" i="68" s="1"/>
  <c r="AB565" i="72"/>
  <c r="M571" i="72"/>
  <c r="AD479" i="68"/>
  <c r="AD526" i="68" s="1"/>
  <c r="O569" i="72"/>
  <c r="Z567" i="72"/>
  <c r="AF560" i="72"/>
  <c r="I581" i="72"/>
  <c r="AF543" i="72"/>
  <c r="N542" i="72"/>
  <c r="I559" i="72"/>
  <c r="AE580" i="72"/>
  <c r="S107" i="68"/>
  <c r="S171" i="68" s="1"/>
  <c r="S235" i="68" s="1"/>
  <c r="AA107" i="68"/>
  <c r="AA171" i="68" s="1"/>
  <c r="AA235" i="68" s="1"/>
  <c r="J577" i="72"/>
  <c r="AB575" i="72"/>
  <c r="S575" i="72"/>
  <c r="T553" i="72"/>
  <c r="AA575" i="72"/>
  <c r="J575" i="72"/>
  <c r="AG85" i="68"/>
  <c r="AG149" i="68" s="1"/>
  <c r="AD470" i="68"/>
  <c r="AD499" i="68" s="1"/>
  <c r="T578" i="72"/>
  <c r="AC479" i="68"/>
  <c r="AC527" i="68" s="1"/>
  <c r="AC591" i="68" s="1"/>
  <c r="AC655" i="68" s="1"/>
  <c r="Y578" i="72"/>
  <c r="AH477" i="68"/>
  <c r="AH521" i="68" s="1"/>
  <c r="AH585" i="68" s="1"/>
  <c r="AH649" i="68" s="1"/>
  <c r="AB479" i="68"/>
  <c r="AB527" i="68" s="1"/>
  <c r="AB591" i="68" s="1"/>
  <c r="AB655" i="68" s="1"/>
  <c r="AE256" i="68"/>
  <c r="AE296" i="68" s="1"/>
  <c r="AE360" i="68" s="1"/>
  <c r="AE424" i="68" s="1"/>
  <c r="AC559" i="72"/>
  <c r="L542" i="72"/>
  <c r="AC543" i="72"/>
  <c r="H555" i="72"/>
  <c r="X71" i="68"/>
  <c r="X135" i="68" s="1"/>
  <c r="X199" i="68" s="1"/>
  <c r="AF71" i="68"/>
  <c r="AF135" i="68" s="1"/>
  <c r="AF199" i="68" s="1"/>
  <c r="AD569" i="72"/>
  <c r="AE569" i="72"/>
  <c r="O250" i="68"/>
  <c r="O277" i="68" s="1"/>
  <c r="P252" i="68"/>
  <c r="P284" i="68" s="1"/>
  <c r="P348" i="68" s="1"/>
  <c r="P412" i="68" s="1"/>
  <c r="P554" i="72"/>
  <c r="W257" i="68"/>
  <c r="W298" i="68" s="1"/>
  <c r="AA558" i="72"/>
  <c r="J552" i="72"/>
  <c r="R548" i="72"/>
  <c r="AB554" i="72"/>
  <c r="I557" i="72"/>
  <c r="P106" i="68"/>
  <c r="P108" i="68" s="1"/>
  <c r="Q556" i="72"/>
  <c r="O582" i="72"/>
  <c r="Z556" i="72"/>
  <c r="K554" i="72"/>
  <c r="AA552" i="72"/>
  <c r="Y574" i="72"/>
  <c r="W570" i="72"/>
  <c r="L64" i="68"/>
  <c r="L66" i="68" s="1"/>
  <c r="AG545" i="72"/>
  <c r="Z544" i="72"/>
  <c r="L551" i="72"/>
  <c r="Q551" i="72"/>
  <c r="L559" i="72"/>
  <c r="O554" i="72"/>
  <c r="H556" i="72"/>
  <c r="H545" i="72"/>
  <c r="U542" i="72"/>
  <c r="AB259" i="68"/>
  <c r="AB305" i="68" s="1"/>
  <c r="AB369" i="68" s="1"/>
  <c r="AB433" i="68" s="1"/>
  <c r="AF552" i="72"/>
  <c r="O549" i="72"/>
  <c r="W581" i="72"/>
  <c r="R556" i="72"/>
  <c r="AA579" i="72"/>
  <c r="P578" i="72"/>
  <c r="S97" i="68"/>
  <c r="S99" i="68" s="1"/>
  <c r="N577" i="72"/>
  <c r="R552" i="72"/>
  <c r="R86" i="68"/>
  <c r="R150" i="68" s="1"/>
  <c r="R214" i="68" s="1"/>
  <c r="Q574" i="72"/>
  <c r="X552" i="72"/>
  <c r="P82" i="68"/>
  <c r="P84" i="68" s="1"/>
  <c r="T77" i="68"/>
  <c r="T141" i="68" s="1"/>
  <c r="T205" i="68" s="1"/>
  <c r="P550" i="72"/>
  <c r="P572" i="72"/>
  <c r="Q80" i="68"/>
  <c r="Q144" i="68" s="1"/>
  <c r="Q208" i="68" s="1"/>
  <c r="O551" i="72"/>
  <c r="N551" i="72"/>
  <c r="Q76" i="68"/>
  <c r="Q78" i="68" s="1"/>
  <c r="S79" i="68"/>
  <c r="S81" i="68" s="1"/>
  <c r="N573" i="72"/>
  <c r="S551" i="72"/>
  <c r="T570" i="72"/>
  <c r="H569" i="72"/>
  <c r="L566" i="72"/>
  <c r="AB64" i="68"/>
  <c r="AB66" i="68" s="1"/>
  <c r="AG546" i="72"/>
  <c r="AH68" i="68"/>
  <c r="AH132" i="68" s="1"/>
  <c r="AH196" i="68" s="1"/>
  <c r="P566" i="72"/>
  <c r="S546" i="72"/>
  <c r="T68" i="68"/>
  <c r="T132" i="68" s="1"/>
  <c r="T196" i="68" s="1"/>
  <c r="Y64" i="68"/>
  <c r="Y66" i="68" s="1"/>
  <c r="X567" i="72"/>
  <c r="Z566" i="72"/>
  <c r="W59" i="68"/>
  <c r="W123" i="68" s="1"/>
  <c r="W187" i="68" s="1"/>
  <c r="V543" i="72"/>
  <c r="AC565" i="72"/>
  <c r="AF56" i="68"/>
  <c r="AF120" i="68" s="1"/>
  <c r="AF184" i="68" s="1"/>
  <c r="AB32" i="68"/>
  <c r="AA544" i="72"/>
  <c r="AB255" i="68"/>
  <c r="AB293" i="68" s="1"/>
  <c r="AB357" i="68" s="1"/>
  <c r="AB421" i="68" s="1"/>
  <c r="AA548" i="72"/>
  <c r="AE482" i="68"/>
  <c r="AE536" i="68" s="1"/>
  <c r="AE600" i="68" s="1"/>
  <c r="AE664" i="68" s="1"/>
  <c r="AD578" i="72"/>
  <c r="T260" i="68"/>
  <c r="T308" i="68" s="1"/>
  <c r="T372" i="68" s="1"/>
  <c r="T436" i="68" s="1"/>
  <c r="S553" i="72"/>
  <c r="O32" i="68"/>
  <c r="N566" i="72"/>
  <c r="N544" i="72"/>
  <c r="R259" i="68"/>
  <c r="R305" i="68" s="1"/>
  <c r="R369" i="68" s="1"/>
  <c r="R433" i="68" s="1"/>
  <c r="Q552" i="72"/>
  <c r="AG41" i="68"/>
  <c r="AF575" i="72"/>
  <c r="J476" i="68"/>
  <c r="J517" i="68" s="1"/>
  <c r="J581" i="68" s="1"/>
  <c r="I572" i="72"/>
  <c r="Q572" i="72"/>
  <c r="R476" i="68"/>
  <c r="R518" i="68" s="1"/>
  <c r="R582" i="68" s="1"/>
  <c r="R646" i="68" s="1"/>
  <c r="AA541" i="68"/>
  <c r="AA605" i="68" s="1"/>
  <c r="AA542" i="68"/>
  <c r="AA606" i="68" s="1"/>
  <c r="AA670" i="68" s="1"/>
  <c r="AH98" i="68"/>
  <c r="AH162" i="68" s="1"/>
  <c r="AH226" i="68" s="1"/>
  <c r="AH97" i="68"/>
  <c r="AE548" i="72"/>
  <c r="AD260" i="68"/>
  <c r="AD308" i="68" s="1"/>
  <c r="AD372" i="68" s="1"/>
  <c r="AD436" i="68" s="1"/>
  <c r="AC553" i="72"/>
  <c r="L37" i="68"/>
  <c r="L77" i="68" s="1"/>
  <c r="L141" i="68" s="1"/>
  <c r="L205" i="68" s="1"/>
  <c r="K571" i="72"/>
  <c r="AA31" i="68"/>
  <c r="Z565" i="72"/>
  <c r="L88" i="68"/>
  <c r="L90" i="68" s="1"/>
  <c r="L89" i="68"/>
  <c r="L153" i="68" s="1"/>
  <c r="L217" i="68" s="1"/>
  <c r="R94" i="68"/>
  <c r="R95" i="68"/>
  <c r="R159" i="68" s="1"/>
  <c r="R223" i="68" s="1"/>
  <c r="X480" i="68"/>
  <c r="X529" i="68" s="1"/>
  <c r="W576" i="72"/>
  <c r="AG38" i="68"/>
  <c r="AF550" i="72"/>
  <c r="X549" i="72"/>
  <c r="Y256" i="68"/>
  <c r="Y295" i="68" s="1"/>
  <c r="Z485" i="68"/>
  <c r="Z544" i="68" s="1"/>
  <c r="Y581" i="72"/>
  <c r="U257" i="68"/>
  <c r="U298" i="68" s="1"/>
  <c r="T550" i="72"/>
  <c r="K88" i="68"/>
  <c r="K90" i="68" s="1"/>
  <c r="K89" i="68"/>
  <c r="K153" i="68" s="1"/>
  <c r="K217" i="68" s="1"/>
  <c r="S549" i="72"/>
  <c r="T256" i="68"/>
  <c r="T296" i="68" s="1"/>
  <c r="T360" i="68" s="1"/>
  <c r="T424" i="68" s="1"/>
  <c r="I46" i="68"/>
  <c r="H580" i="72"/>
  <c r="R103" i="68"/>
  <c r="R104" i="68"/>
  <c r="R168" i="68" s="1"/>
  <c r="R232" i="68" s="1"/>
  <c r="I40" i="68"/>
  <c r="H552" i="72"/>
  <c r="J543" i="72"/>
  <c r="K250" i="68"/>
  <c r="K277" i="68" s="1"/>
  <c r="AG43" i="68"/>
  <c r="AF577" i="72"/>
  <c r="AH80" i="68"/>
  <c r="AH144" i="68" s="1"/>
  <c r="AH208" i="68" s="1"/>
  <c r="AH79" i="68"/>
  <c r="X258" i="68"/>
  <c r="X301" i="68" s="1"/>
  <c r="W551" i="72"/>
  <c r="Q482" i="68"/>
  <c r="Q536" i="68" s="1"/>
  <c r="Y35" i="68"/>
  <c r="Y70" i="68" s="1"/>
  <c r="X569" i="72"/>
  <c r="V582" i="72"/>
  <c r="K262" i="68"/>
  <c r="K313" i="68" s="1"/>
  <c r="J555" i="72"/>
  <c r="K575" i="72"/>
  <c r="W30" i="68"/>
  <c r="W56" i="68" s="1"/>
  <c r="W120" i="68" s="1"/>
  <c r="W184" i="68" s="1"/>
  <c r="V542" i="72"/>
  <c r="K549" i="72"/>
  <c r="AF573" i="72"/>
  <c r="U570" i="72"/>
  <c r="AB559" i="72"/>
  <c r="AC266" i="68"/>
  <c r="AC326" i="68" s="1"/>
  <c r="AC390" i="68" s="1"/>
  <c r="AC454" i="68" s="1"/>
  <c r="R549" i="72"/>
  <c r="Z543" i="72"/>
  <c r="Q544" i="72"/>
  <c r="AG572" i="72"/>
  <c r="AC35" i="68"/>
  <c r="AC70" i="68" s="1"/>
  <c r="AB569" i="72"/>
  <c r="AF33" i="68"/>
  <c r="AE545" i="72"/>
  <c r="AE77" i="68"/>
  <c r="AE141" i="68" s="1"/>
  <c r="AE205" i="68" s="1"/>
  <c r="AE76" i="68"/>
  <c r="AE140" i="68" s="1"/>
  <c r="X571" i="72"/>
  <c r="AA574" i="72"/>
  <c r="P257" i="68"/>
  <c r="P299" i="68" s="1"/>
  <c r="P363" i="68" s="1"/>
  <c r="P427" i="68" s="1"/>
  <c r="AF41" i="68"/>
  <c r="AF89" i="68" s="1"/>
  <c r="AF153" i="68" s="1"/>
  <c r="AF217" i="68" s="1"/>
  <c r="AE575" i="72"/>
  <c r="V35" i="68"/>
  <c r="V71" i="68" s="1"/>
  <c r="V135" i="68" s="1"/>
  <c r="V199" i="68" s="1"/>
  <c r="U547" i="72"/>
  <c r="W39" i="68"/>
  <c r="V551" i="72"/>
  <c r="K478" i="68"/>
  <c r="K524" i="68" s="1"/>
  <c r="K588" i="68" s="1"/>
  <c r="K652" i="68" s="1"/>
  <c r="K479" i="68"/>
  <c r="K527" i="68" s="1"/>
  <c r="K591" i="68" s="1"/>
  <c r="K655" i="68" s="1"/>
  <c r="W110" i="68"/>
  <c r="W174" i="68" s="1"/>
  <c r="W238" i="68" s="1"/>
  <c r="AG68" i="68"/>
  <c r="AG132" i="68" s="1"/>
  <c r="AG196" i="68" s="1"/>
  <c r="AG67" i="68"/>
  <c r="N33" i="68"/>
  <c r="M567" i="72"/>
  <c r="X260" i="68"/>
  <c r="X308" i="68" s="1"/>
  <c r="X372" i="68" s="1"/>
  <c r="X436" i="68" s="1"/>
  <c r="W553" i="72"/>
  <c r="AF40" i="68"/>
  <c r="AF86" i="68" s="1"/>
  <c r="AF150" i="68" s="1"/>
  <c r="AF214" i="68" s="1"/>
  <c r="AE552" i="72"/>
  <c r="P37" i="68"/>
  <c r="O571" i="72"/>
  <c r="X91" i="68"/>
  <c r="X155" i="68" s="1"/>
  <c r="T32" i="68"/>
  <c r="T62" i="68" s="1"/>
  <c r="T126" i="68" s="1"/>
  <c r="T190" i="68" s="1"/>
  <c r="S566" i="72"/>
  <c r="V560" i="72"/>
  <c r="X485" i="68"/>
  <c r="X544" i="68" s="1"/>
  <c r="X608" i="68" s="1"/>
  <c r="AA481" i="68"/>
  <c r="AA532" i="68" s="1"/>
  <c r="S545" i="72"/>
  <c r="AE31" i="68"/>
  <c r="AE58" i="68" s="1"/>
  <c r="AD565" i="72"/>
  <c r="AF553" i="72"/>
  <c r="L581" i="72"/>
  <c r="T565" i="72"/>
  <c r="I560" i="72"/>
  <c r="S95" i="68"/>
  <c r="S96" i="68" s="1"/>
  <c r="AC68" i="68"/>
  <c r="AC132" i="68" s="1"/>
  <c r="AC196" i="68" s="1"/>
  <c r="AE67" i="68"/>
  <c r="AE69" i="68" s="1"/>
  <c r="M568" i="72"/>
  <c r="AD568" i="72"/>
  <c r="AE574" i="72"/>
  <c r="H544" i="72"/>
  <c r="AD109" i="68"/>
  <c r="AD173" i="68" s="1"/>
  <c r="Q577" i="72"/>
  <c r="Z564" i="72"/>
  <c r="J557" i="72"/>
  <c r="Q73" i="68"/>
  <c r="Q75" i="68" s="1"/>
  <c r="H574" i="72"/>
  <c r="U545" i="72"/>
  <c r="AF567" i="72"/>
  <c r="AG575" i="72"/>
  <c r="Q582" i="72"/>
  <c r="X550" i="72"/>
  <c r="X545" i="72"/>
  <c r="O548" i="72"/>
  <c r="AA79" i="68"/>
  <c r="AA81" i="68" s="1"/>
  <c r="AC80" i="68"/>
  <c r="AC144" i="68" s="1"/>
  <c r="AC208" i="68" s="1"/>
  <c r="AC79" i="68"/>
  <c r="AC143" i="68" s="1"/>
  <c r="AA549" i="72"/>
  <c r="L261" i="68"/>
  <c r="L310" i="68" s="1"/>
  <c r="S58" i="68"/>
  <c r="S122" i="68" s="1"/>
  <c r="W44" i="68"/>
  <c r="W98" i="68" s="1"/>
  <c r="W162" i="68" s="1"/>
  <c r="W226" i="68" s="1"/>
  <c r="V578" i="72"/>
  <c r="H570" i="72"/>
  <c r="AE550" i="72"/>
  <c r="Y48" i="68"/>
  <c r="Y110" i="68" s="1"/>
  <c r="Y174" i="68" s="1"/>
  <c r="Y238" i="68" s="1"/>
  <c r="X560" i="72"/>
  <c r="V559" i="72"/>
  <c r="S567" i="72"/>
  <c r="Y573" i="72"/>
  <c r="M79" i="68"/>
  <c r="M81" i="68" s="1"/>
  <c r="AG253" i="68"/>
  <c r="AG286" i="68" s="1"/>
  <c r="AF546" i="72"/>
  <c r="O37" i="68"/>
  <c r="O76" i="68" s="1"/>
  <c r="N549" i="72"/>
  <c r="AA48" i="68"/>
  <c r="AA110" i="68" s="1"/>
  <c r="AA174" i="68" s="1"/>
  <c r="AA238" i="68" s="1"/>
  <c r="Z582" i="72"/>
  <c r="AC30" i="68"/>
  <c r="AB542" i="72"/>
  <c r="AF256" i="68"/>
  <c r="AF296" i="68" s="1"/>
  <c r="AF360" i="68" s="1"/>
  <c r="AF424" i="68" s="1"/>
  <c r="AE549" i="72"/>
  <c r="AC573" i="72"/>
  <c r="AD477" i="68"/>
  <c r="AD521" i="68" s="1"/>
  <c r="AD585" i="68" s="1"/>
  <c r="AD649" i="68" s="1"/>
  <c r="AD251" i="68"/>
  <c r="AD280" i="68" s="1"/>
  <c r="AC544" i="72"/>
  <c r="Q33" i="68"/>
  <c r="P567" i="72"/>
  <c r="Q32" i="68"/>
  <c r="P544" i="72"/>
  <c r="H546" i="72"/>
  <c r="H567" i="72"/>
  <c r="Q555" i="72"/>
  <c r="Z476" i="68"/>
  <c r="Z518" i="68" s="1"/>
  <c r="Z582" i="68" s="1"/>
  <c r="Z646" i="68" s="1"/>
  <c r="AB582" i="72"/>
  <c r="V83" i="68"/>
  <c r="V147" i="68" s="1"/>
  <c r="V211" i="68" s="1"/>
  <c r="Q568" i="72"/>
  <c r="R472" i="68"/>
  <c r="R506" i="68" s="1"/>
  <c r="R570" i="68" s="1"/>
  <c r="R634" i="68" s="1"/>
  <c r="O478" i="68"/>
  <c r="O523" i="68" s="1"/>
  <c r="N574" i="72"/>
  <c r="R555" i="72"/>
  <c r="S262" i="68"/>
  <c r="S313" i="68" s="1"/>
  <c r="R565" i="72"/>
  <c r="S469" i="68"/>
  <c r="S497" i="68" s="1"/>
  <c r="S561" i="68" s="1"/>
  <c r="S625" i="68" s="1"/>
  <c r="X104" i="68"/>
  <c r="X168" i="68" s="1"/>
  <c r="X232" i="68" s="1"/>
  <c r="X103" i="68"/>
  <c r="X167" i="68" s="1"/>
  <c r="L91" i="68"/>
  <c r="L155" i="68" s="1"/>
  <c r="AB250" i="68"/>
  <c r="AB278" i="68" s="1"/>
  <c r="AB342" i="68" s="1"/>
  <c r="AB406" i="68" s="1"/>
  <c r="AA543" i="72"/>
  <c r="I35" i="68"/>
  <c r="I70" i="68" s="1"/>
  <c r="I134" i="68" s="1"/>
  <c r="H547" i="72"/>
  <c r="Q264" i="68"/>
  <c r="Q319" i="68" s="1"/>
  <c r="P557" i="72"/>
  <c r="AF559" i="72"/>
  <c r="AG266" i="68"/>
  <c r="AG325" i="68" s="1"/>
  <c r="AG389" i="68" s="1"/>
  <c r="P265" i="68"/>
  <c r="P322" i="68" s="1"/>
  <c r="O558" i="72"/>
  <c r="N42" i="68"/>
  <c r="M576" i="72"/>
  <c r="AE257" i="68"/>
  <c r="AE299" i="68" s="1"/>
  <c r="AE363" i="68" s="1"/>
  <c r="AE427" i="68" s="1"/>
  <c r="AD550" i="72"/>
  <c r="AG550" i="72"/>
  <c r="AH257" i="68"/>
  <c r="AH299" i="68" s="1"/>
  <c r="AH363" i="68" s="1"/>
  <c r="AH427" i="68" s="1"/>
  <c r="AB34" i="68"/>
  <c r="AA546" i="72"/>
  <c r="T576" i="72"/>
  <c r="AB557" i="72"/>
  <c r="W580" i="72"/>
  <c r="O560" i="72"/>
  <c r="AB30" i="68"/>
  <c r="AB55" i="68" s="1"/>
  <c r="AA542" i="72"/>
  <c r="M569" i="72"/>
  <c r="Q56" i="68"/>
  <c r="Q57" i="68" s="1"/>
  <c r="P548" i="72"/>
  <c r="AF262" i="68"/>
  <c r="AF314" i="68" s="1"/>
  <c r="AF378" i="68" s="1"/>
  <c r="AF442" i="68" s="1"/>
  <c r="AE555" i="72"/>
  <c r="U94" i="68"/>
  <c r="U158" i="68" s="1"/>
  <c r="U95" i="68"/>
  <c r="U159" i="68" s="1"/>
  <c r="U223" i="68" s="1"/>
  <c r="W33" i="68"/>
  <c r="V567" i="72"/>
  <c r="AE109" i="68"/>
  <c r="AE110" i="68"/>
  <c r="AE174" i="68" s="1"/>
  <c r="AE238" i="68" s="1"/>
  <c r="K483" i="68"/>
  <c r="K539" i="68" s="1"/>
  <c r="K603" i="68" s="1"/>
  <c r="K667" i="68" s="1"/>
  <c r="J579" i="72"/>
  <c r="L32" i="68"/>
  <c r="K544" i="72"/>
  <c r="X253" i="68"/>
  <c r="X287" i="68" s="1"/>
  <c r="X351" i="68" s="1"/>
  <c r="X415" i="68" s="1"/>
  <c r="W546" i="72"/>
  <c r="N546" i="72"/>
  <c r="N32" i="68"/>
  <c r="N61" i="68" s="1"/>
  <c r="M566" i="72"/>
  <c r="M544" i="72"/>
  <c r="K566" i="72"/>
  <c r="K30" i="68"/>
  <c r="K55" i="68" s="1"/>
  <c r="J564" i="72"/>
  <c r="N70" i="68"/>
  <c r="N71" i="68"/>
  <c r="N135" i="68" s="1"/>
  <c r="N199" i="68" s="1"/>
  <c r="AB543" i="72"/>
  <c r="AC250" i="68"/>
  <c r="AC277" i="68" s="1"/>
  <c r="AC37" i="68"/>
  <c r="AC77" i="68" s="1"/>
  <c r="AC141" i="68" s="1"/>
  <c r="AC205" i="68" s="1"/>
  <c r="AB571" i="72"/>
  <c r="T261" i="68"/>
  <c r="T310" i="68" s="1"/>
  <c r="S554" i="72"/>
  <c r="Q575" i="72"/>
  <c r="R479" i="68"/>
  <c r="R527" i="68" s="1"/>
  <c r="R591" i="68" s="1"/>
  <c r="R655" i="68" s="1"/>
  <c r="AF39" i="68"/>
  <c r="AE573" i="72"/>
  <c r="Z258" i="68"/>
  <c r="Z301" i="68" s="1"/>
  <c r="O556" i="72"/>
  <c r="AH258" i="68"/>
  <c r="AH302" i="68" s="1"/>
  <c r="AH366" i="68" s="1"/>
  <c r="AH430" i="68" s="1"/>
  <c r="J260" i="68"/>
  <c r="J308" i="68" s="1"/>
  <c r="J372" i="68" s="1"/>
  <c r="J436" i="68" s="1"/>
  <c r="I553" i="72"/>
  <c r="L43" i="68"/>
  <c r="K555" i="72"/>
  <c r="W264" i="68"/>
  <c r="W320" i="68" s="1"/>
  <c r="W384" i="68" s="1"/>
  <c r="W448" i="68" s="1"/>
  <c r="AB258" i="68"/>
  <c r="AB302" i="68" s="1"/>
  <c r="AB366" i="68" s="1"/>
  <c r="AB430" i="68" s="1"/>
  <c r="AA551" i="72"/>
  <c r="AG578" i="72"/>
  <c r="AG77" i="68"/>
  <c r="AG141" i="68" s="1"/>
  <c r="AG205" i="68" s="1"/>
  <c r="AG76" i="68"/>
  <c r="AF265" i="68"/>
  <c r="AF323" i="68" s="1"/>
  <c r="AE558" i="72"/>
  <c r="AF31" i="68"/>
  <c r="AE543" i="72"/>
  <c r="X44" i="68"/>
  <c r="W556" i="72"/>
  <c r="M547" i="72"/>
  <c r="P542" i="72"/>
  <c r="S573" i="72"/>
  <c r="U567" i="72"/>
  <c r="I473" i="68"/>
  <c r="I508" i="68" s="1"/>
  <c r="Y471" i="68"/>
  <c r="Y503" i="68" s="1"/>
  <c r="Y567" i="68" s="1"/>
  <c r="Y631" i="68" s="1"/>
  <c r="L471" i="68"/>
  <c r="L503" i="68" s="1"/>
  <c r="L567" i="68" s="1"/>
  <c r="L631" i="68" s="1"/>
  <c r="K567" i="72"/>
  <c r="AB468" i="68"/>
  <c r="AB494" i="68" s="1"/>
  <c r="AB558" i="68" s="1"/>
  <c r="AB622" i="68" s="1"/>
  <c r="AA564" i="72"/>
  <c r="AE92" i="68"/>
  <c r="AE156" i="68" s="1"/>
  <c r="AE220" i="68" s="1"/>
  <c r="AE91" i="68"/>
  <c r="AE155" i="68" s="1"/>
  <c r="N101" i="68"/>
  <c r="N102" i="68" s="1"/>
  <c r="S470" i="68"/>
  <c r="S500" i="68" s="1"/>
  <c r="S564" i="68" s="1"/>
  <c r="S628" i="68" s="1"/>
  <c r="R566" i="72"/>
  <c r="AF581" i="72"/>
  <c r="Z573" i="72"/>
  <c r="AA477" i="68"/>
  <c r="AA520" i="68" s="1"/>
  <c r="L56" i="68"/>
  <c r="L120" i="68" s="1"/>
  <c r="L184" i="68" s="1"/>
  <c r="L55" i="68"/>
  <c r="L119" i="68" s="1"/>
  <c r="AE551" i="72"/>
  <c r="AD551" i="72"/>
  <c r="AD82" i="68"/>
  <c r="AD84" i="68" s="1"/>
  <c r="T555" i="72"/>
  <c r="S110" i="68"/>
  <c r="S174" i="68" s="1"/>
  <c r="S238" i="68" s="1"/>
  <c r="S109" i="68"/>
  <c r="S173" i="68" s="1"/>
  <c r="AH473" i="68"/>
  <c r="AH509" i="68" s="1"/>
  <c r="AH573" i="68" s="1"/>
  <c r="AH637" i="68" s="1"/>
  <c r="AG569" i="72"/>
  <c r="AA250" i="68"/>
  <c r="AA278" i="68" s="1"/>
  <c r="AA342" i="68" s="1"/>
  <c r="AA406" i="68" s="1"/>
  <c r="M579" i="72"/>
  <c r="S472" i="68"/>
  <c r="S506" i="68" s="1"/>
  <c r="S570" i="68" s="1"/>
  <c r="S634" i="68" s="1"/>
  <c r="R568" i="72"/>
  <c r="L473" i="68"/>
  <c r="L509" i="68" s="1"/>
  <c r="L573" i="68" s="1"/>
  <c r="L637" i="68" s="1"/>
  <c r="K569" i="72"/>
  <c r="AG106" i="68"/>
  <c r="AG108" i="68" s="1"/>
  <c r="AD554" i="72"/>
  <c r="AF565" i="72"/>
  <c r="AC549" i="72"/>
  <c r="P258" i="68"/>
  <c r="P302" i="68" s="1"/>
  <c r="P366" i="68" s="1"/>
  <c r="P430" i="68" s="1"/>
  <c r="J45" i="68"/>
  <c r="J101" i="68" s="1"/>
  <c r="I579" i="72"/>
  <c r="AH250" i="68"/>
  <c r="AH278" i="68" s="1"/>
  <c r="AH342" i="68" s="1"/>
  <c r="AH406" i="68" s="1"/>
  <c r="AG543" i="72"/>
  <c r="Q580" i="72"/>
  <c r="R484" i="68"/>
  <c r="R541" i="68" s="1"/>
  <c r="R605" i="68" s="1"/>
  <c r="V36" i="68"/>
  <c r="U548" i="72"/>
  <c r="AF251" i="68"/>
  <c r="AF280" i="68" s="1"/>
  <c r="AE544" i="72"/>
  <c r="Y45" i="68"/>
  <c r="Y101" i="68" s="1"/>
  <c r="X579" i="72"/>
  <c r="AD101" i="68"/>
  <c r="AD165" i="68" s="1"/>
  <c r="AD229" i="68" s="1"/>
  <c r="AD100" i="68"/>
  <c r="AD164" i="68" s="1"/>
  <c r="I567" i="72"/>
  <c r="J471" i="68"/>
  <c r="J503" i="68" s="1"/>
  <c r="J567" i="68" s="1"/>
  <c r="J631" i="68" s="1"/>
  <c r="T83" i="68"/>
  <c r="T147" i="68" s="1"/>
  <c r="T211" i="68" s="1"/>
  <c r="T82" i="68"/>
  <c r="T36" i="68"/>
  <c r="S548" i="72"/>
  <c r="AF557" i="72"/>
  <c r="AB77" i="68"/>
  <c r="AB141" i="68" s="1"/>
  <c r="AB205" i="68" s="1"/>
  <c r="AG567" i="72"/>
  <c r="AD77" i="68"/>
  <c r="AD141" i="68" s="1"/>
  <c r="AD205" i="68" s="1"/>
  <c r="X33" i="68"/>
  <c r="X64" i="68" s="1"/>
  <c r="W567" i="72"/>
  <c r="N560" i="72"/>
  <c r="V260" i="68"/>
  <c r="V308" i="68" s="1"/>
  <c r="V372" i="68" s="1"/>
  <c r="V436" i="68" s="1"/>
  <c r="U553" i="72"/>
  <c r="Z34" i="68"/>
  <c r="Y568" i="72"/>
  <c r="Y546" i="72"/>
  <c r="AC581" i="72"/>
  <c r="AD485" i="68"/>
  <c r="AD544" i="68" s="1"/>
  <c r="AD608" i="68" s="1"/>
  <c r="U551" i="72"/>
  <c r="V258" i="68"/>
  <c r="V301" i="68" s="1"/>
  <c r="T47" i="68"/>
  <c r="S581" i="72"/>
  <c r="AH484" i="68"/>
  <c r="AH542" i="68" s="1"/>
  <c r="AH606" i="68" s="1"/>
  <c r="AH670" i="68" s="1"/>
  <c r="AG580" i="72"/>
  <c r="W574" i="72"/>
  <c r="X478" i="68"/>
  <c r="X523" i="68" s="1"/>
  <c r="AC82" i="68"/>
  <c r="AC83" i="68"/>
  <c r="AC147" i="68" s="1"/>
  <c r="AC211" i="68" s="1"/>
  <c r="AC579" i="72"/>
  <c r="AA483" i="68"/>
  <c r="AA539" i="68" s="1"/>
  <c r="AA603" i="68" s="1"/>
  <c r="AA667" i="68" s="1"/>
  <c r="Z579" i="72"/>
  <c r="AA470" i="68"/>
  <c r="AA499" i="68" s="1"/>
  <c r="P486" i="68"/>
  <c r="P547" i="68" s="1"/>
  <c r="AD33" i="68"/>
  <c r="AD65" i="68" s="1"/>
  <c r="AD129" i="68" s="1"/>
  <c r="AD193" i="68" s="1"/>
  <c r="AC567" i="72"/>
  <c r="M553" i="72"/>
  <c r="N260" i="68"/>
  <c r="N307" i="68" s="1"/>
  <c r="T46" i="68"/>
  <c r="S558" i="72"/>
  <c r="S580" i="72"/>
  <c r="L564" i="72"/>
  <c r="Y86" i="68"/>
  <c r="Y150" i="68" s="1"/>
  <c r="Y214" i="68" s="1"/>
  <c r="Y85" i="68"/>
  <c r="AE251" i="68"/>
  <c r="AE281" i="68" s="1"/>
  <c r="AE345" i="68" s="1"/>
  <c r="AE409" i="68" s="1"/>
  <c r="AD544" i="72"/>
  <c r="K35" i="68"/>
  <c r="K70" i="68" s="1"/>
  <c r="J569" i="72"/>
  <c r="V545" i="72"/>
  <c r="AC551" i="72"/>
  <c r="AG44" i="68"/>
  <c r="AG97" i="68" s="1"/>
  <c r="AG161" i="68" s="1"/>
  <c r="AF578" i="72"/>
  <c r="R543" i="72"/>
  <c r="I478" i="68"/>
  <c r="I523" i="68" s="1"/>
  <c r="R572" i="72"/>
  <c r="AA569" i="72"/>
  <c r="W74" i="68"/>
  <c r="W138" i="68" s="1"/>
  <c r="W202" i="68" s="1"/>
  <c r="K553" i="72"/>
  <c r="AA578" i="72"/>
  <c r="L554" i="72"/>
  <c r="AF544" i="72"/>
  <c r="T564" i="72"/>
  <c r="V252" i="68"/>
  <c r="V283" i="68" s="1"/>
  <c r="M551" i="72"/>
  <c r="AC554" i="72"/>
  <c r="P545" i="72"/>
  <c r="AF103" i="68"/>
  <c r="AF105" i="68" s="1"/>
  <c r="K252" i="68"/>
  <c r="K284" i="68" s="1"/>
  <c r="K348" i="68" s="1"/>
  <c r="K412" i="68" s="1"/>
  <c r="L556" i="72"/>
  <c r="AC545" i="72"/>
  <c r="I542" i="72"/>
  <c r="AC547" i="72"/>
  <c r="X577" i="72"/>
  <c r="T548" i="72"/>
  <c r="X548" i="72"/>
  <c r="AB553" i="72"/>
  <c r="O570" i="72"/>
  <c r="L550" i="72"/>
  <c r="AF478" i="68"/>
  <c r="AF523" i="68" s="1"/>
  <c r="N572" i="72"/>
  <c r="I545" i="72"/>
  <c r="R82" i="68"/>
  <c r="R84" i="68" s="1"/>
  <c r="V565" i="72"/>
  <c r="Q567" i="72"/>
  <c r="AG554" i="72"/>
  <c r="AC569" i="72"/>
  <c r="M255" i="68"/>
  <c r="M292" i="68" s="1"/>
  <c r="S259" i="68"/>
  <c r="S305" i="68" s="1"/>
  <c r="S369" i="68" s="1"/>
  <c r="S433" i="68" s="1"/>
  <c r="U560" i="72"/>
  <c r="N254" i="68"/>
  <c r="N290" i="68" s="1"/>
  <c r="N354" i="68" s="1"/>
  <c r="N418" i="68" s="1"/>
  <c r="AA553" i="72"/>
  <c r="V92" i="68"/>
  <c r="V156" i="68" s="1"/>
  <c r="V220" i="68" s="1"/>
  <c r="R557" i="72"/>
  <c r="S543" i="72"/>
  <c r="AF80" i="68"/>
  <c r="AF144" i="68" s="1"/>
  <c r="AF208" i="68" s="1"/>
  <c r="Z557" i="72"/>
  <c r="AA545" i="72"/>
  <c r="V573" i="72"/>
  <c r="X570" i="72"/>
  <c r="AB568" i="72"/>
  <c r="L575" i="72"/>
  <c r="V548" i="72"/>
  <c r="M549" i="72"/>
  <c r="U80" i="68"/>
  <c r="U144" i="68" s="1"/>
  <c r="U208" i="68" s="1"/>
  <c r="S77" i="68"/>
  <c r="S141" i="68" s="1"/>
  <c r="S205" i="68" s="1"/>
  <c r="AD74" i="68"/>
  <c r="AD138" i="68" s="1"/>
  <c r="AD202" i="68" s="1"/>
  <c r="Z106" i="68"/>
  <c r="Z108" i="68" s="1"/>
  <c r="P97" i="68"/>
  <c r="P161" i="68" s="1"/>
  <c r="AE89" i="68"/>
  <c r="AE153" i="68" s="1"/>
  <c r="AE217" i="68" s="1"/>
  <c r="AD85" i="68"/>
  <c r="AD87" i="68" s="1"/>
  <c r="P110" i="68"/>
  <c r="P174" i="68" s="1"/>
  <c r="P238" i="68" s="1"/>
  <c r="T59" i="68"/>
  <c r="T123" i="68" s="1"/>
  <c r="T187" i="68" s="1"/>
  <c r="AD71" i="68"/>
  <c r="AD135" i="68" s="1"/>
  <c r="AD199" i="68" s="1"/>
  <c r="AE56" i="68"/>
  <c r="AE120" i="68" s="1"/>
  <c r="AE184" i="68" s="1"/>
  <c r="AE73" i="68"/>
  <c r="AE137" i="68" s="1"/>
  <c r="N77" i="68"/>
  <c r="N141" i="68" s="1"/>
  <c r="N205" i="68" s="1"/>
  <c r="AB101" i="68"/>
  <c r="AB102" i="68" s="1"/>
  <c r="AD56" i="68"/>
  <c r="AD57" i="68" s="1"/>
  <c r="AB104" i="68"/>
  <c r="AB168" i="68" s="1"/>
  <c r="AB232" i="68" s="1"/>
  <c r="AG104" i="68"/>
  <c r="AG168" i="68" s="1"/>
  <c r="AG232" i="68" s="1"/>
  <c r="AA77" i="68"/>
  <c r="AA141" i="68" s="1"/>
  <c r="AA205" i="68" s="1"/>
  <c r="X73" i="68"/>
  <c r="X75" i="68" s="1"/>
  <c r="I62" i="68"/>
  <c r="I126" i="68" s="1"/>
  <c r="I190" i="68" s="1"/>
  <c r="O58" i="68"/>
  <c r="O60" i="68" s="1"/>
  <c r="K100" i="68"/>
  <c r="K102" i="68" s="1"/>
  <c r="AE106" i="68"/>
  <c r="AE108" i="68" s="1"/>
  <c r="X109" i="68"/>
  <c r="X111" i="68" s="1"/>
  <c r="U322" i="68"/>
  <c r="U386" i="68" s="1"/>
  <c r="AD58" i="68"/>
  <c r="AD122" i="68" s="1"/>
  <c r="K77" i="68"/>
  <c r="K141" i="68" s="1"/>
  <c r="K205" i="68" s="1"/>
  <c r="L59" i="68"/>
  <c r="L123" i="68" s="1"/>
  <c r="L187" i="68" s="1"/>
  <c r="K559" i="72"/>
  <c r="R473" i="68"/>
  <c r="R509" i="68" s="1"/>
  <c r="R573" i="68" s="1"/>
  <c r="R637" i="68" s="1"/>
  <c r="Q470" i="68"/>
  <c r="Q500" i="68" s="1"/>
  <c r="Q564" i="68" s="1"/>
  <c r="Q628" i="68" s="1"/>
  <c r="AF548" i="72"/>
  <c r="O544" i="72"/>
  <c r="U543" i="72"/>
  <c r="J551" i="72"/>
  <c r="S542" i="72"/>
  <c r="N581" i="72"/>
  <c r="T479" i="68"/>
  <c r="T527" i="68" s="1"/>
  <c r="T591" i="68" s="1"/>
  <c r="T655" i="68" s="1"/>
  <c r="AH101" i="68"/>
  <c r="AH165" i="68" s="1"/>
  <c r="AH229" i="68" s="1"/>
  <c r="U109" i="68"/>
  <c r="U111" i="68" s="1"/>
  <c r="AE571" i="72"/>
  <c r="M578" i="72"/>
  <c r="AF568" i="72"/>
  <c r="Q571" i="72"/>
  <c r="K564" i="72"/>
  <c r="AF554" i="72"/>
  <c r="AB573" i="72"/>
  <c r="R545" i="72"/>
  <c r="U564" i="72"/>
  <c r="O566" i="72"/>
  <c r="AH479" i="68"/>
  <c r="AH527" i="68" s="1"/>
  <c r="AH591" i="68" s="1"/>
  <c r="AH655" i="68" s="1"/>
  <c r="AE554" i="72"/>
  <c r="U555" i="72"/>
  <c r="R88" i="68"/>
  <c r="R90" i="68" s="1"/>
  <c r="AG557" i="72"/>
  <c r="AG579" i="72"/>
  <c r="Z580" i="72"/>
  <c r="M564" i="72"/>
  <c r="V472" i="68"/>
  <c r="V505" i="68" s="1"/>
  <c r="N552" i="72"/>
  <c r="Y560" i="72"/>
  <c r="J249" i="68"/>
  <c r="J275" i="68" s="1"/>
  <c r="J339" i="68" s="1"/>
  <c r="J403" i="68" s="1"/>
  <c r="T582" i="72"/>
  <c r="L555" i="72"/>
  <c r="X553" i="72"/>
  <c r="L557" i="72"/>
  <c r="U582" i="72"/>
  <c r="Y89" i="68"/>
  <c r="Y153" i="68" s="1"/>
  <c r="Y217" i="68" s="1"/>
  <c r="V566" i="72"/>
  <c r="AE572" i="72"/>
  <c r="Y580" i="72"/>
  <c r="X61" i="68"/>
  <c r="X63" i="68" s="1"/>
  <c r="Z71" i="68"/>
  <c r="Z135" i="68" s="1"/>
  <c r="Z199" i="68" s="1"/>
  <c r="Q549" i="72"/>
  <c r="Y545" i="68"/>
  <c r="Y546" i="68" s="1"/>
  <c r="S254" i="68"/>
  <c r="S289" i="68" s="1"/>
  <c r="S547" i="72"/>
  <c r="AG548" i="72"/>
  <c r="T544" i="72"/>
  <c r="R77" i="68"/>
  <c r="R141" i="68" s="1"/>
  <c r="R205" i="68" s="1"/>
  <c r="Q579" i="72"/>
  <c r="Q553" i="72"/>
  <c r="L579" i="72"/>
  <c r="I565" i="72"/>
  <c r="N475" i="68"/>
  <c r="N514" i="68" s="1"/>
  <c r="K565" i="72"/>
  <c r="I77" i="68"/>
  <c r="I141" i="68" s="1"/>
  <c r="I205" i="68" s="1"/>
  <c r="W579" i="72"/>
  <c r="T559" i="72"/>
  <c r="Y570" i="72"/>
  <c r="R575" i="72"/>
  <c r="U61" i="68"/>
  <c r="U125" i="68" s="1"/>
  <c r="AG576" i="72"/>
  <c r="AC564" i="72"/>
  <c r="W578" i="72"/>
  <c r="AD542" i="72"/>
  <c r="AA46" i="68"/>
  <c r="AA103" i="68" s="1"/>
  <c r="K581" i="72"/>
  <c r="P565" i="72"/>
  <c r="I568" i="72"/>
  <c r="V80" i="68"/>
  <c r="V144" i="68" s="1"/>
  <c r="V208" i="68" s="1"/>
  <c r="Z483" i="68"/>
  <c r="Z539" i="68" s="1"/>
  <c r="Z603" i="68" s="1"/>
  <c r="Z667" i="68" s="1"/>
  <c r="W62" i="68"/>
  <c r="W126" i="68" s="1"/>
  <c r="W190" i="68" s="1"/>
  <c r="S565" i="72"/>
  <c r="AB580" i="72"/>
  <c r="R106" i="68"/>
  <c r="R108" i="68" s="1"/>
  <c r="V544" i="72"/>
  <c r="AC548" i="72"/>
  <c r="AD567" i="72"/>
  <c r="V61" i="68"/>
  <c r="V125" i="68" s="1"/>
  <c r="T566" i="72"/>
  <c r="L572" i="72"/>
  <c r="X542" i="72"/>
  <c r="J573" i="72"/>
  <c r="AD553" i="72"/>
  <c r="X547" i="72"/>
  <c r="J581" i="72"/>
  <c r="U578" i="72"/>
  <c r="AC570" i="72"/>
  <c r="L553" i="72"/>
  <c r="W566" i="72"/>
  <c r="O578" i="72"/>
  <c r="U566" i="72"/>
  <c r="U509" i="68"/>
  <c r="U573" i="68" s="1"/>
  <c r="U637" i="68" s="1"/>
  <c r="U508" i="68"/>
  <c r="W122" i="68"/>
  <c r="N74" i="68"/>
  <c r="N138" i="68" s="1"/>
  <c r="N202" i="68" s="1"/>
  <c r="N73" i="68"/>
  <c r="V77" i="68"/>
  <c r="V141" i="68" s="1"/>
  <c r="V205" i="68" s="1"/>
  <c r="V76" i="68"/>
  <c r="W256" i="68"/>
  <c r="V549" i="72"/>
  <c r="I470" i="68"/>
  <c r="H566" i="72"/>
  <c r="W91" i="68"/>
  <c r="W92" i="68"/>
  <c r="W156" i="68" s="1"/>
  <c r="W220" i="68" s="1"/>
  <c r="AA566" i="72"/>
  <c r="AB470" i="68"/>
  <c r="AC497" i="68"/>
  <c r="AC561" i="68" s="1"/>
  <c r="AC625" i="68" s="1"/>
  <c r="AC496" i="68"/>
  <c r="R482" i="68"/>
  <c r="Q578" i="72"/>
  <c r="V219" i="68"/>
  <c r="T275" i="68"/>
  <c r="T339" i="68" s="1"/>
  <c r="T403" i="68" s="1"/>
  <c r="T274" i="68"/>
  <c r="AG169" i="72"/>
  <c r="AG147" i="72"/>
  <c r="K167" i="68"/>
  <c r="U169" i="72"/>
  <c r="U147" i="72"/>
  <c r="K509" i="68"/>
  <c r="K573" i="68" s="1"/>
  <c r="K637" i="68" s="1"/>
  <c r="K508" i="68"/>
  <c r="AB495" i="72"/>
  <c r="AB517" i="72"/>
  <c r="J486" i="68"/>
  <c r="I582" i="72"/>
  <c r="AF109" i="68"/>
  <c r="AF110" i="68"/>
  <c r="AF174" i="68" s="1"/>
  <c r="AF238" i="68" s="1"/>
  <c r="M547" i="68"/>
  <c r="M611" i="68" s="1"/>
  <c r="M548" i="68"/>
  <c r="Z470" i="68"/>
  <c r="Y566" i="72"/>
  <c r="AD253" i="68"/>
  <c r="AC546" i="72"/>
  <c r="Y322" i="72"/>
  <c r="Y344" i="72"/>
  <c r="AE503" i="68"/>
  <c r="AE567" i="68" s="1"/>
  <c r="AE631" i="68" s="1"/>
  <c r="AE502" i="68"/>
  <c r="L249" i="68"/>
  <c r="K542" i="72"/>
  <c r="M109" i="68"/>
  <c r="M110" i="68"/>
  <c r="M174" i="68" s="1"/>
  <c r="M238" i="68" s="1"/>
  <c r="S542" i="68"/>
  <c r="S606" i="68" s="1"/>
  <c r="S670" i="68" s="1"/>
  <c r="S541" i="68"/>
  <c r="H548" i="72"/>
  <c r="I255" i="68"/>
  <c r="O575" i="72"/>
  <c r="P479" i="68"/>
  <c r="K107" i="68"/>
  <c r="K171" i="68" s="1"/>
  <c r="K235" i="68" s="1"/>
  <c r="K106" i="68"/>
  <c r="AE119" i="68"/>
  <c r="AB533" i="68"/>
  <c r="AB597" i="68" s="1"/>
  <c r="AB661" i="68" s="1"/>
  <c r="AB532" i="68"/>
  <c r="M535" i="68"/>
  <c r="M536" i="68"/>
  <c r="M600" i="68" s="1"/>
  <c r="M664" i="68" s="1"/>
  <c r="V146" i="68"/>
  <c r="O572" i="72"/>
  <c r="P476" i="68"/>
  <c r="N104" i="68"/>
  <c r="N168" i="68" s="1"/>
  <c r="N232" i="68" s="1"/>
  <c r="N103" i="68"/>
  <c r="M265" i="68"/>
  <c r="L558" i="72"/>
  <c r="L500" i="68"/>
  <c r="L564" i="68" s="1"/>
  <c r="L628" i="68" s="1"/>
  <c r="L499" i="68"/>
  <c r="X536" i="68"/>
  <c r="X600" i="68" s="1"/>
  <c r="X664" i="68" s="1"/>
  <c r="X535" i="68"/>
  <c r="X254" i="68"/>
  <c r="W547" i="72"/>
  <c r="O169" i="72"/>
  <c r="O147" i="72"/>
  <c r="Q280" i="68"/>
  <c r="Q281" i="68"/>
  <c r="Q345" i="68" s="1"/>
  <c r="Q409" i="68" s="1"/>
  <c r="Y103" i="68"/>
  <c r="Y167" i="68" s="1"/>
  <c r="Y104" i="68"/>
  <c r="AA96" i="68"/>
  <c r="AA158" i="68"/>
  <c r="Q311" i="68"/>
  <c r="Q375" i="68" s="1"/>
  <c r="Q439" i="68" s="1"/>
  <c r="Q310" i="68"/>
  <c r="AA73" i="68"/>
  <c r="AA74" i="68"/>
  <c r="AA138" i="68" s="1"/>
  <c r="AA202" i="68" s="1"/>
  <c r="R149" i="68"/>
  <c r="R140" i="68"/>
  <c r="AG486" i="68"/>
  <c r="AF582" i="72"/>
  <c r="S92" i="68"/>
  <c r="S156" i="68" s="1"/>
  <c r="S220" i="68" s="1"/>
  <c r="S91" i="68"/>
  <c r="AH265" i="68"/>
  <c r="AG558" i="72"/>
  <c r="L250" i="68"/>
  <c r="K543" i="72"/>
  <c r="AD496" i="68"/>
  <c r="AD497" i="68"/>
  <c r="AD561" i="68" s="1"/>
  <c r="AD625" i="68" s="1"/>
  <c r="V107" i="68"/>
  <c r="V171" i="68" s="1"/>
  <c r="V235" i="68" s="1"/>
  <c r="V106" i="68"/>
  <c r="K544" i="68"/>
  <c r="K545" i="68"/>
  <c r="K609" i="68" s="1"/>
  <c r="K673" i="68" s="1"/>
  <c r="V95" i="68"/>
  <c r="V159" i="68" s="1"/>
  <c r="V223" i="68" s="1"/>
  <c r="V94" i="68"/>
  <c r="AC541" i="68"/>
  <c r="AC605" i="68" s="1"/>
  <c r="AC542" i="68"/>
  <c r="R249" i="68"/>
  <c r="Q542" i="72"/>
  <c r="M234" i="68"/>
  <c r="Q109" i="68"/>
  <c r="Q110" i="68"/>
  <c r="Q174" i="68" s="1"/>
  <c r="Q238" i="68" s="1"/>
  <c r="R548" i="68"/>
  <c r="R612" i="68" s="1"/>
  <c r="R676" i="68" s="1"/>
  <c r="R547" i="68"/>
  <c r="P292" i="68"/>
  <c r="P293" i="68"/>
  <c r="P357" i="68" s="1"/>
  <c r="P421" i="68" s="1"/>
  <c r="K320" i="68"/>
  <c r="K384" i="68" s="1"/>
  <c r="K448" i="68" s="1"/>
  <c r="K319" i="68"/>
  <c r="Z517" i="72"/>
  <c r="Z495" i="72"/>
  <c r="AF471" i="68"/>
  <c r="AE567" i="72"/>
  <c r="M496" i="68"/>
  <c r="M497" i="68"/>
  <c r="M561" i="68" s="1"/>
  <c r="M625" i="68" s="1"/>
  <c r="S278" i="68"/>
  <c r="S342" i="68" s="1"/>
  <c r="S406" i="68" s="1"/>
  <c r="S277" i="68"/>
  <c r="AA258" i="68"/>
  <c r="Z551" i="72"/>
  <c r="Q146" i="68"/>
  <c r="M75" i="68"/>
  <c r="M137" i="68"/>
  <c r="AG502" i="68"/>
  <c r="AG503" i="68"/>
  <c r="AG567" i="68" s="1"/>
  <c r="AG631" i="68" s="1"/>
  <c r="Z286" i="68"/>
  <c r="Z287" i="68"/>
  <c r="Z351" i="68" s="1"/>
  <c r="Z415" i="68" s="1"/>
  <c r="AD137" i="68"/>
  <c r="AE125" i="68"/>
  <c r="AD292" i="68"/>
  <c r="AD293" i="68"/>
  <c r="AD357" i="68" s="1"/>
  <c r="AD421" i="68" s="1"/>
  <c r="K58" i="68"/>
  <c r="K59" i="68"/>
  <c r="K123" i="68" s="1"/>
  <c r="K187" i="68" s="1"/>
  <c r="L514" i="68"/>
  <c r="L515" i="68"/>
  <c r="L579" i="68" s="1"/>
  <c r="L643" i="68" s="1"/>
  <c r="K484" i="68"/>
  <c r="J580" i="72"/>
  <c r="AH109" i="68"/>
  <c r="AH110" i="68"/>
  <c r="AH174" i="68" s="1"/>
  <c r="AH238" i="68" s="1"/>
  <c r="S319" i="68"/>
  <c r="S320" i="68"/>
  <c r="S384" i="68" s="1"/>
  <c r="S448" i="68" s="1"/>
  <c r="O329" i="68"/>
  <c r="O393" i="68" s="1"/>
  <c r="O457" i="68" s="1"/>
  <c r="O328" i="68"/>
  <c r="AH536" i="68"/>
  <c r="AH600" i="68" s="1"/>
  <c r="AH664" i="68" s="1"/>
  <c r="AH535" i="68"/>
  <c r="K580" i="72"/>
  <c r="S104" i="68"/>
  <c r="S168" i="68" s="1"/>
  <c r="S232" i="68" s="1"/>
  <c r="S103" i="68"/>
  <c r="AC544" i="68"/>
  <c r="AC545" i="68"/>
  <c r="AC609" i="68" s="1"/>
  <c r="AC673" i="68" s="1"/>
  <c r="L582" i="72"/>
  <c r="AC514" i="68"/>
  <c r="AC515" i="68"/>
  <c r="AC579" i="68" s="1"/>
  <c r="AC643" i="68" s="1"/>
  <c r="X494" i="68"/>
  <c r="X558" i="68" s="1"/>
  <c r="X622" i="68" s="1"/>
  <c r="X493" i="68"/>
  <c r="T538" i="68"/>
  <c r="T602" i="68" s="1"/>
  <c r="T539" i="68"/>
  <c r="M316" i="68"/>
  <c r="M380" i="68" s="1"/>
  <c r="M317" i="68"/>
  <c r="AG252" i="68"/>
  <c r="AF545" i="72"/>
  <c r="T508" i="68"/>
  <c r="T509" i="68"/>
  <c r="T573" i="68" s="1"/>
  <c r="T637" i="68" s="1"/>
  <c r="AG500" i="68"/>
  <c r="AG564" i="68" s="1"/>
  <c r="AG628" i="68" s="1"/>
  <c r="AG499" i="68"/>
  <c r="O260" i="68"/>
  <c r="N553" i="72"/>
  <c r="AE290" i="68"/>
  <c r="AE354" i="68" s="1"/>
  <c r="AE418" i="68" s="1"/>
  <c r="AE289" i="68"/>
  <c r="U143" i="68"/>
  <c r="W277" i="68"/>
  <c r="W278" i="68"/>
  <c r="W342" i="68" s="1"/>
  <c r="W406" i="68" s="1"/>
  <c r="R68" i="68"/>
  <c r="R132" i="68" s="1"/>
  <c r="R196" i="68" s="1"/>
  <c r="R67" i="68"/>
  <c r="AG565" i="72"/>
  <c r="AH469" i="68"/>
  <c r="Y293" i="68"/>
  <c r="Y357" i="68" s="1"/>
  <c r="Y421" i="68" s="1"/>
  <c r="Y292" i="68"/>
  <c r="V58" i="68"/>
  <c r="V59" i="68"/>
  <c r="V123" i="68" s="1"/>
  <c r="V187" i="68" s="1"/>
  <c r="AB81" i="68"/>
  <c r="X256" i="68"/>
  <c r="W549" i="72"/>
  <c r="N571" i="72"/>
  <c r="O475" i="68"/>
  <c r="W542" i="72"/>
  <c r="X30" i="68"/>
  <c r="Z266" i="68"/>
  <c r="Y559" i="72"/>
  <c r="X539" i="68"/>
  <c r="X603" i="68" s="1"/>
  <c r="X667" i="68" s="1"/>
  <c r="X538" i="68"/>
  <c r="T480" i="68"/>
  <c r="S576" i="72"/>
  <c r="U326" i="68"/>
  <c r="U390" i="68" s="1"/>
  <c r="U454" i="68" s="1"/>
  <c r="U325" i="68"/>
  <c r="Q107" i="68"/>
  <c r="Q171" i="68" s="1"/>
  <c r="Q235" i="68" s="1"/>
  <c r="Q106" i="68"/>
  <c r="V314" i="68"/>
  <c r="V378" i="68" s="1"/>
  <c r="V442" i="68" s="1"/>
  <c r="V313" i="68"/>
  <c r="W104" i="68"/>
  <c r="W168" i="68" s="1"/>
  <c r="W232" i="68" s="1"/>
  <c r="W103" i="68"/>
  <c r="P508" i="68"/>
  <c r="P509" i="68"/>
  <c r="P573" i="68" s="1"/>
  <c r="P637" i="68" s="1"/>
  <c r="AB567" i="72"/>
  <c r="K578" i="72"/>
  <c r="AB474" i="68"/>
  <c r="AA570" i="72"/>
  <c r="AC322" i="72"/>
  <c r="AC344" i="72"/>
  <c r="N58" i="68"/>
  <c r="N59" i="68"/>
  <c r="N123" i="68" s="1"/>
  <c r="N187" i="68" s="1"/>
  <c r="X473" i="68"/>
  <c r="W569" i="72"/>
  <c r="K497" i="68"/>
  <c r="K561" i="68" s="1"/>
  <c r="K625" i="68" s="1"/>
  <c r="K496" i="68"/>
  <c r="T301" i="68"/>
  <c r="T302" i="68"/>
  <c r="T366" i="68" s="1"/>
  <c r="T430" i="68" s="1"/>
  <c r="U344" i="72"/>
  <c r="U322" i="72"/>
  <c r="Z548" i="72"/>
  <c r="I147" i="72"/>
  <c r="I169" i="72"/>
  <c r="U140" i="68"/>
  <c r="P514" i="68"/>
  <c r="P515" i="68"/>
  <c r="P579" i="68" s="1"/>
  <c r="P643" i="68" s="1"/>
  <c r="X554" i="72"/>
  <c r="AD480" i="68"/>
  <c r="AC576" i="72"/>
  <c r="W311" i="68"/>
  <c r="W375" i="68" s="1"/>
  <c r="W439" i="68" s="1"/>
  <c r="W310" i="68"/>
  <c r="R110" i="68"/>
  <c r="R174" i="68" s="1"/>
  <c r="R238" i="68" s="1"/>
  <c r="R109" i="68"/>
  <c r="O264" i="68"/>
  <c r="N557" i="72"/>
  <c r="Z536" i="68"/>
  <c r="Z600" i="68" s="1"/>
  <c r="Z664" i="68" s="1"/>
  <c r="Z535" i="68"/>
  <c r="AE264" i="68"/>
  <c r="AD557" i="72"/>
  <c r="AC169" i="72"/>
  <c r="AC147" i="72"/>
  <c r="AD493" i="68"/>
  <c r="AD494" i="68"/>
  <c r="AD558" i="68" s="1"/>
  <c r="AD622" i="68" s="1"/>
  <c r="K546" i="72"/>
  <c r="O568" i="72"/>
  <c r="AF495" i="72"/>
  <c r="AF517" i="72"/>
  <c r="T568" i="72"/>
  <c r="N478" i="68"/>
  <c r="M574" i="72"/>
  <c r="R502" i="68"/>
  <c r="R503" i="68"/>
  <c r="R567" i="68" s="1"/>
  <c r="R631" i="68" s="1"/>
  <c r="M307" i="68"/>
  <c r="M308" i="68"/>
  <c r="M372" i="68" s="1"/>
  <c r="M436" i="68" s="1"/>
  <c r="X500" i="68"/>
  <c r="X564" i="68" s="1"/>
  <c r="X628" i="68" s="1"/>
  <c r="X499" i="68"/>
  <c r="AH72" i="68"/>
  <c r="AH134" i="68"/>
  <c r="V149" i="68"/>
  <c r="M71" i="68"/>
  <c r="M135" i="68" s="1"/>
  <c r="M199" i="68" s="1"/>
  <c r="M70" i="68"/>
  <c r="AG256" i="68"/>
  <c r="AF549" i="72"/>
  <c r="AC257" i="68"/>
  <c r="AB550" i="72"/>
  <c r="AB485" i="68"/>
  <c r="AA581" i="72"/>
  <c r="AA170" i="68"/>
  <c r="AB110" i="68"/>
  <c r="AB174" i="68" s="1"/>
  <c r="AB238" i="68" s="1"/>
  <c r="AB109" i="68"/>
  <c r="M101" i="68"/>
  <c r="M165" i="68" s="1"/>
  <c r="M229" i="68" s="1"/>
  <c r="M100" i="68"/>
  <c r="Y275" i="68"/>
  <c r="Y339" i="68" s="1"/>
  <c r="Y403" i="68" s="1"/>
  <c r="Y274" i="68"/>
  <c r="O482" i="68"/>
  <c r="N578" i="72"/>
  <c r="I580" i="72"/>
  <c r="AG310" i="68"/>
  <c r="AG374" i="68" s="1"/>
  <c r="AG311" i="68"/>
  <c r="O316" i="68"/>
  <c r="O317" i="68"/>
  <c r="O381" i="68" s="1"/>
  <c r="O445" i="68" s="1"/>
  <c r="J554" i="72"/>
  <c r="Z310" i="68"/>
  <c r="Z311" i="68"/>
  <c r="Z375" i="68" s="1"/>
  <c r="Z439" i="68" s="1"/>
  <c r="Z554" i="72"/>
  <c r="Y672" i="68"/>
  <c r="AF278" i="68"/>
  <c r="AF342" i="68" s="1"/>
  <c r="AF406" i="68" s="1"/>
  <c r="AF277" i="68"/>
  <c r="AE275" i="68"/>
  <c r="AE339" i="68" s="1"/>
  <c r="AE403" i="68" s="1"/>
  <c r="AE274" i="68"/>
  <c r="AB264" i="68"/>
  <c r="AA557" i="72"/>
  <c r="X261" i="68"/>
  <c r="W554" i="72"/>
  <c r="Z574" i="72"/>
  <c r="AA478" i="68"/>
  <c r="T81" i="68"/>
  <c r="T143" i="68"/>
  <c r="AF579" i="72"/>
  <c r="AG483" i="68"/>
  <c r="Y320" i="68"/>
  <c r="Y384" i="68" s="1"/>
  <c r="Y448" i="68" s="1"/>
  <c r="Y319" i="68"/>
  <c r="U307" i="68"/>
  <c r="U308" i="68"/>
  <c r="U372" i="68" s="1"/>
  <c r="U436" i="68" s="1"/>
  <c r="Q72" i="68"/>
  <c r="Q134" i="68"/>
  <c r="AE253" i="68"/>
  <c r="AD546" i="72"/>
  <c r="R329" i="68"/>
  <c r="R393" i="68" s="1"/>
  <c r="R457" i="68" s="1"/>
  <c r="R328" i="68"/>
  <c r="I305" i="68"/>
  <c r="I369" i="68" s="1"/>
  <c r="I433" i="68" s="1"/>
  <c r="I304" i="68"/>
  <c r="Q474" i="68"/>
  <c r="P570" i="72"/>
  <c r="AA70" i="68"/>
  <c r="AA71" i="68"/>
  <c r="AA135" i="68" s="1"/>
  <c r="AA199" i="68" s="1"/>
  <c r="AC75" i="68"/>
  <c r="AC137" i="68"/>
  <c r="V169" i="72"/>
  <c r="V147" i="72"/>
  <c r="AH76" i="68"/>
  <c r="AH77" i="68"/>
  <c r="AH141" i="68" s="1"/>
  <c r="AH205" i="68" s="1"/>
  <c r="AD257" i="68"/>
  <c r="AC550" i="72"/>
  <c r="P262" i="68"/>
  <c r="O555" i="72"/>
  <c r="AG484" i="68"/>
  <c r="AF580" i="72"/>
  <c r="W72" i="68"/>
  <c r="W134" i="68"/>
  <c r="AB529" i="68"/>
  <c r="AB530" i="68"/>
  <c r="AB594" i="68" s="1"/>
  <c r="AB658" i="68" s="1"/>
  <c r="R470" i="68"/>
  <c r="Q566" i="72"/>
  <c r="I511" i="68"/>
  <c r="I512" i="68"/>
  <c r="I576" i="68" s="1"/>
  <c r="I640" i="68" s="1"/>
  <c r="O64" i="68"/>
  <c r="O65" i="68"/>
  <c r="O129" i="68" s="1"/>
  <c r="O193" i="68" s="1"/>
  <c r="Y61" i="68"/>
  <c r="Y62" i="68"/>
  <c r="Y126" i="68" s="1"/>
  <c r="Y190" i="68" s="1"/>
  <c r="W137" i="68"/>
  <c r="AD323" i="68"/>
  <c r="AD387" i="68" s="1"/>
  <c r="AD451" i="68" s="1"/>
  <c r="AD322" i="68"/>
  <c r="AD183" i="68"/>
  <c r="AC317" i="68"/>
  <c r="AC381" i="68" s="1"/>
  <c r="AC445" i="68" s="1"/>
  <c r="AC316" i="68"/>
  <c r="I325" i="68"/>
  <c r="I326" i="68"/>
  <c r="I390" i="68" s="1"/>
  <c r="I454" i="68" s="1"/>
  <c r="I548" i="72"/>
  <c r="J255" i="68"/>
  <c r="J86" i="68"/>
  <c r="J150" i="68" s="1"/>
  <c r="J214" i="68" s="1"/>
  <c r="J85" i="68"/>
  <c r="S344" i="72"/>
  <c r="S322" i="72"/>
  <c r="V475" i="68"/>
  <c r="U571" i="72"/>
  <c r="T481" i="68"/>
  <c r="S577" i="72"/>
  <c r="W328" i="68"/>
  <c r="W392" i="68" s="1"/>
  <c r="W329" i="68"/>
  <c r="AC521" i="68"/>
  <c r="AC585" i="68" s="1"/>
  <c r="AC649" i="68" s="1"/>
  <c r="AC520" i="68"/>
  <c r="AE85" i="68"/>
  <c r="AE86" i="68"/>
  <c r="AE150" i="68" s="1"/>
  <c r="AE214" i="68" s="1"/>
  <c r="M84" i="68"/>
  <c r="M146" i="68"/>
  <c r="AH475" i="68"/>
  <c r="AG571" i="72"/>
  <c r="T97" i="68"/>
  <c r="T161" i="68" s="1"/>
  <c r="T98" i="68"/>
  <c r="I314" i="68"/>
  <c r="I378" i="68" s="1"/>
  <c r="I442" i="68" s="1"/>
  <c r="I313" i="68"/>
  <c r="AF527" i="68"/>
  <c r="AF591" i="68" s="1"/>
  <c r="AF655" i="68" s="1"/>
  <c r="AF526" i="68"/>
  <c r="O518" i="68"/>
  <c r="O582" i="68" s="1"/>
  <c r="O646" i="68" s="1"/>
  <c r="O517" i="68"/>
  <c r="N476" i="68"/>
  <c r="M572" i="72"/>
  <c r="AF266" i="68"/>
  <c r="AE559" i="72"/>
  <c r="N107" i="68"/>
  <c r="N171" i="68" s="1"/>
  <c r="N235" i="68" s="1"/>
  <c r="N106" i="68"/>
  <c r="R299" i="68"/>
  <c r="R363" i="68" s="1"/>
  <c r="R427" i="68" s="1"/>
  <c r="R298" i="68"/>
  <c r="AA472" i="68"/>
  <c r="Z568" i="72"/>
  <c r="AE277" i="68"/>
  <c r="AE278" i="68"/>
  <c r="AE342" i="68" s="1"/>
  <c r="AE406" i="68" s="1"/>
  <c r="K302" i="68"/>
  <c r="K366" i="68" s="1"/>
  <c r="K430" i="68" s="1"/>
  <c r="K301" i="68"/>
  <c r="Z76" i="68"/>
  <c r="Z77" i="68"/>
  <c r="Z141" i="68" s="1"/>
  <c r="Z205" i="68" s="1"/>
  <c r="AA476" i="68"/>
  <c r="Z572" i="72"/>
  <c r="J263" i="68"/>
  <c r="I556" i="72"/>
  <c r="Z91" i="68"/>
  <c r="Z92" i="68"/>
  <c r="Z156" i="68" s="1"/>
  <c r="Z220" i="68" s="1"/>
  <c r="I317" i="68"/>
  <c r="I381" i="68" s="1"/>
  <c r="I445" i="68" s="1"/>
  <c r="I316" i="68"/>
  <c r="AG173" i="68"/>
  <c r="AD249" i="68"/>
  <c r="AC542" i="72"/>
  <c r="L541" i="68"/>
  <c r="L542" i="68"/>
  <c r="L606" i="68" s="1"/>
  <c r="L670" i="68" s="1"/>
  <c r="W326" i="68"/>
  <c r="W390" i="68" s="1"/>
  <c r="W454" i="68" s="1"/>
  <c r="W325" i="68"/>
  <c r="N322" i="68"/>
  <c r="N323" i="68"/>
  <c r="N387" i="68" s="1"/>
  <c r="N451" i="68" s="1"/>
  <c r="I576" i="72"/>
  <c r="J480" i="68"/>
  <c r="O286" i="68"/>
  <c r="O287" i="68"/>
  <c r="O351" i="68" s="1"/>
  <c r="O415" i="68" s="1"/>
  <c r="T122" i="68"/>
  <c r="T474" i="68"/>
  <c r="S570" i="72"/>
  <c r="AA85" i="68"/>
  <c r="AA86" i="68"/>
  <c r="AA150" i="68" s="1"/>
  <c r="AA214" i="68" s="1"/>
  <c r="J254" i="68"/>
  <c r="I547" i="72"/>
  <c r="AC85" i="68"/>
  <c r="AC86" i="68"/>
  <c r="AC150" i="68" s="1"/>
  <c r="AC214" i="68" s="1"/>
  <c r="K570" i="72"/>
  <c r="Q497" i="68"/>
  <c r="Q561" i="68" s="1"/>
  <c r="Q625" i="68" s="1"/>
  <c r="Q496" i="68"/>
  <c r="I574" i="72"/>
  <c r="U290" i="68"/>
  <c r="U354" i="68" s="1"/>
  <c r="U418" i="68" s="1"/>
  <c r="U289" i="68"/>
  <c r="AE546" i="72"/>
  <c r="AE478" i="68"/>
  <c r="AD574" i="72"/>
  <c r="I66" i="68"/>
  <c r="I128" i="68"/>
  <c r="K67" i="68"/>
  <c r="K68" i="68"/>
  <c r="K132" i="68" s="1"/>
  <c r="K196" i="68" s="1"/>
  <c r="T287" i="68"/>
  <c r="T351" i="68" s="1"/>
  <c r="T415" i="68" s="1"/>
  <c r="T286" i="68"/>
  <c r="U512" i="68"/>
  <c r="U576" i="68" s="1"/>
  <c r="U640" i="68" s="1"/>
  <c r="U511" i="68"/>
  <c r="W77" i="68"/>
  <c r="W141" i="68" s="1"/>
  <c r="W205" i="68" s="1"/>
  <c r="W76" i="68"/>
  <c r="T476" i="68"/>
  <c r="S572" i="72"/>
  <c r="K514" i="68"/>
  <c r="K515" i="68"/>
  <c r="K579" i="68" s="1"/>
  <c r="K643" i="68" s="1"/>
  <c r="S482" i="68"/>
  <c r="R578" i="72"/>
  <c r="AE484" i="68"/>
  <c r="AD580" i="72"/>
  <c r="K265" i="68"/>
  <c r="J558" i="72"/>
  <c r="AD564" i="72"/>
  <c r="AE468" i="68"/>
  <c r="AH486" i="68"/>
  <c r="AG582" i="72"/>
  <c r="N266" i="68"/>
  <c r="M559" i="72"/>
  <c r="V100" i="68"/>
  <c r="V164" i="68" s="1"/>
  <c r="V101" i="68"/>
  <c r="N94" i="68"/>
  <c r="N158" i="68" s="1"/>
  <c r="N95" i="68"/>
  <c r="W102" i="68"/>
  <c r="W164" i="68"/>
  <c r="AA316" i="68"/>
  <c r="AA317" i="68"/>
  <c r="AA381" i="68" s="1"/>
  <c r="AA445" i="68" s="1"/>
  <c r="P328" i="68"/>
  <c r="P392" i="68" s="1"/>
  <c r="P329" i="68"/>
  <c r="I506" i="68"/>
  <c r="I570" i="68" s="1"/>
  <c r="I634" i="68" s="1"/>
  <c r="I505" i="68"/>
  <c r="AF508" i="68"/>
  <c r="AF509" i="68"/>
  <c r="AF573" i="68" s="1"/>
  <c r="AF637" i="68" s="1"/>
  <c r="K503" i="68"/>
  <c r="K567" i="68" s="1"/>
  <c r="K631" i="68" s="1"/>
  <c r="K502" i="68"/>
  <c r="U497" i="68"/>
  <c r="U561" i="68" s="1"/>
  <c r="U625" i="68" s="1"/>
  <c r="U496" i="68"/>
  <c r="J568" i="72"/>
  <c r="J553" i="72"/>
  <c r="K260" i="68"/>
  <c r="AD543" i="72"/>
  <c r="O290" i="68"/>
  <c r="O354" i="68" s="1"/>
  <c r="O418" i="68" s="1"/>
  <c r="O289" i="68"/>
  <c r="R307" i="68"/>
  <c r="R308" i="68"/>
  <c r="R372" i="68" s="1"/>
  <c r="R436" i="68" s="1"/>
  <c r="AB146" i="68"/>
  <c r="P66" i="68"/>
  <c r="P128" i="68"/>
  <c r="R169" i="72"/>
  <c r="R147" i="72"/>
  <c r="H169" i="72"/>
  <c r="H147" i="72"/>
  <c r="X90" i="68"/>
  <c r="X152" i="68"/>
  <c r="W85" i="68"/>
  <c r="W86" i="68"/>
  <c r="W150" i="68" s="1"/>
  <c r="W214" i="68" s="1"/>
  <c r="K140" i="68"/>
  <c r="U475" i="68"/>
  <c r="T571" i="72"/>
  <c r="T560" i="72"/>
  <c r="U267" i="68"/>
  <c r="P468" i="68"/>
  <c r="O564" i="72"/>
  <c r="X266" i="68"/>
  <c r="W559" i="72"/>
  <c r="Y532" i="68"/>
  <c r="Y596" i="68" s="1"/>
  <c r="Y533" i="68"/>
  <c r="AH481" i="68"/>
  <c r="AG577" i="72"/>
  <c r="J328" i="68"/>
  <c r="J392" i="68" s="1"/>
  <c r="J329" i="68"/>
  <c r="AB323" i="68"/>
  <c r="AB387" i="68" s="1"/>
  <c r="AB451" i="68" s="1"/>
  <c r="AB322" i="68"/>
  <c r="AA55" i="68"/>
  <c r="AA56" i="68"/>
  <c r="AA120" i="68" s="1"/>
  <c r="AA184" i="68" s="1"/>
  <c r="U559" i="72"/>
  <c r="Z111" i="68"/>
  <c r="Z173" i="68"/>
  <c r="AE517" i="72"/>
  <c r="AE495" i="72"/>
  <c r="P477" i="68"/>
  <c r="O573" i="72"/>
  <c r="S88" i="68"/>
  <c r="S89" i="68"/>
  <c r="S153" i="68" s="1"/>
  <c r="S217" i="68" s="1"/>
  <c r="AH474" i="68"/>
  <c r="AG570" i="72"/>
  <c r="X521" i="68"/>
  <c r="X585" i="68" s="1"/>
  <c r="X649" i="68" s="1"/>
  <c r="X520" i="68"/>
  <c r="L565" i="72"/>
  <c r="W505" i="68"/>
  <c r="W506" i="68"/>
  <c r="W570" i="68" s="1"/>
  <c r="W634" i="68" s="1"/>
  <c r="AE302" i="68"/>
  <c r="AE366" i="68" s="1"/>
  <c r="AE430" i="68" s="1"/>
  <c r="AE301" i="68"/>
  <c r="R302" i="68"/>
  <c r="R366" i="68" s="1"/>
  <c r="R430" i="68" s="1"/>
  <c r="R301" i="68"/>
  <c r="AB545" i="72"/>
  <c r="R59" i="68"/>
  <c r="R123" i="68" s="1"/>
  <c r="R187" i="68" s="1"/>
  <c r="R58" i="68"/>
  <c r="Q292" i="68"/>
  <c r="Q293" i="68"/>
  <c r="Q357" i="68" s="1"/>
  <c r="Q421" i="68" s="1"/>
  <c r="AF305" i="68"/>
  <c r="AF369" i="68" s="1"/>
  <c r="AF433" i="68" s="1"/>
  <c r="AF304" i="68"/>
  <c r="M259" i="68"/>
  <c r="L552" i="72"/>
  <c r="T545" i="72"/>
  <c r="J67" i="68"/>
  <c r="J68" i="68"/>
  <c r="J132" i="68" s="1"/>
  <c r="J196" i="68" s="1"/>
  <c r="AH61" i="68"/>
  <c r="AH62" i="68"/>
  <c r="AH126" i="68" s="1"/>
  <c r="AH190" i="68" s="1"/>
  <c r="AH256" i="68"/>
  <c r="AG549" i="72"/>
  <c r="AH518" i="68"/>
  <c r="AH582" i="68" s="1"/>
  <c r="AH646" i="68" s="1"/>
  <c r="AH517" i="68"/>
  <c r="AG532" i="68"/>
  <c r="AG596" i="68" s="1"/>
  <c r="AG533" i="68"/>
  <c r="O323" i="68"/>
  <c r="O387" i="68" s="1"/>
  <c r="O451" i="68" s="1"/>
  <c r="O322" i="68"/>
  <c r="J250" i="68"/>
  <c r="I543" i="72"/>
  <c r="M85" i="68"/>
  <c r="M86" i="68"/>
  <c r="M150" i="68" s="1"/>
  <c r="M214" i="68" s="1"/>
  <c r="S508" i="68"/>
  <c r="S509" i="68"/>
  <c r="S573" i="68" s="1"/>
  <c r="S637" i="68" s="1"/>
  <c r="L544" i="72"/>
  <c r="L574" i="72"/>
  <c r="J546" i="72"/>
  <c r="AE506" i="68"/>
  <c r="AE570" i="68" s="1"/>
  <c r="AE634" i="68" s="1"/>
  <c r="AE505" i="68"/>
  <c r="X495" i="72"/>
  <c r="X517" i="72"/>
  <c r="Z552" i="72"/>
  <c r="AA259" i="68"/>
  <c r="AG137" i="68"/>
  <c r="L476" i="68"/>
  <c r="K572" i="72"/>
  <c r="S518" i="68"/>
  <c r="S582" i="68" s="1"/>
  <c r="S646" i="68" s="1"/>
  <c r="S517" i="68"/>
  <c r="S557" i="72"/>
  <c r="T264" i="68"/>
  <c r="V274" i="68"/>
  <c r="V275" i="68"/>
  <c r="V339" i="68" s="1"/>
  <c r="V403" i="68" s="1"/>
  <c r="X481" i="68"/>
  <c r="W577" i="72"/>
  <c r="O484" i="68"/>
  <c r="N580" i="72"/>
  <c r="AF541" i="68"/>
  <c r="AF605" i="68" s="1"/>
  <c r="AF542" i="68"/>
  <c r="AB94" i="68"/>
  <c r="AB95" i="68"/>
  <c r="AB159" i="68" s="1"/>
  <c r="AB223" i="68" s="1"/>
  <c r="AD538" i="68"/>
  <c r="AD602" i="68" s="1"/>
  <c r="AD539" i="68"/>
  <c r="AB106" i="68"/>
  <c r="AB107" i="68"/>
  <c r="AB171" i="68" s="1"/>
  <c r="AB235" i="68" s="1"/>
  <c r="V548" i="68"/>
  <c r="V612" i="68" s="1"/>
  <c r="V676" i="68" s="1"/>
  <c r="V547" i="68"/>
  <c r="K582" i="72"/>
  <c r="L486" i="68"/>
  <c r="J91" i="68"/>
  <c r="J155" i="68" s="1"/>
  <c r="J92" i="68"/>
  <c r="N280" i="68"/>
  <c r="N281" i="68"/>
  <c r="N345" i="68" s="1"/>
  <c r="N409" i="68" s="1"/>
  <c r="T322" i="72"/>
  <c r="T344" i="72"/>
  <c r="V344" i="72"/>
  <c r="V322" i="72"/>
  <c r="L536" i="68"/>
  <c r="L600" i="68" s="1"/>
  <c r="L664" i="68" s="1"/>
  <c r="L535" i="68"/>
  <c r="L325" i="68"/>
  <c r="L389" i="68" s="1"/>
  <c r="L326" i="68"/>
  <c r="K251" i="68"/>
  <c r="J544" i="72"/>
  <c r="K255" i="68"/>
  <c r="J548" i="72"/>
  <c r="AG526" i="68"/>
  <c r="AG527" i="68"/>
  <c r="AG591" i="68" s="1"/>
  <c r="AG655" i="68" s="1"/>
  <c r="Q495" i="72"/>
  <c r="Q517" i="72"/>
  <c r="K254" i="68"/>
  <c r="J547" i="72"/>
  <c r="J565" i="72"/>
  <c r="W500" i="68"/>
  <c r="W564" i="68" s="1"/>
  <c r="W628" i="68" s="1"/>
  <c r="W499" i="68"/>
  <c r="M505" i="68"/>
  <c r="M506" i="68"/>
  <c r="M570" i="68" s="1"/>
  <c r="M634" i="68" s="1"/>
  <c r="P546" i="72"/>
  <c r="R546" i="72"/>
  <c r="O553" i="72"/>
  <c r="P61" i="68"/>
  <c r="P62" i="68"/>
  <c r="P126" i="68" s="1"/>
  <c r="P190" i="68" s="1"/>
  <c r="AA293" i="68"/>
  <c r="AA357" i="68" s="1"/>
  <c r="AA421" i="68" s="1"/>
  <c r="AA292" i="68"/>
  <c r="Y280" i="68"/>
  <c r="Y281" i="68"/>
  <c r="Y345" i="68" s="1"/>
  <c r="Y409" i="68" s="1"/>
  <c r="V69" i="68"/>
  <c r="V131" i="68"/>
  <c r="AH84" i="68"/>
  <c r="AH146" i="68"/>
  <c r="AG475" i="68"/>
  <c r="AF571" i="72"/>
  <c r="P296" i="68"/>
  <c r="P360" i="68" s="1"/>
  <c r="P424" i="68" s="1"/>
  <c r="P295" i="68"/>
  <c r="J55" i="68"/>
  <c r="J56" i="68"/>
  <c r="J120" i="68" s="1"/>
  <c r="J184" i="68" s="1"/>
  <c r="V535" i="68"/>
  <c r="V599" i="68" s="1"/>
  <c r="V536" i="68"/>
  <c r="Y310" i="68"/>
  <c r="Y311" i="68"/>
  <c r="Y375" i="68" s="1"/>
  <c r="Y439" i="68" s="1"/>
  <c r="N539" i="68"/>
  <c r="N603" i="68" s="1"/>
  <c r="N667" i="68" s="1"/>
  <c r="N538" i="68"/>
  <c r="J265" i="68"/>
  <c r="I558" i="72"/>
  <c r="N249" i="68"/>
  <c r="M542" i="72"/>
  <c r="AF486" i="68"/>
  <c r="AE582" i="72"/>
  <c r="M580" i="72"/>
  <c r="V109" i="68"/>
  <c r="V110" i="68"/>
  <c r="V174" i="68" s="1"/>
  <c r="V238" i="68" s="1"/>
  <c r="AC529" i="68"/>
  <c r="AC530" i="68"/>
  <c r="AC594" i="68" s="1"/>
  <c r="AC658" i="68" s="1"/>
  <c r="AC98" i="68"/>
  <c r="AC162" i="68" s="1"/>
  <c r="AC226" i="68" s="1"/>
  <c r="AC97" i="68"/>
  <c r="S485" i="68"/>
  <c r="R581" i="72"/>
  <c r="AH529" i="68"/>
  <c r="AH593" i="68" s="1"/>
  <c r="AH530" i="68"/>
  <c r="AF293" i="68"/>
  <c r="AF357" i="68" s="1"/>
  <c r="AF421" i="68" s="1"/>
  <c r="AF292" i="68"/>
  <c r="M325" i="68"/>
  <c r="M389" i="68" s="1"/>
  <c r="M326" i="68"/>
  <c r="M546" i="72"/>
  <c r="N253" i="68"/>
  <c r="L287" i="68"/>
  <c r="L351" i="68" s="1"/>
  <c r="L415" i="68" s="1"/>
  <c r="L286" i="68"/>
  <c r="Y565" i="72"/>
  <c r="P505" i="68"/>
  <c r="P506" i="68"/>
  <c r="P570" i="68" s="1"/>
  <c r="P634" i="68" s="1"/>
  <c r="I569" i="72"/>
  <c r="J473" i="68"/>
  <c r="U505" i="68"/>
  <c r="U506" i="68"/>
  <c r="U570" i="68" s="1"/>
  <c r="U634" i="68" s="1"/>
  <c r="P305" i="68"/>
  <c r="P369" i="68" s="1"/>
  <c r="P433" i="68" s="1"/>
  <c r="P304" i="68"/>
  <c r="R252" i="68"/>
  <c r="Q545" i="72"/>
  <c r="AA169" i="72"/>
  <c r="AA147" i="72"/>
  <c r="I308" i="68"/>
  <c r="I372" i="68" s="1"/>
  <c r="I436" i="68" s="1"/>
  <c r="I307" i="68"/>
  <c r="AH131" i="68"/>
  <c r="AF284" i="68"/>
  <c r="AF348" i="68" s="1"/>
  <c r="AF412" i="68" s="1"/>
  <c r="AF283" i="68"/>
  <c r="S137" i="68"/>
  <c r="AF77" i="68"/>
  <c r="AF141" i="68" s="1"/>
  <c r="AF205" i="68" s="1"/>
  <c r="AF76" i="68"/>
  <c r="AA256" i="68"/>
  <c r="Z549" i="72"/>
  <c r="V298" i="68"/>
  <c r="V299" i="68"/>
  <c r="V363" i="68" s="1"/>
  <c r="V427" i="68" s="1"/>
  <c r="Y468" i="68"/>
  <c r="X564" i="72"/>
  <c r="AE579" i="72"/>
  <c r="AA582" i="72"/>
  <c r="N554" i="72"/>
  <c r="AE483" i="68"/>
  <c r="AD579" i="72"/>
  <c r="U106" i="68"/>
  <c r="U107" i="68"/>
  <c r="U171" i="68" s="1"/>
  <c r="U235" i="68" s="1"/>
  <c r="M555" i="72"/>
  <c r="N262" i="68"/>
  <c r="K95" i="68"/>
  <c r="K159" i="68" s="1"/>
  <c r="K223" i="68" s="1"/>
  <c r="K94" i="68"/>
  <c r="AE267" i="68"/>
  <c r="AD560" i="72"/>
  <c r="W485" i="68"/>
  <c r="V581" i="72"/>
  <c r="K310" i="68"/>
  <c r="K374" i="68" s="1"/>
  <c r="K311" i="68"/>
  <c r="Y554" i="72"/>
  <c r="AA267" i="68"/>
  <c r="Z560" i="72"/>
  <c r="AA310" i="68"/>
  <c r="AA311" i="68"/>
  <c r="AA375" i="68" s="1"/>
  <c r="AA439" i="68" s="1"/>
  <c r="M57" i="68"/>
  <c r="M119" i="68"/>
  <c r="L545" i="72"/>
  <c r="AD509" i="68"/>
  <c r="AD573" i="68" s="1"/>
  <c r="AD637" i="68" s="1"/>
  <c r="AD508" i="68"/>
  <c r="Y143" i="68"/>
  <c r="W90" i="68"/>
  <c r="W152" i="68"/>
  <c r="N299" i="68"/>
  <c r="N363" i="68" s="1"/>
  <c r="N427" i="68" s="1"/>
  <c r="N298" i="68"/>
  <c r="P579" i="72"/>
  <c r="U575" i="72"/>
  <c r="V479" i="68"/>
  <c r="I267" i="68"/>
  <c r="H560" i="72"/>
  <c r="N264" i="68"/>
  <c r="M557" i="72"/>
  <c r="AG544" i="68"/>
  <c r="AG545" i="68"/>
  <c r="AG609" i="68" s="1"/>
  <c r="AG673" i="68" s="1"/>
  <c r="AA565" i="72"/>
  <c r="AB469" i="68"/>
  <c r="AH503" i="68"/>
  <c r="AH567" i="68" s="1"/>
  <c r="AH631" i="68" s="1"/>
  <c r="AH502" i="68"/>
  <c r="Q104" i="68"/>
  <c r="Q168" i="68" s="1"/>
  <c r="Q232" i="68" s="1"/>
  <c r="Q103" i="68"/>
  <c r="O98" i="68"/>
  <c r="O162" i="68" s="1"/>
  <c r="O226" i="68" s="1"/>
  <c r="O97" i="68"/>
  <c r="O73" i="68"/>
  <c r="O74" i="68"/>
  <c r="O138" i="68" s="1"/>
  <c r="O202" i="68" s="1"/>
  <c r="Y305" i="68"/>
  <c r="Y369" i="68" s="1"/>
  <c r="Y433" i="68" s="1"/>
  <c r="Y304" i="68"/>
  <c r="U67" i="68"/>
  <c r="U68" i="68"/>
  <c r="U132" i="68" s="1"/>
  <c r="U196" i="68" s="1"/>
  <c r="AA100" i="68"/>
  <c r="AA164" i="68" s="1"/>
  <c r="AA101" i="68"/>
  <c r="Z468" i="68"/>
  <c r="Y564" i="72"/>
  <c r="W262" i="68"/>
  <c r="V555" i="72"/>
  <c r="M314" i="68"/>
  <c r="M378" i="68" s="1"/>
  <c r="M442" i="68" s="1"/>
  <c r="M313" i="68"/>
  <c r="R281" i="68"/>
  <c r="R345" i="68" s="1"/>
  <c r="R409" i="68" s="1"/>
  <c r="R280" i="68"/>
  <c r="AC251" i="68"/>
  <c r="AB544" i="72"/>
  <c r="W495" i="72"/>
  <c r="W517" i="72"/>
  <c r="X575" i="72"/>
  <c r="Y479" i="68"/>
  <c r="T277" i="68"/>
  <c r="T278" i="68"/>
  <c r="T342" i="68" s="1"/>
  <c r="T406" i="68" s="1"/>
  <c r="J77" i="68"/>
  <c r="J141" i="68" s="1"/>
  <c r="J205" i="68" s="1"/>
  <c r="J76" i="68"/>
  <c r="K91" i="68"/>
  <c r="K155" i="68" s="1"/>
  <c r="K92" i="68"/>
  <c r="S293" i="68"/>
  <c r="S357" i="68" s="1"/>
  <c r="S421" i="68" s="1"/>
  <c r="S292" i="68"/>
  <c r="AC502" i="68"/>
  <c r="AC503" i="68"/>
  <c r="AC567" i="68" s="1"/>
  <c r="AC631" i="68" s="1"/>
  <c r="P88" i="68"/>
  <c r="P89" i="68"/>
  <c r="P153" i="68" s="1"/>
  <c r="P217" i="68" s="1"/>
  <c r="X81" i="68"/>
  <c r="X143" i="68"/>
  <c r="U65" i="68"/>
  <c r="U129" i="68" s="1"/>
  <c r="U193" i="68" s="1"/>
  <c r="U64" i="68"/>
  <c r="Q532" i="68"/>
  <c r="Q533" i="68"/>
  <c r="Q597" i="68" s="1"/>
  <c r="Q661" i="68" s="1"/>
  <c r="V554" i="72"/>
  <c r="U313" i="68"/>
  <c r="U377" i="68" s="1"/>
  <c r="U314" i="68"/>
  <c r="AB521" i="68"/>
  <c r="AB585" i="68" s="1"/>
  <c r="AB649" i="68" s="1"/>
  <c r="AB520" i="68"/>
  <c r="X169" i="72"/>
  <c r="X147" i="72"/>
  <c r="AD475" i="68"/>
  <c r="AC571" i="72"/>
  <c r="P536" i="68"/>
  <c r="P600" i="68" s="1"/>
  <c r="P664" i="68" s="1"/>
  <c r="P535" i="68"/>
  <c r="J541" i="68"/>
  <c r="J542" i="68"/>
  <c r="J606" i="68" s="1"/>
  <c r="J670" i="68" s="1"/>
  <c r="N556" i="72"/>
  <c r="R576" i="72"/>
  <c r="S480" i="68"/>
  <c r="K521" i="68"/>
  <c r="K585" i="68" s="1"/>
  <c r="K649" i="68" s="1"/>
  <c r="K520" i="68"/>
  <c r="L122" i="68"/>
  <c r="X122" i="68"/>
  <c r="AH266" i="68"/>
  <c r="AG559" i="72"/>
  <c r="AA320" i="68"/>
  <c r="AA384" i="68" s="1"/>
  <c r="AA448" i="68" s="1"/>
  <c r="AA319" i="68"/>
  <c r="U261" i="68"/>
  <c r="T554" i="72"/>
  <c r="Q477" i="68"/>
  <c r="P573" i="72"/>
  <c r="J524" i="68"/>
  <c r="J588" i="68" s="1"/>
  <c r="J652" i="68" s="1"/>
  <c r="J523" i="68"/>
  <c r="J506" i="68"/>
  <c r="J570" i="68" s="1"/>
  <c r="J634" i="68" s="1"/>
  <c r="J505" i="68"/>
  <c r="P87" i="68"/>
  <c r="P149" i="68"/>
  <c r="AB266" i="68"/>
  <c r="AA559" i="72"/>
  <c r="Y482" i="68"/>
  <c r="X578" i="72"/>
  <c r="T558" i="72"/>
  <c r="U46" i="68"/>
  <c r="N109" i="68"/>
  <c r="N173" i="68" s="1"/>
  <c r="N110" i="68"/>
  <c r="K523" i="68"/>
  <c r="O281" i="68"/>
  <c r="O345" i="68" s="1"/>
  <c r="O409" i="68" s="1"/>
  <c r="O280" i="68"/>
  <c r="AH470" i="68"/>
  <c r="AG566" i="72"/>
  <c r="K169" i="72"/>
  <c r="K147" i="72"/>
  <c r="Z250" i="68"/>
  <c r="Y543" i="72"/>
  <c r="N85" i="68"/>
  <c r="N86" i="68"/>
  <c r="N150" i="68" s="1"/>
  <c r="N214" i="68" s="1"/>
  <c r="AA67" i="68"/>
  <c r="AA68" i="68"/>
  <c r="AA132" i="68" s="1"/>
  <c r="AA196" i="68" s="1"/>
  <c r="L344" i="72"/>
  <c r="L322" i="72"/>
  <c r="M253" i="68"/>
  <c r="L546" i="72"/>
  <c r="M495" i="72"/>
  <c r="M517" i="72"/>
  <c r="U477" i="68"/>
  <c r="T573" i="72"/>
  <c r="M500" i="68"/>
  <c r="M564" i="68" s="1"/>
  <c r="M628" i="68" s="1"/>
  <c r="M499" i="68"/>
  <c r="AA502" i="68"/>
  <c r="AA503" i="68"/>
  <c r="AA567" i="68" s="1"/>
  <c r="AA631" i="68" s="1"/>
  <c r="AG281" i="68"/>
  <c r="AG345" i="68" s="1"/>
  <c r="AG409" i="68" s="1"/>
  <c r="AG280" i="68"/>
  <c r="AE252" i="68"/>
  <c r="AD545" i="72"/>
  <c r="T290" i="68"/>
  <c r="T354" i="68" s="1"/>
  <c r="T418" i="68" s="1"/>
  <c r="T289" i="68"/>
  <c r="K149" i="68"/>
  <c r="K305" i="68"/>
  <c r="K369" i="68" s="1"/>
  <c r="K433" i="68" s="1"/>
  <c r="K304" i="68"/>
  <c r="I68" i="68"/>
  <c r="I132" i="68" s="1"/>
  <c r="I196" i="68" s="1"/>
  <c r="I67" i="68"/>
  <c r="AH74" i="68"/>
  <c r="AH138" i="68" s="1"/>
  <c r="AH202" i="68" s="1"/>
  <c r="AH73" i="68"/>
  <c r="AG125" i="68"/>
  <c r="AE262" i="68"/>
  <c r="AD555" i="72"/>
  <c r="U529" i="68"/>
  <c r="U530" i="68"/>
  <c r="U594" i="68" s="1"/>
  <c r="U658" i="68" s="1"/>
  <c r="I107" i="68"/>
  <c r="I171" i="68" s="1"/>
  <c r="I235" i="68" s="1"/>
  <c r="I106" i="68"/>
  <c r="J544" i="68"/>
  <c r="J545" i="68"/>
  <c r="J609" i="68" s="1"/>
  <c r="J673" i="68" s="1"/>
  <c r="Z481" i="68"/>
  <c r="Y577" i="72"/>
  <c r="H577" i="72"/>
  <c r="I481" i="68"/>
  <c r="M558" i="72"/>
  <c r="N485" i="68"/>
  <c r="M581" i="72"/>
  <c r="U581" i="72"/>
  <c r="AC319" i="68"/>
  <c r="AC320" i="68"/>
  <c r="AC384" i="68" s="1"/>
  <c r="AC448" i="68" s="1"/>
  <c r="J169" i="72"/>
  <c r="J147" i="72"/>
  <c r="R266" i="68"/>
  <c r="Q559" i="72"/>
  <c r="V328" i="68"/>
  <c r="V392" i="68" s="1"/>
  <c r="V329" i="68"/>
  <c r="O313" i="68"/>
  <c r="O314" i="68"/>
  <c r="O378" i="68" s="1"/>
  <c r="O442" i="68" s="1"/>
  <c r="L169" i="72"/>
  <c r="L147" i="72"/>
  <c r="L512" i="68"/>
  <c r="L576" i="68" s="1"/>
  <c r="L640" i="68" s="1"/>
  <c r="L511" i="68"/>
  <c r="AC500" i="68"/>
  <c r="AC564" i="68" s="1"/>
  <c r="AC628" i="68" s="1"/>
  <c r="AC499" i="68"/>
  <c r="Z570" i="72"/>
  <c r="AD503" i="68"/>
  <c r="AD567" i="68" s="1"/>
  <c r="AD631" i="68" s="1"/>
  <c r="AD502" i="68"/>
  <c r="R289" i="68"/>
  <c r="R290" i="68"/>
  <c r="R354" i="68" s="1"/>
  <c r="R418" i="68" s="1"/>
  <c r="I503" i="68"/>
  <c r="I567" i="68" s="1"/>
  <c r="I631" i="68" s="1"/>
  <c r="I502" i="68"/>
  <c r="AF286" i="68"/>
  <c r="AF287" i="68"/>
  <c r="AF351" i="68" s="1"/>
  <c r="AF415" i="68" s="1"/>
  <c r="X259" i="68"/>
  <c r="W552" i="72"/>
  <c r="N567" i="72"/>
  <c r="M59" i="68"/>
  <c r="M123" i="68" s="1"/>
  <c r="M187" i="68" s="1"/>
  <c r="M58" i="68"/>
  <c r="M301" i="68"/>
  <c r="M302" i="68"/>
  <c r="M366" i="68" s="1"/>
  <c r="M430" i="68" s="1"/>
  <c r="W169" i="72"/>
  <c r="W147" i="72"/>
  <c r="AG60" i="68"/>
  <c r="AG122" i="68"/>
  <c r="AB140" i="68"/>
  <c r="AB572" i="72"/>
  <c r="AC476" i="68"/>
  <c r="Y265" i="68"/>
  <c r="X558" i="72"/>
  <c r="AB275" i="68"/>
  <c r="AB339" i="68" s="1"/>
  <c r="AB403" i="68" s="1"/>
  <c r="AB274" i="68"/>
  <c r="AG262" i="68"/>
  <c r="AF555" i="72"/>
  <c r="U101" i="68"/>
  <c r="U165" i="68" s="1"/>
  <c r="U229" i="68" s="1"/>
  <c r="U100" i="68"/>
  <c r="Z344" i="72"/>
  <c r="Z322" i="72"/>
  <c r="Q169" i="72"/>
  <c r="Q147" i="72"/>
  <c r="AC533" i="68"/>
  <c r="AC597" i="68" s="1"/>
  <c r="AC661" i="68" s="1"/>
  <c r="AC532" i="68"/>
  <c r="S493" i="68"/>
  <c r="S494" i="68"/>
  <c r="S558" i="68" s="1"/>
  <c r="S622" i="68" s="1"/>
  <c r="V493" i="68"/>
  <c r="V494" i="68"/>
  <c r="V558" i="68" s="1"/>
  <c r="V622" i="68" s="1"/>
  <c r="U89" i="68"/>
  <c r="U153" i="68" s="1"/>
  <c r="U217" i="68" s="1"/>
  <c r="U88" i="68"/>
  <c r="H568" i="72"/>
  <c r="K505" i="68"/>
  <c r="K506" i="68"/>
  <c r="K570" i="68" s="1"/>
  <c r="K634" i="68" s="1"/>
  <c r="V469" i="68"/>
  <c r="U565" i="72"/>
  <c r="H565" i="72"/>
  <c r="Q254" i="68"/>
  <c r="P547" i="72"/>
  <c r="N502" i="68"/>
  <c r="N503" i="68"/>
  <c r="N567" i="68" s="1"/>
  <c r="N631" i="68" s="1"/>
  <c r="P322" i="72"/>
  <c r="P344" i="72"/>
  <c r="AB307" i="68"/>
  <c r="AB308" i="68"/>
  <c r="AB372" i="68" s="1"/>
  <c r="AB436" i="68" s="1"/>
  <c r="T56" i="68"/>
  <c r="T120" i="68" s="1"/>
  <c r="T184" i="68" s="1"/>
  <c r="T55" i="68"/>
  <c r="AD104" i="68"/>
  <c r="AD168" i="68" s="1"/>
  <c r="AD232" i="68" s="1"/>
  <c r="AD103" i="68"/>
  <c r="X106" i="68"/>
  <c r="X107" i="68"/>
  <c r="X171" i="68" s="1"/>
  <c r="X235" i="68" s="1"/>
  <c r="P249" i="68"/>
  <c r="O542" i="72"/>
  <c r="Z542" i="72"/>
  <c r="T91" i="68"/>
  <c r="T155" i="68" s="1"/>
  <c r="T92" i="68"/>
  <c r="V326" i="68"/>
  <c r="V390" i="68" s="1"/>
  <c r="V454" i="68" s="1"/>
  <c r="V325" i="68"/>
  <c r="N509" i="68"/>
  <c r="N573" i="68" s="1"/>
  <c r="N637" i="68" s="1"/>
  <c r="N508" i="68"/>
  <c r="AB286" i="68"/>
  <c r="AB287" i="68"/>
  <c r="AB351" i="68" s="1"/>
  <c r="AB415" i="68" s="1"/>
  <c r="S222" i="68"/>
  <c r="P559" i="72"/>
  <c r="I555" i="72"/>
  <c r="AC574" i="72"/>
  <c r="AD478" i="68"/>
  <c r="I250" i="68"/>
  <c r="H543" i="72"/>
  <c r="AE82" i="68"/>
  <c r="AE83" i="68"/>
  <c r="AE147" i="68" s="1"/>
  <c r="AE211" i="68" s="1"/>
  <c r="Z147" i="72"/>
  <c r="Z169" i="72"/>
  <c r="W474" i="68"/>
  <c r="V570" i="72"/>
  <c r="P517" i="72"/>
  <c r="P495" i="72"/>
  <c r="H575" i="72"/>
  <c r="I479" i="68"/>
  <c r="S574" i="72"/>
  <c r="T478" i="68"/>
  <c r="AF520" i="68"/>
  <c r="AF521" i="68"/>
  <c r="AF585" i="68" s="1"/>
  <c r="AF649" i="68" s="1"/>
  <c r="AC283" i="68"/>
  <c r="AC284" i="68"/>
  <c r="AC348" i="68" s="1"/>
  <c r="AC412" i="68" s="1"/>
  <c r="AG87" i="68"/>
  <c r="U283" i="68"/>
  <c r="U284" i="68"/>
  <c r="U348" i="68" s="1"/>
  <c r="U412" i="68" s="1"/>
  <c r="O543" i="72"/>
  <c r="AG71" i="68"/>
  <c r="AG135" i="68" s="1"/>
  <c r="AG199" i="68" s="1"/>
  <c r="AG70" i="68"/>
  <c r="T85" i="68"/>
  <c r="T86" i="68"/>
  <c r="T150" i="68" s="1"/>
  <c r="T214" i="68" s="1"/>
  <c r="Q143" i="68"/>
  <c r="I90" i="68"/>
  <c r="I152" i="68"/>
  <c r="AB257" i="68"/>
  <c r="AA550" i="72"/>
  <c r="AD296" i="68"/>
  <c r="AD360" i="68" s="1"/>
  <c r="AD424" i="68" s="1"/>
  <c r="AD295" i="68"/>
  <c r="M320" i="68"/>
  <c r="M384" i="68" s="1"/>
  <c r="M448" i="68" s="1"/>
  <c r="M319" i="68"/>
  <c r="Y329" i="68"/>
  <c r="Y393" i="68" s="1"/>
  <c r="Y457" i="68" s="1"/>
  <c r="Y328" i="68"/>
  <c r="W535" i="68"/>
  <c r="W536" i="68"/>
  <c r="W600" i="68" s="1"/>
  <c r="W664" i="68" s="1"/>
  <c r="L497" i="68"/>
  <c r="L561" i="68" s="1"/>
  <c r="L625" i="68" s="1"/>
  <c r="L496" i="68"/>
  <c r="AH164" i="68"/>
  <c r="AC548" i="68"/>
  <c r="AC612" i="68" s="1"/>
  <c r="AC676" i="68" s="1"/>
  <c r="AC547" i="68"/>
  <c r="I546" i="72"/>
  <c r="J253" i="68"/>
  <c r="AE568" i="72"/>
  <c r="M281" i="68"/>
  <c r="M345" i="68" s="1"/>
  <c r="M409" i="68" s="1"/>
  <c r="M280" i="68"/>
  <c r="M570" i="72"/>
  <c r="N474" i="68"/>
  <c r="M524" i="68"/>
  <c r="M588" i="68" s="1"/>
  <c r="M652" i="68" s="1"/>
  <c r="M523" i="68"/>
  <c r="K287" i="68"/>
  <c r="K351" i="68" s="1"/>
  <c r="K415" i="68" s="1"/>
  <c r="K286" i="68"/>
  <c r="AC552" i="72"/>
  <c r="AD259" i="68"/>
  <c r="Q546" i="72"/>
  <c r="AG544" i="72"/>
  <c r="R72" i="68"/>
  <c r="R134" i="68"/>
  <c r="Z307" i="68"/>
  <c r="Z308" i="68"/>
  <c r="Z372" i="68" s="1"/>
  <c r="Z436" i="68" s="1"/>
  <c r="U84" i="68"/>
  <c r="U146" i="68"/>
  <c r="AC308" i="68"/>
  <c r="AC372" i="68" s="1"/>
  <c r="AC436" i="68" s="1"/>
  <c r="AC307" i="68"/>
  <c r="N548" i="72"/>
  <c r="O255" i="68"/>
  <c r="M88" i="68"/>
  <c r="M89" i="68"/>
  <c r="M153" i="68" s="1"/>
  <c r="M217" i="68" s="1"/>
  <c r="R485" i="68"/>
  <c r="Q581" i="72"/>
  <c r="AG536" i="68"/>
  <c r="AG600" i="68" s="1"/>
  <c r="AG664" i="68" s="1"/>
  <c r="AG535" i="68"/>
  <c r="R97" i="68"/>
  <c r="R98" i="68"/>
  <c r="R162" i="68" s="1"/>
  <c r="R226" i="68" s="1"/>
  <c r="U484" i="68"/>
  <c r="T580" i="72"/>
  <c r="Z262" i="68"/>
  <c r="Y555" i="72"/>
  <c r="I530" i="68"/>
  <c r="I594" i="68" s="1"/>
  <c r="I658" i="68" s="1"/>
  <c r="I529" i="68"/>
  <c r="AG101" i="68"/>
  <c r="AG165" i="68" s="1"/>
  <c r="AG229" i="68" s="1"/>
  <c r="AG100" i="68"/>
  <c r="X486" i="68"/>
  <c r="W582" i="72"/>
  <c r="J322" i="72"/>
  <c r="J344" i="72"/>
  <c r="L254" i="68"/>
  <c r="K547" i="72"/>
  <c r="I575" i="72"/>
  <c r="J479" i="68"/>
  <c r="M543" i="72"/>
  <c r="Q287" i="68"/>
  <c r="Q351" i="68" s="1"/>
  <c r="Q415" i="68" s="1"/>
  <c r="Q286" i="68"/>
  <c r="S286" i="68"/>
  <c r="S287" i="68"/>
  <c r="S351" i="68" s="1"/>
  <c r="S415" i="68" s="1"/>
  <c r="P307" i="68"/>
  <c r="P308" i="68"/>
  <c r="P372" i="68" s="1"/>
  <c r="P436" i="68" s="1"/>
  <c r="AB254" i="68"/>
  <c r="AA547" i="72"/>
  <c r="AC254" i="68"/>
  <c r="AB547" i="72"/>
  <c r="AG293" i="68"/>
  <c r="AG357" i="68" s="1"/>
  <c r="AG421" i="68" s="1"/>
  <c r="AG292" i="68"/>
  <c r="X544" i="72"/>
  <c r="S62" i="68"/>
  <c r="S126" i="68" s="1"/>
  <c r="S190" i="68" s="1"/>
  <c r="S61" i="68"/>
  <c r="W475" i="68"/>
  <c r="V571" i="72"/>
  <c r="Y484" i="68"/>
  <c r="X580" i="72"/>
  <c r="P555" i="72"/>
  <c r="N582" i="72"/>
  <c r="O486" i="68"/>
  <c r="K98" i="68"/>
  <c r="K162" i="68" s="1"/>
  <c r="K226" i="68" s="1"/>
  <c r="K97" i="68"/>
  <c r="W468" i="68"/>
  <c r="V564" i="72"/>
  <c r="AE98" i="68"/>
  <c r="AE162" i="68" s="1"/>
  <c r="AE226" i="68" s="1"/>
  <c r="AE97" i="68"/>
  <c r="N541" i="68"/>
  <c r="N542" i="68"/>
  <c r="N606" i="68" s="1"/>
  <c r="N670" i="68" s="1"/>
  <c r="Y576" i="72"/>
  <c r="Z480" i="68"/>
  <c r="M481" i="68"/>
  <c r="L577" i="72"/>
  <c r="O101" i="68"/>
  <c r="O165" i="68" s="1"/>
  <c r="O229" i="68" s="1"/>
  <c r="O100" i="68"/>
  <c r="Z56" i="68"/>
  <c r="Z120" i="68" s="1"/>
  <c r="Z184" i="68" s="1"/>
  <c r="Z55" i="68"/>
  <c r="X469" i="68"/>
  <c r="W565" i="72"/>
  <c r="Z496" i="68"/>
  <c r="Z497" i="68"/>
  <c r="Z561" i="68" s="1"/>
  <c r="Z625" i="68" s="1"/>
  <c r="N500" i="68"/>
  <c r="N564" i="68" s="1"/>
  <c r="N628" i="68" s="1"/>
  <c r="N499" i="68"/>
  <c r="AE169" i="72"/>
  <c r="AE147" i="72"/>
  <c r="K75" i="68"/>
  <c r="K137" i="68"/>
  <c r="AE71" i="68"/>
  <c r="AE135" i="68" s="1"/>
  <c r="AE199" i="68" s="1"/>
  <c r="AE70" i="68"/>
  <c r="AF569" i="72"/>
  <c r="AG473" i="68"/>
  <c r="R514" i="68"/>
  <c r="R515" i="68"/>
  <c r="R579" i="68" s="1"/>
  <c r="R643" i="68" s="1"/>
  <c r="V476" i="68"/>
  <c r="U572" i="72"/>
  <c r="AD518" i="68"/>
  <c r="AD582" i="68" s="1"/>
  <c r="AD646" i="68" s="1"/>
  <c r="AD517" i="68"/>
  <c r="AF263" i="68"/>
  <c r="AE556" i="72"/>
  <c r="AF539" i="68"/>
  <c r="AF603" i="68" s="1"/>
  <c r="AF667" i="68" s="1"/>
  <c r="AF538" i="68"/>
  <c r="I275" i="68"/>
  <c r="I339" i="68" s="1"/>
  <c r="I403" i="68" s="1"/>
  <c r="I274" i="68"/>
  <c r="O310" i="68"/>
  <c r="O374" i="68" s="1"/>
  <c r="O311" i="68"/>
  <c r="U264" i="68"/>
  <c r="T557" i="72"/>
  <c r="K263" i="68"/>
  <c r="J556" i="72"/>
  <c r="O107" i="68"/>
  <c r="O171" i="68" s="1"/>
  <c r="O235" i="68" s="1"/>
  <c r="O106" i="68"/>
  <c r="AC108" i="68"/>
  <c r="AC170" i="68"/>
  <c r="Q100" i="68"/>
  <c r="Q164" i="68" s="1"/>
  <c r="Q101" i="68"/>
  <c r="AC493" i="68"/>
  <c r="AC557" i="68" s="1"/>
  <c r="AC494" i="68"/>
  <c r="AA554" i="72"/>
  <c r="AB261" i="68"/>
  <c r="V57" i="68"/>
  <c r="V119" i="68"/>
  <c r="AE103" i="68"/>
  <c r="AE167" i="68" s="1"/>
  <c r="AE104" i="68"/>
  <c r="M283" i="68"/>
  <c r="M284" i="68"/>
  <c r="M348" i="68" s="1"/>
  <c r="M412" i="68" s="1"/>
  <c r="V500" i="68"/>
  <c r="V564" i="68" s="1"/>
  <c r="V628" i="68" s="1"/>
  <c r="V499" i="68"/>
  <c r="Q539" i="68"/>
  <c r="Q603" i="68" s="1"/>
  <c r="Q667" i="68" s="1"/>
  <c r="Q538" i="68"/>
  <c r="I344" i="72"/>
  <c r="I322" i="72"/>
  <c r="Z575" i="72"/>
  <c r="AA479" i="68"/>
  <c r="AG517" i="72"/>
  <c r="AG495" i="72"/>
  <c r="X502" i="68"/>
  <c r="X503" i="68"/>
  <c r="X567" i="68" s="1"/>
  <c r="X631" i="68" s="1"/>
  <c r="AD147" i="72"/>
  <c r="AD169" i="72"/>
  <c r="S257" i="68"/>
  <c r="R550" i="72"/>
  <c r="V105" i="68"/>
  <c r="V167" i="68"/>
  <c r="AB535" i="68"/>
  <c r="AB536" i="68"/>
  <c r="AB600" i="68" s="1"/>
  <c r="AB664" i="68" s="1"/>
  <c r="AB471" i="68"/>
  <c r="AA567" i="72"/>
  <c r="I483" i="68"/>
  <c r="H579" i="72"/>
  <c r="Z328" i="68"/>
  <c r="Z392" i="68" s="1"/>
  <c r="Z329" i="68"/>
  <c r="I264" i="68"/>
  <c r="H557" i="72"/>
  <c r="U483" i="68"/>
  <c r="T579" i="72"/>
  <c r="L317" i="68"/>
  <c r="L381" i="68" s="1"/>
  <c r="L445" i="68" s="1"/>
  <c r="L316" i="68"/>
  <c r="S295" i="68"/>
  <c r="S296" i="68"/>
  <c r="S360" i="68" s="1"/>
  <c r="S424" i="68" s="1"/>
  <c r="AH55" i="68"/>
  <c r="AH119" i="68" s="1"/>
  <c r="AH56" i="68"/>
  <c r="M108" i="68"/>
  <c r="M171" i="68"/>
  <c r="M235" i="68" s="1"/>
  <c r="Q258" i="68"/>
  <c r="P551" i="72"/>
  <c r="M526" i="68"/>
  <c r="M527" i="68"/>
  <c r="M591" i="68" s="1"/>
  <c r="M655" i="68" s="1"/>
  <c r="AH128" i="68"/>
  <c r="L103" i="68"/>
  <c r="L167" i="68" s="1"/>
  <c r="L104" i="68"/>
  <c r="P67" i="68"/>
  <c r="P68" i="68"/>
  <c r="P132" i="68" s="1"/>
  <c r="P196" i="68" s="1"/>
  <c r="N517" i="72"/>
  <c r="N495" i="72"/>
  <c r="I520" i="68"/>
  <c r="I521" i="68"/>
  <c r="I585" i="68" s="1"/>
  <c r="I649" i="68" s="1"/>
  <c r="I75" i="68"/>
  <c r="I137" i="68"/>
  <c r="L87" i="68"/>
  <c r="L149" i="68"/>
  <c r="AD277" i="68"/>
  <c r="AD278" i="68"/>
  <c r="AD342" i="68" s="1"/>
  <c r="AD406" i="68" s="1"/>
  <c r="AA475" i="68"/>
  <c r="Z571" i="72"/>
  <c r="AF267" i="68"/>
  <c r="AE560" i="72"/>
  <c r="S64" i="68"/>
  <c r="S65" i="68"/>
  <c r="S129" i="68" s="1"/>
  <c r="S193" i="68" s="1"/>
  <c r="P219" i="68"/>
  <c r="S474" i="68"/>
  <c r="R570" i="72"/>
  <c r="I59" i="68"/>
  <c r="I123" i="68" s="1"/>
  <c r="I187" i="68" s="1"/>
  <c r="I58" i="68"/>
  <c r="L265" i="68"/>
  <c r="K558" i="72"/>
  <c r="L321" i="68"/>
  <c r="L383" i="68"/>
  <c r="N535" i="68"/>
  <c r="N599" i="68" s="1"/>
  <c r="N536" i="68"/>
  <c r="AG478" i="68"/>
  <c r="AF574" i="72"/>
  <c r="N252" i="68"/>
  <c r="M545" i="72"/>
  <c r="J304" i="68"/>
  <c r="J305" i="68"/>
  <c r="J369" i="68" s="1"/>
  <c r="J433" i="68" s="1"/>
  <c r="K125" i="68"/>
  <c r="L494" i="68"/>
  <c r="L558" i="68" s="1"/>
  <c r="L622" i="68" s="1"/>
  <c r="L493" i="68"/>
  <c r="AC111" i="68"/>
  <c r="AC173" i="68"/>
  <c r="N575" i="72"/>
  <c r="O479" i="68"/>
  <c r="S284" i="68"/>
  <c r="S348" i="68" s="1"/>
  <c r="S412" i="68" s="1"/>
  <c r="S283" i="68"/>
  <c r="AA284" i="68"/>
  <c r="AA348" i="68" s="1"/>
  <c r="AA412" i="68" s="1"/>
  <c r="AA283" i="68"/>
  <c r="Z58" i="68"/>
  <c r="Z59" i="68"/>
  <c r="Z123" i="68" s="1"/>
  <c r="Z187" i="68" s="1"/>
  <c r="R63" i="68"/>
  <c r="R125" i="68"/>
  <c r="P95" i="68"/>
  <c r="P159" i="68" s="1"/>
  <c r="P223" i="68" s="1"/>
  <c r="P94" i="68"/>
  <c r="AA494" i="68"/>
  <c r="AA558" i="68" s="1"/>
  <c r="AA622" i="68" s="1"/>
  <c r="AA493" i="68"/>
  <c r="AH310" i="68"/>
  <c r="AH311" i="68"/>
  <c r="AH375" i="68" s="1"/>
  <c r="AH439" i="68" s="1"/>
  <c r="O517" i="72"/>
  <c r="O495" i="72"/>
  <c r="AC65" i="68"/>
  <c r="AC129" i="68" s="1"/>
  <c r="AC193" i="68" s="1"/>
  <c r="AC64" i="68"/>
  <c r="L547" i="72"/>
  <c r="M254" i="68"/>
  <c r="P290" i="68"/>
  <c r="P354" i="68" s="1"/>
  <c r="P418" i="68" s="1"/>
  <c r="Y169" i="72"/>
  <c r="Y147" i="72"/>
  <c r="V143" i="68"/>
  <c r="AF481" i="68"/>
  <c r="AE577" i="72"/>
  <c r="AD97" i="68"/>
  <c r="AD98" i="68"/>
  <c r="AD162" i="68" s="1"/>
  <c r="AD226" i="68" s="1"/>
  <c r="R538" i="68"/>
  <c r="R539" i="68"/>
  <c r="R603" i="68" s="1"/>
  <c r="R667" i="68" s="1"/>
  <c r="M322" i="72"/>
  <c r="M344" i="72"/>
  <c r="X319" i="68"/>
  <c r="X383" i="68" s="1"/>
  <c r="X320" i="68"/>
  <c r="AD575" i="72"/>
  <c r="AE479" i="68"/>
  <c r="AD284" i="68"/>
  <c r="AD348" i="68" s="1"/>
  <c r="AD412" i="68" s="1"/>
  <c r="AD283" i="68"/>
  <c r="Y569" i="72"/>
  <c r="Z473" i="68"/>
  <c r="I287" i="68"/>
  <c r="I351" i="68" s="1"/>
  <c r="I415" i="68" s="1"/>
  <c r="I286" i="68"/>
  <c r="W81" i="68"/>
  <c r="W143" i="68"/>
  <c r="R81" i="68"/>
  <c r="Q299" i="68"/>
  <c r="Q363" i="68" s="1"/>
  <c r="Q427" i="68" s="1"/>
  <c r="Q298" i="68"/>
  <c r="S249" i="68"/>
  <c r="R542" i="72"/>
  <c r="U481" i="68"/>
  <c r="T577" i="72"/>
  <c r="S481" i="68"/>
  <c r="R577" i="72"/>
  <c r="AF67" i="68"/>
  <c r="AF68" i="68"/>
  <c r="AF132" i="68" s="1"/>
  <c r="AF196" i="68" s="1"/>
  <c r="Z524" i="68"/>
  <c r="Z588" i="68" s="1"/>
  <c r="Z652" i="68" s="1"/>
  <c r="Z523" i="68"/>
  <c r="Y258" i="68"/>
  <c r="X551" i="72"/>
  <c r="K80" i="68"/>
  <c r="K144" i="68" s="1"/>
  <c r="K208" i="68" s="1"/>
  <c r="K79" i="68"/>
  <c r="U149" i="68"/>
  <c r="T292" i="68"/>
  <c r="T293" i="68"/>
  <c r="T357" i="68" s="1"/>
  <c r="T421" i="68" s="1"/>
  <c r="R524" i="68"/>
  <c r="R588" i="68" s="1"/>
  <c r="R652" i="68" s="1"/>
  <c r="R523" i="68"/>
  <c r="AH60" i="68"/>
  <c r="AH122" i="68"/>
  <c r="M62" i="68"/>
  <c r="M126" i="68" s="1"/>
  <c r="M190" i="68" s="1"/>
  <c r="M61" i="68"/>
  <c r="L580" i="72"/>
  <c r="M484" i="68"/>
  <c r="T94" i="68"/>
  <c r="T95" i="68"/>
  <c r="T159" i="68" s="1"/>
  <c r="T223" i="68" s="1"/>
  <c r="AE480" i="68"/>
  <c r="AD576" i="72"/>
  <c r="I96" i="68"/>
  <c r="I158" i="68"/>
  <c r="AC94" i="68"/>
  <c r="AC158" i="68" s="1"/>
  <c r="AC95" i="68"/>
  <c r="M97" i="68"/>
  <c r="M161" i="68" s="1"/>
  <c r="M98" i="68"/>
  <c r="R310" i="68"/>
  <c r="R311" i="68"/>
  <c r="R375" i="68" s="1"/>
  <c r="R439" i="68" s="1"/>
  <c r="J578" i="72"/>
  <c r="K482" i="68"/>
  <c r="M311" i="68"/>
  <c r="M375" i="68" s="1"/>
  <c r="M439" i="68" s="1"/>
  <c r="M310" i="68"/>
  <c r="AD326" i="68"/>
  <c r="AD390" i="68" s="1"/>
  <c r="AD454" i="68" s="1"/>
  <c r="AD325" i="68"/>
  <c r="V545" i="68"/>
  <c r="V609" i="68" s="1"/>
  <c r="V673" i="68" s="1"/>
  <c r="V544" i="68"/>
  <c r="T266" i="68"/>
  <c r="S559" i="72"/>
  <c r="P280" i="68"/>
  <c r="P281" i="68"/>
  <c r="P345" i="68" s="1"/>
  <c r="P409" i="68" s="1"/>
  <c r="Q274" i="68"/>
  <c r="Q275" i="68"/>
  <c r="Q339" i="68" s="1"/>
  <c r="Q403" i="68" s="1"/>
  <c r="Q58" i="68"/>
  <c r="Q59" i="68"/>
  <c r="Q123" i="68" s="1"/>
  <c r="Q187" i="68" s="1"/>
  <c r="Z479" i="68"/>
  <c r="Y575" i="72"/>
  <c r="R520" i="68"/>
  <c r="R521" i="68"/>
  <c r="R585" i="68" s="1"/>
  <c r="R649" i="68" s="1"/>
  <c r="O499" i="68"/>
  <c r="O500" i="68"/>
  <c r="O564" i="68" s="1"/>
  <c r="O628" i="68" s="1"/>
  <c r="Z503" i="68"/>
  <c r="Z567" i="68" s="1"/>
  <c r="Z631" i="68" s="1"/>
  <c r="Z502" i="68"/>
  <c r="AA512" i="68"/>
  <c r="AA576" i="68" s="1"/>
  <c r="AA640" i="68" s="1"/>
  <c r="AA511" i="68"/>
  <c r="AC506" i="68"/>
  <c r="AC570" i="68" s="1"/>
  <c r="AC634" i="68" s="1"/>
  <c r="AC505" i="68"/>
  <c r="V521" i="68"/>
  <c r="V585" i="68" s="1"/>
  <c r="V649" i="68" s="1"/>
  <c r="V520" i="68"/>
  <c r="O305" i="68"/>
  <c r="O369" i="68" s="1"/>
  <c r="O433" i="68" s="1"/>
  <c r="O304" i="68"/>
  <c r="AB552" i="72"/>
  <c r="Y495" i="72"/>
  <c r="Y517" i="72"/>
  <c r="AF260" i="68"/>
  <c r="AE553" i="72"/>
  <c r="W284" i="68"/>
  <c r="W348" i="68" s="1"/>
  <c r="W412" i="68" s="1"/>
  <c r="W283" i="68"/>
  <c r="O503" i="68"/>
  <c r="O567" i="68" s="1"/>
  <c r="O631" i="68" s="1"/>
  <c r="O502" i="68"/>
  <c r="L72" i="68"/>
  <c r="L134" i="68"/>
  <c r="W344" i="72"/>
  <c r="W322" i="72"/>
  <c r="W69" i="68"/>
  <c r="W131" i="68"/>
  <c r="N344" i="72"/>
  <c r="N322" i="72"/>
  <c r="N84" i="68"/>
  <c r="N146" i="68"/>
  <c r="Y69" i="68"/>
  <c r="Y131" i="68"/>
  <c r="S267" i="68"/>
  <c r="R560" i="72"/>
  <c r="V261" i="68"/>
  <c r="U554" i="72"/>
  <c r="J468" i="68"/>
  <c r="I564" i="72"/>
  <c r="P310" i="68"/>
  <c r="P311" i="68"/>
  <c r="P375" i="68" s="1"/>
  <c r="P439" i="68" s="1"/>
  <c r="AB228" i="68"/>
  <c r="I265" i="68"/>
  <c r="H558" i="72"/>
  <c r="L107" i="68"/>
  <c r="L171" i="68" s="1"/>
  <c r="L235" i="68" s="1"/>
  <c r="L106" i="68"/>
  <c r="R494" i="68"/>
  <c r="R558" i="68" s="1"/>
  <c r="R622" i="68" s="1"/>
  <c r="R493" i="68"/>
  <c r="AE94" i="68"/>
  <c r="AE95" i="68"/>
  <c r="AE159" i="68" s="1"/>
  <c r="AE223" i="68" s="1"/>
  <c r="O530" i="68"/>
  <c r="O594" i="68" s="1"/>
  <c r="O658" i="68" s="1"/>
  <c r="O529" i="68"/>
  <c r="AG329" i="68"/>
  <c r="AG393" i="68" s="1"/>
  <c r="AG457" i="68" s="1"/>
  <c r="AG328" i="68"/>
  <c r="W275" i="68"/>
  <c r="W339" i="68" s="1"/>
  <c r="W403" i="68" s="1"/>
  <c r="W274" i="68"/>
  <c r="W125" i="68"/>
  <c r="AB577" i="72"/>
  <c r="I155" i="68"/>
  <c r="V517" i="72"/>
  <c r="V495" i="72"/>
  <c r="AH506" i="68"/>
  <c r="AH570" i="68" s="1"/>
  <c r="AH634" i="68" s="1"/>
  <c r="AH505" i="68"/>
  <c r="J477" i="68"/>
  <c r="I573" i="72"/>
  <c r="AC258" i="68"/>
  <c r="AB551" i="72"/>
  <c r="I497" i="68"/>
  <c r="I561" i="68" s="1"/>
  <c r="I625" i="68" s="1"/>
  <c r="I496" i="68"/>
  <c r="V546" i="72"/>
  <c r="W253" i="68"/>
  <c r="N477" i="68"/>
  <c r="M573" i="72"/>
  <c r="V552" i="72"/>
  <c r="V128" i="68"/>
  <c r="Y59" i="68"/>
  <c r="Y123" i="68" s="1"/>
  <c r="Y187" i="68" s="1"/>
  <c r="Y58" i="68"/>
  <c r="R75" i="68"/>
  <c r="R137" i="68"/>
  <c r="AB295" i="68"/>
  <c r="AB296" i="68"/>
  <c r="AB360" i="68" s="1"/>
  <c r="AB424" i="68" s="1"/>
  <c r="I549" i="72"/>
  <c r="I56" i="68"/>
  <c r="I120" i="68" s="1"/>
  <c r="I184" i="68" s="1"/>
  <c r="I55" i="68"/>
  <c r="P266" i="68"/>
  <c r="O559" i="72"/>
  <c r="AG542" i="72"/>
  <c r="AH249" i="68"/>
  <c r="O533" i="68"/>
  <c r="O597" i="68" s="1"/>
  <c r="O661" i="68" s="1"/>
  <c r="O532" i="68"/>
  <c r="AB98" i="68"/>
  <c r="AB162" i="68" s="1"/>
  <c r="AB226" i="68" s="1"/>
  <c r="AB97" i="68"/>
  <c r="R265" i="68"/>
  <c r="Q558" i="72"/>
  <c r="AE310" i="68"/>
  <c r="AE374" i="68" s="1"/>
  <c r="AE311" i="68"/>
  <c r="AA275" i="68"/>
  <c r="AA339" i="68" s="1"/>
  <c r="AA403" i="68" s="1"/>
  <c r="AA274" i="68"/>
  <c r="T545" i="68"/>
  <c r="T609" i="68" s="1"/>
  <c r="T673" i="68" s="1"/>
  <c r="T544" i="68"/>
  <c r="K533" i="68"/>
  <c r="K597" i="68" s="1"/>
  <c r="K661" i="68" s="1"/>
  <c r="K532" i="68"/>
  <c r="O91" i="68"/>
  <c r="O92" i="68"/>
  <c r="O156" i="68" s="1"/>
  <c r="O220" i="68" s="1"/>
  <c r="O483" i="68"/>
  <c r="N579" i="72"/>
  <c r="Q325" i="68"/>
  <c r="Q326" i="68"/>
  <c r="Q390" i="68" s="1"/>
  <c r="Q454" i="68" s="1"/>
  <c r="J314" i="68"/>
  <c r="J378" i="68" s="1"/>
  <c r="J442" i="68" s="1"/>
  <c r="J313" i="68"/>
  <c r="J251" i="68"/>
  <c r="I544" i="72"/>
  <c r="M65" i="68"/>
  <c r="M129" i="68" s="1"/>
  <c r="M193" i="68" s="1"/>
  <c r="M64" i="68"/>
  <c r="AA517" i="72"/>
  <c r="AA495" i="72"/>
  <c r="V502" i="68"/>
  <c r="V503" i="68"/>
  <c r="V567" i="68" s="1"/>
  <c r="V631" i="68" s="1"/>
  <c r="J500" i="68"/>
  <c r="J564" i="68" s="1"/>
  <c r="J628" i="68" s="1"/>
  <c r="J499" i="68"/>
  <c r="K511" i="68"/>
  <c r="K512" i="68"/>
  <c r="K576" i="68" s="1"/>
  <c r="K640" i="68" s="1"/>
  <c r="V289" i="68"/>
  <c r="V290" i="68"/>
  <c r="V354" i="68" s="1"/>
  <c r="V418" i="68" s="1"/>
  <c r="AE255" i="68"/>
  <c r="AD548" i="72"/>
  <c r="X543" i="72"/>
  <c r="U301" i="68"/>
  <c r="U302" i="68"/>
  <c r="U366" i="68" s="1"/>
  <c r="U430" i="68" s="1"/>
  <c r="W292" i="68"/>
  <c r="W293" i="68"/>
  <c r="W357" i="68" s="1"/>
  <c r="W421" i="68" s="1"/>
  <c r="P277" i="68"/>
  <c r="P278" i="68"/>
  <c r="P342" i="68" s="1"/>
  <c r="P406" i="68" s="1"/>
  <c r="Z569" i="72"/>
  <c r="AD322" i="72"/>
  <c r="AD344" i="72"/>
  <c r="AB475" i="68"/>
  <c r="AA571" i="72"/>
  <c r="L295" i="68"/>
  <c r="L296" i="68"/>
  <c r="L360" i="68" s="1"/>
  <c r="L424" i="68" s="1"/>
  <c r="AD484" i="68"/>
  <c r="AC580" i="72"/>
  <c r="J560" i="72"/>
  <c r="AG564" i="72"/>
  <c r="L267" i="68"/>
  <c r="K560" i="72"/>
  <c r="Z65" i="68"/>
  <c r="Z129" i="68" s="1"/>
  <c r="Z193" i="68" s="1"/>
  <c r="Z64" i="68"/>
  <c r="AF506" i="68"/>
  <c r="AF570" i="68" s="1"/>
  <c r="AF634" i="68" s="1"/>
  <c r="AF505" i="68"/>
  <c r="R322" i="72"/>
  <c r="R344" i="72"/>
  <c r="V253" i="68"/>
  <c r="U546" i="72"/>
  <c r="R287" i="68"/>
  <c r="R351" i="68" s="1"/>
  <c r="R415" i="68" s="1"/>
  <c r="R286" i="68"/>
  <c r="AH280" i="68"/>
  <c r="AH281" i="68"/>
  <c r="AH345" i="68" s="1"/>
  <c r="AH409" i="68" s="1"/>
  <c r="S260" i="68"/>
  <c r="R553" i="72"/>
  <c r="R65" i="68"/>
  <c r="R129" i="68" s="1"/>
  <c r="R193" i="68" s="1"/>
  <c r="R64" i="68"/>
  <c r="AG64" i="68"/>
  <c r="AG65" i="68"/>
  <c r="AG129" i="68" s="1"/>
  <c r="AG193" i="68" s="1"/>
  <c r="U476" i="68"/>
  <c r="T572" i="72"/>
  <c r="Z257" i="68"/>
  <c r="Y550" i="72"/>
  <c r="Y299" i="68"/>
  <c r="Y363" i="68" s="1"/>
  <c r="Y427" i="68" s="1"/>
  <c r="Y298" i="68"/>
  <c r="R264" i="68"/>
  <c r="Q557" i="72"/>
  <c r="AG92" i="68"/>
  <c r="AG156" i="68" s="1"/>
  <c r="AG220" i="68" s="1"/>
  <c r="AG91" i="68"/>
  <c r="Y538" i="68"/>
  <c r="Y539" i="68"/>
  <c r="Y603" i="68" s="1"/>
  <c r="Y667" i="68" s="1"/>
  <c r="M274" i="68"/>
  <c r="M338" i="68" s="1"/>
  <c r="M275" i="68"/>
  <c r="AE266" i="68"/>
  <c r="AD559" i="72"/>
  <c r="P580" i="72"/>
  <c r="N225" i="68"/>
  <c r="U500" i="68"/>
  <c r="U564" i="68" s="1"/>
  <c r="U628" i="68" s="1"/>
  <c r="U499" i="68"/>
  <c r="P169" i="72"/>
  <c r="P147" i="72"/>
  <c r="Y90" i="68"/>
  <c r="Y152" i="68"/>
  <c r="M545" i="68"/>
  <c r="M609" i="68" s="1"/>
  <c r="M673" i="68" s="1"/>
  <c r="M544" i="68"/>
  <c r="L478" i="68"/>
  <c r="K574" i="72"/>
  <c r="K573" i="72"/>
  <c r="O565" i="72"/>
  <c r="P469" i="68"/>
  <c r="N277" i="68"/>
  <c r="N278" i="68"/>
  <c r="N342" i="68" s="1"/>
  <c r="N406" i="68" s="1"/>
  <c r="Q259" i="68"/>
  <c r="P552" i="72"/>
  <c r="AA62" i="68"/>
  <c r="AA126" i="68" s="1"/>
  <c r="AA190" i="68" s="1"/>
  <c r="AA61" i="68"/>
  <c r="J146" i="68"/>
  <c r="Q502" i="68"/>
  <c r="Q503" i="68"/>
  <c r="Q567" i="68" s="1"/>
  <c r="Q631" i="68" s="1"/>
  <c r="T64" i="68"/>
  <c r="T65" i="68"/>
  <c r="T129" i="68" s="1"/>
  <c r="T193" i="68" s="1"/>
  <c r="AF514" i="68"/>
  <c r="AF515" i="68"/>
  <c r="AF579" i="68" s="1"/>
  <c r="AF643" i="68" s="1"/>
  <c r="AD481" i="68"/>
  <c r="AC577" i="72"/>
  <c r="I311" i="68"/>
  <c r="I375" i="68" s="1"/>
  <c r="I439" i="68" s="1"/>
  <c r="I310" i="68"/>
  <c r="Q313" i="68"/>
  <c r="Q314" i="68"/>
  <c r="Q378" i="68" s="1"/>
  <c r="Q442" i="68" s="1"/>
  <c r="H581" i="72"/>
  <c r="J109" i="68"/>
  <c r="J173" i="68" s="1"/>
  <c r="J110" i="68"/>
  <c r="AA482" i="68"/>
  <c r="Z578" i="72"/>
  <c r="Q98" i="68"/>
  <c r="Q162" i="68" s="1"/>
  <c r="Q226" i="68" s="1"/>
  <c r="Q97" i="68"/>
  <c r="S265" i="68"/>
  <c r="R558" i="72"/>
  <c r="R533" i="68"/>
  <c r="R597" i="68" s="1"/>
  <c r="R661" i="68" s="1"/>
  <c r="R532" i="68"/>
  <c r="U485" i="68"/>
  <c r="T581" i="72"/>
  <c r="AD511" i="68"/>
  <c r="AD512" i="68"/>
  <c r="AD576" i="68" s="1"/>
  <c r="AD640" i="68" s="1"/>
  <c r="I257" i="68"/>
  <c r="H550" i="72"/>
  <c r="X255" i="68"/>
  <c r="W548" i="72"/>
  <c r="AG506" i="68"/>
  <c r="AG570" i="68" s="1"/>
  <c r="AG634" i="68" s="1"/>
  <c r="AG505" i="68"/>
  <c r="R277" i="68"/>
  <c r="R278" i="68"/>
  <c r="R342" i="68" s="1"/>
  <c r="R406" i="68" s="1"/>
  <c r="AH287" i="68"/>
  <c r="AH351" i="68" s="1"/>
  <c r="AH415" i="68" s="1"/>
  <c r="AH286" i="68"/>
  <c r="Y544" i="72"/>
  <c r="Z251" i="68"/>
  <c r="W301" i="68"/>
  <c r="W302" i="68"/>
  <c r="W366" i="68" s="1"/>
  <c r="W430" i="68" s="1"/>
  <c r="Z146" i="68"/>
  <c r="X277" i="68"/>
  <c r="X278" i="68"/>
  <c r="X342" i="68" s="1"/>
  <c r="X406" i="68" s="1"/>
  <c r="Z255" i="68"/>
  <c r="Y548" i="72"/>
  <c r="AC89" i="68"/>
  <c r="AC153" i="68" s="1"/>
  <c r="AC217" i="68" s="1"/>
  <c r="AC88" i="68"/>
  <c r="AF547" i="72"/>
  <c r="AF134" i="68"/>
  <c r="O257" i="68"/>
  <c r="N550" i="72"/>
  <c r="J550" i="72"/>
  <c r="K257" i="68"/>
  <c r="M480" i="68"/>
  <c r="L576" i="72"/>
  <c r="S564" i="72"/>
  <c r="T468" i="68"/>
  <c r="H542" i="72"/>
  <c r="T267" i="68"/>
  <c r="S560" i="72"/>
  <c r="J542" i="72"/>
  <c r="AD92" i="68"/>
  <c r="AD156" i="68" s="1"/>
  <c r="AD220" i="68" s="1"/>
  <c r="AD91" i="68"/>
  <c r="N56" i="68"/>
  <c r="N120" i="68" s="1"/>
  <c r="N184" i="68" s="1"/>
  <c r="N55" i="68"/>
  <c r="S266" i="68"/>
  <c r="R559" i="72"/>
  <c r="AD96" i="68"/>
  <c r="AD158" i="68"/>
  <c r="S119" i="68"/>
  <c r="T173" i="68"/>
  <c r="AH319" i="68"/>
  <c r="AH320" i="68"/>
  <c r="AH384" i="68" s="1"/>
  <c r="AH448" i="68" s="1"/>
  <c r="AG265" i="68"/>
  <c r="AF558" i="72"/>
  <c r="W520" i="68"/>
  <c r="W521" i="68"/>
  <c r="W585" i="68" s="1"/>
  <c r="W649" i="68" s="1"/>
  <c r="AG521" i="68"/>
  <c r="AG585" i="68" s="1"/>
  <c r="AG649" i="68" s="1"/>
  <c r="AG520" i="68"/>
  <c r="M93" i="68"/>
  <c r="M155" i="68"/>
  <c r="AG530" i="68"/>
  <c r="AG594" i="68" s="1"/>
  <c r="AG658" i="68" s="1"/>
  <c r="AG529" i="68"/>
  <c r="W305" i="68"/>
  <c r="W369" i="68" s="1"/>
  <c r="W433" i="68" s="1"/>
  <c r="W304" i="68"/>
  <c r="L143" i="68"/>
  <c r="AH85" i="68"/>
  <c r="AH86" i="68"/>
  <c r="AH150" i="68" s="1"/>
  <c r="AH214" i="68" s="1"/>
  <c r="S571" i="72"/>
  <c r="T475" i="68"/>
  <c r="J295" i="68"/>
  <c r="J296" i="68"/>
  <c r="J360" i="68" s="1"/>
  <c r="J424" i="68" s="1"/>
  <c r="Q468" i="68"/>
  <c r="P564" i="72"/>
  <c r="X322" i="68"/>
  <c r="X386" i="68" s="1"/>
  <c r="X323" i="68"/>
  <c r="Y262" i="68"/>
  <c r="X555" i="72"/>
  <c r="P538" i="68"/>
  <c r="P539" i="68"/>
  <c r="P603" i="68" s="1"/>
  <c r="P667" i="68" s="1"/>
  <c r="P481" i="68"/>
  <c r="O577" i="72"/>
  <c r="J559" i="72"/>
  <c r="J582" i="72"/>
  <c r="AF99" i="68"/>
  <c r="AF161" i="68"/>
  <c r="J103" i="68"/>
  <c r="J104" i="68"/>
  <c r="J168" i="68" s="1"/>
  <c r="J232" i="68" s="1"/>
  <c r="I284" i="68"/>
  <c r="I348" i="68" s="1"/>
  <c r="I412" i="68" s="1"/>
  <c r="I283" i="68"/>
  <c r="J497" i="68"/>
  <c r="J561" i="68" s="1"/>
  <c r="J625" i="68" s="1"/>
  <c r="J496" i="68"/>
  <c r="AB284" i="68"/>
  <c r="AB348" i="68" s="1"/>
  <c r="AB412" i="68" s="1"/>
  <c r="AB283" i="68"/>
  <c r="J576" i="72"/>
  <c r="O544" i="68"/>
  <c r="O608" i="68" s="1"/>
  <c r="O545" i="68"/>
  <c r="X322" i="72"/>
  <c r="X344" i="72"/>
  <c r="Z85" i="68"/>
  <c r="Z86" i="68"/>
  <c r="Z150" i="68" s="1"/>
  <c r="Z214" i="68" s="1"/>
  <c r="I566" i="72"/>
  <c r="O497" i="68"/>
  <c r="O561" i="68" s="1"/>
  <c r="O625" i="68" s="1"/>
  <c r="O496" i="68"/>
  <c r="U471" i="68"/>
  <c r="T567" i="72"/>
  <c r="Z546" i="72"/>
  <c r="K83" i="68"/>
  <c r="K147" i="68" s="1"/>
  <c r="K211" i="68" s="1"/>
  <c r="K82" i="68"/>
  <c r="Y278" i="68"/>
  <c r="Y342" i="68" s="1"/>
  <c r="Y406" i="68" s="1"/>
  <c r="Y277" i="68"/>
  <c r="X134" i="68"/>
  <c r="AA508" i="68"/>
  <c r="AA509" i="68"/>
  <c r="AA573" i="68" s="1"/>
  <c r="AA637" i="68" s="1"/>
  <c r="N81" i="68"/>
  <c r="N143" i="68"/>
  <c r="Y84" i="68"/>
  <c r="Y146" i="68"/>
  <c r="AA91" i="68"/>
  <c r="AA155" i="68" s="1"/>
  <c r="AA92" i="68"/>
  <c r="K329" i="68"/>
  <c r="K393" i="68" s="1"/>
  <c r="K457" i="68" s="1"/>
  <c r="K328" i="68"/>
  <c r="AH493" i="68"/>
  <c r="AH494" i="68"/>
  <c r="AH558" i="68" s="1"/>
  <c r="AH622" i="68" s="1"/>
  <c r="P173" i="68"/>
  <c r="W173" i="68"/>
  <c r="P529" i="68"/>
  <c r="P530" i="68"/>
  <c r="P594" i="68" s="1"/>
  <c r="P658" i="68" s="1"/>
  <c r="N140" i="68"/>
  <c r="U478" i="68"/>
  <c r="T574" i="72"/>
  <c r="Q250" i="68"/>
  <c r="P543" i="72"/>
  <c r="R474" i="68"/>
  <c r="Q570" i="72"/>
  <c r="AE500" i="68"/>
  <c r="AE564" i="68" s="1"/>
  <c r="AE628" i="68" s="1"/>
  <c r="AE499" i="68"/>
  <c r="S520" i="68"/>
  <c r="S521" i="68"/>
  <c r="S585" i="68" s="1"/>
  <c r="S649" i="68" s="1"/>
  <c r="O301" i="68"/>
  <c r="O302" i="68"/>
  <c r="O366" i="68" s="1"/>
  <c r="O430" i="68" s="1"/>
  <c r="O521" i="68"/>
  <c r="O585" i="68" s="1"/>
  <c r="O649" i="68" s="1"/>
  <c r="O520" i="68"/>
  <c r="O69" i="68"/>
  <c r="O131" i="68"/>
  <c r="P143" i="68"/>
  <c r="S84" i="68"/>
  <c r="S146" i="68"/>
  <c r="X87" i="68"/>
  <c r="X149" i="68"/>
  <c r="X69" i="68"/>
  <c r="X131" i="68"/>
  <c r="U256" i="68"/>
  <c r="T549" i="72"/>
  <c r="T263" i="68"/>
  <c r="S556" i="72"/>
  <c r="AH92" i="68"/>
  <c r="AH156" i="68" s="1"/>
  <c r="AH220" i="68" s="1"/>
  <c r="AH91" i="68"/>
  <c r="U263" i="68"/>
  <c r="T556" i="72"/>
  <c r="AA266" i="68"/>
  <c r="Z559" i="72"/>
  <c r="K494" i="68"/>
  <c r="K558" i="68" s="1"/>
  <c r="K622" i="68" s="1"/>
  <c r="K493" i="68"/>
  <c r="Y55" i="68"/>
  <c r="Y56" i="68"/>
  <c r="Y120" i="68" s="1"/>
  <c r="Y184" i="68" s="1"/>
  <c r="AC267" i="68"/>
  <c r="AB560" i="72"/>
  <c r="AG320" i="68"/>
  <c r="AG384" i="68" s="1"/>
  <c r="AG448" i="68" s="1"/>
  <c r="AG319" i="68"/>
  <c r="Q541" i="68"/>
  <c r="Q542" i="68"/>
  <c r="Q606" i="68" s="1"/>
  <c r="Q670" i="68" s="1"/>
  <c r="AH170" i="68"/>
  <c r="L314" i="68"/>
  <c r="L378" i="68" s="1"/>
  <c r="L442" i="68" s="1"/>
  <c r="L313" i="68"/>
  <c r="AA280" i="68"/>
  <c r="AA281" i="68"/>
  <c r="AA345" i="68" s="1"/>
  <c r="AA409" i="68" s="1"/>
  <c r="N296" i="68"/>
  <c r="N360" i="68" s="1"/>
  <c r="N424" i="68" s="1"/>
  <c r="N295" i="68"/>
  <c r="AF474" i="68"/>
  <c r="AE570" i="72"/>
  <c r="Y472" i="68"/>
  <c r="X568" i="72"/>
  <c r="L521" i="68"/>
  <c r="L585" i="68" s="1"/>
  <c r="L649" i="68" s="1"/>
  <c r="L520" i="68"/>
  <c r="P569" i="72"/>
  <c r="Q473" i="68"/>
  <c r="AC508" i="68"/>
  <c r="AC509" i="68"/>
  <c r="AC573" i="68" s="1"/>
  <c r="AC637" i="68" s="1"/>
  <c r="X251" i="68"/>
  <c r="W544" i="72"/>
  <c r="O82" i="68"/>
  <c r="O83" i="68"/>
  <c r="O147" i="68" s="1"/>
  <c r="O211" i="68" s="1"/>
  <c r="AF302" i="68"/>
  <c r="AF366" i="68" s="1"/>
  <c r="AF430" i="68" s="1"/>
  <c r="AF301" i="68"/>
  <c r="AG552" i="72"/>
  <c r="S544" i="72"/>
  <c r="T140" i="68"/>
  <c r="AC256" i="68"/>
  <c r="AB549" i="72"/>
  <c r="X475" i="68"/>
  <c r="W571" i="72"/>
  <c r="AB267" i="68"/>
  <c r="AA560" i="72"/>
  <c r="R91" i="68"/>
  <c r="R155" i="68" s="1"/>
  <c r="R92" i="68"/>
  <c r="I577" i="72"/>
  <c r="I544" i="68"/>
  <c r="I608" i="68" s="1"/>
  <c r="I545" i="68"/>
  <c r="V480" i="68"/>
  <c r="U576" i="72"/>
  <c r="X95" i="68"/>
  <c r="X159" i="68" s="1"/>
  <c r="X223" i="68" s="1"/>
  <c r="X94" i="68"/>
  <c r="Z542" i="68"/>
  <c r="Z606" i="68" s="1"/>
  <c r="Z670" i="68" s="1"/>
  <c r="Z541" i="68"/>
  <c r="AC262" i="68"/>
  <c r="AB555" i="72"/>
  <c r="Y98" i="68"/>
  <c r="Y162" i="68" s="1"/>
  <c r="Y226" i="68" s="1"/>
  <c r="Y97" i="68"/>
  <c r="AH262" i="68"/>
  <c r="AG555" i="72"/>
  <c r="AC311" i="68"/>
  <c r="AC375" i="68" s="1"/>
  <c r="AC439" i="68" s="1"/>
  <c r="AC310" i="68"/>
  <c r="L567" i="72"/>
  <c r="AC495" i="72"/>
  <c r="AC517" i="72"/>
  <c r="O85" i="68"/>
  <c r="O86" i="68"/>
  <c r="O150" i="68" s="1"/>
  <c r="O214" i="68" s="1"/>
  <c r="Q479" i="68"/>
  <c r="P575" i="72"/>
  <c r="R495" i="72"/>
  <c r="R517" i="72"/>
  <c r="AG574" i="72"/>
  <c r="M575" i="72"/>
  <c r="N479" i="68"/>
  <c r="X566" i="72"/>
  <c r="T546" i="72"/>
  <c r="Q543" i="72"/>
  <c r="O344" i="72"/>
  <c r="O322" i="72"/>
  <c r="AD89" i="68"/>
  <c r="AD153" i="68" s="1"/>
  <c r="AD217" i="68" s="1"/>
  <c r="AD88" i="68"/>
  <c r="AF254" i="68"/>
  <c r="AE547" i="72"/>
  <c r="U569" i="72"/>
  <c r="Y552" i="72"/>
  <c r="N131" i="68"/>
  <c r="AE65" i="68"/>
  <c r="AE129" i="68" s="1"/>
  <c r="AE193" i="68" s="1"/>
  <c r="AE64" i="68"/>
  <c r="AD69" i="68"/>
  <c r="AD131" i="68"/>
  <c r="AG290" i="68"/>
  <c r="AG354" i="68" s="1"/>
  <c r="AG418" i="68" s="1"/>
  <c r="AG289" i="68"/>
  <c r="AF63" i="68"/>
  <c r="AF125" i="68"/>
  <c r="Y76" i="68"/>
  <c r="Y77" i="68"/>
  <c r="Y141" i="68" s="1"/>
  <c r="Y205" i="68" s="1"/>
  <c r="R295" i="68"/>
  <c r="R296" i="68"/>
  <c r="R360" i="68" s="1"/>
  <c r="R424" i="68" s="1"/>
  <c r="Q256" i="68"/>
  <c r="P549" i="72"/>
  <c r="X262" i="68"/>
  <c r="W555" i="72"/>
  <c r="P582" i="72"/>
  <c r="K274" i="68"/>
  <c r="K338" i="68" s="1"/>
  <c r="K275" i="68"/>
  <c r="AH158" i="68"/>
  <c r="Y542" i="72"/>
  <c r="P264" i="68"/>
  <c r="O557" i="72"/>
  <c r="M95" i="68"/>
  <c r="M159" i="68" s="1"/>
  <c r="M223" i="68" s="1"/>
  <c r="M94" i="68"/>
  <c r="AB317" i="68"/>
  <c r="AB381" i="68" s="1"/>
  <c r="AB445" i="68" s="1"/>
  <c r="AB316" i="68"/>
  <c r="AH104" i="68"/>
  <c r="AH168" i="68" s="1"/>
  <c r="AH232" i="68" s="1"/>
  <c r="AH103" i="68"/>
  <c r="AH539" i="68"/>
  <c r="AH603" i="68" s="1"/>
  <c r="AH667" i="68" s="1"/>
  <c r="AH538" i="68"/>
  <c r="Q576" i="72"/>
  <c r="V538" i="68"/>
  <c r="V539" i="68"/>
  <c r="V603" i="68" s="1"/>
  <c r="V667" i="68" s="1"/>
  <c r="U556" i="72"/>
  <c r="AF576" i="72"/>
  <c r="P72" i="68"/>
  <c r="P134" i="68"/>
  <c r="J326" i="68"/>
  <c r="J390" i="68" s="1"/>
  <c r="J454" i="68" s="1"/>
  <c r="J325" i="68"/>
  <c r="S517" i="72"/>
  <c r="S495" i="72"/>
  <c r="AE307" i="68"/>
  <c r="AE308" i="68"/>
  <c r="AE372" i="68" s="1"/>
  <c r="AE436" i="68" s="1"/>
  <c r="N545" i="72"/>
  <c r="Y509" i="68"/>
  <c r="Y573" i="68" s="1"/>
  <c r="Y637" i="68" s="1"/>
  <c r="Y508" i="68"/>
  <c r="AA90" i="68"/>
  <c r="AA152" i="68"/>
  <c r="T500" i="68"/>
  <c r="T564" i="68" s="1"/>
  <c r="T628" i="68" s="1"/>
  <c r="T499" i="68"/>
  <c r="AG278" i="68"/>
  <c r="AG342" i="68" s="1"/>
  <c r="AG406" i="68" s="1"/>
  <c r="AG277" i="68"/>
  <c r="AB92" i="68"/>
  <c r="AB156" i="68" s="1"/>
  <c r="AB220" i="68" s="1"/>
  <c r="AB91" i="68"/>
  <c r="AH544" i="68"/>
  <c r="AH608" i="68" s="1"/>
  <c r="AH545" i="68"/>
  <c r="J482" i="68"/>
  <c r="I578" i="72"/>
  <c r="T169" i="72"/>
  <c r="T147" i="72"/>
  <c r="I79" i="68"/>
  <c r="I80" i="68"/>
  <c r="I144" i="68" s="1"/>
  <c r="I208" i="68" s="1"/>
  <c r="Y469" i="68"/>
  <c r="X565" i="72"/>
  <c r="AC305" i="68"/>
  <c r="AC369" i="68" s="1"/>
  <c r="AC433" i="68" s="1"/>
  <c r="AC304" i="68"/>
  <c r="Q344" i="72"/>
  <c r="Q322" i="72"/>
  <c r="Q475" i="68"/>
  <c r="P571" i="72"/>
  <c r="J94" i="68"/>
  <c r="J95" i="68"/>
  <c r="J159" i="68" s="1"/>
  <c r="J223" i="68" s="1"/>
  <c r="M493" i="68"/>
  <c r="M494" i="68"/>
  <c r="M558" i="68" s="1"/>
  <c r="M622" i="68" s="1"/>
  <c r="W483" i="68"/>
  <c r="V579" i="72"/>
  <c r="AD289" i="68"/>
  <c r="AD290" i="68"/>
  <c r="AD354" i="68" s="1"/>
  <c r="AD418" i="68" s="1"/>
  <c r="T520" i="68"/>
  <c r="T521" i="68"/>
  <c r="T585" i="68" s="1"/>
  <c r="T649" i="68" s="1"/>
  <c r="Q260" i="68"/>
  <c r="P553" i="72"/>
  <c r="AD552" i="72"/>
  <c r="L495" i="72"/>
  <c r="L517" i="72"/>
  <c r="S478" i="68"/>
  <c r="R574" i="72"/>
  <c r="O283" i="68"/>
  <c r="O284" i="68"/>
  <c r="O348" i="68" s="1"/>
  <c r="O412" i="68" s="1"/>
  <c r="AB147" i="72"/>
  <c r="AB169" i="72"/>
  <c r="L67" i="68"/>
  <c r="L68" i="68"/>
  <c r="L132" i="68" s="1"/>
  <c r="L196" i="68" s="1"/>
  <c r="P73" i="68"/>
  <c r="P74" i="68"/>
  <c r="P138" i="68" s="1"/>
  <c r="P202" i="68" s="1"/>
  <c r="AE90" i="68"/>
  <c r="AE152" i="68"/>
  <c r="AE476" i="68"/>
  <c r="AD572" i="72"/>
  <c r="AE475" i="68"/>
  <c r="AD571" i="72"/>
  <c r="Y476" i="68"/>
  <c r="X572" i="72"/>
  <c r="AG249" i="68"/>
  <c r="AF542" i="72"/>
  <c r="AE486" i="68"/>
  <c r="AD582" i="72"/>
  <c r="L545" i="68"/>
  <c r="L609" i="68" s="1"/>
  <c r="L673" i="68" s="1"/>
  <c r="L544" i="68"/>
  <c r="S170" i="68"/>
  <c r="AG167" i="68"/>
  <c r="N494" i="68"/>
  <c r="N558" i="68" s="1"/>
  <c r="N622" i="68" s="1"/>
  <c r="N493" i="68"/>
  <c r="S317" i="68"/>
  <c r="S381" i="68" s="1"/>
  <c r="S445" i="68" s="1"/>
  <c r="S316" i="68"/>
  <c r="AG494" i="68"/>
  <c r="AG558" i="68" s="1"/>
  <c r="AG622" i="68" s="1"/>
  <c r="AG493" i="68"/>
  <c r="S67" i="68"/>
  <c r="S68" i="68"/>
  <c r="S132" i="68" s="1"/>
  <c r="S196" i="68" s="1"/>
  <c r="L74" i="68"/>
  <c r="L138" i="68" s="1"/>
  <c r="L202" i="68" s="1"/>
  <c r="L73" i="68"/>
  <c r="S169" i="72"/>
  <c r="S147" i="72"/>
  <c r="V511" i="68"/>
  <c r="V512" i="68"/>
  <c r="V576" i="68" s="1"/>
  <c r="V640" i="68" s="1"/>
  <c r="L280" i="68"/>
  <c r="L281" i="68"/>
  <c r="L345" i="68" s="1"/>
  <c r="L409" i="68" s="1"/>
  <c r="AH520" i="68"/>
  <c r="AG146" i="68"/>
  <c r="V251" i="68"/>
  <c r="U544" i="72"/>
  <c r="H517" i="72"/>
  <c r="H495" i="72"/>
  <c r="N169" i="72"/>
  <c r="N147" i="72"/>
  <c r="AB59" i="68"/>
  <c r="AB123" i="68" s="1"/>
  <c r="AB187" i="68" s="1"/>
  <c r="AB58" i="68"/>
  <c r="Q524" i="68"/>
  <c r="Q588" i="68" s="1"/>
  <c r="Q652" i="68" s="1"/>
  <c r="Q523" i="68"/>
  <c r="AD63" i="68"/>
  <c r="AD125" i="68"/>
  <c r="Z475" i="68"/>
  <c r="Y571" i="72"/>
  <c r="K256" i="68"/>
  <c r="J549" i="72"/>
  <c r="M554" i="72"/>
  <c r="N261" i="68"/>
  <c r="K109" i="68"/>
  <c r="K173" i="68" s="1"/>
  <c r="K110" i="68"/>
  <c r="X542" i="68"/>
  <c r="X606" i="68" s="1"/>
  <c r="X670" i="68" s="1"/>
  <c r="X541" i="68"/>
  <c r="I468" i="68"/>
  <c r="H564" i="72"/>
  <c r="L480" i="68"/>
  <c r="K576" i="72"/>
  <c r="Y582" i="72"/>
  <c r="Z486" i="68"/>
  <c r="S261" i="68"/>
  <c r="R554" i="72"/>
  <c r="R101" i="68"/>
  <c r="R165" i="68" s="1"/>
  <c r="R229" i="68" s="1"/>
  <c r="R100" i="68"/>
  <c r="O266" i="68"/>
  <c r="N559" i="72"/>
  <c r="Y92" i="68"/>
  <c r="Y156" i="68" s="1"/>
  <c r="Y220" i="68" s="1"/>
  <c r="Y91" i="68"/>
  <c r="AF222" i="68"/>
  <c r="M328" i="68"/>
  <c r="M329" i="68"/>
  <c r="M393" i="68" s="1"/>
  <c r="M457" i="68" s="1"/>
  <c r="AD140" i="68"/>
  <c r="AA322" i="68"/>
  <c r="AA386" i="68" s="1"/>
  <c r="AA323" i="68"/>
  <c r="V322" i="68"/>
  <c r="V323" i="68"/>
  <c r="V387" i="68" s="1"/>
  <c r="V451" i="68" s="1"/>
  <c r="N570" i="72"/>
  <c r="O474" i="68"/>
  <c r="I475" i="68"/>
  <c r="H571" i="72"/>
  <c r="AE344" i="72"/>
  <c r="AE322" i="72"/>
  <c r="P500" i="68"/>
  <c r="P564" i="68" s="1"/>
  <c r="P628" i="68" s="1"/>
  <c r="P499" i="68"/>
  <c r="T259" i="68"/>
  <c r="S552" i="72"/>
  <c r="AE305" i="68"/>
  <c r="AE369" i="68" s="1"/>
  <c r="AE433" i="68" s="1"/>
  <c r="AE304" i="68"/>
  <c r="Q149" i="68"/>
  <c r="L82" i="68"/>
  <c r="L83" i="68"/>
  <c r="L147" i="68" s="1"/>
  <c r="L211" i="68" s="1"/>
  <c r="Y290" i="68"/>
  <c r="Y354" i="68" s="1"/>
  <c r="Y418" i="68" s="1"/>
  <c r="Y289" i="68"/>
  <c r="J73" i="68"/>
  <c r="J74" i="68"/>
  <c r="J138" i="68" s="1"/>
  <c r="J202" i="68" s="1"/>
  <c r="V292" i="68"/>
  <c r="V293" i="68"/>
  <c r="V357" i="68" s="1"/>
  <c r="V421" i="68" s="1"/>
  <c r="H551" i="72"/>
  <c r="Y515" i="68"/>
  <c r="Y579" i="68" s="1"/>
  <c r="Y643" i="68" s="1"/>
  <c r="Y514" i="68"/>
  <c r="Q517" i="68"/>
  <c r="Q518" i="68"/>
  <c r="Q582" i="68" s="1"/>
  <c r="Q646" i="68" s="1"/>
  <c r="Y557" i="72"/>
  <c r="Z264" i="68"/>
  <c r="N228" i="68"/>
  <c r="AC101" i="68"/>
  <c r="AC165" i="68" s="1"/>
  <c r="AC229" i="68" s="1"/>
  <c r="AC100" i="68"/>
  <c r="M560" i="72"/>
  <c r="O579" i="72"/>
  <c r="U547" i="68"/>
  <c r="U548" i="68"/>
  <c r="U612" i="68" s="1"/>
  <c r="U676" i="68" s="1"/>
  <c r="K325" i="68"/>
  <c r="K326" i="68"/>
  <c r="K390" i="68" s="1"/>
  <c r="K454" i="68" s="1"/>
  <c r="K548" i="68"/>
  <c r="K612" i="68" s="1"/>
  <c r="K676" i="68" s="1"/>
  <c r="K547" i="68"/>
  <c r="K530" i="68"/>
  <c r="K594" i="68" s="1"/>
  <c r="K658" i="68" s="1"/>
  <c r="K529" i="68"/>
  <c r="Q183" i="68"/>
  <c r="U250" i="68"/>
  <c r="T543" i="72"/>
  <c r="M565" i="72"/>
  <c r="J512" i="68"/>
  <c r="J576" i="68" s="1"/>
  <c r="J640" i="68" s="1"/>
  <c r="J511" i="68"/>
  <c r="Y308" i="68"/>
  <c r="Y372" i="68" s="1"/>
  <c r="Y436" i="68" s="1"/>
  <c r="Y307" i="68"/>
  <c r="AB281" i="68"/>
  <c r="AB345" i="68" s="1"/>
  <c r="AB409" i="68" s="1"/>
  <c r="AB280" i="68"/>
  <c r="AF470" i="68"/>
  <c r="AE566" i="72"/>
  <c r="AA286" i="68"/>
  <c r="AA287" i="68"/>
  <c r="AA351" i="68" s="1"/>
  <c r="AA415" i="68" s="1"/>
  <c r="W281" i="68"/>
  <c r="W345" i="68" s="1"/>
  <c r="W409" i="68" s="1"/>
  <c r="W280" i="68"/>
  <c r="I125" i="68"/>
  <c r="K518" i="68"/>
  <c r="K582" i="68" s="1"/>
  <c r="K646" i="68" s="1"/>
  <c r="K517" i="68"/>
  <c r="AF299" i="68"/>
  <c r="AF363" i="68" s="1"/>
  <c r="AF427" i="68" s="1"/>
  <c r="AF298" i="68"/>
  <c r="AG299" i="68"/>
  <c r="AG363" i="68" s="1"/>
  <c r="AG427" i="68" s="1"/>
  <c r="AG298" i="68"/>
  <c r="W560" i="72"/>
  <c r="X267" i="68"/>
  <c r="P558" i="72"/>
  <c r="AD310" i="68"/>
  <c r="AD374" i="68" s="1"/>
  <c r="AD311" i="68"/>
  <c r="Z263" i="68"/>
  <c r="Y556" i="72"/>
  <c r="T541" i="68"/>
  <c r="T542" i="68"/>
  <c r="T606" i="68" s="1"/>
  <c r="T670" i="68" s="1"/>
  <c r="X576" i="72"/>
  <c r="Q329" i="68"/>
  <c r="Q393" i="68" s="1"/>
  <c r="Q457" i="68" s="1"/>
  <c r="Q328" i="68"/>
  <c r="AB167" i="68"/>
  <c r="L255" i="68"/>
  <c r="K548" i="72"/>
  <c r="I256" i="68"/>
  <c r="H549" i="72"/>
  <c r="H344" i="72"/>
  <c r="H322" i="72"/>
  <c r="L472" i="68"/>
  <c r="K568" i="72"/>
  <c r="U293" i="68"/>
  <c r="U357" i="68" s="1"/>
  <c r="U421" i="68" s="1"/>
  <c r="U292" i="68"/>
  <c r="AH283" i="68"/>
  <c r="AH284" i="68"/>
  <c r="AH348" i="68" s="1"/>
  <c r="AH412" i="68" s="1"/>
  <c r="W496" i="68"/>
  <c r="W497" i="68"/>
  <c r="W561" i="68" s="1"/>
  <c r="W625" i="68" s="1"/>
  <c r="U58" i="68"/>
  <c r="U59" i="68"/>
  <c r="U123" i="68" s="1"/>
  <c r="U187" i="68" s="1"/>
  <c r="AF322" i="72"/>
  <c r="AF344" i="72"/>
  <c r="V88" i="68"/>
  <c r="V89" i="68"/>
  <c r="V153" i="68" s="1"/>
  <c r="V217" i="68" s="1"/>
  <c r="T88" i="68"/>
  <c r="T89" i="68"/>
  <c r="T153" i="68" s="1"/>
  <c r="T217" i="68" s="1"/>
  <c r="AF143" i="68"/>
  <c r="W476" i="68"/>
  <c r="V572" i="72"/>
  <c r="J261" i="68"/>
  <c r="I554" i="72"/>
  <c r="W530" i="68"/>
  <c r="W594" i="68" s="1"/>
  <c r="W658" i="68" s="1"/>
  <c r="W529" i="68"/>
  <c r="T482" i="68"/>
  <c r="S578" i="72"/>
  <c r="AC274" i="68"/>
  <c r="AC275" i="68"/>
  <c r="AC339" i="68" s="1"/>
  <c r="AC403" i="68" s="1"/>
  <c r="AB578" i="72"/>
  <c r="AC482" i="68"/>
  <c r="V264" i="68"/>
  <c r="U557" i="72"/>
  <c r="AA262" i="68"/>
  <c r="Z555" i="72"/>
  <c r="Y486" i="68"/>
  <c r="X582" i="72"/>
  <c r="P485" i="68"/>
  <c r="O581" i="72"/>
  <c r="L483" i="68"/>
  <c r="K579" i="72"/>
  <c r="AD264" i="68"/>
  <c r="AC557" i="72"/>
  <c r="T323" i="68"/>
  <c r="T387" i="68" s="1"/>
  <c r="T451" i="68" s="1"/>
  <c r="T322" i="68"/>
  <c r="Z520" i="68"/>
  <c r="Z521" i="68"/>
  <c r="Z585" i="68" s="1"/>
  <c r="Z649" i="68" s="1"/>
  <c r="O546" i="72"/>
  <c r="AC131" i="68"/>
  <c r="R119" i="68"/>
  <c r="J538" i="68"/>
  <c r="J602" i="68" s="1"/>
  <c r="J539" i="68"/>
  <c r="Q68" i="68"/>
  <c r="Q132" i="68" s="1"/>
  <c r="Q196" i="68" s="1"/>
  <c r="Q67" i="68"/>
  <c r="I495" i="72"/>
  <c r="I517" i="72"/>
  <c r="N292" i="68"/>
  <c r="N293" i="68"/>
  <c r="N357" i="68" s="1"/>
  <c r="N421" i="68" s="1"/>
  <c r="W478" i="68"/>
  <c r="V574" i="72"/>
  <c r="AC478" i="68"/>
  <c r="AB574" i="72"/>
  <c r="Z254" i="68"/>
  <c r="Y547" i="72"/>
  <c r="X283" i="68"/>
  <c r="X284" i="68"/>
  <c r="X348" i="68" s="1"/>
  <c r="X412" i="68" s="1"/>
  <c r="AH304" i="68"/>
  <c r="AH305" i="68"/>
  <c r="AH369" i="68" s="1"/>
  <c r="AH433" i="68" s="1"/>
  <c r="AG344" i="72"/>
  <c r="AG322" i="72"/>
  <c r="Z90" i="68"/>
  <c r="Z152" i="68"/>
  <c r="T280" i="68"/>
  <c r="T281" i="68"/>
  <c r="T345" i="68" s="1"/>
  <c r="T409" i="68" s="1"/>
  <c r="AG476" i="68"/>
  <c r="AF572" i="72"/>
  <c r="AF518" i="68"/>
  <c r="AF582" i="68" s="1"/>
  <c r="AF646" i="68" s="1"/>
  <c r="AF517" i="68"/>
  <c r="R571" i="72"/>
  <c r="S475" i="68"/>
  <c r="L299" i="68"/>
  <c r="L363" i="68" s="1"/>
  <c r="L427" i="68" s="1"/>
  <c r="L298" i="68"/>
  <c r="AD262" i="68"/>
  <c r="AC555" i="72"/>
  <c r="V97" i="68"/>
  <c r="V98" i="68"/>
  <c r="V162" i="68" s="1"/>
  <c r="V226" i="68" s="1"/>
  <c r="J532" i="68"/>
  <c r="J533" i="68"/>
  <c r="J597" i="68" s="1"/>
  <c r="J661" i="68" s="1"/>
  <c r="I174" i="68"/>
  <c r="I238" i="68" s="1"/>
  <c r="AD558" i="72"/>
  <c r="AE265" i="68"/>
  <c r="AD577" i="72"/>
  <c r="X581" i="72"/>
  <c r="Y47" i="68"/>
  <c r="W263" i="68"/>
  <c r="V556" i="72"/>
  <c r="O95" i="68"/>
  <c r="O159" i="68" s="1"/>
  <c r="O223" i="68" s="1"/>
  <c r="O94" i="68"/>
  <c r="I101" i="68"/>
  <c r="I165" i="68" s="1"/>
  <c r="I229" i="68" s="1"/>
  <c r="I100" i="68"/>
  <c r="X276" i="68"/>
  <c r="X338" i="68"/>
  <c r="K470" i="68"/>
  <c r="J566" i="72"/>
  <c r="M503" i="68"/>
  <c r="M567" i="68" s="1"/>
  <c r="M631" i="68" s="1"/>
  <c r="M502" i="68"/>
  <c r="AG308" i="68"/>
  <c r="AG372" i="68" s="1"/>
  <c r="AG436" i="68" s="1"/>
  <c r="AG307" i="68"/>
  <c r="L308" i="68"/>
  <c r="L372" i="68" s="1"/>
  <c r="L436" i="68" s="1"/>
  <c r="L307" i="68"/>
  <c r="Z134" i="68"/>
  <c r="AA547" i="68"/>
  <c r="AA548" i="68"/>
  <c r="AA612" i="68" s="1"/>
  <c r="AA676" i="68" s="1"/>
  <c r="Q89" i="68"/>
  <c r="Q153" i="68" s="1"/>
  <c r="Q217" i="68" s="1"/>
  <c r="Q88" i="68"/>
  <c r="T517" i="72"/>
  <c r="T495" i="72"/>
  <c r="AH524" i="68"/>
  <c r="AH588" i="68" s="1"/>
  <c r="AH652" i="68" s="1"/>
  <c r="AH523" i="68"/>
  <c r="Z506" i="68"/>
  <c r="Z570" i="68" s="1"/>
  <c r="Z634" i="68" s="1"/>
  <c r="Z505" i="68"/>
  <c r="AD573" i="72"/>
  <c r="AE477" i="68"/>
  <c r="Y499" i="68"/>
  <c r="Y500" i="68"/>
  <c r="Y564" i="68" s="1"/>
  <c r="Y628" i="68" s="1"/>
  <c r="U286" i="68"/>
  <c r="U287" i="68"/>
  <c r="U351" i="68" s="1"/>
  <c r="U415" i="68" s="1"/>
  <c r="Z547" i="72"/>
  <c r="AF497" i="68"/>
  <c r="AF561" i="68" s="1"/>
  <c r="AF625" i="68" s="1"/>
  <c r="AF496" i="68"/>
  <c r="V508" i="68"/>
  <c r="V509" i="68"/>
  <c r="V573" i="68" s="1"/>
  <c r="V637" i="68" s="1"/>
  <c r="Z304" i="68"/>
  <c r="Z305" i="68"/>
  <c r="Z369" i="68" s="1"/>
  <c r="Z433" i="68" s="1"/>
  <c r="W290" i="68"/>
  <c r="W354" i="68" s="1"/>
  <c r="W418" i="68" s="1"/>
  <c r="W289" i="68"/>
  <c r="Q284" i="68"/>
  <c r="Q348" i="68" s="1"/>
  <c r="Q412" i="68" s="1"/>
  <c r="Q283" i="68"/>
  <c r="L259" i="68"/>
  <c r="K552" i="72"/>
  <c r="I571" i="72"/>
  <c r="I550" i="72"/>
  <c r="V256" i="68"/>
  <c r="U549" i="72"/>
  <c r="AA480" i="68"/>
  <c r="Z576" i="72"/>
  <c r="M104" i="68"/>
  <c r="M168" i="68" s="1"/>
  <c r="M232" i="68" s="1"/>
  <c r="M103" i="68"/>
  <c r="AF92" i="68"/>
  <c r="AF156" i="68" s="1"/>
  <c r="AF220" i="68" s="1"/>
  <c r="AF91" i="68"/>
  <c r="Q547" i="68"/>
  <c r="Q548" i="68"/>
  <c r="Q612" i="68" s="1"/>
  <c r="Q676" i="68" s="1"/>
  <c r="N481" i="68"/>
  <c r="M577" i="72"/>
  <c r="W323" i="68"/>
  <c r="W387" i="68" s="1"/>
  <c r="W451" i="68" s="1"/>
  <c r="W322" i="68"/>
  <c r="Z275" i="68"/>
  <c r="Z339" i="68" s="1"/>
  <c r="Z403" i="68" s="1"/>
  <c r="Z274" i="68"/>
  <c r="AE101" i="68"/>
  <c r="AE165" i="68" s="1"/>
  <c r="AE229" i="68" s="1"/>
  <c r="AE100" i="68"/>
  <c r="X556" i="72"/>
  <c r="AA556" i="72"/>
  <c r="AF264" i="68"/>
  <c r="AE557" i="72"/>
  <c r="N486" i="68"/>
  <c r="M582" i="72"/>
  <c r="AB538" i="68"/>
  <c r="AB539" i="68"/>
  <c r="AB603" i="68" s="1"/>
  <c r="AB667" i="68" s="1"/>
  <c r="U91" i="68"/>
  <c r="U155" i="68" s="1"/>
  <c r="U92" i="68"/>
  <c r="I536" i="68"/>
  <c r="I600" i="68" s="1"/>
  <c r="I664" i="68" s="1"/>
  <c r="I535" i="68"/>
  <c r="R530" i="68"/>
  <c r="R594" i="68" s="1"/>
  <c r="R658" i="68" s="1"/>
  <c r="R529" i="68"/>
  <c r="U579" i="72"/>
  <c r="AA344" i="72"/>
  <c r="AA322" i="72"/>
  <c r="V316" i="68"/>
  <c r="V380" i="68" s="1"/>
  <c r="V317" i="68"/>
  <c r="AF119" i="68"/>
  <c r="H572" i="72"/>
  <c r="I476" i="68"/>
  <c r="J62" i="68"/>
  <c r="J126" i="68" s="1"/>
  <c r="J190" i="68" s="1"/>
  <c r="J61" i="68"/>
  <c r="AA140" i="68"/>
  <c r="J517" i="72"/>
  <c r="J495" i="72"/>
  <c r="R314" i="68"/>
  <c r="R378" i="68" s="1"/>
  <c r="R442" i="68" s="1"/>
  <c r="R313" i="68"/>
  <c r="K344" i="72"/>
  <c r="K322" i="72"/>
  <c r="S471" i="68"/>
  <c r="R567" i="72"/>
  <c r="T284" i="68"/>
  <c r="T348" i="68" s="1"/>
  <c r="T412" i="68" s="1"/>
  <c r="T283" i="68"/>
  <c r="AH293" i="68"/>
  <c r="AH357" i="68" s="1"/>
  <c r="AH421" i="68" s="1"/>
  <c r="AH292" i="68"/>
  <c r="AC60" i="68"/>
  <c r="AC122" i="68"/>
  <c r="M477" i="68"/>
  <c r="L573" i="72"/>
  <c r="L98" i="68"/>
  <c r="L162" i="68" s="1"/>
  <c r="L226" i="68" s="1"/>
  <c r="L97" i="68"/>
  <c r="AG55" i="68"/>
  <c r="AG56" i="68"/>
  <c r="AG120" i="68" s="1"/>
  <c r="AG184" i="68" s="1"/>
  <c r="I542" i="68"/>
  <c r="I606" i="68" s="1"/>
  <c r="I670" i="68" s="1"/>
  <c r="I541" i="68"/>
  <c r="U280" i="68"/>
  <c r="U281" i="68"/>
  <c r="U345" i="68" s="1"/>
  <c r="U409" i="68" s="1"/>
  <c r="U493" i="68"/>
  <c r="U557" i="68" s="1"/>
  <c r="U494" i="68"/>
  <c r="AC474" i="68"/>
  <c r="AB570" i="72"/>
  <c r="AF169" i="72"/>
  <c r="AF147" i="72"/>
  <c r="L527" i="68"/>
  <c r="L591" i="68" s="1"/>
  <c r="L655" i="68" s="1"/>
  <c r="L526" i="68"/>
  <c r="M511" i="68"/>
  <c r="M512" i="68"/>
  <c r="M576" i="68" s="1"/>
  <c r="M640" i="68" s="1"/>
  <c r="I83" i="68"/>
  <c r="I147" i="68" s="1"/>
  <c r="I211" i="68" s="1"/>
  <c r="I82" i="68"/>
  <c r="AA257" i="68"/>
  <c r="Z550" i="72"/>
  <c r="AE581" i="72"/>
  <c r="AF485" i="68"/>
  <c r="AC104" i="68"/>
  <c r="AC168" i="68" s="1"/>
  <c r="AC232" i="68" s="1"/>
  <c r="AC103" i="68"/>
  <c r="U249" i="68"/>
  <c r="T542" i="72"/>
  <c r="S483" i="68"/>
  <c r="R579" i="72"/>
  <c r="V541" i="68"/>
  <c r="V605" i="68" s="1"/>
  <c r="V542" i="68"/>
  <c r="L560" i="72"/>
  <c r="N505" i="68"/>
  <c r="N506" i="68"/>
  <c r="N570" i="68" s="1"/>
  <c r="N634" i="68" s="1"/>
  <c r="P503" i="68"/>
  <c r="P567" i="68" s="1"/>
  <c r="P631" i="68" s="1"/>
  <c r="P502" i="68"/>
  <c r="AE508" i="68"/>
  <c r="AE509" i="68"/>
  <c r="AE573" i="68" s="1"/>
  <c r="AE637" i="68" s="1"/>
  <c r="I280" i="68"/>
  <c r="I281" i="68"/>
  <c r="I345" i="68" s="1"/>
  <c r="I409" i="68" s="1"/>
  <c r="Y253" i="68"/>
  <c r="X546" i="72"/>
  <c r="Y512" i="68"/>
  <c r="Y576" i="68" s="1"/>
  <c r="Y640" i="68" s="1"/>
  <c r="Y511" i="68"/>
  <c r="S251" i="68"/>
  <c r="R544" i="72"/>
  <c r="X511" i="68"/>
  <c r="X512" i="68"/>
  <c r="X576" i="68" s="1"/>
  <c r="X640" i="68" s="1"/>
  <c r="J301" i="68"/>
  <c r="J302" i="68"/>
  <c r="J366" i="68" s="1"/>
  <c r="J430" i="68" s="1"/>
  <c r="AB134" i="68"/>
  <c r="V305" i="68"/>
  <c r="V369" i="68" s="1"/>
  <c r="V433" i="68" s="1"/>
  <c r="V304" i="68"/>
  <c r="AA307" i="68"/>
  <c r="P58" i="68"/>
  <c r="P59" i="68"/>
  <c r="P123" i="68" s="1"/>
  <c r="P187" i="68" s="1"/>
  <c r="M76" i="68"/>
  <c r="M77" i="68"/>
  <c r="M141" i="68" s="1"/>
  <c r="M205" i="68" s="1"/>
  <c r="S140" i="68"/>
  <c r="L571" i="72"/>
  <c r="M475" i="68"/>
  <c r="P484" i="68"/>
  <c r="O580" i="72"/>
  <c r="AH267" i="68"/>
  <c r="AG560" i="72"/>
  <c r="L110" i="68"/>
  <c r="L174" i="68" s="1"/>
  <c r="L238" i="68" s="1"/>
  <c r="L109" i="68"/>
  <c r="J319" i="68"/>
  <c r="J383" i="68" s="1"/>
  <c r="J320" i="68"/>
  <c r="AB548" i="68"/>
  <c r="AB612" i="68" s="1"/>
  <c r="AB676" i="68" s="1"/>
  <c r="AB547" i="68"/>
  <c r="U535" i="68"/>
  <c r="U536" i="68"/>
  <c r="U600" i="68" s="1"/>
  <c r="U664" i="68" s="1"/>
  <c r="AB262" i="68"/>
  <c r="AA555" i="72"/>
  <c r="O275" i="68"/>
  <c r="O339" i="68" s="1"/>
  <c r="O403" i="68" s="1"/>
  <c r="O274" i="68"/>
  <c r="T262" i="68"/>
  <c r="S555" i="72"/>
  <c r="AF564" i="72"/>
  <c r="AD517" i="72"/>
  <c r="AD495" i="72"/>
  <c r="V575" i="72"/>
  <c r="W479" i="68"/>
  <c r="AA568" i="72"/>
  <c r="AB472" i="68"/>
  <c r="O508" i="68"/>
  <c r="O509" i="68"/>
  <c r="O573" i="68" s="1"/>
  <c r="O637" i="68" s="1"/>
  <c r="Y283" i="68"/>
  <c r="Y284" i="68"/>
  <c r="Y348" i="68" s="1"/>
  <c r="Y412" i="68" s="1"/>
  <c r="I289" i="68"/>
  <c r="I290" i="68"/>
  <c r="I354" i="68" s="1"/>
  <c r="I418" i="68" s="1"/>
  <c r="S258" i="68"/>
  <c r="R551" i="72"/>
  <c r="R293" i="68"/>
  <c r="R357" i="68" s="1"/>
  <c r="R421" i="68" s="1"/>
  <c r="R292" i="68"/>
  <c r="AD301" i="68"/>
  <c r="AD302" i="68"/>
  <c r="AD366" i="68" s="1"/>
  <c r="AD430" i="68" s="1"/>
  <c r="V481" i="68"/>
  <c r="U577" i="72"/>
  <c r="Q94" i="68"/>
  <c r="Q158" i="68" s="1"/>
  <c r="Q95" i="68"/>
  <c r="AE263" i="68"/>
  <c r="AD556" i="72"/>
  <c r="U56" i="68"/>
  <c r="U120" i="68" s="1"/>
  <c r="U184" i="68" s="1"/>
  <c r="U55" i="68"/>
  <c r="AD263" i="68"/>
  <c r="AC556" i="72"/>
  <c r="AH263" i="68"/>
  <c r="AG556" i="72"/>
  <c r="Q485" i="68"/>
  <c r="P581" i="72"/>
  <c r="AF480" i="68"/>
  <c r="AE576" i="72"/>
  <c r="P100" i="68"/>
  <c r="P101" i="68"/>
  <c r="P165" i="68" s="1"/>
  <c r="P229" i="68" s="1"/>
  <c r="K556" i="72"/>
  <c r="AA161" i="68"/>
  <c r="L252" i="68"/>
  <c r="K545" i="72"/>
  <c r="T497" i="68"/>
  <c r="T561" i="68" s="1"/>
  <c r="T625" i="68" s="1"/>
  <c r="T496" i="68"/>
  <c r="AF570" i="72"/>
  <c r="AG474" i="68"/>
  <c r="AA496" i="68"/>
  <c r="AA497" i="68"/>
  <c r="AA561" i="68" s="1"/>
  <c r="AA625" i="68" s="1"/>
  <c r="J283" i="68"/>
  <c r="J284" i="68"/>
  <c r="J348" i="68" s="1"/>
  <c r="J412" i="68" s="1"/>
  <c r="K517" i="72"/>
  <c r="K495" i="72"/>
  <c r="Y137" i="68"/>
  <c r="Z75" i="68"/>
  <c r="Z137" i="68"/>
  <c r="V278" i="68"/>
  <c r="V342" i="68" s="1"/>
  <c r="V406" i="68" s="1"/>
  <c r="V277" i="68"/>
  <c r="S72" i="68"/>
  <c r="S134" i="68"/>
  <c r="J70" i="68"/>
  <c r="J71" i="68"/>
  <c r="J135" i="68" s="1"/>
  <c r="J199" i="68" s="1"/>
  <c r="I301" i="68"/>
  <c r="I302" i="68"/>
  <c r="I366" i="68" s="1"/>
  <c r="I430" i="68" s="1"/>
  <c r="T69" i="68"/>
  <c r="T131" i="68"/>
  <c r="Z256" i="68"/>
  <c r="Y549" i="72"/>
  <c r="S486" i="68"/>
  <c r="R582" i="72"/>
  <c r="AD482" i="68"/>
  <c r="AC578" i="72"/>
  <c r="M539" i="68"/>
  <c r="M603" i="68" s="1"/>
  <c r="M667" i="68" s="1"/>
  <c r="M538" i="68"/>
  <c r="N328" i="68"/>
  <c r="N392" i="68" s="1"/>
  <c r="N329" i="68"/>
  <c r="W107" i="68"/>
  <c r="W171" i="68" s="1"/>
  <c r="W235" i="68" s="1"/>
  <c r="W106" i="68"/>
  <c r="X101" i="68"/>
  <c r="X165" i="68" s="1"/>
  <c r="X229" i="68" s="1"/>
  <c r="X100" i="68"/>
  <c r="P316" i="68"/>
  <c r="P317" i="68"/>
  <c r="P381" i="68" s="1"/>
  <c r="P445" i="68" s="1"/>
  <c r="R316" i="68"/>
  <c r="R317" i="68"/>
  <c r="R381" i="68" s="1"/>
  <c r="R445" i="68" s="1"/>
  <c r="AE511" i="68"/>
  <c r="AE512" i="68"/>
  <c r="AE576" i="68" s="1"/>
  <c r="AE640" i="68" s="1"/>
  <c r="N497" i="68"/>
  <c r="N561" i="68" s="1"/>
  <c r="N625" i="68" s="1"/>
  <c r="N496" i="68"/>
  <c r="I570" i="72"/>
  <c r="AG496" i="68"/>
  <c r="AG497" i="68"/>
  <c r="AG561" i="68" s="1"/>
  <c r="AG625" i="68" s="1"/>
  <c r="AE497" i="68"/>
  <c r="AE561" i="68" s="1"/>
  <c r="AE625" i="68" s="1"/>
  <c r="AE496" i="68"/>
  <c r="P568" i="72"/>
  <c r="Q472" i="68"/>
  <c r="M473" i="68"/>
  <c r="L569" i="72"/>
  <c r="O506" i="68"/>
  <c r="O570" i="68" s="1"/>
  <c r="O634" i="68" s="1"/>
  <c r="O505" i="68"/>
  <c r="T503" i="68"/>
  <c r="T567" i="68" s="1"/>
  <c r="T631" i="68" s="1"/>
  <c r="T502" i="68"/>
  <c r="J58" i="68"/>
  <c r="J59" i="68"/>
  <c r="J123" i="68" s="1"/>
  <c r="J187" i="68" s="1"/>
  <c r="N301" i="68"/>
  <c r="N302" i="68"/>
  <c r="N366" i="68" s="1"/>
  <c r="N430" i="68" s="1"/>
  <c r="AD134" i="68"/>
  <c r="M147" i="72"/>
  <c r="M169" i="72"/>
  <c r="J572" i="72"/>
  <c r="M256" i="68"/>
  <c r="L549" i="72"/>
  <c r="AD486" i="68"/>
  <c r="AC582" i="72"/>
  <c r="X317" i="68"/>
  <c r="X381" i="68" s="1"/>
  <c r="X445" i="68" s="1"/>
  <c r="X316" i="68"/>
  <c r="Q322" i="68"/>
  <c r="Q323" i="68"/>
  <c r="Q387" i="68" s="1"/>
  <c r="Q451" i="68" s="1"/>
  <c r="V577" i="72"/>
  <c r="W481" i="68"/>
  <c r="Q560" i="72"/>
  <c r="AF101" i="68"/>
  <c r="AF165" i="68" s="1"/>
  <c r="AF229" i="68" s="1"/>
  <c r="AF100" i="68"/>
  <c r="Y530" i="68"/>
  <c r="Y594" i="68" s="1"/>
  <c r="Y658" i="68" s="1"/>
  <c r="Y529" i="68"/>
  <c r="U304" i="68"/>
  <c r="U305" i="68"/>
  <c r="U369" i="68" s="1"/>
  <c r="U433" i="68" s="1"/>
  <c r="T72" i="68"/>
  <c r="T134" i="68"/>
  <c r="M299" i="68"/>
  <c r="M363" i="68" s="1"/>
  <c r="M427" i="68" s="1"/>
  <c r="M298" i="68"/>
  <c r="P560" i="72"/>
  <c r="AF535" i="68"/>
  <c r="AF536" i="68"/>
  <c r="AF600" i="68" s="1"/>
  <c r="AF664" i="68" s="1"/>
  <c r="Q565" i="72"/>
  <c r="R469" i="68"/>
  <c r="M250" i="68"/>
  <c r="L543" i="72"/>
  <c r="T575" i="72"/>
  <c r="U479" i="68"/>
  <c r="T472" i="68"/>
  <c r="S568" i="72"/>
  <c r="H573" i="72"/>
  <c r="N259" i="68"/>
  <c r="M552" i="72"/>
  <c r="I140" i="68"/>
  <c r="O90" i="68"/>
  <c r="O152" i="68"/>
  <c r="AB90" i="68"/>
  <c r="AB152" i="68"/>
  <c r="X476" i="68"/>
  <c r="W572" i="72"/>
  <c r="AA485" i="68"/>
  <c r="Z581" i="72"/>
  <c r="V576" i="72"/>
  <c r="N529" i="68"/>
  <c r="N530" i="68"/>
  <c r="N594" i="68" s="1"/>
  <c r="N658" i="68" s="1"/>
  <c r="AF310" i="68"/>
  <c r="AF311" i="68"/>
  <c r="AF375" i="68" s="1"/>
  <c r="AF439" i="68" s="1"/>
  <c r="V580" i="72"/>
  <c r="W484" i="68"/>
  <c r="AB484" i="68"/>
  <c r="AA580" i="72"/>
  <c r="R580" i="72"/>
  <c r="AE485" i="68"/>
  <c r="AD581" i="72"/>
  <c r="AF249" i="68"/>
  <c r="AE542" i="72"/>
  <c r="W547" i="68"/>
  <c r="W611" i="68" s="1"/>
  <c r="W548" i="68"/>
  <c r="P287" i="68"/>
  <c r="P351" i="68" s="1"/>
  <c r="P415" i="68" s="1"/>
  <c r="P286" i="68"/>
  <c r="O296" i="68"/>
  <c r="O360" i="68" s="1"/>
  <c r="O424" i="68" s="1"/>
  <c r="O295" i="68"/>
  <c r="P119" i="68"/>
  <c r="AA576" i="72"/>
  <c r="Y477" i="68"/>
  <c r="X573" i="72"/>
  <c r="AG553" i="72"/>
  <c r="AH260" i="68"/>
  <c r="Z512" i="68"/>
  <c r="Z576" i="68" s="1"/>
  <c r="Z640" i="68" s="1"/>
  <c r="Z511" i="68"/>
  <c r="M548" i="72"/>
  <c r="AB524" i="68"/>
  <c r="AB588" i="68" s="1"/>
  <c r="AB652" i="68" s="1"/>
  <c r="AB523" i="68"/>
  <c r="S526" i="68"/>
  <c r="S527" i="68"/>
  <c r="S591" i="68" s="1"/>
  <c r="S655" i="68" s="1"/>
  <c r="U574" i="72"/>
  <c r="V478" i="68"/>
  <c r="P512" i="68"/>
  <c r="P576" i="68" s="1"/>
  <c r="P640" i="68" s="1"/>
  <c r="P511" i="68"/>
  <c r="AB546" i="72"/>
  <c r="AC253" i="68"/>
  <c r="AB508" i="68"/>
  <c r="AB509" i="68"/>
  <c r="AB573" i="68" s="1"/>
  <c r="AB637" i="68" s="1"/>
  <c r="AB322" i="72"/>
  <c r="AB344" i="72"/>
  <c r="W260" i="68"/>
  <c r="V553" i="72"/>
  <c r="W545" i="72"/>
  <c r="AG258" i="68"/>
  <c r="AF551" i="72"/>
  <c r="J90" i="68"/>
  <c r="J152" i="68"/>
  <c r="AE81" i="68"/>
  <c r="AE143" i="68"/>
  <c r="M131" i="68"/>
  <c r="X257" i="68"/>
  <c r="W550" i="72"/>
  <c r="P577" i="72"/>
  <c r="O109" i="68"/>
  <c r="O110" i="68"/>
  <c r="O174" i="68" s="1"/>
  <c r="O238" i="68" s="1"/>
  <c r="AC558" i="72"/>
  <c r="Z94" i="68"/>
  <c r="Z95" i="68"/>
  <c r="Z159" i="68" s="1"/>
  <c r="Z223" i="68" s="1"/>
  <c r="Y94" i="68"/>
  <c r="Y95" i="68"/>
  <c r="Y159" i="68" s="1"/>
  <c r="Y223" i="68" s="1"/>
  <c r="AE532" i="68"/>
  <c r="AE596" i="68" s="1"/>
  <c r="AE533" i="68"/>
  <c r="AA577" i="72"/>
  <c r="Q93" i="68"/>
  <c r="Q155" i="68"/>
  <c r="AB556" i="72"/>
  <c r="AC93" i="68"/>
  <c r="AC155" i="68"/>
  <c r="U495" i="72"/>
  <c r="U517" i="72"/>
  <c r="W502" i="68"/>
  <c r="W503" i="68"/>
  <c r="W567" i="68" s="1"/>
  <c r="W631" i="68" s="1"/>
  <c r="X140" i="68"/>
  <c r="L578" i="72"/>
  <c r="H559" i="72"/>
  <c r="J65" i="68"/>
  <c r="J129" i="68" s="1"/>
  <c r="J193" i="68" s="1"/>
  <c r="J64" i="68"/>
  <c r="Z252" i="68"/>
  <c r="Y545" i="72"/>
  <c r="W509" i="68"/>
  <c r="W573" i="68" s="1"/>
  <c r="W637" i="68" s="1"/>
  <c r="W508" i="68"/>
  <c r="Y478" i="68"/>
  <c r="X574" i="72"/>
  <c r="AG304" i="68"/>
  <c r="AG305" i="68"/>
  <c r="AG369" i="68" s="1"/>
  <c r="AG433" i="68" s="1"/>
  <c r="AA289" i="68"/>
  <c r="AA290" i="68"/>
  <c r="AA354" i="68" s="1"/>
  <c r="AA418" i="68" s="1"/>
  <c r="L258" i="68"/>
  <c r="K551" i="72"/>
  <c r="I552" i="72"/>
  <c r="Z81" i="68"/>
  <c r="Z143" i="68"/>
  <c r="J79" i="68"/>
  <c r="J80" i="68"/>
  <c r="J144" i="68" s="1"/>
  <c r="J208" i="68" s="1"/>
  <c r="AH290" i="68"/>
  <c r="AH354" i="68" s="1"/>
  <c r="AH418" i="68" s="1"/>
  <c r="AH289" i="68"/>
  <c r="X84" i="68"/>
  <c r="X146" i="68"/>
  <c r="N90" i="68"/>
  <c r="N152" i="68"/>
  <c r="M518" i="68"/>
  <c r="M582" i="68" s="1"/>
  <c r="M646" i="68" s="1"/>
  <c r="M517" i="68"/>
  <c r="J515" i="68"/>
  <c r="J579" i="68" s="1"/>
  <c r="J643" i="68" s="1"/>
  <c r="J514" i="68"/>
  <c r="J298" i="68"/>
  <c r="J299" i="68"/>
  <c r="J363" i="68" s="1"/>
  <c r="J427" i="68" s="1"/>
  <c r="AD267" i="68"/>
  <c r="AC560" i="72"/>
  <c r="Y266" i="68"/>
  <c r="X559" i="72"/>
  <c r="AB558" i="72"/>
  <c r="AC265" i="68"/>
  <c r="V558" i="72"/>
  <c r="AB579" i="72"/>
  <c r="AC483" i="68"/>
  <c r="Q263" i="68"/>
  <c r="P556" i="72"/>
  <c r="Y316" i="68"/>
  <c r="Y317" i="68"/>
  <c r="Y381" i="68" s="1"/>
  <c r="Y445" i="68" s="1"/>
  <c r="AF107" i="68"/>
  <c r="AF171" i="68" s="1"/>
  <c r="AF235" i="68" s="1"/>
  <c r="AF106" i="68"/>
  <c r="AG263" i="68"/>
  <c r="AF556" i="72"/>
  <c r="I99" i="68"/>
  <c r="I161" i="68"/>
  <c r="L481" i="68"/>
  <c r="K577" i="72"/>
  <c r="U98" i="68"/>
  <c r="U162" i="68" s="1"/>
  <c r="U226" i="68" s="1"/>
  <c r="U97" i="68"/>
  <c r="AH88" i="68"/>
  <c r="AH89" i="68"/>
  <c r="AH153" i="68" s="1"/>
  <c r="AH217" i="68" s="1"/>
  <c r="Z231" i="68"/>
  <c r="E9" i="1"/>
  <c r="P156" i="68" l="1"/>
  <c r="P220" i="68" s="1"/>
  <c r="Z161" i="68"/>
  <c r="U134" i="68"/>
  <c r="Z84" i="68"/>
  <c r="L81" i="68"/>
  <c r="AE63" i="68"/>
  <c r="X307" i="68"/>
  <c r="AF75" i="68"/>
  <c r="AA533" i="68"/>
  <c r="AA597" i="68" s="1"/>
  <c r="AA661" i="68" s="1"/>
  <c r="AB517" i="68"/>
  <c r="AF159" i="68"/>
  <c r="AF223" i="68" s="1"/>
  <c r="AF88" i="68"/>
  <c r="Q84" i="68"/>
  <c r="AE535" i="68"/>
  <c r="AF494" i="68"/>
  <c r="AF558" i="68" s="1"/>
  <c r="AF622" i="68" s="1"/>
  <c r="AC292" i="68"/>
  <c r="AC294" i="68" s="1"/>
  <c r="AA500" i="68"/>
  <c r="AA564" i="68" s="1"/>
  <c r="AA628" i="68" s="1"/>
  <c r="AA84" i="68"/>
  <c r="Q137" i="68"/>
  <c r="Q201" i="68" s="1"/>
  <c r="Q203" i="68" s="1"/>
  <c r="AB526" i="68"/>
  <c r="AB590" i="68" s="1"/>
  <c r="AC71" i="68"/>
  <c r="AC135" i="68" s="1"/>
  <c r="AC199" i="68" s="1"/>
  <c r="V506" i="68"/>
  <c r="V570" i="68" s="1"/>
  <c r="V634" i="68" s="1"/>
  <c r="AF167" i="68"/>
  <c r="U87" i="68"/>
  <c r="K105" i="68"/>
  <c r="AB84" i="68"/>
  <c r="P283" i="68"/>
  <c r="V87" i="68"/>
  <c r="K128" i="68"/>
  <c r="K192" i="68" s="1"/>
  <c r="K194" i="68" s="1"/>
  <c r="O167" i="68"/>
  <c r="O231" i="68" s="1"/>
  <c r="O233" i="68" s="1"/>
  <c r="AF85" i="68"/>
  <c r="AF149" i="68" s="1"/>
  <c r="AG75" i="68"/>
  <c r="Z105" i="68"/>
  <c r="AD500" i="68"/>
  <c r="AD564" i="68" s="1"/>
  <c r="AD628" i="68" s="1"/>
  <c r="T298" i="68"/>
  <c r="T300" i="68" s="1"/>
  <c r="Z517" i="68"/>
  <c r="Z581" i="68" s="1"/>
  <c r="AD307" i="68"/>
  <c r="AD309" i="68" s="1"/>
  <c r="N69" i="68"/>
  <c r="AG111" i="68"/>
  <c r="AD64" i="68"/>
  <c r="K78" i="68"/>
  <c r="AD505" i="68"/>
  <c r="AD569" i="68" s="1"/>
  <c r="AA99" i="68"/>
  <c r="K314" i="68"/>
  <c r="K378" i="68" s="1"/>
  <c r="K442" i="68" s="1"/>
  <c r="X60" i="68"/>
  <c r="O119" i="68"/>
  <c r="O183" i="68" s="1"/>
  <c r="O185" i="68" s="1"/>
  <c r="I548" i="68"/>
  <c r="I549" i="68" s="1"/>
  <c r="AB304" i="68"/>
  <c r="AB306" i="68" s="1"/>
  <c r="P170" i="68"/>
  <c r="P172" i="68" s="1"/>
  <c r="AD78" i="68"/>
  <c r="AA108" i="68"/>
  <c r="P99" i="68"/>
  <c r="W75" i="68"/>
  <c r="T102" i="68"/>
  <c r="T307" i="68"/>
  <c r="T371" i="68" s="1"/>
  <c r="V70" i="68"/>
  <c r="J170" i="68"/>
  <c r="J234" i="68" s="1"/>
  <c r="J236" i="68" s="1"/>
  <c r="S161" i="68"/>
  <c r="S225" i="68" s="1"/>
  <c r="S227" i="68" s="1"/>
  <c r="Q87" i="68"/>
  <c r="AC125" i="68"/>
  <c r="AH96" i="68"/>
  <c r="AH108" i="68"/>
  <c r="R517" i="68"/>
  <c r="R519" i="68" s="1"/>
  <c r="X72" i="68"/>
  <c r="Q529" i="68"/>
  <c r="N165" i="68"/>
  <c r="N229" i="68" s="1"/>
  <c r="N230" i="68" s="1"/>
  <c r="M69" i="68"/>
  <c r="I111" i="68"/>
  <c r="R57" i="68"/>
  <c r="O72" i="68"/>
  <c r="T111" i="68"/>
  <c r="P105" i="68"/>
  <c r="X78" i="68"/>
  <c r="AA128" i="68"/>
  <c r="AA192" i="68" s="1"/>
  <c r="AA194" i="68" s="1"/>
  <c r="O278" i="68"/>
  <c r="O342" i="68" s="1"/>
  <c r="O406" i="68" s="1"/>
  <c r="K526" i="68"/>
  <c r="K528" i="68" s="1"/>
  <c r="Q81" i="68"/>
  <c r="J502" i="68"/>
  <c r="J504" i="68" s="1"/>
  <c r="R508" i="68"/>
  <c r="R510" i="68" s="1"/>
  <c r="I93" i="68"/>
  <c r="AD143" i="68"/>
  <c r="AD207" i="68" s="1"/>
  <c r="AD209" i="68" s="1"/>
  <c r="X506" i="68"/>
  <c r="X570" i="68" s="1"/>
  <c r="X634" i="68" s="1"/>
  <c r="X527" i="68"/>
  <c r="X591" i="68" s="1"/>
  <c r="X655" i="68" s="1"/>
  <c r="S108" i="68"/>
  <c r="O143" i="68"/>
  <c r="O207" i="68" s="1"/>
  <c r="O209" i="68" s="1"/>
  <c r="S164" i="68"/>
  <c r="S228" i="68" s="1"/>
  <c r="S230" i="68" s="1"/>
  <c r="O524" i="68"/>
  <c r="O588" i="68" s="1"/>
  <c r="O652" i="68" s="1"/>
  <c r="K152" i="68"/>
  <c r="K154" i="68" s="1"/>
  <c r="P81" i="68"/>
  <c r="N78" i="68"/>
  <c r="U78" i="68"/>
  <c r="P524" i="68"/>
  <c r="P588" i="68" s="1"/>
  <c r="P652" i="68" s="1"/>
  <c r="J161" i="68"/>
  <c r="J225" i="68" s="1"/>
  <c r="J227" i="68" s="1"/>
  <c r="N317" i="68"/>
  <c r="N318" i="68" s="1"/>
  <c r="AG63" i="68"/>
  <c r="AB72" i="68"/>
  <c r="AB149" i="68"/>
  <c r="AB213" i="68" s="1"/>
  <c r="AB215" i="68" s="1"/>
  <c r="N162" i="68"/>
  <c r="N226" i="68" s="1"/>
  <c r="N227" i="68" s="1"/>
  <c r="AH66" i="68"/>
  <c r="AB137" i="68"/>
  <c r="AB201" i="68" s="1"/>
  <c r="AB203" i="68" s="1"/>
  <c r="P57" i="68"/>
  <c r="AG84" i="68"/>
  <c r="J84" i="68"/>
  <c r="O494" i="68"/>
  <c r="O558" i="68" s="1"/>
  <c r="O622" i="68" s="1"/>
  <c r="AD170" i="68"/>
  <c r="AD172" i="68" s="1"/>
  <c r="L101" i="68"/>
  <c r="L165" i="68" s="1"/>
  <c r="L229" i="68" s="1"/>
  <c r="Z164" i="68"/>
  <c r="Z228" i="68" s="1"/>
  <c r="Z230" i="68" s="1"/>
  <c r="AB78" i="68"/>
  <c r="R304" i="68"/>
  <c r="R306" i="68" s="1"/>
  <c r="Y81" i="68"/>
  <c r="L128" i="68"/>
  <c r="L130" i="68" s="1"/>
  <c r="W63" i="68"/>
  <c r="T547" i="68"/>
  <c r="T549" i="68" s="1"/>
  <c r="AG69" i="68"/>
  <c r="Z538" i="68"/>
  <c r="Z540" i="68" s="1"/>
  <c r="AB292" i="68"/>
  <c r="AB356" i="68" s="1"/>
  <c r="K63" i="68"/>
  <c r="L311" i="68"/>
  <c r="L375" i="68" s="1"/>
  <c r="L439" i="68" s="1"/>
  <c r="N308" i="68"/>
  <c r="N372" i="68" s="1"/>
  <c r="N436" i="68" s="1"/>
  <c r="AF72" i="68"/>
  <c r="Y87" i="68"/>
  <c r="AH301" i="68"/>
  <c r="AH365" i="68" s="1"/>
  <c r="AB128" i="68"/>
  <c r="AB192" i="68" s="1"/>
  <c r="AB194" i="68" s="1"/>
  <c r="W158" i="68"/>
  <c r="W160" i="68" s="1"/>
  <c r="U137" i="68"/>
  <c r="U139" i="68" s="1"/>
  <c r="AE59" i="68"/>
  <c r="AE123" i="68" s="1"/>
  <c r="AE187" i="68" s="1"/>
  <c r="Z322" i="68"/>
  <c r="Z324" i="68" s="1"/>
  <c r="AG131" i="68"/>
  <c r="AG195" i="68" s="1"/>
  <c r="AG197" i="68" s="1"/>
  <c r="AD111" i="68"/>
  <c r="K283" i="68"/>
  <c r="K285" i="68" s="1"/>
  <c r="S75" i="68"/>
  <c r="K87" i="68"/>
  <c r="J100" i="68"/>
  <c r="J164" i="68" s="1"/>
  <c r="J228" i="68" s="1"/>
  <c r="S159" i="68"/>
  <c r="S223" i="68" s="1"/>
  <c r="S224" i="68" s="1"/>
  <c r="T61" i="68"/>
  <c r="T63" i="68" s="1"/>
  <c r="Z125" i="68"/>
  <c r="Z189" i="68" s="1"/>
  <c r="Z191" i="68" s="1"/>
  <c r="V84" i="68"/>
  <c r="T78" i="68"/>
  <c r="S57" i="68"/>
  <c r="S149" i="68"/>
  <c r="S213" i="68" s="1"/>
  <c r="S215" i="68" s="1"/>
  <c r="S60" i="68"/>
  <c r="T84" i="68"/>
  <c r="AH81" i="68"/>
  <c r="S78" i="68"/>
  <c r="X93" i="68"/>
  <c r="AD520" i="68"/>
  <c r="AD522" i="68" s="1"/>
  <c r="X302" i="68"/>
  <c r="X366" i="68" s="1"/>
  <c r="X430" i="68" s="1"/>
  <c r="V66" i="68"/>
  <c r="S304" i="68"/>
  <c r="S306" i="68" s="1"/>
  <c r="W60" i="68"/>
  <c r="L93" i="68"/>
  <c r="P146" i="68"/>
  <c r="P210" i="68" s="1"/>
  <c r="P212" i="68" s="1"/>
  <c r="T295" i="68"/>
  <c r="T359" i="68" s="1"/>
  <c r="AA143" i="68"/>
  <c r="AA145" i="68" s="1"/>
  <c r="AE295" i="68"/>
  <c r="AE297" i="68" s="1"/>
  <c r="AH508" i="68"/>
  <c r="AH510" i="68" s="1"/>
  <c r="R87" i="68"/>
  <c r="AC84" i="68"/>
  <c r="S143" i="68"/>
  <c r="S207" i="68" s="1"/>
  <c r="S209" i="68" s="1"/>
  <c r="AD527" i="68"/>
  <c r="AD591" i="68" s="1"/>
  <c r="AD655" i="68" s="1"/>
  <c r="AA109" i="68"/>
  <c r="AA111" i="68" s="1"/>
  <c r="N72" i="68"/>
  <c r="Y75" i="68"/>
  <c r="AH541" i="68"/>
  <c r="AH543" i="68" s="1"/>
  <c r="AC278" i="68"/>
  <c r="AC342" i="68" s="1"/>
  <c r="AC406" i="68" s="1"/>
  <c r="J307" i="68"/>
  <c r="J309" i="68" s="1"/>
  <c r="AB105" i="68"/>
  <c r="V93" i="68"/>
  <c r="S499" i="68"/>
  <c r="S501" i="68" s="1"/>
  <c r="AA543" i="68"/>
  <c r="X530" i="68"/>
  <c r="X594" i="68" s="1"/>
  <c r="X658" i="68" s="1"/>
  <c r="X524" i="68"/>
  <c r="X588" i="68" s="1"/>
  <c r="X652" i="68" s="1"/>
  <c r="AC526" i="68"/>
  <c r="AC528" i="68" s="1"/>
  <c r="W299" i="68"/>
  <c r="W363" i="68" s="1"/>
  <c r="W427" i="68" s="1"/>
  <c r="J274" i="68"/>
  <c r="J338" i="68" s="1"/>
  <c r="AF313" i="68"/>
  <c r="AF315" i="68" s="1"/>
  <c r="M293" i="68"/>
  <c r="M357" i="68" s="1"/>
  <c r="M421" i="68" s="1"/>
  <c r="X105" i="68"/>
  <c r="AH99" i="68"/>
  <c r="R96" i="68"/>
  <c r="Q140" i="68"/>
  <c r="Q204" i="68" s="1"/>
  <c r="Q206" i="68" s="1"/>
  <c r="L76" i="68"/>
  <c r="L140" i="68" s="1"/>
  <c r="L204" i="68" s="1"/>
  <c r="L206" i="68" s="1"/>
  <c r="O77" i="68"/>
  <c r="O141" i="68" s="1"/>
  <c r="O205" i="68" s="1"/>
  <c r="AC76" i="68"/>
  <c r="AC78" i="68" s="1"/>
  <c r="R78" i="68"/>
  <c r="AH69" i="68"/>
  <c r="AD60" i="68"/>
  <c r="AF57" i="68"/>
  <c r="AC325" i="68"/>
  <c r="AC327" i="68" s="1"/>
  <c r="Z302" i="68"/>
  <c r="Z366" i="68" s="1"/>
  <c r="Z430" i="68" s="1"/>
  <c r="AE298" i="68"/>
  <c r="AE300" i="68" s="1"/>
  <c r="P301" i="68"/>
  <c r="P303" i="68" s="1"/>
  <c r="AB277" i="68"/>
  <c r="AB279" i="68" s="1"/>
  <c r="AE111" i="68"/>
  <c r="W111" i="68"/>
  <c r="R105" i="68"/>
  <c r="AG98" i="68"/>
  <c r="AG99" i="68" s="1"/>
  <c r="U173" i="68"/>
  <c r="U237" i="68" s="1"/>
  <c r="U239" i="68" s="1"/>
  <c r="AE93" i="68"/>
  <c r="O140" i="68"/>
  <c r="O204" i="68" s="1"/>
  <c r="T146" i="68"/>
  <c r="T148" i="68" s="1"/>
  <c r="V81" i="68"/>
  <c r="AG78" i="68"/>
  <c r="AF81" i="68"/>
  <c r="Y71" i="68"/>
  <c r="Y135" i="68" s="1"/>
  <c r="Y199" i="68" s="1"/>
  <c r="N134" i="68"/>
  <c r="N136" i="68" s="1"/>
  <c r="Y128" i="68"/>
  <c r="Y130" i="68" s="1"/>
  <c r="K56" i="68"/>
  <c r="K120" i="68" s="1"/>
  <c r="K184" i="68" s="1"/>
  <c r="L57" i="68"/>
  <c r="AE131" i="68"/>
  <c r="AE195" i="68" s="1"/>
  <c r="AE197" i="68" s="1"/>
  <c r="I85" i="68"/>
  <c r="I86" i="68"/>
  <c r="I150" i="68" s="1"/>
  <c r="I214" i="68" s="1"/>
  <c r="AG95" i="68"/>
  <c r="AG159" i="68" s="1"/>
  <c r="AG223" i="68" s="1"/>
  <c r="AG94" i="68"/>
  <c r="AA59" i="68"/>
  <c r="AA123" i="68" s="1"/>
  <c r="AA187" i="68" s="1"/>
  <c r="AA58" i="68"/>
  <c r="AE78" i="68"/>
  <c r="O61" i="68"/>
  <c r="O62" i="68"/>
  <c r="O126" i="68" s="1"/>
  <c r="O190" i="68" s="1"/>
  <c r="Q535" i="68"/>
  <c r="Q599" i="68" s="1"/>
  <c r="Q663" i="68" s="1"/>
  <c r="AB301" i="68"/>
  <c r="AB303" i="68" s="1"/>
  <c r="I103" i="68"/>
  <c r="I104" i="68"/>
  <c r="I168" i="68" s="1"/>
  <c r="I232" i="68" s="1"/>
  <c r="V302" i="68"/>
  <c r="V366" i="68" s="1"/>
  <c r="V430" i="68" s="1"/>
  <c r="Z170" i="68"/>
  <c r="Z234" i="68" s="1"/>
  <c r="Z236" i="68" s="1"/>
  <c r="X286" i="68"/>
  <c r="X350" i="68" s="1"/>
  <c r="Y296" i="68"/>
  <c r="Y360" i="68" s="1"/>
  <c r="Y424" i="68" s="1"/>
  <c r="AC146" i="68"/>
  <c r="AC210" i="68" s="1"/>
  <c r="AC212" i="68" s="1"/>
  <c r="U299" i="68"/>
  <c r="U363" i="68" s="1"/>
  <c r="U427" i="68" s="1"/>
  <c r="L60" i="68"/>
  <c r="Z545" i="68"/>
  <c r="Z609" i="68" s="1"/>
  <c r="Z673" i="68" s="1"/>
  <c r="W55" i="68"/>
  <c r="W57" i="68" s="1"/>
  <c r="AG79" i="68"/>
  <c r="AG80" i="68"/>
  <c r="AG144" i="68" s="1"/>
  <c r="AG208" i="68" s="1"/>
  <c r="O122" i="68"/>
  <c r="O186" i="68" s="1"/>
  <c r="O188" i="68" s="1"/>
  <c r="Q499" i="68"/>
  <c r="Q501" i="68" s="1"/>
  <c r="N515" i="68"/>
  <c r="N579" i="68" s="1"/>
  <c r="N643" i="68" s="1"/>
  <c r="W319" i="68"/>
  <c r="W321" i="68" s="1"/>
  <c r="X65" i="68"/>
  <c r="X129" i="68" s="1"/>
  <c r="X193" i="68" s="1"/>
  <c r="K278" i="68"/>
  <c r="K342" i="68" s="1"/>
  <c r="K406" i="68" s="1"/>
  <c r="AH143" i="68"/>
  <c r="AH207" i="68" s="1"/>
  <c r="AH209" i="68" s="1"/>
  <c r="R542" i="68"/>
  <c r="R543" i="68" s="1"/>
  <c r="W83" i="68"/>
  <c r="W147" i="68" s="1"/>
  <c r="W211" i="68" s="1"/>
  <c r="W82" i="68"/>
  <c r="AB62" i="68"/>
  <c r="AB126" i="68" s="1"/>
  <c r="AB190" i="68" s="1"/>
  <c r="AB61" i="68"/>
  <c r="AF65" i="68"/>
  <c r="AF129" i="68" s="1"/>
  <c r="AF193" i="68" s="1"/>
  <c r="AF64" i="68"/>
  <c r="AC69" i="68"/>
  <c r="AH526" i="68"/>
  <c r="AH528" i="68" s="1"/>
  <c r="R167" i="68"/>
  <c r="R231" i="68" s="1"/>
  <c r="R233" i="68" s="1"/>
  <c r="AE280" i="68"/>
  <c r="AE344" i="68" s="1"/>
  <c r="AF295" i="68"/>
  <c r="AF297" i="68" s="1"/>
  <c r="AH161" i="68"/>
  <c r="AH225" i="68" s="1"/>
  <c r="AH227" i="68" s="1"/>
  <c r="P77" i="68"/>
  <c r="P141" i="68" s="1"/>
  <c r="P205" i="68" s="1"/>
  <c r="P76" i="68"/>
  <c r="AE173" i="68"/>
  <c r="AE237" i="68" s="1"/>
  <c r="AE239" i="68" s="1"/>
  <c r="J518" i="68"/>
  <c r="J519" i="68" s="1"/>
  <c r="R505" i="68"/>
  <c r="R507" i="68" s="1"/>
  <c r="N62" i="68"/>
  <c r="N126" i="68" s="1"/>
  <c r="N190" i="68" s="1"/>
  <c r="AD281" i="68"/>
  <c r="AD345" i="68" s="1"/>
  <c r="AD409" i="68" s="1"/>
  <c r="N64" i="68"/>
  <c r="N65" i="68"/>
  <c r="N129" i="68" s="1"/>
  <c r="N193" i="68" s="1"/>
  <c r="AD102" i="68"/>
  <c r="AG287" i="68"/>
  <c r="AG351" i="68" s="1"/>
  <c r="AG415" i="68" s="1"/>
  <c r="P298" i="68"/>
  <c r="P300" i="68" s="1"/>
  <c r="R158" i="68"/>
  <c r="R222" i="68" s="1"/>
  <c r="R224" i="68" s="1"/>
  <c r="AC81" i="68"/>
  <c r="X545" i="68"/>
  <c r="X546" i="68" s="1"/>
  <c r="L152" i="68"/>
  <c r="L216" i="68" s="1"/>
  <c r="L218" i="68" s="1"/>
  <c r="AG88" i="68"/>
  <c r="AG89" i="68"/>
  <c r="AG153" i="68" s="1"/>
  <c r="AG217" i="68" s="1"/>
  <c r="P111" i="68"/>
  <c r="AG170" i="68"/>
  <c r="AG234" i="68" s="1"/>
  <c r="AG236" i="68" s="1"/>
  <c r="AF83" i="68"/>
  <c r="AF147" i="68" s="1"/>
  <c r="AF211" i="68" s="1"/>
  <c r="AF82" i="68"/>
  <c r="Q61" i="68"/>
  <c r="Q62" i="68"/>
  <c r="Q126" i="68" s="1"/>
  <c r="Q190" i="68" s="1"/>
  <c r="Z169" i="68"/>
  <c r="AB493" i="68"/>
  <c r="AB495" i="68" s="1"/>
  <c r="Z68" i="68"/>
  <c r="Z132" i="68" s="1"/>
  <c r="Z196" i="68" s="1"/>
  <c r="Z67" i="68"/>
  <c r="Z233" i="68"/>
  <c r="AD545" i="68"/>
  <c r="AD546" i="68" s="1"/>
  <c r="L61" i="68"/>
  <c r="L62" i="68"/>
  <c r="L126" i="68" s="1"/>
  <c r="L190" i="68" s="1"/>
  <c r="Q64" i="68"/>
  <c r="Q65" i="68"/>
  <c r="Q129" i="68" s="1"/>
  <c r="Q193" i="68" s="1"/>
  <c r="V284" i="68"/>
  <c r="V348" i="68" s="1"/>
  <c r="V412" i="68" s="1"/>
  <c r="V74" i="68"/>
  <c r="V138" i="68" s="1"/>
  <c r="V202" i="68" s="1"/>
  <c r="V73" i="68"/>
  <c r="AB56" i="68"/>
  <c r="AB120" i="68" s="1"/>
  <c r="AB184" i="68" s="1"/>
  <c r="R526" i="68"/>
  <c r="R528" i="68" s="1"/>
  <c r="S496" i="68"/>
  <c r="S498" i="68" s="1"/>
  <c r="Q320" i="68"/>
  <c r="Q384" i="68" s="1"/>
  <c r="Q448" i="68" s="1"/>
  <c r="AA277" i="68"/>
  <c r="AA341" i="68" s="1"/>
  <c r="R146" i="68"/>
  <c r="R148" i="68" s="1"/>
  <c r="K538" i="68"/>
  <c r="K602" i="68" s="1"/>
  <c r="AH277" i="68"/>
  <c r="AH279" i="68" s="1"/>
  <c r="Y149" i="68"/>
  <c r="Y213" i="68" s="1"/>
  <c r="Y215" i="68" s="1"/>
  <c r="S314" i="68"/>
  <c r="S378" i="68" s="1"/>
  <c r="S442" i="68" s="1"/>
  <c r="AB67" i="68"/>
  <c r="AB68" i="68"/>
  <c r="AB132" i="68" s="1"/>
  <c r="AB196" i="68" s="1"/>
  <c r="AG326" i="68"/>
  <c r="AG327" i="68" s="1"/>
  <c r="Y100" i="68"/>
  <c r="Y164" i="68" s="1"/>
  <c r="Y228" i="68" s="1"/>
  <c r="L95" i="68"/>
  <c r="L159" i="68" s="1"/>
  <c r="L223" i="68" s="1"/>
  <c r="L94" i="68"/>
  <c r="Y109" i="68"/>
  <c r="Y111" i="68" s="1"/>
  <c r="U96" i="68"/>
  <c r="V307" i="68"/>
  <c r="V309" i="68" s="1"/>
  <c r="AA78" i="68"/>
  <c r="N289" i="68"/>
  <c r="N291" i="68" s="1"/>
  <c r="AH298" i="68"/>
  <c r="AH300" i="68" s="1"/>
  <c r="S505" i="68"/>
  <c r="S507" i="68" s="1"/>
  <c r="M143" i="68"/>
  <c r="M145" i="68" s="1"/>
  <c r="V63" i="68"/>
  <c r="AF281" i="68"/>
  <c r="AF345" i="68" s="1"/>
  <c r="AF409" i="68" s="1"/>
  <c r="W64" i="68"/>
  <c r="W65" i="68"/>
  <c r="W129" i="68" s="1"/>
  <c r="W193" i="68" s="1"/>
  <c r="AD146" i="68"/>
  <c r="AD210" i="68" s="1"/>
  <c r="AD212" i="68" s="1"/>
  <c r="L502" i="68"/>
  <c r="L504" i="68" s="1"/>
  <c r="S111" i="68"/>
  <c r="AG140" i="68"/>
  <c r="AG204" i="68" s="1"/>
  <c r="AG206" i="68" s="1"/>
  <c r="I71" i="68"/>
  <c r="T104" i="68"/>
  <c r="T168" i="68" s="1"/>
  <c r="T232" i="68" s="1"/>
  <c r="T103" i="68"/>
  <c r="T73" i="68"/>
  <c r="T74" i="68"/>
  <c r="T138" i="68" s="1"/>
  <c r="T202" i="68" s="1"/>
  <c r="AF322" i="68"/>
  <c r="AF386" i="68" s="1"/>
  <c r="AF450" i="68" s="1"/>
  <c r="L508" i="68"/>
  <c r="L572" i="68" s="1"/>
  <c r="T311" i="68"/>
  <c r="T375" i="68" s="1"/>
  <c r="T439" i="68" s="1"/>
  <c r="Y502" i="68"/>
  <c r="Y504" i="68" s="1"/>
  <c r="AA538" i="68"/>
  <c r="AA540" i="68" s="1"/>
  <c r="AD120" i="68"/>
  <c r="AD184" i="68" s="1"/>
  <c r="AD185" i="68" s="1"/>
  <c r="I509" i="68"/>
  <c r="I573" i="68" s="1"/>
  <c r="I637" i="68" s="1"/>
  <c r="Q120" i="68"/>
  <c r="P548" i="68"/>
  <c r="P612" i="68" s="1"/>
  <c r="P676" i="68" s="1"/>
  <c r="AB165" i="68"/>
  <c r="AB229" i="68" s="1"/>
  <c r="AB230" i="68" s="1"/>
  <c r="X97" i="68"/>
  <c r="X98" i="68"/>
  <c r="X162" i="68" s="1"/>
  <c r="X226" i="68" s="1"/>
  <c r="N91" i="68"/>
  <c r="N92" i="68"/>
  <c r="N156" i="68" s="1"/>
  <c r="N220" i="68" s="1"/>
  <c r="P323" i="68"/>
  <c r="P387" i="68" s="1"/>
  <c r="P451" i="68" s="1"/>
  <c r="AF524" i="68"/>
  <c r="AF588" i="68" s="1"/>
  <c r="AF652" i="68" s="1"/>
  <c r="I63" i="68"/>
  <c r="I524" i="68"/>
  <c r="I588" i="68" s="1"/>
  <c r="I652" i="68" s="1"/>
  <c r="AA521" i="68"/>
  <c r="AA585" i="68" s="1"/>
  <c r="AA649" i="68" s="1"/>
  <c r="W97" i="68"/>
  <c r="W99" i="68" s="1"/>
  <c r="AD149" i="68"/>
  <c r="AD213" i="68" s="1"/>
  <c r="AD215" i="68" s="1"/>
  <c r="AC134" i="68"/>
  <c r="AC198" i="68" s="1"/>
  <c r="AC56" i="68"/>
  <c r="AC120" i="68" s="1"/>
  <c r="AC184" i="68" s="1"/>
  <c r="AC55" i="68"/>
  <c r="K71" i="68"/>
  <c r="K135" i="68" s="1"/>
  <c r="K199" i="68" s="1"/>
  <c r="X137" i="68"/>
  <c r="X139" i="68" s="1"/>
  <c r="T106" i="68"/>
  <c r="T107" i="68"/>
  <c r="T171" i="68" s="1"/>
  <c r="T235" i="68" s="1"/>
  <c r="AF58" i="68"/>
  <c r="AF59" i="68"/>
  <c r="AF123" i="68" s="1"/>
  <c r="AF187" i="68" s="1"/>
  <c r="AD72" i="68"/>
  <c r="AE75" i="68"/>
  <c r="U63" i="68"/>
  <c r="AE170" i="68"/>
  <c r="AE234" i="68" s="1"/>
  <c r="AE236" i="68" s="1"/>
  <c r="T526" i="68"/>
  <c r="T528" i="68" s="1"/>
  <c r="K164" i="68"/>
  <c r="K166" i="68" s="1"/>
  <c r="Y609" i="68"/>
  <c r="R152" i="68"/>
  <c r="R216" i="68" s="1"/>
  <c r="R218" i="68" s="1"/>
  <c r="AD75" i="68"/>
  <c r="U324" i="68"/>
  <c r="U81" i="68"/>
  <c r="R170" i="68"/>
  <c r="R234" i="68" s="1"/>
  <c r="R236" i="68" s="1"/>
  <c r="X173" i="68"/>
  <c r="X237" i="68" s="1"/>
  <c r="X239" i="68" s="1"/>
  <c r="AE57" i="68"/>
  <c r="S290" i="68"/>
  <c r="S354" i="68" s="1"/>
  <c r="S418" i="68" s="1"/>
  <c r="Z72" i="68"/>
  <c r="AG105" i="68"/>
  <c r="X125" i="68"/>
  <c r="X189" i="68" s="1"/>
  <c r="X191" i="68" s="1"/>
  <c r="T60" i="68"/>
  <c r="I78" i="68"/>
  <c r="I175" i="68"/>
  <c r="AF224" i="68"/>
  <c r="AF160" i="68"/>
  <c r="AH102" i="68"/>
  <c r="AA104" i="68"/>
  <c r="AA168" i="68" s="1"/>
  <c r="AA232" i="68" s="1"/>
  <c r="AC286" i="68"/>
  <c r="AC287" i="68"/>
  <c r="AC351" i="68" s="1"/>
  <c r="AC415" i="68" s="1"/>
  <c r="AH248" i="68"/>
  <c r="AH268" i="68" s="1"/>
  <c r="AG364" i="72"/>
  <c r="AG541" i="72"/>
  <c r="AG561" i="72" s="1"/>
  <c r="P75" i="68"/>
  <c r="P137" i="68"/>
  <c r="X213" i="68"/>
  <c r="X215" i="68" s="1"/>
  <c r="X151" i="68"/>
  <c r="Y314" i="68"/>
  <c r="Y378" i="68" s="1"/>
  <c r="Y442" i="68" s="1"/>
  <c r="Y313" i="68"/>
  <c r="AH282" i="68"/>
  <c r="AH344" i="68"/>
  <c r="O534" i="68"/>
  <c r="O596" i="68"/>
  <c r="P312" i="68"/>
  <c r="P374" i="68"/>
  <c r="AA495" i="68"/>
  <c r="AA557" i="68"/>
  <c r="P386" i="68"/>
  <c r="M248" i="68"/>
  <c r="L364" i="72"/>
  <c r="L541" i="72"/>
  <c r="L561" i="72" s="1"/>
  <c r="W198" i="68"/>
  <c r="W200" i="68" s="1"/>
  <c r="W136" i="68"/>
  <c r="AC298" i="68"/>
  <c r="AC299" i="68"/>
  <c r="AC363" i="68" s="1"/>
  <c r="AC427" i="68" s="1"/>
  <c r="U99" i="68"/>
  <c r="U161" i="68"/>
  <c r="I572" i="68"/>
  <c r="AA545" i="68"/>
  <c r="AA609" i="68" s="1"/>
  <c r="AA673" i="68" s="1"/>
  <c r="AA544" i="68"/>
  <c r="Q383" i="68"/>
  <c r="S186" i="68"/>
  <c r="S188" i="68" s="1"/>
  <c r="S124" i="68"/>
  <c r="J216" i="68"/>
  <c r="J218" i="68" s="1"/>
  <c r="J154" i="68"/>
  <c r="AB510" i="68"/>
  <c r="AB572" i="68"/>
  <c r="AH307" i="68"/>
  <c r="AH308" i="68"/>
  <c r="AH372" i="68" s="1"/>
  <c r="AH436" i="68" s="1"/>
  <c r="AE544" i="68"/>
  <c r="AE545" i="68"/>
  <c r="AE609" i="68" s="1"/>
  <c r="AE673" i="68" s="1"/>
  <c r="N304" i="68"/>
  <c r="N305" i="68"/>
  <c r="N369" i="68" s="1"/>
  <c r="N433" i="68" s="1"/>
  <c r="R497" i="68"/>
  <c r="R561" i="68" s="1"/>
  <c r="R625" i="68" s="1"/>
  <c r="R496" i="68"/>
  <c r="X318" i="68"/>
  <c r="X380" i="68"/>
  <c r="AD198" i="68"/>
  <c r="AD200" i="68" s="1"/>
  <c r="AD136" i="68"/>
  <c r="Q506" i="68"/>
  <c r="Q570" i="68" s="1"/>
  <c r="Q634" i="68" s="1"/>
  <c r="Q505" i="68"/>
  <c r="AE513" i="68"/>
  <c r="AE575" i="68"/>
  <c r="P318" i="68"/>
  <c r="P380" i="68"/>
  <c r="S548" i="68"/>
  <c r="S612" i="68" s="1"/>
  <c r="S676" i="68" s="1"/>
  <c r="S547" i="68"/>
  <c r="Z295" i="68"/>
  <c r="Z296" i="68"/>
  <c r="Z360" i="68" s="1"/>
  <c r="Z424" i="68" s="1"/>
  <c r="AA498" i="68"/>
  <c r="AA560" i="68"/>
  <c r="K377" i="68"/>
  <c r="P542" i="68"/>
  <c r="P606" i="68" s="1"/>
  <c r="P670" i="68" s="1"/>
  <c r="P541" i="68"/>
  <c r="M78" i="68"/>
  <c r="M140" i="68"/>
  <c r="Y286" i="68"/>
  <c r="Y287" i="68"/>
  <c r="Y351" i="68" s="1"/>
  <c r="Y415" i="68" s="1"/>
  <c r="AE510" i="68"/>
  <c r="AE572" i="68"/>
  <c r="S538" i="68"/>
  <c r="S602" i="68" s="1"/>
  <c r="S539" i="68"/>
  <c r="AA299" i="68"/>
  <c r="AA363" i="68" s="1"/>
  <c r="AA427" i="68" s="1"/>
  <c r="AA298" i="68"/>
  <c r="U282" i="68"/>
  <c r="U344" i="68"/>
  <c r="L248" i="68"/>
  <c r="K364" i="72"/>
  <c r="K541" i="72"/>
  <c r="K561" i="72" s="1"/>
  <c r="U93" i="68"/>
  <c r="U156" i="68"/>
  <c r="U220" i="68" s="1"/>
  <c r="V510" i="68"/>
  <c r="V572" i="68"/>
  <c r="U288" i="68"/>
  <c r="U350" i="68"/>
  <c r="Z289" i="68"/>
  <c r="Z290" i="68"/>
  <c r="Z354" i="68" s="1"/>
  <c r="Z418" i="68" s="1"/>
  <c r="J467" i="68"/>
  <c r="I537" i="72"/>
  <c r="I563" i="72"/>
  <c r="I583" i="72" s="1"/>
  <c r="R183" i="68"/>
  <c r="R185" i="68" s="1"/>
  <c r="R121" i="68"/>
  <c r="Z522" i="68"/>
  <c r="Z584" i="68"/>
  <c r="P544" i="68"/>
  <c r="P545" i="68"/>
  <c r="P609" i="68" s="1"/>
  <c r="P673" i="68" s="1"/>
  <c r="V90" i="68"/>
  <c r="V152" i="68"/>
  <c r="W498" i="68"/>
  <c r="W560" i="68"/>
  <c r="AB231" i="68"/>
  <c r="AB233" i="68" s="1"/>
  <c r="AB169" i="68"/>
  <c r="Z316" i="68"/>
  <c r="Z317" i="68"/>
  <c r="Z381" i="68" s="1"/>
  <c r="Z445" i="68" s="1"/>
  <c r="X329" i="68"/>
  <c r="X393" i="68" s="1"/>
  <c r="X457" i="68" s="1"/>
  <c r="X328" i="68"/>
  <c r="AF499" i="68"/>
  <c r="AF500" i="68"/>
  <c r="AF564" i="68" s="1"/>
  <c r="AF628" i="68" s="1"/>
  <c r="K327" i="68"/>
  <c r="K389" i="68"/>
  <c r="X309" i="68"/>
  <c r="X371" i="68"/>
  <c r="O511" i="68"/>
  <c r="O512" i="68"/>
  <c r="O576" i="68" s="1"/>
  <c r="O640" i="68" s="1"/>
  <c r="AD204" i="68"/>
  <c r="AD206" i="68" s="1"/>
  <c r="AD142" i="68"/>
  <c r="AD189" i="68"/>
  <c r="AD191" i="68" s="1"/>
  <c r="AD127" i="68"/>
  <c r="X219" i="68"/>
  <c r="X221" i="68" s="1"/>
  <c r="X157" i="68"/>
  <c r="O285" i="68"/>
  <c r="O347" i="68"/>
  <c r="AC306" i="68"/>
  <c r="AC368" i="68"/>
  <c r="AE309" i="68"/>
  <c r="AE371" i="68"/>
  <c r="M96" i="68"/>
  <c r="M158" i="68"/>
  <c r="K402" i="68"/>
  <c r="AD195" i="68"/>
  <c r="AD197" i="68" s="1"/>
  <c r="AD133" i="68"/>
  <c r="AC312" i="68"/>
  <c r="AC374" i="68"/>
  <c r="Z543" i="68"/>
  <c r="Z605" i="68"/>
  <c r="AC296" i="68"/>
  <c r="AC360" i="68" s="1"/>
  <c r="AC424" i="68" s="1"/>
  <c r="AC295" i="68"/>
  <c r="AC207" i="68"/>
  <c r="AC209" i="68" s="1"/>
  <c r="AC145" i="68"/>
  <c r="AC510" i="68"/>
  <c r="AC572" i="68"/>
  <c r="AA326" i="68"/>
  <c r="AA390" i="68" s="1"/>
  <c r="AA454" i="68" s="1"/>
  <c r="AA325" i="68"/>
  <c r="O303" i="68"/>
  <c r="O365" i="68"/>
  <c r="S522" i="68"/>
  <c r="S584" i="68"/>
  <c r="P237" i="68"/>
  <c r="P239" i="68" s="1"/>
  <c r="P175" i="68"/>
  <c r="AA93" i="68"/>
  <c r="AA156" i="68"/>
  <c r="AA220" i="68" s="1"/>
  <c r="K84" i="68"/>
  <c r="K146" i="68"/>
  <c r="U503" i="68"/>
  <c r="U567" i="68" s="1"/>
  <c r="U631" i="68" s="1"/>
  <c r="U502" i="68"/>
  <c r="AH87" i="68"/>
  <c r="AH149" i="68"/>
  <c r="AD222" i="68"/>
  <c r="AD224" i="68" s="1"/>
  <c r="AD160" i="68"/>
  <c r="Q99" i="68"/>
  <c r="Q161" i="68"/>
  <c r="Q315" i="68"/>
  <c r="Q377" i="68"/>
  <c r="T66" i="68"/>
  <c r="T128" i="68"/>
  <c r="N279" i="68"/>
  <c r="N341" i="68"/>
  <c r="M546" i="68"/>
  <c r="M608" i="68"/>
  <c r="S248" i="68"/>
  <c r="R541" i="72"/>
  <c r="R561" i="72" s="1"/>
  <c r="R364" i="72"/>
  <c r="V504" i="68"/>
  <c r="V566" i="68"/>
  <c r="J281" i="68"/>
  <c r="J345" i="68" s="1"/>
  <c r="J409" i="68" s="1"/>
  <c r="J280" i="68"/>
  <c r="W276" i="68"/>
  <c r="W338" i="68"/>
  <c r="R495" i="68"/>
  <c r="R557" i="68"/>
  <c r="O504" i="68"/>
  <c r="O566" i="68"/>
  <c r="K536" i="68"/>
  <c r="K600" i="68" s="1"/>
  <c r="K664" i="68" s="1"/>
  <c r="K535" i="68"/>
  <c r="I222" i="68"/>
  <c r="I224" i="68" s="1"/>
  <c r="I160" i="68"/>
  <c r="K81" i="68"/>
  <c r="K143" i="68"/>
  <c r="N248" i="68"/>
  <c r="N268" i="68" s="1"/>
  <c r="M364" i="72"/>
  <c r="M541" i="72"/>
  <c r="M561" i="72" s="1"/>
  <c r="AH312" i="68"/>
  <c r="AH374" i="68"/>
  <c r="U362" i="68"/>
  <c r="J306" i="68"/>
  <c r="J368" i="68"/>
  <c r="P221" i="68"/>
  <c r="AA515" i="68"/>
  <c r="AA579" i="68" s="1"/>
  <c r="AA643" i="68" s="1"/>
  <c r="AA514" i="68"/>
  <c r="O467" i="68"/>
  <c r="N537" i="72"/>
  <c r="N563" i="72"/>
  <c r="N583" i="72" s="1"/>
  <c r="M528" i="68"/>
  <c r="M590" i="68"/>
  <c r="AH183" i="68"/>
  <c r="I538" i="68"/>
  <c r="I539" i="68"/>
  <c r="I603" i="68" s="1"/>
  <c r="I667" i="68" s="1"/>
  <c r="X672" i="68"/>
  <c r="X504" i="68"/>
  <c r="X566" i="68"/>
  <c r="AC495" i="68"/>
  <c r="AC558" i="68"/>
  <c r="AC622" i="68" s="1"/>
  <c r="I276" i="68"/>
  <c r="I338" i="68"/>
  <c r="X496" i="68"/>
  <c r="X497" i="68"/>
  <c r="X561" i="68" s="1"/>
  <c r="X625" i="68" s="1"/>
  <c r="M532" i="68"/>
  <c r="M533" i="68"/>
  <c r="M597" i="68" s="1"/>
  <c r="M661" i="68" s="1"/>
  <c r="W494" i="68"/>
  <c r="W558" i="68" s="1"/>
  <c r="W622" i="68" s="1"/>
  <c r="W493" i="68"/>
  <c r="AB290" i="68"/>
  <c r="AB354" i="68" s="1"/>
  <c r="AB418" i="68" s="1"/>
  <c r="AB289" i="68"/>
  <c r="AG537" i="68"/>
  <c r="AG599" i="68"/>
  <c r="O292" i="68"/>
  <c r="O293" i="68"/>
  <c r="O357" i="68" s="1"/>
  <c r="O421" i="68" s="1"/>
  <c r="AD305" i="68"/>
  <c r="AD369" i="68" s="1"/>
  <c r="AD433" i="68" s="1"/>
  <c r="AD304" i="68"/>
  <c r="N512" i="68"/>
  <c r="N576" i="68" s="1"/>
  <c r="N640" i="68" s="1"/>
  <c r="N511" i="68"/>
  <c r="N578" i="68"/>
  <c r="AB298" i="68"/>
  <c r="AB299" i="68"/>
  <c r="AB363" i="68" s="1"/>
  <c r="AB427" i="68" s="1"/>
  <c r="T87" i="68"/>
  <c r="T149" i="68"/>
  <c r="AG213" i="68"/>
  <c r="AG215" i="68" s="1"/>
  <c r="AG151" i="68"/>
  <c r="AC285" i="68"/>
  <c r="AC347" i="68"/>
  <c r="T57" i="68"/>
  <c r="T119" i="68"/>
  <c r="K507" i="68"/>
  <c r="K569" i="68"/>
  <c r="U90" i="68"/>
  <c r="U152" i="68"/>
  <c r="L164" i="68"/>
  <c r="AG313" i="68"/>
  <c r="AG314" i="68"/>
  <c r="AG378" i="68" s="1"/>
  <c r="AG442" i="68" s="1"/>
  <c r="M303" i="68"/>
  <c r="M365" i="68"/>
  <c r="V456" i="68"/>
  <c r="J546" i="68"/>
  <c r="J608" i="68"/>
  <c r="AG282" i="68"/>
  <c r="AG344" i="68"/>
  <c r="M501" i="68"/>
  <c r="M563" i="68"/>
  <c r="N111" i="68"/>
  <c r="N174" i="68"/>
  <c r="N238" i="68" s="1"/>
  <c r="P213" i="68"/>
  <c r="P215" i="68" s="1"/>
  <c r="P151" i="68"/>
  <c r="AA321" i="68"/>
  <c r="AA383" i="68"/>
  <c r="L186" i="68"/>
  <c r="L188" i="68" s="1"/>
  <c r="L124" i="68"/>
  <c r="L374" i="68"/>
  <c r="J78" i="68"/>
  <c r="J140" i="68"/>
  <c r="R282" i="68"/>
  <c r="R344" i="68"/>
  <c r="O99" i="68"/>
  <c r="O161" i="68"/>
  <c r="W545" i="68"/>
  <c r="W609" i="68" s="1"/>
  <c r="W673" i="68" s="1"/>
  <c r="W544" i="68"/>
  <c r="AF78" i="68"/>
  <c r="AF140" i="68"/>
  <c r="AF285" i="68"/>
  <c r="AF347" i="68"/>
  <c r="M327" i="68"/>
  <c r="M390" i="68"/>
  <c r="M454" i="68" s="1"/>
  <c r="Z365" i="68"/>
  <c r="AC99" i="68"/>
  <c r="AC161" i="68"/>
  <c r="AF547" i="68"/>
  <c r="AF548" i="68"/>
  <c r="AF612" i="68" s="1"/>
  <c r="AF676" i="68" s="1"/>
  <c r="Y312" i="68"/>
  <c r="Y374" i="68"/>
  <c r="AG515" i="68"/>
  <c r="AG579" i="68" s="1"/>
  <c r="AG643" i="68" s="1"/>
  <c r="AG514" i="68"/>
  <c r="AH210" i="68"/>
  <c r="AH212" i="68" s="1"/>
  <c r="AH148" i="68"/>
  <c r="O341" i="68"/>
  <c r="K290" i="68"/>
  <c r="K354" i="68" s="1"/>
  <c r="K418" i="68" s="1"/>
  <c r="K289" i="68"/>
  <c r="AB96" i="68"/>
  <c r="AB158" i="68"/>
  <c r="X533" i="68"/>
  <c r="X597" i="68" s="1"/>
  <c r="X661" i="68" s="1"/>
  <c r="X532" i="68"/>
  <c r="M87" i="68"/>
  <c r="M149" i="68"/>
  <c r="AG534" i="68"/>
  <c r="AG597" i="68"/>
  <c r="AG661" i="68" s="1"/>
  <c r="W507" i="68"/>
  <c r="W569" i="68"/>
  <c r="J456" i="68"/>
  <c r="W87" i="68"/>
  <c r="W149" i="68"/>
  <c r="K307" i="68"/>
  <c r="K308" i="68"/>
  <c r="K372" i="68" s="1"/>
  <c r="K436" i="68" s="1"/>
  <c r="AF510" i="68"/>
  <c r="AF572" i="68"/>
  <c r="N222" i="68"/>
  <c r="S536" i="68"/>
  <c r="S600" i="68" s="1"/>
  <c r="S664" i="68" s="1"/>
  <c r="S535" i="68"/>
  <c r="J289" i="68"/>
  <c r="J290" i="68"/>
  <c r="J354" i="68" s="1"/>
  <c r="J418" i="68" s="1"/>
  <c r="N324" i="68"/>
  <c r="N386" i="68"/>
  <c r="AA518" i="68"/>
  <c r="AA582" i="68" s="1"/>
  <c r="AA646" i="68" s="1"/>
  <c r="AA517" i="68"/>
  <c r="AE279" i="68"/>
  <c r="AE341" i="68"/>
  <c r="W456" i="68"/>
  <c r="I327" i="68"/>
  <c r="I389" i="68"/>
  <c r="O66" i="68"/>
  <c r="O128" i="68"/>
  <c r="AD298" i="68"/>
  <c r="AD299" i="68"/>
  <c r="AD363" i="68" s="1"/>
  <c r="AD427" i="68" s="1"/>
  <c r="AE287" i="68"/>
  <c r="AE351" i="68" s="1"/>
  <c r="AE415" i="68" s="1"/>
  <c r="AE286" i="68"/>
  <c r="Y276" i="68"/>
  <c r="Y338" i="68"/>
  <c r="AA234" i="68"/>
  <c r="AA236" i="68" s="1"/>
  <c r="AA172" i="68"/>
  <c r="AH198" i="68"/>
  <c r="AH200" i="68" s="1"/>
  <c r="AH136" i="68"/>
  <c r="AC190" i="72"/>
  <c r="AD29" i="68"/>
  <c r="O320" i="68"/>
  <c r="O384" i="68" s="1"/>
  <c r="O448" i="68" s="1"/>
  <c r="O319" i="68"/>
  <c r="AD530" i="68"/>
  <c r="AD594" i="68" s="1"/>
  <c r="AD658" i="68" s="1"/>
  <c r="AD529" i="68"/>
  <c r="I190" i="72"/>
  <c r="J29" i="68"/>
  <c r="AB511" i="68"/>
  <c r="AB512" i="68"/>
  <c r="AB576" i="68" s="1"/>
  <c r="AB640" i="68" s="1"/>
  <c r="P510" i="68"/>
  <c r="P572" i="68"/>
  <c r="T510" i="68"/>
  <c r="T572" i="68"/>
  <c r="S105" i="68"/>
  <c r="S167" i="68"/>
  <c r="S321" i="68"/>
  <c r="S383" i="68"/>
  <c r="K60" i="68"/>
  <c r="K122" i="68"/>
  <c r="Z288" i="68"/>
  <c r="Z350" i="68"/>
  <c r="V96" i="68"/>
  <c r="V158" i="68"/>
  <c r="R204" i="68"/>
  <c r="R206" i="68" s="1"/>
  <c r="R142" i="68"/>
  <c r="L501" i="68"/>
  <c r="L563" i="68"/>
  <c r="P518" i="68"/>
  <c r="P582" i="68" s="1"/>
  <c r="P646" i="68" s="1"/>
  <c r="P517" i="68"/>
  <c r="P527" i="68"/>
  <c r="P591" i="68" s="1"/>
  <c r="P655" i="68" s="1"/>
  <c r="P526" i="68"/>
  <c r="Z248" i="68"/>
  <c r="Y541" i="72"/>
  <c r="Y561" i="72" s="1"/>
  <c r="Y364" i="72"/>
  <c r="K510" i="68"/>
  <c r="K572" i="68"/>
  <c r="AC498" i="68"/>
  <c r="AC560" i="68"/>
  <c r="V78" i="68"/>
  <c r="V140" i="68"/>
  <c r="S69" i="68"/>
  <c r="S131" i="68"/>
  <c r="W105" i="68"/>
  <c r="W167" i="68"/>
  <c r="O515" i="68"/>
  <c r="O579" i="68" s="1"/>
  <c r="O643" i="68" s="1"/>
  <c r="O514" i="68"/>
  <c r="AB207" i="68"/>
  <c r="AB209" i="68" s="1"/>
  <c r="AB145" i="68"/>
  <c r="AH496" i="68"/>
  <c r="AH497" i="68"/>
  <c r="AH561" i="68" s="1"/>
  <c r="AH625" i="68" s="1"/>
  <c r="AA210" i="68"/>
  <c r="AA212" i="68" s="1"/>
  <c r="AA148" i="68"/>
  <c r="AA301" i="68"/>
  <c r="AA302" i="68"/>
  <c r="AA366" i="68" s="1"/>
  <c r="AA430" i="68" s="1"/>
  <c r="M498" i="68"/>
  <c r="M560" i="68"/>
  <c r="P294" i="68"/>
  <c r="P356" i="68"/>
  <c r="Q111" i="68"/>
  <c r="Q173" i="68"/>
  <c r="L277" i="68"/>
  <c r="L278" i="68"/>
  <c r="L342" i="68" s="1"/>
  <c r="L406" i="68" s="1"/>
  <c r="M111" i="68"/>
  <c r="M173" i="68"/>
  <c r="AF111" i="68"/>
  <c r="AF173" i="68"/>
  <c r="R535" i="68"/>
  <c r="R536" i="68"/>
  <c r="R600" i="68" s="1"/>
  <c r="R664" i="68" s="1"/>
  <c r="I500" i="68"/>
  <c r="I564" i="68" s="1"/>
  <c r="I628" i="68" s="1"/>
  <c r="I499" i="68"/>
  <c r="J516" i="68"/>
  <c r="J578" i="68"/>
  <c r="O510" i="68"/>
  <c r="O572" i="68"/>
  <c r="AF183" i="68"/>
  <c r="AF185" i="68" s="1"/>
  <c r="AF121" i="68"/>
  <c r="AG248" i="68"/>
  <c r="AF364" i="72"/>
  <c r="AF541" i="72"/>
  <c r="AF561" i="72" s="1"/>
  <c r="L207" i="68"/>
  <c r="L209" i="68" s="1"/>
  <c r="L145" i="68"/>
  <c r="Z210" i="68"/>
  <c r="Z212" i="68" s="1"/>
  <c r="Z148" i="68"/>
  <c r="U544" i="68"/>
  <c r="U545" i="68"/>
  <c r="U609" i="68" s="1"/>
  <c r="U673" i="68" s="1"/>
  <c r="S329" i="68"/>
  <c r="S393" i="68" s="1"/>
  <c r="S457" i="68" s="1"/>
  <c r="S328" i="68"/>
  <c r="AC507" i="68"/>
  <c r="AC569" i="68"/>
  <c r="U533" i="68"/>
  <c r="U597" i="68" s="1"/>
  <c r="U661" i="68" s="1"/>
  <c r="U532" i="68"/>
  <c r="Z530" i="68"/>
  <c r="Z594" i="68" s="1"/>
  <c r="Z658" i="68" s="1"/>
  <c r="Z529" i="68"/>
  <c r="AG294" i="68"/>
  <c r="AG356" i="68"/>
  <c r="Z314" i="68"/>
  <c r="Z378" i="68" s="1"/>
  <c r="Z442" i="68" s="1"/>
  <c r="Z313" i="68"/>
  <c r="AG72" i="68"/>
  <c r="AG134" i="68"/>
  <c r="I108" i="68"/>
  <c r="I170" i="68"/>
  <c r="AA312" i="68"/>
  <c r="AA374" i="68"/>
  <c r="X587" i="68"/>
  <c r="AH295" i="68"/>
  <c r="AH296" i="68"/>
  <c r="AH360" i="68" s="1"/>
  <c r="AH424" i="68" s="1"/>
  <c r="P521" i="68"/>
  <c r="P585" i="68" s="1"/>
  <c r="P649" i="68" s="1"/>
  <c r="P520" i="68"/>
  <c r="V102" i="68"/>
  <c r="V165" i="68"/>
  <c r="V229" i="68" s="1"/>
  <c r="W201" i="68"/>
  <c r="W203" i="68" s="1"/>
  <c r="W139" i="68"/>
  <c r="T207" i="68"/>
  <c r="T209" i="68" s="1"/>
  <c r="T145" i="68"/>
  <c r="J81" i="68"/>
  <c r="J143" i="68"/>
  <c r="S528" i="68"/>
  <c r="S590" i="68"/>
  <c r="K134" i="68"/>
  <c r="U306" i="68"/>
  <c r="U368" i="68"/>
  <c r="U222" i="68"/>
  <c r="U224" i="68" s="1"/>
  <c r="U160" i="68"/>
  <c r="P225" i="68"/>
  <c r="P227" i="68" s="1"/>
  <c r="P163" i="68"/>
  <c r="T504" i="68"/>
  <c r="T566" i="68"/>
  <c r="N456" i="68"/>
  <c r="J72" i="68"/>
  <c r="J134" i="68"/>
  <c r="AE317" i="68"/>
  <c r="AE381" i="68" s="1"/>
  <c r="AE445" i="68" s="1"/>
  <c r="AE316" i="68"/>
  <c r="R294" i="68"/>
  <c r="R356" i="68"/>
  <c r="T313" i="68"/>
  <c r="T314" i="68"/>
  <c r="T378" i="68" s="1"/>
  <c r="T442" i="68" s="1"/>
  <c r="J447" i="68"/>
  <c r="AA309" i="68"/>
  <c r="AA371" i="68"/>
  <c r="X513" i="68"/>
  <c r="X575" i="68"/>
  <c r="I282" i="68"/>
  <c r="I344" i="68"/>
  <c r="P504" i="68"/>
  <c r="P566" i="68"/>
  <c r="U274" i="68"/>
  <c r="U275" i="68"/>
  <c r="U339" i="68" s="1"/>
  <c r="U403" i="68" s="1"/>
  <c r="AF190" i="72"/>
  <c r="AG29" i="68"/>
  <c r="M521" i="68"/>
  <c r="M585" i="68" s="1"/>
  <c r="M649" i="68" s="1"/>
  <c r="M520" i="68"/>
  <c r="S503" i="68"/>
  <c r="S567" i="68" s="1"/>
  <c r="S631" i="68" s="1"/>
  <c r="S502" i="68"/>
  <c r="AE102" i="68"/>
  <c r="AE164" i="68"/>
  <c r="L305" i="68"/>
  <c r="L369" i="68" s="1"/>
  <c r="L433" i="68" s="1"/>
  <c r="L304" i="68"/>
  <c r="AF498" i="68"/>
  <c r="AF560" i="68"/>
  <c r="Y501" i="68"/>
  <c r="Y563" i="68"/>
  <c r="U467" i="68"/>
  <c r="T537" i="72"/>
  <c r="T563" i="72"/>
  <c r="T583" i="72" s="1"/>
  <c r="AE323" i="68"/>
  <c r="AE387" i="68" s="1"/>
  <c r="AE451" i="68" s="1"/>
  <c r="AE322" i="68"/>
  <c r="S515" i="68"/>
  <c r="S579" i="68" s="1"/>
  <c r="S643" i="68" s="1"/>
  <c r="S514" i="68"/>
  <c r="X285" i="68"/>
  <c r="X347" i="68"/>
  <c r="AC524" i="68"/>
  <c r="AC588" i="68" s="1"/>
  <c r="AC652" i="68" s="1"/>
  <c r="AC523" i="68"/>
  <c r="V72" i="68"/>
  <c r="V134" i="68"/>
  <c r="Y548" i="68"/>
  <c r="Y612" i="68" s="1"/>
  <c r="Y676" i="68" s="1"/>
  <c r="Y547" i="68"/>
  <c r="J310" i="68"/>
  <c r="J374" i="68" s="1"/>
  <c r="J311" i="68"/>
  <c r="Q330" i="68"/>
  <c r="Q392" i="68"/>
  <c r="AD438" i="68"/>
  <c r="AF300" i="68"/>
  <c r="AF362" i="68"/>
  <c r="U549" i="68"/>
  <c r="U611" i="68"/>
  <c r="Q213" i="68"/>
  <c r="Q215" i="68" s="1"/>
  <c r="Q151" i="68"/>
  <c r="AE306" i="68"/>
  <c r="AE368" i="68"/>
  <c r="P501" i="68"/>
  <c r="P563" i="68"/>
  <c r="Y93" i="68"/>
  <c r="Y155" i="68"/>
  <c r="Z547" i="68"/>
  <c r="Z611" i="68" s="1"/>
  <c r="Z548" i="68"/>
  <c r="X543" i="68"/>
  <c r="X605" i="68"/>
  <c r="Q525" i="68"/>
  <c r="Q587" i="68"/>
  <c r="AG231" i="68"/>
  <c r="AG233" i="68" s="1"/>
  <c r="AG169" i="68"/>
  <c r="S524" i="68"/>
  <c r="S588" i="68" s="1"/>
  <c r="S652" i="68" s="1"/>
  <c r="S523" i="68"/>
  <c r="AG279" i="68"/>
  <c r="AG341" i="68"/>
  <c r="N444" i="68"/>
  <c r="AH540" i="68"/>
  <c r="AH602" i="68"/>
  <c r="AE66" i="68"/>
  <c r="AE128" i="68"/>
  <c r="X96" i="68"/>
  <c r="X158" i="68"/>
  <c r="R219" i="68"/>
  <c r="O84" i="68"/>
  <c r="O146" i="68"/>
  <c r="AF282" i="68"/>
  <c r="AF344" i="68"/>
  <c r="AC328" i="68"/>
  <c r="AC392" i="68" s="1"/>
  <c r="AC329" i="68"/>
  <c r="U316" i="68"/>
  <c r="U380" i="68" s="1"/>
  <c r="U317" i="68"/>
  <c r="U295" i="68"/>
  <c r="U296" i="68"/>
  <c r="U360" i="68" s="1"/>
  <c r="U424" i="68" s="1"/>
  <c r="N207" i="68"/>
  <c r="N209" i="68" s="1"/>
  <c r="N145" i="68"/>
  <c r="X198" i="68"/>
  <c r="X200" i="68" s="1"/>
  <c r="X136" i="68"/>
  <c r="X324" i="68"/>
  <c r="X387" i="68"/>
  <c r="X451" i="68" s="1"/>
  <c r="AG522" i="68"/>
  <c r="AG584" i="68"/>
  <c r="T328" i="68"/>
  <c r="T329" i="68"/>
  <c r="T393" i="68" s="1"/>
  <c r="T457" i="68" s="1"/>
  <c r="K299" i="68"/>
  <c r="K363" i="68" s="1"/>
  <c r="K427" i="68" s="1"/>
  <c r="K298" i="68"/>
  <c r="AF198" i="68"/>
  <c r="AF200" i="68" s="1"/>
  <c r="AF136" i="68"/>
  <c r="W303" i="68"/>
  <c r="W365" i="68"/>
  <c r="R279" i="68"/>
  <c r="R341" i="68"/>
  <c r="U450" i="68"/>
  <c r="U452" i="68" s="1"/>
  <c r="U388" i="68"/>
  <c r="M356" i="68"/>
  <c r="U501" i="68"/>
  <c r="U563" i="68"/>
  <c r="AE326" i="68"/>
  <c r="AE390" i="68" s="1"/>
  <c r="AE454" i="68" s="1"/>
  <c r="AE325" i="68"/>
  <c r="R288" i="68"/>
  <c r="R350" i="68"/>
  <c r="Z66" i="68"/>
  <c r="Z128" i="68"/>
  <c r="AE292" i="68"/>
  <c r="AE293" i="68"/>
  <c r="AE357" i="68" s="1"/>
  <c r="AE421" i="68" s="1"/>
  <c r="K513" i="68"/>
  <c r="K575" i="68"/>
  <c r="AB467" i="68"/>
  <c r="AA537" i="72"/>
  <c r="AA563" i="72"/>
  <c r="AA583" i="72" s="1"/>
  <c r="Y60" i="68"/>
  <c r="Y122" i="68"/>
  <c r="N520" i="68"/>
  <c r="N521" i="68"/>
  <c r="N585" i="68" s="1"/>
  <c r="N649" i="68" s="1"/>
  <c r="AC302" i="68"/>
  <c r="AC366" i="68" s="1"/>
  <c r="AC430" i="68" s="1"/>
  <c r="AC301" i="68"/>
  <c r="W467" i="68"/>
  <c r="V537" i="72"/>
  <c r="V563" i="72"/>
  <c r="V583" i="72" s="1"/>
  <c r="AG330" i="68"/>
  <c r="AG392" i="68"/>
  <c r="L108" i="68"/>
  <c r="L170" i="68"/>
  <c r="Y195" i="68"/>
  <c r="Y197" i="68" s="1"/>
  <c r="Y133" i="68"/>
  <c r="W195" i="68"/>
  <c r="W197" i="68" s="1"/>
  <c r="W133" i="68"/>
  <c r="W285" i="68"/>
  <c r="W347" i="68"/>
  <c r="Z467" i="68"/>
  <c r="Y537" i="72"/>
  <c r="Y563" i="72"/>
  <c r="Y583" i="72" s="1"/>
  <c r="M312" i="68"/>
  <c r="M374" i="68"/>
  <c r="M63" i="68"/>
  <c r="M125" i="68"/>
  <c r="R525" i="68"/>
  <c r="R587" i="68"/>
  <c r="R207" i="68"/>
  <c r="R209" i="68" s="1"/>
  <c r="R145" i="68"/>
  <c r="Z509" i="68"/>
  <c r="Z573" i="68" s="1"/>
  <c r="Z637" i="68" s="1"/>
  <c r="Z508" i="68"/>
  <c r="AE527" i="68"/>
  <c r="AE591" i="68" s="1"/>
  <c r="AE655" i="68" s="1"/>
  <c r="AE526" i="68"/>
  <c r="P291" i="68"/>
  <c r="P353" i="68"/>
  <c r="N283" i="68"/>
  <c r="N284" i="68"/>
  <c r="N348" i="68" s="1"/>
  <c r="N412" i="68" s="1"/>
  <c r="S66" i="68"/>
  <c r="S128" i="68"/>
  <c r="P69" i="68"/>
  <c r="P131" i="68"/>
  <c r="U539" i="68"/>
  <c r="U603" i="68" s="1"/>
  <c r="U667" i="68" s="1"/>
  <c r="U538" i="68"/>
  <c r="S299" i="68"/>
  <c r="S363" i="68" s="1"/>
  <c r="S427" i="68" s="1"/>
  <c r="S298" i="68"/>
  <c r="AH467" i="68"/>
  <c r="AG537" i="72"/>
  <c r="AG563" i="72"/>
  <c r="AG583" i="72" s="1"/>
  <c r="AE105" i="68"/>
  <c r="AE168" i="68"/>
  <c r="AE232" i="68" s="1"/>
  <c r="Q102" i="68"/>
  <c r="Q165" i="68"/>
  <c r="Q229" i="68" s="1"/>
  <c r="AF540" i="68"/>
  <c r="AF602" i="68"/>
  <c r="AD672" i="68"/>
  <c r="P309" i="68"/>
  <c r="P371" i="68"/>
  <c r="AC309" i="68"/>
  <c r="AC371" i="68"/>
  <c r="S377" i="68"/>
  <c r="AF522" i="68"/>
  <c r="AF584" i="68"/>
  <c r="Q467" i="68"/>
  <c r="P537" i="72"/>
  <c r="P563" i="72"/>
  <c r="P583" i="72" s="1"/>
  <c r="AE84" i="68"/>
  <c r="AE146" i="68"/>
  <c r="Q248" i="68"/>
  <c r="P364" i="72"/>
  <c r="P541" i="72"/>
  <c r="P561" i="72" s="1"/>
  <c r="I504" i="68"/>
  <c r="I566" i="68"/>
  <c r="R325" i="68"/>
  <c r="R389" i="68" s="1"/>
  <c r="R326" i="68"/>
  <c r="AC321" i="68"/>
  <c r="AC383" i="68"/>
  <c r="AG189" i="68"/>
  <c r="AG191" i="68" s="1"/>
  <c r="AG127" i="68"/>
  <c r="O282" i="68"/>
  <c r="O344" i="68"/>
  <c r="AF201" i="68"/>
  <c r="AF203" i="68" s="1"/>
  <c r="AF139" i="68"/>
  <c r="J507" i="68"/>
  <c r="J569" i="68"/>
  <c r="S529" i="68"/>
  <c r="S593" i="68" s="1"/>
  <c r="S530" i="68"/>
  <c r="AD514" i="68"/>
  <c r="AD515" i="68"/>
  <c r="AD579" i="68" s="1"/>
  <c r="AD643" i="68" s="1"/>
  <c r="X467" i="68"/>
  <c r="W537" i="72"/>
  <c r="W563" i="72"/>
  <c r="W583" i="72" s="1"/>
  <c r="AA102" i="68"/>
  <c r="AA165" i="68"/>
  <c r="AA229" i="68" s="1"/>
  <c r="Y306" i="68"/>
  <c r="Y368" i="68"/>
  <c r="Q105" i="68"/>
  <c r="Q167" i="68"/>
  <c r="AH504" i="68"/>
  <c r="AH566" i="68"/>
  <c r="V526" i="68"/>
  <c r="V527" i="68"/>
  <c r="V591" i="68" s="1"/>
  <c r="V655" i="68" s="1"/>
  <c r="U108" i="68"/>
  <c r="U170" i="68"/>
  <c r="S201" i="68"/>
  <c r="S203" i="68" s="1"/>
  <c r="S139" i="68"/>
  <c r="P507" i="68"/>
  <c r="P569" i="68"/>
  <c r="N274" i="68"/>
  <c r="N275" i="68"/>
  <c r="N339" i="68" s="1"/>
  <c r="N403" i="68" s="1"/>
  <c r="V663" i="68"/>
  <c r="K280" i="68"/>
  <c r="K281" i="68"/>
  <c r="K345" i="68" s="1"/>
  <c r="K409" i="68" s="1"/>
  <c r="N282" i="68"/>
  <c r="N344" i="68"/>
  <c r="V276" i="68"/>
  <c r="V338" i="68"/>
  <c r="J277" i="68"/>
  <c r="J278" i="68"/>
  <c r="J342" i="68" s="1"/>
  <c r="J406" i="68" s="1"/>
  <c r="AA57" i="68"/>
  <c r="AA119" i="68"/>
  <c r="AH533" i="68"/>
  <c r="AH597" i="68" s="1"/>
  <c r="AH661" i="68" s="1"/>
  <c r="AH532" i="68"/>
  <c r="U515" i="68"/>
  <c r="U579" i="68" s="1"/>
  <c r="U643" i="68" s="1"/>
  <c r="U514" i="68"/>
  <c r="S29" i="68"/>
  <c r="R190" i="72"/>
  <c r="R309" i="68"/>
  <c r="R371" i="68"/>
  <c r="P456" i="68"/>
  <c r="V228" i="68"/>
  <c r="K323" i="68"/>
  <c r="K387" i="68" s="1"/>
  <c r="K451" i="68" s="1"/>
  <c r="K322" i="68"/>
  <c r="K516" i="68"/>
  <c r="K578" i="68"/>
  <c r="AE524" i="68"/>
  <c r="AE588" i="68" s="1"/>
  <c r="AE652" i="68" s="1"/>
  <c r="AE523" i="68"/>
  <c r="Q498" i="68"/>
  <c r="Q560" i="68"/>
  <c r="AA87" i="68"/>
  <c r="AA149" i="68"/>
  <c r="O288" i="68"/>
  <c r="O350" i="68"/>
  <c r="AA506" i="68"/>
  <c r="AA570" i="68" s="1"/>
  <c r="AA634" i="68" s="1"/>
  <c r="AA505" i="68"/>
  <c r="AF326" i="68"/>
  <c r="AF390" i="68" s="1"/>
  <c r="AF454" i="68" s="1"/>
  <c r="AF325" i="68"/>
  <c r="T225" i="68"/>
  <c r="T532" i="68"/>
  <c r="T533" i="68"/>
  <c r="T597" i="68" s="1"/>
  <c r="T661" i="68" s="1"/>
  <c r="T248" i="68"/>
  <c r="S364" i="72"/>
  <c r="S541" i="72"/>
  <c r="S561" i="72" s="1"/>
  <c r="I513" i="68"/>
  <c r="I575" i="68"/>
  <c r="AA72" i="68"/>
  <c r="AA134" i="68"/>
  <c r="X311" i="68"/>
  <c r="X375" i="68" s="1"/>
  <c r="X439" i="68" s="1"/>
  <c r="X310" i="68"/>
  <c r="O318" i="68"/>
  <c r="O380" i="68"/>
  <c r="M72" i="68"/>
  <c r="M134" i="68"/>
  <c r="X501" i="68"/>
  <c r="X563" i="68"/>
  <c r="AD495" i="68"/>
  <c r="AD557" i="68"/>
  <c r="V248" i="68"/>
  <c r="U364" i="72"/>
  <c r="U541" i="72"/>
  <c r="U561" i="72" s="1"/>
  <c r="N60" i="68"/>
  <c r="N122" i="68"/>
  <c r="T529" i="68"/>
  <c r="T530" i="68"/>
  <c r="T594" i="68" s="1"/>
  <c r="T658" i="68" s="1"/>
  <c r="O307" i="68"/>
  <c r="O308" i="68"/>
  <c r="O372" i="68" s="1"/>
  <c r="O436" i="68" s="1"/>
  <c r="AG284" i="68"/>
  <c r="AG348" i="68" s="1"/>
  <c r="AG412" i="68" s="1"/>
  <c r="AG283" i="68"/>
  <c r="AC516" i="68"/>
  <c r="AC578" i="68"/>
  <c r="AH111" i="68"/>
  <c r="AH173" i="68"/>
  <c r="AD294" i="68"/>
  <c r="AD356" i="68"/>
  <c r="AG504" i="68"/>
  <c r="AG566" i="68"/>
  <c r="K321" i="68"/>
  <c r="K383" i="68"/>
  <c r="M172" i="68"/>
  <c r="R213" i="68"/>
  <c r="R215" i="68" s="1"/>
  <c r="R151" i="68"/>
  <c r="Q312" i="68"/>
  <c r="Q374" i="68"/>
  <c r="V210" i="68"/>
  <c r="V212" i="68" s="1"/>
  <c r="V148" i="68"/>
  <c r="AB534" i="68"/>
  <c r="AB596" i="68"/>
  <c r="I292" i="68"/>
  <c r="I293" i="68"/>
  <c r="I357" i="68" s="1"/>
  <c r="I421" i="68" s="1"/>
  <c r="AF387" i="68"/>
  <c r="AF451" i="68" s="1"/>
  <c r="AB500" i="68"/>
  <c r="AB564" i="68" s="1"/>
  <c r="AB628" i="68" s="1"/>
  <c r="AB499" i="68"/>
  <c r="N75" i="68"/>
  <c r="N137" i="68"/>
  <c r="K341" i="68"/>
  <c r="Z198" i="68"/>
  <c r="Z200" i="68" s="1"/>
  <c r="Z136" i="68"/>
  <c r="AB282" i="68"/>
  <c r="AB344" i="68"/>
  <c r="Z319" i="68"/>
  <c r="Z320" i="68"/>
  <c r="Z384" i="68" s="1"/>
  <c r="Z448" i="68" s="1"/>
  <c r="L84" i="68"/>
  <c r="L146" i="68"/>
  <c r="L282" i="68"/>
  <c r="L344" i="68"/>
  <c r="AE547" i="68"/>
  <c r="AE548" i="68"/>
  <c r="AE612" i="68" s="1"/>
  <c r="AE676" i="68" s="1"/>
  <c r="AE122" i="68"/>
  <c r="J327" i="68"/>
  <c r="J389" i="68"/>
  <c r="Q526" i="68"/>
  <c r="Q527" i="68"/>
  <c r="Q591" i="68" s="1"/>
  <c r="Q655" i="68" s="1"/>
  <c r="J498" i="68"/>
  <c r="J560" i="68"/>
  <c r="AC341" i="68"/>
  <c r="L328" i="68"/>
  <c r="L329" i="68"/>
  <c r="L393" i="68" s="1"/>
  <c r="L457" i="68" s="1"/>
  <c r="AF532" i="68"/>
  <c r="AF533" i="68"/>
  <c r="AF597" i="68" s="1"/>
  <c r="AF661" i="68" s="1"/>
  <c r="K316" i="68"/>
  <c r="K317" i="68"/>
  <c r="K381" i="68" s="1"/>
  <c r="K445" i="68" s="1"/>
  <c r="Z278" i="68"/>
  <c r="Z342" i="68" s="1"/>
  <c r="Z406" i="68" s="1"/>
  <c r="Z277" i="68"/>
  <c r="U69" i="68"/>
  <c r="U131" i="68"/>
  <c r="AF294" i="68"/>
  <c r="AF356" i="68"/>
  <c r="AF306" i="68"/>
  <c r="AF368" i="68"/>
  <c r="Q198" i="68"/>
  <c r="Q200" i="68" s="1"/>
  <c r="Q136" i="68"/>
  <c r="Z283" i="68"/>
  <c r="Z284" i="68"/>
  <c r="Z348" i="68" s="1"/>
  <c r="Z412" i="68" s="1"/>
  <c r="AH90" i="68"/>
  <c r="AH152" i="68"/>
  <c r="Q316" i="68"/>
  <c r="Q317" i="68"/>
  <c r="Q381" i="68" s="1"/>
  <c r="Q445" i="68" s="1"/>
  <c r="M519" i="68"/>
  <c r="M581" i="68"/>
  <c r="N216" i="68"/>
  <c r="N218" i="68" s="1"/>
  <c r="N154" i="68"/>
  <c r="Z207" i="68"/>
  <c r="Z209" i="68" s="1"/>
  <c r="Z145" i="68"/>
  <c r="P513" i="68"/>
  <c r="P575" i="68"/>
  <c r="AB525" i="68"/>
  <c r="AB587" i="68"/>
  <c r="Y520" i="68"/>
  <c r="Y521" i="68"/>
  <c r="Y585" i="68" s="1"/>
  <c r="Y649" i="68" s="1"/>
  <c r="W549" i="68"/>
  <c r="W612" i="68"/>
  <c r="W676" i="68" s="1"/>
  <c r="AB542" i="68"/>
  <c r="AB606" i="68" s="1"/>
  <c r="AB670" i="68" s="1"/>
  <c r="AB541" i="68"/>
  <c r="N531" i="68"/>
  <c r="N593" i="68"/>
  <c r="V189" i="68"/>
  <c r="V191" i="68" s="1"/>
  <c r="V127" i="68"/>
  <c r="AF537" i="68"/>
  <c r="AF599" i="68"/>
  <c r="Y531" i="68"/>
  <c r="Y593" i="68"/>
  <c r="N303" i="68"/>
  <c r="N365" i="68"/>
  <c r="N498" i="68"/>
  <c r="N560" i="68"/>
  <c r="Z225" i="68"/>
  <c r="Z227" i="68" s="1"/>
  <c r="Z163" i="68"/>
  <c r="M540" i="68"/>
  <c r="M602" i="68"/>
  <c r="T195" i="68"/>
  <c r="T197" i="68" s="1"/>
  <c r="T133" i="68"/>
  <c r="Z201" i="68"/>
  <c r="Z203" i="68" s="1"/>
  <c r="Z139" i="68"/>
  <c r="T498" i="68"/>
  <c r="T560" i="68"/>
  <c r="P102" i="68"/>
  <c r="P164" i="68"/>
  <c r="Q96" i="68"/>
  <c r="Q159" i="68"/>
  <c r="Q223" i="68" s="1"/>
  <c r="Y285" i="68"/>
  <c r="Y347" i="68"/>
  <c r="L111" i="68"/>
  <c r="L173" i="68"/>
  <c r="V306" i="68"/>
  <c r="V368" i="68"/>
  <c r="V543" i="68"/>
  <c r="V606" i="68"/>
  <c r="V670" i="68" s="1"/>
  <c r="AC105" i="68"/>
  <c r="AC167" i="68"/>
  <c r="I84" i="68"/>
  <c r="I146" i="68"/>
  <c r="I543" i="68"/>
  <c r="I605" i="68"/>
  <c r="AC186" i="68"/>
  <c r="AC188" i="68" s="1"/>
  <c r="AC124" i="68"/>
  <c r="T285" i="68"/>
  <c r="T347" i="68"/>
  <c r="R315" i="68"/>
  <c r="R377" i="68"/>
  <c r="AB540" i="68"/>
  <c r="AB602" i="68"/>
  <c r="Q549" i="68"/>
  <c r="Q611" i="68"/>
  <c r="V295" i="68"/>
  <c r="V296" i="68"/>
  <c r="V360" i="68" s="1"/>
  <c r="V424" i="68" s="1"/>
  <c r="AE521" i="68"/>
  <c r="AE585" i="68" s="1"/>
  <c r="AE649" i="68" s="1"/>
  <c r="AE520" i="68"/>
  <c r="Q90" i="68"/>
  <c r="Q152" i="68"/>
  <c r="L309" i="68"/>
  <c r="L371" i="68"/>
  <c r="AD314" i="68"/>
  <c r="AD378" i="68" s="1"/>
  <c r="AD442" i="68" s="1"/>
  <c r="AD313" i="68"/>
  <c r="T282" i="68"/>
  <c r="T344" i="68"/>
  <c r="AH306" i="68"/>
  <c r="AH368" i="68"/>
  <c r="W524" i="68"/>
  <c r="W588" i="68" s="1"/>
  <c r="W652" i="68" s="1"/>
  <c r="W523" i="68"/>
  <c r="AH285" i="68"/>
  <c r="AH347" i="68"/>
  <c r="Y309" i="68"/>
  <c r="Y371" i="68"/>
  <c r="AA534" i="68"/>
  <c r="AA596" i="68"/>
  <c r="V294" i="68"/>
  <c r="V356" i="68"/>
  <c r="V324" i="68"/>
  <c r="V386" i="68"/>
  <c r="K295" i="68"/>
  <c r="K296" i="68"/>
  <c r="K360" i="68" s="1"/>
  <c r="K424" i="68" s="1"/>
  <c r="V281" i="68"/>
  <c r="V345" i="68" s="1"/>
  <c r="V409" i="68" s="1"/>
  <c r="V280" i="68"/>
  <c r="AH522" i="68"/>
  <c r="AH584" i="68"/>
  <c r="AG275" i="68"/>
  <c r="AG339" i="68" s="1"/>
  <c r="AG403" i="68" s="1"/>
  <c r="AG274" i="68"/>
  <c r="L69" i="68"/>
  <c r="L131" i="68"/>
  <c r="Q307" i="68"/>
  <c r="Q308" i="68"/>
  <c r="Q372" i="68" s="1"/>
  <c r="Q436" i="68" s="1"/>
  <c r="AD291" i="68"/>
  <c r="AD353" i="68"/>
  <c r="M495" i="68"/>
  <c r="M557" i="68"/>
  <c r="Q514" i="68"/>
  <c r="Q515" i="68"/>
  <c r="Q579" i="68" s="1"/>
  <c r="Q643" i="68" s="1"/>
  <c r="R248" i="68"/>
  <c r="Q364" i="72"/>
  <c r="Q541" i="72"/>
  <c r="Q561" i="72" s="1"/>
  <c r="T190" i="72"/>
  <c r="U29" i="68"/>
  <c r="J536" i="68"/>
  <c r="J600" i="68" s="1"/>
  <c r="J664" i="68" s="1"/>
  <c r="J535" i="68"/>
  <c r="P320" i="68"/>
  <c r="P384" i="68" s="1"/>
  <c r="P448" i="68" s="1"/>
  <c r="P319" i="68"/>
  <c r="X313" i="68"/>
  <c r="X314" i="68"/>
  <c r="X378" i="68" s="1"/>
  <c r="X442" i="68" s="1"/>
  <c r="Q295" i="68"/>
  <c r="Q296" i="68"/>
  <c r="Q360" i="68" s="1"/>
  <c r="Q424" i="68" s="1"/>
  <c r="Y78" i="68"/>
  <c r="Y140" i="68"/>
  <c r="O87" i="68"/>
  <c r="O149" i="68"/>
  <c r="AH313" i="68"/>
  <c r="AH314" i="68"/>
  <c r="AH378" i="68" s="1"/>
  <c r="AH442" i="68" s="1"/>
  <c r="N297" i="68"/>
  <c r="N359" i="68"/>
  <c r="AH234" i="68"/>
  <c r="AH236" i="68" s="1"/>
  <c r="AH172" i="68"/>
  <c r="AH93" i="68"/>
  <c r="AH155" i="68"/>
  <c r="S210" i="68"/>
  <c r="S212" i="68" s="1"/>
  <c r="S148" i="68"/>
  <c r="O522" i="68"/>
  <c r="O584" i="68"/>
  <c r="AH495" i="68"/>
  <c r="AH557" i="68"/>
  <c r="Z87" i="68"/>
  <c r="Z149" i="68"/>
  <c r="I285" i="68"/>
  <c r="I347" i="68"/>
  <c r="X450" i="68"/>
  <c r="T514" i="68"/>
  <c r="T515" i="68"/>
  <c r="T579" i="68" s="1"/>
  <c r="T643" i="68" s="1"/>
  <c r="AH321" i="68"/>
  <c r="AH383" i="68"/>
  <c r="S326" i="68"/>
  <c r="S390" i="68" s="1"/>
  <c r="S454" i="68" s="1"/>
  <c r="S325" i="68"/>
  <c r="AF90" i="68"/>
  <c r="AF152" i="68"/>
  <c r="I298" i="68"/>
  <c r="I299" i="68"/>
  <c r="I363" i="68" s="1"/>
  <c r="I427" i="68" s="1"/>
  <c r="AA535" i="68"/>
  <c r="AA536" i="68"/>
  <c r="AA600" i="68" s="1"/>
  <c r="AA664" i="68" s="1"/>
  <c r="M276" i="68"/>
  <c r="M339" i="68"/>
  <c r="M403" i="68" s="1"/>
  <c r="R320" i="68"/>
  <c r="R384" i="68" s="1"/>
  <c r="R448" i="68" s="1"/>
  <c r="R319" i="68"/>
  <c r="U518" i="68"/>
  <c r="U582" i="68" s="1"/>
  <c r="U646" i="68" s="1"/>
  <c r="U517" i="68"/>
  <c r="AG66" i="68"/>
  <c r="AG128" i="68"/>
  <c r="X365" i="68"/>
  <c r="L297" i="68"/>
  <c r="L359" i="68"/>
  <c r="W294" i="68"/>
  <c r="W356" i="68"/>
  <c r="J501" i="68"/>
  <c r="J563" i="68"/>
  <c r="M66" i="68"/>
  <c r="M128" i="68"/>
  <c r="AE312" i="68"/>
  <c r="AE375" i="68"/>
  <c r="AE439" i="68" s="1"/>
  <c r="AH274" i="68"/>
  <c r="AH275" i="68"/>
  <c r="AH339" i="68" s="1"/>
  <c r="AH403" i="68" s="1"/>
  <c r="J493" i="68"/>
  <c r="J557" i="68" s="1"/>
  <c r="J494" i="68"/>
  <c r="AA513" i="68"/>
  <c r="AA575" i="68"/>
  <c r="O501" i="68"/>
  <c r="O563" i="68"/>
  <c r="Q276" i="68"/>
  <c r="Q338" i="68"/>
  <c r="T326" i="68"/>
  <c r="T390" i="68" s="1"/>
  <c r="T454" i="68" s="1"/>
  <c r="T325" i="68"/>
  <c r="R312" i="68"/>
  <c r="R374" i="68"/>
  <c r="AE530" i="68"/>
  <c r="AE594" i="68" s="1"/>
  <c r="AE658" i="68" s="1"/>
  <c r="AE529" i="68"/>
  <c r="S274" i="68"/>
  <c r="S275" i="68"/>
  <c r="S339" i="68" s="1"/>
  <c r="S403" i="68" s="1"/>
  <c r="R540" i="68"/>
  <c r="R602" i="68"/>
  <c r="P467" i="68"/>
  <c r="O537" i="72"/>
  <c r="O563" i="72"/>
  <c r="O583" i="72" s="1"/>
  <c r="P96" i="68"/>
  <c r="P158" i="68"/>
  <c r="AC237" i="68"/>
  <c r="AC239" i="68" s="1"/>
  <c r="AC175" i="68"/>
  <c r="L105" i="68"/>
  <c r="L168" i="68"/>
  <c r="L232" i="68" s="1"/>
  <c r="AE29" i="68"/>
  <c r="AD190" i="72"/>
  <c r="AA527" i="68"/>
  <c r="AA591" i="68" s="1"/>
  <c r="AA655" i="68" s="1"/>
  <c r="AA526" i="68"/>
  <c r="AE231" i="68"/>
  <c r="Q228" i="68"/>
  <c r="AG225" i="68"/>
  <c r="AG509" i="68"/>
  <c r="AG573" i="68" s="1"/>
  <c r="AG637" i="68" s="1"/>
  <c r="AG508" i="68"/>
  <c r="Z57" i="68"/>
  <c r="Z119" i="68"/>
  <c r="O547" i="68"/>
  <c r="O611" i="68" s="1"/>
  <c r="O548" i="68"/>
  <c r="X548" i="68"/>
  <c r="X612" i="68" s="1"/>
  <c r="X676" i="68" s="1"/>
  <c r="X547" i="68"/>
  <c r="J286" i="68"/>
  <c r="J287" i="68"/>
  <c r="J351" i="68" s="1"/>
  <c r="J415" i="68" s="1"/>
  <c r="M321" i="68"/>
  <c r="M383" i="68"/>
  <c r="T523" i="68"/>
  <c r="T524" i="68"/>
  <c r="T588" i="68" s="1"/>
  <c r="T652" i="68" s="1"/>
  <c r="V327" i="68"/>
  <c r="V389" i="68"/>
  <c r="AB309" i="68"/>
  <c r="AB371" i="68"/>
  <c r="Q290" i="68"/>
  <c r="Q354" i="68" s="1"/>
  <c r="Q418" i="68" s="1"/>
  <c r="Q289" i="68"/>
  <c r="V495" i="68"/>
  <c r="V557" i="68"/>
  <c r="R29" i="68"/>
  <c r="Q190" i="72"/>
  <c r="AB204" i="68"/>
  <c r="AB206" i="68" s="1"/>
  <c r="AB142" i="68"/>
  <c r="M60" i="68"/>
  <c r="M122" i="68"/>
  <c r="AA504" i="68"/>
  <c r="AA566" i="68"/>
  <c r="U521" i="68"/>
  <c r="U585" i="68" s="1"/>
  <c r="U649" i="68" s="1"/>
  <c r="U520" i="68"/>
  <c r="AA167" i="68"/>
  <c r="L29" i="68"/>
  <c r="K190" i="72"/>
  <c r="Q521" i="68"/>
  <c r="Q585" i="68" s="1"/>
  <c r="Q649" i="68" s="1"/>
  <c r="Q520" i="68"/>
  <c r="AH326" i="68"/>
  <c r="AH390" i="68" s="1"/>
  <c r="AH454" i="68" s="1"/>
  <c r="AH325" i="68"/>
  <c r="P90" i="68"/>
  <c r="P152" i="68"/>
  <c r="Z608" i="68"/>
  <c r="AA228" i="68"/>
  <c r="AG546" i="68"/>
  <c r="AG608" i="68"/>
  <c r="AD501" i="68"/>
  <c r="AD563" i="68"/>
  <c r="AA329" i="68"/>
  <c r="AA393" i="68" s="1"/>
  <c r="AA457" i="68" s="1"/>
  <c r="AA328" i="68"/>
  <c r="V300" i="68"/>
  <c r="V362" i="68"/>
  <c r="P285" i="68"/>
  <c r="P347" i="68"/>
  <c r="AA190" i="72"/>
  <c r="AB29" i="68"/>
  <c r="AC531" i="68"/>
  <c r="AC593" i="68"/>
  <c r="Y282" i="68"/>
  <c r="Y344" i="68"/>
  <c r="M507" i="68"/>
  <c r="M569" i="68"/>
  <c r="L327" i="68"/>
  <c r="L390" i="68"/>
  <c r="L454" i="68" s="1"/>
  <c r="J93" i="68"/>
  <c r="J156" i="68"/>
  <c r="J220" i="68" s="1"/>
  <c r="AF543" i="68"/>
  <c r="AF606" i="68"/>
  <c r="AF670" i="68" s="1"/>
  <c r="T320" i="68"/>
  <c r="T384" i="68" s="1"/>
  <c r="T448" i="68" s="1"/>
  <c r="T319" i="68"/>
  <c r="AG201" i="68"/>
  <c r="AG203" i="68" s="1"/>
  <c r="AG139" i="68"/>
  <c r="X128" i="68"/>
  <c r="R303" i="68"/>
  <c r="R365" i="68"/>
  <c r="AF467" i="68"/>
  <c r="AF487" i="68" s="1"/>
  <c r="AE537" i="72"/>
  <c r="AE563" i="72"/>
  <c r="AE583" i="72" s="1"/>
  <c r="AB324" i="68"/>
  <c r="AB386" i="68"/>
  <c r="Y534" i="68"/>
  <c r="Y597" i="68"/>
  <c r="Y661" i="68" s="1"/>
  <c r="K204" i="68"/>
  <c r="K206" i="68" s="1"/>
  <c r="K142" i="68"/>
  <c r="X216" i="68"/>
  <c r="X218" i="68" s="1"/>
  <c r="X154" i="68"/>
  <c r="P192" i="68"/>
  <c r="P194" i="68" s="1"/>
  <c r="P130" i="68"/>
  <c r="U498" i="68"/>
  <c r="U560" i="68"/>
  <c r="I507" i="68"/>
  <c r="I569" i="68"/>
  <c r="R300" i="68"/>
  <c r="R362" i="68"/>
  <c r="AF528" i="68"/>
  <c r="AF590" i="68"/>
  <c r="J87" i="68"/>
  <c r="J149" i="68"/>
  <c r="AC318" i="68"/>
  <c r="AC380" i="68"/>
  <c r="AG539" i="68"/>
  <c r="AG603" i="68" s="1"/>
  <c r="AG667" i="68" s="1"/>
  <c r="AG538" i="68"/>
  <c r="AA524" i="68"/>
  <c r="AA588" i="68" s="1"/>
  <c r="AA652" i="68" s="1"/>
  <c r="AA523" i="68"/>
  <c r="AG312" i="68"/>
  <c r="AG375" i="68"/>
  <c r="AG439" i="68" s="1"/>
  <c r="AB544" i="68"/>
  <c r="AB608" i="68" s="1"/>
  <c r="AB545" i="68"/>
  <c r="AG295" i="68"/>
  <c r="AG296" i="68"/>
  <c r="AG360" i="68" s="1"/>
  <c r="AG424" i="68" s="1"/>
  <c r="T228" i="68"/>
  <c r="T230" i="68" s="1"/>
  <c r="T166" i="68"/>
  <c r="AD344" i="68"/>
  <c r="K498" i="68"/>
  <c r="K560" i="68"/>
  <c r="V315" i="68"/>
  <c r="V377" i="68"/>
  <c r="X540" i="68"/>
  <c r="X602" i="68"/>
  <c r="R69" i="68"/>
  <c r="R131" i="68"/>
  <c r="AE291" i="68"/>
  <c r="AE353" i="68"/>
  <c r="M318" i="68"/>
  <c r="M381" i="68"/>
  <c r="M445" i="68" s="1"/>
  <c r="AH537" i="68"/>
  <c r="AH599" i="68"/>
  <c r="AE189" i="68"/>
  <c r="AE191" i="68" s="1"/>
  <c r="AE127" i="68"/>
  <c r="M201" i="68"/>
  <c r="M203" i="68" s="1"/>
  <c r="M139" i="68"/>
  <c r="O587" i="68"/>
  <c r="M236" i="68"/>
  <c r="AH323" i="68"/>
  <c r="AH387" i="68" s="1"/>
  <c r="AH451" i="68" s="1"/>
  <c r="AH322" i="68"/>
  <c r="Q282" i="68"/>
  <c r="Q344" i="68"/>
  <c r="L275" i="68"/>
  <c r="L339" i="68" s="1"/>
  <c r="L403" i="68" s="1"/>
  <c r="L274" i="68"/>
  <c r="AD287" i="68"/>
  <c r="AD351" i="68" s="1"/>
  <c r="AD415" i="68" s="1"/>
  <c r="AD286" i="68"/>
  <c r="J548" i="68"/>
  <c r="J612" i="68" s="1"/>
  <c r="J676" i="68" s="1"/>
  <c r="J547" i="68"/>
  <c r="V29" i="68"/>
  <c r="U190" i="72"/>
  <c r="AG190" i="72"/>
  <c r="AH29" i="68"/>
  <c r="X204" i="68"/>
  <c r="X206" i="68" s="1"/>
  <c r="X142" i="68"/>
  <c r="T506" i="68"/>
  <c r="T570" i="68" s="1"/>
  <c r="T634" i="68" s="1"/>
  <c r="T505" i="68"/>
  <c r="V279" i="68"/>
  <c r="V341" i="68"/>
  <c r="I291" i="68"/>
  <c r="I353" i="68"/>
  <c r="N533" i="68"/>
  <c r="N597" i="68" s="1"/>
  <c r="N661" i="68" s="1"/>
  <c r="N532" i="68"/>
  <c r="W291" i="68"/>
  <c r="W353" i="68"/>
  <c r="V99" i="68"/>
  <c r="V161" i="68"/>
  <c r="AD312" i="68"/>
  <c r="AD375" i="68"/>
  <c r="AD439" i="68" s="1"/>
  <c r="AE517" i="68"/>
  <c r="AE518" i="68"/>
  <c r="AE582" i="68" s="1"/>
  <c r="AE646" i="68" s="1"/>
  <c r="N527" i="68"/>
  <c r="N591" i="68" s="1"/>
  <c r="N655" i="68" s="1"/>
  <c r="N526" i="68"/>
  <c r="L315" i="68"/>
  <c r="L377" i="68"/>
  <c r="O195" i="68"/>
  <c r="O197" i="68" s="1"/>
  <c r="O133" i="68"/>
  <c r="P611" i="68"/>
  <c r="AG323" i="68"/>
  <c r="AG387" i="68" s="1"/>
  <c r="AG451" i="68" s="1"/>
  <c r="AG322" i="68"/>
  <c r="AC90" i="68"/>
  <c r="AC152" i="68"/>
  <c r="P190" i="72"/>
  <c r="Q29" i="68"/>
  <c r="P279" i="68"/>
  <c r="P341" i="68"/>
  <c r="AF307" i="68"/>
  <c r="AF308" i="68"/>
  <c r="AF372" i="68" s="1"/>
  <c r="AF436" i="68" s="1"/>
  <c r="O527" i="68"/>
  <c r="O591" i="68" s="1"/>
  <c r="O655" i="68" s="1"/>
  <c r="O526" i="68"/>
  <c r="M285" i="68"/>
  <c r="M347" i="68"/>
  <c r="K201" i="68"/>
  <c r="K203" i="68" s="1"/>
  <c r="K139" i="68"/>
  <c r="K99" i="68"/>
  <c r="K161" i="68"/>
  <c r="Y330" i="68"/>
  <c r="Y392" i="68"/>
  <c r="P274" i="68"/>
  <c r="P275" i="68"/>
  <c r="P339" i="68" s="1"/>
  <c r="P403" i="68" s="1"/>
  <c r="AD510" i="68"/>
  <c r="AD572" i="68"/>
  <c r="Y493" i="68"/>
  <c r="Y494" i="68"/>
  <c r="Y558" i="68" s="1"/>
  <c r="Y622" i="68" s="1"/>
  <c r="AG660" i="68"/>
  <c r="P330" i="68"/>
  <c r="P393" i="68"/>
  <c r="P457" i="68" s="1"/>
  <c r="W78" i="68"/>
  <c r="W140" i="68"/>
  <c r="W327" i="68"/>
  <c r="W389" i="68"/>
  <c r="M309" i="68"/>
  <c r="M371" i="68"/>
  <c r="P516" i="68"/>
  <c r="P578" i="68"/>
  <c r="I225" i="68"/>
  <c r="I227" i="68" s="1"/>
  <c r="I163" i="68"/>
  <c r="Y325" i="68"/>
  <c r="Y326" i="68"/>
  <c r="Y390" i="68" s="1"/>
  <c r="Y454" i="68" s="1"/>
  <c r="AD186" i="68"/>
  <c r="AD188" i="68" s="1"/>
  <c r="AD124" i="68"/>
  <c r="Y165" i="68"/>
  <c r="Y229" i="68" s="1"/>
  <c r="AC538" i="68"/>
  <c r="AC539" i="68"/>
  <c r="AC603" i="68" s="1"/>
  <c r="AC667" i="68" s="1"/>
  <c r="AD329" i="68"/>
  <c r="AD393" i="68" s="1"/>
  <c r="AD457" i="68" s="1"/>
  <c r="AD328" i="68"/>
  <c r="AC219" i="68"/>
  <c r="AC221" i="68" s="1"/>
  <c r="AC157" i="68"/>
  <c r="AE534" i="68"/>
  <c r="AE597" i="68"/>
  <c r="AE661" i="68" s="1"/>
  <c r="M195" i="68"/>
  <c r="M197" i="68" s="1"/>
  <c r="M133" i="68"/>
  <c r="W308" i="68"/>
  <c r="W372" i="68" s="1"/>
  <c r="W436" i="68" s="1"/>
  <c r="W307" i="68"/>
  <c r="W675" i="68"/>
  <c r="W542" i="68"/>
  <c r="W606" i="68" s="1"/>
  <c r="W670" i="68" s="1"/>
  <c r="W541" i="68"/>
  <c r="X518" i="68"/>
  <c r="X582" i="68" s="1"/>
  <c r="X646" i="68" s="1"/>
  <c r="X517" i="68"/>
  <c r="U527" i="68"/>
  <c r="U591" i="68" s="1"/>
  <c r="U655" i="68" s="1"/>
  <c r="U526" i="68"/>
  <c r="W533" i="68"/>
  <c r="W597" i="68" s="1"/>
  <c r="W661" i="68" s="1"/>
  <c r="W532" i="68"/>
  <c r="Y359" i="68"/>
  <c r="M190" i="72"/>
  <c r="N29" i="68"/>
  <c r="O507" i="68"/>
  <c r="O569" i="68"/>
  <c r="AE498" i="68"/>
  <c r="AE560" i="68"/>
  <c r="L467" i="68"/>
  <c r="L487" i="68" s="1"/>
  <c r="K537" i="72"/>
  <c r="K563" i="72"/>
  <c r="K583" i="72" s="1"/>
  <c r="AH317" i="68"/>
  <c r="AH381" i="68" s="1"/>
  <c r="AH445" i="68" s="1"/>
  <c r="AH316" i="68"/>
  <c r="Q222" i="68"/>
  <c r="AB506" i="68"/>
  <c r="AB570" i="68" s="1"/>
  <c r="AB634" i="68" s="1"/>
  <c r="AB505" i="68"/>
  <c r="AB314" i="68"/>
  <c r="AB378" i="68" s="1"/>
  <c r="AB442" i="68" s="1"/>
  <c r="AB313" i="68"/>
  <c r="J303" i="68"/>
  <c r="J365" i="68"/>
  <c r="S281" i="68"/>
  <c r="S345" i="68" s="1"/>
  <c r="S409" i="68" s="1"/>
  <c r="S280" i="68"/>
  <c r="X569" i="68"/>
  <c r="V669" i="68"/>
  <c r="AC511" i="68"/>
  <c r="AC512" i="68"/>
  <c r="AC576" i="68" s="1"/>
  <c r="AC640" i="68" s="1"/>
  <c r="R531" i="68"/>
  <c r="R593" i="68"/>
  <c r="Z276" i="68"/>
  <c r="Z338" i="68"/>
  <c r="AF93" i="68"/>
  <c r="AF155" i="68"/>
  <c r="K499" i="68"/>
  <c r="K500" i="68"/>
  <c r="K564" i="68" s="1"/>
  <c r="K628" i="68" s="1"/>
  <c r="W317" i="68"/>
  <c r="W381" i="68" s="1"/>
  <c r="W445" i="68" s="1"/>
  <c r="W316" i="68"/>
  <c r="I239" i="68"/>
  <c r="AB519" i="68"/>
  <c r="AB581" i="68"/>
  <c r="AF519" i="68"/>
  <c r="AF581" i="68"/>
  <c r="Q69" i="68"/>
  <c r="Q131" i="68"/>
  <c r="AC195" i="68"/>
  <c r="AC197" i="68" s="1"/>
  <c r="AC133" i="68"/>
  <c r="AD320" i="68"/>
  <c r="AD384" i="68" s="1"/>
  <c r="AD448" i="68" s="1"/>
  <c r="AD319" i="68"/>
  <c r="AA313" i="68"/>
  <c r="AA314" i="68"/>
  <c r="AA378" i="68" s="1"/>
  <c r="AA442" i="68" s="1"/>
  <c r="AC276" i="68"/>
  <c r="AC338" i="68"/>
  <c r="W518" i="68"/>
  <c r="W582" i="68" s="1"/>
  <c r="W646" i="68" s="1"/>
  <c r="W517" i="68"/>
  <c r="U60" i="68"/>
  <c r="U122" i="68"/>
  <c r="U294" i="68"/>
  <c r="U356" i="68"/>
  <c r="AG300" i="68"/>
  <c r="AG362" i="68"/>
  <c r="K519" i="68"/>
  <c r="K581" i="68"/>
  <c r="U278" i="68"/>
  <c r="U342" i="68" s="1"/>
  <c r="U406" i="68" s="1"/>
  <c r="U277" i="68"/>
  <c r="Q519" i="68"/>
  <c r="Q581" i="68"/>
  <c r="AA324" i="68"/>
  <c r="AA387" i="68"/>
  <c r="AA451" i="68" s="1"/>
  <c r="K111" i="68"/>
  <c r="K174" i="68"/>
  <c r="K238" i="68" s="1"/>
  <c r="AB60" i="68"/>
  <c r="AB122" i="68"/>
  <c r="AG210" i="68"/>
  <c r="AG212" i="68" s="1"/>
  <c r="AG148" i="68"/>
  <c r="AG495" i="68"/>
  <c r="AG557" i="68"/>
  <c r="S318" i="68"/>
  <c r="S380" i="68"/>
  <c r="AD228" i="68"/>
  <c r="AD230" i="68" s="1"/>
  <c r="AD166" i="68"/>
  <c r="S234" i="68"/>
  <c r="S236" i="68" s="1"/>
  <c r="S172" i="68"/>
  <c r="AE216" i="68"/>
  <c r="AE218" i="68" s="1"/>
  <c r="AE154" i="68"/>
  <c r="AC29" i="68"/>
  <c r="AB190" i="72"/>
  <c r="AH546" i="68"/>
  <c r="AH609" i="68"/>
  <c r="AH673" i="68" s="1"/>
  <c r="T501" i="68"/>
  <c r="T563" i="68"/>
  <c r="Y510" i="68"/>
  <c r="Y572" i="68"/>
  <c r="T467" i="68"/>
  <c r="S537" i="72"/>
  <c r="S563" i="72"/>
  <c r="S583" i="72" s="1"/>
  <c r="P198" i="68"/>
  <c r="P200" i="68" s="1"/>
  <c r="P136" i="68"/>
  <c r="AH105" i="68"/>
  <c r="AH167" i="68"/>
  <c r="AF189" i="68"/>
  <c r="AF191" i="68" s="1"/>
  <c r="AF127" i="68"/>
  <c r="AD467" i="68"/>
  <c r="AC537" i="72"/>
  <c r="AC563" i="72"/>
  <c r="AC583" i="72" s="1"/>
  <c r="Y99" i="68"/>
  <c r="Y161" i="68"/>
  <c r="AB328" i="68"/>
  <c r="AB392" i="68" s="1"/>
  <c r="AB329" i="68"/>
  <c r="X281" i="68"/>
  <c r="X345" i="68" s="1"/>
  <c r="X409" i="68" s="1"/>
  <c r="X280" i="68"/>
  <c r="Y506" i="68"/>
  <c r="Y570" i="68" s="1"/>
  <c r="Y634" i="68" s="1"/>
  <c r="Y505" i="68"/>
  <c r="Y57" i="68"/>
  <c r="Y119" i="68"/>
  <c r="Q277" i="68"/>
  <c r="Q278" i="68"/>
  <c r="Q342" i="68" s="1"/>
  <c r="Q406" i="68" s="1"/>
  <c r="Y248" i="68"/>
  <c r="X364" i="72"/>
  <c r="X541" i="72"/>
  <c r="X561" i="72" s="1"/>
  <c r="J105" i="68"/>
  <c r="J167" i="68"/>
  <c r="P533" i="68"/>
  <c r="P597" i="68" s="1"/>
  <c r="P661" i="68" s="1"/>
  <c r="P532" i="68"/>
  <c r="T237" i="68"/>
  <c r="T239" i="68" s="1"/>
  <c r="T175" i="68"/>
  <c r="N57" i="68"/>
  <c r="N119" i="68"/>
  <c r="T493" i="68"/>
  <c r="T494" i="68"/>
  <c r="T558" i="68" s="1"/>
  <c r="T622" i="68" s="1"/>
  <c r="O198" i="68"/>
  <c r="O200" i="68" s="1"/>
  <c r="O136" i="68"/>
  <c r="Z293" i="68"/>
  <c r="Z357" i="68" s="1"/>
  <c r="Z421" i="68" s="1"/>
  <c r="Z292" i="68"/>
  <c r="R534" i="68"/>
  <c r="R596" i="68"/>
  <c r="J111" i="68"/>
  <c r="J174" i="68"/>
  <c r="J238" i="68" s="1"/>
  <c r="AD533" i="68"/>
  <c r="AD597" i="68" s="1"/>
  <c r="AD661" i="68" s="1"/>
  <c r="AD532" i="68"/>
  <c r="Q504" i="68"/>
  <c r="Q566" i="68"/>
  <c r="I198" i="68"/>
  <c r="M402" i="68"/>
  <c r="Y300" i="68"/>
  <c r="Y362" i="68"/>
  <c r="R66" i="68"/>
  <c r="R128" i="68"/>
  <c r="AF507" i="68"/>
  <c r="AF569" i="68"/>
  <c r="V291" i="68"/>
  <c r="V353" i="68"/>
  <c r="Q327" i="68"/>
  <c r="Q389" i="68"/>
  <c r="O93" i="68"/>
  <c r="O155" i="68"/>
  <c r="AE438" i="68"/>
  <c r="V192" i="68"/>
  <c r="V194" i="68" s="1"/>
  <c r="V130" i="68"/>
  <c r="J520" i="68"/>
  <c r="J521" i="68"/>
  <c r="J585" i="68" s="1"/>
  <c r="J649" i="68" s="1"/>
  <c r="O531" i="68"/>
  <c r="O593" i="68"/>
  <c r="V546" i="68"/>
  <c r="V608" i="68"/>
  <c r="M99" i="68"/>
  <c r="M162" i="68"/>
  <c r="M226" i="68" s="1"/>
  <c r="Q300" i="68"/>
  <c r="Q362" i="68"/>
  <c r="W207" i="68"/>
  <c r="W209" i="68" s="1"/>
  <c r="W145" i="68"/>
  <c r="I288" i="68"/>
  <c r="I350" i="68"/>
  <c r="U198" i="68"/>
  <c r="U200" i="68" s="1"/>
  <c r="U136" i="68"/>
  <c r="X321" i="68"/>
  <c r="X384" i="68"/>
  <c r="X448" i="68" s="1"/>
  <c r="V207" i="68"/>
  <c r="V209" i="68" s="1"/>
  <c r="V145" i="68"/>
  <c r="M289" i="68"/>
  <c r="M290" i="68"/>
  <c r="M354" i="68" s="1"/>
  <c r="M418" i="68" s="1"/>
  <c r="Z60" i="68"/>
  <c r="Z122" i="68"/>
  <c r="AG524" i="68"/>
  <c r="AG588" i="68" s="1"/>
  <c r="AG652" i="68" s="1"/>
  <c r="AG523" i="68"/>
  <c r="L323" i="68"/>
  <c r="L387" i="68" s="1"/>
  <c r="L451" i="68" s="1"/>
  <c r="L322" i="68"/>
  <c r="AF328" i="68"/>
  <c r="AF329" i="68"/>
  <c r="AF393" i="68" s="1"/>
  <c r="AF457" i="68" s="1"/>
  <c r="AD279" i="68"/>
  <c r="AD341" i="68"/>
  <c r="I522" i="68"/>
  <c r="I584" i="68"/>
  <c r="L231" i="68"/>
  <c r="Q301" i="68"/>
  <c r="Q302" i="68"/>
  <c r="Q366" i="68" s="1"/>
  <c r="Q430" i="68" s="1"/>
  <c r="X593" i="68"/>
  <c r="S297" i="68"/>
  <c r="S359" i="68"/>
  <c r="I320" i="68"/>
  <c r="I384" i="68" s="1"/>
  <c r="I448" i="68" s="1"/>
  <c r="I319" i="68"/>
  <c r="AB537" i="68"/>
  <c r="AB599" i="68"/>
  <c r="V183" i="68"/>
  <c r="V185" i="68" s="1"/>
  <c r="V121" i="68"/>
  <c r="AC234" i="68"/>
  <c r="AC236" i="68" s="1"/>
  <c r="AC172" i="68"/>
  <c r="AF29" i="68"/>
  <c r="AE190" i="72"/>
  <c r="Z498" i="68"/>
  <c r="Z560" i="68"/>
  <c r="N543" i="68"/>
  <c r="N605" i="68"/>
  <c r="AC290" i="68"/>
  <c r="AC354" i="68" s="1"/>
  <c r="AC418" i="68" s="1"/>
  <c r="AC289" i="68"/>
  <c r="S288" i="68"/>
  <c r="S350" i="68"/>
  <c r="J527" i="68"/>
  <c r="J591" i="68" s="1"/>
  <c r="J655" i="68" s="1"/>
  <c r="J526" i="68"/>
  <c r="AG102" i="68"/>
  <c r="AG164" i="68"/>
  <c r="U210" i="68"/>
  <c r="U212" i="68" s="1"/>
  <c r="U148" i="68"/>
  <c r="K288" i="68"/>
  <c r="K350" i="68"/>
  <c r="M282" i="68"/>
  <c r="M344" i="68"/>
  <c r="I675" i="68"/>
  <c r="W362" i="68"/>
  <c r="I277" i="68"/>
  <c r="I278" i="68"/>
  <c r="I342" i="68" s="1"/>
  <c r="I406" i="68" s="1"/>
  <c r="W190" i="72"/>
  <c r="X29" i="68"/>
  <c r="L190" i="72"/>
  <c r="M29" i="68"/>
  <c r="Z532" i="68"/>
  <c r="Z533" i="68"/>
  <c r="Z597" i="68" s="1"/>
  <c r="Z661" i="68" s="1"/>
  <c r="U531" i="68"/>
  <c r="U593" i="68"/>
  <c r="AH75" i="68"/>
  <c r="AH137" i="68"/>
  <c r="K306" i="68"/>
  <c r="K368" i="68"/>
  <c r="T291" i="68"/>
  <c r="T353" i="68"/>
  <c r="N467" i="68"/>
  <c r="N487" i="68" s="1"/>
  <c r="M537" i="72"/>
  <c r="M563" i="72"/>
  <c r="M583" i="72" s="1"/>
  <c r="U103" i="68"/>
  <c r="U104" i="68"/>
  <c r="U168" i="68" s="1"/>
  <c r="U232" i="68" s="1"/>
  <c r="K522" i="68"/>
  <c r="K584" i="68"/>
  <c r="X190" i="72"/>
  <c r="Y29" i="68"/>
  <c r="U66" i="68"/>
  <c r="U128" i="68"/>
  <c r="K93" i="68"/>
  <c r="K156" i="68"/>
  <c r="K220" i="68" s="1"/>
  <c r="S237" i="68"/>
  <c r="S239" i="68" s="1"/>
  <c r="S175" i="68"/>
  <c r="M315" i="68"/>
  <c r="M377" i="68"/>
  <c r="AB497" i="68"/>
  <c r="AB561" i="68" s="1"/>
  <c r="AB625" i="68" s="1"/>
  <c r="AB496" i="68"/>
  <c r="AE329" i="68"/>
  <c r="AE393" i="68" s="1"/>
  <c r="AE457" i="68" s="1"/>
  <c r="AE328" i="68"/>
  <c r="AE538" i="68"/>
  <c r="AE539" i="68"/>
  <c r="AE603" i="68" s="1"/>
  <c r="AE667" i="68" s="1"/>
  <c r="AH195" i="68"/>
  <c r="AH197" i="68" s="1"/>
  <c r="AH133" i="68"/>
  <c r="P306" i="68"/>
  <c r="P368" i="68"/>
  <c r="U507" i="68"/>
  <c r="U569" i="68"/>
  <c r="L288" i="68"/>
  <c r="L350" i="68"/>
  <c r="AH531" i="68"/>
  <c r="AH594" i="68"/>
  <c r="AH658" i="68" s="1"/>
  <c r="J323" i="68"/>
  <c r="J387" i="68" s="1"/>
  <c r="J451" i="68" s="1"/>
  <c r="J322" i="68"/>
  <c r="J57" i="68"/>
  <c r="J119" i="68"/>
  <c r="W501" i="68"/>
  <c r="W563" i="68"/>
  <c r="AG528" i="68"/>
  <c r="AG590" i="68"/>
  <c r="L453" i="68"/>
  <c r="W248" i="68"/>
  <c r="V364" i="72"/>
  <c r="V541" i="72"/>
  <c r="V561" i="72" s="1"/>
  <c r="J219" i="68"/>
  <c r="AB108" i="68"/>
  <c r="AB170" i="68"/>
  <c r="AF669" i="68"/>
  <c r="Y467" i="68"/>
  <c r="X537" i="72"/>
  <c r="X563" i="72"/>
  <c r="X583" i="72" s="1"/>
  <c r="AE507" i="68"/>
  <c r="AE569" i="68"/>
  <c r="Q294" i="68"/>
  <c r="Q356" i="68"/>
  <c r="X522" i="68"/>
  <c r="X584" i="68"/>
  <c r="Z237" i="68"/>
  <c r="Z239" i="68" s="1"/>
  <c r="Z175" i="68"/>
  <c r="Y660" i="68"/>
  <c r="AA318" i="68"/>
  <c r="AA380" i="68"/>
  <c r="N325" i="68"/>
  <c r="N326" i="68"/>
  <c r="N390" i="68" s="1"/>
  <c r="N454" i="68" s="1"/>
  <c r="AE542" i="68"/>
  <c r="AE606" i="68" s="1"/>
  <c r="AE670" i="68" s="1"/>
  <c r="AE541" i="68"/>
  <c r="T518" i="68"/>
  <c r="T582" i="68" s="1"/>
  <c r="T646" i="68" s="1"/>
  <c r="T517" i="68"/>
  <c r="K69" i="68"/>
  <c r="K131" i="68"/>
  <c r="U291" i="68"/>
  <c r="U353" i="68"/>
  <c r="T511" i="68"/>
  <c r="T512" i="68"/>
  <c r="T576" i="68" s="1"/>
  <c r="T640" i="68" s="1"/>
  <c r="L543" i="68"/>
  <c r="L605" i="68"/>
  <c r="Z93" i="68"/>
  <c r="Z155" i="68"/>
  <c r="N518" i="68"/>
  <c r="N582" i="68" s="1"/>
  <c r="N646" i="68" s="1"/>
  <c r="N517" i="68"/>
  <c r="AE87" i="68"/>
  <c r="AE149" i="68"/>
  <c r="O557" i="68"/>
  <c r="R499" i="68"/>
  <c r="R500" i="68"/>
  <c r="R564" i="68" s="1"/>
  <c r="R628" i="68" s="1"/>
  <c r="AG541" i="68"/>
  <c r="AG542" i="68"/>
  <c r="AG606" i="68" s="1"/>
  <c r="AG670" i="68" s="1"/>
  <c r="AH78" i="68"/>
  <c r="AH140" i="68"/>
  <c r="Q512" i="68"/>
  <c r="Q576" i="68" s="1"/>
  <c r="Q640" i="68" s="1"/>
  <c r="Q511" i="68"/>
  <c r="U309" i="68"/>
  <c r="U371" i="68"/>
  <c r="AB320" i="68"/>
  <c r="AB384" i="68" s="1"/>
  <c r="AB448" i="68" s="1"/>
  <c r="AB319" i="68"/>
  <c r="AG438" i="68"/>
  <c r="M102" i="68"/>
  <c r="M164" i="68"/>
  <c r="AE320" i="68"/>
  <c r="AE384" i="68" s="1"/>
  <c r="AE448" i="68" s="1"/>
  <c r="AE319" i="68"/>
  <c r="U204" i="68"/>
  <c r="U206" i="68" s="1"/>
  <c r="U142" i="68"/>
  <c r="M444" i="68"/>
  <c r="K542" i="68"/>
  <c r="K606" i="68" s="1"/>
  <c r="K670" i="68" s="1"/>
  <c r="K541" i="68"/>
  <c r="S279" i="68"/>
  <c r="S341" i="68"/>
  <c r="S93" i="68"/>
  <c r="S155" i="68"/>
  <c r="AA222" i="68"/>
  <c r="AA224" i="68" s="1"/>
  <c r="AA160" i="68"/>
  <c r="AE183" i="68"/>
  <c r="AE185" i="68" s="1"/>
  <c r="AE121" i="68"/>
  <c r="K231" i="68"/>
  <c r="K233" i="68" s="1"/>
  <c r="K169" i="68"/>
  <c r="T276" i="68"/>
  <c r="T338" i="68"/>
  <c r="W186" i="68"/>
  <c r="W188" i="68" s="1"/>
  <c r="W124" i="68"/>
  <c r="Y318" i="68"/>
  <c r="Y380" i="68"/>
  <c r="O297" i="68"/>
  <c r="O359" i="68"/>
  <c r="I204" i="68"/>
  <c r="I206" i="68" s="1"/>
  <c r="I142" i="68"/>
  <c r="AE467" i="68"/>
  <c r="AD537" i="72"/>
  <c r="AD563" i="72"/>
  <c r="AD583" i="72" s="1"/>
  <c r="T324" i="68"/>
  <c r="T386" i="68"/>
  <c r="H541" i="72"/>
  <c r="H561" i="72" s="1"/>
  <c r="H364" i="72"/>
  <c r="I248" i="68"/>
  <c r="I493" i="68"/>
  <c r="I557" i="68" s="1"/>
  <c r="I494" i="68"/>
  <c r="R93" i="68"/>
  <c r="R156" i="68"/>
  <c r="R220" i="68" s="1"/>
  <c r="L522" i="68"/>
  <c r="L584" i="68"/>
  <c r="AF231" i="68"/>
  <c r="AF233" i="68" s="1"/>
  <c r="AF169" i="68"/>
  <c r="J315" i="68"/>
  <c r="J377" i="68"/>
  <c r="Q60" i="68"/>
  <c r="Q122" i="68"/>
  <c r="AF69" i="68"/>
  <c r="AF131" i="68"/>
  <c r="R189" i="68"/>
  <c r="R191" i="68" s="1"/>
  <c r="R127" i="68"/>
  <c r="L447" i="68"/>
  <c r="L449" i="68" s="1"/>
  <c r="L385" i="68"/>
  <c r="AC621" i="68"/>
  <c r="N510" i="68"/>
  <c r="N572" i="68"/>
  <c r="AB276" i="68"/>
  <c r="AB338" i="68"/>
  <c r="AF288" i="68"/>
  <c r="AF350" i="68"/>
  <c r="I532" i="68"/>
  <c r="I533" i="68"/>
  <c r="I597" i="68" s="1"/>
  <c r="I661" i="68" s="1"/>
  <c r="N237" i="68"/>
  <c r="I328" i="68"/>
  <c r="I329" i="68"/>
  <c r="I393" i="68" s="1"/>
  <c r="I457" i="68" s="1"/>
  <c r="M210" i="68"/>
  <c r="M212" i="68" s="1"/>
  <c r="M148" i="68"/>
  <c r="AG317" i="68"/>
  <c r="AG381" i="68" s="1"/>
  <c r="AG445" i="68" s="1"/>
  <c r="AG316" i="68"/>
  <c r="X210" i="68"/>
  <c r="X212" i="68" s="1"/>
  <c r="X148" i="68"/>
  <c r="AG306" i="68"/>
  <c r="AG368" i="68"/>
  <c r="J66" i="68"/>
  <c r="J128" i="68"/>
  <c r="AE660" i="68"/>
  <c r="X298" i="68"/>
  <c r="X299" i="68"/>
  <c r="X363" i="68" s="1"/>
  <c r="X427" i="68" s="1"/>
  <c r="AG302" i="68"/>
  <c r="AG366" i="68" s="1"/>
  <c r="AG430" i="68" s="1"/>
  <c r="AG301" i="68"/>
  <c r="AC248" i="68"/>
  <c r="AB364" i="72"/>
  <c r="AB541" i="72"/>
  <c r="AB561" i="72" s="1"/>
  <c r="AB216" i="68"/>
  <c r="AB218" i="68" s="1"/>
  <c r="AB154" i="68"/>
  <c r="M300" i="68"/>
  <c r="M362" i="68"/>
  <c r="AD548" i="68"/>
  <c r="AD612" i="68" s="1"/>
  <c r="AD676" i="68" s="1"/>
  <c r="AD547" i="68"/>
  <c r="V365" i="68"/>
  <c r="X102" i="68"/>
  <c r="X164" i="68"/>
  <c r="AF529" i="68"/>
  <c r="AF530" i="68"/>
  <c r="AF594" i="68" s="1"/>
  <c r="AF658" i="68" s="1"/>
  <c r="AD303" i="68"/>
  <c r="AD365" i="68"/>
  <c r="O276" i="68"/>
  <c r="O338" i="68"/>
  <c r="S204" i="68"/>
  <c r="S206" i="68" s="1"/>
  <c r="S142" i="68"/>
  <c r="Y513" i="68"/>
  <c r="Y575" i="68"/>
  <c r="N507" i="68"/>
  <c r="N569" i="68"/>
  <c r="L219" i="68"/>
  <c r="L221" i="68" s="1"/>
  <c r="L157" i="68"/>
  <c r="AF545" i="68"/>
  <c r="AF609" i="68" s="1"/>
  <c r="AF673" i="68" s="1"/>
  <c r="AF544" i="68"/>
  <c r="U495" i="68"/>
  <c r="U558" i="68"/>
  <c r="U622" i="68" s="1"/>
  <c r="J63" i="68"/>
  <c r="J125" i="68"/>
  <c r="V318" i="68"/>
  <c r="V381" i="68"/>
  <c r="V445" i="68" s="1"/>
  <c r="N547" i="68"/>
  <c r="N548" i="68"/>
  <c r="N612" i="68" s="1"/>
  <c r="N676" i="68" s="1"/>
  <c r="Q285" i="68"/>
  <c r="Q347" i="68"/>
  <c r="Z507" i="68"/>
  <c r="Z569" i="68"/>
  <c r="AG309" i="68"/>
  <c r="AG371" i="68"/>
  <c r="X402" i="68"/>
  <c r="X404" i="68" s="1"/>
  <c r="X340" i="68"/>
  <c r="Y107" i="68"/>
  <c r="Y171" i="68" s="1"/>
  <c r="Y235" i="68" s="1"/>
  <c r="Y106" i="68"/>
  <c r="I295" i="68"/>
  <c r="I296" i="68"/>
  <c r="I360" i="68" s="1"/>
  <c r="I424" i="68" s="1"/>
  <c r="I189" i="68"/>
  <c r="I191" i="68" s="1"/>
  <c r="I127" i="68"/>
  <c r="K549" i="68"/>
  <c r="K611" i="68"/>
  <c r="AC102" i="68"/>
  <c r="AC164" i="68"/>
  <c r="Y516" i="68"/>
  <c r="Y578" i="68"/>
  <c r="J75" i="68"/>
  <c r="J137" i="68"/>
  <c r="AF248" i="68"/>
  <c r="AE364" i="72"/>
  <c r="AE541" i="72"/>
  <c r="AE561" i="72" s="1"/>
  <c r="AA450" i="68"/>
  <c r="O326" i="68"/>
  <c r="O390" i="68" s="1"/>
  <c r="O454" i="68" s="1"/>
  <c r="O325" i="68"/>
  <c r="L529" i="68"/>
  <c r="L530" i="68"/>
  <c r="L594" i="68" s="1"/>
  <c r="L658" i="68" s="1"/>
  <c r="K237" i="68"/>
  <c r="Z514" i="68"/>
  <c r="Z515" i="68"/>
  <c r="Z579" i="68" s="1"/>
  <c r="Z643" i="68" s="1"/>
  <c r="V513" i="68"/>
  <c r="V575" i="68"/>
  <c r="T29" i="68"/>
  <c r="S190" i="72"/>
  <c r="Y517" i="68"/>
  <c r="Y518" i="68"/>
  <c r="Y582" i="68" s="1"/>
  <c r="Y646" i="68" s="1"/>
  <c r="M467" i="68"/>
  <c r="L537" i="72"/>
  <c r="L563" i="72"/>
  <c r="L583" i="72" s="1"/>
  <c r="AG350" i="68"/>
  <c r="Y496" i="68"/>
  <c r="Y497" i="68"/>
  <c r="Y561" i="68" s="1"/>
  <c r="Y625" i="68" s="1"/>
  <c r="V569" i="68"/>
  <c r="AH672" i="68"/>
  <c r="P234" i="68"/>
  <c r="P236" i="68" s="1"/>
  <c r="AH222" i="68"/>
  <c r="AH224" i="68" s="1"/>
  <c r="AH160" i="68"/>
  <c r="AF289" i="68"/>
  <c r="AF290" i="68"/>
  <c r="AF354" i="68" s="1"/>
  <c r="AF418" i="68" s="1"/>
  <c r="P248" i="68"/>
  <c r="O364" i="72"/>
  <c r="O541" i="72"/>
  <c r="O561" i="72" s="1"/>
  <c r="V529" i="68"/>
  <c r="V593" i="68" s="1"/>
  <c r="V530" i="68"/>
  <c r="Q508" i="68"/>
  <c r="Q509" i="68"/>
  <c r="Q573" i="68" s="1"/>
  <c r="Q637" i="68" s="1"/>
  <c r="K495" i="68"/>
  <c r="K557" i="68"/>
  <c r="X195" i="68"/>
  <c r="X197" i="68" s="1"/>
  <c r="X133" i="68"/>
  <c r="P531" i="68"/>
  <c r="P593" i="68"/>
  <c r="AA510" i="68"/>
  <c r="AA572" i="68"/>
  <c r="AF225" i="68"/>
  <c r="AF227" i="68" s="1"/>
  <c r="AF163" i="68"/>
  <c r="AG531" i="68"/>
  <c r="AG593" i="68"/>
  <c r="W522" i="68"/>
  <c r="W584" i="68"/>
  <c r="O299" i="68"/>
  <c r="O363" i="68" s="1"/>
  <c r="O427" i="68" s="1"/>
  <c r="O298" i="68"/>
  <c r="Z281" i="68"/>
  <c r="Z345" i="68" s="1"/>
  <c r="Z409" i="68" s="1"/>
  <c r="Z280" i="68"/>
  <c r="J237" i="68"/>
  <c r="U189" i="68"/>
  <c r="U191" i="68" s="1"/>
  <c r="U127" i="68"/>
  <c r="J210" i="68"/>
  <c r="J212" i="68" s="1"/>
  <c r="J148" i="68"/>
  <c r="L523" i="68"/>
  <c r="L524" i="68"/>
  <c r="L588" i="68" s="1"/>
  <c r="L652" i="68" s="1"/>
  <c r="AD541" i="68"/>
  <c r="AD542" i="68"/>
  <c r="AD606" i="68" s="1"/>
  <c r="AD670" i="68" s="1"/>
  <c r="AE248" i="68"/>
  <c r="AD364" i="72"/>
  <c r="AD541" i="72"/>
  <c r="AD561" i="72" s="1"/>
  <c r="U303" i="68"/>
  <c r="U365" i="68"/>
  <c r="K534" i="68"/>
  <c r="K596" i="68"/>
  <c r="W286" i="68"/>
  <c r="W287" i="68"/>
  <c r="W351" i="68" s="1"/>
  <c r="W415" i="68" s="1"/>
  <c r="I219" i="68"/>
  <c r="I221" i="68" s="1"/>
  <c r="I157" i="68"/>
  <c r="I322" i="68"/>
  <c r="I323" i="68"/>
  <c r="I387" i="68" s="1"/>
  <c r="I451" i="68" s="1"/>
  <c r="V311" i="68"/>
  <c r="V375" i="68" s="1"/>
  <c r="V439" i="68" s="1"/>
  <c r="V310" i="68"/>
  <c r="X248" i="68"/>
  <c r="X268" i="68" s="1"/>
  <c r="W364" i="72"/>
  <c r="W541" i="72"/>
  <c r="W561" i="72" s="1"/>
  <c r="O306" i="68"/>
  <c r="O368" i="68"/>
  <c r="Z504" i="68"/>
  <c r="Z566" i="68"/>
  <c r="R522" i="68"/>
  <c r="R584" i="68"/>
  <c r="M225" i="68"/>
  <c r="T96" i="68"/>
  <c r="T158" i="68"/>
  <c r="T294" i="68"/>
  <c r="T356" i="68"/>
  <c r="Y302" i="68"/>
  <c r="Y366" i="68" s="1"/>
  <c r="Y430" i="68" s="1"/>
  <c r="Y301" i="68"/>
  <c r="X447" i="68"/>
  <c r="AD99" i="68"/>
  <c r="AD161" i="68"/>
  <c r="AA285" i="68"/>
  <c r="AA347" i="68"/>
  <c r="L495" i="68"/>
  <c r="L557" i="68"/>
  <c r="K189" i="68"/>
  <c r="K191" i="68" s="1"/>
  <c r="K127" i="68"/>
  <c r="N537" i="68"/>
  <c r="N600" i="68"/>
  <c r="N664" i="68" s="1"/>
  <c r="L213" i="68"/>
  <c r="L215" i="68" s="1"/>
  <c r="L151" i="68"/>
  <c r="AH192" i="68"/>
  <c r="AH194" i="68" s="1"/>
  <c r="AH130" i="68"/>
  <c r="Z330" i="68"/>
  <c r="Z393" i="68"/>
  <c r="Z457" i="68" s="1"/>
  <c r="V231" i="68"/>
  <c r="V233" i="68" s="1"/>
  <c r="V169" i="68"/>
  <c r="U320" i="68"/>
  <c r="U384" i="68" s="1"/>
  <c r="U448" i="68" s="1"/>
  <c r="U319" i="68"/>
  <c r="AF317" i="68"/>
  <c r="AF381" i="68" s="1"/>
  <c r="AF445" i="68" s="1"/>
  <c r="AF316" i="68"/>
  <c r="N501" i="68"/>
  <c r="N563" i="68"/>
  <c r="O102" i="68"/>
  <c r="O164" i="68"/>
  <c r="AE99" i="68"/>
  <c r="AE161" i="68"/>
  <c r="Q288" i="68"/>
  <c r="Q350" i="68"/>
  <c r="U542" i="68"/>
  <c r="U606" i="68" s="1"/>
  <c r="U670" i="68" s="1"/>
  <c r="U541" i="68"/>
  <c r="R545" i="68"/>
  <c r="R609" i="68" s="1"/>
  <c r="R673" i="68" s="1"/>
  <c r="R544" i="68"/>
  <c r="M90" i="68"/>
  <c r="M152" i="68"/>
  <c r="Z309" i="68"/>
  <c r="Z371" i="68"/>
  <c r="AC549" i="68"/>
  <c r="AC611" i="68"/>
  <c r="L498" i="68"/>
  <c r="L560" i="68"/>
  <c r="AD297" i="68"/>
  <c r="AD359" i="68"/>
  <c r="Q207" i="68"/>
  <c r="Q209" i="68" s="1"/>
  <c r="Q145" i="68"/>
  <c r="U285" i="68"/>
  <c r="U347" i="68"/>
  <c r="I526" i="68"/>
  <c r="I527" i="68"/>
  <c r="I591" i="68" s="1"/>
  <c r="I655" i="68" s="1"/>
  <c r="AD524" i="68"/>
  <c r="AD588" i="68" s="1"/>
  <c r="AD652" i="68" s="1"/>
  <c r="AD523" i="68"/>
  <c r="T93" i="68"/>
  <c r="T156" i="68"/>
  <c r="T220" i="68" s="1"/>
  <c r="X108" i="68"/>
  <c r="X170" i="68"/>
  <c r="S495" i="68"/>
  <c r="S557" i="68"/>
  <c r="U102" i="68"/>
  <c r="U164" i="68"/>
  <c r="AG186" i="68"/>
  <c r="AG188" i="68" s="1"/>
  <c r="AG124" i="68"/>
  <c r="R291" i="68"/>
  <c r="R353" i="68"/>
  <c r="AC501" i="68"/>
  <c r="AC563" i="68"/>
  <c r="N545" i="68"/>
  <c r="N609" i="68" s="1"/>
  <c r="N673" i="68" s="1"/>
  <c r="N544" i="68"/>
  <c r="AA669" i="68"/>
  <c r="AA671" i="68" s="1"/>
  <c r="AA607" i="68"/>
  <c r="AA501" i="68"/>
  <c r="AA563" i="68"/>
  <c r="AA69" i="68"/>
  <c r="AA131" i="68"/>
  <c r="AH499" i="68"/>
  <c r="AH500" i="68"/>
  <c r="AH564" i="68" s="1"/>
  <c r="AH628" i="68" s="1"/>
  <c r="K525" i="68"/>
  <c r="K587" i="68"/>
  <c r="U315" i="68"/>
  <c r="U378" i="68"/>
  <c r="U442" i="68" s="1"/>
  <c r="AC504" i="68"/>
  <c r="AC566" i="68"/>
  <c r="K219" i="68"/>
  <c r="T279" i="68"/>
  <c r="T341" i="68"/>
  <c r="O75" i="68"/>
  <c r="O137" i="68"/>
  <c r="Y207" i="68"/>
  <c r="Y209" i="68" s="1"/>
  <c r="Y145" i="68"/>
  <c r="K312" i="68"/>
  <c r="K375" i="68"/>
  <c r="K439" i="68" s="1"/>
  <c r="K96" i="68"/>
  <c r="K158" i="68"/>
  <c r="J508" i="68"/>
  <c r="J509" i="68"/>
  <c r="J573" i="68" s="1"/>
  <c r="J637" i="68" s="1"/>
  <c r="AH657" i="68"/>
  <c r="V111" i="68"/>
  <c r="V173" i="68"/>
  <c r="N540" i="68"/>
  <c r="N602" i="68"/>
  <c r="P297" i="68"/>
  <c r="P359" i="68"/>
  <c r="P63" i="68"/>
  <c r="P125" i="68"/>
  <c r="L537" i="68"/>
  <c r="L599" i="68"/>
  <c r="U248" i="68"/>
  <c r="T364" i="72"/>
  <c r="T541" i="72"/>
  <c r="T561" i="72" s="1"/>
  <c r="L547" i="68"/>
  <c r="L548" i="68"/>
  <c r="L612" i="68" s="1"/>
  <c r="L676" i="68" s="1"/>
  <c r="AD540" i="68"/>
  <c r="AD603" i="68"/>
  <c r="AD667" i="68" s="1"/>
  <c r="AA304" i="68"/>
  <c r="AA305" i="68"/>
  <c r="AA369" i="68" s="1"/>
  <c r="AA433" i="68" s="1"/>
  <c r="AH63" i="68"/>
  <c r="AH125" i="68"/>
  <c r="R60" i="68"/>
  <c r="R122" i="68"/>
  <c r="AE303" i="68"/>
  <c r="AE365" i="68"/>
  <c r="O291" i="68"/>
  <c r="O353" i="68"/>
  <c r="K504" i="68"/>
  <c r="K566" i="68"/>
  <c r="W228" i="68"/>
  <c r="W230" i="68" s="1"/>
  <c r="W166" i="68"/>
  <c r="U513" i="68"/>
  <c r="U575" i="68"/>
  <c r="J529" i="68"/>
  <c r="J593" i="68" s="1"/>
  <c r="J530" i="68"/>
  <c r="O519" i="68"/>
  <c r="O581" i="68"/>
  <c r="AC522" i="68"/>
  <c r="AC584" i="68"/>
  <c r="J293" i="68"/>
  <c r="J357" i="68" s="1"/>
  <c r="J421" i="68" s="1"/>
  <c r="J292" i="68"/>
  <c r="I306" i="68"/>
  <c r="I368" i="68"/>
  <c r="AE276" i="68"/>
  <c r="AE338" i="68"/>
  <c r="Z537" i="68"/>
  <c r="Z599" i="68"/>
  <c r="W312" i="68"/>
  <c r="W374" i="68"/>
  <c r="AD248" i="68"/>
  <c r="AC364" i="72"/>
  <c r="AC541" i="72"/>
  <c r="AC561" i="72" s="1"/>
  <c r="Q108" i="68"/>
  <c r="Q170" i="68"/>
  <c r="AG501" i="68"/>
  <c r="AG563" i="68"/>
  <c r="T540" i="68"/>
  <c r="T603" i="68"/>
  <c r="T667" i="68" s="1"/>
  <c r="O330" i="68"/>
  <c r="O392" i="68"/>
  <c r="AD201" i="68"/>
  <c r="AD203" i="68" s="1"/>
  <c r="AD139" i="68"/>
  <c r="Q210" i="68"/>
  <c r="Q212" i="68" s="1"/>
  <c r="Q148" i="68"/>
  <c r="AF502" i="68"/>
  <c r="AF503" i="68"/>
  <c r="AF567" i="68" s="1"/>
  <c r="AF631" i="68" s="1"/>
  <c r="R275" i="68"/>
  <c r="R339" i="68" s="1"/>
  <c r="R403" i="68" s="1"/>
  <c r="R274" i="68"/>
  <c r="K546" i="68"/>
  <c r="K608" i="68"/>
  <c r="AA75" i="68"/>
  <c r="AA137" i="68"/>
  <c r="O190" i="72"/>
  <c r="P29" i="68"/>
  <c r="X289" i="68"/>
  <c r="X290" i="68"/>
  <c r="X354" i="68" s="1"/>
  <c r="X418" i="68" s="1"/>
  <c r="M322" i="68"/>
  <c r="M323" i="68"/>
  <c r="M387" i="68" s="1"/>
  <c r="M451" i="68" s="1"/>
  <c r="Z500" i="68"/>
  <c r="Z564" i="68" s="1"/>
  <c r="Z628" i="68" s="1"/>
  <c r="Z499" i="68"/>
  <c r="W93" i="68"/>
  <c r="W155" i="68"/>
  <c r="R669" i="68"/>
  <c r="L532" i="68"/>
  <c r="L533" i="68"/>
  <c r="L597" i="68" s="1"/>
  <c r="L661" i="68" s="1"/>
  <c r="AA291" i="68"/>
  <c r="AA353" i="68"/>
  <c r="N330" i="68"/>
  <c r="N393" i="68"/>
  <c r="N457" i="68" s="1"/>
  <c r="J321" i="68"/>
  <c r="J384" i="68"/>
  <c r="J448" i="68" s="1"/>
  <c r="U219" i="68"/>
  <c r="O96" i="68"/>
  <c r="O158" i="68"/>
  <c r="AE501" i="68"/>
  <c r="AE563" i="68"/>
  <c r="W306" i="68"/>
  <c r="W368" i="68"/>
  <c r="AA276" i="68"/>
  <c r="AA338" i="68"/>
  <c r="AE204" i="68"/>
  <c r="AE206" i="68" s="1"/>
  <c r="AE142" i="68"/>
  <c r="J300" i="68"/>
  <c r="J362" i="68"/>
  <c r="O111" i="68"/>
  <c r="O173" i="68"/>
  <c r="AE207" i="68"/>
  <c r="AE209" i="68" s="1"/>
  <c r="AE145" i="68"/>
  <c r="Z513" i="68"/>
  <c r="Z575" i="68"/>
  <c r="AF274" i="68"/>
  <c r="AF275" i="68"/>
  <c r="AF339" i="68" s="1"/>
  <c r="AF403" i="68" s="1"/>
  <c r="R318" i="68"/>
  <c r="R380" i="68"/>
  <c r="AD536" i="68"/>
  <c r="AD600" i="68" s="1"/>
  <c r="AD664" i="68" s="1"/>
  <c r="AD535" i="68"/>
  <c r="I303" i="68"/>
  <c r="I365" i="68"/>
  <c r="J285" i="68"/>
  <c r="J347" i="68"/>
  <c r="L284" i="68"/>
  <c r="L348" i="68" s="1"/>
  <c r="L412" i="68" s="1"/>
  <c r="L283" i="68"/>
  <c r="AD316" i="68"/>
  <c r="AD317" i="68"/>
  <c r="AD381" i="68" s="1"/>
  <c r="AD445" i="68" s="1"/>
  <c r="V532" i="68"/>
  <c r="V596" i="68" s="1"/>
  <c r="V533" i="68"/>
  <c r="AE201" i="68"/>
  <c r="AE203" i="68" s="1"/>
  <c r="AE139" i="68"/>
  <c r="W526" i="68"/>
  <c r="W527" i="68"/>
  <c r="W591" i="68" s="1"/>
  <c r="W655" i="68" s="1"/>
  <c r="U537" i="68"/>
  <c r="U599" i="68"/>
  <c r="AH329" i="68"/>
  <c r="AH393" i="68" s="1"/>
  <c r="AH457" i="68" s="1"/>
  <c r="AH328" i="68"/>
  <c r="P60" i="68"/>
  <c r="P122" i="68"/>
  <c r="M513" i="68"/>
  <c r="M575" i="68"/>
  <c r="U621" i="68"/>
  <c r="AG57" i="68"/>
  <c r="AG119" i="68"/>
  <c r="AF587" i="68"/>
  <c r="K467" i="68"/>
  <c r="J537" i="72"/>
  <c r="J563" i="72"/>
  <c r="J583" i="72" s="1"/>
  <c r="V444" i="68"/>
  <c r="AB248" i="68"/>
  <c r="AA541" i="72"/>
  <c r="AA561" i="72" s="1"/>
  <c r="AA364" i="72"/>
  <c r="I537" i="68"/>
  <c r="I599" i="68"/>
  <c r="W324" i="68"/>
  <c r="W386" i="68"/>
  <c r="M105" i="68"/>
  <c r="M167" i="68"/>
  <c r="Z306" i="68"/>
  <c r="Z368" i="68"/>
  <c r="AA549" i="68"/>
  <c r="AA611" i="68"/>
  <c r="L300" i="68"/>
  <c r="L362" i="68"/>
  <c r="Z216" i="68"/>
  <c r="Z218" i="68" s="1"/>
  <c r="Z154" i="68"/>
  <c r="J540" i="68"/>
  <c r="J603" i="68"/>
  <c r="J667" i="68" s="1"/>
  <c r="L539" i="68"/>
  <c r="L603" i="68" s="1"/>
  <c r="L667" i="68" s="1"/>
  <c r="L538" i="68"/>
  <c r="V320" i="68"/>
  <c r="V384" i="68" s="1"/>
  <c r="V448" i="68" s="1"/>
  <c r="V319" i="68"/>
  <c r="T535" i="68"/>
  <c r="T599" i="68" s="1"/>
  <c r="T536" i="68"/>
  <c r="T90" i="68"/>
  <c r="T152" i="68"/>
  <c r="T543" i="68"/>
  <c r="T605" i="68"/>
  <c r="AA288" i="68"/>
  <c r="AA350" i="68"/>
  <c r="Y291" i="68"/>
  <c r="Y353" i="68"/>
  <c r="R102" i="68"/>
  <c r="R164" i="68"/>
  <c r="N310" i="68"/>
  <c r="N311" i="68"/>
  <c r="N375" i="68" s="1"/>
  <c r="N439" i="68" s="1"/>
  <c r="L75" i="68"/>
  <c r="L137" i="68"/>
  <c r="N495" i="68"/>
  <c r="N557" i="68"/>
  <c r="AF495" i="68"/>
  <c r="AF557" i="68"/>
  <c r="L546" i="68"/>
  <c r="L608" i="68"/>
  <c r="AC189" i="68"/>
  <c r="AC191" i="68" s="1"/>
  <c r="AC127" i="68"/>
  <c r="AB93" i="68"/>
  <c r="AB155" i="68"/>
  <c r="AA216" i="68"/>
  <c r="AA218" i="68" s="1"/>
  <c r="AA154" i="68"/>
  <c r="I587" i="68"/>
  <c r="AB318" i="68"/>
  <c r="AB380" i="68"/>
  <c r="J165" i="68"/>
  <c r="J229" i="68" s="1"/>
  <c r="AG291" i="68"/>
  <c r="AG353" i="68"/>
  <c r="N195" i="68"/>
  <c r="N197" i="68" s="1"/>
  <c r="N133" i="68"/>
  <c r="AD90" i="68"/>
  <c r="AD152" i="68"/>
  <c r="S467" i="68"/>
  <c r="S487" i="68" s="1"/>
  <c r="R537" i="72"/>
  <c r="R563" i="72"/>
  <c r="R583" i="72" s="1"/>
  <c r="L183" i="68"/>
  <c r="L185" i="68" s="1"/>
  <c r="L121" i="68"/>
  <c r="I546" i="68"/>
  <c r="I609" i="68"/>
  <c r="I673" i="68" s="1"/>
  <c r="X514" i="68"/>
  <c r="X515" i="68"/>
  <c r="X579" i="68" s="1"/>
  <c r="X643" i="68" s="1"/>
  <c r="AF512" i="68"/>
  <c r="AF576" i="68" s="1"/>
  <c r="AF640" i="68" s="1"/>
  <c r="AF511" i="68"/>
  <c r="AA282" i="68"/>
  <c r="AA344" i="68"/>
  <c r="Q543" i="68"/>
  <c r="Q605" i="68"/>
  <c r="T317" i="68"/>
  <c r="T381" i="68" s="1"/>
  <c r="T445" i="68" s="1"/>
  <c r="T316" i="68"/>
  <c r="R512" i="68"/>
  <c r="R576" i="68" s="1"/>
  <c r="R640" i="68" s="1"/>
  <c r="R511" i="68"/>
  <c r="U524" i="68"/>
  <c r="U588" i="68" s="1"/>
  <c r="U652" i="68" s="1"/>
  <c r="U523" i="68"/>
  <c r="W237" i="68"/>
  <c r="W239" i="68" s="1"/>
  <c r="W175" i="68"/>
  <c r="K330" i="68"/>
  <c r="K392" i="68"/>
  <c r="Y210" i="68"/>
  <c r="Y212" i="68" s="1"/>
  <c r="Y148" i="68"/>
  <c r="Y279" i="68"/>
  <c r="Y341" i="68"/>
  <c r="O546" i="68"/>
  <c r="O609" i="68"/>
  <c r="O673" i="68" s="1"/>
  <c r="AB119" i="68"/>
  <c r="P540" i="68"/>
  <c r="P602" i="68"/>
  <c r="S183" i="68"/>
  <c r="S185" i="68" s="1"/>
  <c r="S121" i="68"/>
  <c r="AD93" i="68"/>
  <c r="AD155" i="68"/>
  <c r="X279" i="68"/>
  <c r="X341" i="68"/>
  <c r="AG507" i="68"/>
  <c r="AG569" i="68"/>
  <c r="AF516" i="68"/>
  <c r="AF578" i="68"/>
  <c r="Q304" i="68"/>
  <c r="Q305" i="68"/>
  <c r="Q369" i="68" s="1"/>
  <c r="Q433" i="68" s="1"/>
  <c r="Y216" i="68"/>
  <c r="Y218" i="68" s="1"/>
  <c r="Y154" i="68"/>
  <c r="Y540" i="68"/>
  <c r="Y602" i="68"/>
  <c r="X231" i="68"/>
  <c r="X233" i="68" s="1"/>
  <c r="X169" i="68"/>
  <c r="O538" i="68"/>
  <c r="O602" i="68" s="1"/>
  <c r="O539" i="68"/>
  <c r="R322" i="68"/>
  <c r="R323" i="68"/>
  <c r="R387" i="68" s="1"/>
  <c r="R451" i="68" s="1"/>
  <c r="P326" i="68"/>
  <c r="P390" i="68" s="1"/>
  <c r="P454" i="68" s="1"/>
  <c r="P325" i="68"/>
  <c r="R201" i="68"/>
  <c r="R203" i="68" s="1"/>
  <c r="R139" i="68"/>
  <c r="W189" i="68"/>
  <c r="W191" i="68" s="1"/>
  <c r="W127" i="68"/>
  <c r="N210" i="68"/>
  <c r="N212" i="68" s="1"/>
  <c r="N148" i="68"/>
  <c r="L198" i="68"/>
  <c r="L200" i="68" s="1"/>
  <c r="L136" i="68"/>
  <c r="AD327" i="68"/>
  <c r="AD389" i="68"/>
  <c r="AC96" i="68"/>
  <c r="AC159" i="68"/>
  <c r="AC223" i="68" s="1"/>
  <c r="M542" i="68"/>
  <c r="M606" i="68" s="1"/>
  <c r="M670" i="68" s="1"/>
  <c r="M541" i="68"/>
  <c r="AH186" i="68"/>
  <c r="AH188" i="68" s="1"/>
  <c r="AH124" i="68"/>
  <c r="U213" i="68"/>
  <c r="U215" i="68" s="1"/>
  <c r="U151" i="68"/>
  <c r="Z525" i="68"/>
  <c r="Z587" i="68"/>
  <c r="AD285" i="68"/>
  <c r="AD347" i="68"/>
  <c r="Q600" i="68"/>
  <c r="Q664" i="68" s="1"/>
  <c r="AC66" i="68"/>
  <c r="AC128" i="68"/>
  <c r="N663" i="68"/>
  <c r="S511" i="68"/>
  <c r="S512" i="68"/>
  <c r="S576" i="68" s="1"/>
  <c r="S640" i="68" s="1"/>
  <c r="Z456" i="68"/>
  <c r="AB502" i="68"/>
  <c r="AB503" i="68"/>
  <c r="AB567" i="68" s="1"/>
  <c r="AB631" i="68" s="1"/>
  <c r="J248" i="68"/>
  <c r="I364" i="72"/>
  <c r="I541" i="72"/>
  <c r="I561" i="72" s="1"/>
  <c r="V501" i="68"/>
  <c r="V563" i="68"/>
  <c r="AB310" i="68"/>
  <c r="AB311" i="68"/>
  <c r="AB375" i="68" s="1"/>
  <c r="AB439" i="68" s="1"/>
  <c r="O108" i="68"/>
  <c r="O170" i="68"/>
  <c r="O312" i="68"/>
  <c r="O375" i="68"/>
  <c r="O439" i="68" s="1"/>
  <c r="AD519" i="68"/>
  <c r="AD581" i="68"/>
  <c r="S63" i="68"/>
  <c r="S125" i="68"/>
  <c r="K248" i="68"/>
  <c r="J364" i="72"/>
  <c r="J541" i="72"/>
  <c r="J561" i="72" s="1"/>
  <c r="I531" i="68"/>
  <c r="I593" i="68"/>
  <c r="R198" i="68"/>
  <c r="R200" i="68" s="1"/>
  <c r="R136" i="68"/>
  <c r="M525" i="68"/>
  <c r="M587" i="68"/>
  <c r="W537" i="68"/>
  <c r="W599" i="68"/>
  <c r="W512" i="68"/>
  <c r="W576" i="68" s="1"/>
  <c r="W640" i="68" s="1"/>
  <c r="W511" i="68"/>
  <c r="T219" i="68"/>
  <c r="AD105" i="68"/>
  <c r="AD167" i="68"/>
  <c r="V497" i="68"/>
  <c r="V561" i="68" s="1"/>
  <c r="V625" i="68" s="1"/>
  <c r="V496" i="68"/>
  <c r="Y134" i="68"/>
  <c r="AC534" i="68"/>
  <c r="AC596" i="68"/>
  <c r="AA248" i="68"/>
  <c r="Z364" i="72"/>
  <c r="Z541" i="72"/>
  <c r="Z561" i="72" s="1"/>
  <c r="Y322" i="68"/>
  <c r="Y323" i="68"/>
  <c r="Y387" i="68" s="1"/>
  <c r="Y451" i="68" s="1"/>
  <c r="AD504" i="68"/>
  <c r="AD566" i="68"/>
  <c r="O315" i="68"/>
  <c r="O377" i="68"/>
  <c r="K29" i="68"/>
  <c r="J190" i="72"/>
  <c r="I69" i="68"/>
  <c r="I131" i="68"/>
  <c r="K213" i="68"/>
  <c r="K215" i="68" s="1"/>
  <c r="K151" i="68"/>
  <c r="J525" i="68"/>
  <c r="J587" i="68"/>
  <c r="X186" i="68"/>
  <c r="X188" i="68" s="1"/>
  <c r="X124" i="68"/>
  <c r="J543" i="68"/>
  <c r="J605" i="68"/>
  <c r="U441" i="68"/>
  <c r="X207" i="68"/>
  <c r="X209" i="68" s="1"/>
  <c r="X145" i="68"/>
  <c r="S294" i="68"/>
  <c r="S356" i="68"/>
  <c r="Y526" i="68"/>
  <c r="Y527" i="68"/>
  <c r="Y591" i="68" s="1"/>
  <c r="Y655" i="68" s="1"/>
  <c r="M183" i="68"/>
  <c r="M185" i="68" s="1"/>
  <c r="M121" i="68"/>
  <c r="K438" i="68"/>
  <c r="N125" i="68"/>
  <c r="I309" i="68"/>
  <c r="I371" i="68"/>
  <c r="N309" i="68"/>
  <c r="N371" i="68"/>
  <c r="N286" i="68"/>
  <c r="N287" i="68"/>
  <c r="N351" i="68" s="1"/>
  <c r="N415" i="68" s="1"/>
  <c r="V195" i="68"/>
  <c r="V197" i="68" s="1"/>
  <c r="V133" i="68"/>
  <c r="AA294" i="68"/>
  <c r="AA356" i="68"/>
  <c r="K293" i="68"/>
  <c r="K357" i="68" s="1"/>
  <c r="K421" i="68" s="1"/>
  <c r="K292" i="68"/>
  <c r="AD666" i="68"/>
  <c r="O542" i="68"/>
  <c r="O606" i="68" s="1"/>
  <c r="O670" i="68" s="1"/>
  <c r="O541" i="68"/>
  <c r="L518" i="68"/>
  <c r="L582" i="68" s="1"/>
  <c r="L646" i="68" s="1"/>
  <c r="L517" i="68"/>
  <c r="S510" i="68"/>
  <c r="S572" i="68"/>
  <c r="O324" i="68"/>
  <c r="O386" i="68"/>
  <c r="AH519" i="68"/>
  <c r="AH581" i="68"/>
  <c r="M304" i="68"/>
  <c r="M305" i="68"/>
  <c r="M369" i="68" s="1"/>
  <c r="M433" i="68" s="1"/>
  <c r="X325" i="68"/>
  <c r="X326" i="68"/>
  <c r="X390" i="68" s="1"/>
  <c r="X454" i="68" s="1"/>
  <c r="P494" i="68"/>
  <c r="P558" i="68" s="1"/>
  <c r="P622" i="68" s="1"/>
  <c r="P493" i="68"/>
  <c r="I29" i="68"/>
  <c r="H190" i="72"/>
  <c r="AH548" i="68"/>
  <c r="AH612" i="68" s="1"/>
  <c r="AH676" i="68" s="1"/>
  <c r="AH547" i="68"/>
  <c r="AC87" i="68"/>
  <c r="AC149" i="68"/>
  <c r="AD275" i="68"/>
  <c r="AD339" i="68" s="1"/>
  <c r="AD403" i="68" s="1"/>
  <c r="AD274" i="68"/>
  <c r="J316" i="68"/>
  <c r="J317" i="68"/>
  <c r="J381" i="68" s="1"/>
  <c r="J445" i="68" s="1"/>
  <c r="Z78" i="68"/>
  <c r="Z140" i="68"/>
  <c r="AH515" i="68"/>
  <c r="AH579" i="68" s="1"/>
  <c r="AH643" i="68" s="1"/>
  <c r="AH514" i="68"/>
  <c r="V514" i="68"/>
  <c r="V515" i="68"/>
  <c r="V579" i="68" s="1"/>
  <c r="V643" i="68" s="1"/>
  <c r="Y63" i="68"/>
  <c r="Y125" i="68"/>
  <c r="AB531" i="68"/>
  <c r="AB593" i="68"/>
  <c r="P313" i="68"/>
  <c r="P377" i="68" s="1"/>
  <c r="P314" i="68"/>
  <c r="V190" i="72"/>
  <c r="W29" i="68"/>
  <c r="AB111" i="68"/>
  <c r="AB173" i="68"/>
  <c r="AB151" i="68"/>
  <c r="V213" i="68"/>
  <c r="V215" i="68" s="1"/>
  <c r="V151" i="68"/>
  <c r="T303" i="68"/>
  <c r="T365" i="68"/>
  <c r="X509" i="68"/>
  <c r="X573" i="68" s="1"/>
  <c r="X637" i="68" s="1"/>
  <c r="X508" i="68"/>
  <c r="Z326" i="68"/>
  <c r="Z390" i="68" s="1"/>
  <c r="Z454" i="68" s="1"/>
  <c r="Z325" i="68"/>
  <c r="X296" i="68"/>
  <c r="X360" i="68" s="1"/>
  <c r="X424" i="68" s="1"/>
  <c r="X295" i="68"/>
  <c r="V60" i="68"/>
  <c r="V122" i="68"/>
  <c r="W279" i="68"/>
  <c r="W341" i="68"/>
  <c r="T666" i="68"/>
  <c r="L516" i="68"/>
  <c r="L578" i="68"/>
  <c r="R549" i="68"/>
  <c r="R611" i="68"/>
  <c r="AC543" i="68"/>
  <c r="AC606" i="68"/>
  <c r="AC670" i="68" s="1"/>
  <c r="V108" i="68"/>
  <c r="V170" i="68"/>
  <c r="Y105" i="68"/>
  <c r="Y168" i="68"/>
  <c r="Y232" i="68" s="1"/>
  <c r="X537" i="68"/>
  <c r="X599" i="68"/>
  <c r="N105" i="68"/>
  <c r="N167" i="68"/>
  <c r="K108" i="68"/>
  <c r="K170" i="68"/>
  <c r="S543" i="68"/>
  <c r="S605" i="68"/>
  <c r="AE504" i="68"/>
  <c r="AE566" i="68"/>
  <c r="M549" i="68"/>
  <c r="M612" i="68"/>
  <c r="M676" i="68" s="1"/>
  <c r="AC467" i="68"/>
  <c r="AB537" i="72"/>
  <c r="AB563" i="72"/>
  <c r="AB583" i="72" s="1"/>
  <c r="V157" i="68"/>
  <c r="U510" i="68"/>
  <c r="U572" i="68"/>
  <c r="Z96" i="68"/>
  <c r="Z158" i="68"/>
  <c r="AG511" i="68"/>
  <c r="AG512" i="68"/>
  <c r="AG576" i="68" s="1"/>
  <c r="AG640" i="68" s="1"/>
  <c r="M515" i="68"/>
  <c r="M579" i="68" s="1"/>
  <c r="M643" i="68" s="1"/>
  <c r="M514" i="68"/>
  <c r="AA530" i="68"/>
  <c r="AA594" i="68" s="1"/>
  <c r="AA658" i="68" s="1"/>
  <c r="AA529" i="68"/>
  <c r="K119" i="68"/>
  <c r="S311" i="68"/>
  <c r="S375" i="68" s="1"/>
  <c r="S439" i="68" s="1"/>
  <c r="S310" i="68"/>
  <c r="I467" i="68"/>
  <c r="H563" i="72"/>
  <c r="H583" i="72" s="1"/>
  <c r="H537" i="72"/>
  <c r="T374" i="68"/>
  <c r="AA219" i="68"/>
  <c r="J297" i="68"/>
  <c r="J359" i="68"/>
  <c r="I312" i="68"/>
  <c r="I374" i="68"/>
  <c r="P497" i="68"/>
  <c r="P561" i="68" s="1"/>
  <c r="P625" i="68" s="1"/>
  <c r="P496" i="68"/>
  <c r="O248" i="68"/>
  <c r="N364" i="72"/>
  <c r="N541" i="72"/>
  <c r="N561" i="72" s="1"/>
  <c r="V518" i="68"/>
  <c r="V582" i="68" s="1"/>
  <c r="V646" i="68" s="1"/>
  <c r="V517" i="68"/>
  <c r="W514" i="68"/>
  <c r="W515" i="68"/>
  <c r="W579" i="68" s="1"/>
  <c r="W643" i="68" s="1"/>
  <c r="AC518" i="68"/>
  <c r="AC582" i="68" s="1"/>
  <c r="AC646" i="68" s="1"/>
  <c r="AC517" i="68"/>
  <c r="L513" i="68"/>
  <c r="L575" i="68"/>
  <c r="AB325" i="68"/>
  <c r="AB389" i="68" s="1"/>
  <c r="AB326" i="68"/>
  <c r="Q534" i="68"/>
  <c r="Q596" i="68"/>
  <c r="Z494" i="68"/>
  <c r="Z558" i="68" s="1"/>
  <c r="Z622" i="68" s="1"/>
  <c r="Z493" i="68"/>
  <c r="W216" i="68"/>
  <c r="W218" i="68" s="1"/>
  <c r="W154" i="68"/>
  <c r="M453" i="68"/>
  <c r="V537" i="68"/>
  <c r="V600" i="68"/>
  <c r="V664" i="68" s="1"/>
  <c r="R467" i="68"/>
  <c r="Q537" i="72"/>
  <c r="Q563" i="72"/>
  <c r="Q583" i="72" s="1"/>
  <c r="J69" i="68"/>
  <c r="J131" i="68"/>
  <c r="AD590" i="68"/>
  <c r="T288" i="68"/>
  <c r="T350" i="68"/>
  <c r="I318" i="68"/>
  <c r="I380" i="68"/>
  <c r="T99" i="68"/>
  <c r="T162" i="68"/>
  <c r="T226" i="68" s="1"/>
  <c r="N524" i="68"/>
  <c r="N588" i="68" s="1"/>
  <c r="N652" i="68" s="1"/>
  <c r="N523" i="68"/>
  <c r="R111" i="68"/>
  <c r="R173" i="68"/>
  <c r="AF108" i="68"/>
  <c r="AF170" i="68"/>
  <c r="W504" i="68"/>
  <c r="W566" i="68"/>
  <c r="AE219" i="68"/>
  <c r="AE221" i="68" s="1"/>
  <c r="AE157" i="68"/>
  <c r="AC322" i="68"/>
  <c r="AC323" i="68"/>
  <c r="AC387" i="68" s="1"/>
  <c r="AC451" i="68" s="1"/>
  <c r="AH291" i="68"/>
  <c r="AH353" i="68"/>
  <c r="L302" i="68"/>
  <c r="L366" i="68" s="1"/>
  <c r="L430" i="68" s="1"/>
  <c r="L301" i="68"/>
  <c r="Y523" i="68"/>
  <c r="Y524" i="68"/>
  <c r="Y588" i="68" s="1"/>
  <c r="Y652" i="68" s="1"/>
  <c r="W510" i="68"/>
  <c r="W572" i="68"/>
  <c r="V467" i="68"/>
  <c r="U537" i="72"/>
  <c r="U563" i="72"/>
  <c r="U583" i="72" s="1"/>
  <c r="Q219" i="68"/>
  <c r="Q221" i="68" s="1"/>
  <c r="Q157" i="68"/>
  <c r="Y96" i="68"/>
  <c r="Y158" i="68"/>
  <c r="V524" i="68"/>
  <c r="V588" i="68" s="1"/>
  <c r="V652" i="68" s="1"/>
  <c r="V523" i="68"/>
  <c r="P183" i="68"/>
  <c r="P185" i="68" s="1"/>
  <c r="P121" i="68"/>
  <c r="P288" i="68"/>
  <c r="P350" i="68"/>
  <c r="AF312" i="68"/>
  <c r="AF374" i="68"/>
  <c r="O216" i="68"/>
  <c r="O218" i="68" s="1"/>
  <c r="O154" i="68"/>
  <c r="M277" i="68"/>
  <c r="M278" i="68"/>
  <c r="M342" i="68" s="1"/>
  <c r="M406" i="68" s="1"/>
  <c r="T198" i="68"/>
  <c r="T200" i="68" s="1"/>
  <c r="T136" i="68"/>
  <c r="AF102" i="68"/>
  <c r="AF164" i="68"/>
  <c r="Q324" i="68"/>
  <c r="Q386" i="68"/>
  <c r="M296" i="68"/>
  <c r="M360" i="68" s="1"/>
  <c r="M424" i="68" s="1"/>
  <c r="M295" i="68"/>
  <c r="J60" i="68"/>
  <c r="J122" i="68"/>
  <c r="M509" i="68"/>
  <c r="M573" i="68" s="1"/>
  <c r="M637" i="68" s="1"/>
  <c r="M508" i="68"/>
  <c r="AG498" i="68"/>
  <c r="AG560" i="68"/>
  <c r="W108" i="68"/>
  <c r="W170" i="68"/>
  <c r="S198" i="68"/>
  <c r="S200" i="68" s="1"/>
  <c r="S136" i="68"/>
  <c r="Y201" i="68"/>
  <c r="Y203" i="68" s="1"/>
  <c r="Y139" i="68"/>
  <c r="AA225" i="68"/>
  <c r="AA227" i="68" s="1"/>
  <c r="AA163" i="68"/>
  <c r="Q544" i="68"/>
  <c r="Q608" i="68" s="1"/>
  <c r="Q545" i="68"/>
  <c r="U57" i="68"/>
  <c r="U119" i="68"/>
  <c r="S301" i="68"/>
  <c r="S302" i="68"/>
  <c r="S366" i="68" s="1"/>
  <c r="S430" i="68" s="1"/>
  <c r="AB549" i="68"/>
  <c r="AB611" i="68"/>
  <c r="AB198" i="68"/>
  <c r="AB200" i="68" s="1"/>
  <c r="AB136" i="68"/>
  <c r="L528" i="68"/>
  <c r="L590" i="68"/>
  <c r="L99" i="68"/>
  <c r="L161" i="68"/>
  <c r="AH294" i="68"/>
  <c r="AH356" i="68"/>
  <c r="AA204" i="68"/>
  <c r="AA206" i="68" s="1"/>
  <c r="AA142" i="68"/>
  <c r="I518" i="68"/>
  <c r="I582" i="68" s="1"/>
  <c r="I646" i="68" s="1"/>
  <c r="I517" i="68"/>
  <c r="AF320" i="68"/>
  <c r="AF384" i="68" s="1"/>
  <c r="AF448" i="68" s="1"/>
  <c r="AF319" i="68"/>
  <c r="AH525" i="68"/>
  <c r="AH587" i="68"/>
  <c r="M504" i="68"/>
  <c r="M566" i="68"/>
  <c r="I102" i="68"/>
  <c r="I164" i="68"/>
  <c r="J534" i="68"/>
  <c r="J596" i="68"/>
  <c r="AG518" i="68"/>
  <c r="AG582" i="68" s="1"/>
  <c r="AG646" i="68" s="1"/>
  <c r="AG517" i="68"/>
  <c r="N294" i="68"/>
  <c r="N356" i="68"/>
  <c r="J666" i="68"/>
  <c r="AC536" i="68"/>
  <c r="AC600" i="68" s="1"/>
  <c r="AC664" i="68" s="1"/>
  <c r="AC535" i="68"/>
  <c r="W531" i="68"/>
  <c r="W593" i="68"/>
  <c r="AF207" i="68"/>
  <c r="AF209" i="68" s="1"/>
  <c r="AF145" i="68"/>
  <c r="L506" i="68"/>
  <c r="L570" i="68" s="1"/>
  <c r="L634" i="68" s="1"/>
  <c r="L505" i="68"/>
  <c r="L293" i="68"/>
  <c r="L357" i="68" s="1"/>
  <c r="L421" i="68" s="1"/>
  <c r="L292" i="68"/>
  <c r="AG453" i="68"/>
  <c r="W282" i="68"/>
  <c r="W344" i="68"/>
  <c r="J513" i="68"/>
  <c r="J575" i="68"/>
  <c r="K531" i="68"/>
  <c r="K593" i="68"/>
  <c r="X590" i="68"/>
  <c r="P587" i="68"/>
  <c r="T305" i="68"/>
  <c r="T369" i="68" s="1"/>
  <c r="T433" i="68" s="1"/>
  <c r="T304" i="68"/>
  <c r="I514" i="68"/>
  <c r="I515" i="68"/>
  <c r="I579" i="68" s="1"/>
  <c r="I643" i="68" s="1"/>
  <c r="M330" i="68"/>
  <c r="M392" i="68"/>
  <c r="J645" i="68"/>
  <c r="N190" i="72"/>
  <c r="O29" i="68"/>
  <c r="AE515" i="68"/>
  <c r="AE579" i="68" s="1"/>
  <c r="AE643" i="68" s="1"/>
  <c r="AE514" i="68"/>
  <c r="T522" i="68"/>
  <c r="T584" i="68"/>
  <c r="W538" i="68"/>
  <c r="W539" i="68"/>
  <c r="W603" i="68" s="1"/>
  <c r="W667" i="68" s="1"/>
  <c r="J96" i="68"/>
  <c r="J158" i="68"/>
  <c r="I81" i="68"/>
  <c r="I143" i="68"/>
  <c r="V540" i="68"/>
  <c r="V602" i="68"/>
  <c r="K276" i="68"/>
  <c r="K339" i="68"/>
  <c r="K403" i="68" s="1"/>
  <c r="R297" i="68"/>
  <c r="R359" i="68"/>
  <c r="AC314" i="68"/>
  <c r="AC378" i="68" s="1"/>
  <c r="AC442" i="68" s="1"/>
  <c r="AC313" i="68"/>
  <c r="I672" i="68"/>
  <c r="T204" i="68"/>
  <c r="T206" i="68" s="1"/>
  <c r="T142" i="68"/>
  <c r="AF303" i="68"/>
  <c r="AF365" i="68"/>
  <c r="AG321" i="68"/>
  <c r="AG383" i="68"/>
  <c r="P207" i="68"/>
  <c r="P209" i="68" s="1"/>
  <c r="P145" i="68"/>
  <c r="N204" i="68"/>
  <c r="N206" i="68" s="1"/>
  <c r="N142" i="68"/>
  <c r="O498" i="68"/>
  <c r="O560" i="68"/>
  <c r="O672" i="68"/>
  <c r="AB285" i="68"/>
  <c r="AB347" i="68"/>
  <c r="Q531" i="68"/>
  <c r="Q593" i="68"/>
  <c r="Q493" i="68"/>
  <c r="Q557" i="68" s="1"/>
  <c r="Q494" i="68"/>
  <c r="M219" i="68"/>
  <c r="M221" i="68" s="1"/>
  <c r="M157" i="68"/>
  <c r="M530" i="68"/>
  <c r="M594" i="68" s="1"/>
  <c r="M658" i="68" s="1"/>
  <c r="M529" i="68"/>
  <c r="AH288" i="68"/>
  <c r="AH350" i="68"/>
  <c r="X292" i="68"/>
  <c r="X293" i="68"/>
  <c r="X357" i="68" s="1"/>
  <c r="X421" i="68" s="1"/>
  <c r="AD513" i="68"/>
  <c r="AD575" i="68"/>
  <c r="S322" i="68"/>
  <c r="S386" i="68" s="1"/>
  <c r="S323" i="68"/>
  <c r="AA63" i="68"/>
  <c r="AA125" i="68"/>
  <c r="AG93" i="68"/>
  <c r="AG155" i="68"/>
  <c r="Z299" i="68"/>
  <c r="Z363" i="68" s="1"/>
  <c r="Z427" i="68" s="1"/>
  <c r="Z298" i="68"/>
  <c r="S307" i="68"/>
  <c r="S308" i="68"/>
  <c r="S372" i="68" s="1"/>
  <c r="S436" i="68" s="1"/>
  <c r="V286" i="68"/>
  <c r="V287" i="68"/>
  <c r="V351" i="68" s="1"/>
  <c r="V415" i="68" s="1"/>
  <c r="AB514" i="68"/>
  <c r="AB515" i="68"/>
  <c r="AB579" i="68" s="1"/>
  <c r="AB643" i="68" s="1"/>
  <c r="T546" i="68"/>
  <c r="T608" i="68"/>
  <c r="AB99" i="68"/>
  <c r="AB161" i="68"/>
  <c r="I57" i="68"/>
  <c r="I119" i="68"/>
  <c r="AB297" i="68"/>
  <c r="AB359" i="68"/>
  <c r="I498" i="68"/>
  <c r="I560" i="68"/>
  <c r="AH507" i="68"/>
  <c r="AH569" i="68"/>
  <c r="AE96" i="68"/>
  <c r="AE158" i="68"/>
  <c r="V522" i="68"/>
  <c r="V584" i="68"/>
  <c r="Z527" i="68"/>
  <c r="Z591" i="68" s="1"/>
  <c r="Z655" i="68" s="1"/>
  <c r="Z526" i="68"/>
  <c r="P282" i="68"/>
  <c r="P344" i="68"/>
  <c r="AC222" i="68"/>
  <c r="S533" i="68"/>
  <c r="S597" i="68" s="1"/>
  <c r="S661" i="68" s="1"/>
  <c r="S532" i="68"/>
  <c r="S353" i="68"/>
  <c r="AA584" i="68"/>
  <c r="Z29" i="68"/>
  <c r="Y190" i="72"/>
  <c r="S285" i="68"/>
  <c r="S347" i="68"/>
  <c r="I60" i="68"/>
  <c r="I122" i="68"/>
  <c r="P157" i="68"/>
  <c r="I201" i="68"/>
  <c r="I203" i="68" s="1"/>
  <c r="I139" i="68"/>
  <c r="AH57" i="68"/>
  <c r="AH120" i="68"/>
  <c r="AH184" i="68" s="1"/>
  <c r="L318" i="68"/>
  <c r="L380" i="68"/>
  <c r="Q540" i="68"/>
  <c r="Q602" i="68"/>
  <c r="O438" i="68"/>
  <c r="R516" i="68"/>
  <c r="R578" i="68"/>
  <c r="AE72" i="68"/>
  <c r="AE134" i="68"/>
  <c r="Y542" i="68"/>
  <c r="Y606" i="68" s="1"/>
  <c r="Y670" i="68" s="1"/>
  <c r="Y541" i="68"/>
  <c r="L290" i="68"/>
  <c r="L354" i="68" s="1"/>
  <c r="L418" i="68" s="1"/>
  <c r="L289" i="68"/>
  <c r="R99" i="68"/>
  <c r="R161" i="68"/>
  <c r="AD66" i="68"/>
  <c r="AD128" i="68"/>
  <c r="AH228" i="68"/>
  <c r="AH230" i="68" s="1"/>
  <c r="AH166" i="68"/>
  <c r="AE537" i="68"/>
  <c r="AE599" i="68"/>
  <c r="I216" i="68"/>
  <c r="I218" i="68" s="1"/>
  <c r="I154" i="68"/>
  <c r="V347" i="68"/>
  <c r="Z190" i="72"/>
  <c r="AA29" i="68"/>
  <c r="AB288" i="68"/>
  <c r="AB350" i="68"/>
  <c r="N504" i="68"/>
  <c r="N566" i="68"/>
  <c r="X304" i="68"/>
  <c r="X305" i="68"/>
  <c r="X369" i="68" s="1"/>
  <c r="X433" i="68" s="1"/>
  <c r="V330" i="68"/>
  <c r="V393" i="68"/>
  <c r="V457" i="68" s="1"/>
  <c r="P231" i="68"/>
  <c r="P233" i="68" s="1"/>
  <c r="P169" i="68"/>
  <c r="AE314" i="68"/>
  <c r="AE378" i="68" s="1"/>
  <c r="AE442" i="68" s="1"/>
  <c r="AE313" i="68"/>
  <c r="AE284" i="68"/>
  <c r="AE348" i="68" s="1"/>
  <c r="AE412" i="68" s="1"/>
  <c r="AE283" i="68"/>
  <c r="M287" i="68"/>
  <c r="M351" i="68" s="1"/>
  <c r="M415" i="68" s="1"/>
  <c r="M286" i="68"/>
  <c r="N87" i="68"/>
  <c r="N149" i="68"/>
  <c r="Y536" i="68"/>
  <c r="Y600" i="68" s="1"/>
  <c r="Y664" i="68" s="1"/>
  <c r="Y535" i="68"/>
  <c r="U310" i="68"/>
  <c r="U311" i="68"/>
  <c r="U375" i="68" s="1"/>
  <c r="U439" i="68" s="1"/>
  <c r="P537" i="68"/>
  <c r="P599" i="68"/>
  <c r="AB522" i="68"/>
  <c r="AB584" i="68"/>
  <c r="AC281" i="68"/>
  <c r="AC345" i="68" s="1"/>
  <c r="AC409" i="68" s="1"/>
  <c r="AC280" i="68"/>
  <c r="W314" i="68"/>
  <c r="W378" i="68" s="1"/>
  <c r="W442" i="68" s="1"/>
  <c r="W313" i="68"/>
  <c r="N319" i="68"/>
  <c r="N383" i="68" s="1"/>
  <c r="N320" i="68"/>
  <c r="N300" i="68"/>
  <c r="N362" i="68"/>
  <c r="N314" i="68"/>
  <c r="N378" i="68" s="1"/>
  <c r="N442" i="68" s="1"/>
  <c r="N313" i="68"/>
  <c r="AA295" i="68"/>
  <c r="AA296" i="68"/>
  <c r="AA360" i="68" s="1"/>
  <c r="AA424" i="68" s="1"/>
  <c r="R283" i="68"/>
  <c r="R284" i="68"/>
  <c r="R348" i="68" s="1"/>
  <c r="R412" i="68" s="1"/>
  <c r="S544" i="68"/>
  <c r="S545" i="68"/>
  <c r="S609" i="68" s="1"/>
  <c r="S673" i="68" s="1"/>
  <c r="V549" i="68"/>
  <c r="V611" i="68"/>
  <c r="S519" i="68"/>
  <c r="S581" i="68"/>
  <c r="AH512" i="68"/>
  <c r="AH576" i="68" s="1"/>
  <c r="AH640" i="68" s="1"/>
  <c r="AH511" i="68"/>
  <c r="S90" i="68"/>
  <c r="S152" i="68"/>
  <c r="J330" i="68"/>
  <c r="J393" i="68"/>
  <c r="J457" i="68" s="1"/>
  <c r="AD237" i="68"/>
  <c r="AD239" i="68" s="1"/>
  <c r="AD175" i="68"/>
  <c r="U328" i="68"/>
  <c r="U329" i="68"/>
  <c r="U393" i="68" s="1"/>
  <c r="U457" i="68" s="1"/>
  <c r="AB210" i="68"/>
  <c r="AB212" i="68" s="1"/>
  <c r="AB148" i="68"/>
  <c r="N96" i="68"/>
  <c r="N159" i="68"/>
  <c r="N223" i="68" s="1"/>
  <c r="AE494" i="68"/>
  <c r="AE558" i="68" s="1"/>
  <c r="AE622" i="68" s="1"/>
  <c r="AE493" i="68"/>
  <c r="I192" i="68"/>
  <c r="I194" i="68" s="1"/>
  <c r="I130" i="68"/>
  <c r="T186" i="68"/>
  <c r="T188" i="68" s="1"/>
  <c r="T124" i="68"/>
  <c r="AG237" i="68"/>
  <c r="AG239" i="68" s="1"/>
  <c r="AG175" i="68"/>
  <c r="K303" i="68"/>
  <c r="K365" i="68"/>
  <c r="N108" i="68"/>
  <c r="N170" i="68"/>
  <c r="I315" i="68"/>
  <c r="I377" i="68"/>
  <c r="W330" i="68"/>
  <c r="W393" i="68"/>
  <c r="W457" i="68" s="1"/>
  <c r="AD324" i="68"/>
  <c r="AD386" i="68"/>
  <c r="AC201" i="68"/>
  <c r="AC203" i="68" s="1"/>
  <c r="AC139" i="68"/>
  <c r="R330" i="68"/>
  <c r="R392" i="68"/>
  <c r="Y321" i="68"/>
  <c r="Y383" i="68"/>
  <c r="AF279" i="68"/>
  <c r="AF341" i="68"/>
  <c r="Z312" i="68"/>
  <c r="Z374" i="68"/>
  <c r="O535" i="68"/>
  <c r="O536" i="68"/>
  <c r="O600" i="68" s="1"/>
  <c r="O664" i="68" s="1"/>
  <c r="R504" i="68"/>
  <c r="R566" i="68"/>
  <c r="AG467" i="68"/>
  <c r="AF537" i="72"/>
  <c r="AF563" i="72"/>
  <c r="AF583" i="72" s="1"/>
  <c r="U327" i="68"/>
  <c r="U389" i="68"/>
  <c r="X55" i="68"/>
  <c r="X119" i="68" s="1"/>
  <c r="X56" i="68"/>
  <c r="Y294" i="68"/>
  <c r="Y356" i="68"/>
  <c r="U207" i="68"/>
  <c r="U209" i="68" s="1"/>
  <c r="U145" i="68"/>
  <c r="X495" i="68"/>
  <c r="X557" i="68"/>
  <c r="AC546" i="68"/>
  <c r="AC608" i="68"/>
  <c r="AA467" i="68"/>
  <c r="Z537" i="72"/>
  <c r="Z563" i="72"/>
  <c r="Z583" i="72" s="1"/>
  <c r="AC669" i="68"/>
  <c r="AD498" i="68"/>
  <c r="AD560" i="68"/>
  <c r="AG548" i="68"/>
  <c r="AG612" i="68" s="1"/>
  <c r="AG676" i="68" s="1"/>
  <c r="AG547" i="68"/>
  <c r="Y231" i="68"/>
  <c r="M537" i="68"/>
  <c r="M599" i="68"/>
  <c r="M675" i="68"/>
  <c r="V221" i="68"/>
  <c r="W295" i="68"/>
  <c r="W296" i="68"/>
  <c r="W360" i="68" s="1"/>
  <c r="W424" i="68" s="1"/>
  <c r="D8" i="40" a="1"/>
  <c r="D8" i="40" s="1"/>
  <c r="AC356" i="68" l="1"/>
  <c r="AB528" i="68"/>
  <c r="V507" i="68"/>
  <c r="Z519" i="68"/>
  <c r="AC200" i="68"/>
  <c r="X528" i="68"/>
  <c r="AD371" i="68"/>
  <c r="Q139" i="68"/>
  <c r="K130" i="68"/>
  <c r="J566" i="68"/>
  <c r="O169" i="68"/>
  <c r="N381" i="68"/>
  <c r="N445" i="68" s="1"/>
  <c r="AC72" i="68"/>
  <c r="I612" i="68"/>
  <c r="I676" i="68" s="1"/>
  <c r="I677" i="68" s="1"/>
  <c r="AF87" i="68"/>
  <c r="AB368" i="68"/>
  <c r="AB432" i="68" s="1"/>
  <c r="AB434" i="68" s="1"/>
  <c r="T362" i="68"/>
  <c r="T426" i="68" s="1"/>
  <c r="T428" i="68" s="1"/>
  <c r="T210" i="68"/>
  <c r="T212" i="68" s="1"/>
  <c r="Z166" i="68"/>
  <c r="AD507" i="68"/>
  <c r="J276" i="68"/>
  <c r="AH303" i="68"/>
  <c r="AD148" i="68"/>
  <c r="K315" i="68"/>
  <c r="R581" i="68"/>
  <c r="R645" i="68" s="1"/>
  <c r="R647" i="68" s="1"/>
  <c r="J172" i="68"/>
  <c r="S166" i="68"/>
  <c r="T309" i="68"/>
  <c r="AF359" i="68"/>
  <c r="AF423" i="68" s="1"/>
  <c r="AF425" i="68" s="1"/>
  <c r="K590" i="68"/>
  <c r="K654" i="68" s="1"/>
  <c r="K656" i="68" s="1"/>
  <c r="S163" i="68"/>
  <c r="O279" i="68"/>
  <c r="AA602" i="68"/>
  <c r="AA666" i="68" s="1"/>
  <c r="AA668" i="68" s="1"/>
  <c r="U201" i="68"/>
  <c r="U203" i="68" s="1"/>
  <c r="K57" i="68"/>
  <c r="Y192" i="68"/>
  <c r="Y194" i="68" s="1"/>
  <c r="P525" i="68"/>
  <c r="O121" i="68"/>
  <c r="X507" i="68"/>
  <c r="O525" i="68"/>
  <c r="J102" i="68"/>
  <c r="J163" i="68"/>
  <c r="AE60" i="68"/>
  <c r="AA130" i="68"/>
  <c r="N166" i="68"/>
  <c r="K216" i="68"/>
  <c r="K218" i="68" s="1"/>
  <c r="R572" i="68"/>
  <c r="R574" i="68" s="1"/>
  <c r="L192" i="68"/>
  <c r="L194" i="68" s="1"/>
  <c r="AB294" i="68"/>
  <c r="AD145" i="68"/>
  <c r="J371" i="68"/>
  <c r="J435" i="68" s="1"/>
  <c r="J437" i="68" s="1"/>
  <c r="O145" i="68"/>
  <c r="T125" i="68"/>
  <c r="T189" i="68" s="1"/>
  <c r="T191" i="68" s="1"/>
  <c r="AD234" i="68"/>
  <c r="AD236" i="68" s="1"/>
  <c r="Y566" i="68"/>
  <c r="Y630" i="68" s="1"/>
  <c r="Y632" i="68" s="1"/>
  <c r="L102" i="68"/>
  <c r="Z127" i="68"/>
  <c r="S569" i="68"/>
  <c r="S633" i="68" s="1"/>
  <c r="S635" i="68" s="1"/>
  <c r="AB139" i="68"/>
  <c r="AC136" i="68"/>
  <c r="S368" i="68"/>
  <c r="S432" i="68" s="1"/>
  <c r="S434" i="68" s="1"/>
  <c r="AB130" i="68"/>
  <c r="U175" i="68"/>
  <c r="AG133" i="68"/>
  <c r="N163" i="68"/>
  <c r="AD528" i="68"/>
  <c r="O206" i="68"/>
  <c r="R368" i="68"/>
  <c r="R432" i="68" s="1"/>
  <c r="R434" i="68" s="1"/>
  <c r="AA207" i="68"/>
  <c r="AA209" i="68" s="1"/>
  <c r="X288" i="68"/>
  <c r="AG390" i="68"/>
  <c r="AG454" i="68" s="1"/>
  <c r="AG455" i="68" s="1"/>
  <c r="M294" i="68"/>
  <c r="S160" i="68"/>
  <c r="Z602" i="68"/>
  <c r="Z604" i="68" s="1"/>
  <c r="AC279" i="68"/>
  <c r="K347" i="68"/>
  <c r="K349" i="68" s="1"/>
  <c r="L142" i="68"/>
  <c r="Z303" i="68"/>
  <c r="S151" i="68"/>
  <c r="O495" i="68"/>
  <c r="X531" i="68"/>
  <c r="AA173" i="68"/>
  <c r="AA237" i="68" s="1"/>
  <c r="AA239" i="68" s="1"/>
  <c r="Z386" i="68"/>
  <c r="Z450" i="68" s="1"/>
  <c r="Z452" i="68" s="1"/>
  <c r="X201" i="68"/>
  <c r="X203" i="68" s="1"/>
  <c r="U300" i="68"/>
  <c r="T611" i="68"/>
  <c r="T613" i="68" s="1"/>
  <c r="L312" i="68"/>
  <c r="R169" i="68"/>
  <c r="P549" i="68"/>
  <c r="X525" i="68"/>
  <c r="AH572" i="68"/>
  <c r="AH574" i="68" s="1"/>
  <c r="W222" i="68"/>
  <c r="W224" i="68" s="1"/>
  <c r="AD584" i="68"/>
  <c r="AD586" i="68" s="1"/>
  <c r="AE175" i="68"/>
  <c r="AE359" i="68"/>
  <c r="AE361" i="68" s="1"/>
  <c r="AC140" i="68"/>
  <c r="AC204" i="68" s="1"/>
  <c r="AC206" i="68" s="1"/>
  <c r="R606" i="68"/>
  <c r="R670" i="68" s="1"/>
  <c r="R671" i="68" s="1"/>
  <c r="AE133" i="68"/>
  <c r="O142" i="68"/>
  <c r="N516" i="68"/>
  <c r="U443" i="68"/>
  <c r="P148" i="68"/>
  <c r="N198" i="68"/>
  <c r="N200" i="68" s="1"/>
  <c r="X303" i="68"/>
  <c r="AB341" i="68"/>
  <c r="AB405" i="68" s="1"/>
  <c r="AB407" i="68" s="1"/>
  <c r="AC148" i="68"/>
  <c r="AG662" i="68"/>
  <c r="Y173" i="68"/>
  <c r="Y237" i="68" s="1"/>
  <c r="Y239" i="68" s="1"/>
  <c r="L78" i="68"/>
  <c r="AG598" i="68"/>
  <c r="T297" i="68"/>
  <c r="AD121" i="68"/>
  <c r="Q142" i="68"/>
  <c r="S145" i="68"/>
  <c r="O610" i="68"/>
  <c r="AH605" i="68"/>
  <c r="AH669" i="68" s="1"/>
  <c r="AH671" i="68" s="1"/>
  <c r="Q537" i="68"/>
  <c r="AH590" i="68"/>
  <c r="AH592" i="68" s="1"/>
  <c r="Q563" i="68"/>
  <c r="Q627" i="68" s="1"/>
  <c r="Q629" i="68" s="1"/>
  <c r="S560" i="68"/>
  <c r="S624" i="68" s="1"/>
  <c r="S626" i="68" s="1"/>
  <c r="AB557" i="68"/>
  <c r="AB621" i="68" s="1"/>
  <c r="AB623" i="68" s="1"/>
  <c r="S563" i="68"/>
  <c r="S627" i="68" s="1"/>
  <c r="S629" i="68" s="1"/>
  <c r="Z546" i="68"/>
  <c r="R160" i="68"/>
  <c r="AC590" i="68"/>
  <c r="AC592" i="68" s="1"/>
  <c r="Y297" i="68"/>
  <c r="P365" i="68"/>
  <c r="P429" i="68" s="1"/>
  <c r="P431" i="68" s="1"/>
  <c r="W300" i="68"/>
  <c r="AD282" i="68"/>
  <c r="AF377" i="68"/>
  <c r="AF441" i="68" s="1"/>
  <c r="AF443" i="68" s="1"/>
  <c r="AC389" i="68"/>
  <c r="AC453" i="68" s="1"/>
  <c r="AC455" i="68" s="1"/>
  <c r="AA279" i="68"/>
  <c r="M404" i="68"/>
  <c r="M340" i="68"/>
  <c r="P324" i="68"/>
  <c r="AE362" i="68"/>
  <c r="AE364" i="68" s="1"/>
  <c r="AG162" i="68"/>
  <c r="AG226" i="68" s="1"/>
  <c r="AG227" i="68" s="1"/>
  <c r="O78" i="68"/>
  <c r="K376" i="68"/>
  <c r="AE376" i="68"/>
  <c r="K440" i="68"/>
  <c r="AE440" i="68"/>
  <c r="V303" i="68"/>
  <c r="L169" i="68"/>
  <c r="L233" i="68"/>
  <c r="Y102" i="68"/>
  <c r="Y72" i="68"/>
  <c r="K72" i="68"/>
  <c r="N63" i="68"/>
  <c r="AB57" i="68"/>
  <c r="L154" i="68"/>
  <c r="V166" i="68"/>
  <c r="V230" i="68"/>
  <c r="K228" i="68"/>
  <c r="K230" i="68" s="1"/>
  <c r="AA157" i="68"/>
  <c r="T590" i="68"/>
  <c r="T592" i="68" s="1"/>
  <c r="AF324" i="68"/>
  <c r="R569" i="68"/>
  <c r="R571" i="68" s="1"/>
  <c r="P140" i="68"/>
  <c r="P78" i="68"/>
  <c r="AA221" i="68"/>
  <c r="S315" i="68"/>
  <c r="AG90" i="68"/>
  <c r="AG152" i="68"/>
  <c r="AG288" i="68"/>
  <c r="Q321" i="68"/>
  <c r="I167" i="68"/>
  <c r="I105" i="68"/>
  <c r="AG81" i="68"/>
  <c r="AG143" i="68"/>
  <c r="I525" i="68"/>
  <c r="X66" i="68"/>
  <c r="I510" i="68"/>
  <c r="AB166" i="68"/>
  <c r="O124" i="68"/>
  <c r="AH163" i="68"/>
  <c r="W383" i="68"/>
  <c r="W447" i="68" s="1"/>
  <c r="W449" i="68" s="1"/>
  <c r="Q160" i="68"/>
  <c r="K540" i="68"/>
  <c r="L510" i="68"/>
  <c r="AF128" i="68"/>
  <c r="AF66" i="68"/>
  <c r="Z172" i="68"/>
  <c r="AE282" i="68"/>
  <c r="AH341" i="68"/>
  <c r="AH405" i="68" s="1"/>
  <c r="AH407" i="68" s="1"/>
  <c r="L566" i="68"/>
  <c r="L630" i="68" s="1"/>
  <c r="L632" i="68" s="1"/>
  <c r="Q224" i="68"/>
  <c r="AB63" i="68"/>
  <c r="AB125" i="68"/>
  <c r="AA60" i="68"/>
  <c r="AA122" i="68"/>
  <c r="L455" i="68"/>
  <c r="P362" i="68"/>
  <c r="P426" i="68" s="1"/>
  <c r="P428" i="68" s="1"/>
  <c r="AH145" i="68"/>
  <c r="N128" i="68"/>
  <c r="N66" i="68"/>
  <c r="T312" i="68"/>
  <c r="AG172" i="68"/>
  <c r="L391" i="68"/>
  <c r="W84" i="68"/>
  <c r="W146" i="68"/>
  <c r="AG96" i="68"/>
  <c r="AG158" i="68"/>
  <c r="V382" i="68"/>
  <c r="AD151" i="68"/>
  <c r="Y151" i="68"/>
  <c r="K279" i="68"/>
  <c r="AB365" i="68"/>
  <c r="AB429" i="68" s="1"/>
  <c r="AB431" i="68" s="1"/>
  <c r="Y598" i="68"/>
  <c r="O63" i="68"/>
  <c r="O125" i="68"/>
  <c r="J582" i="68"/>
  <c r="J646" i="68" s="1"/>
  <c r="J647" i="68" s="1"/>
  <c r="V446" i="68"/>
  <c r="X609" i="68"/>
  <c r="X673" i="68" s="1"/>
  <c r="X674" i="68" s="1"/>
  <c r="W119" i="68"/>
  <c r="W183" i="68" s="1"/>
  <c r="W185" i="68" s="1"/>
  <c r="I87" i="68"/>
  <c r="I149" i="68"/>
  <c r="U379" i="68"/>
  <c r="Q66" i="68"/>
  <c r="Q128" i="68"/>
  <c r="T105" i="68"/>
  <c r="T167" i="68"/>
  <c r="L63" i="68"/>
  <c r="L125" i="68"/>
  <c r="I135" i="68"/>
  <c r="I72" i="68"/>
  <c r="AA388" i="68"/>
  <c r="W161" i="68"/>
  <c r="W225" i="68" s="1"/>
  <c r="W227" i="68" s="1"/>
  <c r="AA452" i="68"/>
  <c r="N155" i="68"/>
  <c r="N93" i="68"/>
  <c r="Z69" i="68"/>
  <c r="Z131" i="68"/>
  <c r="I610" i="68"/>
  <c r="N353" i="68"/>
  <c r="N417" i="68" s="1"/>
  <c r="N419" i="68" s="1"/>
  <c r="AF60" i="68"/>
  <c r="AF122" i="68"/>
  <c r="X99" i="68"/>
  <c r="X161" i="68"/>
  <c r="V285" i="68"/>
  <c r="O674" i="68"/>
  <c r="AG142" i="68"/>
  <c r="T75" i="68"/>
  <c r="T137" i="68"/>
  <c r="M207" i="68"/>
  <c r="M209" i="68" s="1"/>
  <c r="Q184" i="68"/>
  <c r="Q185" i="68" s="1"/>
  <c r="Q121" i="68"/>
  <c r="W66" i="68"/>
  <c r="W128" i="68"/>
  <c r="R210" i="68"/>
  <c r="R212" i="68" s="1"/>
  <c r="AD609" i="68"/>
  <c r="AD673" i="68" s="1"/>
  <c r="AD674" i="68" s="1"/>
  <c r="X127" i="68"/>
  <c r="AF671" i="68"/>
  <c r="V371" i="68"/>
  <c r="V435" i="68" s="1"/>
  <c r="V437" i="68" s="1"/>
  <c r="AE172" i="68"/>
  <c r="L96" i="68"/>
  <c r="L158" i="68"/>
  <c r="AC671" i="68"/>
  <c r="AF607" i="68"/>
  <c r="R590" i="68"/>
  <c r="R654" i="68" s="1"/>
  <c r="R656" i="68" s="1"/>
  <c r="Q63" i="68"/>
  <c r="Q125" i="68"/>
  <c r="AF525" i="68"/>
  <c r="AH362" i="68"/>
  <c r="AH426" i="68" s="1"/>
  <c r="AH428" i="68" s="1"/>
  <c r="AC119" i="68"/>
  <c r="AC57" i="68"/>
  <c r="T108" i="68"/>
  <c r="T170" i="68"/>
  <c r="AA522" i="68"/>
  <c r="AB69" i="68"/>
  <c r="AB131" i="68"/>
  <c r="J157" i="68"/>
  <c r="V75" i="68"/>
  <c r="V137" i="68"/>
  <c r="AF84" i="68"/>
  <c r="AF146" i="68"/>
  <c r="AC607" i="68"/>
  <c r="S291" i="68"/>
  <c r="J221" i="68"/>
  <c r="AG376" i="68"/>
  <c r="K175" i="68"/>
  <c r="AG440" i="68"/>
  <c r="Y673" i="68"/>
  <c r="Y674" i="68" s="1"/>
  <c r="Y610" i="68"/>
  <c r="AH674" i="68"/>
  <c r="N175" i="68"/>
  <c r="AA105" i="68"/>
  <c r="X449" i="68"/>
  <c r="AE598" i="68"/>
  <c r="N239" i="68"/>
  <c r="R154" i="68"/>
  <c r="R172" i="68"/>
  <c r="O376" i="68"/>
  <c r="AE662" i="68"/>
  <c r="X175" i="68"/>
  <c r="AA166" i="68"/>
  <c r="U221" i="68"/>
  <c r="I674" i="68"/>
  <c r="AA230" i="68"/>
  <c r="K221" i="68"/>
  <c r="O440" i="68"/>
  <c r="K157" i="68"/>
  <c r="U157" i="68"/>
  <c r="X385" i="68"/>
  <c r="AC160" i="68"/>
  <c r="N665" i="68"/>
  <c r="N601" i="68"/>
  <c r="Y230" i="68"/>
  <c r="AC559" i="68"/>
  <c r="AH610" i="68"/>
  <c r="AC623" i="68"/>
  <c r="M391" i="68"/>
  <c r="M446" i="68"/>
  <c r="Q230" i="68"/>
  <c r="M455" i="68"/>
  <c r="Q166" i="68"/>
  <c r="AE169" i="68"/>
  <c r="AE233" i="68"/>
  <c r="Y166" i="68"/>
  <c r="X452" i="68"/>
  <c r="X388" i="68"/>
  <c r="M382" i="68"/>
  <c r="U559" i="68"/>
  <c r="M163" i="68"/>
  <c r="J175" i="68"/>
  <c r="U623" i="68"/>
  <c r="M227" i="68"/>
  <c r="J239" i="68"/>
  <c r="AC224" i="68"/>
  <c r="K239" i="68"/>
  <c r="Y662" i="68"/>
  <c r="W613" i="68"/>
  <c r="AF388" i="68"/>
  <c r="P394" i="68"/>
  <c r="V601" i="68"/>
  <c r="J394" i="68"/>
  <c r="Y169" i="68"/>
  <c r="AH659" i="68"/>
  <c r="W677" i="68"/>
  <c r="AF452" i="68"/>
  <c r="AH595" i="68"/>
  <c r="N394" i="68"/>
  <c r="Q601" i="68"/>
  <c r="Q665" i="68"/>
  <c r="K340" i="68"/>
  <c r="Y233" i="68"/>
  <c r="M613" i="68"/>
  <c r="AD604" i="68"/>
  <c r="Z394" i="68"/>
  <c r="M677" i="68"/>
  <c r="AD668" i="68"/>
  <c r="Z458" i="68"/>
  <c r="AH121" i="68"/>
  <c r="X57" i="68"/>
  <c r="X120" i="68"/>
  <c r="X184" i="68" s="1"/>
  <c r="P663" i="68"/>
  <c r="P665" i="68" s="1"/>
  <c r="P601" i="68"/>
  <c r="R225" i="68"/>
  <c r="R227" i="68" s="1"/>
  <c r="R163" i="68"/>
  <c r="Z49" i="68"/>
  <c r="Z52" i="68"/>
  <c r="Z53" i="68"/>
  <c r="Z117" i="68" s="1"/>
  <c r="Z181" i="68" s="1"/>
  <c r="X294" i="68"/>
  <c r="X356" i="68"/>
  <c r="AH417" i="68"/>
  <c r="AH419" i="68" s="1"/>
  <c r="AH355" i="68"/>
  <c r="Q306" i="68"/>
  <c r="Q368" i="68"/>
  <c r="AB444" i="68"/>
  <c r="AB446" i="68" s="1"/>
  <c r="AB382" i="68"/>
  <c r="T216" i="68"/>
  <c r="T218" i="68" s="1"/>
  <c r="T154" i="68"/>
  <c r="O237" i="68"/>
  <c r="O239" i="68" s="1"/>
  <c r="O175" i="68"/>
  <c r="K610" i="68"/>
  <c r="K672" i="68"/>
  <c r="K674" i="68" s="1"/>
  <c r="AC627" i="68"/>
  <c r="AC629" i="68" s="1"/>
  <c r="AC565" i="68"/>
  <c r="O228" i="68"/>
  <c r="O230" i="68" s="1"/>
  <c r="O166" i="68"/>
  <c r="AG657" i="68"/>
  <c r="AG659" i="68" s="1"/>
  <c r="AG595" i="68"/>
  <c r="P271" i="68"/>
  <c r="P272" i="68"/>
  <c r="P336" i="68" s="1"/>
  <c r="P400" i="68" s="1"/>
  <c r="AG654" i="68"/>
  <c r="AG656" i="68" s="1"/>
  <c r="AG592" i="68"/>
  <c r="I279" i="68"/>
  <c r="I341" i="68"/>
  <c r="Y225" i="68"/>
  <c r="Y227" i="68" s="1"/>
  <c r="Y163" i="68"/>
  <c r="S382" i="68"/>
  <c r="S444" i="68"/>
  <c r="S446" i="68" s="1"/>
  <c r="AD330" i="68"/>
  <c r="AD392" i="68"/>
  <c r="P268" i="68"/>
  <c r="AA639" i="68"/>
  <c r="AA641" i="68" s="1"/>
  <c r="AA577" i="68"/>
  <c r="I300" i="68"/>
  <c r="I362" i="68"/>
  <c r="T408" i="68"/>
  <c r="T410" i="68" s="1"/>
  <c r="T346" i="68"/>
  <c r="Q438" i="68"/>
  <c r="Q440" i="68" s="1"/>
  <c r="Q376" i="68"/>
  <c r="M189" i="68"/>
  <c r="M191" i="68" s="1"/>
  <c r="M127" i="68"/>
  <c r="R358" i="68"/>
  <c r="R420" i="68"/>
  <c r="R422" i="68" s="1"/>
  <c r="P528" i="68"/>
  <c r="P590" i="68"/>
  <c r="S385" i="68"/>
  <c r="S447" i="68"/>
  <c r="S449" i="68" s="1"/>
  <c r="L376" i="68"/>
  <c r="L438" i="68"/>
  <c r="L440" i="68" s="1"/>
  <c r="AC411" i="68"/>
  <c r="AC413" i="68" s="1"/>
  <c r="AC349" i="68"/>
  <c r="O513" i="68"/>
  <c r="O575" i="68"/>
  <c r="V216" i="68"/>
  <c r="V218" i="68" s="1"/>
  <c r="V154" i="68"/>
  <c r="P543" i="68"/>
  <c r="P605" i="68"/>
  <c r="S549" i="68"/>
  <c r="S611" i="68"/>
  <c r="X183" i="68"/>
  <c r="K429" i="68"/>
  <c r="K431" i="68" s="1"/>
  <c r="K367" i="68"/>
  <c r="AH513" i="68"/>
  <c r="AH575" i="68"/>
  <c r="N315" i="68"/>
  <c r="N377" i="68"/>
  <c r="N447" i="68"/>
  <c r="I186" i="68"/>
  <c r="I188" i="68" s="1"/>
  <c r="I124" i="68"/>
  <c r="Z528" i="68"/>
  <c r="Z590" i="68"/>
  <c r="AH633" i="68"/>
  <c r="AH635" i="68" s="1"/>
  <c r="AH571" i="68"/>
  <c r="I183" i="68"/>
  <c r="I185" i="68" s="1"/>
  <c r="I121" i="68"/>
  <c r="Z300" i="68"/>
  <c r="Z362" i="68"/>
  <c r="AH414" i="68"/>
  <c r="AH416" i="68" s="1"/>
  <c r="AH352" i="68"/>
  <c r="Q495" i="68"/>
  <c r="Q558" i="68"/>
  <c r="Q622" i="68" s="1"/>
  <c r="O624" i="68"/>
  <c r="O626" i="68" s="1"/>
  <c r="O562" i="68"/>
  <c r="AF367" i="68"/>
  <c r="AF429" i="68"/>
  <c r="AF431" i="68" s="1"/>
  <c r="R423" i="68"/>
  <c r="R425" i="68" s="1"/>
  <c r="R361" i="68"/>
  <c r="T306" i="68"/>
  <c r="T368" i="68"/>
  <c r="L507" i="68"/>
  <c r="L569" i="68"/>
  <c r="W657" i="68"/>
  <c r="W659" i="68" s="1"/>
  <c r="W595" i="68"/>
  <c r="I228" i="68"/>
  <c r="I230" i="68" s="1"/>
  <c r="I166" i="68"/>
  <c r="L225" i="68"/>
  <c r="L227" i="68" s="1"/>
  <c r="L163" i="68"/>
  <c r="Q546" i="68"/>
  <c r="Q609" i="68"/>
  <c r="Q673" i="68" s="1"/>
  <c r="M510" i="68"/>
  <c r="M572" i="68"/>
  <c r="AF228" i="68"/>
  <c r="AF230" i="68" s="1"/>
  <c r="AF166" i="68"/>
  <c r="AF438" i="68"/>
  <c r="AF440" i="68" s="1"/>
  <c r="AF376" i="68"/>
  <c r="V491" i="68"/>
  <c r="V555" i="68" s="1"/>
  <c r="V619" i="68" s="1"/>
  <c r="V490" i="68"/>
  <c r="V487" i="68"/>
  <c r="Z495" i="68"/>
  <c r="Z557" i="68"/>
  <c r="O272" i="68"/>
  <c r="O336" i="68" s="1"/>
  <c r="O400" i="68" s="1"/>
  <c r="O268" i="68"/>
  <c r="O271" i="68"/>
  <c r="S312" i="68"/>
  <c r="S374" i="68"/>
  <c r="U636" i="68"/>
  <c r="U638" i="68" s="1"/>
  <c r="U574" i="68"/>
  <c r="K234" i="68"/>
  <c r="K236" i="68" s="1"/>
  <c r="K172" i="68"/>
  <c r="R675" i="68"/>
  <c r="R677" i="68" s="1"/>
  <c r="R613" i="68"/>
  <c r="L642" i="68"/>
  <c r="L644" i="68" s="1"/>
  <c r="L580" i="68"/>
  <c r="X297" i="68"/>
  <c r="X359" i="68"/>
  <c r="W53" i="68"/>
  <c r="W117" i="68" s="1"/>
  <c r="W181" i="68" s="1"/>
  <c r="W49" i="68"/>
  <c r="W52" i="68"/>
  <c r="X327" i="68"/>
  <c r="X389" i="68"/>
  <c r="AC598" i="68"/>
  <c r="AC660" i="68"/>
  <c r="AC662" i="68" s="1"/>
  <c r="W663" i="68"/>
  <c r="W665" i="68" s="1"/>
  <c r="W601" i="68"/>
  <c r="AC192" i="68"/>
  <c r="AC194" i="68" s="1"/>
  <c r="AC130" i="68"/>
  <c r="M543" i="68"/>
  <c r="M605" i="68"/>
  <c r="P327" i="68"/>
  <c r="P389" i="68"/>
  <c r="Y666" i="68"/>
  <c r="Y668" i="68" s="1"/>
  <c r="Y604" i="68"/>
  <c r="AF642" i="68"/>
  <c r="AF644" i="68" s="1"/>
  <c r="AF580" i="68"/>
  <c r="X343" i="68"/>
  <c r="X405" i="68"/>
  <c r="X407" i="68" s="1"/>
  <c r="K456" i="68"/>
  <c r="K458" i="68" s="1"/>
  <c r="K394" i="68"/>
  <c r="T318" i="68"/>
  <c r="T380" i="68"/>
  <c r="K491" i="68"/>
  <c r="K555" i="68" s="1"/>
  <c r="K619" i="68" s="1"/>
  <c r="K490" i="68"/>
  <c r="AF276" i="68"/>
  <c r="AF338" i="68"/>
  <c r="L534" i="68"/>
  <c r="L596" i="68"/>
  <c r="M324" i="68"/>
  <c r="M386" i="68"/>
  <c r="U429" i="68"/>
  <c r="U431" i="68" s="1"/>
  <c r="U367" i="68"/>
  <c r="AC228" i="68"/>
  <c r="AC230" i="68" s="1"/>
  <c r="AC166" i="68"/>
  <c r="Q411" i="68"/>
  <c r="Q413" i="68" s="1"/>
  <c r="Q349" i="68"/>
  <c r="AD373" i="68"/>
  <c r="AD435" i="68"/>
  <c r="AD437" i="68" s="1"/>
  <c r="O402" i="68"/>
  <c r="O404" i="68" s="1"/>
  <c r="O340" i="68"/>
  <c r="AH429" i="68"/>
  <c r="AH431" i="68" s="1"/>
  <c r="AH367" i="68"/>
  <c r="X300" i="68"/>
  <c r="X362" i="68"/>
  <c r="I330" i="68"/>
  <c r="I392" i="68"/>
  <c r="I621" i="68"/>
  <c r="R501" i="68"/>
  <c r="R563" i="68"/>
  <c r="T513" i="68"/>
  <c r="T575" i="68"/>
  <c r="AH201" i="68"/>
  <c r="AH203" i="68" s="1"/>
  <c r="AH139" i="68"/>
  <c r="X52" i="68"/>
  <c r="X53" i="68"/>
  <c r="X117" i="68" s="1"/>
  <c r="X181" i="68" s="1"/>
  <c r="X49" i="68"/>
  <c r="S414" i="68"/>
  <c r="S416" i="68" s="1"/>
  <c r="S352" i="68"/>
  <c r="AB663" i="68"/>
  <c r="AB665" i="68" s="1"/>
  <c r="AB601" i="68"/>
  <c r="I648" i="68"/>
  <c r="I650" i="68" s="1"/>
  <c r="I586" i="68"/>
  <c r="L324" i="68"/>
  <c r="L386" i="68"/>
  <c r="V672" i="68"/>
  <c r="V674" i="68" s="1"/>
  <c r="V610" i="68"/>
  <c r="V355" i="68"/>
  <c r="V417" i="68"/>
  <c r="V419" i="68" s="1"/>
  <c r="AF633" i="68"/>
  <c r="AF635" i="68" s="1"/>
  <c r="AF571" i="68"/>
  <c r="Y364" i="68"/>
  <c r="Y426" i="68"/>
  <c r="Y428" i="68" s="1"/>
  <c r="N183" i="68"/>
  <c r="N185" i="68" s="1"/>
  <c r="N121" i="68"/>
  <c r="J231" i="68"/>
  <c r="J233" i="68" s="1"/>
  <c r="J169" i="68"/>
  <c r="AC53" i="68"/>
  <c r="AC117" i="68" s="1"/>
  <c r="AC181" i="68" s="1"/>
  <c r="AC49" i="68"/>
  <c r="AC52" i="68"/>
  <c r="AA315" i="68"/>
  <c r="AA377" i="68"/>
  <c r="Z340" i="68"/>
  <c r="Z402" i="68"/>
  <c r="Z404" i="68" s="1"/>
  <c r="S282" i="68"/>
  <c r="S344" i="68"/>
  <c r="Y456" i="68"/>
  <c r="Y458" i="68" s="1"/>
  <c r="Y394" i="68"/>
  <c r="P405" i="68"/>
  <c r="P407" i="68" s="1"/>
  <c r="P343" i="68"/>
  <c r="AC216" i="68"/>
  <c r="AC218" i="68" s="1"/>
  <c r="AC154" i="68"/>
  <c r="L441" i="68"/>
  <c r="L443" i="68" s="1"/>
  <c r="L379" i="68"/>
  <c r="V405" i="68"/>
  <c r="V407" i="68" s="1"/>
  <c r="V343" i="68"/>
  <c r="AH52" i="68"/>
  <c r="AH53" i="68"/>
  <c r="AH117" i="68" s="1"/>
  <c r="AH181" i="68" s="1"/>
  <c r="AH49" i="68"/>
  <c r="L276" i="68"/>
  <c r="L338" i="68"/>
  <c r="AB672" i="68"/>
  <c r="X192" i="68"/>
  <c r="X194" i="68" s="1"/>
  <c r="X130" i="68"/>
  <c r="V426" i="68"/>
  <c r="V428" i="68" s="1"/>
  <c r="V364" i="68"/>
  <c r="AA231" i="68"/>
  <c r="AA233" i="68" s="1"/>
  <c r="AA169" i="68"/>
  <c r="M447" i="68"/>
  <c r="M449" i="68" s="1"/>
  <c r="M385" i="68"/>
  <c r="Z183" i="68"/>
  <c r="Z185" i="68" s="1"/>
  <c r="Z121" i="68"/>
  <c r="M192" i="68"/>
  <c r="M194" i="68" s="1"/>
  <c r="M130" i="68"/>
  <c r="L423" i="68"/>
  <c r="L425" i="68" s="1"/>
  <c r="L361" i="68"/>
  <c r="U519" i="68"/>
  <c r="U581" i="68"/>
  <c r="I411" i="68"/>
  <c r="I413" i="68" s="1"/>
  <c r="I349" i="68"/>
  <c r="R272" i="68"/>
  <c r="R336" i="68" s="1"/>
  <c r="R400" i="68" s="1"/>
  <c r="R271" i="68"/>
  <c r="R268" i="68"/>
  <c r="Q309" i="68"/>
  <c r="Q371" i="68"/>
  <c r="Z285" i="68"/>
  <c r="Z347" i="68"/>
  <c r="AE549" i="68"/>
  <c r="AE611" i="68"/>
  <c r="Z321" i="68"/>
  <c r="Z383" i="68"/>
  <c r="I294" i="68"/>
  <c r="I356" i="68"/>
  <c r="AD420" i="68"/>
  <c r="AD422" i="68" s="1"/>
  <c r="AD358" i="68"/>
  <c r="O414" i="68"/>
  <c r="O416" i="68" s="1"/>
  <c r="O352" i="68"/>
  <c r="K642" i="68"/>
  <c r="K644" i="68" s="1"/>
  <c r="K580" i="68"/>
  <c r="R435" i="68"/>
  <c r="R437" i="68" s="1"/>
  <c r="R373" i="68"/>
  <c r="AA183" i="68"/>
  <c r="AA185" i="68" s="1"/>
  <c r="AA121" i="68"/>
  <c r="O346" i="68"/>
  <c r="O408" i="68"/>
  <c r="O410" i="68" s="1"/>
  <c r="I568" i="68"/>
  <c r="I630" i="68"/>
  <c r="I632" i="68" s="1"/>
  <c r="AF586" i="68"/>
  <c r="AF648" i="68"/>
  <c r="AF650" i="68" s="1"/>
  <c r="AH491" i="68"/>
  <c r="AH555" i="68" s="1"/>
  <c r="AH619" i="68" s="1"/>
  <c r="AH490" i="68"/>
  <c r="AH487" i="68"/>
  <c r="N285" i="68"/>
  <c r="N347" i="68"/>
  <c r="W411" i="68"/>
  <c r="W413" i="68" s="1"/>
  <c r="W349" i="68"/>
  <c r="AG456" i="68"/>
  <c r="AG458" i="68" s="1"/>
  <c r="AG394" i="68"/>
  <c r="N522" i="68"/>
  <c r="N584" i="68"/>
  <c r="R405" i="68"/>
  <c r="R407" i="68" s="1"/>
  <c r="R343" i="68"/>
  <c r="AB654" i="68"/>
  <c r="AB656" i="68" s="1"/>
  <c r="AB592" i="68"/>
  <c r="AC330" i="68"/>
  <c r="AC393" i="68"/>
  <c r="AC457" i="68" s="1"/>
  <c r="AE192" i="68"/>
  <c r="AE194" i="68" s="1"/>
  <c r="AE130" i="68"/>
  <c r="AG343" i="68"/>
  <c r="AG405" i="68"/>
  <c r="AG407" i="68" s="1"/>
  <c r="Z549" i="68"/>
  <c r="Z612" i="68"/>
  <c r="Z676" i="68" s="1"/>
  <c r="AE370" i="68"/>
  <c r="AE432" i="68"/>
  <c r="AE434" i="68" s="1"/>
  <c r="U675" i="68"/>
  <c r="U677" i="68" s="1"/>
  <c r="U613" i="68"/>
  <c r="AD376" i="68"/>
  <c r="Y549" i="68"/>
  <c r="Y611" i="68"/>
  <c r="X411" i="68"/>
  <c r="X413" i="68" s="1"/>
  <c r="X349" i="68"/>
  <c r="U491" i="68"/>
  <c r="U555" i="68" s="1"/>
  <c r="U619" i="68" s="1"/>
  <c r="U490" i="68"/>
  <c r="U487" i="68"/>
  <c r="N458" i="68"/>
  <c r="AH297" i="68"/>
  <c r="AH359" i="68"/>
  <c r="I501" i="68"/>
  <c r="I563" i="68"/>
  <c r="M237" i="68"/>
  <c r="M239" i="68" s="1"/>
  <c r="M175" i="68"/>
  <c r="AD300" i="68"/>
  <c r="AD362" i="68"/>
  <c r="J458" i="68"/>
  <c r="AF549" i="68"/>
  <c r="AF611" i="68"/>
  <c r="AG315" i="68"/>
  <c r="AG377" i="68"/>
  <c r="X498" i="68"/>
  <c r="X560" i="68"/>
  <c r="AH185" i="68"/>
  <c r="AA516" i="68"/>
  <c r="AA578" i="68"/>
  <c r="K210" i="68"/>
  <c r="K212" i="68" s="1"/>
  <c r="K148" i="68"/>
  <c r="S648" i="68"/>
  <c r="S650" i="68" s="1"/>
  <c r="S586" i="68"/>
  <c r="AA327" i="68"/>
  <c r="AA389" i="68"/>
  <c r="M222" i="68"/>
  <c r="M224" i="68" s="1"/>
  <c r="M160" i="68"/>
  <c r="O411" i="68"/>
  <c r="O413" i="68" s="1"/>
  <c r="O349" i="68"/>
  <c r="V636" i="68"/>
  <c r="V638" i="68" s="1"/>
  <c r="V574" i="68"/>
  <c r="N306" i="68"/>
  <c r="N368" i="68"/>
  <c r="AE546" i="68"/>
  <c r="AE608" i="68"/>
  <c r="Y315" i="68"/>
  <c r="Y377" i="68"/>
  <c r="Y537" i="68"/>
  <c r="Y599" i="68"/>
  <c r="AF234" i="68"/>
  <c r="AF236" i="68" s="1"/>
  <c r="AF172" i="68"/>
  <c r="AB453" i="68"/>
  <c r="O450" i="68"/>
  <c r="O452" i="68" s="1"/>
  <c r="O388" i="68"/>
  <c r="S420" i="68"/>
  <c r="S422" i="68" s="1"/>
  <c r="S358" i="68"/>
  <c r="AA272" i="68"/>
  <c r="AA336" i="68" s="1"/>
  <c r="AA400" i="68" s="1"/>
  <c r="AA271" i="68"/>
  <c r="AA268" i="68"/>
  <c r="AD645" i="68"/>
  <c r="AD647" i="68" s="1"/>
  <c r="AD583" i="68"/>
  <c r="L201" i="68"/>
  <c r="L203" i="68" s="1"/>
  <c r="L139" i="68"/>
  <c r="AG627" i="68"/>
  <c r="AG629" i="68" s="1"/>
  <c r="AG565" i="68"/>
  <c r="P657" i="68"/>
  <c r="P659" i="68" s="1"/>
  <c r="P595" i="68"/>
  <c r="V639" i="68"/>
  <c r="V641" i="68" s="1"/>
  <c r="V577" i="68"/>
  <c r="T519" i="68"/>
  <c r="T581" i="68"/>
  <c r="J183" i="68"/>
  <c r="J185" i="68" s="1"/>
  <c r="J121" i="68"/>
  <c r="K648" i="68"/>
  <c r="K650" i="68" s="1"/>
  <c r="K586" i="68"/>
  <c r="Y574" i="68"/>
  <c r="Y636" i="68"/>
  <c r="Y638" i="68" s="1"/>
  <c r="W453" i="68"/>
  <c r="W455" i="68" s="1"/>
  <c r="W391" i="68"/>
  <c r="AE519" i="68"/>
  <c r="AE581" i="68"/>
  <c r="L49" i="68"/>
  <c r="L52" i="68"/>
  <c r="L53" i="68"/>
  <c r="L117" i="68" s="1"/>
  <c r="L181" i="68" s="1"/>
  <c r="V420" i="68"/>
  <c r="V422" i="68" s="1"/>
  <c r="V358" i="68"/>
  <c r="AE522" i="68"/>
  <c r="AE584" i="68"/>
  <c r="L237" i="68"/>
  <c r="L239" i="68" s="1"/>
  <c r="L175" i="68"/>
  <c r="AF432" i="68"/>
  <c r="AF434" i="68" s="1"/>
  <c r="AF370" i="68"/>
  <c r="O444" i="68"/>
  <c r="O446" i="68" s="1"/>
  <c r="O382" i="68"/>
  <c r="Z490" i="68"/>
  <c r="Z491" i="68"/>
  <c r="Z555" i="68" s="1"/>
  <c r="Z619" i="68" s="1"/>
  <c r="Z487" i="68"/>
  <c r="AA435" i="68"/>
  <c r="AA437" i="68" s="1"/>
  <c r="AA373" i="68"/>
  <c r="AA519" i="68"/>
  <c r="AA581" i="68"/>
  <c r="AF636" i="68"/>
  <c r="AF638" i="68" s="1"/>
  <c r="AF574" i="68"/>
  <c r="W546" i="68"/>
  <c r="W608" i="68"/>
  <c r="O491" i="68"/>
  <c r="O555" i="68" s="1"/>
  <c r="O619" i="68" s="1"/>
  <c r="O490" i="68"/>
  <c r="O487" i="68"/>
  <c r="V568" i="68"/>
  <c r="V630" i="68"/>
  <c r="V632" i="68" s="1"/>
  <c r="W315" i="68"/>
  <c r="W377" i="68"/>
  <c r="M288" i="68"/>
  <c r="M350" i="68"/>
  <c r="AB414" i="68"/>
  <c r="AB416" i="68" s="1"/>
  <c r="AB352" i="68"/>
  <c r="V349" i="68"/>
  <c r="V411" i="68"/>
  <c r="V413" i="68" s="1"/>
  <c r="L291" i="68"/>
  <c r="L353" i="68"/>
  <c r="Q621" i="68"/>
  <c r="W540" i="68"/>
  <c r="W602" i="68"/>
  <c r="Q672" i="68"/>
  <c r="W636" i="68"/>
  <c r="W638" i="68" s="1"/>
  <c r="W574" i="68"/>
  <c r="W568" i="68"/>
  <c r="W630" i="68"/>
  <c r="W632" i="68" s="1"/>
  <c r="R237" i="68"/>
  <c r="R239" i="68" s="1"/>
  <c r="R175" i="68"/>
  <c r="I382" i="68"/>
  <c r="I444" i="68"/>
  <c r="I446" i="68" s="1"/>
  <c r="AD654" i="68"/>
  <c r="AD656" i="68" s="1"/>
  <c r="AD592" i="68"/>
  <c r="R490" i="68"/>
  <c r="R491" i="68"/>
  <c r="R555" i="68" s="1"/>
  <c r="R619" i="68" s="1"/>
  <c r="R487" i="68"/>
  <c r="J423" i="68"/>
  <c r="J425" i="68" s="1"/>
  <c r="J361" i="68"/>
  <c r="Z204" i="68"/>
  <c r="Z206" i="68" s="1"/>
  <c r="Z142" i="68"/>
  <c r="S636" i="68"/>
  <c r="S638" i="68" s="1"/>
  <c r="S574" i="68"/>
  <c r="K294" i="68"/>
  <c r="K356" i="68"/>
  <c r="N189" i="68"/>
  <c r="N191" i="68" s="1"/>
  <c r="N127" i="68"/>
  <c r="I195" i="68"/>
  <c r="I197" i="68" s="1"/>
  <c r="I133" i="68"/>
  <c r="AD630" i="68"/>
  <c r="AD632" i="68" s="1"/>
  <c r="AD568" i="68"/>
  <c r="S189" i="68"/>
  <c r="S191" i="68" s="1"/>
  <c r="S127" i="68"/>
  <c r="I589" i="68"/>
  <c r="I651" i="68"/>
  <c r="I653" i="68" s="1"/>
  <c r="AF621" i="68"/>
  <c r="AF623" i="68" s="1"/>
  <c r="AF559" i="68"/>
  <c r="T537" i="68"/>
  <c r="T600" i="68"/>
  <c r="T664" i="68" s="1"/>
  <c r="Z432" i="68"/>
  <c r="Z434" i="68" s="1"/>
  <c r="Z370" i="68"/>
  <c r="P186" i="68"/>
  <c r="P188" i="68" s="1"/>
  <c r="P124" i="68"/>
  <c r="V534" i="68"/>
  <c r="V597" i="68"/>
  <c r="V661" i="68" s="1"/>
  <c r="AD537" i="68"/>
  <c r="AD599" i="68"/>
  <c r="Z577" i="68"/>
  <c r="Z639" i="68"/>
  <c r="Z641" i="68" s="1"/>
  <c r="J364" i="68"/>
  <c r="J426" i="68"/>
  <c r="J428" i="68" s="1"/>
  <c r="R276" i="68"/>
  <c r="R338" i="68"/>
  <c r="AC648" i="68"/>
  <c r="AC650" i="68" s="1"/>
  <c r="AC586" i="68"/>
  <c r="U577" i="68"/>
  <c r="U639" i="68"/>
  <c r="U641" i="68" s="1"/>
  <c r="K630" i="68"/>
  <c r="K632" i="68" s="1"/>
  <c r="K568" i="68"/>
  <c r="AH189" i="68"/>
  <c r="AH191" i="68" s="1"/>
  <c r="AH127" i="68"/>
  <c r="N666" i="68"/>
  <c r="N668" i="68" s="1"/>
  <c r="N604" i="68"/>
  <c r="K651" i="68"/>
  <c r="K653" i="68" s="1"/>
  <c r="K589" i="68"/>
  <c r="R417" i="68"/>
  <c r="R419" i="68" s="1"/>
  <c r="R355" i="68"/>
  <c r="U228" i="68"/>
  <c r="U230" i="68" s="1"/>
  <c r="U166" i="68"/>
  <c r="AD525" i="68"/>
  <c r="AD587" i="68"/>
  <c r="AC613" i="68"/>
  <c r="AC675" i="68"/>
  <c r="AC677" i="68" s="1"/>
  <c r="R546" i="68"/>
  <c r="R608" i="68"/>
  <c r="L621" i="68"/>
  <c r="L623" i="68" s="1"/>
  <c r="L559" i="68"/>
  <c r="T222" i="68"/>
  <c r="T224" i="68" s="1"/>
  <c r="T160" i="68"/>
  <c r="O432" i="68"/>
  <c r="O434" i="68" s="1"/>
  <c r="O370" i="68"/>
  <c r="I324" i="68"/>
  <c r="I386" i="68"/>
  <c r="Z282" i="68"/>
  <c r="Z344" i="68"/>
  <c r="V531" i="68"/>
  <c r="V594" i="68"/>
  <c r="V658" i="68" s="1"/>
  <c r="AF291" i="68"/>
  <c r="AF353" i="68"/>
  <c r="AF531" i="68"/>
  <c r="AF593" i="68"/>
  <c r="J441" i="68"/>
  <c r="J443" i="68" s="1"/>
  <c r="J379" i="68"/>
  <c r="L648" i="68"/>
  <c r="L650" i="68" s="1"/>
  <c r="L586" i="68"/>
  <c r="S405" i="68"/>
  <c r="S407" i="68" s="1"/>
  <c r="S343" i="68"/>
  <c r="Q513" i="68"/>
  <c r="Q575" i="68"/>
  <c r="O621" i="68"/>
  <c r="O623" i="68" s="1"/>
  <c r="O559" i="68"/>
  <c r="Z219" i="68"/>
  <c r="Z221" i="68" s="1"/>
  <c r="Z157" i="68"/>
  <c r="U417" i="68"/>
  <c r="U419" i="68" s="1"/>
  <c r="U355" i="68"/>
  <c r="AE543" i="68"/>
  <c r="AE605" i="68"/>
  <c r="X586" i="68"/>
  <c r="X648" i="68"/>
  <c r="X650" i="68" s="1"/>
  <c r="Y487" i="68"/>
  <c r="Y490" i="68"/>
  <c r="Y491" i="68"/>
  <c r="Y555" i="68" s="1"/>
  <c r="Y619" i="68" s="1"/>
  <c r="W627" i="68"/>
  <c r="W629" i="68" s="1"/>
  <c r="W565" i="68"/>
  <c r="J324" i="68"/>
  <c r="J386" i="68"/>
  <c r="P370" i="68"/>
  <c r="P432" i="68"/>
  <c r="P434" i="68" s="1"/>
  <c r="J522" i="68"/>
  <c r="J584" i="68"/>
  <c r="X282" i="68"/>
  <c r="X344" i="68"/>
  <c r="T627" i="68"/>
  <c r="T629" i="68" s="1"/>
  <c r="T565" i="68"/>
  <c r="AG559" i="68"/>
  <c r="AG621" i="68"/>
  <c r="AG623" i="68" s="1"/>
  <c r="K645" i="68"/>
  <c r="K647" i="68" s="1"/>
  <c r="K583" i="68"/>
  <c r="U186" i="68"/>
  <c r="U188" i="68" s="1"/>
  <c r="U124" i="68"/>
  <c r="AD321" i="68"/>
  <c r="AD383" i="68"/>
  <c r="AC513" i="68"/>
  <c r="AC575" i="68"/>
  <c r="O633" i="68"/>
  <c r="O635" i="68" s="1"/>
  <c r="O571" i="68"/>
  <c r="U528" i="68"/>
  <c r="U590" i="68"/>
  <c r="X519" i="68"/>
  <c r="X581" i="68"/>
  <c r="O589" i="68"/>
  <c r="O651" i="68"/>
  <c r="O653" i="68" s="1"/>
  <c r="AD346" i="68"/>
  <c r="AD408" i="68"/>
  <c r="AD410" i="68" s="1"/>
  <c r="U624" i="68"/>
  <c r="U626" i="68" s="1"/>
  <c r="U562" i="68"/>
  <c r="R53" i="68"/>
  <c r="R117" i="68" s="1"/>
  <c r="R181" i="68" s="1"/>
  <c r="R52" i="68"/>
  <c r="R49" i="68"/>
  <c r="AE53" i="68"/>
  <c r="AE117" i="68" s="1"/>
  <c r="AE181" i="68" s="1"/>
  <c r="AE52" i="68"/>
  <c r="AE49" i="68"/>
  <c r="T327" i="68"/>
  <c r="T389" i="68"/>
  <c r="AH315" i="68"/>
  <c r="AH377" i="68"/>
  <c r="Q297" i="68"/>
  <c r="Q359" i="68"/>
  <c r="L195" i="68"/>
  <c r="L197" i="68" s="1"/>
  <c r="L133" i="68"/>
  <c r="AD315" i="68"/>
  <c r="AD377" i="68"/>
  <c r="AB666" i="68"/>
  <c r="AB668" i="68" s="1"/>
  <c r="AB604" i="68"/>
  <c r="T349" i="68"/>
  <c r="T411" i="68"/>
  <c r="T413" i="68" s="1"/>
  <c r="V432" i="68"/>
  <c r="V434" i="68" s="1"/>
  <c r="V370" i="68"/>
  <c r="T562" i="68"/>
  <c r="T624" i="68"/>
  <c r="T626" i="68" s="1"/>
  <c r="Y657" i="68"/>
  <c r="Y659" i="68" s="1"/>
  <c r="Y595" i="68"/>
  <c r="N657" i="68"/>
  <c r="N659" i="68" s="1"/>
  <c r="N595" i="68"/>
  <c r="M583" i="68"/>
  <c r="M645" i="68"/>
  <c r="M647" i="68" s="1"/>
  <c r="K666" i="68"/>
  <c r="K668" i="68" s="1"/>
  <c r="K604" i="68"/>
  <c r="J562" i="68"/>
  <c r="J624" i="68"/>
  <c r="J626" i="68" s="1"/>
  <c r="J453" i="68"/>
  <c r="J455" i="68" s="1"/>
  <c r="J391" i="68"/>
  <c r="L408" i="68"/>
  <c r="L410" i="68" s="1"/>
  <c r="L346" i="68"/>
  <c r="AB408" i="68"/>
  <c r="AB410" i="68" s="1"/>
  <c r="AB346" i="68"/>
  <c r="N201" i="68"/>
  <c r="N203" i="68" s="1"/>
  <c r="N139" i="68"/>
  <c r="AB660" i="68"/>
  <c r="AB662" i="68" s="1"/>
  <c r="AB598" i="68"/>
  <c r="O309" i="68"/>
  <c r="O371" i="68"/>
  <c r="X565" i="68"/>
  <c r="X627" i="68"/>
  <c r="X629" i="68" s="1"/>
  <c r="X312" i="68"/>
  <c r="X374" i="68"/>
  <c r="I577" i="68"/>
  <c r="I639" i="68"/>
  <c r="I641" i="68" s="1"/>
  <c r="T534" i="68"/>
  <c r="T596" i="68"/>
  <c r="K282" i="68"/>
  <c r="K344" i="68"/>
  <c r="N276" i="68"/>
  <c r="N338" i="68"/>
  <c r="V528" i="68"/>
  <c r="V590" i="68"/>
  <c r="S300" i="68"/>
  <c r="S362" i="68"/>
  <c r="P195" i="68"/>
  <c r="P197" i="68" s="1"/>
  <c r="P133" i="68"/>
  <c r="P355" i="68"/>
  <c r="P417" i="68"/>
  <c r="P419" i="68" s="1"/>
  <c r="Y186" i="68"/>
  <c r="Y188" i="68" s="1"/>
  <c r="Y124" i="68"/>
  <c r="AB490" i="68"/>
  <c r="AB491" i="68"/>
  <c r="AB555" i="68" s="1"/>
  <c r="AB619" i="68" s="1"/>
  <c r="AB487" i="68"/>
  <c r="T330" i="68"/>
  <c r="T392" i="68"/>
  <c r="AC456" i="68"/>
  <c r="Z675" i="68"/>
  <c r="AD440" i="68"/>
  <c r="Y565" i="68"/>
  <c r="Y627" i="68"/>
  <c r="Y629" i="68" s="1"/>
  <c r="AE228" i="68"/>
  <c r="AE230" i="68" s="1"/>
  <c r="AE166" i="68"/>
  <c r="M522" i="68"/>
  <c r="M584" i="68"/>
  <c r="I408" i="68"/>
  <c r="I410" i="68" s="1"/>
  <c r="I346" i="68"/>
  <c r="J385" i="68"/>
  <c r="S654" i="68"/>
  <c r="S656" i="68" s="1"/>
  <c r="S592" i="68"/>
  <c r="J207" i="68"/>
  <c r="J209" i="68" s="1"/>
  <c r="J145" i="68"/>
  <c r="AC358" i="68"/>
  <c r="AC420" i="68"/>
  <c r="AC422" i="68" s="1"/>
  <c r="Z315" i="68"/>
  <c r="Z377" i="68"/>
  <c r="AA303" i="68"/>
  <c r="AA365" i="68"/>
  <c r="AH498" i="68"/>
  <c r="AH560" i="68"/>
  <c r="S231" i="68"/>
  <c r="S233" i="68" s="1"/>
  <c r="S169" i="68"/>
  <c r="P636" i="68"/>
  <c r="P638" i="68" s="1"/>
  <c r="P574" i="68"/>
  <c r="AD53" i="68"/>
  <c r="AD117" i="68" s="1"/>
  <c r="AD181" i="68" s="1"/>
  <c r="AD52" i="68"/>
  <c r="AD49" i="68"/>
  <c r="Y340" i="68"/>
  <c r="Y402" i="68"/>
  <c r="Y404" i="68" s="1"/>
  <c r="O192" i="68"/>
  <c r="O194" i="68" s="1"/>
  <c r="O130" i="68"/>
  <c r="W458" i="68"/>
  <c r="N450" i="68"/>
  <c r="N452" i="68" s="1"/>
  <c r="N388" i="68"/>
  <c r="N160" i="68"/>
  <c r="AC225" i="68"/>
  <c r="AC227" i="68" s="1"/>
  <c r="AC163" i="68"/>
  <c r="R408" i="68"/>
  <c r="R410" i="68" s="1"/>
  <c r="R346" i="68"/>
  <c r="V394" i="68"/>
  <c r="L228" i="68"/>
  <c r="L230" i="68" s="1"/>
  <c r="L166" i="68"/>
  <c r="AG601" i="68"/>
  <c r="AG663" i="68"/>
  <c r="AG665" i="68" s="1"/>
  <c r="AH438" i="68"/>
  <c r="AH440" i="68" s="1"/>
  <c r="AH376" i="68"/>
  <c r="N271" i="68"/>
  <c r="N272" i="68"/>
  <c r="N336" i="68" s="1"/>
  <c r="N400" i="68" s="1"/>
  <c r="O568" i="68"/>
  <c r="O630" i="68"/>
  <c r="O632" i="68" s="1"/>
  <c r="AF501" i="68"/>
  <c r="AF563" i="68"/>
  <c r="J490" i="68"/>
  <c r="J491" i="68"/>
  <c r="J555" i="68" s="1"/>
  <c r="J619" i="68" s="1"/>
  <c r="J487" i="68"/>
  <c r="AA300" i="68"/>
  <c r="AA362" i="68"/>
  <c r="AA624" i="68"/>
  <c r="AA626" i="68" s="1"/>
  <c r="AA562" i="68"/>
  <c r="P382" i="68"/>
  <c r="P444" i="68"/>
  <c r="P446" i="68" s="1"/>
  <c r="U225" i="68"/>
  <c r="U227" i="68" s="1"/>
  <c r="U163" i="68"/>
  <c r="AA297" i="68"/>
  <c r="AA359" i="68"/>
  <c r="AE315" i="68"/>
  <c r="AE377" i="68"/>
  <c r="O379" i="68"/>
  <c r="O441" i="68"/>
  <c r="O443" i="68" s="1"/>
  <c r="V627" i="68"/>
  <c r="V629" i="68" s="1"/>
  <c r="V565" i="68"/>
  <c r="AA675" i="68"/>
  <c r="AA677" i="68" s="1"/>
  <c r="AA613" i="68"/>
  <c r="Z501" i="68"/>
  <c r="Z563" i="68"/>
  <c r="P423" i="68"/>
  <c r="P425" i="68" s="1"/>
  <c r="P361" i="68"/>
  <c r="L624" i="68"/>
  <c r="L626" i="68" s="1"/>
  <c r="L562" i="68"/>
  <c r="AB402" i="68"/>
  <c r="AB404" i="68" s="1"/>
  <c r="AB340" i="68"/>
  <c r="I495" i="68"/>
  <c r="I558" i="68"/>
  <c r="I622" i="68" s="1"/>
  <c r="S219" i="68"/>
  <c r="S221" i="68" s="1"/>
  <c r="S157" i="68"/>
  <c r="Y507" i="68"/>
  <c r="Y569" i="68"/>
  <c r="W534" i="68"/>
  <c r="W596" i="68"/>
  <c r="AB546" i="68"/>
  <c r="AB609" i="68"/>
  <c r="AB673" i="68" s="1"/>
  <c r="O675" i="68"/>
  <c r="AH411" i="68"/>
  <c r="AH413" i="68" s="1"/>
  <c r="AH349" i="68"/>
  <c r="Q675" i="68"/>
  <c r="Q677" i="68" s="1"/>
  <c r="Q613" i="68"/>
  <c r="N429" i="68"/>
  <c r="N431" i="68" s="1"/>
  <c r="N367" i="68"/>
  <c r="AC405" i="68"/>
  <c r="AC407" i="68" s="1"/>
  <c r="AC343" i="68"/>
  <c r="AD633" i="68"/>
  <c r="AD635" i="68" s="1"/>
  <c r="AD571" i="68"/>
  <c r="AA198" i="68"/>
  <c r="AA200" i="68" s="1"/>
  <c r="AA136" i="68"/>
  <c r="R453" i="68"/>
  <c r="U444" i="68"/>
  <c r="J438" i="68"/>
  <c r="P568" i="68"/>
  <c r="P630" i="68"/>
  <c r="P632" i="68" s="1"/>
  <c r="T373" i="68"/>
  <c r="T435" i="68"/>
  <c r="T437" i="68" s="1"/>
  <c r="J630" i="68"/>
  <c r="J632" i="68" s="1"/>
  <c r="J568" i="68"/>
  <c r="M213" i="68"/>
  <c r="M215" i="68" s="1"/>
  <c r="M151" i="68"/>
  <c r="AG408" i="68"/>
  <c r="AG410" i="68" s="1"/>
  <c r="AG346" i="68"/>
  <c r="K633" i="68"/>
  <c r="K635" i="68" s="1"/>
  <c r="K571" i="68"/>
  <c r="AD306" i="68"/>
  <c r="AD368" i="68"/>
  <c r="AB291" i="68"/>
  <c r="AB353" i="68"/>
  <c r="X568" i="68"/>
  <c r="X630" i="68"/>
  <c r="X632" i="68" s="1"/>
  <c r="U426" i="68"/>
  <c r="U428" i="68" s="1"/>
  <c r="U364" i="68"/>
  <c r="AE636" i="68"/>
  <c r="AE638" i="68" s="1"/>
  <c r="AE574" i="68"/>
  <c r="X621" i="68"/>
  <c r="X623" i="68" s="1"/>
  <c r="X559" i="68"/>
  <c r="W297" i="68"/>
  <c r="W359" i="68"/>
  <c r="AG549" i="68"/>
  <c r="AG611" i="68"/>
  <c r="AA491" i="68"/>
  <c r="AA555" i="68" s="1"/>
  <c r="AA619" i="68" s="1"/>
  <c r="AA490" i="68"/>
  <c r="AA487" i="68"/>
  <c r="Y447" i="68"/>
  <c r="Y449" i="68" s="1"/>
  <c r="Y385" i="68"/>
  <c r="AA648" i="68"/>
  <c r="AA650" i="68" s="1"/>
  <c r="AA586" i="68"/>
  <c r="V586" i="68"/>
  <c r="V648" i="68"/>
  <c r="V650" i="68" s="1"/>
  <c r="I624" i="68"/>
  <c r="I626" i="68" s="1"/>
  <c r="I562" i="68"/>
  <c r="AB225" i="68"/>
  <c r="AB227" i="68" s="1"/>
  <c r="AB163" i="68"/>
  <c r="AG219" i="68"/>
  <c r="AG221" i="68" s="1"/>
  <c r="AG157" i="68"/>
  <c r="S324" i="68"/>
  <c r="S387" i="68"/>
  <c r="S451" i="68" s="1"/>
  <c r="M531" i="68"/>
  <c r="M593" i="68"/>
  <c r="Q595" i="68"/>
  <c r="Q657" i="68"/>
  <c r="Q659" i="68" s="1"/>
  <c r="J166" i="68"/>
  <c r="I207" i="68"/>
  <c r="I209" i="68" s="1"/>
  <c r="I145" i="68"/>
  <c r="T648" i="68"/>
  <c r="T650" i="68" s="1"/>
  <c r="T586" i="68"/>
  <c r="P651" i="68"/>
  <c r="P653" i="68" s="1"/>
  <c r="P589" i="68"/>
  <c r="K595" i="68"/>
  <c r="K657" i="68"/>
  <c r="K659" i="68" s="1"/>
  <c r="AC537" i="68"/>
  <c r="AC599" i="68"/>
  <c r="M630" i="68"/>
  <c r="M632" i="68" s="1"/>
  <c r="M568" i="68"/>
  <c r="AF321" i="68"/>
  <c r="AF383" i="68"/>
  <c r="L654" i="68"/>
  <c r="L656" i="68" s="1"/>
  <c r="L592" i="68"/>
  <c r="W234" i="68"/>
  <c r="W236" i="68" s="1"/>
  <c r="W172" i="68"/>
  <c r="J186" i="68"/>
  <c r="J188" i="68" s="1"/>
  <c r="J124" i="68"/>
  <c r="P414" i="68"/>
  <c r="P416" i="68" s="1"/>
  <c r="P352" i="68"/>
  <c r="Y222" i="68"/>
  <c r="Y224" i="68" s="1"/>
  <c r="Y160" i="68"/>
  <c r="L639" i="68"/>
  <c r="L641" i="68" s="1"/>
  <c r="L577" i="68"/>
  <c r="V519" i="68"/>
  <c r="V581" i="68"/>
  <c r="K183" i="68"/>
  <c r="K185" i="68" s="1"/>
  <c r="K121" i="68"/>
  <c r="AE568" i="68"/>
  <c r="AE630" i="68"/>
  <c r="AE632" i="68" s="1"/>
  <c r="N231" i="68"/>
  <c r="N233" i="68" s="1"/>
  <c r="N169" i="68"/>
  <c r="T604" i="68"/>
  <c r="Z327" i="68"/>
  <c r="Z389" i="68"/>
  <c r="AB237" i="68"/>
  <c r="AB239" i="68" s="1"/>
  <c r="AB175" i="68"/>
  <c r="P315" i="68"/>
  <c r="P378" i="68"/>
  <c r="P442" i="68" s="1"/>
  <c r="N288" i="68"/>
  <c r="N350" i="68"/>
  <c r="Y198" i="68"/>
  <c r="Y200" i="68" s="1"/>
  <c r="Y136" i="68"/>
  <c r="AD231" i="68"/>
  <c r="AD233" i="68" s="1"/>
  <c r="AD169" i="68"/>
  <c r="M589" i="68"/>
  <c r="M651" i="68"/>
  <c r="M653" i="68" s="1"/>
  <c r="I657" i="68"/>
  <c r="I659" i="68" s="1"/>
  <c r="I595" i="68"/>
  <c r="Z651" i="68"/>
  <c r="Z653" i="68" s="1"/>
  <c r="Z589" i="68"/>
  <c r="AD219" i="68"/>
  <c r="AD221" i="68" s="1"/>
  <c r="AD157" i="68"/>
  <c r="P666" i="68"/>
  <c r="P668" i="68" s="1"/>
  <c r="P604" i="68"/>
  <c r="Y405" i="68"/>
  <c r="Y407" i="68" s="1"/>
  <c r="Y343" i="68"/>
  <c r="Q669" i="68"/>
  <c r="Q671" i="68" s="1"/>
  <c r="Q607" i="68"/>
  <c r="T663" i="68"/>
  <c r="W528" i="68"/>
  <c r="W590" i="68"/>
  <c r="V660" i="68"/>
  <c r="X291" i="68"/>
  <c r="X353" i="68"/>
  <c r="Z645" i="68"/>
  <c r="Z647" i="68" s="1"/>
  <c r="Z583" i="68"/>
  <c r="U272" i="68"/>
  <c r="U336" i="68" s="1"/>
  <c r="U400" i="68" s="1"/>
  <c r="U271" i="68"/>
  <c r="U268" i="68"/>
  <c r="J510" i="68"/>
  <c r="J572" i="68"/>
  <c r="K660" i="68"/>
  <c r="K662" i="68" s="1"/>
  <c r="K598" i="68"/>
  <c r="L525" i="68"/>
  <c r="L587" i="68"/>
  <c r="V657" i="68"/>
  <c r="V633" i="68"/>
  <c r="V635" i="68" s="1"/>
  <c r="V571" i="68"/>
  <c r="M490" i="68"/>
  <c r="M491" i="68"/>
  <c r="M555" i="68" s="1"/>
  <c r="M619" i="68" s="1"/>
  <c r="M487" i="68"/>
  <c r="Z516" i="68"/>
  <c r="Z578" i="68"/>
  <c r="J201" i="68"/>
  <c r="J203" i="68" s="1"/>
  <c r="J139" i="68"/>
  <c r="K675" i="68"/>
  <c r="K677" i="68" s="1"/>
  <c r="K613" i="68"/>
  <c r="AG373" i="68"/>
  <c r="AG435" i="68"/>
  <c r="AG437" i="68" s="1"/>
  <c r="N633" i="68"/>
  <c r="N635" i="68" s="1"/>
  <c r="N571" i="68"/>
  <c r="AE491" i="68"/>
  <c r="AE555" i="68" s="1"/>
  <c r="AE619" i="68" s="1"/>
  <c r="AE490" i="68"/>
  <c r="AE487" i="68"/>
  <c r="AE540" i="68"/>
  <c r="AE602" i="68"/>
  <c r="U595" i="68"/>
  <c r="U657" i="68"/>
  <c r="U659" i="68" s="1"/>
  <c r="AG228" i="68"/>
  <c r="AG230" i="68" s="1"/>
  <c r="AG166" i="68"/>
  <c r="AC291" i="68"/>
  <c r="AC353" i="68"/>
  <c r="X595" i="68"/>
  <c r="X657" i="68"/>
  <c r="X659" i="68" s="1"/>
  <c r="AD405" i="68"/>
  <c r="AD407" i="68" s="1"/>
  <c r="AD343" i="68"/>
  <c r="AG525" i="68"/>
  <c r="AG587" i="68"/>
  <c r="I414" i="68"/>
  <c r="I416" i="68" s="1"/>
  <c r="I352" i="68"/>
  <c r="O657" i="68"/>
  <c r="O659" i="68" s="1"/>
  <c r="O595" i="68"/>
  <c r="O219" i="68"/>
  <c r="O221" i="68" s="1"/>
  <c r="O157" i="68"/>
  <c r="R660" i="68"/>
  <c r="R662" i="68" s="1"/>
  <c r="R598" i="68"/>
  <c r="Z294" i="68"/>
  <c r="Z356" i="68"/>
  <c r="W318" i="68"/>
  <c r="W380" i="68"/>
  <c r="R657" i="68"/>
  <c r="R659" i="68" s="1"/>
  <c r="R595" i="68"/>
  <c r="V671" i="68"/>
  <c r="J429" i="68"/>
  <c r="J431" i="68" s="1"/>
  <c r="J367" i="68"/>
  <c r="AB507" i="68"/>
  <c r="AB569" i="68"/>
  <c r="AH318" i="68"/>
  <c r="AH380" i="68"/>
  <c r="AC540" i="68"/>
  <c r="AC602" i="68"/>
  <c r="Y327" i="68"/>
  <c r="Y389" i="68"/>
  <c r="K225" i="68"/>
  <c r="K227" i="68" s="1"/>
  <c r="K163" i="68"/>
  <c r="O528" i="68"/>
  <c r="O590" i="68"/>
  <c r="Q49" i="68"/>
  <c r="Q53" i="68"/>
  <c r="Q117" i="68" s="1"/>
  <c r="Q181" i="68" s="1"/>
  <c r="Q52" i="68"/>
  <c r="AG324" i="68"/>
  <c r="AG386" i="68"/>
  <c r="N528" i="68"/>
  <c r="N590" i="68"/>
  <c r="V225" i="68"/>
  <c r="V227" i="68" s="1"/>
  <c r="V163" i="68"/>
  <c r="AC657" i="68"/>
  <c r="AC659" i="68" s="1"/>
  <c r="AC595" i="68"/>
  <c r="AA330" i="68"/>
  <c r="AA392" i="68"/>
  <c r="AG672" i="68"/>
  <c r="AG674" i="68" s="1"/>
  <c r="AG610" i="68"/>
  <c r="Z672" i="68"/>
  <c r="Z674" i="68" s="1"/>
  <c r="Z610" i="68"/>
  <c r="AH327" i="68"/>
  <c r="AH389" i="68"/>
  <c r="U522" i="68"/>
  <c r="U584" i="68"/>
  <c r="M186" i="68"/>
  <c r="M188" i="68" s="1"/>
  <c r="M124" i="68"/>
  <c r="V621" i="68"/>
  <c r="V623" i="68" s="1"/>
  <c r="V559" i="68"/>
  <c r="V453" i="68"/>
  <c r="V455" i="68" s="1"/>
  <c r="V391" i="68"/>
  <c r="P491" i="68"/>
  <c r="P555" i="68" s="1"/>
  <c r="P619" i="68" s="1"/>
  <c r="P490" i="68"/>
  <c r="P487" i="68"/>
  <c r="S276" i="68"/>
  <c r="S338" i="68"/>
  <c r="J627" i="68"/>
  <c r="J629" i="68" s="1"/>
  <c r="J565" i="68"/>
  <c r="R321" i="68"/>
  <c r="R383" i="68"/>
  <c r="AF216" i="68"/>
  <c r="AF218" i="68" s="1"/>
  <c r="AF154" i="68"/>
  <c r="Z213" i="68"/>
  <c r="Z215" i="68" s="1"/>
  <c r="Z151" i="68"/>
  <c r="O648" i="68"/>
  <c r="O650" i="68" s="1"/>
  <c r="O586" i="68"/>
  <c r="N423" i="68"/>
  <c r="N425" i="68" s="1"/>
  <c r="N361" i="68"/>
  <c r="O213" i="68"/>
  <c r="O215" i="68" s="1"/>
  <c r="O151" i="68"/>
  <c r="J537" i="68"/>
  <c r="J599" i="68"/>
  <c r="Q516" i="68"/>
  <c r="Q578" i="68"/>
  <c r="K297" i="68"/>
  <c r="K359" i="68"/>
  <c r="Y522" i="68"/>
  <c r="Y584" i="68"/>
  <c r="K318" i="68"/>
  <c r="K380" i="68"/>
  <c r="K447" i="68"/>
  <c r="K449" i="68" s="1"/>
  <c r="K385" i="68"/>
  <c r="AH237" i="68"/>
  <c r="AH239" i="68" s="1"/>
  <c r="AH175" i="68"/>
  <c r="V268" i="68"/>
  <c r="V272" i="68"/>
  <c r="V336" i="68" s="1"/>
  <c r="V400" i="68" s="1"/>
  <c r="V271" i="68"/>
  <c r="T163" i="68"/>
  <c r="AA213" i="68"/>
  <c r="AA215" i="68" s="1"/>
  <c r="AA151" i="68"/>
  <c r="K324" i="68"/>
  <c r="K386" i="68"/>
  <c r="V402" i="68"/>
  <c r="V404" i="68" s="1"/>
  <c r="V340" i="68"/>
  <c r="AH630" i="68"/>
  <c r="AH632" i="68" s="1"/>
  <c r="AH568" i="68"/>
  <c r="AD516" i="68"/>
  <c r="AD578" i="68"/>
  <c r="J633" i="68"/>
  <c r="J635" i="68" s="1"/>
  <c r="J571" i="68"/>
  <c r="K639" i="68"/>
  <c r="K641" i="68" s="1"/>
  <c r="K577" i="68"/>
  <c r="R414" i="68"/>
  <c r="R416" i="68" s="1"/>
  <c r="R352" i="68"/>
  <c r="M420" i="68"/>
  <c r="M422" i="68" s="1"/>
  <c r="M358" i="68"/>
  <c r="W429" i="68"/>
  <c r="W431" i="68" s="1"/>
  <c r="W367" i="68"/>
  <c r="AG648" i="68"/>
  <c r="AG650" i="68" s="1"/>
  <c r="AG586" i="68"/>
  <c r="AF346" i="68"/>
  <c r="AF408" i="68"/>
  <c r="AF410" i="68" s="1"/>
  <c r="AH666" i="68"/>
  <c r="AH668" i="68" s="1"/>
  <c r="AH604" i="68"/>
  <c r="Y219" i="68"/>
  <c r="Y221" i="68" s="1"/>
  <c r="Y157" i="68"/>
  <c r="Q456" i="68"/>
  <c r="Q458" i="68" s="1"/>
  <c r="Q394" i="68"/>
  <c r="S516" i="68"/>
  <c r="S578" i="68"/>
  <c r="J449" i="68"/>
  <c r="Q237" i="68"/>
  <c r="Q239" i="68" s="1"/>
  <c r="Q175" i="68"/>
  <c r="S195" i="68"/>
  <c r="S197" i="68" s="1"/>
  <c r="S133" i="68"/>
  <c r="K636" i="68"/>
  <c r="K638" i="68" s="1"/>
  <c r="K574" i="68"/>
  <c r="W394" i="68"/>
  <c r="N224" i="68"/>
  <c r="K309" i="68"/>
  <c r="K371" i="68"/>
  <c r="V458" i="68"/>
  <c r="K207" i="68"/>
  <c r="K209" i="68" s="1"/>
  <c r="K145" i="68"/>
  <c r="K537" i="68"/>
  <c r="K599" i="68"/>
  <c r="M610" i="68"/>
  <c r="M672" i="68"/>
  <c r="M674" i="68" s="1"/>
  <c r="Q441" i="68"/>
  <c r="Q443" i="68" s="1"/>
  <c r="Q379" i="68"/>
  <c r="O429" i="68"/>
  <c r="O431" i="68" s="1"/>
  <c r="O367" i="68"/>
  <c r="AC297" i="68"/>
  <c r="AC359" i="68"/>
  <c r="X435" i="68"/>
  <c r="X437" i="68" s="1"/>
  <c r="X373" i="68"/>
  <c r="Z318" i="68"/>
  <c r="Z380" i="68"/>
  <c r="P546" i="68"/>
  <c r="P608" i="68"/>
  <c r="L271" i="68"/>
  <c r="L272" i="68"/>
  <c r="L336" i="68" s="1"/>
  <c r="L400" i="68" s="1"/>
  <c r="L268" i="68"/>
  <c r="Y288" i="68"/>
  <c r="Y350" i="68"/>
  <c r="AH309" i="68"/>
  <c r="AH371" i="68"/>
  <c r="P376" i="68"/>
  <c r="P438" i="68"/>
  <c r="P440" i="68" s="1"/>
  <c r="P201" i="68"/>
  <c r="P203" i="68" s="1"/>
  <c r="P139" i="68"/>
  <c r="W516" i="68"/>
  <c r="W578" i="68"/>
  <c r="J669" i="68"/>
  <c r="J671" i="68" s="1"/>
  <c r="J607" i="68"/>
  <c r="AD216" i="68"/>
  <c r="AD218" i="68" s="1"/>
  <c r="AD154" i="68"/>
  <c r="J411" i="68"/>
  <c r="J413" i="68" s="1"/>
  <c r="J349" i="68"/>
  <c r="AC568" i="68"/>
  <c r="AC630" i="68"/>
  <c r="AC632" i="68" s="1"/>
  <c r="AF272" i="68"/>
  <c r="AF336" i="68" s="1"/>
  <c r="AF400" i="68" s="1"/>
  <c r="AF271" i="68"/>
  <c r="AF268" i="68"/>
  <c r="N549" i="68"/>
  <c r="N611" i="68"/>
  <c r="O361" i="68"/>
  <c r="O423" i="68"/>
  <c r="O425" i="68" s="1"/>
  <c r="U420" i="68"/>
  <c r="U422" i="68" s="1"/>
  <c r="U358" i="68"/>
  <c r="W309" i="68"/>
  <c r="W371" i="68"/>
  <c r="AD636" i="68"/>
  <c r="AD638" i="68" s="1"/>
  <c r="AD574" i="68"/>
  <c r="R195" i="68"/>
  <c r="R197" i="68" s="1"/>
  <c r="R133" i="68"/>
  <c r="AB450" i="68"/>
  <c r="AB452" i="68" s="1"/>
  <c r="AB388" i="68"/>
  <c r="W525" i="68"/>
  <c r="W587" i="68"/>
  <c r="R379" i="68"/>
  <c r="R441" i="68"/>
  <c r="R443" i="68" s="1"/>
  <c r="Q490" i="68"/>
  <c r="Q491" i="68"/>
  <c r="Q555" i="68" s="1"/>
  <c r="Q619" i="68" s="1"/>
  <c r="Q487" i="68"/>
  <c r="AG53" i="68"/>
  <c r="AG117" i="68" s="1"/>
  <c r="AG181" i="68" s="1"/>
  <c r="AG52" i="68"/>
  <c r="AG49" i="68"/>
  <c r="K198" i="68"/>
  <c r="K200" i="68" s="1"/>
  <c r="K136" i="68"/>
  <c r="AA438" i="68"/>
  <c r="AA440" i="68" s="1"/>
  <c r="AA376" i="68"/>
  <c r="S330" i="68"/>
  <c r="S392" i="68"/>
  <c r="L279" i="68"/>
  <c r="L341" i="68"/>
  <c r="V222" i="68"/>
  <c r="V224" i="68" s="1"/>
  <c r="V160" i="68"/>
  <c r="O321" i="68"/>
  <c r="O383" i="68"/>
  <c r="S537" i="68"/>
  <c r="S599" i="68"/>
  <c r="O225" i="68"/>
  <c r="O227" i="68" s="1"/>
  <c r="O163" i="68"/>
  <c r="N642" i="68"/>
  <c r="N644" i="68" s="1"/>
  <c r="N580" i="68"/>
  <c r="K441" i="68"/>
  <c r="K443" i="68" s="1"/>
  <c r="K379" i="68"/>
  <c r="U391" i="68"/>
  <c r="U453" i="68"/>
  <c r="U455" i="68" s="1"/>
  <c r="O537" i="68"/>
  <c r="O599" i="68"/>
  <c r="S546" i="68"/>
  <c r="S608" i="68"/>
  <c r="N426" i="68"/>
  <c r="N428" i="68" s="1"/>
  <c r="N364" i="68"/>
  <c r="AC282" i="68"/>
  <c r="AC344" i="68"/>
  <c r="AD192" i="68"/>
  <c r="AD194" i="68" s="1"/>
  <c r="AD130" i="68"/>
  <c r="Q604" i="68"/>
  <c r="Q666" i="68"/>
  <c r="Q668" i="68" s="1"/>
  <c r="V288" i="68"/>
  <c r="V350" i="68"/>
  <c r="S450" i="68"/>
  <c r="J230" i="68"/>
  <c r="S303" i="68"/>
  <c r="S365" i="68"/>
  <c r="N525" i="68"/>
  <c r="N587" i="68"/>
  <c r="T414" i="68"/>
  <c r="T416" i="68" s="1"/>
  <c r="T352" i="68"/>
  <c r="J195" i="68"/>
  <c r="J197" i="68" s="1"/>
  <c r="J133" i="68"/>
  <c r="P498" i="68"/>
  <c r="P560" i="68"/>
  <c r="T438" i="68"/>
  <c r="T440" i="68" s="1"/>
  <c r="T376" i="68"/>
  <c r="AG513" i="68"/>
  <c r="AG575" i="68"/>
  <c r="T668" i="68"/>
  <c r="P441" i="68"/>
  <c r="L519" i="68"/>
  <c r="L581" i="68"/>
  <c r="AA420" i="68"/>
  <c r="AA422" i="68" s="1"/>
  <c r="AA358" i="68"/>
  <c r="N435" i="68"/>
  <c r="N437" i="68" s="1"/>
  <c r="N373" i="68"/>
  <c r="O234" i="68"/>
  <c r="O236" i="68" s="1"/>
  <c r="O172" i="68"/>
  <c r="J272" i="68"/>
  <c r="J336" i="68" s="1"/>
  <c r="J400" i="68" s="1"/>
  <c r="J271" i="68"/>
  <c r="J268" i="68"/>
  <c r="S513" i="68"/>
  <c r="S575" i="68"/>
  <c r="R324" i="68"/>
  <c r="R386" i="68"/>
  <c r="AG355" i="68"/>
  <c r="AG417" i="68"/>
  <c r="AG419" i="68" s="1"/>
  <c r="N621" i="68"/>
  <c r="N623" i="68" s="1"/>
  <c r="N559" i="68"/>
  <c r="V321" i="68"/>
  <c r="V383" i="68"/>
  <c r="M231" i="68"/>
  <c r="M233" i="68" s="1"/>
  <c r="M169" i="68"/>
  <c r="AB271" i="68"/>
  <c r="AB272" i="68"/>
  <c r="AB336" i="68" s="1"/>
  <c r="AB400" i="68" s="1"/>
  <c r="AB268" i="68"/>
  <c r="AF651" i="68"/>
  <c r="AF653" i="68" s="1"/>
  <c r="AF589" i="68"/>
  <c r="M639" i="68"/>
  <c r="M641" i="68" s="1"/>
  <c r="M577" i="68"/>
  <c r="AH330" i="68"/>
  <c r="AH392" i="68"/>
  <c r="R444" i="68"/>
  <c r="R446" i="68" s="1"/>
  <c r="R382" i="68"/>
  <c r="W370" i="68"/>
  <c r="W432" i="68"/>
  <c r="W434" i="68" s="1"/>
  <c r="O222" i="68"/>
  <c r="O224" i="68" s="1"/>
  <c r="O160" i="68"/>
  <c r="W219" i="68"/>
  <c r="W221" i="68" s="1"/>
  <c r="W157" i="68"/>
  <c r="P53" i="68"/>
  <c r="P117" i="68" s="1"/>
  <c r="P181" i="68" s="1"/>
  <c r="P52" i="68"/>
  <c r="P49" i="68"/>
  <c r="O456" i="68"/>
  <c r="O458" i="68" s="1"/>
  <c r="O394" i="68"/>
  <c r="Q234" i="68"/>
  <c r="Q236" i="68" s="1"/>
  <c r="Q172" i="68"/>
  <c r="J531" i="68"/>
  <c r="J594" i="68"/>
  <c r="J658" i="68" s="1"/>
  <c r="O417" i="68"/>
  <c r="O419" i="68" s="1"/>
  <c r="O355" i="68"/>
  <c r="L601" i="68"/>
  <c r="L663" i="68"/>
  <c r="L665" i="68" s="1"/>
  <c r="V237" i="68"/>
  <c r="V239" i="68" s="1"/>
  <c r="V175" i="68"/>
  <c r="T405" i="68"/>
  <c r="T407" i="68" s="1"/>
  <c r="T343" i="68"/>
  <c r="S621" i="68"/>
  <c r="S623" i="68" s="1"/>
  <c r="S559" i="68"/>
  <c r="AD361" i="68"/>
  <c r="AD423" i="68"/>
  <c r="AD425" i="68" s="1"/>
  <c r="Z435" i="68"/>
  <c r="Z437" i="68" s="1"/>
  <c r="Z373" i="68"/>
  <c r="U543" i="68"/>
  <c r="U605" i="68"/>
  <c r="AF318" i="68"/>
  <c r="AF380" i="68"/>
  <c r="AA411" i="68"/>
  <c r="AA413" i="68" s="1"/>
  <c r="AA349" i="68"/>
  <c r="Y303" i="68"/>
  <c r="Y365" i="68"/>
  <c r="O300" i="68"/>
  <c r="O362" i="68"/>
  <c r="AA574" i="68"/>
  <c r="AA636" i="68"/>
  <c r="AA638" i="68" s="1"/>
  <c r="K621" i="68"/>
  <c r="K623" i="68" s="1"/>
  <c r="K559" i="68"/>
  <c r="I297" i="68"/>
  <c r="I359" i="68"/>
  <c r="J189" i="68"/>
  <c r="J191" i="68" s="1"/>
  <c r="J127" i="68"/>
  <c r="J192" i="68"/>
  <c r="J194" i="68" s="1"/>
  <c r="J130" i="68"/>
  <c r="I271" i="68"/>
  <c r="I268" i="68"/>
  <c r="I272" i="68"/>
  <c r="I336" i="68" s="1"/>
  <c r="I400" i="68" s="1"/>
  <c r="Y444" i="68"/>
  <c r="Y446" i="68" s="1"/>
  <c r="Y382" i="68"/>
  <c r="K543" i="68"/>
  <c r="K605" i="68"/>
  <c r="AB321" i="68"/>
  <c r="AB383" i="68"/>
  <c r="AH204" i="68"/>
  <c r="AH206" i="68" s="1"/>
  <c r="AH142" i="68"/>
  <c r="AE213" i="68"/>
  <c r="AE215" i="68" s="1"/>
  <c r="AE151" i="68"/>
  <c r="L607" i="68"/>
  <c r="L669" i="68"/>
  <c r="L671" i="68" s="1"/>
  <c r="K195" i="68"/>
  <c r="K197" i="68" s="1"/>
  <c r="K133" i="68"/>
  <c r="Q420" i="68"/>
  <c r="Q422" i="68" s="1"/>
  <c r="Q358" i="68"/>
  <c r="AE330" i="68"/>
  <c r="AE392" i="68"/>
  <c r="U192" i="68"/>
  <c r="U194" i="68" s="1"/>
  <c r="U130" i="68"/>
  <c r="N490" i="68"/>
  <c r="N491" i="68"/>
  <c r="N555" i="68" s="1"/>
  <c r="N619" i="68" s="1"/>
  <c r="AF53" i="68"/>
  <c r="AF117" i="68" s="1"/>
  <c r="AF181" i="68" s="1"/>
  <c r="AF49" i="68"/>
  <c r="AF52" i="68"/>
  <c r="M291" i="68"/>
  <c r="M353" i="68"/>
  <c r="Q645" i="68"/>
  <c r="Q647" i="68" s="1"/>
  <c r="Q583" i="68"/>
  <c r="AG364" i="68"/>
  <c r="AG426" i="68"/>
  <c r="AG428" i="68" s="1"/>
  <c r="W519" i="68"/>
  <c r="W581" i="68"/>
  <c r="V607" i="68"/>
  <c r="N52" i="68"/>
  <c r="N53" i="68"/>
  <c r="N117" i="68" s="1"/>
  <c r="N181" i="68" s="1"/>
  <c r="N49" i="68"/>
  <c r="W543" i="68"/>
  <c r="W605" i="68"/>
  <c r="W204" i="68"/>
  <c r="W206" i="68" s="1"/>
  <c r="W142" i="68"/>
  <c r="V52" i="68"/>
  <c r="V53" i="68"/>
  <c r="V117" i="68" s="1"/>
  <c r="V181" i="68" s="1"/>
  <c r="V49" i="68"/>
  <c r="K624" i="68"/>
  <c r="K626" i="68" s="1"/>
  <c r="K562" i="68"/>
  <c r="AA525" i="68"/>
  <c r="AA587" i="68"/>
  <c r="AC382" i="68"/>
  <c r="AC444" i="68"/>
  <c r="AC446" i="68" s="1"/>
  <c r="AF654" i="68"/>
  <c r="AF656" i="68" s="1"/>
  <c r="AF592" i="68"/>
  <c r="AF490" i="68"/>
  <c r="AF491" i="68"/>
  <c r="AF555" i="68" s="1"/>
  <c r="AF619" i="68" s="1"/>
  <c r="Q402" i="68"/>
  <c r="Q404" i="68" s="1"/>
  <c r="Q340" i="68"/>
  <c r="J495" i="68"/>
  <c r="J558" i="68"/>
  <c r="J622" i="68" s="1"/>
  <c r="AA537" i="68"/>
  <c r="AA599" i="68"/>
  <c r="X315" i="68"/>
  <c r="X377" i="68"/>
  <c r="M621" i="68"/>
  <c r="M623" i="68" s="1"/>
  <c r="M559" i="68"/>
  <c r="AH586" i="68"/>
  <c r="AH648" i="68"/>
  <c r="AH650" i="68" s="1"/>
  <c r="V388" i="68"/>
  <c r="V450" i="68"/>
  <c r="V452" i="68" s="1"/>
  <c r="L373" i="68"/>
  <c r="L435" i="68"/>
  <c r="L437" i="68" s="1"/>
  <c r="I210" i="68"/>
  <c r="I212" i="68" s="1"/>
  <c r="I148" i="68"/>
  <c r="AF663" i="68"/>
  <c r="AF665" i="68" s="1"/>
  <c r="AF601" i="68"/>
  <c r="AB543" i="68"/>
  <c r="AB605" i="68"/>
  <c r="AB651" i="68"/>
  <c r="AB653" i="68" s="1"/>
  <c r="AB589" i="68"/>
  <c r="U195" i="68"/>
  <c r="U197" i="68" s="1"/>
  <c r="U133" i="68"/>
  <c r="AB501" i="68"/>
  <c r="AB563" i="68"/>
  <c r="T531" i="68"/>
  <c r="T593" i="68"/>
  <c r="M198" i="68"/>
  <c r="M200" i="68" s="1"/>
  <c r="M136" i="68"/>
  <c r="T227" i="68"/>
  <c r="S49" i="68"/>
  <c r="S52" i="68"/>
  <c r="S53" i="68"/>
  <c r="S117" i="68" s="1"/>
  <c r="S181" i="68" s="1"/>
  <c r="J279" i="68"/>
  <c r="J341" i="68"/>
  <c r="S531" i="68"/>
  <c r="S594" i="68"/>
  <c r="S658" i="68" s="1"/>
  <c r="AE210" i="68"/>
  <c r="AE212" i="68" s="1"/>
  <c r="AE148" i="68"/>
  <c r="U540" i="68"/>
  <c r="U602" i="68"/>
  <c r="S192" i="68"/>
  <c r="S194" i="68" s="1"/>
  <c r="S130" i="68"/>
  <c r="AE528" i="68"/>
  <c r="AE590" i="68"/>
  <c r="M376" i="68"/>
  <c r="M438" i="68"/>
  <c r="M440" i="68" s="1"/>
  <c r="AF562" i="68"/>
  <c r="AF624" i="68"/>
  <c r="AF626" i="68" s="1"/>
  <c r="J198" i="68"/>
  <c r="J200" i="68" s="1"/>
  <c r="J136" i="68"/>
  <c r="T630" i="68"/>
  <c r="T632" i="68" s="1"/>
  <c r="T568" i="68"/>
  <c r="U432" i="68"/>
  <c r="U434" i="68" s="1"/>
  <c r="U370" i="68"/>
  <c r="AG198" i="68"/>
  <c r="AG200" i="68" s="1"/>
  <c r="AG136" i="68"/>
  <c r="AG420" i="68"/>
  <c r="AG422" i="68" s="1"/>
  <c r="AG358" i="68"/>
  <c r="U534" i="68"/>
  <c r="U596" i="68"/>
  <c r="AG271" i="68"/>
  <c r="AG272" i="68"/>
  <c r="AG336" i="68" s="1"/>
  <c r="AG400" i="68" s="1"/>
  <c r="AG268" i="68"/>
  <c r="P519" i="68"/>
  <c r="P581" i="68"/>
  <c r="Z414" i="68"/>
  <c r="Z416" i="68" s="1"/>
  <c r="Z352" i="68"/>
  <c r="T636" i="68"/>
  <c r="T638" i="68" s="1"/>
  <c r="T574" i="68"/>
  <c r="J52" i="68"/>
  <c r="J53" i="68"/>
  <c r="J117" i="68" s="1"/>
  <c r="J181" i="68" s="1"/>
  <c r="J49" i="68"/>
  <c r="I453" i="68"/>
  <c r="I455" i="68" s="1"/>
  <c r="I391" i="68"/>
  <c r="W213" i="68"/>
  <c r="W215" i="68" s="1"/>
  <c r="W151" i="68"/>
  <c r="W633" i="68"/>
  <c r="W635" i="68" s="1"/>
  <c r="W571" i="68"/>
  <c r="X534" i="68"/>
  <c r="X596" i="68"/>
  <c r="K291" i="68"/>
  <c r="K353" i="68"/>
  <c r="AG516" i="68"/>
  <c r="AG578" i="68"/>
  <c r="Z429" i="68"/>
  <c r="Z431" i="68" s="1"/>
  <c r="Z367" i="68"/>
  <c r="AF411" i="68"/>
  <c r="AF413" i="68" s="1"/>
  <c r="AF349" i="68"/>
  <c r="T213" i="68"/>
  <c r="T215" i="68" s="1"/>
  <c r="T151" i="68"/>
  <c r="W495" i="68"/>
  <c r="W557" i="68"/>
  <c r="I402" i="68"/>
  <c r="I404" i="68" s="1"/>
  <c r="I340" i="68"/>
  <c r="M654" i="68"/>
  <c r="M656" i="68" s="1"/>
  <c r="M592" i="68"/>
  <c r="J370" i="68"/>
  <c r="J432" i="68"/>
  <c r="J434" i="68" s="1"/>
  <c r="R621" i="68"/>
  <c r="R623" i="68" s="1"/>
  <c r="R559" i="68"/>
  <c r="S268" i="68"/>
  <c r="S272" i="68"/>
  <c r="S336" i="68" s="1"/>
  <c r="S400" i="68" s="1"/>
  <c r="S271" i="68"/>
  <c r="Z648" i="68"/>
  <c r="Z650" i="68" s="1"/>
  <c r="Z586" i="68"/>
  <c r="Z291" i="68"/>
  <c r="Z353" i="68"/>
  <c r="S540" i="68"/>
  <c r="S603" i="68"/>
  <c r="S667" i="68" s="1"/>
  <c r="AE639" i="68"/>
  <c r="AE641" i="68" s="1"/>
  <c r="AE577" i="68"/>
  <c r="X382" i="68"/>
  <c r="X444" i="68"/>
  <c r="X446" i="68" s="1"/>
  <c r="AB574" i="68"/>
  <c r="AB636" i="68"/>
  <c r="AB638" i="68" s="1"/>
  <c r="Q447" i="68"/>
  <c r="Q449" i="68" s="1"/>
  <c r="Q385" i="68"/>
  <c r="U330" i="68"/>
  <c r="U392" i="68"/>
  <c r="R642" i="68"/>
  <c r="R644" i="68" s="1"/>
  <c r="R580" i="68"/>
  <c r="AC491" i="68"/>
  <c r="AC555" i="68" s="1"/>
  <c r="AC619" i="68" s="1"/>
  <c r="AC490" i="68"/>
  <c r="AC487" i="68"/>
  <c r="AC213" i="68"/>
  <c r="AC215" i="68" s="1"/>
  <c r="AC151" i="68"/>
  <c r="AB504" i="68"/>
  <c r="AB566" i="68"/>
  <c r="X516" i="68"/>
  <c r="X578" i="68"/>
  <c r="L672" i="68"/>
  <c r="L674" i="68" s="1"/>
  <c r="L610" i="68"/>
  <c r="AA414" i="68"/>
  <c r="AA416" i="68" s="1"/>
  <c r="AA352" i="68"/>
  <c r="AG183" i="68"/>
  <c r="AG185" i="68" s="1"/>
  <c r="AG121" i="68"/>
  <c r="T423" i="68"/>
  <c r="T425" i="68" s="1"/>
  <c r="T361" i="68"/>
  <c r="J294" i="68"/>
  <c r="J356" i="68"/>
  <c r="K222" i="68"/>
  <c r="K224" i="68" s="1"/>
  <c r="K160" i="68"/>
  <c r="AA627" i="68"/>
  <c r="AA629" i="68" s="1"/>
  <c r="AA565" i="68"/>
  <c r="AG370" i="68"/>
  <c r="AG432" i="68"/>
  <c r="AG434" i="68" s="1"/>
  <c r="Q186" i="68"/>
  <c r="Q188" i="68" s="1"/>
  <c r="Q124" i="68"/>
  <c r="M228" i="68"/>
  <c r="M230" i="68" s="1"/>
  <c r="M166" i="68"/>
  <c r="U633" i="68"/>
  <c r="U635" i="68" s="1"/>
  <c r="U571" i="68"/>
  <c r="T495" i="68"/>
  <c r="T557" i="68"/>
  <c r="AB186" i="68"/>
  <c r="AB188" i="68" s="1"/>
  <c r="AB124" i="68"/>
  <c r="AB645" i="68"/>
  <c r="AB647" i="68" s="1"/>
  <c r="AB583" i="68"/>
  <c r="AE624" i="68"/>
  <c r="AE626" i="68" s="1"/>
  <c r="AE562" i="68"/>
  <c r="M373" i="68"/>
  <c r="M435" i="68"/>
  <c r="M437" i="68" s="1"/>
  <c r="V441" i="68"/>
  <c r="V443" i="68" s="1"/>
  <c r="V379" i="68"/>
  <c r="I633" i="68"/>
  <c r="I635" i="68" s="1"/>
  <c r="I571" i="68"/>
  <c r="R438" i="68"/>
  <c r="R440" i="68" s="1"/>
  <c r="R376" i="68"/>
  <c r="Y435" i="68"/>
  <c r="Y437" i="68" s="1"/>
  <c r="Y373" i="68"/>
  <c r="I607" i="68"/>
  <c r="I669" i="68"/>
  <c r="I671" i="68" s="1"/>
  <c r="Z279" i="68"/>
  <c r="Z341" i="68"/>
  <c r="M663" i="68"/>
  <c r="M665" i="68" s="1"/>
  <c r="M601" i="68"/>
  <c r="AD624" i="68"/>
  <c r="AD626" i="68" s="1"/>
  <c r="AD562" i="68"/>
  <c r="Z438" i="68"/>
  <c r="Z440" i="68" s="1"/>
  <c r="Z376" i="68"/>
  <c r="AD388" i="68"/>
  <c r="AD450" i="68"/>
  <c r="AD452" i="68" s="1"/>
  <c r="I441" i="68"/>
  <c r="I443" i="68" s="1"/>
  <c r="I379" i="68"/>
  <c r="S645" i="68"/>
  <c r="S647" i="68" s="1"/>
  <c r="S583" i="68"/>
  <c r="U312" i="68"/>
  <c r="U374" i="68"/>
  <c r="S411" i="68"/>
  <c r="S413" i="68" s="1"/>
  <c r="S349" i="68"/>
  <c r="S355" i="68"/>
  <c r="S417" i="68"/>
  <c r="S419" i="68" s="1"/>
  <c r="T672" i="68"/>
  <c r="T674" i="68" s="1"/>
  <c r="T610" i="68"/>
  <c r="AD639" i="68"/>
  <c r="AD641" i="68" s="1"/>
  <c r="AD577" i="68"/>
  <c r="X414" i="68"/>
  <c r="X416" i="68" s="1"/>
  <c r="X352" i="68"/>
  <c r="AB411" i="68"/>
  <c r="AB413" i="68" s="1"/>
  <c r="AB349" i="68"/>
  <c r="AG447" i="68"/>
  <c r="AG449" i="68" s="1"/>
  <c r="AG385" i="68"/>
  <c r="AE516" i="68"/>
  <c r="AE578" i="68"/>
  <c r="M394" i="68"/>
  <c r="M456" i="68"/>
  <c r="M458" i="68" s="1"/>
  <c r="X654" i="68"/>
  <c r="X656" i="68" s="1"/>
  <c r="X592" i="68"/>
  <c r="J639" i="68"/>
  <c r="J641" i="68" s="1"/>
  <c r="J577" i="68"/>
  <c r="J604" i="68"/>
  <c r="AG519" i="68"/>
  <c r="AG581" i="68"/>
  <c r="AH651" i="68"/>
  <c r="AH653" i="68" s="1"/>
  <c r="AH589" i="68"/>
  <c r="AH420" i="68"/>
  <c r="AH422" i="68" s="1"/>
  <c r="AH358" i="68"/>
  <c r="AB675" i="68"/>
  <c r="AB677" i="68" s="1"/>
  <c r="AB613" i="68"/>
  <c r="M297" i="68"/>
  <c r="M359" i="68"/>
  <c r="Y525" i="68"/>
  <c r="Y587" i="68"/>
  <c r="AC324" i="68"/>
  <c r="AC386" i="68"/>
  <c r="Q660" i="68"/>
  <c r="Q662" i="68" s="1"/>
  <c r="Q598" i="68"/>
  <c r="AC519" i="68"/>
  <c r="AC581" i="68"/>
  <c r="AA531" i="68"/>
  <c r="AA593" i="68"/>
  <c r="M516" i="68"/>
  <c r="M578" i="68"/>
  <c r="S669" i="68"/>
  <c r="S671" i="68" s="1"/>
  <c r="S607" i="68"/>
  <c r="X601" i="68"/>
  <c r="X663" i="68"/>
  <c r="X665" i="68" s="1"/>
  <c r="V234" i="68"/>
  <c r="V236" i="68" s="1"/>
  <c r="V172" i="68"/>
  <c r="W343" i="68"/>
  <c r="W405" i="68"/>
  <c r="W407" i="68" s="1"/>
  <c r="X510" i="68"/>
  <c r="X572" i="68"/>
  <c r="AB657" i="68"/>
  <c r="AB659" i="68" s="1"/>
  <c r="AB595" i="68"/>
  <c r="V516" i="68"/>
  <c r="V578" i="68"/>
  <c r="J318" i="68"/>
  <c r="J380" i="68"/>
  <c r="I49" i="68"/>
  <c r="I52" i="68"/>
  <c r="I53" i="68"/>
  <c r="I117" i="68" s="1"/>
  <c r="I181" i="68" s="1"/>
  <c r="M306" i="68"/>
  <c r="M368" i="68"/>
  <c r="Y528" i="68"/>
  <c r="Y590" i="68"/>
  <c r="Y324" i="68"/>
  <c r="Y386" i="68"/>
  <c r="V498" i="68"/>
  <c r="V560" i="68"/>
  <c r="T157" i="68"/>
  <c r="O540" i="68"/>
  <c r="O603" i="68"/>
  <c r="O667" i="68" s="1"/>
  <c r="AG633" i="68"/>
  <c r="AG635" i="68" s="1"/>
  <c r="AG571" i="68"/>
  <c r="AB183" i="68"/>
  <c r="AB185" i="68" s="1"/>
  <c r="AB121" i="68"/>
  <c r="AA343" i="68"/>
  <c r="AA405" i="68"/>
  <c r="AA407" i="68" s="1"/>
  <c r="U525" i="68"/>
  <c r="U587" i="68"/>
  <c r="AA408" i="68"/>
  <c r="AA410" i="68" s="1"/>
  <c r="AA346" i="68"/>
  <c r="N312" i="68"/>
  <c r="N374" i="68"/>
  <c r="AD318" i="68"/>
  <c r="AD380" i="68"/>
  <c r="AF504" i="68"/>
  <c r="AF566" i="68"/>
  <c r="W438" i="68"/>
  <c r="W440" i="68" s="1"/>
  <c r="W376" i="68"/>
  <c r="AE340" i="68"/>
  <c r="AE402" i="68"/>
  <c r="AE404" i="68" s="1"/>
  <c r="I432" i="68"/>
  <c r="I434" i="68" s="1"/>
  <c r="I370" i="68"/>
  <c r="J657" i="68"/>
  <c r="AH501" i="68"/>
  <c r="AH563" i="68"/>
  <c r="I528" i="68"/>
  <c r="I590" i="68"/>
  <c r="AE271" i="68"/>
  <c r="AE272" i="68"/>
  <c r="AE336" i="68" s="1"/>
  <c r="AE400" i="68" s="1"/>
  <c r="AE268" i="68"/>
  <c r="Y519" i="68"/>
  <c r="Y581" i="68"/>
  <c r="Y642" i="68"/>
  <c r="Y644" i="68" s="1"/>
  <c r="Y580" i="68"/>
  <c r="AB420" i="68"/>
  <c r="AB422" i="68" s="1"/>
  <c r="AB358" i="68"/>
  <c r="Z633" i="68"/>
  <c r="Z635" i="68" s="1"/>
  <c r="Z571" i="68"/>
  <c r="AD429" i="68"/>
  <c r="AD431" i="68" s="1"/>
  <c r="AD367" i="68"/>
  <c r="X228" i="68"/>
  <c r="X230" i="68" s="1"/>
  <c r="X166" i="68"/>
  <c r="AD549" i="68"/>
  <c r="AD611" i="68"/>
  <c r="AC271" i="68"/>
  <c r="AC272" i="68"/>
  <c r="AC336" i="68" s="1"/>
  <c r="AC400" i="68" s="1"/>
  <c r="AC268" i="68"/>
  <c r="I534" i="68"/>
  <c r="I596" i="68"/>
  <c r="N327" i="68"/>
  <c r="N389" i="68"/>
  <c r="W268" i="68"/>
  <c r="W271" i="68"/>
  <c r="W272" i="68"/>
  <c r="W336" i="68" s="1"/>
  <c r="W400" i="68" s="1"/>
  <c r="T355" i="68"/>
  <c r="T417" i="68"/>
  <c r="T419" i="68" s="1"/>
  <c r="M408" i="68"/>
  <c r="M410" i="68" s="1"/>
  <c r="M346" i="68"/>
  <c r="N669" i="68"/>
  <c r="N671" i="68" s="1"/>
  <c r="N607" i="68"/>
  <c r="I321" i="68"/>
  <c r="I383" i="68"/>
  <c r="Q453" i="68"/>
  <c r="Q455" i="68" s="1"/>
  <c r="Q391" i="68"/>
  <c r="Q630" i="68"/>
  <c r="Q632" i="68" s="1"/>
  <c r="Q568" i="68"/>
  <c r="P675" i="68"/>
  <c r="P677" i="68" s="1"/>
  <c r="P613" i="68"/>
  <c r="W417" i="68"/>
  <c r="W419" i="68" s="1"/>
  <c r="W355" i="68"/>
  <c r="I417" i="68"/>
  <c r="I419" i="68" s="1"/>
  <c r="I355" i="68"/>
  <c r="T507" i="68"/>
  <c r="T569" i="68"/>
  <c r="J549" i="68"/>
  <c r="J611" i="68"/>
  <c r="Q408" i="68"/>
  <c r="Q410" i="68" s="1"/>
  <c r="Q346" i="68"/>
  <c r="T321" i="68"/>
  <c r="T383" i="68"/>
  <c r="M633" i="68"/>
  <c r="M635" i="68" s="1"/>
  <c r="M571" i="68"/>
  <c r="AB53" i="68"/>
  <c r="AB117" i="68" s="1"/>
  <c r="AB181" i="68" s="1"/>
  <c r="AB52" i="68"/>
  <c r="AB49" i="68"/>
  <c r="AD627" i="68"/>
  <c r="AD629" i="68" s="1"/>
  <c r="AD565" i="68"/>
  <c r="P216" i="68"/>
  <c r="P218" i="68" s="1"/>
  <c r="P154" i="68"/>
  <c r="Q522" i="68"/>
  <c r="Q584" i="68"/>
  <c r="AA568" i="68"/>
  <c r="AA630" i="68"/>
  <c r="AA632" i="68" s="1"/>
  <c r="Q291" i="68"/>
  <c r="Q353" i="68"/>
  <c r="J621" i="68"/>
  <c r="AH276" i="68"/>
  <c r="AH338" i="68"/>
  <c r="W420" i="68"/>
  <c r="W422" i="68" s="1"/>
  <c r="W358" i="68"/>
  <c r="X429" i="68"/>
  <c r="X431" i="68" s="1"/>
  <c r="X367" i="68"/>
  <c r="S327" i="68"/>
  <c r="S389" i="68"/>
  <c r="P321" i="68"/>
  <c r="P383" i="68"/>
  <c r="U49" i="68"/>
  <c r="U52" i="68"/>
  <c r="U53" i="68"/>
  <c r="U117" i="68" s="1"/>
  <c r="U181" i="68" s="1"/>
  <c r="Q318" i="68"/>
  <c r="Q380" i="68"/>
  <c r="AC642" i="68"/>
  <c r="AC644" i="68" s="1"/>
  <c r="AC580" i="68"/>
  <c r="N186" i="68"/>
  <c r="N188" i="68" s="1"/>
  <c r="N124" i="68"/>
  <c r="AF327" i="68"/>
  <c r="AF389" i="68"/>
  <c r="Q562" i="68"/>
  <c r="Q624" i="68"/>
  <c r="Q626" i="68" s="1"/>
  <c r="U516" i="68"/>
  <c r="U578" i="68"/>
  <c r="P571" i="68"/>
  <c r="P633" i="68"/>
  <c r="P635" i="68" s="1"/>
  <c r="Q231" i="68"/>
  <c r="Q233" i="68" s="1"/>
  <c r="Q169" i="68"/>
  <c r="S657" i="68"/>
  <c r="AC385" i="68"/>
  <c r="AC447" i="68"/>
  <c r="AC449" i="68" s="1"/>
  <c r="AC435" i="68"/>
  <c r="AC437" i="68" s="1"/>
  <c r="AC373" i="68"/>
  <c r="P435" i="68"/>
  <c r="P437" i="68" s="1"/>
  <c r="P373" i="68"/>
  <c r="W491" i="68"/>
  <c r="W555" i="68" s="1"/>
  <c r="W619" i="68" s="1"/>
  <c r="W490" i="68"/>
  <c r="W487" i="68"/>
  <c r="AE327" i="68"/>
  <c r="AE389" i="68"/>
  <c r="O210" i="68"/>
  <c r="O212" i="68" s="1"/>
  <c r="O148" i="68"/>
  <c r="R157" i="68"/>
  <c r="N382" i="68"/>
  <c r="S525" i="68"/>
  <c r="S587" i="68"/>
  <c r="Q651" i="68"/>
  <c r="Q653" i="68" s="1"/>
  <c r="Q589" i="68"/>
  <c r="AF426" i="68"/>
  <c r="AF428" i="68" s="1"/>
  <c r="AF364" i="68"/>
  <c r="V198" i="68"/>
  <c r="V200" i="68" s="1"/>
  <c r="V136" i="68"/>
  <c r="AE324" i="68"/>
  <c r="AE386" i="68"/>
  <c r="T315" i="68"/>
  <c r="T377" i="68"/>
  <c r="U546" i="68"/>
  <c r="U608" i="68"/>
  <c r="P358" i="68"/>
  <c r="P420" i="68"/>
  <c r="P422" i="68" s="1"/>
  <c r="O516" i="68"/>
  <c r="O578" i="68"/>
  <c r="V204" i="68"/>
  <c r="V206" i="68" s="1"/>
  <c r="V142" i="68"/>
  <c r="AB513" i="68"/>
  <c r="AB575" i="68"/>
  <c r="J291" i="68"/>
  <c r="J353" i="68"/>
  <c r="K487" i="68"/>
  <c r="N405" i="68"/>
  <c r="N407" i="68" s="1"/>
  <c r="N343" i="68"/>
  <c r="Q225" i="68"/>
  <c r="Q227" i="68" s="1"/>
  <c r="Q163" i="68"/>
  <c r="AH213" i="68"/>
  <c r="AH215" i="68" s="1"/>
  <c r="AH151" i="68"/>
  <c r="Z669" i="68"/>
  <c r="Z671" i="68" s="1"/>
  <c r="Z607" i="68"/>
  <c r="AC432" i="68"/>
  <c r="AC434" i="68" s="1"/>
  <c r="AC370" i="68"/>
  <c r="AE408" i="68"/>
  <c r="AE410" i="68" s="1"/>
  <c r="AE346" i="68"/>
  <c r="S666" i="68"/>
  <c r="P450" i="68"/>
  <c r="P452" i="68" s="1"/>
  <c r="P388" i="68"/>
  <c r="O598" i="68"/>
  <c r="O660" i="68"/>
  <c r="O662" i="68" s="1"/>
  <c r="AA402" i="68"/>
  <c r="AA404" i="68" s="1"/>
  <c r="AA340" i="68"/>
  <c r="I574" i="68"/>
  <c r="I636" i="68"/>
  <c r="I638" i="68" s="1"/>
  <c r="Y420" i="68"/>
  <c r="Y422" i="68" s="1"/>
  <c r="Y358" i="68"/>
  <c r="AG490" i="68"/>
  <c r="AG491" i="68"/>
  <c r="AG555" i="68" s="1"/>
  <c r="AG619" i="68" s="1"/>
  <c r="AG487" i="68"/>
  <c r="R285" i="68"/>
  <c r="R347" i="68"/>
  <c r="AB586" i="68"/>
  <c r="AB648" i="68"/>
  <c r="AB650" i="68" s="1"/>
  <c r="AE663" i="68"/>
  <c r="AE665" i="68" s="1"/>
  <c r="AE601" i="68"/>
  <c r="AE198" i="68"/>
  <c r="AE200" i="68" s="1"/>
  <c r="AE136" i="68"/>
  <c r="S309" i="68"/>
  <c r="S371" i="68"/>
  <c r="J668" i="68"/>
  <c r="M279" i="68"/>
  <c r="M341" i="68"/>
  <c r="L303" i="68"/>
  <c r="L365" i="68"/>
  <c r="I376" i="68"/>
  <c r="I438" i="68"/>
  <c r="I440" i="68" s="1"/>
  <c r="AH516" i="68"/>
  <c r="AH578" i="68"/>
  <c r="AD276" i="68"/>
  <c r="AD338" i="68"/>
  <c r="AH549" i="68"/>
  <c r="AH611" i="68"/>
  <c r="P495" i="68"/>
  <c r="P557" i="68"/>
  <c r="AH645" i="68"/>
  <c r="AH647" i="68" s="1"/>
  <c r="AH583" i="68"/>
  <c r="O543" i="68"/>
  <c r="O605" i="68"/>
  <c r="I435" i="68"/>
  <c r="I437" i="68" s="1"/>
  <c r="I373" i="68"/>
  <c r="J651" i="68"/>
  <c r="J653" i="68" s="1"/>
  <c r="J589" i="68"/>
  <c r="T221" i="68"/>
  <c r="O666" i="68"/>
  <c r="Y417" i="68"/>
  <c r="Y419" i="68" s="1"/>
  <c r="Y355" i="68"/>
  <c r="T607" i="68"/>
  <c r="T669" i="68"/>
  <c r="T671" i="68" s="1"/>
  <c r="L540" i="68"/>
  <c r="L602" i="68"/>
  <c r="L426" i="68"/>
  <c r="L428" i="68" s="1"/>
  <c r="L364" i="68"/>
  <c r="W450" i="68"/>
  <c r="W452" i="68" s="1"/>
  <c r="W388" i="68"/>
  <c r="U663" i="68"/>
  <c r="U665" i="68" s="1"/>
  <c r="U601" i="68"/>
  <c r="L285" i="68"/>
  <c r="L347" i="68"/>
  <c r="I367" i="68"/>
  <c r="I429" i="68"/>
  <c r="I431" i="68" s="1"/>
  <c r="AE627" i="68"/>
  <c r="AE629" i="68" s="1"/>
  <c r="AE565" i="68"/>
  <c r="AA417" i="68"/>
  <c r="AA419" i="68" s="1"/>
  <c r="AA355" i="68"/>
  <c r="AA201" i="68"/>
  <c r="AA203" i="68" s="1"/>
  <c r="AA139" i="68"/>
  <c r="AE367" i="68"/>
  <c r="AE429" i="68"/>
  <c r="AE431" i="68" s="1"/>
  <c r="P189" i="68"/>
  <c r="P191" i="68" s="1"/>
  <c r="P127" i="68"/>
  <c r="AA195" i="68"/>
  <c r="AA197" i="68" s="1"/>
  <c r="AA133" i="68"/>
  <c r="N546" i="68"/>
  <c r="N608" i="68"/>
  <c r="X234" i="68"/>
  <c r="X236" i="68" s="1"/>
  <c r="X172" i="68"/>
  <c r="U411" i="68"/>
  <c r="U413" i="68" s="1"/>
  <c r="U349" i="68"/>
  <c r="M216" i="68"/>
  <c r="M218" i="68" s="1"/>
  <c r="M154" i="68"/>
  <c r="Q352" i="68"/>
  <c r="Q414" i="68"/>
  <c r="Q416" i="68" s="1"/>
  <c r="AE225" i="68"/>
  <c r="AE227" i="68" s="1"/>
  <c r="AE163" i="68"/>
  <c r="N627" i="68"/>
  <c r="N629" i="68" s="1"/>
  <c r="N565" i="68"/>
  <c r="U321" i="68"/>
  <c r="U383" i="68"/>
  <c r="AD225" i="68"/>
  <c r="AD227" i="68" s="1"/>
  <c r="AD163" i="68"/>
  <c r="T420" i="68"/>
  <c r="T422" i="68" s="1"/>
  <c r="T358" i="68"/>
  <c r="R648" i="68"/>
  <c r="R650" i="68" s="1"/>
  <c r="R586" i="68"/>
  <c r="X271" i="68"/>
  <c r="X272" i="68"/>
  <c r="X336" i="68" s="1"/>
  <c r="X400" i="68" s="1"/>
  <c r="W288" i="68"/>
  <c r="W350" i="68"/>
  <c r="W648" i="68"/>
  <c r="W650" i="68" s="1"/>
  <c r="W586" i="68"/>
  <c r="Y498" i="68"/>
  <c r="Y560" i="68"/>
  <c r="AF546" i="68"/>
  <c r="AF608" i="68"/>
  <c r="AG303" i="68"/>
  <c r="AG365" i="68"/>
  <c r="AG318" i="68"/>
  <c r="AG380" i="68"/>
  <c r="AF414" i="68"/>
  <c r="AF416" i="68" s="1"/>
  <c r="AF352" i="68"/>
  <c r="N636" i="68"/>
  <c r="N638" i="68" s="1"/>
  <c r="N574" i="68"/>
  <c r="AF195" i="68"/>
  <c r="AF197" i="68" s="1"/>
  <c r="AF133" i="68"/>
  <c r="T402" i="68"/>
  <c r="T404" i="68" s="1"/>
  <c r="T340" i="68"/>
  <c r="AE321" i="68"/>
  <c r="AE383" i="68"/>
  <c r="U435" i="68"/>
  <c r="U437" i="68" s="1"/>
  <c r="U373" i="68"/>
  <c r="AA382" i="68"/>
  <c r="AA444" i="68"/>
  <c r="AA446" i="68" s="1"/>
  <c r="AE571" i="68"/>
  <c r="AE633" i="68"/>
  <c r="AE635" i="68" s="1"/>
  <c r="L414" i="68"/>
  <c r="L416" i="68" s="1"/>
  <c r="L352" i="68"/>
  <c r="M441" i="68"/>
  <c r="M443" i="68" s="1"/>
  <c r="M379" i="68"/>
  <c r="Y53" i="68"/>
  <c r="Y117" i="68" s="1"/>
  <c r="Y181" i="68" s="1"/>
  <c r="Y52" i="68"/>
  <c r="Y49" i="68"/>
  <c r="Z534" i="68"/>
  <c r="Z596" i="68"/>
  <c r="Q303" i="68"/>
  <c r="Q365" i="68"/>
  <c r="AF330" i="68"/>
  <c r="AF392" i="68"/>
  <c r="Y183" i="68"/>
  <c r="Y185" i="68" s="1"/>
  <c r="Y121" i="68"/>
  <c r="AB330" i="68"/>
  <c r="AB393" i="68"/>
  <c r="AB457" i="68" s="1"/>
  <c r="AD490" i="68"/>
  <c r="AD491" i="68"/>
  <c r="AD555" i="68" s="1"/>
  <c r="AD619" i="68" s="1"/>
  <c r="AD487" i="68"/>
  <c r="U279" i="68"/>
  <c r="U341" i="68"/>
  <c r="AC340" i="68"/>
  <c r="AC402" i="68"/>
  <c r="AC404" i="68" s="1"/>
  <c r="Q195" i="68"/>
  <c r="Q197" i="68" s="1"/>
  <c r="Q133" i="68"/>
  <c r="AF645" i="68"/>
  <c r="AF647" i="68" s="1"/>
  <c r="AF583" i="68"/>
  <c r="K501" i="68"/>
  <c r="K563" i="68"/>
  <c r="Y361" i="68"/>
  <c r="Y423" i="68"/>
  <c r="Y425" i="68" s="1"/>
  <c r="P580" i="68"/>
  <c r="P642" i="68"/>
  <c r="P644" i="68" s="1"/>
  <c r="AF309" i="68"/>
  <c r="AF371" i="68"/>
  <c r="AH601" i="68"/>
  <c r="AH663" i="68"/>
  <c r="AH665" i="68" s="1"/>
  <c r="AE417" i="68"/>
  <c r="AE419" i="68" s="1"/>
  <c r="AE355" i="68"/>
  <c r="X666" i="68"/>
  <c r="X668" i="68" s="1"/>
  <c r="X604" i="68"/>
  <c r="AG540" i="68"/>
  <c r="AG602" i="68"/>
  <c r="J213" i="68"/>
  <c r="J215" i="68" s="1"/>
  <c r="J151" i="68"/>
  <c r="R426" i="68"/>
  <c r="R428" i="68" s="1"/>
  <c r="R364" i="68"/>
  <c r="T525" i="68"/>
  <c r="T587" i="68"/>
  <c r="J288" i="68"/>
  <c r="J350" i="68"/>
  <c r="R666" i="68"/>
  <c r="R668" i="68" s="1"/>
  <c r="R604" i="68"/>
  <c r="AE531" i="68"/>
  <c r="AE593" i="68"/>
  <c r="O627" i="68"/>
  <c r="O629" i="68" s="1"/>
  <c r="O565" i="68"/>
  <c r="T516" i="68"/>
  <c r="T578" i="68"/>
  <c r="AD355" i="68"/>
  <c r="AD417" i="68"/>
  <c r="AD419" i="68" s="1"/>
  <c r="AG276" i="68"/>
  <c r="AG338" i="68"/>
  <c r="V282" i="68"/>
  <c r="V344" i="68"/>
  <c r="AA598" i="68"/>
  <c r="AA660" i="68"/>
  <c r="AA662" i="68" s="1"/>
  <c r="AH432" i="68"/>
  <c r="AH434" i="68" s="1"/>
  <c r="AH370" i="68"/>
  <c r="Q216" i="68"/>
  <c r="Q218" i="68" s="1"/>
  <c r="Q154" i="68"/>
  <c r="AC231" i="68"/>
  <c r="AC233" i="68" s="1"/>
  <c r="AC169" i="68"/>
  <c r="Y411" i="68"/>
  <c r="Y413" i="68" s="1"/>
  <c r="Y349" i="68"/>
  <c r="P228" i="68"/>
  <c r="P230" i="68" s="1"/>
  <c r="P166" i="68"/>
  <c r="M666" i="68"/>
  <c r="M668" i="68" s="1"/>
  <c r="M604" i="68"/>
  <c r="N562" i="68"/>
  <c r="N624" i="68"/>
  <c r="N626" i="68" s="1"/>
  <c r="P577" i="68"/>
  <c r="P639" i="68"/>
  <c r="P641" i="68" s="1"/>
  <c r="AH216" i="68"/>
  <c r="AH218" i="68" s="1"/>
  <c r="AH154" i="68"/>
  <c r="AF420" i="68"/>
  <c r="AF422" i="68" s="1"/>
  <c r="AF358" i="68"/>
  <c r="AE186" i="68"/>
  <c r="AE188" i="68" s="1"/>
  <c r="AE124" i="68"/>
  <c r="L210" i="68"/>
  <c r="L212" i="68" s="1"/>
  <c r="L148" i="68"/>
  <c r="K405" i="68"/>
  <c r="K407" i="68" s="1"/>
  <c r="K343" i="68"/>
  <c r="AD621" i="68"/>
  <c r="AD623" i="68" s="1"/>
  <c r="AD559" i="68"/>
  <c r="T271" i="68"/>
  <c r="T272" i="68"/>
  <c r="T336" i="68" s="1"/>
  <c r="T400" i="68" s="1"/>
  <c r="T268" i="68"/>
  <c r="Z510" i="68"/>
  <c r="Z572" i="68"/>
  <c r="R651" i="68"/>
  <c r="R653" i="68" s="1"/>
  <c r="R589" i="68"/>
  <c r="AC303" i="68"/>
  <c r="AC365" i="68"/>
  <c r="AE294" i="68"/>
  <c r="AE356" i="68"/>
  <c r="U297" i="68"/>
  <c r="U359" i="68"/>
  <c r="R221" i="68"/>
  <c r="N446" i="68"/>
  <c r="L306" i="68"/>
  <c r="L368" i="68"/>
  <c r="S504" i="68"/>
  <c r="S566" i="68"/>
  <c r="X577" i="68"/>
  <c r="X639" i="68"/>
  <c r="X641" i="68" s="1"/>
  <c r="AE318" i="68"/>
  <c r="AE380" i="68"/>
  <c r="P522" i="68"/>
  <c r="P584" i="68"/>
  <c r="X651" i="68"/>
  <c r="X653" i="68" s="1"/>
  <c r="X589" i="68"/>
  <c r="I234" i="68"/>
  <c r="I236" i="68" s="1"/>
  <c r="I172" i="68"/>
  <c r="Z531" i="68"/>
  <c r="Z593" i="68"/>
  <c r="AC571" i="68"/>
  <c r="AC633" i="68"/>
  <c r="AC635" i="68" s="1"/>
  <c r="R537" i="68"/>
  <c r="R599" i="68"/>
  <c r="L627" i="68"/>
  <c r="L629" i="68" s="1"/>
  <c r="L565" i="68"/>
  <c r="K186" i="68"/>
  <c r="K188" i="68" s="1"/>
  <c r="K124" i="68"/>
  <c r="R636" i="68"/>
  <c r="R638" i="68" s="1"/>
  <c r="AD531" i="68"/>
  <c r="AD593" i="68"/>
  <c r="AE288" i="68"/>
  <c r="AE350" i="68"/>
  <c r="AE405" i="68"/>
  <c r="AE407" i="68" s="1"/>
  <c r="AE343" i="68"/>
  <c r="AB222" i="68"/>
  <c r="AB224" i="68" s="1"/>
  <c r="AB160" i="68"/>
  <c r="O405" i="68"/>
  <c r="O407" i="68" s="1"/>
  <c r="O343" i="68"/>
  <c r="Y376" i="68"/>
  <c r="Y438" i="68"/>
  <c r="Y440" i="68" s="1"/>
  <c r="AF204" i="68"/>
  <c r="AF206" i="68" s="1"/>
  <c r="AF142" i="68"/>
  <c r="J204" i="68"/>
  <c r="J206" i="68" s="1"/>
  <c r="J142" i="68"/>
  <c r="AA447" i="68"/>
  <c r="AA449" i="68" s="1"/>
  <c r="AA385" i="68"/>
  <c r="M627" i="68"/>
  <c r="M629" i="68" s="1"/>
  <c r="M565" i="68"/>
  <c r="J672" i="68"/>
  <c r="J674" i="68" s="1"/>
  <c r="J610" i="68"/>
  <c r="M367" i="68"/>
  <c r="M429" i="68"/>
  <c r="M431" i="68" s="1"/>
  <c r="U216" i="68"/>
  <c r="U218" i="68" s="1"/>
  <c r="U154" i="68"/>
  <c r="T183" i="68"/>
  <c r="T185" i="68" s="1"/>
  <c r="T121" i="68"/>
  <c r="N513" i="68"/>
  <c r="N575" i="68"/>
  <c r="W402" i="68"/>
  <c r="W404" i="68" s="1"/>
  <c r="W340" i="68"/>
  <c r="J282" i="68"/>
  <c r="J344" i="68"/>
  <c r="W562" i="68"/>
  <c r="W624" i="68"/>
  <c r="W626" i="68" s="1"/>
  <c r="U408" i="68"/>
  <c r="U410" i="68" s="1"/>
  <c r="U346" i="68"/>
  <c r="M204" i="68"/>
  <c r="M206" i="68" s="1"/>
  <c r="M142" i="68"/>
  <c r="Q507" i="68"/>
  <c r="Q569" i="68"/>
  <c r="R498" i="68"/>
  <c r="R560" i="68"/>
  <c r="AA546" i="68"/>
  <c r="AA608" i="68"/>
  <c r="M272" i="68"/>
  <c r="M336" i="68" s="1"/>
  <c r="M400" i="68" s="1"/>
  <c r="M271" i="68"/>
  <c r="M268" i="68"/>
  <c r="AC610" i="68"/>
  <c r="AC672" i="68"/>
  <c r="AC674" i="68" s="1"/>
  <c r="N321" i="68"/>
  <c r="N384" i="68"/>
  <c r="N448" i="68" s="1"/>
  <c r="L444" i="68"/>
  <c r="L446" i="68" s="1"/>
  <c r="L382" i="68"/>
  <c r="I516" i="68"/>
  <c r="I578" i="68"/>
  <c r="I491" i="68"/>
  <c r="I555" i="68" s="1"/>
  <c r="I619" i="68" s="1"/>
  <c r="I490" i="68"/>
  <c r="I487" i="68"/>
  <c r="AF213" i="68"/>
  <c r="AF215" i="68" s="1"/>
  <c r="AF151" i="68"/>
  <c r="AB219" i="68"/>
  <c r="AB221" i="68" s="1"/>
  <c r="AB157" i="68"/>
  <c r="R228" i="68"/>
  <c r="R230" i="68" s="1"/>
  <c r="R166" i="68"/>
  <c r="I663" i="68"/>
  <c r="I665" i="68" s="1"/>
  <c r="I601" i="68"/>
  <c r="AD268" i="68"/>
  <c r="AD271" i="68"/>
  <c r="AD272" i="68"/>
  <c r="AD336" i="68" s="1"/>
  <c r="AD400" i="68" s="1"/>
  <c r="O645" i="68"/>
  <c r="O647" i="68" s="1"/>
  <c r="O583" i="68"/>
  <c r="R186" i="68"/>
  <c r="R188" i="68" s="1"/>
  <c r="R124" i="68"/>
  <c r="O201" i="68"/>
  <c r="O203" i="68" s="1"/>
  <c r="O139" i="68"/>
  <c r="Z630" i="68"/>
  <c r="Z632" i="68" s="1"/>
  <c r="Z568" i="68"/>
  <c r="O327" i="68"/>
  <c r="O389" i="68"/>
  <c r="N519" i="68"/>
  <c r="N581" i="68"/>
  <c r="AB498" i="68"/>
  <c r="AB560" i="68"/>
  <c r="N213" i="68"/>
  <c r="N215" i="68" s="1"/>
  <c r="N151" i="68"/>
  <c r="AE285" i="68"/>
  <c r="AE347" i="68"/>
  <c r="N630" i="68"/>
  <c r="N632" i="68" s="1"/>
  <c r="N568" i="68"/>
  <c r="AA49" i="68"/>
  <c r="AA52" i="68"/>
  <c r="AA53" i="68"/>
  <c r="AA117" i="68" s="1"/>
  <c r="AA181" i="68" s="1"/>
  <c r="Y543" i="68"/>
  <c r="Y605" i="68"/>
  <c r="AB516" i="68"/>
  <c r="AB578" i="68"/>
  <c r="R630" i="68"/>
  <c r="R632" i="68" s="1"/>
  <c r="R568" i="68"/>
  <c r="AF343" i="68"/>
  <c r="AF405" i="68"/>
  <c r="AF407" i="68" s="1"/>
  <c r="R394" i="68"/>
  <c r="R456" i="68"/>
  <c r="R458" i="68" s="1"/>
  <c r="N234" i="68"/>
  <c r="N236" i="68" s="1"/>
  <c r="N172" i="68"/>
  <c r="AE495" i="68"/>
  <c r="AE557" i="68"/>
  <c r="S216" i="68"/>
  <c r="S218" i="68" s="1"/>
  <c r="S154" i="68"/>
  <c r="V675" i="68"/>
  <c r="V677" i="68" s="1"/>
  <c r="V613" i="68"/>
  <c r="X306" i="68"/>
  <c r="X368" i="68"/>
  <c r="S534" i="68"/>
  <c r="S596" i="68"/>
  <c r="P408" i="68"/>
  <c r="P410" i="68" s="1"/>
  <c r="P346" i="68"/>
  <c r="AE222" i="68"/>
  <c r="AE224" i="68" s="1"/>
  <c r="AE160" i="68"/>
  <c r="AB423" i="68"/>
  <c r="AB425" i="68" s="1"/>
  <c r="AB361" i="68"/>
  <c r="AA189" i="68"/>
  <c r="AA191" i="68" s="1"/>
  <c r="AA127" i="68"/>
  <c r="AC315" i="68"/>
  <c r="AC377" i="68"/>
  <c r="V666" i="68"/>
  <c r="V668" i="68" s="1"/>
  <c r="V604" i="68"/>
  <c r="J222" i="68"/>
  <c r="J224" i="68" s="1"/>
  <c r="J160" i="68"/>
  <c r="O52" i="68"/>
  <c r="O53" i="68"/>
  <c r="O117" i="68" s="1"/>
  <c r="O181" i="68" s="1"/>
  <c r="O49" i="68"/>
  <c r="W408" i="68"/>
  <c r="W410" i="68" s="1"/>
  <c r="W346" i="68"/>
  <c r="L294" i="68"/>
  <c r="L356" i="68"/>
  <c r="N358" i="68"/>
  <c r="N420" i="68"/>
  <c r="N422" i="68" s="1"/>
  <c r="J598" i="68"/>
  <c r="J660" i="68"/>
  <c r="J662" i="68" s="1"/>
  <c r="I519" i="68"/>
  <c r="I581" i="68"/>
  <c r="U183" i="68"/>
  <c r="U185" i="68" s="1"/>
  <c r="U121" i="68"/>
  <c r="AG562" i="68"/>
  <c r="AG624" i="68"/>
  <c r="AG626" i="68" s="1"/>
  <c r="Q450" i="68"/>
  <c r="Q452" i="68" s="1"/>
  <c r="Q388" i="68"/>
  <c r="V525" i="68"/>
  <c r="V587" i="68"/>
  <c r="AB327" i="68"/>
  <c r="AB390" i="68"/>
  <c r="AB454" i="68" s="1"/>
  <c r="Z222" i="68"/>
  <c r="Z224" i="68" s="1"/>
  <c r="Z160" i="68"/>
  <c r="V186" i="68"/>
  <c r="V188" i="68" s="1"/>
  <c r="V124" i="68"/>
  <c r="T429" i="68"/>
  <c r="T431" i="68" s="1"/>
  <c r="T367" i="68"/>
  <c r="Y189" i="68"/>
  <c r="Y191" i="68" s="1"/>
  <c r="Y127" i="68"/>
  <c r="K52" i="68"/>
  <c r="K53" i="68"/>
  <c r="K117" i="68" s="1"/>
  <c r="K181" i="68" s="1"/>
  <c r="K49" i="68"/>
  <c r="W513" i="68"/>
  <c r="W575" i="68"/>
  <c r="K272" i="68"/>
  <c r="K336" i="68" s="1"/>
  <c r="K400" i="68" s="1"/>
  <c r="K271" i="68"/>
  <c r="K268" i="68"/>
  <c r="AB312" i="68"/>
  <c r="AB374" i="68"/>
  <c r="AD411" i="68"/>
  <c r="AD413" i="68" s="1"/>
  <c r="AD349" i="68"/>
  <c r="AD453" i="68"/>
  <c r="AD455" i="68" s="1"/>
  <c r="AD391" i="68"/>
  <c r="R513" i="68"/>
  <c r="R575" i="68"/>
  <c r="AF513" i="68"/>
  <c r="AF575" i="68"/>
  <c r="S491" i="68"/>
  <c r="S555" i="68" s="1"/>
  <c r="S619" i="68" s="1"/>
  <c r="S490" i="68"/>
  <c r="Z663" i="68"/>
  <c r="Z665" i="68" s="1"/>
  <c r="Z601" i="68"/>
  <c r="AA306" i="68"/>
  <c r="AA368" i="68"/>
  <c r="L549" i="68"/>
  <c r="L611" i="68"/>
  <c r="V312" i="68"/>
  <c r="V374" i="68"/>
  <c r="AD543" i="68"/>
  <c r="AD605" i="68"/>
  <c r="Q510" i="68"/>
  <c r="Q572" i="68"/>
  <c r="AG352" i="68"/>
  <c r="AG414" i="68"/>
  <c r="AG416" i="68" s="1"/>
  <c r="T52" i="68"/>
  <c r="T53" i="68"/>
  <c r="T117" i="68" s="1"/>
  <c r="T181" i="68" s="1"/>
  <c r="T49" i="68"/>
  <c r="L531" i="68"/>
  <c r="L593" i="68"/>
  <c r="Y108" i="68"/>
  <c r="Y170" i="68"/>
  <c r="Y639" i="68"/>
  <c r="Y641" i="68" s="1"/>
  <c r="Y577" i="68"/>
  <c r="V429" i="68"/>
  <c r="V431" i="68" s="1"/>
  <c r="V367" i="68"/>
  <c r="M364" i="68"/>
  <c r="M426" i="68"/>
  <c r="M428" i="68" s="1"/>
  <c r="T388" i="68"/>
  <c r="T450" i="68"/>
  <c r="T452" i="68" s="1"/>
  <c r="AG543" i="68"/>
  <c r="AG605" i="68"/>
  <c r="AB234" i="68"/>
  <c r="AB236" i="68" s="1"/>
  <c r="AB172" i="68"/>
  <c r="U105" i="68"/>
  <c r="U167" i="68"/>
  <c r="K432" i="68"/>
  <c r="K434" i="68" s="1"/>
  <c r="K370" i="68"/>
  <c r="M52" i="68"/>
  <c r="M53" i="68"/>
  <c r="M117" i="68" s="1"/>
  <c r="M181" i="68" s="1"/>
  <c r="M49" i="68"/>
  <c r="W426" i="68"/>
  <c r="W428" i="68" s="1"/>
  <c r="W364" i="68"/>
  <c r="K352" i="68"/>
  <c r="K414" i="68"/>
  <c r="K416" i="68" s="1"/>
  <c r="J528" i="68"/>
  <c r="J590" i="68"/>
  <c r="Z562" i="68"/>
  <c r="Z624" i="68"/>
  <c r="Z626" i="68" s="1"/>
  <c r="S423" i="68"/>
  <c r="S425" i="68" s="1"/>
  <c r="S361" i="68"/>
  <c r="Z186" i="68"/>
  <c r="Z188" i="68" s="1"/>
  <c r="Z124" i="68"/>
  <c r="Q426" i="68"/>
  <c r="Q428" i="68" s="1"/>
  <c r="Q364" i="68"/>
  <c r="R192" i="68"/>
  <c r="R194" i="68" s="1"/>
  <c r="R130" i="68"/>
  <c r="AD534" i="68"/>
  <c r="AD596" i="68"/>
  <c r="P534" i="68"/>
  <c r="P596" i="68"/>
  <c r="Y271" i="68"/>
  <c r="Y272" i="68"/>
  <c r="Y336" i="68" s="1"/>
  <c r="Y400" i="68" s="1"/>
  <c r="Y268" i="68"/>
  <c r="Q279" i="68"/>
  <c r="Q341" i="68"/>
  <c r="AB456" i="68"/>
  <c r="AH231" i="68"/>
  <c r="AH233" i="68" s="1"/>
  <c r="AH169" i="68"/>
  <c r="T491" i="68"/>
  <c r="T555" i="68" s="1"/>
  <c r="T619" i="68" s="1"/>
  <c r="T490" i="68"/>
  <c r="T487" i="68"/>
  <c r="AF219" i="68"/>
  <c r="AF221" i="68" s="1"/>
  <c r="AF157" i="68"/>
  <c r="X633" i="68"/>
  <c r="X635" i="68" s="1"/>
  <c r="X571" i="68"/>
  <c r="AB315" i="68"/>
  <c r="AB377" i="68"/>
  <c r="L490" i="68"/>
  <c r="L491" i="68"/>
  <c r="L555" i="68" s="1"/>
  <c r="L619" i="68" s="1"/>
  <c r="Y495" i="68"/>
  <c r="Y557" i="68"/>
  <c r="P276" i="68"/>
  <c r="P338" i="68"/>
  <c r="M411" i="68"/>
  <c r="M413" i="68" s="1"/>
  <c r="M349" i="68"/>
  <c r="N534" i="68"/>
  <c r="N596" i="68"/>
  <c r="J402" i="68"/>
  <c r="J404" i="68" s="1"/>
  <c r="J340" i="68"/>
  <c r="AD288" i="68"/>
  <c r="AD350" i="68"/>
  <c r="AH324" i="68"/>
  <c r="AH386" i="68"/>
  <c r="AG297" i="68"/>
  <c r="AG359" i="68"/>
  <c r="R367" i="68"/>
  <c r="R429" i="68"/>
  <c r="R431" i="68" s="1"/>
  <c r="Y408" i="68"/>
  <c r="Y410" i="68" s="1"/>
  <c r="Y346" i="68"/>
  <c r="P349" i="68"/>
  <c r="P411" i="68"/>
  <c r="P413" i="68" s="1"/>
  <c r="AB373" i="68"/>
  <c r="AB435" i="68"/>
  <c r="AB437" i="68" s="1"/>
  <c r="X549" i="68"/>
  <c r="X611" i="68"/>
  <c r="O549" i="68"/>
  <c r="O612" i="68"/>
  <c r="O676" i="68" s="1"/>
  <c r="AG510" i="68"/>
  <c r="AG572" i="68"/>
  <c r="AA528" i="68"/>
  <c r="AA590" i="68"/>
  <c r="P222" i="68"/>
  <c r="P224" i="68" s="1"/>
  <c r="P160" i="68"/>
  <c r="AG192" i="68"/>
  <c r="AG194" i="68" s="1"/>
  <c r="AG130" i="68"/>
  <c r="AH447" i="68"/>
  <c r="AH449" i="68" s="1"/>
  <c r="AH385" i="68"/>
  <c r="AH559" i="68"/>
  <c r="AH621" i="68"/>
  <c r="AH623" i="68" s="1"/>
  <c r="AH219" i="68"/>
  <c r="AH221" i="68" s="1"/>
  <c r="AH157" i="68"/>
  <c r="Y204" i="68"/>
  <c r="Y206" i="68" s="1"/>
  <c r="Y142" i="68"/>
  <c r="V297" i="68"/>
  <c r="V359" i="68"/>
  <c r="AF534" i="68"/>
  <c r="AF596" i="68"/>
  <c r="L330" i="68"/>
  <c r="L392" i="68"/>
  <c r="Q528" i="68"/>
  <c r="Q590" i="68"/>
  <c r="AG630" i="68"/>
  <c r="AG632" i="68" s="1"/>
  <c r="AG568" i="68"/>
  <c r="AG285" i="68"/>
  <c r="AG347" i="68"/>
  <c r="AA507" i="68"/>
  <c r="AA569" i="68"/>
  <c r="AE525" i="68"/>
  <c r="AE587" i="68"/>
  <c r="P458" i="68"/>
  <c r="AH534" i="68"/>
  <c r="AH596" i="68"/>
  <c r="N408" i="68"/>
  <c r="N410" i="68" s="1"/>
  <c r="N346" i="68"/>
  <c r="V665" i="68"/>
  <c r="U234" i="68"/>
  <c r="U236" i="68" s="1"/>
  <c r="U172" i="68"/>
  <c r="Y432" i="68"/>
  <c r="Y434" i="68" s="1"/>
  <c r="Y370" i="68"/>
  <c r="X490" i="68"/>
  <c r="X491" i="68"/>
  <c r="X555" i="68" s="1"/>
  <c r="X619" i="68" s="1"/>
  <c r="X487" i="68"/>
  <c r="R327" i="68"/>
  <c r="R390" i="68"/>
  <c r="R454" i="68" s="1"/>
  <c r="Q272" i="68"/>
  <c r="Q336" i="68" s="1"/>
  <c r="Q400" i="68" s="1"/>
  <c r="Q271" i="68"/>
  <c r="Q268" i="68"/>
  <c r="S379" i="68"/>
  <c r="S441" i="68"/>
  <c r="S443" i="68" s="1"/>
  <c r="AF666" i="68"/>
  <c r="AF668" i="68" s="1"/>
  <c r="AF604" i="68"/>
  <c r="L234" i="68"/>
  <c r="L236" i="68" s="1"/>
  <c r="L172" i="68"/>
  <c r="Z192" i="68"/>
  <c r="Z194" i="68" s="1"/>
  <c r="Z130" i="68"/>
  <c r="U627" i="68"/>
  <c r="U629" i="68" s="1"/>
  <c r="U565" i="68"/>
  <c r="K300" i="68"/>
  <c r="K362" i="68"/>
  <c r="U318" i="68"/>
  <c r="U381" i="68"/>
  <c r="U445" i="68" s="1"/>
  <c r="X222" i="68"/>
  <c r="X224" i="68" s="1"/>
  <c r="X160" i="68"/>
  <c r="X669" i="68"/>
  <c r="X671" i="68" s="1"/>
  <c r="X607" i="68"/>
  <c r="P627" i="68"/>
  <c r="P629" i="68" s="1"/>
  <c r="P565" i="68"/>
  <c r="J312" i="68"/>
  <c r="J375" i="68"/>
  <c r="J439" i="68" s="1"/>
  <c r="AC525" i="68"/>
  <c r="AC587" i="68"/>
  <c r="U276" i="68"/>
  <c r="U338" i="68"/>
  <c r="O636" i="68"/>
  <c r="O638" i="68" s="1"/>
  <c r="O574" i="68"/>
  <c r="J642" i="68"/>
  <c r="J644" i="68" s="1"/>
  <c r="J580" i="68"/>
  <c r="AF237" i="68"/>
  <c r="AF239" i="68" s="1"/>
  <c r="AF175" i="68"/>
  <c r="M562" i="68"/>
  <c r="M624" i="68"/>
  <c r="M626" i="68" s="1"/>
  <c r="W231" i="68"/>
  <c r="W233" i="68" s="1"/>
  <c r="W169" i="68"/>
  <c r="AC624" i="68"/>
  <c r="AC626" i="68" s="1"/>
  <c r="AC562" i="68"/>
  <c r="Z272" i="68"/>
  <c r="Z336" i="68" s="1"/>
  <c r="Z400" i="68" s="1"/>
  <c r="Z271" i="68"/>
  <c r="Z268" i="68"/>
  <c r="AB300" i="68"/>
  <c r="AB362" i="68"/>
  <c r="O294" i="68"/>
  <c r="O356" i="68"/>
  <c r="M534" i="68"/>
  <c r="M596" i="68"/>
  <c r="I540" i="68"/>
  <c r="I602" i="68"/>
  <c r="T192" i="68"/>
  <c r="T194" i="68" s="1"/>
  <c r="T130" i="68"/>
  <c r="U504" i="68"/>
  <c r="U566" i="68"/>
  <c r="AC636" i="68"/>
  <c r="AC638" i="68" s="1"/>
  <c r="AC574" i="68"/>
  <c r="AC376" i="68"/>
  <c r="AC438" i="68"/>
  <c r="AC440" i="68" s="1"/>
  <c r="K404" i="68"/>
  <c r="AE373" i="68"/>
  <c r="AE435" i="68"/>
  <c r="AE437" i="68" s="1"/>
  <c r="L636" i="68"/>
  <c r="L638" i="68" s="1"/>
  <c r="L574" i="68"/>
  <c r="K391" i="68"/>
  <c r="K453" i="68"/>
  <c r="K455" i="68" s="1"/>
  <c r="X330" i="68"/>
  <c r="X392" i="68"/>
  <c r="U414" i="68"/>
  <c r="U416" i="68" s="1"/>
  <c r="U352" i="68"/>
  <c r="Z297" i="68"/>
  <c r="Z359" i="68"/>
  <c r="AC300" i="68"/>
  <c r="AC362" i="68"/>
  <c r="AA559" i="68"/>
  <c r="AA621" i="68"/>
  <c r="AA623" i="68" s="1"/>
  <c r="AH346" i="68"/>
  <c r="AH408" i="68"/>
  <c r="AH410" i="68" s="1"/>
  <c r="AH272" i="68"/>
  <c r="AH336" i="68" s="1"/>
  <c r="AH400" i="68" s="1"/>
  <c r="AH271" i="68"/>
  <c r="AC288" i="68"/>
  <c r="AC350" i="68"/>
  <c r="C17" i="48"/>
  <c r="AB370" i="68" l="1"/>
  <c r="T364" i="68"/>
  <c r="AA604" i="68"/>
  <c r="R607" i="68"/>
  <c r="I613" i="68"/>
  <c r="R583" i="68"/>
  <c r="AB343" i="68"/>
  <c r="AH636" i="68"/>
  <c r="AH638" i="68" s="1"/>
  <c r="K592" i="68"/>
  <c r="P367" i="68"/>
  <c r="AC142" i="68"/>
  <c r="T127" i="68"/>
  <c r="K411" i="68"/>
  <c r="K413" i="68" s="1"/>
  <c r="AF361" i="68"/>
  <c r="Y568" i="68"/>
  <c r="S370" i="68"/>
  <c r="AE423" i="68"/>
  <c r="AE425" i="68" s="1"/>
  <c r="T675" i="68"/>
  <c r="T677" i="68" s="1"/>
  <c r="AG391" i="68"/>
  <c r="AA175" i="68"/>
  <c r="J373" i="68"/>
  <c r="S571" i="68"/>
  <c r="AH654" i="68"/>
  <c r="AH656" i="68" s="1"/>
  <c r="AB559" i="68"/>
  <c r="R370" i="68"/>
  <c r="Z666" i="68"/>
  <c r="Z668" i="68" s="1"/>
  <c r="Z388" i="68"/>
  <c r="AC391" i="68"/>
  <c r="AC654" i="68"/>
  <c r="AC656" i="68" s="1"/>
  <c r="R633" i="68"/>
  <c r="R635" i="68" s="1"/>
  <c r="AD648" i="68"/>
  <c r="AD650" i="68" s="1"/>
  <c r="S565" i="68"/>
  <c r="AF379" i="68"/>
  <c r="S562" i="68"/>
  <c r="AH607" i="68"/>
  <c r="Y175" i="68"/>
  <c r="AG163" i="68"/>
  <c r="V662" i="68"/>
  <c r="X610" i="68"/>
  <c r="P364" i="68"/>
  <c r="T654" i="68"/>
  <c r="T656" i="68" s="1"/>
  <c r="J583" i="68"/>
  <c r="Q565" i="68"/>
  <c r="AH364" i="68"/>
  <c r="AE426" i="68"/>
  <c r="AE428" i="68" s="1"/>
  <c r="W385" i="68"/>
  <c r="AA186" i="68"/>
  <c r="AA188" i="68" s="1"/>
  <c r="AA124" i="68"/>
  <c r="AG145" i="68"/>
  <c r="AG207" i="68"/>
  <c r="AG209" i="68" s="1"/>
  <c r="AB127" i="68"/>
  <c r="AB189" i="68"/>
  <c r="AB191" i="68" s="1"/>
  <c r="I231" i="68"/>
  <c r="I233" i="68" s="1"/>
  <c r="I169" i="68"/>
  <c r="AB367" i="68"/>
  <c r="L568" i="68"/>
  <c r="AH343" i="68"/>
  <c r="AG222" i="68"/>
  <c r="AG224" i="68" s="1"/>
  <c r="AG160" i="68"/>
  <c r="I213" i="68"/>
  <c r="I215" i="68" s="1"/>
  <c r="I151" i="68"/>
  <c r="W210" i="68"/>
  <c r="W212" i="68" s="1"/>
  <c r="W148" i="68"/>
  <c r="S668" i="68"/>
  <c r="AF192" i="68"/>
  <c r="AF194" i="68" s="1"/>
  <c r="AF130" i="68"/>
  <c r="S604" i="68"/>
  <c r="Q674" i="68"/>
  <c r="W121" i="68"/>
  <c r="P379" i="68"/>
  <c r="P204" i="68"/>
  <c r="P206" i="68" s="1"/>
  <c r="P142" i="68"/>
  <c r="N192" i="68"/>
  <c r="N194" i="68" s="1"/>
  <c r="N130" i="68"/>
  <c r="AG216" i="68"/>
  <c r="AG218" i="68" s="1"/>
  <c r="AG154" i="68"/>
  <c r="N355" i="68"/>
  <c r="R592" i="68"/>
  <c r="O189" i="68"/>
  <c r="O191" i="68" s="1"/>
  <c r="O127" i="68"/>
  <c r="I199" i="68"/>
  <c r="I200" i="68" s="1"/>
  <c r="I136" i="68"/>
  <c r="T201" i="68"/>
  <c r="T203" i="68" s="1"/>
  <c r="T139" i="68"/>
  <c r="AF186" i="68"/>
  <c r="AF188" i="68" s="1"/>
  <c r="AF124" i="68"/>
  <c r="L189" i="68"/>
  <c r="L191" i="68" s="1"/>
  <c r="L127" i="68"/>
  <c r="AC183" i="68"/>
  <c r="AC185" i="68" s="1"/>
  <c r="AC121" i="68"/>
  <c r="W163" i="68"/>
  <c r="L222" i="68"/>
  <c r="L224" i="68" s="1"/>
  <c r="L160" i="68"/>
  <c r="T231" i="68"/>
  <c r="T233" i="68" s="1"/>
  <c r="T169" i="68"/>
  <c r="Q189" i="68"/>
  <c r="Q191" i="68" s="1"/>
  <c r="Q127" i="68"/>
  <c r="Q192" i="68"/>
  <c r="Q194" i="68" s="1"/>
  <c r="Q130" i="68"/>
  <c r="Z133" i="68"/>
  <c r="Z195" i="68"/>
  <c r="Z197" i="68" s="1"/>
  <c r="Q559" i="68"/>
  <c r="AB195" i="68"/>
  <c r="AB197" i="68" s="1"/>
  <c r="AB133" i="68"/>
  <c r="N219" i="68"/>
  <c r="N221" i="68" s="1"/>
  <c r="N157" i="68"/>
  <c r="T234" i="68"/>
  <c r="T236" i="68" s="1"/>
  <c r="T172" i="68"/>
  <c r="J595" i="68"/>
  <c r="W192" i="68"/>
  <c r="W194" i="68" s="1"/>
  <c r="W130" i="68"/>
  <c r="AD610" i="68"/>
  <c r="AB458" i="68"/>
  <c r="V373" i="68"/>
  <c r="AF210" i="68"/>
  <c r="AF212" i="68" s="1"/>
  <c r="AF148" i="68"/>
  <c r="X225" i="68"/>
  <c r="X227" i="68" s="1"/>
  <c r="X163" i="68"/>
  <c r="V201" i="68"/>
  <c r="V203" i="68" s="1"/>
  <c r="V139" i="68"/>
  <c r="V598" i="68"/>
  <c r="Q610" i="68"/>
  <c r="P443" i="68"/>
  <c r="S388" i="68"/>
  <c r="AC458" i="68"/>
  <c r="V659" i="68"/>
  <c r="O668" i="68"/>
  <c r="S595" i="68"/>
  <c r="S659" i="68"/>
  <c r="J623" i="68"/>
  <c r="T665" i="68"/>
  <c r="T601" i="68"/>
  <c r="O604" i="68"/>
  <c r="R624" i="68"/>
  <c r="R626" i="68" s="1"/>
  <c r="R562" i="68"/>
  <c r="K426" i="68"/>
  <c r="K428" i="68" s="1"/>
  <c r="K364" i="68"/>
  <c r="V361" i="68"/>
  <c r="V423" i="68"/>
  <c r="V425" i="68" s="1"/>
  <c r="T54" i="68"/>
  <c r="T112" i="68" s="1"/>
  <c r="T116" i="68"/>
  <c r="AB642" i="68"/>
  <c r="AB644" i="68" s="1"/>
  <c r="AB580" i="68"/>
  <c r="U630" i="68"/>
  <c r="U632" i="68" s="1"/>
  <c r="U568" i="68"/>
  <c r="M660" i="68"/>
  <c r="M662" i="68" s="1"/>
  <c r="M598" i="68"/>
  <c r="V376" i="68"/>
  <c r="V438" i="68"/>
  <c r="V440" i="68" s="1"/>
  <c r="S492" i="68"/>
  <c r="S550" i="68" s="1"/>
  <c r="S554" i="68"/>
  <c r="V589" i="68"/>
  <c r="V651" i="68"/>
  <c r="V653" i="68" s="1"/>
  <c r="I645" i="68"/>
  <c r="I647" i="68" s="1"/>
  <c r="I583" i="68"/>
  <c r="M273" i="68"/>
  <c r="M331" i="68" s="1"/>
  <c r="M335" i="68"/>
  <c r="Q571" i="68"/>
  <c r="Q633" i="68"/>
  <c r="Q635" i="68" s="1"/>
  <c r="P648" i="68"/>
  <c r="P650" i="68" s="1"/>
  <c r="P586" i="68"/>
  <c r="L432" i="68"/>
  <c r="L434" i="68" s="1"/>
  <c r="L370" i="68"/>
  <c r="AH613" i="68"/>
  <c r="AH675" i="68"/>
  <c r="AH677" i="68" s="1"/>
  <c r="M405" i="68"/>
  <c r="M407" i="68" s="1"/>
  <c r="M343" i="68"/>
  <c r="AB577" i="68"/>
  <c r="AB639" i="68"/>
  <c r="AB641" i="68" s="1"/>
  <c r="T379" i="68"/>
  <c r="T441" i="68"/>
  <c r="T443" i="68" s="1"/>
  <c r="S651" i="68"/>
  <c r="S653" i="68" s="1"/>
  <c r="S589" i="68"/>
  <c r="AE391" i="68"/>
  <c r="AE453" i="68"/>
  <c r="AE455" i="68" s="1"/>
  <c r="U54" i="68"/>
  <c r="U112" i="68" s="1"/>
  <c r="U116" i="68"/>
  <c r="S453" i="68"/>
  <c r="S455" i="68" s="1"/>
  <c r="S391" i="68"/>
  <c r="AH402" i="68"/>
  <c r="AH404" i="68" s="1"/>
  <c r="AH340" i="68"/>
  <c r="AB54" i="68"/>
  <c r="AB112" i="68" s="1"/>
  <c r="AB116" i="68"/>
  <c r="J659" i="68"/>
  <c r="Y654" i="68"/>
  <c r="Y656" i="68" s="1"/>
  <c r="Y592" i="68"/>
  <c r="AE642" i="68"/>
  <c r="AE644" i="68" s="1"/>
  <c r="AE580" i="68"/>
  <c r="U376" i="68"/>
  <c r="U438" i="68"/>
  <c r="U440" i="68" s="1"/>
  <c r="T621" i="68"/>
  <c r="T623" i="68" s="1"/>
  <c r="T559" i="68"/>
  <c r="J358" i="68"/>
  <c r="J420" i="68"/>
  <c r="J422" i="68" s="1"/>
  <c r="P583" i="68"/>
  <c r="P645" i="68"/>
  <c r="P647" i="68" s="1"/>
  <c r="T657" i="68"/>
  <c r="T659" i="68" s="1"/>
  <c r="T595" i="68"/>
  <c r="AB607" i="68"/>
  <c r="AB669" i="68"/>
  <c r="AB671" i="68" s="1"/>
  <c r="V54" i="68"/>
  <c r="V112" i="68" s="1"/>
  <c r="V116" i="68"/>
  <c r="I423" i="68"/>
  <c r="I425" i="68" s="1"/>
  <c r="I361" i="68"/>
  <c r="O364" i="68"/>
  <c r="O426" i="68"/>
  <c r="O428" i="68" s="1"/>
  <c r="AF382" i="68"/>
  <c r="AF444" i="68"/>
  <c r="AF446" i="68" s="1"/>
  <c r="V447" i="68"/>
  <c r="V449" i="68" s="1"/>
  <c r="V385" i="68"/>
  <c r="P624" i="68"/>
  <c r="P626" i="68" s="1"/>
  <c r="P562" i="68"/>
  <c r="S672" i="68"/>
  <c r="S674" i="68" s="1"/>
  <c r="S610" i="68"/>
  <c r="O447" i="68"/>
  <c r="O449" i="68" s="1"/>
  <c r="O385" i="68"/>
  <c r="P672" i="68"/>
  <c r="P674" i="68" s="1"/>
  <c r="P610" i="68"/>
  <c r="AD580" i="68"/>
  <c r="AD642" i="68"/>
  <c r="AD644" i="68" s="1"/>
  <c r="Z358" i="68"/>
  <c r="Z420" i="68"/>
  <c r="Z422" i="68" s="1"/>
  <c r="AE492" i="68"/>
  <c r="AE550" i="68" s="1"/>
  <c r="AE554" i="68"/>
  <c r="M492" i="68"/>
  <c r="M550" i="68" s="1"/>
  <c r="M554" i="68"/>
  <c r="M657" i="68"/>
  <c r="M659" i="68" s="1"/>
  <c r="M595" i="68"/>
  <c r="AA423" i="68"/>
  <c r="AA425" i="68" s="1"/>
  <c r="AA361" i="68"/>
  <c r="J492" i="68"/>
  <c r="J550" i="68" s="1"/>
  <c r="J554" i="68"/>
  <c r="N273" i="68"/>
  <c r="N331" i="68" s="1"/>
  <c r="N335" i="68"/>
  <c r="Z613" i="68"/>
  <c r="AB492" i="68"/>
  <c r="AB550" i="68" s="1"/>
  <c r="AB554" i="68"/>
  <c r="AE54" i="68"/>
  <c r="AE112" i="68" s="1"/>
  <c r="AE116" i="68"/>
  <c r="AE669" i="68"/>
  <c r="AE671" i="68" s="1"/>
  <c r="AE607" i="68"/>
  <c r="Q577" i="68"/>
  <c r="Q639" i="68"/>
  <c r="Q641" i="68" s="1"/>
  <c r="I450" i="68"/>
  <c r="I452" i="68" s="1"/>
  <c r="I388" i="68"/>
  <c r="AA645" i="68"/>
  <c r="AA647" i="68" s="1"/>
  <c r="AA583" i="68"/>
  <c r="AG441" i="68"/>
  <c r="AG443" i="68" s="1"/>
  <c r="AG379" i="68"/>
  <c r="N648" i="68"/>
  <c r="N650" i="68" s="1"/>
  <c r="N586" i="68"/>
  <c r="AH54" i="68"/>
  <c r="AH112" i="68" s="1"/>
  <c r="AH116" i="68"/>
  <c r="I623" i="68"/>
  <c r="N441" i="68"/>
  <c r="N443" i="68" s="1"/>
  <c r="N379" i="68"/>
  <c r="P654" i="68"/>
  <c r="P656" i="68" s="1"/>
  <c r="P592" i="68"/>
  <c r="Z54" i="68"/>
  <c r="Z112" i="68" s="1"/>
  <c r="Z116" i="68"/>
  <c r="O358" i="68"/>
  <c r="O420" i="68"/>
  <c r="O422" i="68" s="1"/>
  <c r="AH273" i="68"/>
  <c r="AH331" i="68" s="1"/>
  <c r="AH335" i="68"/>
  <c r="AH660" i="68"/>
  <c r="AH662" i="68" s="1"/>
  <c r="AH598" i="68"/>
  <c r="Q405" i="68"/>
  <c r="Q407" i="68" s="1"/>
  <c r="Q343" i="68"/>
  <c r="Y234" i="68"/>
  <c r="Y236" i="68" s="1"/>
  <c r="Y172" i="68"/>
  <c r="K273" i="68"/>
  <c r="K331" i="68" s="1"/>
  <c r="K335" i="68"/>
  <c r="AC364" i="68"/>
  <c r="AC426" i="68"/>
  <c r="AC428" i="68" s="1"/>
  <c r="Q273" i="68"/>
  <c r="Q331" i="68" s="1"/>
  <c r="Q335" i="68"/>
  <c r="Q654" i="68"/>
  <c r="Q656" i="68" s="1"/>
  <c r="Q592" i="68"/>
  <c r="AG636" i="68"/>
  <c r="AG638" i="68" s="1"/>
  <c r="AG574" i="68"/>
  <c r="AG423" i="68"/>
  <c r="AG425" i="68" s="1"/>
  <c r="AG361" i="68"/>
  <c r="AG669" i="68"/>
  <c r="AG671" i="68" s="1"/>
  <c r="AG607" i="68"/>
  <c r="W639" i="68"/>
  <c r="W641" i="68" s="1"/>
  <c r="W577" i="68"/>
  <c r="AC379" i="68"/>
  <c r="AC441" i="68"/>
  <c r="AC443" i="68" s="1"/>
  <c r="Y607" i="68"/>
  <c r="Y669" i="68"/>
  <c r="Y671" i="68" s="1"/>
  <c r="O453" i="68"/>
  <c r="O455" i="68" s="1"/>
  <c r="O391" i="68"/>
  <c r="V408" i="68"/>
  <c r="V410" i="68" s="1"/>
  <c r="V346" i="68"/>
  <c r="T642" i="68"/>
  <c r="T644" i="68" s="1"/>
  <c r="T580" i="68"/>
  <c r="AF435" i="68"/>
  <c r="AF437" i="68" s="1"/>
  <c r="AF373" i="68"/>
  <c r="Y54" i="68"/>
  <c r="Y112" i="68" s="1"/>
  <c r="Y116" i="68"/>
  <c r="AE447" i="68"/>
  <c r="AE449" i="68" s="1"/>
  <c r="AE385" i="68"/>
  <c r="U447" i="68"/>
  <c r="U449" i="68" s="1"/>
  <c r="U385" i="68"/>
  <c r="Q648" i="68"/>
  <c r="Q650" i="68" s="1"/>
  <c r="Q586" i="68"/>
  <c r="W273" i="68"/>
  <c r="W331" i="68" s="1"/>
  <c r="W335" i="68"/>
  <c r="I660" i="68"/>
  <c r="I662" i="68" s="1"/>
  <c r="I598" i="68"/>
  <c r="I654" i="68"/>
  <c r="I656" i="68" s="1"/>
  <c r="I592" i="68"/>
  <c r="AF630" i="68"/>
  <c r="AF632" i="68" s="1"/>
  <c r="AF568" i="68"/>
  <c r="U651" i="68"/>
  <c r="U653" i="68" s="1"/>
  <c r="U589" i="68"/>
  <c r="J444" i="68"/>
  <c r="J446" i="68" s="1"/>
  <c r="J382" i="68"/>
  <c r="M642" i="68"/>
  <c r="M644" i="68" s="1"/>
  <c r="M580" i="68"/>
  <c r="S273" i="68"/>
  <c r="S331" i="68" s="1"/>
  <c r="S335" i="68"/>
  <c r="W621" i="68"/>
  <c r="W623" i="68" s="1"/>
  <c r="W559" i="68"/>
  <c r="K355" i="68"/>
  <c r="K417" i="68"/>
  <c r="K419" i="68" s="1"/>
  <c r="AE654" i="68"/>
  <c r="AE656" i="68" s="1"/>
  <c r="AE592" i="68"/>
  <c r="S54" i="68"/>
  <c r="S112" i="68" s="1"/>
  <c r="S116" i="68"/>
  <c r="AF54" i="68"/>
  <c r="AF112" i="68" s="1"/>
  <c r="AF116" i="68"/>
  <c r="S452" i="68"/>
  <c r="W580" i="68"/>
  <c r="W642" i="68"/>
  <c r="W644" i="68" s="1"/>
  <c r="Y414" i="68"/>
  <c r="Y416" i="68" s="1"/>
  <c r="Y352" i="68"/>
  <c r="Y648" i="68"/>
  <c r="Y650" i="68" s="1"/>
  <c r="Y586" i="68"/>
  <c r="J663" i="68"/>
  <c r="J665" i="68" s="1"/>
  <c r="J601" i="68"/>
  <c r="O654" i="68"/>
  <c r="O656" i="68" s="1"/>
  <c r="O592" i="68"/>
  <c r="AH444" i="68"/>
  <c r="AH446" i="68" s="1"/>
  <c r="AH382" i="68"/>
  <c r="AG675" i="68"/>
  <c r="AG677" i="68" s="1"/>
  <c r="AG613" i="68"/>
  <c r="AB417" i="68"/>
  <c r="AB419" i="68" s="1"/>
  <c r="AB355" i="68"/>
  <c r="J376" i="68"/>
  <c r="AF627" i="68"/>
  <c r="AF629" i="68" s="1"/>
  <c r="AF565" i="68"/>
  <c r="M648" i="68"/>
  <c r="M650" i="68" s="1"/>
  <c r="M586" i="68"/>
  <c r="Z677" i="68"/>
  <c r="N402" i="68"/>
  <c r="N404" i="68" s="1"/>
  <c r="N340" i="68"/>
  <c r="X438" i="68"/>
  <c r="X440" i="68" s="1"/>
  <c r="X376" i="68"/>
  <c r="Q623" i="68"/>
  <c r="L355" i="68"/>
  <c r="L417" i="68"/>
  <c r="L419" i="68" s="1"/>
  <c r="W441" i="68"/>
  <c r="W443" i="68" s="1"/>
  <c r="W379" i="68"/>
  <c r="AA273" i="68"/>
  <c r="AA331" i="68" s="1"/>
  <c r="AA335" i="68"/>
  <c r="AB391" i="68"/>
  <c r="N432" i="68"/>
  <c r="N434" i="68" s="1"/>
  <c r="N370" i="68"/>
  <c r="I420" i="68"/>
  <c r="I422" i="68" s="1"/>
  <c r="I358" i="68"/>
  <c r="AA441" i="68"/>
  <c r="AA443" i="68" s="1"/>
  <c r="AA379" i="68"/>
  <c r="T577" i="68"/>
  <c r="T639" i="68"/>
  <c r="T641" i="68" s="1"/>
  <c r="I394" i="68"/>
  <c r="I456" i="68"/>
  <c r="I458" i="68" s="1"/>
  <c r="L660" i="68"/>
  <c r="L662" i="68" s="1"/>
  <c r="L598" i="68"/>
  <c r="P453" i="68"/>
  <c r="P455" i="68" s="1"/>
  <c r="P391" i="68"/>
  <c r="O273" i="68"/>
  <c r="O331" i="68" s="1"/>
  <c r="O335" i="68"/>
  <c r="V492" i="68"/>
  <c r="V550" i="68" s="1"/>
  <c r="V554" i="68"/>
  <c r="M574" i="68"/>
  <c r="M636" i="68"/>
  <c r="M638" i="68" s="1"/>
  <c r="L633" i="68"/>
  <c r="L635" i="68" s="1"/>
  <c r="L571" i="68"/>
  <c r="L492" i="68"/>
  <c r="L550" i="68" s="1"/>
  <c r="L554" i="68"/>
  <c r="J592" i="68"/>
  <c r="J654" i="68"/>
  <c r="J656" i="68" s="1"/>
  <c r="AF639" i="68"/>
  <c r="AF641" i="68" s="1"/>
  <c r="AF577" i="68"/>
  <c r="AE411" i="68"/>
  <c r="AE413" i="68" s="1"/>
  <c r="AE349" i="68"/>
  <c r="AA672" i="68"/>
  <c r="AA674" i="68" s="1"/>
  <c r="AA610" i="68"/>
  <c r="AD657" i="68"/>
  <c r="AD659" i="68" s="1"/>
  <c r="AD595" i="68"/>
  <c r="Z657" i="68"/>
  <c r="Z659" i="68" s="1"/>
  <c r="Z595" i="68"/>
  <c r="AC429" i="68"/>
  <c r="AC431" i="68" s="1"/>
  <c r="AC367" i="68"/>
  <c r="AF394" i="68"/>
  <c r="AF456" i="68"/>
  <c r="AF458" i="68" s="1"/>
  <c r="X273" i="68"/>
  <c r="X331" i="68" s="1"/>
  <c r="X335" i="68"/>
  <c r="O669" i="68"/>
  <c r="O671" i="68" s="1"/>
  <c r="O607" i="68"/>
  <c r="AD402" i="68"/>
  <c r="AD404" i="68" s="1"/>
  <c r="AD340" i="68"/>
  <c r="P447" i="68"/>
  <c r="P449" i="68" s="1"/>
  <c r="P385" i="68"/>
  <c r="J675" i="68"/>
  <c r="J677" i="68" s="1"/>
  <c r="J613" i="68"/>
  <c r="X580" i="68"/>
  <c r="X642" i="68"/>
  <c r="X644" i="68" s="1"/>
  <c r="X379" i="68"/>
  <c r="X441" i="68"/>
  <c r="X443" i="68" s="1"/>
  <c r="Y429" i="68"/>
  <c r="Y431" i="68" s="1"/>
  <c r="Y367" i="68"/>
  <c r="R388" i="68"/>
  <c r="R450" i="68"/>
  <c r="R452" i="68" s="1"/>
  <c r="S367" i="68"/>
  <c r="S429" i="68"/>
  <c r="S431" i="68" s="1"/>
  <c r="V414" i="68"/>
  <c r="V416" i="68" s="1"/>
  <c r="V352" i="68"/>
  <c r="O601" i="68"/>
  <c r="O663" i="68"/>
  <c r="O665" i="68" s="1"/>
  <c r="Z444" i="68"/>
  <c r="Z446" i="68" s="1"/>
  <c r="Z382" i="68"/>
  <c r="AC423" i="68"/>
  <c r="AC425" i="68" s="1"/>
  <c r="AC361" i="68"/>
  <c r="U648" i="68"/>
  <c r="U650" i="68" s="1"/>
  <c r="U586" i="68"/>
  <c r="AA456" i="68"/>
  <c r="AA458" i="68" s="1"/>
  <c r="AA394" i="68"/>
  <c r="N592" i="68"/>
  <c r="N654" i="68"/>
  <c r="N656" i="68" s="1"/>
  <c r="W382" i="68"/>
  <c r="W444" i="68"/>
  <c r="W446" i="68" s="1"/>
  <c r="AG651" i="68"/>
  <c r="AG653" i="68" s="1"/>
  <c r="AG589" i="68"/>
  <c r="AC355" i="68"/>
  <c r="AC417" i="68"/>
  <c r="AC419" i="68" s="1"/>
  <c r="AE604" i="68"/>
  <c r="AE666" i="68"/>
  <c r="AE668" i="68" s="1"/>
  <c r="AF447" i="68"/>
  <c r="AF449" i="68" s="1"/>
  <c r="AF385" i="68"/>
  <c r="J440" i="68"/>
  <c r="AD54" i="68"/>
  <c r="AD112" i="68" s="1"/>
  <c r="AD116" i="68"/>
  <c r="Y492" i="68"/>
  <c r="Y550" i="68" s="1"/>
  <c r="Y554" i="68"/>
  <c r="AF417" i="68"/>
  <c r="AF419" i="68" s="1"/>
  <c r="AF355" i="68"/>
  <c r="Z408" i="68"/>
  <c r="Z410" i="68" s="1"/>
  <c r="Z346" i="68"/>
  <c r="AD589" i="68"/>
  <c r="AD651" i="68"/>
  <c r="AD653" i="68" s="1"/>
  <c r="W672" i="68"/>
  <c r="W674" i="68" s="1"/>
  <c r="W610" i="68"/>
  <c r="Z492" i="68"/>
  <c r="Z550" i="68" s="1"/>
  <c r="Z554" i="68"/>
  <c r="L54" i="68"/>
  <c r="L112" i="68" s="1"/>
  <c r="L116" i="68"/>
  <c r="AB455" i="68"/>
  <c r="AB610" i="68"/>
  <c r="W54" i="68"/>
  <c r="W112" i="68" s="1"/>
  <c r="W116" i="68"/>
  <c r="X121" i="68"/>
  <c r="O577" i="68"/>
  <c r="O639" i="68"/>
  <c r="O641" i="68" s="1"/>
  <c r="I666" i="68"/>
  <c r="I668" i="68" s="1"/>
  <c r="I604" i="68"/>
  <c r="AD660" i="68"/>
  <c r="AD662" i="68" s="1"/>
  <c r="AD598" i="68"/>
  <c r="AA432" i="68"/>
  <c r="AA434" i="68" s="1"/>
  <c r="AA370" i="68"/>
  <c r="AE651" i="68"/>
  <c r="AE653" i="68" s="1"/>
  <c r="AE589" i="68"/>
  <c r="M54" i="68"/>
  <c r="M112" i="68" s="1"/>
  <c r="M116" i="68"/>
  <c r="Q574" i="68"/>
  <c r="Q636" i="68"/>
  <c r="Q638" i="68" s="1"/>
  <c r="X456" i="68"/>
  <c r="X458" i="68" s="1"/>
  <c r="X394" i="68"/>
  <c r="U402" i="68"/>
  <c r="U404" i="68" s="1"/>
  <c r="U340" i="68"/>
  <c r="L456" i="68"/>
  <c r="L458" i="68" s="1"/>
  <c r="L394" i="68"/>
  <c r="AH450" i="68"/>
  <c r="AH452" i="68" s="1"/>
  <c r="AH388" i="68"/>
  <c r="N660" i="68"/>
  <c r="N662" i="68" s="1"/>
  <c r="N598" i="68"/>
  <c r="P340" i="68"/>
  <c r="P402" i="68"/>
  <c r="P404" i="68" s="1"/>
  <c r="AB441" i="68"/>
  <c r="AB443" i="68" s="1"/>
  <c r="AB379" i="68"/>
  <c r="Y273" i="68"/>
  <c r="Y331" i="68" s="1"/>
  <c r="Y335" i="68"/>
  <c r="L657" i="68"/>
  <c r="L659" i="68" s="1"/>
  <c r="L595" i="68"/>
  <c r="S660" i="68"/>
  <c r="S662" i="68" s="1"/>
  <c r="S598" i="68"/>
  <c r="AB624" i="68"/>
  <c r="AB626" i="68" s="1"/>
  <c r="AB562" i="68"/>
  <c r="I492" i="68"/>
  <c r="I550" i="68" s="1"/>
  <c r="I554" i="68"/>
  <c r="AG340" i="68"/>
  <c r="AG402" i="68"/>
  <c r="AG404" i="68" s="1"/>
  <c r="J414" i="68"/>
  <c r="J416" i="68" s="1"/>
  <c r="J352" i="68"/>
  <c r="K627" i="68"/>
  <c r="K629" i="68" s="1"/>
  <c r="K565" i="68"/>
  <c r="AD492" i="68"/>
  <c r="AD550" i="68" s="1"/>
  <c r="AD554" i="68"/>
  <c r="AG429" i="68"/>
  <c r="AG431" i="68" s="1"/>
  <c r="AG367" i="68"/>
  <c r="S435" i="68"/>
  <c r="S437" i="68" s="1"/>
  <c r="S373" i="68"/>
  <c r="R411" i="68"/>
  <c r="R413" i="68" s="1"/>
  <c r="R349" i="68"/>
  <c r="W492" i="68"/>
  <c r="W550" i="68" s="1"/>
  <c r="W554" i="68"/>
  <c r="AF391" i="68"/>
  <c r="AF453" i="68"/>
  <c r="AF455" i="68" s="1"/>
  <c r="Q444" i="68"/>
  <c r="Q446" i="68" s="1"/>
  <c r="Q382" i="68"/>
  <c r="J559" i="68"/>
  <c r="N453" i="68"/>
  <c r="N455" i="68" s="1"/>
  <c r="N391" i="68"/>
  <c r="AH627" i="68"/>
  <c r="AH629" i="68" s="1"/>
  <c r="AH565" i="68"/>
  <c r="AD444" i="68"/>
  <c r="AD446" i="68" s="1"/>
  <c r="AD382" i="68"/>
  <c r="V642" i="68"/>
  <c r="V644" i="68" s="1"/>
  <c r="V580" i="68"/>
  <c r="X574" i="68"/>
  <c r="X636" i="68"/>
  <c r="X638" i="68" s="1"/>
  <c r="AA657" i="68"/>
  <c r="AA659" i="68" s="1"/>
  <c r="AA595" i="68"/>
  <c r="AC450" i="68"/>
  <c r="AC452" i="68" s="1"/>
  <c r="AC388" i="68"/>
  <c r="AC492" i="68"/>
  <c r="AC550" i="68" s="1"/>
  <c r="AC554" i="68"/>
  <c r="U456" i="68"/>
  <c r="U458" i="68" s="1"/>
  <c r="U394" i="68"/>
  <c r="X660" i="68"/>
  <c r="X662" i="68" s="1"/>
  <c r="X598" i="68"/>
  <c r="J54" i="68"/>
  <c r="J112" i="68" s="1"/>
  <c r="J116" i="68"/>
  <c r="AE456" i="68"/>
  <c r="AE458" i="68" s="1"/>
  <c r="AE394" i="68"/>
  <c r="K669" i="68"/>
  <c r="K671" i="68" s="1"/>
  <c r="K607" i="68"/>
  <c r="I273" i="68"/>
  <c r="I331" i="68" s="1"/>
  <c r="I335" i="68"/>
  <c r="P54" i="68"/>
  <c r="P112" i="68" s="1"/>
  <c r="P116" i="68"/>
  <c r="L583" i="68"/>
  <c r="L645" i="68"/>
  <c r="L647" i="68" s="1"/>
  <c r="Q492" i="68"/>
  <c r="Q550" i="68" s="1"/>
  <c r="Q554" i="68"/>
  <c r="V273" i="68"/>
  <c r="V331" i="68" s="1"/>
  <c r="V335" i="68"/>
  <c r="K361" i="68"/>
  <c r="K423" i="68"/>
  <c r="K425" i="68" s="1"/>
  <c r="S402" i="68"/>
  <c r="S404" i="68" s="1"/>
  <c r="S340" i="68"/>
  <c r="AB633" i="68"/>
  <c r="AB635" i="68" s="1"/>
  <c r="AB571" i="68"/>
  <c r="V595" i="68"/>
  <c r="J636" i="68"/>
  <c r="J638" i="68" s="1"/>
  <c r="J574" i="68"/>
  <c r="W592" i="68"/>
  <c r="W654" i="68"/>
  <c r="W656" i="68" s="1"/>
  <c r="W361" i="68"/>
  <c r="W423" i="68"/>
  <c r="W425" i="68" s="1"/>
  <c r="AD432" i="68"/>
  <c r="AD434" i="68" s="1"/>
  <c r="AD370" i="68"/>
  <c r="U446" i="68"/>
  <c r="W598" i="68"/>
  <c r="W660" i="68"/>
  <c r="W662" i="68" s="1"/>
  <c r="Z627" i="68"/>
  <c r="Z629" i="68" s="1"/>
  <c r="Z565" i="68"/>
  <c r="AC394" i="68"/>
  <c r="S364" i="68"/>
  <c r="S426" i="68"/>
  <c r="S428" i="68" s="1"/>
  <c r="K408" i="68"/>
  <c r="K410" i="68" s="1"/>
  <c r="K346" i="68"/>
  <c r="R54" i="68"/>
  <c r="R112" i="68" s="1"/>
  <c r="R116" i="68"/>
  <c r="K420" i="68"/>
  <c r="K422" i="68" s="1"/>
  <c r="K358" i="68"/>
  <c r="M414" i="68"/>
  <c r="M416" i="68" s="1"/>
  <c r="M352" i="68"/>
  <c r="AE648" i="68"/>
  <c r="AE650" i="68" s="1"/>
  <c r="AE586" i="68"/>
  <c r="Y441" i="68"/>
  <c r="Y443" i="68" s="1"/>
  <c r="Y379" i="68"/>
  <c r="AA642" i="68"/>
  <c r="AA644" i="68" s="1"/>
  <c r="AA580" i="68"/>
  <c r="I627" i="68"/>
  <c r="I629" i="68" s="1"/>
  <c r="I565" i="68"/>
  <c r="U492" i="68"/>
  <c r="U550" i="68" s="1"/>
  <c r="U554" i="68"/>
  <c r="AH492" i="68"/>
  <c r="AH550" i="68" s="1"/>
  <c r="AH554" i="68"/>
  <c r="Z447" i="68"/>
  <c r="Z449" i="68" s="1"/>
  <c r="Z385" i="68"/>
  <c r="Q435" i="68"/>
  <c r="Q437" i="68" s="1"/>
  <c r="Q373" i="68"/>
  <c r="AB674" i="68"/>
  <c r="AC54" i="68"/>
  <c r="AC112" i="68" s="1"/>
  <c r="AC116" i="68"/>
  <c r="R565" i="68"/>
  <c r="R627" i="68"/>
  <c r="R629" i="68" s="1"/>
  <c r="X426" i="68"/>
  <c r="X428" i="68" s="1"/>
  <c r="X364" i="68"/>
  <c r="T444" i="68"/>
  <c r="T446" i="68" s="1"/>
  <c r="T382" i="68"/>
  <c r="T370" i="68"/>
  <c r="T432" i="68"/>
  <c r="T434" i="68" s="1"/>
  <c r="X185" i="68"/>
  <c r="AD394" i="68"/>
  <c r="AD456" i="68"/>
  <c r="AD458" i="68" s="1"/>
  <c r="I405" i="68"/>
  <c r="I407" i="68" s="1"/>
  <c r="I343" i="68"/>
  <c r="AA633" i="68"/>
  <c r="AA635" i="68" s="1"/>
  <c r="AA571" i="68"/>
  <c r="P598" i="68"/>
  <c r="P660" i="68"/>
  <c r="P662" i="68" s="1"/>
  <c r="O54" i="68"/>
  <c r="O112" i="68" s="1"/>
  <c r="O116" i="68"/>
  <c r="J408" i="68"/>
  <c r="J410" i="68" s="1"/>
  <c r="J346" i="68"/>
  <c r="N639" i="68"/>
  <c r="N641" i="68" s="1"/>
  <c r="N577" i="68"/>
  <c r="R601" i="68"/>
  <c r="R663" i="68"/>
  <c r="R665" i="68" s="1"/>
  <c r="U423" i="68"/>
  <c r="U425" i="68" s="1"/>
  <c r="U361" i="68"/>
  <c r="T273" i="68"/>
  <c r="T331" i="68" s="1"/>
  <c r="T335" i="68"/>
  <c r="Q429" i="68"/>
  <c r="Q431" i="68" s="1"/>
  <c r="Q367" i="68"/>
  <c r="AH580" i="68"/>
  <c r="AH642" i="68"/>
  <c r="AH644" i="68" s="1"/>
  <c r="O642" i="68"/>
  <c r="O644" i="68" s="1"/>
  <c r="O580" i="68"/>
  <c r="U672" i="68"/>
  <c r="U674" i="68" s="1"/>
  <c r="U610" i="68"/>
  <c r="AE450" i="68"/>
  <c r="AE452" i="68" s="1"/>
  <c r="AE388" i="68"/>
  <c r="T385" i="68"/>
  <c r="T447" i="68"/>
  <c r="T449" i="68" s="1"/>
  <c r="I447" i="68"/>
  <c r="I449" i="68" s="1"/>
  <c r="I385" i="68"/>
  <c r="V624" i="68"/>
  <c r="V626" i="68" s="1"/>
  <c r="V562" i="68"/>
  <c r="M432" i="68"/>
  <c r="M434" i="68" s="1"/>
  <c r="M370" i="68"/>
  <c r="Z405" i="68"/>
  <c r="Z407" i="68" s="1"/>
  <c r="Z343" i="68"/>
  <c r="AB630" i="68"/>
  <c r="AB632" i="68" s="1"/>
  <c r="AB568" i="68"/>
  <c r="AG273" i="68"/>
  <c r="AG331" i="68" s="1"/>
  <c r="AG335" i="68"/>
  <c r="J405" i="68"/>
  <c r="J407" i="68" s="1"/>
  <c r="J343" i="68"/>
  <c r="AB565" i="68"/>
  <c r="AB627" i="68"/>
  <c r="AB629" i="68" s="1"/>
  <c r="AA601" i="68"/>
  <c r="AA663" i="68"/>
  <c r="AA665" i="68" s="1"/>
  <c r="S639" i="68"/>
  <c r="S641" i="68" s="1"/>
  <c r="S577" i="68"/>
  <c r="AG577" i="68"/>
  <c r="AG639" i="68"/>
  <c r="AG641" i="68" s="1"/>
  <c r="AC408" i="68"/>
  <c r="AC410" i="68" s="1"/>
  <c r="AC346" i="68"/>
  <c r="L405" i="68"/>
  <c r="L407" i="68" s="1"/>
  <c r="L343" i="68"/>
  <c r="W651" i="68"/>
  <c r="W653" i="68" s="1"/>
  <c r="W589" i="68"/>
  <c r="N675" i="68"/>
  <c r="N677" i="68" s="1"/>
  <c r="N613" i="68"/>
  <c r="K663" i="68"/>
  <c r="K665" i="68" s="1"/>
  <c r="K601" i="68"/>
  <c r="K373" i="68"/>
  <c r="K435" i="68"/>
  <c r="K437" i="68" s="1"/>
  <c r="AH391" i="68"/>
  <c r="AH453" i="68"/>
  <c r="AH455" i="68" s="1"/>
  <c r="AG450" i="68"/>
  <c r="AG452" i="68" s="1"/>
  <c r="AG388" i="68"/>
  <c r="Z642" i="68"/>
  <c r="Z644" i="68" s="1"/>
  <c r="Z580" i="68"/>
  <c r="U382" i="68"/>
  <c r="AA364" i="68"/>
  <c r="AA426" i="68"/>
  <c r="AA428" i="68" s="1"/>
  <c r="AH624" i="68"/>
  <c r="AH626" i="68" s="1"/>
  <c r="AH562" i="68"/>
  <c r="Z379" i="68"/>
  <c r="Z441" i="68"/>
  <c r="Z443" i="68" s="1"/>
  <c r="T456" i="68"/>
  <c r="T458" i="68" s="1"/>
  <c r="T394" i="68"/>
  <c r="X645" i="68"/>
  <c r="X647" i="68" s="1"/>
  <c r="X583" i="68"/>
  <c r="AC577" i="68"/>
  <c r="AC639" i="68"/>
  <c r="AC641" i="68" s="1"/>
  <c r="AE645" i="68"/>
  <c r="AE647" i="68" s="1"/>
  <c r="AE583" i="68"/>
  <c r="T645" i="68"/>
  <c r="T647" i="68" s="1"/>
  <c r="T583" i="68"/>
  <c r="AF675" i="68"/>
  <c r="AF677" i="68" s="1"/>
  <c r="AF613" i="68"/>
  <c r="U645" i="68"/>
  <c r="U647" i="68" s="1"/>
  <c r="U583" i="68"/>
  <c r="L340" i="68"/>
  <c r="L402" i="68"/>
  <c r="L404" i="68" s="1"/>
  <c r="L388" i="68"/>
  <c r="L450" i="68"/>
  <c r="L452" i="68" s="1"/>
  <c r="AF402" i="68"/>
  <c r="AF404" i="68" s="1"/>
  <c r="AF340" i="68"/>
  <c r="Z364" i="68"/>
  <c r="Z426" i="68"/>
  <c r="Z428" i="68" s="1"/>
  <c r="Z654" i="68"/>
  <c r="Z656" i="68" s="1"/>
  <c r="Z592" i="68"/>
  <c r="AH577" i="68"/>
  <c r="AH639" i="68"/>
  <c r="AH641" i="68" s="1"/>
  <c r="S675" i="68"/>
  <c r="S677" i="68" s="1"/>
  <c r="S613" i="68"/>
  <c r="I426" i="68"/>
  <c r="I428" i="68" s="1"/>
  <c r="I364" i="68"/>
  <c r="P273" i="68"/>
  <c r="P331" i="68" s="1"/>
  <c r="P335" i="68"/>
  <c r="AD669" i="68"/>
  <c r="AD671" i="68" s="1"/>
  <c r="AD607" i="68"/>
  <c r="L675" i="68"/>
  <c r="L677" i="68" s="1"/>
  <c r="L613" i="68"/>
  <c r="R639" i="68"/>
  <c r="R641" i="68" s="1"/>
  <c r="R577" i="68"/>
  <c r="AB376" i="68"/>
  <c r="AB438" i="68"/>
  <c r="AB440" i="68" s="1"/>
  <c r="AC414" i="68"/>
  <c r="AC416" i="68" s="1"/>
  <c r="AC352" i="68"/>
  <c r="Z423" i="68"/>
  <c r="Z425" i="68" s="1"/>
  <c r="Z361" i="68"/>
  <c r="Z273" i="68"/>
  <c r="Z331" i="68" s="1"/>
  <c r="Z335" i="68"/>
  <c r="AC651" i="68"/>
  <c r="AC653" i="68" s="1"/>
  <c r="AC589" i="68"/>
  <c r="AG411" i="68"/>
  <c r="AG413" i="68" s="1"/>
  <c r="AG349" i="68"/>
  <c r="AF660" i="68"/>
  <c r="AF662" i="68" s="1"/>
  <c r="AF598" i="68"/>
  <c r="X613" i="68"/>
  <c r="X675" i="68"/>
  <c r="X677" i="68" s="1"/>
  <c r="AD414" i="68"/>
  <c r="AD416" i="68" s="1"/>
  <c r="AD352" i="68"/>
  <c r="Y621" i="68"/>
  <c r="Y623" i="68" s="1"/>
  <c r="Y559" i="68"/>
  <c r="AB394" i="68"/>
  <c r="U231" i="68"/>
  <c r="U233" i="68" s="1"/>
  <c r="U169" i="68"/>
  <c r="K54" i="68"/>
  <c r="K112" i="68" s="1"/>
  <c r="K116" i="68"/>
  <c r="X432" i="68"/>
  <c r="X434" i="68" s="1"/>
  <c r="X370" i="68"/>
  <c r="AE621" i="68"/>
  <c r="AE623" i="68" s="1"/>
  <c r="AE559" i="68"/>
  <c r="N645" i="68"/>
  <c r="N647" i="68" s="1"/>
  <c r="N583" i="68"/>
  <c r="I580" i="68"/>
  <c r="I642" i="68"/>
  <c r="I644" i="68" s="1"/>
  <c r="T651" i="68"/>
  <c r="T653" i="68" s="1"/>
  <c r="T589" i="68"/>
  <c r="U405" i="68"/>
  <c r="U407" i="68" s="1"/>
  <c r="U343" i="68"/>
  <c r="AF672" i="68"/>
  <c r="AF674" i="68" s="1"/>
  <c r="AF610" i="68"/>
  <c r="L411" i="68"/>
  <c r="L413" i="68" s="1"/>
  <c r="L349" i="68"/>
  <c r="L666" i="68"/>
  <c r="L668" i="68" s="1"/>
  <c r="L604" i="68"/>
  <c r="Q417" i="68"/>
  <c r="Q419" i="68" s="1"/>
  <c r="Q355" i="68"/>
  <c r="AC273" i="68"/>
  <c r="AC331" i="68" s="1"/>
  <c r="AC335" i="68"/>
  <c r="N438" i="68"/>
  <c r="N440" i="68" s="1"/>
  <c r="N376" i="68"/>
  <c r="Y651" i="68"/>
  <c r="Y653" i="68" s="1"/>
  <c r="Y589" i="68"/>
  <c r="Z417" i="68"/>
  <c r="Z419" i="68" s="1"/>
  <c r="Z355" i="68"/>
  <c r="U604" i="68"/>
  <c r="U666" i="68"/>
  <c r="U668" i="68" s="1"/>
  <c r="AF492" i="68"/>
  <c r="AF550" i="68" s="1"/>
  <c r="AF554" i="68"/>
  <c r="N54" i="68"/>
  <c r="N112" i="68" s="1"/>
  <c r="N116" i="68"/>
  <c r="AH456" i="68"/>
  <c r="AH458" i="68" s="1"/>
  <c r="AH394" i="68"/>
  <c r="AB273" i="68"/>
  <c r="AB331" i="68" s="1"/>
  <c r="AB335" i="68"/>
  <c r="L273" i="68"/>
  <c r="L331" i="68" s="1"/>
  <c r="L335" i="68"/>
  <c r="K444" i="68"/>
  <c r="K446" i="68" s="1"/>
  <c r="K382" i="68"/>
  <c r="R447" i="68"/>
  <c r="R449" i="68" s="1"/>
  <c r="R385" i="68"/>
  <c r="Y453" i="68"/>
  <c r="Y455" i="68" s="1"/>
  <c r="Y391" i="68"/>
  <c r="R455" i="68"/>
  <c r="O613" i="68"/>
  <c r="T660" i="68"/>
  <c r="T662" i="68" s="1"/>
  <c r="T598" i="68"/>
  <c r="O373" i="68"/>
  <c r="O435" i="68"/>
  <c r="O437" i="68" s="1"/>
  <c r="AD441" i="68"/>
  <c r="AD443" i="68" s="1"/>
  <c r="AD379" i="68"/>
  <c r="Q423" i="68"/>
  <c r="Q425" i="68" s="1"/>
  <c r="Q361" i="68"/>
  <c r="T453" i="68"/>
  <c r="T455" i="68" s="1"/>
  <c r="T391" i="68"/>
  <c r="J388" i="68"/>
  <c r="J450" i="68"/>
  <c r="J452" i="68" s="1"/>
  <c r="Y601" i="68"/>
  <c r="Y663" i="68"/>
  <c r="Y665" i="68" s="1"/>
  <c r="AE675" i="68"/>
  <c r="AE677" i="68" s="1"/>
  <c r="AE613" i="68"/>
  <c r="S408" i="68"/>
  <c r="S410" i="68" s="1"/>
  <c r="S346" i="68"/>
  <c r="M669" i="68"/>
  <c r="M671" i="68" s="1"/>
  <c r="M607" i="68"/>
  <c r="Q432" i="68"/>
  <c r="Q434" i="68" s="1"/>
  <c r="Q370" i="68"/>
  <c r="X358" i="68"/>
  <c r="X420" i="68"/>
  <c r="X422" i="68" s="1"/>
  <c r="L420" i="68"/>
  <c r="L422" i="68" s="1"/>
  <c r="L358" i="68"/>
  <c r="AA54" i="68"/>
  <c r="AA112" i="68" s="1"/>
  <c r="AA116" i="68"/>
  <c r="AD273" i="68"/>
  <c r="AD331" i="68" s="1"/>
  <c r="AD335" i="68"/>
  <c r="AE414" i="68"/>
  <c r="AE416" i="68" s="1"/>
  <c r="AE352" i="68"/>
  <c r="AE444" i="68"/>
  <c r="AE446" i="68" s="1"/>
  <c r="AE382" i="68"/>
  <c r="S630" i="68"/>
  <c r="S632" i="68" s="1"/>
  <c r="S568" i="68"/>
  <c r="AE420" i="68"/>
  <c r="AE422" i="68" s="1"/>
  <c r="AE358" i="68"/>
  <c r="Z574" i="68"/>
  <c r="Z636" i="68"/>
  <c r="Z638" i="68" s="1"/>
  <c r="Z598" i="68"/>
  <c r="Z660" i="68"/>
  <c r="Z662" i="68" s="1"/>
  <c r="P559" i="68"/>
  <c r="P621" i="68"/>
  <c r="P623" i="68" s="1"/>
  <c r="L429" i="68"/>
  <c r="L431" i="68" s="1"/>
  <c r="L367" i="68"/>
  <c r="J355" i="68"/>
  <c r="J417" i="68"/>
  <c r="J419" i="68" s="1"/>
  <c r="T633" i="68"/>
  <c r="T635" i="68" s="1"/>
  <c r="T571" i="68"/>
  <c r="AD675" i="68"/>
  <c r="AD677" i="68" s="1"/>
  <c r="AD613" i="68"/>
  <c r="Y645" i="68"/>
  <c r="Y647" i="68" s="1"/>
  <c r="Y583" i="68"/>
  <c r="AE273" i="68"/>
  <c r="AE331" i="68" s="1"/>
  <c r="AE335" i="68"/>
  <c r="Y450" i="68"/>
  <c r="Y452" i="68" s="1"/>
  <c r="Y388" i="68"/>
  <c r="AA651" i="68"/>
  <c r="AA653" i="68" s="1"/>
  <c r="AA589" i="68"/>
  <c r="N492" i="68"/>
  <c r="N550" i="68" s="1"/>
  <c r="N554" i="68"/>
  <c r="U669" i="68"/>
  <c r="U671" i="68" s="1"/>
  <c r="U607" i="68"/>
  <c r="N589" i="68"/>
  <c r="N651" i="68"/>
  <c r="N653" i="68" s="1"/>
  <c r="S601" i="68"/>
  <c r="S663" i="68"/>
  <c r="S665" i="68" s="1"/>
  <c r="S456" i="68"/>
  <c r="S458" i="68" s="1"/>
  <c r="S394" i="68"/>
  <c r="W373" i="68"/>
  <c r="W435" i="68"/>
  <c r="W437" i="68" s="1"/>
  <c r="K388" i="68"/>
  <c r="K450" i="68"/>
  <c r="K452" i="68" s="1"/>
  <c r="P492" i="68"/>
  <c r="P550" i="68" s="1"/>
  <c r="P554" i="68"/>
  <c r="Q54" i="68"/>
  <c r="Q112" i="68" s="1"/>
  <c r="Q116" i="68"/>
  <c r="U273" i="68"/>
  <c r="U331" i="68" s="1"/>
  <c r="U335" i="68"/>
  <c r="X355" i="68"/>
  <c r="X417" i="68"/>
  <c r="X419" i="68" s="1"/>
  <c r="V645" i="68"/>
  <c r="V647" i="68" s="1"/>
  <c r="V583" i="68"/>
  <c r="AC663" i="68"/>
  <c r="AC665" i="68" s="1"/>
  <c r="AC601" i="68"/>
  <c r="R391" i="68"/>
  <c r="O677" i="68"/>
  <c r="AE379" i="68"/>
  <c r="AE441" i="68"/>
  <c r="AE443" i="68" s="1"/>
  <c r="AA429" i="68"/>
  <c r="AA431" i="68" s="1"/>
  <c r="AA367" i="68"/>
  <c r="U592" i="68"/>
  <c r="U654" i="68"/>
  <c r="U656" i="68" s="1"/>
  <c r="AD447" i="68"/>
  <c r="AD449" i="68" s="1"/>
  <c r="AD385" i="68"/>
  <c r="X408" i="68"/>
  <c r="X410" i="68" s="1"/>
  <c r="X346" i="68"/>
  <c r="J648" i="68"/>
  <c r="J650" i="68" s="1"/>
  <c r="J586" i="68"/>
  <c r="AF657" i="68"/>
  <c r="AF659" i="68" s="1"/>
  <c r="AF595" i="68"/>
  <c r="R672" i="68"/>
  <c r="R674" i="68" s="1"/>
  <c r="R610" i="68"/>
  <c r="R402" i="68"/>
  <c r="R404" i="68" s="1"/>
  <c r="R340" i="68"/>
  <c r="O492" i="68"/>
  <c r="O550" i="68" s="1"/>
  <c r="O554" i="68"/>
  <c r="X624" i="68"/>
  <c r="X626" i="68" s="1"/>
  <c r="X562" i="68"/>
  <c r="N349" i="68"/>
  <c r="N411" i="68"/>
  <c r="N413" i="68" s="1"/>
  <c r="R273" i="68"/>
  <c r="R331" i="68" s="1"/>
  <c r="R335" i="68"/>
  <c r="X54" i="68"/>
  <c r="X112" i="68" s="1"/>
  <c r="X116" i="68"/>
  <c r="K492" i="68"/>
  <c r="K550" i="68" s="1"/>
  <c r="K554" i="68"/>
  <c r="X453" i="68"/>
  <c r="X455" i="68" s="1"/>
  <c r="X391" i="68"/>
  <c r="Z621" i="68"/>
  <c r="Z623" i="68" s="1"/>
  <c r="Z559" i="68"/>
  <c r="N385" i="68"/>
  <c r="P607" i="68"/>
  <c r="P669" i="68"/>
  <c r="P671" i="68" s="1"/>
  <c r="AB364" i="68"/>
  <c r="AB426" i="68"/>
  <c r="AB428" i="68" s="1"/>
  <c r="X492" i="68"/>
  <c r="X550" i="68" s="1"/>
  <c r="X554" i="68"/>
  <c r="AA654" i="68"/>
  <c r="AA656" i="68" s="1"/>
  <c r="AA592" i="68"/>
  <c r="T492" i="68"/>
  <c r="T550" i="68" s="1"/>
  <c r="T554" i="68"/>
  <c r="AE657" i="68"/>
  <c r="AE659" i="68" s="1"/>
  <c r="AE595" i="68"/>
  <c r="AG666" i="68"/>
  <c r="AG668" i="68" s="1"/>
  <c r="AG604" i="68"/>
  <c r="AG444" i="68"/>
  <c r="AG446" i="68" s="1"/>
  <c r="AG382" i="68"/>
  <c r="Y624" i="68"/>
  <c r="Y626" i="68" s="1"/>
  <c r="Y562" i="68"/>
  <c r="W352" i="68"/>
  <c r="W414" i="68"/>
  <c r="W416" i="68" s="1"/>
  <c r="N672" i="68"/>
  <c r="N674" i="68" s="1"/>
  <c r="N610" i="68"/>
  <c r="AG492" i="68"/>
  <c r="AG550" i="68" s="1"/>
  <c r="AG554" i="68"/>
  <c r="U580" i="68"/>
  <c r="U642" i="68"/>
  <c r="U644" i="68" s="1"/>
  <c r="I54" i="68"/>
  <c r="I112" i="68" s="1"/>
  <c r="I116" i="68"/>
  <c r="AC645" i="68"/>
  <c r="AC647" i="68" s="1"/>
  <c r="AC583" i="68"/>
  <c r="M423" i="68"/>
  <c r="M425" i="68" s="1"/>
  <c r="M361" i="68"/>
  <c r="AG645" i="68"/>
  <c r="AG647" i="68" s="1"/>
  <c r="AG583" i="68"/>
  <c r="AG580" i="68"/>
  <c r="AG642" i="68"/>
  <c r="AG644" i="68" s="1"/>
  <c r="U660" i="68"/>
  <c r="U662" i="68" s="1"/>
  <c r="U598" i="68"/>
  <c r="W669" i="68"/>
  <c r="W671" i="68" s="1"/>
  <c r="W607" i="68"/>
  <c r="W645" i="68"/>
  <c r="W647" i="68" s="1"/>
  <c r="W583" i="68"/>
  <c r="M355" i="68"/>
  <c r="M417" i="68"/>
  <c r="M419" i="68" s="1"/>
  <c r="AB447" i="68"/>
  <c r="AB449" i="68" s="1"/>
  <c r="AB385" i="68"/>
  <c r="J273" i="68"/>
  <c r="J331" i="68" s="1"/>
  <c r="J335" i="68"/>
  <c r="AG54" i="68"/>
  <c r="AG112" i="68" s="1"/>
  <c r="AG116" i="68"/>
  <c r="AF273" i="68"/>
  <c r="AF331" i="68" s="1"/>
  <c r="AF335" i="68"/>
  <c r="AH435" i="68"/>
  <c r="AH437" i="68" s="1"/>
  <c r="AH373" i="68"/>
  <c r="S642" i="68"/>
  <c r="S644" i="68" s="1"/>
  <c r="S580" i="68"/>
  <c r="Q642" i="68"/>
  <c r="Q644" i="68" s="1"/>
  <c r="Q580" i="68"/>
  <c r="AC604" i="68"/>
  <c r="AC666" i="68"/>
  <c r="AC668" i="68" s="1"/>
  <c r="L651" i="68"/>
  <c r="L653" i="68" s="1"/>
  <c r="L589" i="68"/>
  <c r="N352" i="68"/>
  <c r="N414" i="68"/>
  <c r="N416" i="68" s="1"/>
  <c r="Z453" i="68"/>
  <c r="Z455" i="68" s="1"/>
  <c r="Z391" i="68"/>
  <c r="AA492" i="68"/>
  <c r="AA550" i="68" s="1"/>
  <c r="AA554" i="68"/>
  <c r="Y633" i="68"/>
  <c r="Y635" i="68" s="1"/>
  <c r="Y571" i="68"/>
  <c r="V654" i="68"/>
  <c r="V656" i="68" s="1"/>
  <c r="V592" i="68"/>
  <c r="AH441" i="68"/>
  <c r="AH443" i="68" s="1"/>
  <c r="AH379" i="68"/>
  <c r="AD663" i="68"/>
  <c r="AD665" i="68" s="1"/>
  <c r="AD601" i="68"/>
  <c r="R492" i="68"/>
  <c r="R550" i="68" s="1"/>
  <c r="R554" i="68"/>
  <c r="W666" i="68"/>
  <c r="W668" i="68" s="1"/>
  <c r="W604" i="68"/>
  <c r="AE672" i="68"/>
  <c r="AE674" i="68" s="1"/>
  <c r="AE610" i="68"/>
  <c r="AA391" i="68"/>
  <c r="AA453" i="68"/>
  <c r="AA455" i="68" s="1"/>
  <c r="AD364" i="68"/>
  <c r="AD426" i="68"/>
  <c r="AD428" i="68" s="1"/>
  <c r="AH423" i="68"/>
  <c r="AH425" i="68" s="1"/>
  <c r="AH361" i="68"/>
  <c r="Y675" i="68"/>
  <c r="Y677" i="68" s="1"/>
  <c r="Y613" i="68"/>
  <c r="Z349" i="68"/>
  <c r="Z411" i="68"/>
  <c r="Z413" i="68" s="1"/>
  <c r="I559" i="68"/>
  <c r="M450" i="68"/>
  <c r="M452" i="68" s="1"/>
  <c r="M388" i="68"/>
  <c r="X423" i="68"/>
  <c r="X425" i="68" s="1"/>
  <c r="X361" i="68"/>
  <c r="S438" i="68"/>
  <c r="S440" i="68" s="1"/>
  <c r="S376" i="68"/>
  <c r="N449" i="68"/>
  <c r="C18" i="48"/>
  <c r="X180" i="68" l="1"/>
  <c r="X182" i="68" s="1"/>
  <c r="X240" i="68" s="1"/>
  <c r="X118" i="68"/>
  <c r="X176" i="68" s="1"/>
  <c r="P618" i="68"/>
  <c r="P620" i="68" s="1"/>
  <c r="P678" i="68" s="1"/>
  <c r="P556" i="68"/>
  <c r="P614" i="68" s="1"/>
  <c r="AE337" i="68"/>
  <c r="AE395" i="68" s="1"/>
  <c r="AE399" i="68"/>
  <c r="AE401" i="68" s="1"/>
  <c r="AE459" i="68" s="1"/>
  <c r="Z399" i="68"/>
  <c r="Z401" i="68" s="1"/>
  <c r="Z459" i="68" s="1"/>
  <c r="Z337" i="68"/>
  <c r="Z395" i="68" s="1"/>
  <c r="R180" i="68"/>
  <c r="R182" i="68" s="1"/>
  <c r="R240" i="68" s="1"/>
  <c r="R118" i="68"/>
  <c r="R176" i="68" s="1"/>
  <c r="L618" i="68"/>
  <c r="L620" i="68" s="1"/>
  <c r="L678" i="68" s="1"/>
  <c r="L556" i="68"/>
  <c r="L614" i="68" s="1"/>
  <c r="S399" i="68"/>
  <c r="S401" i="68" s="1"/>
  <c r="S459" i="68" s="1"/>
  <c r="S337" i="68"/>
  <c r="S395" i="68" s="1"/>
  <c r="W399" i="68"/>
  <c r="W401" i="68" s="1"/>
  <c r="W459" i="68" s="1"/>
  <c r="W337" i="68"/>
  <c r="W395" i="68" s="1"/>
  <c r="Y180" i="68"/>
  <c r="Y182" i="68" s="1"/>
  <c r="Y240" i="68" s="1"/>
  <c r="Y118" i="68"/>
  <c r="Y176" i="68" s="1"/>
  <c r="Q337" i="68"/>
  <c r="Q395" i="68" s="1"/>
  <c r="Q399" i="68"/>
  <c r="Q401" i="68" s="1"/>
  <c r="Q459" i="68" s="1"/>
  <c r="K399" i="68"/>
  <c r="K401" i="68" s="1"/>
  <c r="K459" i="68" s="1"/>
  <c r="K337" i="68"/>
  <c r="K395" i="68" s="1"/>
  <c r="Z180" i="68"/>
  <c r="Z182" i="68" s="1"/>
  <c r="Z240" i="68" s="1"/>
  <c r="Z118" i="68"/>
  <c r="Z176" i="68" s="1"/>
  <c r="AB180" i="68"/>
  <c r="AB182" i="68" s="1"/>
  <c r="AB240" i="68" s="1"/>
  <c r="AB118" i="68"/>
  <c r="AB176" i="68" s="1"/>
  <c r="S618" i="68"/>
  <c r="S620" i="68" s="1"/>
  <c r="S678" i="68" s="1"/>
  <c r="S556" i="68"/>
  <c r="S614" i="68" s="1"/>
  <c r="AA180" i="68"/>
  <c r="AA182" i="68" s="1"/>
  <c r="AA240" i="68" s="1"/>
  <c r="AA118" i="68"/>
  <c r="AA176" i="68" s="1"/>
  <c r="P399" i="68"/>
  <c r="P401" i="68" s="1"/>
  <c r="P459" i="68" s="1"/>
  <c r="P337" i="68"/>
  <c r="P395" i="68" s="1"/>
  <c r="V399" i="68"/>
  <c r="V401" i="68" s="1"/>
  <c r="V459" i="68" s="1"/>
  <c r="V337" i="68"/>
  <c r="V395" i="68" s="1"/>
  <c r="Q618" i="68"/>
  <c r="Q620" i="68" s="1"/>
  <c r="Q678" i="68" s="1"/>
  <c r="Q556" i="68"/>
  <c r="Q614" i="68" s="1"/>
  <c r="I399" i="68"/>
  <c r="I401" i="68" s="1"/>
  <c r="I459" i="68" s="1"/>
  <c r="I337" i="68"/>
  <c r="I395" i="68" s="1"/>
  <c r="Z556" i="68"/>
  <c r="Z614" i="68" s="1"/>
  <c r="Z618" i="68"/>
  <c r="Z620" i="68" s="1"/>
  <c r="Z678" i="68" s="1"/>
  <c r="V618" i="68"/>
  <c r="V620" i="68" s="1"/>
  <c r="V678" i="68" s="1"/>
  <c r="V556" i="68"/>
  <c r="V614" i="68" s="1"/>
  <c r="N399" i="68"/>
  <c r="N401" i="68" s="1"/>
  <c r="N459" i="68" s="1"/>
  <c r="N337" i="68"/>
  <c r="N395" i="68" s="1"/>
  <c r="M618" i="68"/>
  <c r="M620" i="68" s="1"/>
  <c r="M678" i="68" s="1"/>
  <c r="M556" i="68"/>
  <c r="M614" i="68" s="1"/>
  <c r="N618" i="68"/>
  <c r="N620" i="68" s="1"/>
  <c r="N678" i="68" s="1"/>
  <c r="N556" i="68"/>
  <c r="N614" i="68" s="1"/>
  <c r="O618" i="68"/>
  <c r="O620" i="68" s="1"/>
  <c r="O678" i="68" s="1"/>
  <c r="O556" i="68"/>
  <c r="O614" i="68" s="1"/>
  <c r="L337" i="68"/>
  <c r="L395" i="68" s="1"/>
  <c r="L399" i="68"/>
  <c r="L401" i="68" s="1"/>
  <c r="L459" i="68" s="1"/>
  <c r="AD618" i="68"/>
  <c r="AD620" i="68" s="1"/>
  <c r="AD678" i="68" s="1"/>
  <c r="AD556" i="68"/>
  <c r="AD614" i="68" s="1"/>
  <c r="M180" i="68"/>
  <c r="M182" i="68" s="1"/>
  <c r="M240" i="68" s="1"/>
  <c r="M118" i="68"/>
  <c r="M176" i="68" s="1"/>
  <c r="X337" i="68"/>
  <c r="X395" i="68" s="1"/>
  <c r="X399" i="68"/>
  <c r="X401" i="68" s="1"/>
  <c r="X459" i="68" s="1"/>
  <c r="AF180" i="68"/>
  <c r="AF182" i="68" s="1"/>
  <c r="AF240" i="68" s="1"/>
  <c r="AF118" i="68"/>
  <c r="AF176" i="68" s="1"/>
  <c r="AH399" i="68"/>
  <c r="AH401" i="68" s="1"/>
  <c r="AH459" i="68" s="1"/>
  <c r="AH337" i="68"/>
  <c r="AH395" i="68" s="1"/>
  <c r="K618" i="68"/>
  <c r="K620" i="68" s="1"/>
  <c r="K678" i="68" s="1"/>
  <c r="K556" i="68"/>
  <c r="K614" i="68" s="1"/>
  <c r="AF337" i="68"/>
  <c r="AF395" i="68" s="1"/>
  <c r="AF399" i="68"/>
  <c r="AF401" i="68" s="1"/>
  <c r="AF459" i="68" s="1"/>
  <c r="AG180" i="68"/>
  <c r="AG182" i="68" s="1"/>
  <c r="AG240" i="68" s="1"/>
  <c r="AG118" i="68"/>
  <c r="AG176" i="68" s="1"/>
  <c r="AG556" i="68"/>
  <c r="AG614" i="68" s="1"/>
  <c r="AG618" i="68"/>
  <c r="AG620" i="68" s="1"/>
  <c r="AG678" i="68" s="1"/>
  <c r="X556" i="68"/>
  <c r="X614" i="68" s="1"/>
  <c r="X618" i="68"/>
  <c r="X620" i="68" s="1"/>
  <c r="X678" i="68" s="1"/>
  <c r="N180" i="68"/>
  <c r="N182" i="68" s="1"/>
  <c r="N240" i="68" s="1"/>
  <c r="N118" i="68"/>
  <c r="N176" i="68" s="1"/>
  <c r="K180" i="68"/>
  <c r="K182" i="68" s="1"/>
  <c r="K240" i="68" s="1"/>
  <c r="K118" i="68"/>
  <c r="K176" i="68" s="1"/>
  <c r="AD180" i="68"/>
  <c r="AD182" i="68" s="1"/>
  <c r="AD240" i="68" s="1"/>
  <c r="AD118" i="68"/>
  <c r="AD176" i="68" s="1"/>
  <c r="O399" i="68"/>
  <c r="O401" i="68" s="1"/>
  <c r="O459" i="68" s="1"/>
  <c r="O337" i="68"/>
  <c r="O395" i="68" s="1"/>
  <c r="J618" i="68"/>
  <c r="J620" i="68" s="1"/>
  <c r="J678" i="68" s="1"/>
  <c r="J556" i="68"/>
  <c r="J614" i="68" s="1"/>
  <c r="AE556" i="68"/>
  <c r="AE614" i="68" s="1"/>
  <c r="AE618" i="68"/>
  <c r="AE620" i="68" s="1"/>
  <c r="AE678" i="68" s="1"/>
  <c r="T399" i="68"/>
  <c r="T401" i="68" s="1"/>
  <c r="T459" i="68" s="1"/>
  <c r="T337" i="68"/>
  <c r="T395" i="68" s="1"/>
  <c r="AH556" i="68"/>
  <c r="AH614" i="68" s="1"/>
  <c r="AH618" i="68"/>
  <c r="AH620" i="68" s="1"/>
  <c r="AH678" i="68" s="1"/>
  <c r="I618" i="68"/>
  <c r="I620" i="68" s="1"/>
  <c r="I678" i="68" s="1"/>
  <c r="I556" i="68"/>
  <c r="I614" i="68" s="1"/>
  <c r="AA337" i="68"/>
  <c r="AA395" i="68" s="1"/>
  <c r="AA399" i="68"/>
  <c r="AA401" i="68" s="1"/>
  <c r="AA459" i="68" s="1"/>
  <c r="AE180" i="68"/>
  <c r="AE182" i="68" s="1"/>
  <c r="AE240" i="68" s="1"/>
  <c r="AE118" i="68"/>
  <c r="AE176" i="68" s="1"/>
  <c r="T180" i="68"/>
  <c r="T182" i="68" s="1"/>
  <c r="T240" i="68" s="1"/>
  <c r="T118" i="68"/>
  <c r="T176" i="68" s="1"/>
  <c r="AA618" i="68"/>
  <c r="AA620" i="68" s="1"/>
  <c r="AA678" i="68" s="1"/>
  <c r="AA556" i="68"/>
  <c r="AA614" i="68" s="1"/>
  <c r="J337" i="68"/>
  <c r="J395" i="68" s="1"/>
  <c r="J399" i="68"/>
  <c r="J401" i="68" s="1"/>
  <c r="J459" i="68" s="1"/>
  <c r="T618" i="68"/>
  <c r="T620" i="68" s="1"/>
  <c r="T678" i="68" s="1"/>
  <c r="T556" i="68"/>
  <c r="T614" i="68" s="1"/>
  <c r="AF618" i="68"/>
  <c r="AF620" i="68" s="1"/>
  <c r="AF678" i="68" s="1"/>
  <c r="AF556" i="68"/>
  <c r="AF614" i="68" s="1"/>
  <c r="AC337" i="68"/>
  <c r="AC395" i="68" s="1"/>
  <c r="AC399" i="68"/>
  <c r="AC401" i="68" s="1"/>
  <c r="AC459" i="68" s="1"/>
  <c r="AC180" i="68"/>
  <c r="AC182" i="68" s="1"/>
  <c r="AC240" i="68" s="1"/>
  <c r="AC118" i="68"/>
  <c r="AC176" i="68" s="1"/>
  <c r="AC618" i="68"/>
  <c r="AC620" i="68" s="1"/>
  <c r="AC678" i="68" s="1"/>
  <c r="AC556" i="68"/>
  <c r="AC614" i="68" s="1"/>
  <c r="Y618" i="68"/>
  <c r="Y620" i="68" s="1"/>
  <c r="Y678" i="68" s="1"/>
  <c r="Y556" i="68"/>
  <c r="Y614" i="68" s="1"/>
  <c r="R399" i="68"/>
  <c r="R401" i="68" s="1"/>
  <c r="R459" i="68" s="1"/>
  <c r="R337" i="68"/>
  <c r="R395" i="68" s="1"/>
  <c r="AG337" i="68"/>
  <c r="AG395" i="68" s="1"/>
  <c r="AG399" i="68"/>
  <c r="AG401" i="68" s="1"/>
  <c r="AG459" i="68" s="1"/>
  <c r="O180" i="68"/>
  <c r="O182" i="68" s="1"/>
  <c r="O240" i="68" s="1"/>
  <c r="O118" i="68"/>
  <c r="O176" i="68" s="1"/>
  <c r="U556" i="68"/>
  <c r="U614" i="68" s="1"/>
  <c r="U618" i="68"/>
  <c r="U620" i="68" s="1"/>
  <c r="U678" i="68" s="1"/>
  <c r="W618" i="68"/>
  <c r="W620" i="68" s="1"/>
  <c r="W678" i="68" s="1"/>
  <c r="W556" i="68"/>
  <c r="W614" i="68" s="1"/>
  <c r="Y337" i="68"/>
  <c r="Y395" i="68" s="1"/>
  <c r="Y399" i="68"/>
  <c r="Y401" i="68" s="1"/>
  <c r="Y459" i="68" s="1"/>
  <c r="S180" i="68"/>
  <c r="S182" i="68" s="1"/>
  <c r="S240" i="68" s="1"/>
  <c r="S118" i="68"/>
  <c r="S176" i="68" s="1"/>
  <c r="AH180" i="68"/>
  <c r="AH182" i="68" s="1"/>
  <c r="AH240" i="68" s="1"/>
  <c r="AH118" i="68"/>
  <c r="AH176" i="68" s="1"/>
  <c r="AB618" i="68"/>
  <c r="AB620" i="68" s="1"/>
  <c r="AB678" i="68" s="1"/>
  <c r="AB556" i="68"/>
  <c r="AB614" i="68" s="1"/>
  <c r="U180" i="68"/>
  <c r="U182" i="68" s="1"/>
  <c r="U240" i="68" s="1"/>
  <c r="U118" i="68"/>
  <c r="U176" i="68" s="1"/>
  <c r="M399" i="68"/>
  <c r="M401" i="68" s="1"/>
  <c r="M459" i="68" s="1"/>
  <c r="M337" i="68"/>
  <c r="M395" i="68" s="1"/>
  <c r="U399" i="68"/>
  <c r="U401" i="68" s="1"/>
  <c r="U459" i="68" s="1"/>
  <c r="U337" i="68"/>
  <c r="U395" i="68" s="1"/>
  <c r="Q180" i="68"/>
  <c r="Q182" i="68" s="1"/>
  <c r="Q240" i="68" s="1"/>
  <c r="Q118" i="68"/>
  <c r="Q176" i="68" s="1"/>
  <c r="R618" i="68"/>
  <c r="R620" i="68" s="1"/>
  <c r="R678" i="68" s="1"/>
  <c r="R556" i="68"/>
  <c r="R614" i="68" s="1"/>
  <c r="I180" i="68"/>
  <c r="I182" i="68" s="1"/>
  <c r="I240" i="68" s="1"/>
  <c r="I118" i="68"/>
  <c r="I176" i="68" s="1"/>
  <c r="AD399" i="68"/>
  <c r="AD401" i="68" s="1"/>
  <c r="AD459" i="68" s="1"/>
  <c r="AD337" i="68"/>
  <c r="AD395" i="68" s="1"/>
  <c r="AB399" i="68"/>
  <c r="AB401" i="68" s="1"/>
  <c r="AB459" i="68" s="1"/>
  <c r="AB337" i="68"/>
  <c r="AB395" i="68" s="1"/>
  <c r="P180" i="68"/>
  <c r="P182" i="68" s="1"/>
  <c r="P240" i="68" s="1"/>
  <c r="P118" i="68"/>
  <c r="P176" i="68" s="1"/>
  <c r="J180" i="68"/>
  <c r="J182" i="68" s="1"/>
  <c r="J240" i="68" s="1"/>
  <c r="J118" i="68"/>
  <c r="J176" i="68" s="1"/>
  <c r="W180" i="68"/>
  <c r="W182" i="68" s="1"/>
  <c r="W240" i="68" s="1"/>
  <c r="W118" i="68"/>
  <c r="W176" i="68" s="1"/>
  <c r="L180" i="68"/>
  <c r="L182" i="68" s="1"/>
  <c r="L240" i="68" s="1"/>
  <c r="L118" i="68"/>
  <c r="L176" i="68" s="1"/>
  <c r="V180" i="68"/>
  <c r="V182" i="68" s="1"/>
  <c r="V240" i="68" s="1"/>
  <c r="V118" i="68"/>
  <c r="V176" i="68" s="1"/>
  <c r="C19" i="48"/>
  <c r="AB684" i="68" l="1"/>
  <c r="AB683" i="68"/>
  <c r="AF683" i="68"/>
  <c r="X683" i="68"/>
  <c r="X684" i="68"/>
  <c r="AB685" i="68"/>
  <c r="U683" i="68"/>
  <c r="AG684" i="68"/>
  <c r="N684" i="68"/>
  <c r="AB686" i="68"/>
  <c r="AD685" i="68"/>
  <c r="R684" i="68"/>
  <c r="AA685" i="68"/>
  <c r="AA683" i="68"/>
  <c r="R683" i="68"/>
  <c r="R685" i="68"/>
  <c r="K684" i="68"/>
  <c r="AD683" i="68"/>
  <c r="R686" i="68"/>
  <c r="M685" i="68"/>
  <c r="AA684" i="68"/>
  <c r="AA686" i="68"/>
  <c r="Z686" i="68"/>
  <c r="AF684" i="68"/>
  <c r="AG683" i="68"/>
  <c r="Y685" i="68"/>
  <c r="Y683" i="68"/>
  <c r="Y684" i="68"/>
  <c r="Z684" i="68"/>
  <c r="M683" i="68"/>
  <c r="J683" i="68"/>
  <c r="AE684" i="68"/>
  <c r="L683" i="68"/>
  <c r="S686" i="68"/>
  <c r="W686" i="68"/>
  <c r="AC683" i="68"/>
  <c r="J686" i="68"/>
  <c r="O686" i="68"/>
  <c r="U686" i="68"/>
  <c r="AH686" i="68"/>
  <c r="O683" i="68"/>
  <c r="X686" i="68"/>
  <c r="P683" i="68"/>
  <c r="W683" i="68"/>
  <c r="Z683" i="68"/>
  <c r="U685" i="68"/>
  <c r="U684" i="68"/>
  <c r="Y686" i="68"/>
  <c r="AF686" i="68"/>
  <c r="AH684" i="68"/>
  <c r="O685" i="68"/>
  <c r="K686" i="68"/>
  <c r="N686" i="68"/>
  <c r="P685" i="68"/>
  <c r="W685" i="68"/>
  <c r="Z685" i="68"/>
  <c r="AC684" i="68"/>
  <c r="T684" i="68"/>
  <c r="T683" i="68"/>
  <c r="AG686" i="68"/>
  <c r="AH683" i="68"/>
  <c r="AD684" i="68"/>
  <c r="M684" i="68"/>
  <c r="K683" i="68"/>
  <c r="S683" i="68"/>
  <c r="AE685" i="68"/>
  <c r="AC686" i="68"/>
  <c r="T686" i="68"/>
  <c r="T685" i="68"/>
  <c r="AH685" i="68"/>
  <c r="AD686" i="68"/>
  <c r="M686" i="68"/>
  <c r="K685" i="68"/>
  <c r="S685" i="68"/>
  <c r="AE683" i="68"/>
  <c r="AG685" i="68"/>
  <c r="J685" i="68"/>
  <c r="AE686" i="68"/>
  <c r="L685" i="68"/>
  <c r="N683" i="68"/>
  <c r="Q684" i="68"/>
  <c r="S684" i="68"/>
  <c r="Q685" i="68"/>
  <c r="L684" i="68"/>
  <c r="P684" i="68"/>
  <c r="N685" i="68"/>
  <c r="Q683" i="68"/>
  <c r="L686" i="68"/>
  <c r="P686" i="68"/>
  <c r="Q686" i="68"/>
  <c r="W684" i="68"/>
  <c r="AC685" i="68"/>
  <c r="J684" i="68"/>
  <c r="AF685" i="68"/>
  <c r="X685" i="68"/>
  <c r="O684" i="68"/>
  <c r="V684" i="68"/>
  <c r="V683" i="68"/>
  <c r="V686" i="68"/>
  <c r="V685" i="68"/>
  <c r="C20" i="48"/>
  <c r="C21" i="48" s="1"/>
  <c r="C22" i="48" s="1"/>
  <c r="E683" i="68" l="1"/>
  <c r="D133" i="48"/>
  <c r="E686" i="68"/>
  <c r="F134" i="48" s="1"/>
  <c r="E76" i="40"/>
  <c r="J57" i="40" s="1"/>
  <c r="D134" i="48"/>
  <c r="E684" i="68"/>
  <c r="F133" i="48" s="1"/>
  <c r="C293" i="48"/>
  <c r="E89" i="40" l="1"/>
  <c r="K57" i="40" s="1"/>
  <c r="D300" i="48"/>
  <c r="D17" i="40" l="1"/>
  <c r="D16" i="40"/>
  <c r="E58" i="16" l="1" a="1"/>
  <c r="E58" i="16" s="1"/>
  <c r="F155" i="40" a="1"/>
  <c r="F155" i="40" s="1"/>
  <c r="E30" i="29" a="1"/>
  <c r="E30" i="29" s="1"/>
  <c r="F133" i="40" a="1"/>
  <c r="F133" i="40" s="1"/>
  <c r="F134" i="40" a="1"/>
  <c r="F134" i="40" s="1"/>
  <c r="E55" i="16" a="1"/>
  <c r="E55" i="16" s="1"/>
  <c r="E59" i="16" a="1"/>
  <c r="E59" i="16" s="1"/>
  <c r="E50" i="16" a="1"/>
  <c r="E50" i="16" s="1"/>
  <c r="D8" i="65" a="1"/>
  <c r="D8" i="65" s="1"/>
  <c r="G13" i="18" a="1"/>
  <c r="E46" i="16" a="1"/>
  <c r="E42" i="16" a="1"/>
  <c r="E42" i="16" s="1"/>
  <c r="E54" i="16" a="1"/>
  <c r="E54" i="16" s="1"/>
  <c r="E48" i="16" a="1"/>
  <c r="E48" i="16" s="1"/>
  <c r="E73" i="16" s="1" a="1"/>
  <c r="E73" i="16" s="1"/>
  <c r="E44" i="16" a="1"/>
  <c r="E44" i="16" s="1"/>
  <c r="E99" i="16" s="1" a="1"/>
  <c r="E99" i="16" s="1"/>
  <c r="E47" i="16" a="1"/>
  <c r="E47" i="16" s="1"/>
  <c r="E72" i="16" s="1" a="1"/>
  <c r="E72" i="16" s="1"/>
  <c r="E56" i="16" a="1"/>
  <c r="E56" i="16" s="1"/>
  <c r="E51" i="16" a="1"/>
  <c r="E52" i="16" a="1"/>
  <c r="E52" i="16" s="1"/>
  <c r="E43" i="16" a="1"/>
  <c r="E43" i="16" s="1"/>
  <c r="E60" i="16" a="1"/>
  <c r="E60" i="16" s="1"/>
  <c r="E39" i="16" a="1"/>
  <c r="E39" i="16" s="1"/>
  <c r="E40" i="16" a="1"/>
  <c r="E43" i="29" a="1"/>
  <c r="E43" i="29" s="1"/>
  <c r="E34" i="29" a="1"/>
  <c r="E34" i="29" s="1"/>
  <c r="E35" i="29" a="1"/>
  <c r="E35" i="29" s="1"/>
  <c r="E44" i="29" a="1"/>
  <c r="E44" i="29" s="1"/>
  <c r="E45" i="29" a="1"/>
  <c r="E45" i="29" s="1"/>
  <c r="E36" i="29" a="1"/>
  <c r="E36" i="29" s="1"/>
  <c r="E31" i="29" a="1"/>
  <c r="E31" i="29" s="1"/>
  <c r="E33" i="29" a="1"/>
  <c r="E33" i="29" s="1"/>
  <c r="E42" i="29" a="1"/>
  <c r="E42" i="29" s="1"/>
  <c r="E41" i="29" a="1"/>
  <c r="E41" i="29" s="1"/>
  <c r="E32" i="29" a="1"/>
  <c r="E32" i="29" s="1"/>
  <c r="D21" i="65" a="1"/>
  <c r="D21" i="65" s="1"/>
  <c r="D11" i="65" a="1"/>
  <c r="D14" i="65" a="1"/>
  <c r="D7" i="65" a="1"/>
  <c r="D7" i="65" s="1"/>
  <c r="E29" i="29" a="1"/>
  <c r="E29" i="29" s="1"/>
  <c r="G16" i="18" a="1"/>
  <c r="G15" i="18" a="1"/>
  <c r="G14" i="18" a="1"/>
  <c r="G12" i="18" a="1"/>
  <c r="G12" i="18" s="1"/>
  <c r="F688" i="68" l="1"/>
  <c r="F685" i="68"/>
  <c r="E134" i="48" s="1"/>
  <c r="F113" i="40" a="1"/>
  <c r="F113" i="40" s="1"/>
  <c r="I226" i="18"/>
  <c r="H653" i="18"/>
  <c r="L700" i="18"/>
  <c r="F686" i="68"/>
  <c r="F118" i="40" a="1"/>
  <c r="F118" i="40" s="1"/>
  <c r="E118" i="40" s="1"/>
  <c r="E46" i="29" a="1"/>
  <c r="E46" i="29" s="1"/>
  <c r="E118" i="16" a="1"/>
  <c r="E118" i="16" s="1"/>
  <c r="E37" i="29" a="1"/>
  <c r="E37" i="29" s="1"/>
  <c r="E67" i="16" a="1"/>
  <c r="E67" i="16" s="1"/>
  <c r="E97" i="16" a="1"/>
  <c r="E97" i="16" s="1"/>
  <c r="E68" i="16" a="1"/>
  <c r="E68" i="16" s="1"/>
  <c r="E98" i="16" a="1"/>
  <c r="E98" i="16" s="1"/>
  <c r="E123" i="16" s="1" a="1"/>
  <c r="E123" i="16" s="1"/>
  <c r="E77" i="16" a="1"/>
  <c r="E77" i="16" s="1"/>
  <c r="E107" i="16" a="1"/>
  <c r="E107" i="16" s="1"/>
  <c r="E132" i="16" s="1" a="1"/>
  <c r="E132" i="16" s="1"/>
  <c r="E75" i="16" a="1"/>
  <c r="E75" i="16" s="1"/>
  <c r="E105" i="16" a="1"/>
  <c r="E105" i="16" s="1"/>
  <c r="H654" i="18"/>
  <c r="H441" i="18"/>
  <c r="H440" i="18"/>
  <c r="H227" i="18"/>
  <c r="H708" i="18"/>
  <c r="H226" i="18"/>
  <c r="H700" i="18"/>
  <c r="H704" i="18"/>
  <c r="H657" i="18"/>
  <c r="H230" i="18"/>
  <c r="H443" i="18"/>
  <c r="H445" i="18" s="1"/>
  <c r="H229" i="18"/>
  <c r="H656" i="18"/>
  <c r="H709" i="18"/>
  <c r="H705" i="18"/>
  <c r="H701" i="18"/>
  <c r="H660" i="18"/>
  <c r="H702" i="18"/>
  <c r="H233" i="18"/>
  <c r="H446" i="18"/>
  <c r="H447" i="18"/>
  <c r="H232" i="18"/>
  <c r="H659" i="18"/>
  <c r="H710" i="18"/>
  <c r="H706" i="18"/>
  <c r="H235" i="18"/>
  <c r="H449" i="18"/>
  <c r="H236" i="18"/>
  <c r="H450" i="18"/>
  <c r="H663" i="18"/>
  <c r="H662" i="18"/>
  <c r="H703" i="18"/>
  <c r="H711" i="18"/>
  <c r="H707" i="18"/>
  <c r="E51" i="16"/>
  <c r="G16" i="18"/>
  <c r="AD235" i="18"/>
  <c r="J449" i="18"/>
  <c r="AB449" i="18"/>
  <c r="AD662" i="18"/>
  <c r="X235" i="18"/>
  <c r="AB235" i="18"/>
  <c r="Y450" i="18"/>
  <c r="Y662" i="18"/>
  <c r="AB450" i="18"/>
  <c r="T236" i="18"/>
  <c r="AF663" i="18"/>
  <c r="AA662" i="18"/>
  <c r="AC449" i="18"/>
  <c r="P235" i="18"/>
  <c r="AD663" i="18"/>
  <c r="V236" i="18"/>
  <c r="AA663" i="18"/>
  <c r="AF236" i="18"/>
  <c r="X703" i="18"/>
  <c r="P236" i="18"/>
  <c r="I449" i="18"/>
  <c r="U449" i="18"/>
  <c r="J450" i="18"/>
  <c r="AE235" i="18"/>
  <c r="AE450" i="18"/>
  <c r="Q662" i="18"/>
  <c r="S450" i="18"/>
  <c r="O236" i="18"/>
  <c r="S235" i="18"/>
  <c r="N662" i="18"/>
  <c r="Q449" i="18"/>
  <c r="L235" i="18"/>
  <c r="T449" i="18"/>
  <c r="N235" i="18"/>
  <c r="AA236" i="18"/>
  <c r="U235" i="18"/>
  <c r="Q450" i="18"/>
  <c r="AH236" i="18"/>
  <c r="O663" i="18"/>
  <c r="AG663" i="18"/>
  <c r="AE663" i="18"/>
  <c r="W662" i="18"/>
  <c r="N236" i="18"/>
  <c r="AC236" i="18"/>
  <c r="AG450" i="18"/>
  <c r="S236" i="18"/>
  <c r="J663" i="18"/>
  <c r="L450" i="18"/>
  <c r="M663" i="18"/>
  <c r="J662" i="18"/>
  <c r="AG235" i="18"/>
  <c r="S449" i="18"/>
  <c r="P449" i="18"/>
  <c r="P663" i="18"/>
  <c r="X449" i="18"/>
  <c r="X450" i="18"/>
  <c r="AE449" i="18"/>
  <c r="M236" i="18"/>
  <c r="AG449" i="18"/>
  <c r="Z235" i="18"/>
  <c r="M449" i="18"/>
  <c r="O450" i="18"/>
  <c r="AF235" i="18"/>
  <c r="R663" i="18"/>
  <c r="AH663" i="18"/>
  <c r="X236" i="18"/>
  <c r="AF449" i="18"/>
  <c r="W663" i="18"/>
  <c r="Z450" i="18"/>
  <c r="K450" i="18"/>
  <c r="O449" i="18"/>
  <c r="N663" i="18"/>
  <c r="V450" i="18"/>
  <c r="T663" i="18"/>
  <c r="L449" i="18"/>
  <c r="I450" i="18"/>
  <c r="AH235" i="18"/>
  <c r="W236" i="18"/>
  <c r="X662" i="18"/>
  <c r="R449" i="18"/>
  <c r="Z449" i="18"/>
  <c r="U450" i="18"/>
  <c r="AC662" i="18"/>
  <c r="AA235" i="18"/>
  <c r="K235" i="18"/>
  <c r="Y235" i="18"/>
  <c r="AH450" i="18"/>
  <c r="W450" i="18"/>
  <c r="AB236" i="18"/>
  <c r="V449" i="18"/>
  <c r="AD450" i="18"/>
  <c r="AA449" i="18"/>
  <c r="AE662" i="18"/>
  <c r="I662" i="18"/>
  <c r="Q236" i="18"/>
  <c r="AA450" i="18"/>
  <c r="K663" i="18"/>
  <c r="T450" i="18"/>
  <c r="N450" i="18"/>
  <c r="V235" i="18"/>
  <c r="M662" i="18"/>
  <c r="AD449" i="18"/>
  <c r="I236" i="18"/>
  <c r="Z236" i="18"/>
  <c r="AD236" i="18"/>
  <c r="M450" i="18"/>
  <c r="U662" i="18"/>
  <c r="U663" i="18"/>
  <c r="P450" i="18"/>
  <c r="T235" i="18"/>
  <c r="AG662" i="18"/>
  <c r="M235" i="18"/>
  <c r="Z663" i="18"/>
  <c r="Q663" i="18"/>
  <c r="R236" i="18"/>
  <c r="R662" i="18"/>
  <c r="AB662" i="18"/>
  <c r="J236" i="18"/>
  <c r="Y236" i="18"/>
  <c r="O235" i="18"/>
  <c r="AG236" i="18"/>
  <c r="T662" i="18"/>
  <c r="T664" i="18" s="1"/>
  <c r="AF450" i="18"/>
  <c r="L662" i="18"/>
  <c r="K662" i="18"/>
  <c r="AF662" i="18"/>
  <c r="S662" i="18"/>
  <c r="L663" i="18"/>
  <c r="V662" i="18"/>
  <c r="N449" i="18"/>
  <c r="K449" i="18"/>
  <c r="V663" i="18"/>
  <c r="R235" i="18"/>
  <c r="AH662" i="18"/>
  <c r="U236" i="18"/>
  <c r="Z662" i="18"/>
  <c r="O662" i="18"/>
  <c r="AC235" i="18"/>
  <c r="I235" i="18"/>
  <c r="W449" i="18"/>
  <c r="L236" i="18"/>
  <c r="P662" i="18"/>
  <c r="I663" i="18"/>
  <c r="AH449" i="18"/>
  <c r="X663" i="18"/>
  <c r="J235" i="18"/>
  <c r="Y663" i="18"/>
  <c r="R450" i="18"/>
  <c r="Q235" i="18"/>
  <c r="AC450" i="18"/>
  <c r="AE236" i="18"/>
  <c r="S663" i="18"/>
  <c r="W235" i="18"/>
  <c r="AC663" i="18"/>
  <c r="AB663" i="18"/>
  <c r="K236" i="18"/>
  <c r="Y449" i="18"/>
  <c r="AB707" i="18"/>
  <c r="Y711" i="18"/>
  <c r="V707" i="18"/>
  <c r="AA703" i="18"/>
  <c r="W703" i="18"/>
  <c r="AH711" i="18"/>
  <c r="W707" i="18"/>
  <c r="AF711" i="18"/>
  <c r="L711" i="18"/>
  <c r="V703" i="18"/>
  <c r="S707" i="18"/>
  <c r="T707" i="18"/>
  <c r="R703" i="18"/>
  <c r="I711" i="18"/>
  <c r="AE707" i="18"/>
  <c r="U707" i="18"/>
  <c r="N711" i="18"/>
  <c r="K707" i="18"/>
  <c r="AH707" i="18"/>
  <c r="Y703" i="18"/>
  <c r="P707" i="18"/>
  <c r="M707" i="18"/>
  <c r="Q703" i="18"/>
  <c r="M703" i="18"/>
  <c r="N707" i="18"/>
  <c r="I703" i="18"/>
  <c r="M711" i="18"/>
  <c r="AF707" i="18"/>
  <c r="AG703" i="18"/>
  <c r="AD711" i="18"/>
  <c r="Q707" i="18"/>
  <c r="I707" i="18"/>
  <c r="W711" i="18"/>
  <c r="AE711" i="18"/>
  <c r="R707" i="18"/>
  <c r="J707" i="18"/>
  <c r="V711" i="18"/>
  <c r="AB703" i="18"/>
  <c r="N703" i="18"/>
  <c r="AF703" i="18"/>
  <c r="AG711" i="18"/>
  <c r="T711" i="18"/>
  <c r="AH703" i="18"/>
  <c r="K703" i="18"/>
  <c r="J711" i="18"/>
  <c r="Z703" i="18"/>
  <c r="Y707" i="18"/>
  <c r="AC711" i="18"/>
  <c r="K711" i="18"/>
  <c r="AD707" i="18"/>
  <c r="AB711" i="18"/>
  <c r="X707" i="18"/>
  <c r="P711" i="18"/>
  <c r="O703" i="18"/>
  <c r="T703" i="18"/>
  <c r="U703" i="18"/>
  <c r="J703" i="18"/>
  <c r="R711" i="18"/>
  <c r="AG707" i="18"/>
  <c r="AE703" i="18"/>
  <c r="Z711" i="18"/>
  <c r="AA707" i="18"/>
  <c r="Q711" i="18"/>
  <c r="AC703" i="18"/>
  <c r="U711" i="18"/>
  <c r="AD703" i="18"/>
  <c r="X711" i="18"/>
  <c r="AC707" i="18"/>
  <c r="O707" i="18"/>
  <c r="S703" i="18"/>
  <c r="P703" i="18"/>
  <c r="O711" i="18"/>
  <c r="S711" i="18"/>
  <c r="AA711" i="18"/>
  <c r="Z707" i="18"/>
  <c r="L707" i="18"/>
  <c r="L703" i="18"/>
  <c r="E40" i="16"/>
  <c r="E64" i="16" a="1"/>
  <c r="E64" i="16" s="1"/>
  <c r="G14" i="18"/>
  <c r="AB656" i="18"/>
  <c r="N230" i="18"/>
  <c r="AD443" i="18"/>
  <c r="AD445" i="18" s="1"/>
  <c r="K230" i="18"/>
  <c r="S657" i="18"/>
  <c r="R657" i="18"/>
  <c r="AA656" i="18"/>
  <c r="T230" i="18"/>
  <c r="AB709" i="18"/>
  <c r="M657" i="18"/>
  <c r="N229" i="18"/>
  <c r="X443" i="18"/>
  <c r="X445" i="18" s="1"/>
  <c r="L229" i="18"/>
  <c r="AA443" i="18"/>
  <c r="AA445" i="18" s="1"/>
  <c r="J657" i="18"/>
  <c r="P230" i="18"/>
  <c r="N443" i="18"/>
  <c r="N445" i="18" s="1"/>
  <c r="AD230" i="18"/>
  <c r="K229" i="18"/>
  <c r="X229" i="18"/>
  <c r="AA230" i="18"/>
  <c r="AH656" i="18"/>
  <c r="T229" i="18"/>
  <c r="AC229" i="18"/>
  <c r="K443" i="18"/>
  <c r="K445" i="18" s="1"/>
  <c r="X230" i="18"/>
  <c r="Z657" i="18"/>
  <c r="W656" i="18"/>
  <c r="N656" i="18"/>
  <c r="AE443" i="18"/>
  <c r="AE445" i="18" s="1"/>
  <c r="AH230" i="18"/>
  <c r="AC443" i="18"/>
  <c r="AC445" i="18" s="1"/>
  <c r="AF443" i="18"/>
  <c r="AF445" i="18" s="1"/>
  <c r="Z656" i="18"/>
  <c r="V229" i="18"/>
  <c r="O443" i="18"/>
  <c r="O445" i="18" s="1"/>
  <c r="L656" i="18"/>
  <c r="AG229" i="18"/>
  <c r="I656" i="18"/>
  <c r="I657" i="18"/>
  <c r="J229" i="18"/>
  <c r="AG657" i="18"/>
  <c r="W443" i="18"/>
  <c r="W445" i="18" s="1"/>
  <c r="Q657" i="18"/>
  <c r="L657" i="18"/>
  <c r="AG656" i="18"/>
  <c r="AB230" i="18"/>
  <c r="AC657" i="18"/>
  <c r="Q656" i="18"/>
  <c r="AF230" i="18"/>
  <c r="U443" i="18"/>
  <c r="U445" i="18" s="1"/>
  <c r="AD229" i="18"/>
  <c r="Q229" i="18"/>
  <c r="W229" i="18"/>
  <c r="AD656" i="18"/>
  <c r="Y657" i="18"/>
  <c r="U229" i="18"/>
  <c r="M443" i="18"/>
  <c r="M445" i="18" s="1"/>
  <c r="AH657" i="18"/>
  <c r="AE656" i="18"/>
  <c r="S443" i="18"/>
  <c r="S445" i="18" s="1"/>
  <c r="V657" i="18"/>
  <c r="U657" i="18"/>
  <c r="R230" i="18"/>
  <c r="J656" i="18"/>
  <c r="R656" i="18"/>
  <c r="P229" i="18"/>
  <c r="T657" i="18"/>
  <c r="O229" i="18"/>
  <c r="AF229" i="18"/>
  <c r="R443" i="18"/>
  <c r="R445" i="18" s="1"/>
  <c r="O656" i="18"/>
  <c r="AE230" i="18"/>
  <c r="N657" i="18"/>
  <c r="V443" i="18"/>
  <c r="V445" i="18" s="1"/>
  <c r="T443" i="18"/>
  <c r="T445" i="18" s="1"/>
  <c r="Y443" i="18"/>
  <c r="Y445" i="18" s="1"/>
  <c r="U230" i="18"/>
  <c r="S229" i="18"/>
  <c r="AE657" i="18"/>
  <c r="J230" i="18"/>
  <c r="AB657" i="18"/>
  <c r="M656" i="18"/>
  <c r="M229" i="18"/>
  <c r="V230" i="18"/>
  <c r="L443" i="18"/>
  <c r="L445" i="18" s="1"/>
  <c r="W657" i="18"/>
  <c r="O657" i="18"/>
  <c r="U656" i="18"/>
  <c r="Y656" i="18"/>
  <c r="T656" i="18"/>
  <c r="P656" i="18"/>
  <c r="AC230" i="18"/>
  <c r="AA229" i="18"/>
  <c r="P657" i="18"/>
  <c r="AE229" i="18"/>
  <c r="X657" i="18"/>
  <c r="Y230" i="18"/>
  <c r="AD657" i="18"/>
  <c r="M230" i="18"/>
  <c r="AB443" i="18"/>
  <c r="AB445" i="18" s="1"/>
  <c r="AG230" i="18"/>
  <c r="AC656" i="18"/>
  <c r="Z229" i="18"/>
  <c r="AA657" i="18"/>
  <c r="Q230" i="18"/>
  <c r="K657" i="18"/>
  <c r="I229" i="18"/>
  <c r="I230" i="18"/>
  <c r="S656" i="18"/>
  <c r="I443" i="18"/>
  <c r="I445" i="18" s="1"/>
  <c r="K656" i="18"/>
  <c r="AG443" i="18"/>
  <c r="AG445" i="18" s="1"/>
  <c r="V656" i="18"/>
  <c r="O230" i="18"/>
  <c r="P443" i="18"/>
  <c r="P445" i="18" s="1"/>
  <c r="AB229" i="18"/>
  <c r="R229" i="18"/>
  <c r="AF657" i="18"/>
  <c r="Z230" i="18"/>
  <c r="W230" i="18"/>
  <c r="Z443" i="18"/>
  <c r="Z445" i="18" s="1"/>
  <c r="S230" i="18"/>
  <c r="L230" i="18"/>
  <c r="AH229" i="18"/>
  <c r="X656" i="18"/>
  <c r="AF656" i="18"/>
  <c r="AH443" i="18"/>
  <c r="AH445" i="18" s="1"/>
  <c r="Q443" i="18"/>
  <c r="Q445" i="18" s="1"/>
  <c r="J443" i="18"/>
  <c r="J445" i="18" s="1"/>
  <c r="Y229" i="18"/>
  <c r="X709" i="18"/>
  <c r="S709" i="18"/>
  <c r="R705" i="18"/>
  <c r="L709" i="18"/>
  <c r="Q701" i="18"/>
  <c r="AA705" i="18"/>
  <c r="AG705" i="18"/>
  <c r="Z701" i="18"/>
  <c r="N701" i="18"/>
  <c r="M701" i="18"/>
  <c r="AD709" i="18"/>
  <c r="K705" i="18"/>
  <c r="AA709" i="18"/>
  <c r="K709" i="18"/>
  <c r="J705" i="18"/>
  <c r="I705" i="18"/>
  <c r="AH705" i="18"/>
  <c r="AE701" i="18"/>
  <c r="L701" i="18"/>
  <c r="V701" i="18"/>
  <c r="AD701" i="18"/>
  <c r="O705" i="18"/>
  <c r="X705" i="18"/>
  <c r="AH709" i="18"/>
  <c r="AH701" i="18"/>
  <c r="AC709" i="18"/>
  <c r="Y705" i="18"/>
  <c r="T709" i="18"/>
  <c r="M705" i="18"/>
  <c r="AC705" i="18"/>
  <c r="R701" i="18"/>
  <c r="AB705" i="18"/>
  <c r="O701" i="18"/>
  <c r="Y701" i="18"/>
  <c r="W705" i="18"/>
  <c r="T701" i="18"/>
  <c r="AE705" i="18"/>
  <c r="K701" i="18"/>
  <c r="AB701" i="18"/>
  <c r="AA701" i="18"/>
  <c r="M709" i="18"/>
  <c r="Z709" i="18"/>
  <c r="AD705" i="18"/>
  <c r="T705" i="18"/>
  <c r="S705" i="18"/>
  <c r="L705" i="18"/>
  <c r="V705" i="18"/>
  <c r="Y709" i="18"/>
  <c r="O709" i="18"/>
  <c r="Z705" i="18"/>
  <c r="Q705" i="18"/>
  <c r="P709" i="18"/>
  <c r="U709" i="18"/>
  <c r="U701" i="18"/>
  <c r="AG701" i="18"/>
  <c r="J701" i="18"/>
  <c r="N709" i="18"/>
  <c r="N705" i="18"/>
  <c r="P705" i="18"/>
  <c r="P701" i="18"/>
  <c r="AF705" i="18"/>
  <c r="S701" i="18"/>
  <c r="AG709" i="18"/>
  <c r="AF709" i="18"/>
  <c r="R709" i="18"/>
  <c r="AE709" i="18"/>
  <c r="I701" i="18"/>
  <c r="J709" i="18"/>
  <c r="W701" i="18"/>
  <c r="X701" i="18"/>
  <c r="V709" i="18"/>
  <c r="U705" i="18"/>
  <c r="Q709" i="18"/>
  <c r="W709" i="18"/>
  <c r="AC701" i="18"/>
  <c r="AF701" i="18"/>
  <c r="I709" i="18"/>
  <c r="G15" i="18"/>
  <c r="AH447" i="18"/>
  <c r="I660" i="18"/>
  <c r="O232" i="18"/>
  <c r="N659" i="18"/>
  <c r="AF232" i="18"/>
  <c r="W447" i="18"/>
  <c r="V233" i="18"/>
  <c r="O660" i="18"/>
  <c r="AA446" i="18"/>
  <c r="X660" i="18"/>
  <c r="Y659" i="18"/>
  <c r="Q447" i="18"/>
  <c r="K233" i="18"/>
  <c r="L660" i="18"/>
  <c r="P447" i="18"/>
  <c r="J446" i="18"/>
  <c r="K446" i="18"/>
  <c r="N660" i="18"/>
  <c r="U446" i="18"/>
  <c r="AE232" i="18"/>
  <c r="AD446" i="18"/>
  <c r="L233" i="18"/>
  <c r="M660" i="18"/>
  <c r="L447" i="18"/>
  <c r="J659" i="18"/>
  <c r="L659" i="18"/>
  <c r="AA659" i="18"/>
  <c r="AE447" i="18"/>
  <c r="Y660" i="18"/>
  <c r="Y447" i="18"/>
  <c r="AC447" i="18"/>
  <c r="AD232" i="18"/>
  <c r="AG446" i="18"/>
  <c r="AB659" i="18"/>
  <c r="AB233" i="18"/>
  <c r="Q446" i="18"/>
  <c r="X446" i="18"/>
  <c r="Y446" i="18"/>
  <c r="M659" i="18"/>
  <c r="U659" i="18"/>
  <c r="Z446" i="18"/>
  <c r="R660" i="18"/>
  <c r="P232" i="18"/>
  <c r="AG660" i="18"/>
  <c r="AB660" i="18"/>
  <c r="AC232" i="18"/>
  <c r="I446" i="18"/>
  <c r="T659" i="18"/>
  <c r="T660" i="18"/>
  <c r="N710" i="18"/>
  <c r="AG232" i="18"/>
  <c r="P233" i="18"/>
  <c r="P446" i="18"/>
  <c r="V447" i="18"/>
  <c r="Q233" i="18"/>
  <c r="T446" i="18"/>
  <c r="AG659" i="18"/>
  <c r="J447" i="18"/>
  <c r="V660" i="18"/>
  <c r="AA447" i="18"/>
  <c r="X659" i="18"/>
  <c r="AE446" i="18"/>
  <c r="N447" i="18"/>
  <c r="O233" i="18"/>
  <c r="Z232" i="18"/>
  <c r="I233" i="18"/>
  <c r="T233" i="18"/>
  <c r="S659" i="18"/>
  <c r="R233" i="18"/>
  <c r="AC233" i="18"/>
  <c r="AD659" i="18"/>
  <c r="L232" i="18"/>
  <c r="S660" i="18"/>
  <c r="N446" i="18"/>
  <c r="AE660" i="18"/>
  <c r="K660" i="18"/>
  <c r="J660" i="18"/>
  <c r="P659" i="18"/>
  <c r="X233" i="18"/>
  <c r="R232" i="18"/>
  <c r="W659" i="18"/>
  <c r="M446" i="18"/>
  <c r="AG233" i="18"/>
  <c r="U232" i="18"/>
  <c r="AC660" i="18"/>
  <c r="V659" i="18"/>
  <c r="Z659" i="18"/>
  <c r="AF659" i="18"/>
  <c r="O659" i="18"/>
  <c r="AH232" i="18"/>
  <c r="S447" i="18"/>
  <c r="X447" i="18"/>
  <c r="AH233" i="18"/>
  <c r="AF233" i="18"/>
  <c r="AB232" i="18"/>
  <c r="V232" i="18"/>
  <c r="AD233" i="18"/>
  <c r="R659" i="18"/>
  <c r="W232" i="18"/>
  <c r="R446" i="18"/>
  <c r="O447" i="18"/>
  <c r="AB446" i="18"/>
  <c r="U660" i="18"/>
  <c r="K659" i="18"/>
  <c r="AE233" i="18"/>
  <c r="M232" i="18"/>
  <c r="M447" i="18"/>
  <c r="R447" i="18"/>
  <c r="S233" i="18"/>
  <c r="I659" i="18"/>
  <c r="I232" i="18"/>
  <c r="N232" i="18"/>
  <c r="W233" i="18"/>
  <c r="AD447" i="18"/>
  <c r="AG447" i="18"/>
  <c r="AD660" i="18"/>
  <c r="Z233" i="18"/>
  <c r="S446" i="18"/>
  <c r="J232" i="18"/>
  <c r="AH660" i="18"/>
  <c r="AF447" i="18"/>
  <c r="P660" i="18"/>
  <c r="AE659" i="18"/>
  <c r="AE661" i="18" s="1"/>
  <c r="J233" i="18"/>
  <c r="AC446" i="18"/>
  <c r="K232" i="18"/>
  <c r="S232" i="18"/>
  <c r="K447" i="18"/>
  <c r="Z660" i="18"/>
  <c r="Y233" i="18"/>
  <c r="AF660" i="18"/>
  <c r="AH659" i="18"/>
  <c r="Y232" i="18"/>
  <c r="AH446" i="18"/>
  <c r="V446" i="18"/>
  <c r="N233" i="18"/>
  <c r="Q659" i="18"/>
  <c r="L446" i="18"/>
  <c r="AF446" i="18"/>
  <c r="W660" i="18"/>
  <c r="AB447" i="18"/>
  <c r="O446" i="18"/>
  <c r="M233" i="18"/>
  <c r="Q660" i="18"/>
  <c r="T447" i="18"/>
  <c r="AA232" i="18"/>
  <c r="Z447" i="18"/>
  <c r="U233" i="18"/>
  <c r="AC659" i="18"/>
  <c r="W446" i="18"/>
  <c r="W448" i="18" s="1"/>
  <c r="AA660" i="18"/>
  <c r="U447" i="18"/>
  <c r="T232" i="18"/>
  <c r="AA233" i="18"/>
  <c r="Q232" i="18"/>
  <c r="I447" i="18"/>
  <c r="X232" i="18"/>
  <c r="AC710" i="18"/>
  <c r="M706" i="18"/>
  <c r="L702" i="18"/>
  <c r="X710" i="18"/>
  <c r="Q702" i="18"/>
  <c r="AC702" i="18"/>
  <c r="S702" i="18"/>
  <c r="AF710" i="18"/>
  <c r="U706" i="18"/>
  <c r="AF706" i="18"/>
  <c r="S706" i="18"/>
  <c r="AD706" i="18"/>
  <c r="AB706" i="18"/>
  <c r="AD710" i="18"/>
  <c r="Y706" i="18"/>
  <c r="Q710" i="18"/>
  <c r="AH702" i="18"/>
  <c r="X706" i="18"/>
  <c r="AA710" i="18"/>
  <c r="U710" i="18"/>
  <c r="O706" i="18"/>
  <c r="AA702" i="18"/>
  <c r="W702" i="18"/>
  <c r="AE706" i="18"/>
  <c r="P710" i="18"/>
  <c r="R706" i="18"/>
  <c r="W710" i="18"/>
  <c r="Q706" i="18"/>
  <c r="AB710" i="18"/>
  <c r="AA706" i="18"/>
  <c r="R710" i="18"/>
  <c r="Z710" i="18"/>
  <c r="K706" i="18"/>
  <c r="T702" i="18"/>
  <c r="L706" i="18"/>
  <c r="J702" i="18"/>
  <c r="I702" i="18"/>
  <c r="V710" i="18"/>
  <c r="AG702" i="18"/>
  <c r="AG710" i="18"/>
  <c r="V706" i="18"/>
  <c r="I706" i="18"/>
  <c r="Z702" i="18"/>
  <c r="L710" i="18"/>
  <c r="W706" i="18"/>
  <c r="AH706" i="18"/>
  <c r="R702" i="18"/>
  <c r="N706" i="18"/>
  <c r="AD702" i="18"/>
  <c r="J710" i="18"/>
  <c r="AF702" i="18"/>
  <c r="M702" i="18"/>
  <c r="S710" i="18"/>
  <c r="T710" i="18"/>
  <c r="O702" i="18"/>
  <c r="J706" i="18"/>
  <c r="Y702" i="18"/>
  <c r="K702" i="18"/>
  <c r="AE710" i="18"/>
  <c r="I710" i="18"/>
  <c r="O710" i="18"/>
  <c r="T706" i="18"/>
  <c r="P702" i="18"/>
  <c r="M710" i="18"/>
  <c r="AH710" i="18"/>
  <c r="V702" i="18"/>
  <c r="AE702" i="18"/>
  <c r="X702" i="18"/>
  <c r="N702" i="18"/>
  <c r="U702" i="18"/>
  <c r="Y710" i="18"/>
  <c r="Z706" i="18"/>
  <c r="AC706" i="18"/>
  <c r="K710" i="18"/>
  <c r="AG706" i="18"/>
  <c r="AB702" i="18"/>
  <c r="P706" i="18"/>
  <c r="E46" i="16"/>
  <c r="E71" i="16" s="1" a="1"/>
  <c r="E71" i="16" s="1"/>
  <c r="G13" i="18"/>
  <c r="L441" i="18"/>
  <c r="AF226" i="18"/>
  <c r="O226" i="18"/>
  <c r="AG654" i="18"/>
  <c r="R440" i="18"/>
  <c r="Z441" i="18"/>
  <c r="X440" i="18"/>
  <c r="V226" i="18"/>
  <c r="Q654" i="18"/>
  <c r="O441" i="18"/>
  <c r="Q226" i="18"/>
  <c r="R653" i="18"/>
  <c r="AC440" i="18"/>
  <c r="V440" i="18"/>
  <c r="Z227" i="18"/>
  <c r="L654" i="18"/>
  <c r="T440" i="18"/>
  <c r="N227" i="18"/>
  <c r="N441" i="18"/>
  <c r="I227" i="18"/>
  <c r="M227" i="18"/>
  <c r="J227" i="18"/>
  <c r="O700" i="18"/>
  <c r="AE440" i="18"/>
  <c r="AH653" i="18"/>
  <c r="L440" i="18"/>
  <c r="U653" i="18"/>
  <c r="K441" i="18"/>
  <c r="Q653" i="18"/>
  <c r="N440" i="18"/>
  <c r="X441" i="18"/>
  <c r="AC226" i="18"/>
  <c r="U440" i="18"/>
  <c r="T653" i="18"/>
  <c r="P440" i="18"/>
  <c r="Y441" i="18"/>
  <c r="T227" i="18"/>
  <c r="Z226" i="18"/>
  <c r="AF653" i="18"/>
  <c r="AF227" i="18"/>
  <c r="W653" i="18"/>
  <c r="AD226" i="18"/>
  <c r="K226" i="18"/>
  <c r="I441" i="18"/>
  <c r="AB227" i="18"/>
  <c r="AB441" i="18"/>
  <c r="W227" i="18"/>
  <c r="Y227" i="18"/>
  <c r="AC227" i="18"/>
  <c r="J226" i="18"/>
  <c r="AC441" i="18"/>
  <c r="T226" i="18"/>
  <c r="AA653" i="18"/>
  <c r="AB653" i="18"/>
  <c r="U654" i="18"/>
  <c r="O654" i="18"/>
  <c r="T441" i="18"/>
  <c r="V654" i="18"/>
  <c r="AH441" i="18"/>
  <c r="Y226" i="18"/>
  <c r="O440" i="18"/>
  <c r="U227" i="18"/>
  <c r="N226" i="18"/>
  <c r="U441" i="18"/>
  <c r="Z654" i="18"/>
  <c r="S441" i="18"/>
  <c r="P654" i="18"/>
  <c r="R227" i="18"/>
  <c r="J441" i="18"/>
  <c r="AH227" i="18"/>
  <c r="M653" i="18"/>
  <c r="K440" i="18"/>
  <c r="U226" i="18"/>
  <c r="AA226" i="18"/>
  <c r="AB226" i="18"/>
  <c r="AD441" i="18"/>
  <c r="AE653" i="18"/>
  <c r="R441" i="18"/>
  <c r="AG440" i="18"/>
  <c r="I653" i="18"/>
  <c r="AH654" i="18"/>
  <c r="P227" i="18"/>
  <c r="AB654" i="18"/>
  <c r="AF700" i="18"/>
  <c r="X227" i="18"/>
  <c r="P226" i="18"/>
  <c r="O653" i="18"/>
  <c r="J440" i="18"/>
  <c r="Y653" i="18"/>
  <c r="T654" i="18"/>
  <c r="AC653" i="18"/>
  <c r="S226" i="18"/>
  <c r="AD440" i="18"/>
  <c r="N653" i="18"/>
  <c r="Q441" i="18"/>
  <c r="Y440" i="18"/>
  <c r="Y654" i="18"/>
  <c r="AB440" i="18"/>
  <c r="M654" i="18"/>
  <c r="O227" i="18"/>
  <c r="R654" i="18"/>
  <c r="I654" i="18"/>
  <c r="N654" i="18"/>
  <c r="I440" i="18"/>
  <c r="W226" i="18"/>
  <c r="AG441" i="18"/>
  <c r="X653" i="18"/>
  <c r="AA227" i="18"/>
  <c r="AF440" i="18"/>
  <c r="AA441" i="18"/>
  <c r="X226" i="18"/>
  <c r="AD654" i="18"/>
  <c r="AH440" i="18"/>
  <c r="X654" i="18"/>
  <c r="AG226" i="18"/>
  <c r="L226" i="18"/>
  <c r="AF441" i="18"/>
  <c r="K227" i="18"/>
  <c r="L227" i="18"/>
  <c r="Z653" i="18"/>
  <c r="J653" i="18"/>
  <c r="V441" i="18"/>
  <c r="Q440" i="18"/>
  <c r="V653" i="18"/>
  <c r="AF654" i="18"/>
  <c r="P441" i="18"/>
  <c r="M440" i="18"/>
  <c r="AH226" i="18"/>
  <c r="L653" i="18"/>
  <c r="AD227" i="18"/>
  <c r="Q227" i="18"/>
  <c r="AA440" i="18"/>
  <c r="AC654" i="18"/>
  <c r="AE654" i="18"/>
  <c r="J654" i="18"/>
  <c r="S654" i="18"/>
  <c r="S227" i="18"/>
  <c r="V227" i="18"/>
  <c r="AD653" i="18"/>
  <c r="W440" i="18"/>
  <c r="S653" i="18"/>
  <c r="R226" i="18"/>
  <c r="AG227" i="18"/>
  <c r="M441" i="18"/>
  <c r="K654" i="18"/>
  <c r="Z440" i="18"/>
  <c r="W654" i="18"/>
  <c r="AA654" i="18"/>
  <c r="AE227" i="18"/>
  <c r="AE441" i="18"/>
  <c r="S440" i="18"/>
  <c r="AG653" i="18"/>
  <c r="K653" i="18"/>
  <c r="W441" i="18"/>
  <c r="M226" i="18"/>
  <c r="AE226" i="18"/>
  <c r="P653" i="18"/>
  <c r="AE708" i="18"/>
  <c r="AH700" i="18"/>
  <c r="AH704" i="18"/>
  <c r="J704" i="18"/>
  <c r="P700" i="18"/>
  <c r="P704" i="18"/>
  <c r="AB700" i="18"/>
  <c r="L704" i="18"/>
  <c r="L716" i="18" s="1"/>
  <c r="T708" i="18"/>
  <c r="AC700" i="18"/>
  <c r="V700" i="18"/>
  <c r="T700" i="18"/>
  <c r="I704" i="18"/>
  <c r="AF704" i="18"/>
  <c r="W708" i="18"/>
  <c r="V708" i="18"/>
  <c r="U700" i="18"/>
  <c r="Q708" i="18"/>
  <c r="AH708" i="18"/>
  <c r="W704" i="18"/>
  <c r="K704" i="18"/>
  <c r="U704" i="18"/>
  <c r="T704" i="18"/>
  <c r="P708" i="18"/>
  <c r="M704" i="18"/>
  <c r="AD704" i="18"/>
  <c r="Y708" i="18"/>
  <c r="N704" i="18"/>
  <c r="AF708" i="18"/>
  <c r="X704" i="18"/>
  <c r="M700" i="18"/>
  <c r="R700" i="18"/>
  <c r="AG700" i="18"/>
  <c r="I708" i="18"/>
  <c r="AA700" i="18"/>
  <c r="Z704" i="18"/>
  <c r="AE704" i="18"/>
  <c r="S708" i="18"/>
  <c r="R708" i="18"/>
  <c r="O704" i="18"/>
  <c r="AA704" i="18"/>
  <c r="S700" i="18"/>
  <c r="M708" i="18"/>
  <c r="Z700" i="18"/>
  <c r="K708" i="18"/>
  <c r="Q704" i="18"/>
  <c r="L708" i="18"/>
  <c r="AC708" i="18"/>
  <c r="Q700" i="18"/>
  <c r="K700" i="18"/>
  <c r="Z708" i="18"/>
  <c r="R704" i="18"/>
  <c r="I700" i="18"/>
  <c r="AB704" i="18"/>
  <c r="X708" i="18"/>
  <c r="AB708" i="18"/>
  <c r="AC704" i="18"/>
  <c r="AD708" i="18"/>
  <c r="W700" i="18"/>
  <c r="J708" i="18"/>
  <c r="Y704" i="18"/>
  <c r="X700" i="18"/>
  <c r="AG704" i="18"/>
  <c r="Y700" i="18"/>
  <c r="AD700" i="18"/>
  <c r="S704" i="18"/>
  <c r="AG708" i="18"/>
  <c r="N708" i="18"/>
  <c r="O708" i="18"/>
  <c r="N700" i="18"/>
  <c r="AE700" i="18"/>
  <c r="J700" i="18"/>
  <c r="AA708" i="18"/>
  <c r="V704" i="18"/>
  <c r="U708" i="18"/>
  <c r="E79" i="16" a="1"/>
  <c r="E79" i="16" s="1"/>
  <c r="E109" i="16" a="1"/>
  <c r="E109" i="16" s="1"/>
  <c r="E63" i="16" a="1"/>
  <c r="E63" i="16" s="1"/>
  <c r="E85" i="16" a="1"/>
  <c r="E85" i="16" s="1"/>
  <c r="E115" i="16" a="1"/>
  <c r="E115" i="16" s="1"/>
  <c r="E140" i="16" s="1" a="1"/>
  <c r="E140" i="16" s="1"/>
  <c r="E84" i="16" a="1"/>
  <c r="E84" i="16" s="1"/>
  <c r="E114" i="16" a="1"/>
  <c r="E114" i="16" s="1"/>
  <c r="E139" i="16" s="1" a="1"/>
  <c r="E139" i="16" s="1"/>
  <c r="E80" i="16" a="1"/>
  <c r="E80" i="16" s="1"/>
  <c r="E110" i="16" a="1"/>
  <c r="E110" i="16" s="1"/>
  <c r="E135" i="16" s="1" a="1"/>
  <c r="E135" i="16" s="1"/>
  <c r="E81" i="16" a="1"/>
  <c r="E81" i="16" s="1"/>
  <c r="E111" i="16" a="1"/>
  <c r="E111" i="16" s="1"/>
  <c r="E136" i="16" s="1" a="1"/>
  <c r="E136" i="16" s="1"/>
  <c r="F61" i="16"/>
  <c r="F116" i="16" s="1" a="1"/>
  <c r="F116" i="16" s="1"/>
  <c r="E69" i="16" a="1"/>
  <c r="E69" i="16" s="1"/>
  <c r="E124" i="16" a="1"/>
  <c r="E124" i="16" s="1"/>
  <c r="D11" i="65"/>
  <c r="D13" i="65" s="1"/>
  <c r="AD13" i="65"/>
  <c r="AE13" i="65"/>
  <c r="AD16" i="65"/>
  <c r="AE16" i="65"/>
  <c r="AD10" i="65"/>
  <c r="AE10" i="65"/>
  <c r="AE49" i="16"/>
  <c r="AE104" i="16" s="1" a="1"/>
  <c r="AE104" i="16" s="1"/>
  <c r="AE57" i="16"/>
  <c r="AE112" i="16" s="1" a="1"/>
  <c r="AE112" i="16" s="1"/>
  <c r="AE45" i="16"/>
  <c r="AE100" i="16" s="1" a="1"/>
  <c r="AE100" i="16" s="1"/>
  <c r="AE53" i="16"/>
  <c r="AE108" i="16" s="1" a="1"/>
  <c r="AE108" i="16" s="1"/>
  <c r="E94" i="16" a="1"/>
  <c r="E94" i="16" s="1"/>
  <c r="E119" i="16" s="1" a="1"/>
  <c r="E119" i="16" s="1"/>
  <c r="D32" i="29" a="1"/>
  <c r="D32" i="29" s="1"/>
  <c r="D42" i="29" a="1"/>
  <c r="D42" i="29" s="1"/>
  <c r="D36" i="29" a="1"/>
  <c r="D36" i="29" s="1"/>
  <c r="D45" i="29" a="1"/>
  <c r="D45" i="29" s="1"/>
  <c r="D44" i="29" a="1"/>
  <c r="D44" i="29" s="1"/>
  <c r="D43" i="29" a="1"/>
  <c r="D43" i="29" s="1"/>
  <c r="V10" i="65"/>
  <c r="W10" i="65"/>
  <c r="X10" i="65"/>
  <c r="Y10" i="65"/>
  <c r="Z10" i="65"/>
  <c r="AA10" i="65"/>
  <c r="AB10" i="65"/>
  <c r="AC10" i="65"/>
  <c r="F10" i="65"/>
  <c r="G10" i="65"/>
  <c r="H10" i="65"/>
  <c r="I10" i="65"/>
  <c r="Q10" i="65"/>
  <c r="L10" i="65"/>
  <c r="P10" i="65"/>
  <c r="R10" i="65"/>
  <c r="T10" i="65"/>
  <c r="U10" i="65"/>
  <c r="E10" i="65"/>
  <c r="K10" i="65"/>
  <c r="M10" i="65"/>
  <c r="O10" i="65"/>
  <c r="J10" i="65"/>
  <c r="N10" i="65"/>
  <c r="S10" i="65"/>
  <c r="E102" i="16" a="1"/>
  <c r="E102" i="16" s="1"/>
  <c r="E103" i="16" a="1"/>
  <c r="E103" i="16" s="1"/>
  <c r="O53" i="16"/>
  <c r="O108" i="16" s="1" a="1"/>
  <c r="O108" i="16" s="1"/>
  <c r="Z53" i="16"/>
  <c r="Z108" i="16" s="1" a="1"/>
  <c r="Z108" i="16" s="1"/>
  <c r="H53" i="16"/>
  <c r="H108" i="16" s="1" a="1"/>
  <c r="H108" i="16" s="1"/>
  <c r="L53" i="16"/>
  <c r="L108" i="16" s="1" a="1"/>
  <c r="L108" i="16" s="1"/>
  <c r="I53" i="16"/>
  <c r="I108" i="16" s="1" a="1"/>
  <c r="I108" i="16" s="1"/>
  <c r="M53" i="16"/>
  <c r="M108" i="16" s="1" a="1"/>
  <c r="M108" i="16" s="1"/>
  <c r="P53" i="16"/>
  <c r="P108" i="16" s="1" a="1"/>
  <c r="P108" i="16" s="1"/>
  <c r="Q53" i="16"/>
  <c r="Q108" i="16" s="1" a="1"/>
  <c r="Q108" i="16" s="1"/>
  <c r="AA53" i="16"/>
  <c r="AA108" i="16" s="1" a="1"/>
  <c r="AA108" i="16" s="1"/>
  <c r="AB53" i="16"/>
  <c r="AB108" i="16" s="1" a="1"/>
  <c r="AB108" i="16" s="1"/>
  <c r="S53" i="16"/>
  <c r="S108" i="16" s="1" a="1"/>
  <c r="S108" i="16" s="1"/>
  <c r="U53" i="16"/>
  <c r="U108" i="16" s="1" a="1"/>
  <c r="U108" i="16" s="1"/>
  <c r="T53" i="16"/>
  <c r="T108" i="16" s="1" a="1"/>
  <c r="T108" i="16" s="1"/>
  <c r="W53" i="16"/>
  <c r="W108" i="16" s="1" a="1"/>
  <c r="W108" i="16" s="1"/>
  <c r="F53" i="16"/>
  <c r="F108" i="16" s="1" a="1"/>
  <c r="F108" i="16" s="1"/>
  <c r="K53" i="16"/>
  <c r="K108" i="16" s="1" a="1"/>
  <c r="K108" i="16" s="1"/>
  <c r="N53" i="16"/>
  <c r="N108" i="16" s="1" a="1"/>
  <c r="N108" i="16" s="1"/>
  <c r="V53" i="16"/>
  <c r="V108" i="16" s="1" a="1"/>
  <c r="V108" i="16" s="1"/>
  <c r="X53" i="16"/>
  <c r="X108" i="16" s="1" a="1"/>
  <c r="X108" i="16" s="1"/>
  <c r="Y53" i="16"/>
  <c r="Y108" i="16" s="1" a="1"/>
  <c r="Y108" i="16" s="1"/>
  <c r="AC53" i="16"/>
  <c r="AC108" i="16" s="1" a="1"/>
  <c r="AC108" i="16" s="1"/>
  <c r="AD53" i="16"/>
  <c r="AD108" i="16" s="1" a="1"/>
  <c r="AD108" i="16" s="1"/>
  <c r="G53" i="16"/>
  <c r="G108" i="16" s="1" a="1"/>
  <c r="G108" i="16" s="1"/>
  <c r="J53" i="16"/>
  <c r="J108" i="16" s="1" a="1"/>
  <c r="J108" i="16" s="1"/>
  <c r="R53" i="16"/>
  <c r="R108" i="16" s="1" a="1"/>
  <c r="R108" i="16" s="1"/>
  <c r="D35" i="29" a="1"/>
  <c r="D35" i="29" s="1"/>
  <c r="W57" i="16"/>
  <c r="W112" i="16" s="1" a="1"/>
  <c r="W112" i="16" s="1"/>
  <c r="Q57" i="16"/>
  <c r="Q112" i="16" s="1" a="1"/>
  <c r="Q112" i="16" s="1"/>
  <c r="AB57" i="16"/>
  <c r="AB112" i="16" s="1" a="1"/>
  <c r="AB112" i="16" s="1"/>
  <c r="P57" i="16"/>
  <c r="P112" i="16" s="1" a="1"/>
  <c r="P112" i="16" s="1"/>
  <c r="F57" i="16"/>
  <c r="F112" i="16" s="1" a="1"/>
  <c r="F112" i="16" s="1"/>
  <c r="O57" i="16"/>
  <c r="O112" i="16" s="1" a="1"/>
  <c r="O112" i="16" s="1"/>
  <c r="M57" i="16"/>
  <c r="M112" i="16" s="1" a="1"/>
  <c r="M112" i="16" s="1"/>
  <c r="G57" i="16"/>
  <c r="G112" i="16" s="1" a="1"/>
  <c r="G112" i="16" s="1"/>
  <c r="N57" i="16"/>
  <c r="N112" i="16" s="1" a="1"/>
  <c r="N112" i="16" s="1"/>
  <c r="V57" i="16"/>
  <c r="V112" i="16" s="1" a="1"/>
  <c r="V112" i="16" s="1"/>
  <c r="L57" i="16"/>
  <c r="L112" i="16" s="1" a="1"/>
  <c r="L112" i="16" s="1"/>
  <c r="Y57" i="16"/>
  <c r="Y112" i="16" s="1" a="1"/>
  <c r="Y112" i="16" s="1"/>
  <c r="J57" i="16"/>
  <c r="J112" i="16" s="1" a="1"/>
  <c r="J112" i="16" s="1"/>
  <c r="X57" i="16"/>
  <c r="X112" i="16" s="1" a="1"/>
  <c r="X112" i="16" s="1"/>
  <c r="Z57" i="16"/>
  <c r="Z112" i="16" s="1" a="1"/>
  <c r="Z112" i="16" s="1"/>
  <c r="K57" i="16"/>
  <c r="K112" i="16" s="1" a="1"/>
  <c r="K112" i="16" s="1"/>
  <c r="U57" i="16"/>
  <c r="U112" i="16" s="1" a="1"/>
  <c r="U112" i="16" s="1"/>
  <c r="H57" i="16"/>
  <c r="H112" i="16" s="1" a="1"/>
  <c r="H112" i="16" s="1"/>
  <c r="T57" i="16"/>
  <c r="T112" i="16" s="1" a="1"/>
  <c r="T112" i="16" s="1"/>
  <c r="AC57" i="16"/>
  <c r="AC112" i="16" s="1" a="1"/>
  <c r="AC112" i="16" s="1"/>
  <c r="S57" i="16"/>
  <c r="S112" i="16" s="1" a="1"/>
  <c r="S112" i="16" s="1"/>
  <c r="I57" i="16"/>
  <c r="I112" i="16" s="1" a="1"/>
  <c r="I112" i="16" s="1"/>
  <c r="R57" i="16"/>
  <c r="R112" i="16" s="1" a="1"/>
  <c r="R112" i="16" s="1"/>
  <c r="AA57" i="16"/>
  <c r="AA112" i="16" s="1" a="1"/>
  <c r="AA112" i="16" s="1"/>
  <c r="AD57" i="16"/>
  <c r="AD112" i="16" s="1" a="1"/>
  <c r="AD112" i="16" s="1"/>
  <c r="D31" i="29" a="1"/>
  <c r="D31" i="29" s="1"/>
  <c r="D33" i="29" a="1"/>
  <c r="D33" i="29" s="1"/>
  <c r="J13" i="65"/>
  <c r="V13" i="65"/>
  <c r="R13" i="65"/>
  <c r="P13" i="65"/>
  <c r="AC13" i="65"/>
  <c r="L13" i="65"/>
  <c r="F13" i="65"/>
  <c r="E13" i="65"/>
  <c r="O13" i="65"/>
  <c r="AA13" i="65"/>
  <c r="N13" i="65"/>
  <c r="H13" i="65"/>
  <c r="Z13" i="65"/>
  <c r="S13" i="65"/>
  <c r="T13" i="65"/>
  <c r="Q13" i="65"/>
  <c r="G13" i="65"/>
  <c r="K13" i="65"/>
  <c r="AB13" i="65"/>
  <c r="X13" i="65"/>
  <c r="Y13" i="65"/>
  <c r="M13" i="65"/>
  <c r="W13" i="65"/>
  <c r="U13" i="65"/>
  <c r="I13" i="65"/>
  <c r="P45" i="16"/>
  <c r="P100" i="16" s="1" a="1"/>
  <c r="P100" i="16" s="1"/>
  <c r="S45" i="16"/>
  <c r="S100" i="16" s="1" a="1"/>
  <c r="S100" i="16" s="1"/>
  <c r="X45" i="16"/>
  <c r="X100" i="16" s="1" a="1"/>
  <c r="X100" i="16" s="1"/>
  <c r="Y45" i="16"/>
  <c r="Y100" i="16" s="1" a="1"/>
  <c r="Y100" i="16" s="1"/>
  <c r="M45" i="16"/>
  <c r="M100" i="16" s="1" a="1"/>
  <c r="M100" i="16" s="1"/>
  <c r="V45" i="16"/>
  <c r="V100" i="16" s="1" a="1"/>
  <c r="V100" i="16" s="1"/>
  <c r="Q45" i="16"/>
  <c r="Q100" i="16" s="1" a="1"/>
  <c r="Q100" i="16" s="1"/>
  <c r="K45" i="16"/>
  <c r="K100" i="16" s="1" a="1"/>
  <c r="K100" i="16" s="1"/>
  <c r="F45" i="16"/>
  <c r="F100" i="16" s="1" a="1"/>
  <c r="F100" i="16" s="1"/>
  <c r="AA45" i="16"/>
  <c r="AA100" i="16" s="1" a="1"/>
  <c r="AA100" i="16" s="1"/>
  <c r="Z45" i="16"/>
  <c r="Z100" i="16" s="1" a="1"/>
  <c r="Z100" i="16" s="1"/>
  <c r="W45" i="16"/>
  <c r="W100" i="16" s="1" a="1"/>
  <c r="W100" i="16" s="1"/>
  <c r="I45" i="16"/>
  <c r="I100" i="16" s="1" a="1"/>
  <c r="I100" i="16" s="1"/>
  <c r="AC45" i="16"/>
  <c r="AC100" i="16" s="1" a="1"/>
  <c r="AC100" i="16" s="1"/>
  <c r="AD45" i="16"/>
  <c r="AD100" i="16" s="1" a="1"/>
  <c r="AD100" i="16" s="1"/>
  <c r="L45" i="16"/>
  <c r="L100" i="16" s="1" a="1"/>
  <c r="L100" i="16" s="1"/>
  <c r="O45" i="16"/>
  <c r="O100" i="16" s="1" a="1"/>
  <c r="O100" i="16" s="1"/>
  <c r="U45" i="16"/>
  <c r="U100" i="16" s="1" a="1"/>
  <c r="U100" i="16" s="1"/>
  <c r="N45" i="16"/>
  <c r="N100" i="16" s="1" a="1"/>
  <c r="N100" i="16" s="1"/>
  <c r="G45" i="16"/>
  <c r="G100" i="16" s="1" a="1"/>
  <c r="G100" i="16" s="1"/>
  <c r="R45" i="16"/>
  <c r="R100" i="16" s="1" a="1"/>
  <c r="R100" i="16" s="1"/>
  <c r="T45" i="16"/>
  <c r="T100" i="16" s="1" a="1"/>
  <c r="T100" i="16" s="1"/>
  <c r="J45" i="16"/>
  <c r="J100" i="16" s="1" a="1"/>
  <c r="J100" i="16" s="1"/>
  <c r="H45" i="16"/>
  <c r="H100" i="16" s="1" a="1"/>
  <c r="H100" i="16" s="1"/>
  <c r="AB45" i="16"/>
  <c r="AB100" i="16" s="1" a="1"/>
  <c r="AB100" i="16" s="1"/>
  <c r="Y49" i="16"/>
  <c r="Y104" i="16" s="1" a="1"/>
  <c r="Y104" i="16" s="1"/>
  <c r="X49" i="16"/>
  <c r="X104" i="16" s="1" a="1"/>
  <c r="X104" i="16" s="1"/>
  <c r="M49" i="16"/>
  <c r="M104" i="16" s="1" a="1"/>
  <c r="M104" i="16" s="1"/>
  <c r="H49" i="16"/>
  <c r="H104" i="16" s="1" a="1"/>
  <c r="H104" i="16" s="1"/>
  <c r="W49" i="16"/>
  <c r="W104" i="16" s="1" a="1"/>
  <c r="W104" i="16" s="1"/>
  <c r="AD49" i="16"/>
  <c r="AD104" i="16" s="1" a="1"/>
  <c r="AD104" i="16" s="1"/>
  <c r="F49" i="16"/>
  <c r="F104" i="16" s="1" a="1"/>
  <c r="F104" i="16" s="1"/>
  <c r="R49" i="16"/>
  <c r="R104" i="16" s="1" a="1"/>
  <c r="R104" i="16" s="1"/>
  <c r="L49" i="16"/>
  <c r="L104" i="16" s="1" a="1"/>
  <c r="L104" i="16" s="1"/>
  <c r="J49" i="16"/>
  <c r="J104" i="16" s="1" a="1"/>
  <c r="J104" i="16" s="1"/>
  <c r="T49" i="16"/>
  <c r="T104" i="16" s="1" a="1"/>
  <c r="T104" i="16" s="1"/>
  <c r="AC49" i="16"/>
  <c r="AC104" i="16" s="1" a="1"/>
  <c r="AC104" i="16" s="1"/>
  <c r="U49" i="16"/>
  <c r="U104" i="16" s="1" a="1"/>
  <c r="U104" i="16" s="1"/>
  <c r="P49" i="16"/>
  <c r="P104" i="16" s="1" a="1"/>
  <c r="P104" i="16" s="1"/>
  <c r="G49" i="16"/>
  <c r="G104" i="16" s="1" a="1"/>
  <c r="G104" i="16" s="1"/>
  <c r="AB49" i="16"/>
  <c r="AB104" i="16" s="1" a="1"/>
  <c r="AB104" i="16" s="1"/>
  <c r="S49" i="16"/>
  <c r="S104" i="16" s="1" a="1"/>
  <c r="S104" i="16" s="1"/>
  <c r="I49" i="16"/>
  <c r="I104" i="16" s="1" a="1"/>
  <c r="I104" i="16" s="1"/>
  <c r="V49" i="16"/>
  <c r="V104" i="16" s="1" a="1"/>
  <c r="V104" i="16" s="1"/>
  <c r="Q49" i="16"/>
  <c r="Q104" i="16" s="1" a="1"/>
  <c r="Q104" i="16" s="1"/>
  <c r="O49" i="16"/>
  <c r="O104" i="16" s="1" a="1"/>
  <c r="O104" i="16" s="1"/>
  <c r="K49" i="16"/>
  <c r="K104" i="16" s="1" a="1"/>
  <c r="K104" i="16" s="1"/>
  <c r="Z49" i="16"/>
  <c r="Z104" i="16" s="1" a="1"/>
  <c r="Z104" i="16" s="1"/>
  <c r="AA49" i="16"/>
  <c r="AA104" i="16" s="1" a="1"/>
  <c r="AA104" i="16" s="1"/>
  <c r="N49" i="16"/>
  <c r="N104" i="16" s="1" a="1"/>
  <c r="N104" i="16" s="1"/>
  <c r="D34" i="29" a="1"/>
  <c r="D34" i="29" s="1"/>
  <c r="D14" i="65"/>
  <c r="D16" i="65" s="1"/>
  <c r="H16" i="65"/>
  <c r="I16" i="65"/>
  <c r="N16" i="65"/>
  <c r="P16" i="65"/>
  <c r="R16" i="65"/>
  <c r="S16" i="65"/>
  <c r="X16" i="65"/>
  <c r="AC16" i="65"/>
  <c r="F16" i="65"/>
  <c r="J16" i="65"/>
  <c r="K16" i="65"/>
  <c r="L16" i="65"/>
  <c r="M16" i="65"/>
  <c r="O16" i="65"/>
  <c r="T16" i="65"/>
  <c r="U16" i="65"/>
  <c r="W16" i="65"/>
  <c r="AB16" i="65"/>
  <c r="G16" i="65"/>
  <c r="Q16" i="65"/>
  <c r="V16" i="65"/>
  <c r="Y16" i="65"/>
  <c r="Z16" i="65"/>
  <c r="AA16" i="65"/>
  <c r="E16" i="65"/>
  <c r="D10" i="65"/>
  <c r="I228" i="18" l="1"/>
  <c r="I716" i="18"/>
  <c r="L723" i="18"/>
  <c r="K723" i="18"/>
  <c r="AH716" i="18"/>
  <c r="E41" i="16" a="1"/>
  <c r="E41" i="16" s="1"/>
  <c r="F95" i="40" a="1"/>
  <c r="F95" i="40" s="1"/>
  <c r="D37" i="29" a="1"/>
  <c r="D37" i="29" s="1"/>
  <c r="G293" i="48" s="1"/>
  <c r="F82" i="40" a="1"/>
  <c r="F82" i="40" s="1"/>
  <c r="E82" i="40" s="1"/>
  <c r="J60" i="40" s="1"/>
  <c r="D293" i="48"/>
  <c r="D30" i="29" a="1"/>
  <c r="D30" i="29" s="1"/>
  <c r="G134" i="48"/>
  <c r="E299" i="48" s="1" a="1"/>
  <c r="E299" i="48" s="1"/>
  <c r="E76" i="16" a="1"/>
  <c r="E76" i="16" s="1"/>
  <c r="E78" i="16" s="1" a="1"/>
  <c r="E78" i="16" s="1"/>
  <c r="E106" i="16" a="1"/>
  <c r="E106" i="16" s="1"/>
  <c r="E150" i="16" s="1" a="1"/>
  <c r="E150" i="16" s="1"/>
  <c r="T23" i="65"/>
  <c r="V94" i="40" s="1" a="1"/>
  <c r="V94" i="40" s="1"/>
  <c r="T22" i="65"/>
  <c r="V81" i="40" s="1" a="1"/>
  <c r="V81" i="40" s="1"/>
  <c r="Q23" i="65"/>
  <c r="S94" i="40" s="1" a="1"/>
  <c r="S94" i="40" s="1"/>
  <c r="Q22" i="65"/>
  <c r="S81" i="40" s="1" a="1"/>
  <c r="S81" i="40" s="1"/>
  <c r="V22" i="65"/>
  <c r="X81" i="40" s="1" a="1"/>
  <c r="X81" i="40" s="1"/>
  <c r="V23" i="65"/>
  <c r="X94" i="40" s="1" a="1"/>
  <c r="X94" i="40" s="1"/>
  <c r="L23" i="65"/>
  <c r="N94" i="40" s="1" a="1"/>
  <c r="N94" i="40" s="1"/>
  <c r="L22" i="65"/>
  <c r="N81" i="40" s="1" a="1"/>
  <c r="N81" i="40" s="1"/>
  <c r="I23" i="65"/>
  <c r="I22" i="65"/>
  <c r="K81" i="40" s="1" a="1"/>
  <c r="K81" i="40" s="1"/>
  <c r="H22" i="65"/>
  <c r="J81" i="40" s="1" a="1"/>
  <c r="J81" i="40" s="1"/>
  <c r="H23" i="65"/>
  <c r="J94" i="40" s="1" a="1"/>
  <c r="J94" i="40" s="1"/>
  <c r="U22" i="65"/>
  <c r="W81" i="40" s="1" a="1"/>
  <c r="W81" i="40" s="1"/>
  <c r="U23" i="65"/>
  <c r="W94" i="40" s="1" a="1"/>
  <c r="W94" i="40" s="1"/>
  <c r="G22" i="65"/>
  <c r="I81" i="40" s="1" a="1"/>
  <c r="I81" i="40" s="1"/>
  <c r="G23" i="65"/>
  <c r="I94" i="40" s="1" a="1"/>
  <c r="I94" i="40" s="1"/>
  <c r="W22" i="65"/>
  <c r="Y81" i="40" s="1" a="1"/>
  <c r="Y81" i="40" s="1"/>
  <c r="W23" i="65"/>
  <c r="Y94" i="40" s="1" a="1"/>
  <c r="Y94" i="40" s="1"/>
  <c r="S23" i="65"/>
  <c r="U94" i="40" s="1" a="1"/>
  <c r="U94" i="40" s="1"/>
  <c r="S22" i="65"/>
  <c r="U81" i="40" s="1" a="1"/>
  <c r="U81" i="40" s="1"/>
  <c r="F22" i="65"/>
  <c r="H81" i="40" s="1" a="1"/>
  <c r="H81" i="40" s="1"/>
  <c r="F23" i="65"/>
  <c r="N23" i="65"/>
  <c r="P94" i="40" s="1" a="1"/>
  <c r="P94" i="40" s="1"/>
  <c r="N22" i="65"/>
  <c r="P81" i="40" s="1" a="1"/>
  <c r="P81" i="40" s="1"/>
  <c r="AC23" i="65"/>
  <c r="AE94" i="40" s="1" a="1"/>
  <c r="AE94" i="40" s="1"/>
  <c r="AC22" i="65"/>
  <c r="AE81" i="40" s="1" a="1"/>
  <c r="AE81" i="40" s="1"/>
  <c r="AE23" i="65"/>
  <c r="AG94" i="40" s="1" a="1"/>
  <c r="AG94" i="40" s="1"/>
  <c r="AE22" i="65"/>
  <c r="AG81" i="40" s="1" a="1"/>
  <c r="AG81" i="40" s="1"/>
  <c r="P23" i="65"/>
  <c r="R94" i="40" s="1" a="1"/>
  <c r="R94" i="40" s="1"/>
  <c r="P22" i="65"/>
  <c r="R81" i="40" s="1" a="1"/>
  <c r="R81" i="40" s="1"/>
  <c r="J23" i="65"/>
  <c r="L94" i="40" s="1" a="1"/>
  <c r="L94" i="40" s="1"/>
  <c r="J22" i="65"/>
  <c r="L81" i="40" s="1" a="1"/>
  <c r="L81" i="40" s="1"/>
  <c r="AB23" i="65"/>
  <c r="AD94" i="40" s="1" a="1"/>
  <c r="AD94" i="40" s="1"/>
  <c r="AB22" i="65"/>
  <c r="AD81" i="40" s="1" a="1"/>
  <c r="AD81" i="40" s="1"/>
  <c r="AD22" i="65"/>
  <c r="AF81" i="40" s="1" a="1"/>
  <c r="AF81" i="40" s="1"/>
  <c r="AD23" i="65"/>
  <c r="AF94" i="40" s="1" a="1"/>
  <c r="AF94" i="40" s="1"/>
  <c r="O23" i="65"/>
  <c r="Q94" i="40" s="1" a="1"/>
  <c r="Q94" i="40" s="1"/>
  <c r="O22" i="65"/>
  <c r="Q81" i="40" s="1" a="1"/>
  <c r="Q81" i="40" s="1"/>
  <c r="AA23" i="65"/>
  <c r="AC94" i="40" s="1" a="1"/>
  <c r="AC94" i="40" s="1"/>
  <c r="AA22" i="65"/>
  <c r="AC81" i="40" s="1" a="1"/>
  <c r="AC81" i="40" s="1"/>
  <c r="M23" i="65"/>
  <c r="O94" i="40" s="1" a="1"/>
  <c r="O94" i="40" s="1"/>
  <c r="M22" i="65"/>
  <c r="O81" i="40" s="1" a="1"/>
  <c r="O81" i="40" s="1"/>
  <c r="Z23" i="65"/>
  <c r="AB94" i="40" s="1" a="1"/>
  <c r="AB94" i="40" s="1"/>
  <c r="Z22" i="65"/>
  <c r="AB81" i="40" s="1" a="1"/>
  <c r="AB81" i="40" s="1"/>
  <c r="R22" i="65"/>
  <c r="T81" i="40" s="1" a="1"/>
  <c r="T81" i="40" s="1"/>
  <c r="R23" i="65"/>
  <c r="T94" i="40" s="1" a="1"/>
  <c r="T94" i="40" s="1"/>
  <c r="D23" i="65"/>
  <c r="D22" i="65"/>
  <c r="K23" i="65"/>
  <c r="M94" i="40" s="1" a="1"/>
  <c r="M94" i="40" s="1"/>
  <c r="K22" i="65"/>
  <c r="M81" i="40" s="1" a="1"/>
  <c r="M81" i="40" s="1"/>
  <c r="Y22" i="65"/>
  <c r="AA81" i="40" s="1" a="1"/>
  <c r="AA81" i="40" s="1"/>
  <c r="Y23" i="65"/>
  <c r="AA94" i="40" s="1" a="1"/>
  <c r="AA94" i="40" s="1"/>
  <c r="E22" i="65"/>
  <c r="G81" i="40" s="1" a="1"/>
  <c r="G81" i="40" s="1"/>
  <c r="E23" i="65"/>
  <c r="G94" i="40" s="1" a="1"/>
  <c r="G94" i="40" s="1"/>
  <c r="X22" i="65"/>
  <c r="Z81" i="40" s="1" a="1"/>
  <c r="Z81" i="40" s="1"/>
  <c r="X23" i="65"/>
  <c r="Z94" i="40" s="1" a="1"/>
  <c r="Z94" i="40" s="1"/>
  <c r="K94" i="40" a="1"/>
  <c r="K94" i="40" s="1"/>
  <c r="F126" i="40" a="1"/>
  <c r="F105" i="40" a="1"/>
  <c r="O664" i="18"/>
  <c r="H228" i="18"/>
  <c r="P231" i="18"/>
  <c r="U658" i="18"/>
  <c r="J658" i="18"/>
  <c r="E95" i="16" a="1"/>
  <c r="E95" i="16" s="1"/>
  <c r="E120" i="16" s="1" a="1"/>
  <c r="E120" i="16" s="1"/>
  <c r="E121" i="16" s="1" a="1"/>
  <c r="E121" i="16" s="1"/>
  <c r="S451" i="18"/>
  <c r="H658" i="18"/>
  <c r="H442" i="18"/>
  <c r="H661" i="18"/>
  <c r="N451" i="18"/>
  <c r="H234" i="18"/>
  <c r="M658" i="18"/>
  <c r="AE451" i="18"/>
  <c r="O661" i="18"/>
  <c r="K448" i="18"/>
  <c r="H664" i="18"/>
  <c r="G236" i="18"/>
  <c r="G449" i="18"/>
  <c r="G450" i="18"/>
  <c r="G235" i="18"/>
  <c r="G663" i="18"/>
  <c r="G662" i="18"/>
  <c r="G711" i="18"/>
  <c r="F711" i="18" s="1"/>
  <c r="G703" i="18"/>
  <c r="G707" i="18"/>
  <c r="F707" i="18" s="1"/>
  <c r="H231" i="18"/>
  <c r="Z228" i="18"/>
  <c r="H723" i="18"/>
  <c r="H719" i="18"/>
  <c r="H716" i="18"/>
  <c r="H720" i="18"/>
  <c r="G660" i="18"/>
  <c r="G233" i="18"/>
  <c r="G232" i="18"/>
  <c r="G659" i="18"/>
  <c r="G446" i="18"/>
  <c r="G702" i="18"/>
  <c r="G447" i="18"/>
  <c r="G710" i="18"/>
  <c r="F710" i="18" s="1"/>
  <c r="G706" i="18"/>
  <c r="F706" i="18" s="1"/>
  <c r="H451" i="18"/>
  <c r="H237" i="18"/>
  <c r="H718" i="18"/>
  <c r="H722" i="18"/>
  <c r="G653" i="18"/>
  <c r="G441" i="18"/>
  <c r="G708" i="18"/>
  <c r="F708" i="18" s="1"/>
  <c r="G654" i="18"/>
  <c r="G226" i="18"/>
  <c r="G227" i="18"/>
  <c r="G440" i="18"/>
  <c r="G704" i="18"/>
  <c r="F704" i="18" s="1"/>
  <c r="G700" i="18"/>
  <c r="H448" i="18"/>
  <c r="H717" i="18"/>
  <c r="H721" i="18"/>
  <c r="G657" i="18"/>
  <c r="G443" i="18"/>
  <c r="G445" i="18" s="1"/>
  <c r="G656" i="18"/>
  <c r="G229" i="18"/>
  <c r="G230" i="18"/>
  <c r="G709" i="18"/>
  <c r="F709" i="18" s="1"/>
  <c r="G701" i="18"/>
  <c r="G705" i="18"/>
  <c r="F705" i="18" s="1"/>
  <c r="H655" i="18"/>
  <c r="K655" i="18"/>
  <c r="W451" i="18"/>
  <c r="R664" i="18"/>
  <c r="AC661" i="18"/>
  <c r="Y658" i="18"/>
  <c r="AB234" i="18"/>
  <c r="Z237" i="18"/>
  <c r="AC448" i="18"/>
  <c r="K451" i="18"/>
  <c r="AD228" i="18"/>
  <c r="V448" i="18"/>
  <c r="AC658" i="18"/>
  <c r="V237" i="18"/>
  <c r="AD664" i="18"/>
  <c r="AG664" i="18"/>
  <c r="AC237" i="18"/>
  <c r="F293" i="48"/>
  <c r="Y451" i="18"/>
  <c r="D46" i="29" a="1"/>
  <c r="D46" i="29" s="1"/>
  <c r="E293" i="48" s="1"/>
  <c r="P442" i="18"/>
  <c r="Z234" i="18"/>
  <c r="V658" i="18"/>
  <c r="L655" i="18"/>
  <c r="I234" i="18"/>
  <c r="T234" i="18"/>
  <c r="Z442" i="18"/>
  <c r="AH231" i="18"/>
  <c r="S664" i="18"/>
  <c r="T231" i="18"/>
  <c r="P228" i="18"/>
  <c r="R231" i="18"/>
  <c r="AB231" i="18"/>
  <c r="AG237" i="18"/>
  <c r="AB451" i="18"/>
  <c r="J442" i="18"/>
  <c r="O448" i="18"/>
  <c r="AF664" i="18"/>
  <c r="P658" i="18"/>
  <c r="J237" i="18"/>
  <c r="J664" i="18"/>
  <c r="J451" i="18"/>
  <c r="W228" i="18"/>
  <c r="P664" i="18"/>
  <c r="Q228" i="18"/>
  <c r="M661" i="18"/>
  <c r="I237" i="18"/>
  <c r="I231" i="18"/>
  <c r="AE658" i="18"/>
  <c r="V451" i="18"/>
  <c r="Q442" i="18"/>
  <c r="AB228" i="18"/>
  <c r="AG661" i="18"/>
  <c r="AA448" i="18"/>
  <c r="Y231" i="18"/>
  <c r="V231" i="18"/>
  <c r="N231" i="18"/>
  <c r="U655" i="18"/>
  <c r="R234" i="18"/>
  <c r="U228" i="18"/>
  <c r="L442" i="18"/>
  <c r="U231" i="18"/>
  <c r="AG228" i="18"/>
  <c r="Z655" i="18"/>
  <c r="AH655" i="18"/>
  <c r="U664" i="18"/>
  <c r="AC664" i="18"/>
  <c r="N664" i="18"/>
  <c r="AE664" i="18"/>
  <c r="AA661" i="18"/>
  <c r="Q661" i="18"/>
  <c r="W661" i="18"/>
  <c r="AF661" i="18"/>
  <c r="U661" i="18"/>
  <c r="AD661" i="18"/>
  <c r="P661" i="18"/>
  <c r="X661" i="18"/>
  <c r="I661" i="18"/>
  <c r="L658" i="18"/>
  <c r="T658" i="18"/>
  <c r="Q658" i="18"/>
  <c r="AD658" i="18"/>
  <c r="AA658" i="18"/>
  <c r="I658" i="18"/>
  <c r="Y655" i="18"/>
  <c r="W655" i="18"/>
  <c r="AG655" i="18"/>
  <c r="M655" i="18"/>
  <c r="AF655" i="18"/>
  <c r="AB655" i="18"/>
  <c r="AF451" i="18"/>
  <c r="Z451" i="18"/>
  <c r="AH451" i="18"/>
  <c r="Q451" i="18"/>
  <c r="M451" i="18"/>
  <c r="AC451" i="18"/>
  <c r="Z448" i="18"/>
  <c r="AG448" i="18"/>
  <c r="J448" i="18"/>
  <c r="AA442" i="18"/>
  <c r="R442" i="18"/>
  <c r="AB442" i="18"/>
  <c r="AH442" i="18"/>
  <c r="U442" i="18"/>
  <c r="K442" i="18"/>
  <c r="X442" i="18"/>
  <c r="I442" i="18"/>
  <c r="AA237" i="18"/>
  <c r="U237" i="18"/>
  <c r="AD237" i="18"/>
  <c r="M237" i="18"/>
  <c r="L237" i="18"/>
  <c r="N237" i="18"/>
  <c r="T237" i="18"/>
  <c r="AH237" i="18"/>
  <c r="Q234" i="18"/>
  <c r="P234" i="18"/>
  <c r="K231" i="18"/>
  <c r="N234" i="18"/>
  <c r="V234" i="18"/>
  <c r="L234" i="18"/>
  <c r="J231" i="18"/>
  <c r="AC234" i="18"/>
  <c r="AC231" i="18"/>
  <c r="X234" i="18"/>
  <c r="AF231" i="18"/>
  <c r="AA228" i="18"/>
  <c r="L228" i="18"/>
  <c r="J228" i="18"/>
  <c r="O228" i="18"/>
  <c r="X718" i="18"/>
  <c r="X722" i="18"/>
  <c r="M718" i="18"/>
  <c r="M722" i="18"/>
  <c r="J718" i="18"/>
  <c r="J722" i="18"/>
  <c r="J717" i="18"/>
  <c r="J721" i="18"/>
  <c r="AA717" i="18"/>
  <c r="AA721" i="18"/>
  <c r="Z717" i="18"/>
  <c r="Z721" i="18"/>
  <c r="P723" i="18"/>
  <c r="P719" i="18"/>
  <c r="T719" i="18"/>
  <c r="T723" i="18"/>
  <c r="N719" i="18"/>
  <c r="N723" i="18"/>
  <c r="Q723" i="18"/>
  <c r="Q719" i="18"/>
  <c r="W716" i="18"/>
  <c r="W720" i="18"/>
  <c r="T720" i="18"/>
  <c r="T716" i="18"/>
  <c r="J655" i="18"/>
  <c r="AE718" i="18"/>
  <c r="AE722" i="18"/>
  <c r="AF718" i="18"/>
  <c r="AF722" i="18"/>
  <c r="L718" i="18"/>
  <c r="L722" i="18"/>
  <c r="T661" i="18"/>
  <c r="AD234" i="18"/>
  <c r="AG721" i="18"/>
  <c r="AG717" i="18"/>
  <c r="AB717" i="18"/>
  <c r="AB721" i="18"/>
  <c r="S723" i="18"/>
  <c r="S719" i="18"/>
  <c r="O719" i="18"/>
  <c r="O723" i="18"/>
  <c r="AB719" i="18"/>
  <c r="AB723" i="18"/>
  <c r="X719" i="18"/>
  <c r="X723" i="18"/>
  <c r="S716" i="18"/>
  <c r="S720" i="18"/>
  <c r="V716" i="18"/>
  <c r="V720" i="18"/>
  <c r="V718" i="18"/>
  <c r="V722" i="18"/>
  <c r="T722" i="18"/>
  <c r="T718" i="18"/>
  <c r="S234" i="18"/>
  <c r="I448" i="18"/>
  <c r="X721" i="18"/>
  <c r="X717" i="18"/>
  <c r="U717" i="18"/>
  <c r="U721" i="18"/>
  <c r="K717" i="18"/>
  <c r="K721" i="18"/>
  <c r="W719" i="18"/>
  <c r="W723" i="18"/>
  <c r="AC720" i="18"/>
  <c r="AC716" i="18"/>
  <c r="S442" i="18"/>
  <c r="O655" i="18"/>
  <c r="AE442" i="18"/>
  <c r="V228" i="18"/>
  <c r="AD722" i="18"/>
  <c r="AD718" i="18"/>
  <c r="AH718" i="18"/>
  <c r="AH722" i="18"/>
  <c r="K234" i="18"/>
  <c r="AE448" i="18"/>
  <c r="W717" i="18"/>
  <c r="W721" i="18"/>
  <c r="AD717" i="18"/>
  <c r="AD721" i="18"/>
  <c r="Q721" i="18"/>
  <c r="Q717" i="18"/>
  <c r="Z231" i="18"/>
  <c r="O658" i="18"/>
  <c r="Y723" i="18"/>
  <c r="Y719" i="18"/>
  <c r="AA719" i="18"/>
  <c r="AA723" i="18"/>
  <c r="V664" i="18"/>
  <c r="T451" i="18"/>
  <c r="J720" i="18"/>
  <c r="J716" i="18"/>
  <c r="O716" i="18"/>
  <c r="O720" i="18"/>
  <c r="T721" i="18"/>
  <c r="T717" i="18"/>
  <c r="V717" i="18"/>
  <c r="V721" i="18"/>
  <c r="R451" i="18"/>
  <c r="AE716" i="18"/>
  <c r="AE720" i="18"/>
  <c r="AA655" i="18"/>
  <c r="P718" i="18"/>
  <c r="P722" i="18"/>
  <c r="R718" i="18"/>
  <c r="R722" i="18"/>
  <c r="I721" i="18"/>
  <c r="I717" i="18"/>
  <c r="L717" i="18"/>
  <c r="L721" i="18"/>
  <c r="W231" i="18"/>
  <c r="AG231" i="18"/>
  <c r="AH658" i="18"/>
  <c r="AD719" i="18"/>
  <c r="AD723" i="18"/>
  <c r="X664" i="18"/>
  <c r="AF237" i="18"/>
  <c r="N716" i="18"/>
  <c r="N720" i="18"/>
  <c r="AB716" i="18"/>
  <c r="AB720" i="18"/>
  <c r="AF716" i="18"/>
  <c r="AF720" i="18"/>
  <c r="T228" i="18"/>
  <c r="AF448" i="18"/>
  <c r="Y661" i="18"/>
  <c r="Y721" i="18"/>
  <c r="Y717" i="18"/>
  <c r="AE721" i="18"/>
  <c r="AE717" i="18"/>
  <c r="O231" i="18"/>
  <c r="Q231" i="18"/>
  <c r="I664" i="18"/>
  <c r="P237" i="18"/>
  <c r="Z720" i="18"/>
  <c r="Z716" i="18"/>
  <c r="I720" i="18"/>
  <c r="L448" i="18"/>
  <c r="M234" i="18"/>
  <c r="AH234" i="18"/>
  <c r="N448" i="18"/>
  <c r="L661" i="18"/>
  <c r="O721" i="18"/>
  <c r="O717" i="18"/>
  <c r="M231" i="18"/>
  <c r="AD231" i="18"/>
  <c r="X231" i="18"/>
  <c r="E65" i="16" a="1"/>
  <c r="E65" i="16" s="1"/>
  <c r="E66" i="16" s="1" a="1"/>
  <c r="AC719" i="18"/>
  <c r="AC723" i="18"/>
  <c r="K664" i="18"/>
  <c r="S237" i="18"/>
  <c r="P716" i="18"/>
  <c r="P720" i="18"/>
  <c r="T655" i="18"/>
  <c r="AB718" i="18"/>
  <c r="AB722" i="18"/>
  <c r="J661" i="18"/>
  <c r="L664" i="18"/>
  <c r="AA451" i="18"/>
  <c r="AA664" i="18"/>
  <c r="AA720" i="18"/>
  <c r="AA716" i="18"/>
  <c r="AF228" i="18"/>
  <c r="Z718" i="18"/>
  <c r="Z722" i="18"/>
  <c r="K661" i="18"/>
  <c r="T448" i="18"/>
  <c r="R721" i="18"/>
  <c r="R717" i="18"/>
  <c r="R658" i="18"/>
  <c r="Z658" i="18"/>
  <c r="Z723" i="18"/>
  <c r="Z719" i="18"/>
  <c r="L451" i="18"/>
  <c r="AG451" i="18"/>
  <c r="K720" i="18"/>
  <c r="K716" i="18"/>
  <c r="AH228" i="18"/>
  <c r="Y442" i="18"/>
  <c r="I655" i="18"/>
  <c r="AC228" i="18"/>
  <c r="T442" i="18"/>
  <c r="K722" i="18"/>
  <c r="K718" i="18"/>
  <c r="J234" i="18"/>
  <c r="Z661" i="18"/>
  <c r="S721" i="18"/>
  <c r="S717" i="18"/>
  <c r="AB658" i="18"/>
  <c r="L719" i="18"/>
  <c r="AG719" i="18"/>
  <c r="AG723" i="18"/>
  <c r="R719" i="18"/>
  <c r="R723" i="18"/>
  <c r="W664" i="18"/>
  <c r="Q664" i="18"/>
  <c r="AD716" i="18"/>
  <c r="AD720" i="18"/>
  <c r="Q716" i="18"/>
  <c r="Q720" i="18"/>
  <c r="AG716" i="18"/>
  <c r="AG720" i="18"/>
  <c r="U716" i="18"/>
  <c r="U720" i="18"/>
  <c r="AH720" i="18"/>
  <c r="M442" i="18"/>
  <c r="X228" i="18"/>
  <c r="AG442" i="18"/>
  <c r="N228" i="18"/>
  <c r="Y718" i="18"/>
  <c r="Y722" i="18"/>
  <c r="AH448" i="18"/>
  <c r="S448" i="18"/>
  <c r="AB448" i="18"/>
  <c r="V661" i="18"/>
  <c r="Y448" i="18"/>
  <c r="K658" i="18"/>
  <c r="AE231" i="18"/>
  <c r="AE719" i="18"/>
  <c r="AE723" i="18"/>
  <c r="K719" i="18"/>
  <c r="W237" i="18"/>
  <c r="Y716" i="18"/>
  <c r="Y720" i="18"/>
  <c r="R716" i="18"/>
  <c r="R720" i="18"/>
  <c r="L720" i="18"/>
  <c r="R228" i="18"/>
  <c r="N655" i="18"/>
  <c r="Y234" i="18"/>
  <c r="P448" i="18"/>
  <c r="X448" i="18"/>
  <c r="AD448" i="18"/>
  <c r="AF234" i="18"/>
  <c r="AF721" i="18"/>
  <c r="AF717" i="18"/>
  <c r="P721" i="18"/>
  <c r="P717" i="18"/>
  <c r="AF658" i="18"/>
  <c r="S231" i="18"/>
  <c r="AH723" i="18"/>
  <c r="AH719" i="18"/>
  <c r="Z664" i="18"/>
  <c r="O237" i="18"/>
  <c r="AE237" i="18"/>
  <c r="Y664" i="18"/>
  <c r="M720" i="18"/>
  <c r="M716" i="18"/>
  <c r="P655" i="18"/>
  <c r="S655" i="18"/>
  <c r="AF442" i="18"/>
  <c r="AD442" i="18"/>
  <c r="AE655" i="18"/>
  <c r="O442" i="18"/>
  <c r="N442" i="18"/>
  <c r="V442" i="18"/>
  <c r="O722" i="18"/>
  <c r="O718" i="18"/>
  <c r="AG718" i="18"/>
  <c r="AG722" i="18"/>
  <c r="W718" i="18"/>
  <c r="W722" i="18"/>
  <c r="S718" i="18"/>
  <c r="S722" i="18"/>
  <c r="AH661" i="18"/>
  <c r="R448" i="18"/>
  <c r="U234" i="18"/>
  <c r="S661" i="18"/>
  <c r="Q448" i="18"/>
  <c r="AE234" i="18"/>
  <c r="N661" i="18"/>
  <c r="AC717" i="18"/>
  <c r="AC721" i="18"/>
  <c r="X658" i="18"/>
  <c r="S658" i="18"/>
  <c r="AA231" i="18"/>
  <c r="AG658" i="18"/>
  <c r="I723" i="18"/>
  <c r="I719" i="18"/>
  <c r="V719" i="18"/>
  <c r="V723" i="18"/>
  <c r="O451" i="18"/>
  <c r="X451" i="18"/>
  <c r="X716" i="18"/>
  <c r="X720" i="18"/>
  <c r="AE228" i="18"/>
  <c r="W442" i="18"/>
  <c r="V655" i="18"/>
  <c r="S228" i="18"/>
  <c r="Y228" i="18"/>
  <c r="Q655" i="18"/>
  <c r="AC442" i="18"/>
  <c r="U722" i="18"/>
  <c r="U718" i="18"/>
  <c r="AA718" i="18"/>
  <c r="AA722" i="18"/>
  <c r="AC718" i="18"/>
  <c r="AC722" i="18"/>
  <c r="W234" i="18"/>
  <c r="AG234" i="18"/>
  <c r="U448" i="18"/>
  <c r="O234" i="18"/>
  <c r="M721" i="18"/>
  <c r="M717" i="18"/>
  <c r="N658" i="18"/>
  <c r="L231" i="18"/>
  <c r="J723" i="18"/>
  <c r="J719" i="18"/>
  <c r="AH664" i="18"/>
  <c r="AD451" i="18"/>
  <c r="Y237" i="18"/>
  <c r="U451" i="18"/>
  <c r="AB237" i="18"/>
  <c r="M228" i="18"/>
  <c r="AD655" i="18"/>
  <c r="X655" i="18"/>
  <c r="AC655" i="18"/>
  <c r="K228" i="18"/>
  <c r="R655" i="18"/>
  <c r="N722" i="18"/>
  <c r="N718" i="18"/>
  <c r="I722" i="18"/>
  <c r="I718" i="18"/>
  <c r="Q718" i="18"/>
  <c r="Q722" i="18"/>
  <c r="AA234" i="18"/>
  <c r="R661" i="18"/>
  <c r="M448" i="18"/>
  <c r="AB661" i="18"/>
  <c r="AH721" i="18"/>
  <c r="AH717" i="18"/>
  <c r="N717" i="18"/>
  <c r="W658" i="18"/>
  <c r="U719" i="18"/>
  <c r="U723" i="18"/>
  <c r="AF719" i="18"/>
  <c r="AF723" i="18"/>
  <c r="M719" i="18"/>
  <c r="M723" i="18"/>
  <c r="Q237" i="18"/>
  <c r="R237" i="18"/>
  <c r="AB664" i="18"/>
  <c r="M664" i="18"/>
  <c r="K237" i="18"/>
  <c r="P451" i="18"/>
  <c r="I451" i="18"/>
  <c r="X237" i="18"/>
  <c r="E113" i="16" a="1"/>
  <c r="E113" i="16" s="1"/>
  <c r="E138" i="16" s="1" a="1"/>
  <c r="E138" i="16" s="1"/>
  <c r="E141" i="16" s="1" a="1"/>
  <c r="E141" i="16" s="1"/>
  <c r="E83" i="16" a="1"/>
  <c r="E83" i="16" s="1"/>
  <c r="E86" i="16" s="1" a="1"/>
  <c r="E86" i="16" s="1"/>
  <c r="E61" i="16"/>
  <c r="E116" i="16" s="1" a="1"/>
  <c r="E116" i="16" s="1"/>
  <c r="E101" i="16" a="1"/>
  <c r="E101" i="16" s="1"/>
  <c r="E149" i="16" s="1" a="1"/>
  <c r="E149" i="16" s="1"/>
  <c r="E164" i="16" s="1" a="1"/>
  <c r="E164" i="16" s="1"/>
  <c r="E122" i="16" a="1"/>
  <c r="E122" i="16" s="1"/>
  <c r="E125" i="16" s="1" a="1"/>
  <c r="E125" i="16" s="1"/>
  <c r="E127" i="16" a="1"/>
  <c r="E127" i="16" s="1"/>
  <c r="E128" i="16" a="1"/>
  <c r="E128" i="16" s="1"/>
  <c r="E74" i="16" a="1"/>
  <c r="E74" i="16" s="1"/>
  <c r="E57" i="16"/>
  <c r="E112" i="16" s="1" a="1"/>
  <c r="E112" i="16" s="1"/>
  <c r="E82" i="16" a="1"/>
  <c r="E82" i="16" s="1"/>
  <c r="E53" i="16"/>
  <c r="E108" i="16" s="1" a="1"/>
  <c r="E108" i="16" s="1"/>
  <c r="E70" i="16" a="1"/>
  <c r="E70" i="16" s="1"/>
  <c r="E45" i="16"/>
  <c r="E100" i="16" s="1" a="1"/>
  <c r="E100" i="16" s="1"/>
  <c r="E49" i="16"/>
  <c r="E104" i="16" s="1" a="1"/>
  <c r="E104" i="16" s="1"/>
  <c r="E157" i="16" l="1" a="1"/>
  <c r="E157" i="16" s="1"/>
  <c r="D157" i="16" s="1" a="1"/>
  <c r="D157" i="16" s="1"/>
  <c r="C22" i="65"/>
  <c r="F94" i="40" a="1"/>
  <c r="F94" i="40" s="1"/>
  <c r="C23" i="65"/>
  <c r="E113" i="40"/>
  <c r="F140" i="40" a="1"/>
  <c r="F140" i="40" s="1"/>
  <c r="F105" i="40"/>
  <c r="E174" i="16" a="1"/>
  <c r="E174" i="16" s="1"/>
  <c r="D174" i="16" s="1"/>
  <c r="E176" i="16" a="1"/>
  <c r="E176" i="16" s="1"/>
  <c r="E193" i="16" s="1" a="1"/>
  <c r="E193" i="16" s="1"/>
  <c r="F190" i="48" s="1"/>
  <c r="E131" i="16" a="1"/>
  <c r="E131" i="16" s="1"/>
  <c r="E175" i="16" a="1"/>
  <c r="E175" i="16" s="1"/>
  <c r="D175" i="16" s="1"/>
  <c r="E62" i="16"/>
  <c r="E151" i="16" a="1"/>
  <c r="E151" i="16" s="1"/>
  <c r="E166" i="16" s="1" a="1"/>
  <c r="E166" i="16" s="1"/>
  <c r="D190" i="48" s="1"/>
  <c r="E126" i="16" a="1"/>
  <c r="E126" i="16" s="1"/>
  <c r="E129" i="16" s="1" a="1"/>
  <c r="E129" i="16" s="1"/>
  <c r="E183" i="16" s="1" a="1"/>
  <c r="E183" i="16" s="1"/>
  <c r="D183" i="16" s="1" a="1"/>
  <c r="D183" i="16" s="1"/>
  <c r="F62" i="16"/>
  <c r="E66" i="16"/>
  <c r="E87" i="16" s="1" a="1"/>
  <c r="E87" i="16" s="1"/>
  <c r="I61" i="16"/>
  <c r="I62" i="16" s="1"/>
  <c r="V61" i="16"/>
  <c r="V62" i="16" s="1"/>
  <c r="W61" i="16"/>
  <c r="W62" i="16" s="1"/>
  <c r="K61" i="16"/>
  <c r="K62" i="16" s="1"/>
  <c r="R61" i="16"/>
  <c r="R62" i="16" s="1"/>
  <c r="Q61" i="16"/>
  <c r="Q62" i="16" s="1"/>
  <c r="AE61" i="16"/>
  <c r="AE62" i="16" s="1"/>
  <c r="U61" i="16"/>
  <c r="U62" i="16" s="1"/>
  <c r="X61" i="16"/>
  <c r="X62" i="16" s="1"/>
  <c r="T61" i="16"/>
  <c r="T62" i="16" s="1"/>
  <c r="G61" i="16"/>
  <c r="G62" i="16" s="1"/>
  <c r="S61" i="16"/>
  <c r="S62" i="16" s="1"/>
  <c r="O61" i="16"/>
  <c r="O62" i="16" s="1"/>
  <c r="L61" i="16"/>
  <c r="L62" i="16" s="1"/>
  <c r="H61" i="16"/>
  <c r="H62" i="16" s="1"/>
  <c r="Z61" i="16"/>
  <c r="Z62" i="16" s="1"/>
  <c r="P61" i="16"/>
  <c r="P62" i="16" s="1"/>
  <c r="N61" i="16"/>
  <c r="N62" i="16" s="1"/>
  <c r="AD61" i="16"/>
  <c r="AD62" i="16" s="1"/>
  <c r="AB61" i="16"/>
  <c r="AB62" i="16" s="1"/>
  <c r="AC61" i="16"/>
  <c r="AC62" i="16" s="1"/>
  <c r="J61" i="16"/>
  <c r="J62" i="16" s="1"/>
  <c r="Y61" i="16"/>
  <c r="Y62" i="16" s="1"/>
  <c r="M61" i="16"/>
  <c r="M62" i="16" s="1"/>
  <c r="AA61" i="16"/>
  <c r="AA62" i="16" s="1"/>
  <c r="D292" i="48"/>
  <c r="E303" i="48" a="1"/>
  <c r="E303" i="48" s="1"/>
  <c r="F126" i="40"/>
  <c r="E126" i="40" s="1"/>
  <c r="AF157" i="40"/>
  <c r="X157" i="40"/>
  <c r="P157" i="40"/>
  <c r="H157" i="40"/>
  <c r="AE157" i="40"/>
  <c r="W157" i="40"/>
  <c r="O157" i="40"/>
  <c r="G157" i="40"/>
  <c r="AD157" i="40"/>
  <c r="V157" i="40"/>
  <c r="N157" i="40"/>
  <c r="J157" i="40"/>
  <c r="AC157" i="40"/>
  <c r="U157" i="40"/>
  <c r="M157" i="40"/>
  <c r="Z157" i="40"/>
  <c r="AB157" i="40"/>
  <c r="T157" i="40"/>
  <c r="L157" i="40"/>
  <c r="AA157" i="40"/>
  <c r="S157" i="40"/>
  <c r="K157" i="40"/>
  <c r="R157" i="40"/>
  <c r="AG157" i="40"/>
  <c r="Y157" i="40"/>
  <c r="Q157" i="40"/>
  <c r="I157" i="40"/>
  <c r="F81" i="40" a="1"/>
  <c r="F81" i="40" s="1"/>
  <c r="E81" i="40" s="1"/>
  <c r="J59" i="40" s="1"/>
  <c r="F292" i="48"/>
  <c r="F294" i="48" s="1"/>
  <c r="E292" i="48"/>
  <c r="H94" i="40" a="1"/>
  <c r="H94" i="40" s="1"/>
  <c r="F123" i="40" s="1" a="1"/>
  <c r="F123" i="40" s="1"/>
  <c r="E123" i="40" s="1"/>
  <c r="G292" i="48"/>
  <c r="G658" i="18"/>
  <c r="E95" i="40"/>
  <c r="K60" i="40" s="1"/>
  <c r="G661" i="18"/>
  <c r="G237" i="18"/>
  <c r="E165" i="16" a="1"/>
  <c r="E165" i="16" s="1"/>
  <c r="D189" i="48" s="1"/>
  <c r="G234" i="18"/>
  <c r="G664" i="18"/>
  <c r="G442" i="18"/>
  <c r="G228" i="18"/>
  <c r="F701" i="18"/>
  <c r="G717" i="18"/>
  <c r="G721" i="18"/>
  <c r="G716" i="18"/>
  <c r="F716" i="18" s="1"/>
  <c r="G720" i="18"/>
  <c r="F700" i="18"/>
  <c r="F702" i="18"/>
  <c r="G718" i="18"/>
  <c r="G722" i="18"/>
  <c r="F703" i="18"/>
  <c r="G723" i="18"/>
  <c r="F723" i="18" s="1"/>
  <c r="G719" i="18"/>
  <c r="G655" i="18"/>
  <c r="G448" i="18"/>
  <c r="G451" i="18"/>
  <c r="G231" i="18"/>
  <c r="E182" i="16" a="1"/>
  <c r="E182" i="16" s="1"/>
  <c r="D182" i="16" s="1" a="1"/>
  <c r="D182" i="16" s="1"/>
  <c r="E186" i="16" a="1"/>
  <c r="E186" i="16" s="1"/>
  <c r="D186" i="16" s="1" a="1"/>
  <c r="D186" i="16" s="1"/>
  <c r="E96" i="16" a="1"/>
  <c r="E130" i="16" a="1"/>
  <c r="E130" i="16" s="1"/>
  <c r="E133" i="16" s="1" a="1"/>
  <c r="E133" i="16" s="1"/>
  <c r="E184" i="16" s="1" a="1"/>
  <c r="E184" i="16" s="1"/>
  <c r="D184" i="16" s="1" a="1"/>
  <c r="D184" i="16" s="1"/>
  <c r="E134" i="16" a="1"/>
  <c r="E134" i="16" s="1"/>
  <c r="E137" i="16" s="1" a="1"/>
  <c r="E137" i="16" s="1"/>
  <c r="E185" i="16" s="1" a="1"/>
  <c r="E185" i="16" s="1"/>
  <c r="D185" i="16" s="1" a="1"/>
  <c r="D185" i="16" s="1"/>
  <c r="E181" i="16" l="1" a="1"/>
  <c r="E181" i="16" s="1"/>
  <c r="E187" i="16" s="1" a="1"/>
  <c r="E187" i="16" s="1"/>
  <c r="D187" i="16" s="1" a="1"/>
  <c r="D187" i="16" s="1"/>
  <c r="E159" i="16" a="1"/>
  <c r="E159" i="16" s="1"/>
  <c r="D159" i="16" s="1" a="1"/>
  <c r="D159" i="16" s="1"/>
  <c r="E156" i="16" a="1"/>
  <c r="E156" i="16" s="1"/>
  <c r="E105" i="40"/>
  <c r="C147" i="40" s="1"/>
  <c r="F718" i="18"/>
  <c r="F721" i="18"/>
  <c r="F717" i="18"/>
  <c r="E235" i="48" s="1"/>
  <c r="F720" i="18"/>
  <c r="G234" i="48" s="1"/>
  <c r="F719" i="18"/>
  <c r="E237" i="48" s="1"/>
  <c r="F106" i="40" a="1"/>
  <c r="F106" i="40" s="1"/>
  <c r="E106" i="40" s="1"/>
  <c r="F722" i="18"/>
  <c r="G236" i="48" s="1"/>
  <c r="F117" i="16"/>
  <c r="E142" i="16" a="1"/>
  <c r="E142" i="16" s="1"/>
  <c r="D188" i="48"/>
  <c r="D191" i="48" s="1"/>
  <c r="D149" i="16"/>
  <c r="H116" i="16" a="1"/>
  <c r="H116" i="16" s="1"/>
  <c r="H117" i="16" s="1"/>
  <c r="L116" i="16" a="1"/>
  <c r="L116" i="16" s="1"/>
  <c r="L117" i="16" s="1"/>
  <c r="O116" i="16" a="1"/>
  <c r="O116" i="16" s="1"/>
  <c r="O117" i="16" s="1"/>
  <c r="S116" i="16" a="1"/>
  <c r="S116" i="16" s="1"/>
  <c r="S117" i="16" s="1"/>
  <c r="G116" i="16" a="1"/>
  <c r="G116" i="16" s="1"/>
  <c r="G117" i="16" s="1"/>
  <c r="T116" i="16" a="1"/>
  <c r="T116" i="16" s="1"/>
  <c r="T117" i="16" s="1"/>
  <c r="AA116" i="16" a="1"/>
  <c r="AA116" i="16" s="1"/>
  <c r="AA117" i="16" s="1"/>
  <c r="X116" i="16" a="1"/>
  <c r="X116" i="16" s="1"/>
  <c r="X117" i="16" s="1"/>
  <c r="M116" i="16" a="1"/>
  <c r="M116" i="16" s="1"/>
  <c r="M117" i="16" s="1"/>
  <c r="U116" i="16" a="1"/>
  <c r="U116" i="16" s="1"/>
  <c r="U117" i="16" s="1"/>
  <c r="Y116" i="16" a="1"/>
  <c r="Y116" i="16" s="1"/>
  <c r="Y117" i="16" s="1"/>
  <c r="AE116" i="16" a="1"/>
  <c r="AE116" i="16" s="1"/>
  <c r="AE117" i="16" s="1"/>
  <c r="J116" i="16" a="1"/>
  <c r="J116" i="16" s="1"/>
  <c r="J117" i="16" s="1"/>
  <c r="Q116" i="16" a="1"/>
  <c r="Q116" i="16" s="1"/>
  <c r="Q117" i="16" s="1"/>
  <c r="AC116" i="16" a="1"/>
  <c r="AC116" i="16" s="1"/>
  <c r="AC117" i="16" s="1"/>
  <c r="R116" i="16" a="1"/>
  <c r="R116" i="16" s="1"/>
  <c r="R117" i="16" s="1"/>
  <c r="AB116" i="16" a="1"/>
  <c r="AB116" i="16" s="1"/>
  <c r="AB117" i="16" s="1"/>
  <c r="K116" i="16" a="1"/>
  <c r="K116" i="16" s="1"/>
  <c r="K117" i="16" s="1"/>
  <c r="AD116" i="16" a="1"/>
  <c r="AD116" i="16" s="1"/>
  <c r="AD117" i="16" s="1"/>
  <c r="W116" i="16" a="1"/>
  <c r="W116" i="16" s="1"/>
  <c r="W117" i="16" s="1"/>
  <c r="N116" i="16" a="1"/>
  <c r="N116" i="16" s="1"/>
  <c r="N117" i="16" s="1"/>
  <c r="V116" i="16" a="1"/>
  <c r="V116" i="16" s="1"/>
  <c r="V117" i="16" s="1"/>
  <c r="P116" i="16" a="1"/>
  <c r="P116" i="16" s="1"/>
  <c r="P117" i="16" s="1"/>
  <c r="I116" i="16" a="1"/>
  <c r="I116" i="16" s="1"/>
  <c r="I117" i="16" s="1"/>
  <c r="Z116" i="16" a="1"/>
  <c r="Z116" i="16" s="1"/>
  <c r="Z117" i="16" s="1"/>
  <c r="F110" i="40" a="1"/>
  <c r="F110" i="40" s="1"/>
  <c r="E110" i="40" s="1"/>
  <c r="E62" i="40"/>
  <c r="F157" i="40"/>
  <c r="D234" i="48"/>
  <c r="E94" i="40"/>
  <c r="K59" i="40" s="1"/>
  <c r="E302" i="48" a="1"/>
  <c r="E302" i="48" s="1"/>
  <c r="F120" i="40" a="1"/>
  <c r="F120" i="40" s="1"/>
  <c r="E120" i="40" s="1"/>
  <c r="D176" i="16"/>
  <c r="F121" i="40" a="1"/>
  <c r="F121" i="40" s="1"/>
  <c r="E121" i="40" s="1"/>
  <c r="E92" i="40"/>
  <c r="F107" i="40" a="1"/>
  <c r="F107" i="40" s="1"/>
  <c r="E107" i="40" s="1"/>
  <c r="E78" i="40"/>
  <c r="G237" i="48"/>
  <c r="F119" i="40" a="1"/>
  <c r="E90" i="40"/>
  <c r="E79" i="40"/>
  <c r="F108" i="40" a="1"/>
  <c r="F108" i="40" s="1"/>
  <c r="E108" i="40" s="1"/>
  <c r="F109" i="40" a="1"/>
  <c r="E80" i="40"/>
  <c r="E192" i="16" a="1"/>
  <c r="E192" i="16" s="1"/>
  <c r="D150" i="16"/>
  <c r="D151" i="16"/>
  <c r="E234" i="48"/>
  <c r="F237" i="48"/>
  <c r="F236" i="48"/>
  <c r="E236" i="48"/>
  <c r="D236" i="48"/>
  <c r="D235" i="48"/>
  <c r="D237" i="48"/>
  <c r="F234" i="48"/>
  <c r="G235" i="48"/>
  <c r="F235" i="48"/>
  <c r="D193" i="16" a="1"/>
  <c r="D193" i="16" s="1"/>
  <c r="E191" i="16" a="1"/>
  <c r="E191" i="16" s="1"/>
  <c r="F188" i="48" s="1"/>
  <c r="E177" i="16" a="1"/>
  <c r="E177" i="16" s="1"/>
  <c r="D177" i="16" s="1"/>
  <c r="E158" i="16" a="1"/>
  <c r="E158" i="16" s="1"/>
  <c r="D158" i="16" s="1" a="1"/>
  <c r="D158" i="16" s="1"/>
  <c r="E96" i="16"/>
  <c r="E117" i="16" s="1"/>
  <c r="D165" i="16" a="1"/>
  <c r="D165" i="16" s="1"/>
  <c r="E152" i="16" a="1"/>
  <c r="E152" i="16" s="1"/>
  <c r="F109" i="40" l="1"/>
  <c r="E109" i="40" s="1"/>
  <c r="AG112" i="40"/>
  <c r="AG114" i="40" s="1"/>
  <c r="F119" i="40"/>
  <c r="E119" i="40" s="1"/>
  <c r="E160" i="16" a="1"/>
  <c r="E160" i="16" s="1"/>
  <c r="E77" i="40"/>
  <c r="J58" i="40" s="1"/>
  <c r="D181" i="16" a="1"/>
  <c r="D181" i="16" s="1"/>
  <c r="D164" i="16" a="1"/>
  <c r="D164" i="16" s="1"/>
  <c r="E167" i="16" a="1"/>
  <c r="E167" i="16" s="1"/>
  <c r="G310" i="48"/>
  <c r="P10" i="40"/>
  <c r="D59" i="40"/>
  <c r="C149" i="40"/>
  <c r="D192" i="16" a="1"/>
  <c r="D192" i="16" s="1"/>
  <c r="F189" i="48"/>
  <c r="F191" i="48" s="1"/>
  <c r="E196" i="48" a="1"/>
  <c r="E196" i="48" s="1"/>
  <c r="E199" i="48" s="1"/>
  <c r="D196" i="48" a="1"/>
  <c r="D196" i="48" s="1"/>
  <c r="D199" i="48" s="1"/>
  <c r="F122" i="40" a="1"/>
  <c r="F122" i="40" s="1"/>
  <c r="E122" i="40" s="1"/>
  <c r="E93" i="40"/>
  <c r="K58" i="40" s="1"/>
  <c r="E194" i="16" a="1"/>
  <c r="E194" i="16" s="1"/>
  <c r="F88" i="40" s="1" a="1"/>
  <c r="F238" i="48"/>
  <c r="G238" i="48"/>
  <c r="D238" i="48"/>
  <c r="E238" i="48"/>
  <c r="D191" i="16" a="1"/>
  <c r="D191" i="16" s="1"/>
  <c r="AG125" i="40" l="1"/>
  <c r="AG127" i="40" s="1"/>
  <c r="D160" i="16" a="1"/>
  <c r="D160" i="16" s="1"/>
  <c r="F75" i="40" a="1"/>
  <c r="F75" i="40" s="1"/>
  <c r="G188" i="48" a="1"/>
  <c r="G188" i="48" s="1"/>
  <c r="G191" i="48" s="1"/>
  <c r="E301" i="48" a="1"/>
  <c r="E301" i="48" s="1"/>
  <c r="F88" i="40"/>
  <c r="F96" i="40" s="1"/>
  <c r="AE96" i="40"/>
  <c r="AE98" i="40" s="1" a="1"/>
  <c r="AE98" i="40" s="1"/>
  <c r="AG96" i="40"/>
  <c r="AG98" i="40" s="1" a="1"/>
  <c r="AG98" i="40" s="1"/>
  <c r="S96" i="40"/>
  <c r="S98" i="40" s="1" a="1"/>
  <c r="S98" i="40" s="1"/>
  <c r="V96" i="40"/>
  <c r="V98" i="40" s="1" a="1"/>
  <c r="V98" i="40" s="1"/>
  <c r="P96" i="40"/>
  <c r="P98" i="40" s="1" a="1"/>
  <c r="P98" i="40" s="1"/>
  <c r="J96" i="40"/>
  <c r="J98" i="40" s="1" a="1"/>
  <c r="J98" i="40" s="1"/>
  <c r="L96" i="40"/>
  <c r="L98" i="40" s="1" a="1"/>
  <c r="L98" i="40" s="1"/>
  <c r="AC96" i="40"/>
  <c r="AC98" i="40" s="1" a="1"/>
  <c r="AC98" i="40" s="1"/>
  <c r="N96" i="40"/>
  <c r="N98" i="40" s="1" a="1"/>
  <c r="N98" i="40" s="1"/>
  <c r="H96" i="40"/>
  <c r="H98" i="40" s="1" a="1"/>
  <c r="H98" i="40" s="1"/>
  <c r="AB96" i="40"/>
  <c r="AB98" i="40" s="1" a="1"/>
  <c r="AB98" i="40" s="1"/>
  <c r="AA96" i="40"/>
  <c r="AA98" i="40" s="1" a="1"/>
  <c r="AA98" i="40" s="1"/>
  <c r="Q96" i="40"/>
  <c r="Q98" i="40" s="1" a="1"/>
  <c r="Q98" i="40" s="1"/>
  <c r="AD96" i="40"/>
  <c r="AD98" i="40" s="1" a="1"/>
  <c r="AD98" i="40" s="1"/>
  <c r="X96" i="40"/>
  <c r="X98" i="40" s="1" a="1"/>
  <c r="X98" i="40" s="1"/>
  <c r="R96" i="40"/>
  <c r="R98" i="40" s="1" a="1"/>
  <c r="R98" i="40" s="1"/>
  <c r="U96" i="40"/>
  <c r="U98" i="40" s="1" a="1"/>
  <c r="U98" i="40" s="1"/>
  <c r="G96" i="40"/>
  <c r="G98" i="40" s="1" a="1"/>
  <c r="G98" i="40" s="1"/>
  <c r="I96" i="40"/>
  <c r="I98" i="40" s="1" a="1"/>
  <c r="I98" i="40" s="1"/>
  <c r="T96" i="40"/>
  <c r="T98" i="40" s="1" a="1"/>
  <c r="T98" i="40" s="1"/>
  <c r="O96" i="40"/>
  <c r="O98" i="40" s="1" a="1"/>
  <c r="O98" i="40" s="1"/>
  <c r="M96" i="40"/>
  <c r="M98" i="40" s="1" a="1"/>
  <c r="M98" i="40" s="1"/>
  <c r="AF96" i="40"/>
  <c r="AF98" i="40" s="1" a="1"/>
  <c r="AF98" i="40" s="1"/>
  <c r="Z96" i="40"/>
  <c r="Z98" i="40" s="1" a="1"/>
  <c r="Z98" i="40" s="1"/>
  <c r="W96" i="40"/>
  <c r="W98" i="40" s="1" a="1"/>
  <c r="W98" i="40" s="1"/>
  <c r="Y96" i="40"/>
  <c r="Y98" i="40" s="1" a="1"/>
  <c r="Y98" i="40" s="1"/>
  <c r="K96" i="40"/>
  <c r="K98" i="40" s="1" a="1"/>
  <c r="K98" i="40" s="1"/>
  <c r="D194" i="16" a="1"/>
  <c r="D194" i="16" s="1"/>
  <c r="E75" i="40" l="1"/>
  <c r="F104" i="40" a="1"/>
  <c r="F104" i="40" s="1"/>
  <c r="F83" i="40"/>
  <c r="AD83" i="40"/>
  <c r="AD85" i="40" s="1" a="1"/>
  <c r="AD85" i="40" s="1"/>
  <c r="G83" i="40"/>
  <c r="G85" i="40" s="1" a="1"/>
  <c r="G85" i="40" s="1"/>
  <c r="V83" i="40"/>
  <c r="V85" i="40" s="1" a="1"/>
  <c r="V85" i="40" s="1"/>
  <c r="J83" i="40"/>
  <c r="J85" i="40" s="1" a="1"/>
  <c r="J85" i="40" s="1"/>
  <c r="AB83" i="40"/>
  <c r="AB85" i="40" s="1" a="1"/>
  <c r="AB85" i="40" s="1"/>
  <c r="N83" i="40"/>
  <c r="N85" i="40" s="1" a="1"/>
  <c r="N85" i="40" s="1"/>
  <c r="P83" i="40"/>
  <c r="P85" i="40" s="1" a="1"/>
  <c r="P85" i="40" s="1"/>
  <c r="R83" i="40"/>
  <c r="R85" i="40" s="1" a="1"/>
  <c r="R85" i="40" s="1"/>
  <c r="X83" i="40"/>
  <c r="X85" i="40" s="1" a="1"/>
  <c r="X85" i="40" s="1"/>
  <c r="O83" i="40"/>
  <c r="O85" i="40" s="1" a="1"/>
  <c r="O85" i="40" s="1"/>
  <c r="T83" i="40"/>
  <c r="T85" i="40" s="1" a="1"/>
  <c r="T85" i="40" s="1"/>
  <c r="AF83" i="40"/>
  <c r="AF85" i="40" s="1" a="1"/>
  <c r="AF85" i="40" s="1"/>
  <c r="M83" i="40"/>
  <c r="M85" i="40" s="1" a="1"/>
  <c r="M85" i="40" s="1"/>
  <c r="S83" i="40"/>
  <c r="S85" i="40" s="1" a="1"/>
  <c r="S85" i="40" s="1"/>
  <c r="I83" i="40"/>
  <c r="I85" i="40" s="1" a="1"/>
  <c r="I85" i="40" s="1"/>
  <c r="W83" i="40"/>
  <c r="W85" i="40" s="1" a="1"/>
  <c r="W85" i="40" s="1"/>
  <c r="AG83" i="40"/>
  <c r="AG85" i="40" s="1" a="1"/>
  <c r="AG85" i="40" s="1"/>
  <c r="H83" i="40"/>
  <c r="H85" i="40" s="1" a="1"/>
  <c r="H85" i="40" s="1"/>
  <c r="U83" i="40"/>
  <c r="U85" i="40" s="1" a="1"/>
  <c r="U85" i="40" s="1"/>
  <c r="Y83" i="40"/>
  <c r="Y85" i="40" s="1" a="1"/>
  <c r="Y85" i="40" s="1"/>
  <c r="AA83" i="40"/>
  <c r="AA85" i="40" s="1" a="1"/>
  <c r="AA85" i="40" s="1"/>
  <c r="Q83" i="40"/>
  <c r="Q85" i="40" s="1" a="1"/>
  <c r="Q85" i="40" s="1"/>
  <c r="L83" i="40"/>
  <c r="L85" i="40" s="1" a="1"/>
  <c r="L85" i="40" s="1"/>
  <c r="Z83" i="40"/>
  <c r="Z85" i="40" s="1" a="1"/>
  <c r="Z85" i="40" s="1"/>
  <c r="AC83" i="40"/>
  <c r="AC85" i="40" s="1" a="1"/>
  <c r="AC85" i="40" s="1"/>
  <c r="K83" i="40"/>
  <c r="K85" i="40" s="1" a="1"/>
  <c r="K85" i="40" s="1"/>
  <c r="AE83" i="40"/>
  <c r="AE85" i="40" s="1" a="1"/>
  <c r="AE85" i="40" s="1"/>
  <c r="E96" i="40"/>
  <c r="K61" i="40" s="1"/>
  <c r="F309" i="48" s="1"/>
  <c r="J56" i="40" l="1"/>
  <c r="E83" i="40"/>
  <c r="J61" i="40" s="1"/>
  <c r="D309" i="48" s="1"/>
  <c r="F85" i="40" a="1"/>
  <c r="F85" i="40" s="1"/>
  <c r="B11" i="18"/>
  <c r="G112" i="40" l="1"/>
  <c r="H112" i="40"/>
  <c r="V112" i="40"/>
  <c r="P112" i="40"/>
  <c r="R112" i="40"/>
  <c r="AD112" i="40"/>
  <c r="M112" i="40"/>
  <c r="N112" i="40"/>
  <c r="AB112" i="40"/>
  <c r="J112" i="40"/>
  <c r="T112" i="40"/>
  <c r="AE112" i="40"/>
  <c r="X112" i="40"/>
  <c r="L112" i="40"/>
  <c r="Y112" i="40"/>
  <c r="Z112" i="40"/>
  <c r="AF112" i="40"/>
  <c r="W112" i="40"/>
  <c r="AA112" i="40"/>
  <c r="Q112" i="40"/>
  <c r="O112" i="40"/>
  <c r="AC112" i="40"/>
  <c r="S112" i="40"/>
  <c r="I112" i="40"/>
  <c r="U112" i="40"/>
  <c r="K112" i="40"/>
  <c r="E85" i="40"/>
  <c r="J63" i="40" s="1"/>
  <c r="D311" i="48" s="1"/>
  <c r="J67" i="40"/>
  <c r="D315" i="48" s="1"/>
  <c r="F86" i="40"/>
  <c r="E104" i="40" l="1"/>
  <c r="C146" i="40" s="1"/>
  <c r="F112" i="40"/>
  <c r="E112" i="40" s="1"/>
  <c r="D61" i="40" s="1"/>
  <c r="T114" i="40"/>
  <c r="T139" i="40" a="1"/>
  <c r="T139" i="40" s="1"/>
  <c r="V114" i="40"/>
  <c r="V139" i="40" a="1"/>
  <c r="V139" i="40" s="1"/>
  <c r="I114" i="40"/>
  <c r="I139" i="40" a="1"/>
  <c r="I139" i="40" s="1"/>
  <c r="AG139" i="40" a="1"/>
  <c r="AG139" i="40" s="1"/>
  <c r="J114" i="40"/>
  <c r="J139" i="40" a="1"/>
  <c r="J139" i="40" s="1"/>
  <c r="O114" i="40"/>
  <c r="O139" i="40" a="1"/>
  <c r="O139" i="40" s="1"/>
  <c r="Y114" i="40"/>
  <c r="Y139" i="40" a="1"/>
  <c r="Y139" i="40" s="1"/>
  <c r="M114" i="40"/>
  <c r="M139" i="40" a="1"/>
  <c r="M139" i="40" s="1"/>
  <c r="G114" i="40"/>
  <c r="G139" i="40" a="1"/>
  <c r="G139" i="40" s="1"/>
  <c r="AF114" i="40"/>
  <c r="AF139" i="40" a="1"/>
  <c r="AF139" i="40" s="1"/>
  <c r="L114" i="40"/>
  <c r="L139" i="40" a="1"/>
  <c r="L139" i="40" s="1"/>
  <c r="AD114" i="40"/>
  <c r="AD139" i="40" a="1"/>
  <c r="AD139" i="40" s="1"/>
  <c r="W114" i="40"/>
  <c r="W139" i="40" a="1"/>
  <c r="W139" i="40" s="1"/>
  <c r="S114" i="40"/>
  <c r="S139" i="40" a="1"/>
  <c r="S139" i="40" s="1"/>
  <c r="AB114" i="40"/>
  <c r="AB139" i="40" a="1"/>
  <c r="AB139" i="40" s="1"/>
  <c r="AC114" i="40"/>
  <c r="AC139" i="40" a="1"/>
  <c r="AC139" i="40" s="1"/>
  <c r="Z114" i="40"/>
  <c r="Z139" i="40" a="1"/>
  <c r="Z139" i="40" s="1"/>
  <c r="N114" i="40"/>
  <c r="N139" i="40" a="1"/>
  <c r="N139" i="40" s="1"/>
  <c r="Q114" i="40"/>
  <c r="Q139" i="40" a="1"/>
  <c r="Q139" i="40" s="1"/>
  <c r="K114" i="40"/>
  <c r="K139" i="40" a="1"/>
  <c r="K139" i="40" s="1"/>
  <c r="AA114" i="40"/>
  <c r="AA139" i="40" a="1"/>
  <c r="AA139" i="40" s="1"/>
  <c r="X114" i="40"/>
  <c r="X139" i="40" a="1"/>
  <c r="X139" i="40" s="1"/>
  <c r="R114" i="40"/>
  <c r="R139" i="40" a="1"/>
  <c r="R139" i="40" s="1"/>
  <c r="U114" i="40"/>
  <c r="U139" i="40" a="1"/>
  <c r="U139" i="40" s="1"/>
  <c r="H114" i="40"/>
  <c r="H139" i="40" a="1"/>
  <c r="H139" i="40" s="1"/>
  <c r="AE114" i="40"/>
  <c r="AE139" i="40" a="1"/>
  <c r="AE139" i="40" s="1"/>
  <c r="P114" i="40"/>
  <c r="P139" i="40" a="1"/>
  <c r="P139" i="40" s="1"/>
  <c r="G86" i="40"/>
  <c r="H86" i="40" s="1"/>
  <c r="F124" i="40" a="1"/>
  <c r="F124" i="40" s="1"/>
  <c r="Q62" i="40"/>
  <c r="F139" i="40" l="1" a="1"/>
  <c r="F139" i="40" s="1"/>
  <c r="F114" i="40"/>
  <c r="E114" i="40" s="1"/>
  <c r="D63" i="40" s="1"/>
  <c r="E311" i="48" s="1"/>
  <c r="E319" i="48" s="1"/>
  <c r="F325" i="48" s="1"/>
  <c r="E309" i="48"/>
  <c r="E57" i="40"/>
  <c r="C164" i="40"/>
  <c r="E59" i="40"/>
  <c r="Q59" i="40" s="1"/>
  <c r="C166" i="40"/>
  <c r="C165" i="40"/>
  <c r="E60" i="40"/>
  <c r="Q60" i="40" s="1"/>
  <c r="C167" i="40"/>
  <c r="E58" i="40"/>
  <c r="Q58" i="40" s="1"/>
  <c r="I86" i="40"/>
  <c r="C150" i="40"/>
  <c r="G294" i="48"/>
  <c r="P67" i="40" l="1"/>
  <c r="J86" i="40"/>
  <c r="K86" i="40" s="1"/>
  <c r="L86" i="40" s="1"/>
  <c r="M86" i="40" s="1"/>
  <c r="N86" i="40" s="1"/>
  <c r="O86" i="40" s="1"/>
  <c r="P86" i="40" s="1"/>
  <c r="Q86" i="40" s="1"/>
  <c r="R86" i="40" s="1"/>
  <c r="S86" i="40" s="1"/>
  <c r="T86" i="40" s="1"/>
  <c r="U86" i="40" s="1"/>
  <c r="V86" i="40" s="1"/>
  <c r="W86" i="40" s="1"/>
  <c r="X86" i="40" s="1"/>
  <c r="Y86" i="40" s="1"/>
  <c r="Z86" i="40" s="1"/>
  <c r="AA86" i="40" s="1"/>
  <c r="AB86" i="40" s="1"/>
  <c r="AC86" i="40" s="1"/>
  <c r="AD86" i="40" s="1"/>
  <c r="AE86" i="40" s="1"/>
  <c r="AF86" i="40" s="1"/>
  <c r="AG86" i="40" s="1"/>
  <c r="K65" i="40" s="1" a="1"/>
  <c r="K65" i="40" s="1"/>
  <c r="F313" i="48" s="1"/>
  <c r="F323" i="48"/>
  <c r="F321" i="48"/>
  <c r="F328" i="48"/>
  <c r="F324" i="48"/>
  <c r="F322" i="48"/>
  <c r="F320" i="48"/>
  <c r="F327" i="48"/>
  <c r="F326" i="48"/>
  <c r="P59" i="40"/>
  <c r="P60" i="40"/>
  <c r="C148" i="40"/>
  <c r="J65" i="40" l="1" a="1"/>
  <c r="J65" i="40" s="1"/>
  <c r="D313" i="48" s="1"/>
  <c r="D58" i="40"/>
  <c r="P58" i="40" s="1"/>
  <c r="D62" i="40"/>
  <c r="D64" i="40" l="1"/>
  <c r="G9" i="40" s="1"/>
  <c r="F62" i="40"/>
  <c r="O7" i="40" s="1"/>
  <c r="E310" i="48"/>
  <c r="P9" i="40"/>
  <c r="P62" i="40"/>
  <c r="D156" i="16" a="1"/>
  <c r="D156" i="16" s="1"/>
  <c r="E312" i="48" l="1"/>
  <c r="G319" i="48" s="1"/>
  <c r="E88" i="40"/>
  <c r="K56" i="40" s="1"/>
  <c r="F117" i="40" a="1"/>
  <c r="F117" i="40" l="1"/>
  <c r="M125" i="40"/>
  <c r="U125" i="40"/>
  <c r="AC125" i="40"/>
  <c r="N125" i="40"/>
  <c r="V125" i="40"/>
  <c r="AD125" i="40"/>
  <c r="G125" i="40"/>
  <c r="O125" i="40"/>
  <c r="W125" i="40"/>
  <c r="AE125" i="40"/>
  <c r="H125" i="40"/>
  <c r="P125" i="40"/>
  <c r="X125" i="40"/>
  <c r="AF125" i="40"/>
  <c r="L125" i="40"/>
  <c r="AB125" i="40"/>
  <c r="I125" i="40"/>
  <c r="Q125" i="40"/>
  <c r="Y125" i="40"/>
  <c r="T125" i="40"/>
  <c r="J125" i="40"/>
  <c r="R125" i="40"/>
  <c r="Z125" i="40"/>
  <c r="K125" i="40"/>
  <c r="S125" i="40"/>
  <c r="AA125" i="40"/>
  <c r="D166" i="16" a="1"/>
  <c r="D166" i="16" s="1"/>
  <c r="E188" i="48" s="1" a="1"/>
  <c r="E188" i="48" s="1"/>
  <c r="E191" i="48" s="1"/>
  <c r="F98" i="40" a="1"/>
  <c r="F98" i="40" s="1"/>
  <c r="D152" i="16"/>
  <c r="F125" i="40" l="1"/>
  <c r="F156" i="40" s="1"/>
  <c r="E117" i="40"/>
  <c r="Z127" i="40"/>
  <c r="Z156" i="40"/>
  <c r="O127" i="40"/>
  <c r="O156" i="40"/>
  <c r="D56" i="40"/>
  <c r="P56" i="40" s="1"/>
  <c r="E146" i="40" a="1"/>
  <c r="E146" i="40" s="1"/>
  <c r="AF127" i="40"/>
  <c r="AF156" i="40"/>
  <c r="AD127" i="40"/>
  <c r="AD156" i="40"/>
  <c r="L127" i="40"/>
  <c r="L156" i="40"/>
  <c r="G127" i="40"/>
  <c r="G156" i="40"/>
  <c r="J127" i="40"/>
  <c r="J156" i="40"/>
  <c r="V127" i="40"/>
  <c r="V156" i="40"/>
  <c r="P127" i="40"/>
  <c r="P156" i="40"/>
  <c r="Y127" i="40"/>
  <c r="Y156" i="40"/>
  <c r="H127" i="40"/>
  <c r="H156" i="40"/>
  <c r="AC127" i="40"/>
  <c r="AC156" i="40"/>
  <c r="R127" i="40"/>
  <c r="R156" i="40"/>
  <c r="AB127" i="40"/>
  <c r="AB156" i="40"/>
  <c r="T127" i="40"/>
  <c r="T156" i="40"/>
  <c r="X127" i="40"/>
  <c r="X156" i="40"/>
  <c r="AG156" i="40"/>
  <c r="N127" i="40"/>
  <c r="N156" i="40"/>
  <c r="AA127" i="40"/>
  <c r="AA156" i="40"/>
  <c r="S127" i="40"/>
  <c r="S156" i="40"/>
  <c r="Q127" i="40"/>
  <c r="Q156" i="40"/>
  <c r="AE127" i="40"/>
  <c r="AE156" i="40"/>
  <c r="U127" i="40"/>
  <c r="U156" i="40"/>
  <c r="K127" i="40"/>
  <c r="K156" i="40"/>
  <c r="I127" i="40"/>
  <c r="I156" i="40"/>
  <c r="W127" i="40"/>
  <c r="W156" i="40"/>
  <c r="M127" i="40"/>
  <c r="M156" i="40"/>
  <c r="E98" i="40"/>
  <c r="K63" i="40" s="1"/>
  <c r="K67" i="40"/>
  <c r="F315" i="48" s="1"/>
  <c r="D167" i="16" a="1"/>
  <c r="D167" i="16" s="1"/>
  <c r="F99" i="40"/>
  <c r="G99" i="40" s="1"/>
  <c r="H99" i="40" s="1"/>
  <c r="I99" i="40" s="1"/>
  <c r="J99" i="40" s="1"/>
  <c r="K99" i="40" s="1"/>
  <c r="L99" i="40" s="1"/>
  <c r="M99" i="40" s="1"/>
  <c r="N99" i="40" s="1"/>
  <c r="O99" i="40" s="1"/>
  <c r="P99" i="40" s="1"/>
  <c r="Q99" i="40" s="1"/>
  <c r="R99" i="40" s="1"/>
  <c r="S99" i="40" s="1"/>
  <c r="T99" i="40" s="1"/>
  <c r="U99" i="40" s="1"/>
  <c r="V99" i="40" s="1"/>
  <c r="W99" i="40" s="1"/>
  <c r="X99" i="40" s="1"/>
  <c r="Y99" i="40" s="1"/>
  <c r="Z99" i="40" s="1"/>
  <c r="AA99" i="40" s="1"/>
  <c r="AB99" i="40" s="1"/>
  <c r="AC99" i="40" s="1"/>
  <c r="AD99" i="40" s="1"/>
  <c r="AE99" i="40" s="1"/>
  <c r="AF99" i="40" s="1"/>
  <c r="AG99" i="40" s="1"/>
  <c r="J66" i="40"/>
  <c r="D314" i="48" s="1"/>
  <c r="F127" i="40" l="1"/>
  <c r="E127" i="40" s="1"/>
  <c r="E63" i="40" s="1"/>
  <c r="F63" i="40" s="1"/>
  <c r="I7" i="40" s="1"/>
  <c r="E125" i="40"/>
  <c r="Q67" i="40"/>
  <c r="E56" i="40"/>
  <c r="Q56" i="40" s="1"/>
  <c r="C163" i="40"/>
  <c r="E163" i="40" s="1" a="1"/>
  <c r="E163" i="40" s="1"/>
  <c r="K66" i="40"/>
  <c r="F314" i="48" s="1"/>
  <c r="F311" i="48"/>
  <c r="P61" i="40"/>
  <c r="P64" i="40" s="1"/>
  <c r="E61" i="40"/>
  <c r="F61" i="40" s="1"/>
  <c r="L7" i="40" s="1"/>
  <c r="E300" i="48" a="1"/>
  <c r="Q57" i="40"/>
  <c r="F128" i="40"/>
  <c r="G128" i="40" s="1"/>
  <c r="H128" i="40" s="1"/>
  <c r="I128" i="40" s="1"/>
  <c r="J128" i="40" s="1"/>
  <c r="K128" i="40" s="1"/>
  <c r="L128" i="40" s="1"/>
  <c r="M128" i="40" s="1"/>
  <c r="N128" i="40" s="1"/>
  <c r="O128" i="40" s="1"/>
  <c r="P128" i="40" s="1"/>
  <c r="Q128" i="40" s="1"/>
  <c r="R128" i="40" s="1"/>
  <c r="S128" i="40" s="1"/>
  <c r="T128" i="40" s="1"/>
  <c r="U128" i="40" s="1"/>
  <c r="V128" i="40" s="1"/>
  <c r="W128" i="40" s="1"/>
  <c r="X128" i="40" s="1"/>
  <c r="Y128" i="40" s="1"/>
  <c r="Z128" i="40" s="1"/>
  <c r="AA128" i="40" s="1"/>
  <c r="AB128" i="40" s="1"/>
  <c r="AC128" i="40" s="1"/>
  <c r="AD128" i="40" s="1"/>
  <c r="AE128" i="40" s="1"/>
  <c r="AF128" i="40" s="1"/>
  <c r="AG128" i="40" s="1"/>
  <c r="D312" i="48"/>
  <c r="E66" i="40" l="1"/>
  <c r="G311" i="48"/>
  <c r="E332" i="48" s="1"/>
  <c r="E64" i="40"/>
  <c r="G312" i="48" s="1"/>
  <c r="G332" i="48" s="1"/>
  <c r="G309" i="48"/>
  <c r="E300" i="48"/>
  <c r="E305" i="48" s="1"/>
  <c r="G305" i="48"/>
  <c r="H305" i="48"/>
  <c r="J9" i="40"/>
  <c r="P63" i="40"/>
  <c r="D66" i="40"/>
  <c r="E314" i="48" s="1"/>
  <c r="Q61" i="40"/>
  <c r="M9" i="40"/>
  <c r="F312" i="48"/>
  <c r="D57" i="40"/>
  <c r="P57" i="40" s="1"/>
  <c r="Q66" i="40" l="1"/>
  <c r="F341" i="48"/>
  <c r="F334" i="48"/>
  <c r="F335" i="48"/>
  <c r="F333" i="48"/>
  <c r="F336" i="48"/>
  <c r="F337" i="48"/>
  <c r="F338" i="48"/>
  <c r="F340" i="48"/>
  <c r="F339" i="48"/>
  <c r="P66" i="40"/>
  <c r="M10" i="40"/>
  <c r="G10" i="40"/>
  <c r="J10" i="40" l="1"/>
  <c r="Q63" i="40"/>
  <c r="F115" i="40"/>
  <c r="G115" i="40" l="1"/>
  <c r="H115" i="40" s="1"/>
  <c r="I115" i="40" s="1"/>
  <c r="J115" i="40" s="1"/>
  <c r="K115" i="40" s="1"/>
  <c r="L115" i="40" s="1"/>
  <c r="M115" i="40" s="1"/>
  <c r="N115" i="40" s="1"/>
  <c r="O115" i="40" s="1"/>
  <c r="P115" i="40" s="1"/>
  <c r="Q115" i="40" s="1"/>
  <c r="R115" i="40" s="1"/>
  <c r="S115" i="40" s="1"/>
  <c r="T115" i="40" s="1"/>
  <c r="U115" i="40" s="1"/>
  <c r="V115" i="40" s="1"/>
  <c r="W115" i="40" s="1"/>
  <c r="X115" i="40" s="1"/>
  <c r="Y115" i="40" s="1"/>
  <c r="Z115" i="40" s="1"/>
  <c r="AA115" i="40" s="1"/>
  <c r="AB115" i="40" s="1"/>
  <c r="AC115" i="40" s="1"/>
  <c r="AD115" i="40" s="1"/>
  <c r="AE115" i="40" s="1"/>
  <c r="AF115" i="40" s="1"/>
  <c r="AG115" i="40" s="1"/>
  <c r="D65" i="40" l="1" a="1"/>
  <c r="D65" i="40" s="1"/>
  <c r="E313" i="48" s="1"/>
  <c r="E65" i="40" a="1"/>
  <c r="E65" i="40" s="1"/>
  <c r="G313" i="48" s="1"/>
  <c r="E294" i="48" l="1"/>
  <c r="F305" i="48"/>
  <c r="D294"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tc={2DB912A6-AFBC-49A5-925A-AA09A3A462A9}</author>
    <author>tc={7896AA10-9D71-483F-B255-6ED3A17F353A}</author>
  </authors>
  <commentList>
    <comment ref="D16" authorId="0" shapeId="0" xr:uid="{2DB912A6-AFBC-49A5-925A-AA09A3A462A9}">
      <text>
        <t xml:space="preserve">[Threaded comment]
Your version of Excel allows you to read this threaded comment; however, any edits to it will get removed if the file is opened in a newer version of Excel. Learn more: https://go.microsoft.com/fwlink/?linkid=870924
Comment:
    Added 9% contingency for a total of 15% contingency between Construction and E&amp;C </t>
      </text>
    </comment>
    <comment ref="E16" authorId="1" shapeId="0" xr:uid="{7896AA10-9D71-483F-B255-6ED3A17F353A}">
      <text>
        <t xml:space="preserve">[Threaded comment]
Your version of Excel allows you to read this threaded comment; however, any edits to it will get removed if the file is opened in a newer version of Excel. Learn more: https://go.microsoft.com/fwlink/?linkid=870924
Comment:
    Added 9% contingency for a total of 15% contingency between Construction and E&amp;C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<sst xmlns="http://schemas.openxmlformats.org/spreadsheetml/2006/main" count="7172" uniqueCount="724">
  <si>
    <t>Inputs</t>
  </si>
  <si>
    <t>Variable</t>
  </si>
  <si>
    <t>Units</t>
  </si>
  <si>
    <t>Value</t>
  </si>
  <si>
    <t>Source/Comment</t>
  </si>
  <si>
    <t>Base Year</t>
  </si>
  <si>
    <t>year</t>
  </si>
  <si>
    <t>Schedule</t>
  </si>
  <si>
    <t>Vehicle Volume</t>
  </si>
  <si>
    <t>No-Build</t>
  </si>
  <si>
    <t>Year</t>
  </si>
  <si>
    <t>persons/vehicle</t>
  </si>
  <si>
    <t>percentage</t>
  </si>
  <si>
    <t>Travel Time</t>
  </si>
  <si>
    <t>Category</t>
  </si>
  <si>
    <t>Improved Safety</t>
  </si>
  <si>
    <t>Travel Time Savings</t>
  </si>
  <si>
    <t>Residual Value of Assets</t>
  </si>
  <si>
    <t>Segment</t>
  </si>
  <si>
    <t>Trucks</t>
  </si>
  <si>
    <t>Automobiles</t>
  </si>
  <si>
    <t>Conversions</t>
  </si>
  <si>
    <t>days/year</t>
  </si>
  <si>
    <t>All</t>
  </si>
  <si>
    <t>Vehicle Type</t>
  </si>
  <si>
    <t>Total</t>
  </si>
  <si>
    <t>Person-Hours Saved</t>
  </si>
  <si>
    <t>Scenario</t>
  </si>
  <si>
    <t>Discount Factor</t>
  </si>
  <si>
    <t>Discount Factors by Year</t>
  </si>
  <si>
    <t>PDO</t>
  </si>
  <si>
    <t>Other Inputs</t>
  </si>
  <si>
    <t>Fatality</t>
  </si>
  <si>
    <t>Injury</t>
  </si>
  <si>
    <t>Value of a Statistical Life</t>
  </si>
  <si>
    <t>Cost of Injury</t>
  </si>
  <si>
    <t>Cost of PDO</t>
  </si>
  <si>
    <t>Type</t>
  </si>
  <si>
    <t>Comparison</t>
  </si>
  <si>
    <t>Emissions</t>
  </si>
  <si>
    <t>CO2</t>
  </si>
  <si>
    <t>PM2.5</t>
  </si>
  <si>
    <t>Emission Type</t>
  </si>
  <si>
    <t>NOx</t>
  </si>
  <si>
    <t>Metric Tons to Grams</t>
  </si>
  <si>
    <t>metric tons/gram</t>
  </si>
  <si>
    <t>Emission Costs</t>
  </si>
  <si>
    <t>Vehicle</t>
  </si>
  <si>
    <t>Summary</t>
  </si>
  <si>
    <t>Benefits</t>
  </si>
  <si>
    <t>Discount Factor, CO2</t>
  </si>
  <si>
    <t>CO2 Discount Factors by Year</t>
  </si>
  <si>
    <t>Total Benefits</t>
  </si>
  <si>
    <t>Capital Costs</t>
  </si>
  <si>
    <t>Net Impacts</t>
  </si>
  <si>
    <t>Cumulative Net Impacts</t>
  </si>
  <si>
    <t>Results by Year</t>
  </si>
  <si>
    <t>Overall Results</t>
  </si>
  <si>
    <t>Return on Investment</t>
  </si>
  <si>
    <t>Internal Rate of Return</t>
  </si>
  <si>
    <t>Payback Period (years)</t>
  </si>
  <si>
    <t>Location</t>
  </si>
  <si>
    <t>Constant</t>
  </si>
  <si>
    <t>Assumed</t>
  </si>
  <si>
    <t>Volume</t>
  </si>
  <si>
    <t>vehicles/day</t>
  </si>
  <si>
    <t>Annualization Factor</t>
  </si>
  <si>
    <t>Source: Emission Costs</t>
  </si>
  <si>
    <t>Back to Emissions Tab</t>
  </si>
  <si>
    <t>Estimated using AADT growth rate</t>
  </si>
  <si>
    <t>Back to Safety Tab</t>
  </si>
  <si>
    <t>Key Inputs</t>
  </si>
  <si>
    <t>Discount Rate</t>
  </si>
  <si>
    <t>CO2 Discount Rate</t>
  </si>
  <si>
    <t>Safety</t>
  </si>
  <si>
    <t>Discounting</t>
  </si>
  <si>
    <t>Discount Factors</t>
  </si>
  <si>
    <t>Feet to Miles</t>
  </si>
  <si>
    <t>feet/mile</t>
  </si>
  <si>
    <t>years</t>
  </si>
  <si>
    <t>Construction Duration</t>
  </si>
  <si>
    <t>Residual Value</t>
  </si>
  <si>
    <t>Study Duration</t>
  </si>
  <si>
    <t>Years of Full Benefits</t>
  </si>
  <si>
    <t>Construction End</t>
  </si>
  <si>
    <t>Average</t>
  </si>
  <si>
    <t>factor</t>
  </si>
  <si>
    <t xml:space="preserve"> </t>
  </si>
  <si>
    <t>Cost Type</t>
  </si>
  <si>
    <t>Total Costs</t>
  </si>
  <si>
    <t>Benefit-Cost Ratio</t>
  </si>
  <si>
    <t>Discounted Benefit-Cost Ratio</t>
  </si>
  <si>
    <t>Discounted Total Benefits</t>
  </si>
  <si>
    <t>Discounted Total Costs</t>
  </si>
  <si>
    <t>Net Impact</t>
  </si>
  <si>
    <t>Discounted Net Impact</t>
  </si>
  <si>
    <t>Results at a Glance</t>
  </si>
  <si>
    <t>Benefit</t>
  </si>
  <si>
    <t>Project Schedule</t>
  </si>
  <si>
    <t>Amount</t>
  </si>
  <si>
    <t>Unsorted</t>
  </si>
  <si>
    <t>Sorted</t>
  </si>
  <si>
    <t>Project Costs</t>
  </si>
  <si>
    <t>Outputs</t>
  </si>
  <si>
    <t>Source</t>
  </si>
  <si>
    <t>vehicles/year</t>
  </si>
  <si>
    <t>Roadway Maintenance Cost Assumptions</t>
  </si>
  <si>
    <t>Benefit Category</t>
  </si>
  <si>
    <t>Assumption</t>
  </si>
  <si>
    <t>Merit Criteria</t>
  </si>
  <si>
    <t>Description</t>
  </si>
  <si>
    <t>Monetized</t>
  </si>
  <si>
    <t>Qualitative</t>
  </si>
  <si>
    <t>Economic Competitiveness</t>
  </si>
  <si>
    <t>-</t>
  </si>
  <si>
    <t>Yes</t>
  </si>
  <si>
    <t>Environmental Sustainability</t>
  </si>
  <si>
    <t>State of Good Repair</t>
  </si>
  <si>
    <t>Residual value of capital assets.</t>
  </si>
  <si>
    <t>Gross domestic product</t>
  </si>
  <si>
    <t>Over the Study Period</t>
  </si>
  <si>
    <t>Evaluation Metrics</t>
  </si>
  <si>
    <t>Return on Investment (ROI)</t>
  </si>
  <si>
    <t>Benefit-Cost Ratio (BCR)</t>
  </si>
  <si>
    <t>Internal Rate of Return (IRR)</t>
  </si>
  <si>
    <t>Construction Start</t>
  </si>
  <si>
    <t>No Build</t>
  </si>
  <si>
    <t>mph</t>
  </si>
  <si>
    <t>%</t>
  </si>
  <si>
    <t>hours</t>
  </si>
  <si>
    <t>person-hours</t>
  </si>
  <si>
    <t>Travel Time Costs</t>
  </si>
  <si>
    <t>Avoided Time Costs</t>
  </si>
  <si>
    <t>NPV</t>
  </si>
  <si>
    <t>Person-Hours of Travel Time × Value of Time</t>
  </si>
  <si>
    <t>DEMAND FOR TRAVEL IN PEAK PERIOD</t>
  </si>
  <si>
    <t>(percent of total daily travel)</t>
  </si>
  <si>
    <t>Number of</t>
  </si>
  <si>
    <t>Urban</t>
  </si>
  <si>
    <t>Hours in</t>
  </si>
  <si>
    <t>So. California</t>
  </si>
  <si>
    <t>No. California</t>
  </si>
  <si>
    <t>Rural</t>
  </si>
  <si>
    <t>Peak Period</t>
  </si>
  <si>
    <t>Fwy/Exp</t>
  </si>
  <si>
    <t>Other</t>
  </si>
  <si>
    <t>Source: California Department of Transportation, 2010-2012 California Household Travel</t>
  </si>
  <si>
    <t>Survey, Final Report Appendix, June 2013</t>
  </si>
  <si>
    <t>Percent of Daily Travel during Peak Hours</t>
  </si>
  <si>
    <t>Estimating Speed</t>
  </si>
  <si>
    <t>Formula Used</t>
  </si>
  <si>
    <t xml:space="preserve">Source: Dowling et al. (1997). </t>
  </si>
  <si>
    <t>Page 77, equation 8-1 of https://onlinepubs.trb.org/Onlinepubs/nchrp/nchrp_rpt_387.pdf</t>
  </si>
  <si>
    <t>Peak Period Hours – AM</t>
  </si>
  <si>
    <t>Peak Period Hours – PM</t>
  </si>
  <si>
    <t>Volume determined by percent of total daily travel during peak period, retrieved from Cal-B/C table:</t>
  </si>
  <si>
    <t>vehicle-hours</t>
  </si>
  <si>
    <t>Note that values are retrieved from the first column since all columns are equal.</t>
  </si>
  <si>
    <t>Vehicle-Hours of Travel Time × Vehicle Occupancy</t>
  </si>
  <si>
    <t>Mileage</t>
  </si>
  <si>
    <t>Construction</t>
  </si>
  <si>
    <t>E&amp;C</t>
  </si>
  <si>
    <t>Design</t>
  </si>
  <si>
    <t>Right of Way</t>
  </si>
  <si>
    <t>Utilities</t>
  </si>
  <si>
    <t>Previously Incurred</t>
  </si>
  <si>
    <t>Project Cost Data</t>
  </si>
  <si>
    <t>Cost Distribution by Year</t>
  </si>
  <si>
    <t>Anticipated Costs</t>
  </si>
  <si>
    <t>Total Anticipated Costs</t>
  </si>
  <si>
    <t>Total Previously Incurred Costs</t>
  </si>
  <si>
    <t>General</t>
  </si>
  <si>
    <t>Value of Travel Time Savings – Automobiles</t>
  </si>
  <si>
    <t>Value of Travel Time Savings – Trucks</t>
  </si>
  <si>
    <t>Vehicle Occupancy – Trucks</t>
  </si>
  <si>
    <t>Vehicle Occupancy – Automobiles</t>
  </si>
  <si>
    <t>Length* (miles)</t>
  </si>
  <si>
    <t>California DOT, Cal-B/C v8.1 Table: Demand for Travel during Peak Period. (2021)</t>
  </si>
  <si>
    <t>Vehicle Type Distribution</t>
  </si>
  <si>
    <t>VTTS – Automobiles</t>
  </si>
  <si>
    <t>VTTS – Trucks</t>
  </si>
  <si>
    <t>Grand Total</t>
  </si>
  <si>
    <t>Discount Rates</t>
  </si>
  <si>
    <t>Table A-6: Damage Costs for Emissions per Metric Ton</t>
  </si>
  <si>
    <t>Severity</t>
  </si>
  <si>
    <t>by Vehicle Type</t>
  </si>
  <si>
    <t>Proxy Speed for Idling</t>
  </si>
  <si>
    <t>Calculated</t>
  </si>
  <si>
    <t>Bureau of Economic Analysis, National Income and Product Accounts, Table 1.1.9, “Implicit Price Deflators for Gross Domestic Product” (Accessed May 10, 2022).
Adjustment factor based on 2022 Q1 relative to 2020.</t>
  </si>
  <si>
    <t>Adjustment Factors</t>
  </si>
  <si>
    <t>Implicit Price Deflators for GDP</t>
  </si>
  <si>
    <t>Source: Bureau of Economic Analysis, Table 1.1.9. Implicit Price Deflators for Gross Domestic Product.</t>
  </si>
  <si>
    <t>Price Deflators</t>
  </si>
  <si>
    <t>O&amp;M</t>
  </si>
  <si>
    <t>Eng. &amp; Construction Management</t>
  </si>
  <si>
    <t>Utilities Relocation</t>
  </si>
  <si>
    <t>Years of Analysis</t>
  </si>
  <si>
    <t>Timeline</t>
  </si>
  <si>
    <t>Useful Life of Project</t>
  </si>
  <si>
    <t>Years</t>
  </si>
  <si>
    <t>Environmental</t>
  </si>
  <si>
    <t>Distribution</t>
  </si>
  <si>
    <t>Source: ODOT Safety Branch</t>
  </si>
  <si>
    <t>Average Number of Accidents per Year</t>
  </si>
  <si>
    <t>Crash Modification Factor</t>
  </si>
  <si>
    <t>Pavement Maintenance</t>
  </si>
  <si>
    <t>Environmental Benefits</t>
  </si>
  <si>
    <t>O&amp;M Costs</t>
  </si>
  <si>
    <t>Annual Routine Maintenance</t>
  </si>
  <si>
    <t>Used in: Volume and Speed</t>
  </si>
  <si>
    <t>Vehicle-Hours of Travel Time</t>
  </si>
  <si>
    <t>Person-Hours of Travel Time</t>
  </si>
  <si>
    <t>Reduced O&amp;M Costs</t>
  </si>
  <si>
    <t>Oklahoma Department of Transportation</t>
  </si>
  <si>
    <t>Formula Parameters and Estimated 2045 Speeds</t>
  </si>
  <si>
    <t>* No change between No-Build and Build scenarios</t>
  </si>
  <si>
    <t>Percent of Daily Travel during Peak Period</t>
  </si>
  <si>
    <t>Back to Inputs Tab</t>
  </si>
  <si>
    <t>Assumption; 2.5mph is the lowest speed bin in the MOVES emission factors, and is used to estimate the amount of emissions emitted when idling during delays.</t>
  </si>
  <si>
    <t>accidents/year</t>
  </si>
  <si>
    <t>Accident Distribution – Fatality</t>
  </si>
  <si>
    <t>Accident Distribution – Injury</t>
  </si>
  <si>
    <t>Accident Distribution – PDO</t>
  </si>
  <si>
    <t>Location Specific Demand Assumptions</t>
  </si>
  <si>
    <t>Comment</t>
  </si>
  <si>
    <t>Introduction</t>
  </si>
  <si>
    <t>Demand</t>
  </si>
  <si>
    <t>Annual Routine Maintenance, No-Build</t>
  </si>
  <si>
    <t>Pavement Maintenance, No-Build</t>
  </si>
  <si>
    <t>O&amp;M, Residual</t>
  </si>
  <si>
    <t>Conclusion</t>
  </si>
  <si>
    <t>Total Safety Benefits</t>
  </si>
  <si>
    <t>Total State of Good Repair Benefits</t>
  </si>
  <si>
    <t>Assumptions used in the estimation of travel time savings</t>
  </si>
  <si>
    <t>Vehicle type distribution</t>
  </si>
  <si>
    <t>Estimated travel time savings</t>
  </si>
  <si>
    <t>Assumptions used in the estimation of safety benefits</t>
  </si>
  <si>
    <t>Assumptions used in the estimation of environmental sustainability benefits</t>
  </si>
  <si>
    <t>Assumptions used in the estimation of state of good repair benefits</t>
  </si>
  <si>
    <t>Estimated state of good repair benefits</t>
  </si>
  <si>
    <t>Alpha, beta, and capacity based on Equation 8-1 and Equation 8-7b from Dowling et al. (1997).</t>
  </si>
  <si>
    <t>Number of Peak Period Hours – AM</t>
  </si>
  <si>
    <t>Number of Peak Period Hours – PM</t>
  </si>
  <si>
    <t>Number of Non-Peak Period Hours</t>
  </si>
  <si>
    <t xml:space="preserve">Assumed that volume is negligible for 6 hours each day (e.g., 12 AM to 6 AM); remaining 18 hours minus the peak period hours is the number of non-peak period hours. </t>
  </si>
  <si>
    <t>Percent of Daily Travel during Non-Peak Hours</t>
  </si>
  <si>
    <t>Based on speed on I-35 (N) and I-35 (S)</t>
  </si>
  <si>
    <t xml:space="preserve">** Speed and length are not relevant for calculating benefits related to interchange redesign </t>
  </si>
  <si>
    <t>Fhv*</t>
  </si>
  <si>
    <t>PHF*</t>
  </si>
  <si>
    <t>Benefit categories and expected alignment with project requirements</t>
  </si>
  <si>
    <t>Avoided Fatality Costs</t>
  </si>
  <si>
    <t>Avoided Injury Costs</t>
  </si>
  <si>
    <t>Avoided PDO Costs</t>
  </si>
  <si>
    <t xml:space="preserve">Pavement </t>
  </si>
  <si>
    <t>Incremental O&amp;M Savings</t>
  </si>
  <si>
    <t>Unit</t>
  </si>
  <si>
    <t>Nitrogen Oxides (NOx)</t>
  </si>
  <si>
    <t>$/metric ton</t>
  </si>
  <si>
    <t>Varies by year</t>
  </si>
  <si>
    <t>Sulfur Oxides (SOx)</t>
  </si>
  <si>
    <t>Fine Particulate Matter (PM2.5)</t>
  </si>
  <si>
    <t>Carbon Dioxide (CO2)</t>
  </si>
  <si>
    <t>grams/mile</t>
  </si>
  <si>
    <t>O&amp;M Cost Schedule</t>
  </si>
  <si>
    <t>Project Costs by Location (2023$)</t>
  </si>
  <si>
    <t>Adjusted Project Costs by Location (deflated to 2021$)</t>
  </si>
  <si>
    <t>Note: Values are in 2023$</t>
  </si>
  <si>
    <t>Roadway Improvements Relating to the Mid America Industrial Park</t>
  </si>
  <si>
    <t>Project</t>
  </si>
  <si>
    <t>Intersection</t>
  </si>
  <si>
    <t>Note: Cost dististribuation by year is assumed. Future cost may vary.</t>
  </si>
  <si>
    <t>Restriping every 5 years</t>
  </si>
  <si>
    <t>Annual Routine Maintenance.</t>
  </si>
  <si>
    <t>SH 412B</t>
  </si>
  <si>
    <t>US 412</t>
  </si>
  <si>
    <t>US 69</t>
  </si>
  <si>
    <t>(Starting rehab in (2025)</t>
  </si>
  <si>
    <t>3.5 miles of gravel road rehab (Future Patrol Road) every 10 years</t>
  </si>
  <si>
    <t>5 lane miles of concrete replacement every 30 years (outside study window)</t>
  </si>
  <si>
    <t>35 lane-miles of asphalt resurface every 20 years</t>
  </si>
  <si>
    <t>Interchange</t>
  </si>
  <si>
    <t>Zarrow St</t>
  </si>
  <si>
    <t>Annual Growth of AADT – US 412</t>
  </si>
  <si>
    <t>Annual Growth of AADT – Zarrow</t>
  </si>
  <si>
    <t>CMF (US 412): Grade Sep Interchange</t>
  </si>
  <si>
    <t>Half-Build</t>
  </si>
  <si>
    <t>Full-Build</t>
  </si>
  <si>
    <t>CMF Clearinghouse, individual CMFs identified</t>
  </si>
  <si>
    <t>(Interchange)</t>
  </si>
  <si>
    <t>(Roundabout)</t>
  </si>
  <si>
    <t>(Per Year)</t>
  </si>
  <si>
    <t>SH 412B (Rbt)</t>
  </si>
  <si>
    <t>Annual Growth of AADT – SH 412B (Widening)</t>
  </si>
  <si>
    <t>Annual Growth of AADT – US 69 (Main)</t>
  </si>
  <si>
    <t>CMF (SH 412B): Introduce Roundabout</t>
  </si>
  <si>
    <t>CMF (Zarrow): Widen 2 to 4 Lanes</t>
  </si>
  <si>
    <t>https://www.cmfclearinghouse.org/study_detail.php?stid=13</t>
  </si>
  <si>
    <t>https://www.cmfclearinghouse.org/study_detail.php?stid=510</t>
  </si>
  <si>
    <t>27 lane-miles of asphalt resurface every 20 years</t>
  </si>
  <si>
    <t>Reconstruct 412B (Northern Segment) within 10 years</t>
  </si>
  <si>
    <t>12 lane-miles of asphalt resurface in 2025</t>
  </si>
  <si>
    <t>6.5 lane-miles asphalt resuface in 2045</t>
  </si>
  <si>
    <t>CMF (Williams): Widen 2 to 4 Lanes</t>
  </si>
  <si>
    <t>Note: Design, Contruction Management, and Utility Relocation are estimated at 9, 6,and 5 percent, respectively.</t>
  </si>
  <si>
    <t>Annual Growth of AADT – SH 412B (Rbt)</t>
  </si>
  <si>
    <t>Annual Growth of AADT – Patrol</t>
  </si>
  <si>
    <t>Annual Growth of AADT – Williams</t>
  </si>
  <si>
    <t>Williams St</t>
  </si>
  <si>
    <t>CMF (Patrol): Gravel to Paved 2 Lane</t>
  </si>
  <si>
    <t>https://www.cmfclearinghouse.org/study_detail.php?stid=183</t>
  </si>
  <si>
    <t>N/A</t>
  </si>
  <si>
    <t>Corridor</t>
  </si>
  <si>
    <t>Start</t>
  </si>
  <si>
    <t>End</t>
  </si>
  <si>
    <t>US-412</t>
  </si>
  <si>
    <t>West of US 69</t>
  </si>
  <si>
    <t>East of SH 412B</t>
  </si>
  <si>
    <t>Prop Rbt</t>
  </si>
  <si>
    <t>SH 69A</t>
  </si>
  <si>
    <t>Patrol Rd</t>
  </si>
  <si>
    <t>Rocket Rd</t>
  </si>
  <si>
    <t>Zarrow Rd</t>
  </si>
  <si>
    <t>300' W of Zarrow</t>
  </si>
  <si>
    <t>SH-69A</t>
  </si>
  <si>
    <t>North of SH-69A</t>
  </si>
  <si>
    <t>975' E of Zarrow</t>
  </si>
  <si>
    <t>No. of Lanes</t>
  </si>
  <si>
    <t>AADT</t>
  </si>
  <si>
    <t>Percent Trucks</t>
  </si>
  <si>
    <t>Percent Autos</t>
  </si>
  <si>
    <t>Heavy Veh. Adj. Factor (Fhv)</t>
  </si>
  <si>
    <t>Peak Hour Factor (PHF)</t>
  </si>
  <si>
    <t>Armin Rd</t>
  </si>
  <si>
    <t>Traffic Data</t>
  </si>
  <si>
    <t>Partial-Build</t>
  </si>
  <si>
    <t>Partial Build Subtotal</t>
  </si>
  <si>
    <t>HIDE ME!!</t>
  </si>
  <si>
    <t>TRIP GEN LETTER</t>
  </si>
  <si>
    <t>h</t>
  </si>
  <si>
    <t>g</t>
  </si>
  <si>
    <t>f</t>
  </si>
  <si>
    <t>e</t>
  </si>
  <si>
    <t>d</t>
  </si>
  <si>
    <t>a</t>
  </si>
  <si>
    <t>b</t>
  </si>
  <si>
    <t>c</t>
  </si>
  <si>
    <t>l</t>
  </si>
  <si>
    <t>m</t>
  </si>
  <si>
    <t>n</t>
  </si>
  <si>
    <t>r</t>
  </si>
  <si>
    <t>o</t>
  </si>
  <si>
    <t>s</t>
  </si>
  <si>
    <t>q</t>
  </si>
  <si>
    <t>t</t>
  </si>
  <si>
    <t>i</t>
  </si>
  <si>
    <t>j</t>
  </si>
  <si>
    <t>k</t>
  </si>
  <si>
    <t>p</t>
  </si>
  <si>
    <t>AADT (Avg Growth / Year)</t>
  </si>
  <si>
    <t>Vehicle Mi. Travelled (Day)</t>
  </si>
  <si>
    <t>Vehicle Hr. Travelled (Day)</t>
  </si>
  <si>
    <t>Speed Limit (MPH)</t>
  </si>
  <si>
    <t>(Reconstruction)</t>
  </si>
  <si>
    <t>FFS</t>
  </si>
  <si>
    <t>Freeway Capacity (pcphpl)</t>
  </si>
  <si>
    <t>Multilane Highway (pcphpl)</t>
  </si>
  <si>
    <t>n/a</t>
  </si>
  <si>
    <t>Two-lane highways (pcphpl)</t>
  </si>
  <si>
    <t>Peak Period Speed by Year</t>
  </si>
  <si>
    <t>Non-Peak Period Speed by Year</t>
  </si>
  <si>
    <t>fa = 2.5 (10 access points or fewer per mi.)</t>
  </si>
  <si>
    <t>Crash Data</t>
  </si>
  <si>
    <t>Crash Type</t>
  </si>
  <si>
    <t>Crash Distribution</t>
  </si>
  <si>
    <t>Average Number of Crashes</t>
  </si>
  <si>
    <t>2021$/Crash</t>
  </si>
  <si>
    <t>Source: Crash Data</t>
  </si>
  <si>
    <t>Vehicle Crashes</t>
  </si>
  <si>
    <t>Crashes per Year</t>
  </si>
  <si>
    <t>Crashes per Year × Cost</t>
  </si>
  <si>
    <t>Crashes Avoided</t>
  </si>
  <si>
    <t>CMF (SH 412B): Reconstruct Roadway</t>
  </si>
  <si>
    <t>5.0 (20 access points per mi.)</t>
  </si>
  <si>
    <t>Speed Limit (mph)</t>
  </si>
  <si>
    <t>https://www.cmfclearinghouse.org/detail.php?facid=325</t>
  </si>
  <si>
    <t>Note: No crashes or monitzed crash reduction can be attributed to the SH412B roundabout location due to no crashed in that location within the past five years.</t>
  </si>
  <si>
    <t>Annual Growth of AADT - SH 412B (Recon.)</t>
  </si>
  <si>
    <t>BFFS</t>
  </si>
  <si>
    <t>Fa</t>
  </si>
  <si>
    <t>Flw</t>
  </si>
  <si>
    <t>Ftlc</t>
  </si>
  <si>
    <t>Fm</t>
  </si>
  <si>
    <t>Frlc</t>
  </si>
  <si>
    <t>Ftrd</t>
  </si>
  <si>
    <t>Free Flow Speed</t>
  </si>
  <si>
    <t>Fls</t>
  </si>
  <si>
    <t>Capacity (vphpl)</t>
  </si>
  <si>
    <t>US-412/SH-412B Interchange</t>
  </si>
  <si>
    <t>SH-412B Roundabout</t>
  </si>
  <si>
    <t>Patrol Road Improvements</t>
  </si>
  <si>
    <t>Williams Street Improvements</t>
  </si>
  <si>
    <t>SH-412B North Reconstruction</t>
  </si>
  <si>
    <t>Zarrow Street Widening</t>
  </si>
  <si>
    <t>Rocket Road Improvements</t>
  </si>
  <si>
    <t>SOx</t>
  </si>
  <si>
    <t>Emission Parameters and Assumptions</t>
  </si>
  <si>
    <t>Assumed miles per gallon (MPG)</t>
  </si>
  <si>
    <t>NOx emission rate (grams per mile)</t>
  </si>
  <si>
    <t>SOx ppm per gallon</t>
  </si>
  <si>
    <t>Coverstion rate grams to metric tons</t>
  </si>
  <si>
    <t>Gasoline</t>
  </si>
  <si>
    <t>Diesel</t>
  </si>
  <si>
    <t>Gasoline (Tier 3)</t>
  </si>
  <si>
    <t>Parameter</t>
  </si>
  <si>
    <t>Fuel Type</t>
  </si>
  <si>
    <t>Conversition rate SOx parts per million (ppm) to metric tons / gal</t>
  </si>
  <si>
    <t>Based on EPA site reference in BCA guidance.</t>
  </si>
  <si>
    <t>Based on Iowa specific data from Geotab.</t>
  </si>
  <si>
    <t>Alpha</t>
  </si>
  <si>
    <t>Based on light duty vehicles (2020) from BTS.</t>
  </si>
  <si>
    <t>Based on heavy duty vehicles (2020) from BTS.</t>
  </si>
  <si>
    <t>Based on EPA requirement.</t>
  </si>
  <si>
    <t>Beta</t>
  </si>
  <si>
    <t>Based on avg. light duty vehicles/trucks (exhaust + breakwear + tirewear) (2020) from BTS</t>
  </si>
  <si>
    <t>Based on heavy duty vehicles/trucks (exhaust + breakwear + tirewear) (2020) from BTS</t>
  </si>
  <si>
    <t>Based on SO2 molecular weight.</t>
  </si>
  <si>
    <t>Notes</t>
  </si>
  <si>
    <t>https://www.epa.gov/energy/greenhouse-gases-equivalencies-calculator-calculations-and-references</t>
  </si>
  <si>
    <t>https://www.geotab.com/truck-mpg-benchmark/</t>
  </si>
  <si>
    <t>https://www.transportpolicy.net/standard/us-fuels-diesel-and-gasoline/</t>
  </si>
  <si>
    <t>https://www.bts.gov/content/estimated-national-average-vehicle-emissions-rates-vehicle-vehicle-type-using-gasoline-and</t>
  </si>
  <si>
    <t>https://teesing.com/en/library/tools/ppm-mg3-converter</t>
  </si>
  <si>
    <t>Directional Distribution</t>
  </si>
  <si>
    <t>Autos</t>
  </si>
  <si>
    <t>Emission Factors</t>
  </si>
  <si>
    <t>Trucks (metric tons / mile)</t>
  </si>
  <si>
    <t>Autos (metric tons / mile)</t>
  </si>
  <si>
    <t>Source: Parameters and Assumptions</t>
  </si>
  <si>
    <t>Peak Hour Assumptions</t>
  </si>
  <si>
    <t>Time of Day</t>
  </si>
  <si>
    <t>Peak</t>
  </si>
  <si>
    <t>Volume × Percentage of Daily Travel during Period</t>
  </si>
  <si>
    <t>Non-Peak</t>
  </si>
  <si>
    <t>Volume and Travel Summary</t>
  </si>
  <si>
    <t xml:space="preserve">For the three Build Scenarios, there are no changes in the total number of site-generated traffic volumes.  </t>
  </si>
  <si>
    <t>Refer to Traffic Data tab for relevant AADT volumes per year per segment.</t>
  </si>
  <si>
    <t>Annual Vehicle-Miles Travelled</t>
  </si>
  <si>
    <t>VMT during Peak and Non-Peak Periods</t>
  </si>
  <si>
    <t>Speed</t>
  </si>
  <si>
    <t>Vehicle Miles Travelled ÷ Speed</t>
  </si>
  <si>
    <t>Refer to 'Speed' tab</t>
  </si>
  <si>
    <t>Partial Build</t>
  </si>
  <si>
    <t>Full Build</t>
  </si>
  <si>
    <t>Reduction in Vehicle-Hours of Travel Time</t>
  </si>
  <si>
    <t>(No-Build minus Partial-Build)</t>
  </si>
  <si>
    <t>(No-Build minus Full-Build)</t>
  </si>
  <si>
    <t>Total (NOx - Trucks)</t>
  </si>
  <si>
    <t>Total (NOx - Autos)</t>
  </si>
  <si>
    <t>Total (SOx - Trucks)</t>
  </si>
  <si>
    <t>Total (SOx - Autos)</t>
  </si>
  <si>
    <t>Total (PM2.5 - Trucks)</t>
  </si>
  <si>
    <t>Total (PM2.5 - Autos)</t>
  </si>
  <si>
    <t>Total (CO2 - Trucks)</t>
  </si>
  <si>
    <t>Total (CO2 - Autos)</t>
  </si>
  <si>
    <t>Emission Rates</t>
  </si>
  <si>
    <t>Summary of Emission Rates</t>
  </si>
  <si>
    <t>Summary of Emission Cost</t>
  </si>
  <si>
    <t>Reduction of Emission Cost</t>
  </si>
  <si>
    <t>Scenerio</t>
  </si>
  <si>
    <t>Improved travel times from a result of additional roadways inside the MAIP park.</t>
  </si>
  <si>
    <t>Improved roadway safety by intersection improvments and increasing the number of lanes.</t>
  </si>
  <si>
    <t>Reduced emissions as a result of fewer miles travelled due to additional roadways.</t>
  </si>
  <si>
    <t>Reduced incremental O&amp;M from reconstructing infrastructure beyond state of good repair.</t>
  </si>
  <si>
    <t>Had to reduce from 1738.20%</t>
  </si>
  <si>
    <t>Had to reduce from 318.63%</t>
  </si>
  <si>
    <t>Varies</t>
  </si>
  <si>
    <t>Reduction of Emission Rates</t>
  </si>
  <si>
    <t>Percentage of Automobiles</t>
  </si>
  <si>
    <t>Percentage of Trucks</t>
  </si>
  <si>
    <t>By Location</t>
  </si>
  <si>
    <t>TOTALS</t>
  </si>
  <si>
    <t>2016 to 2021 accident data from ODOT.</t>
  </si>
  <si>
    <t>US-412/SH 412B Interchange</t>
  </si>
  <si>
    <t>US-412/SH-412B</t>
  </si>
  <si>
    <t>SH-412B</t>
  </si>
  <si>
    <t>SH-412B North</t>
  </si>
  <si>
    <t>SH412B (Recon)</t>
  </si>
  <si>
    <t>Estimates from various EPA sources.</t>
  </si>
  <si>
    <t>Comparison - Partial Build</t>
  </si>
  <si>
    <t>Zarrow Road Improvements</t>
  </si>
  <si>
    <t>Comparison - Full Build</t>
  </si>
  <si>
    <t>Build (Partial / Full)</t>
  </si>
  <si>
    <t>Undiscounted (Full Build)</t>
  </si>
  <si>
    <t>Discounted (Full Build)</t>
  </si>
  <si>
    <t>Undiscounted (Partial Build)</t>
  </si>
  <si>
    <t>Discounted (Partial Build)</t>
  </si>
  <si>
    <t>PM 2.5 emission rate (grams per mile)</t>
  </si>
  <si>
    <t>CO2 emmission rate (grams per mile)</t>
  </si>
  <si>
    <t>Truck - NOx Emission Rate</t>
  </si>
  <si>
    <t>Truck - SOx Emission Rate</t>
  </si>
  <si>
    <t>Truck - PM2.5 Emission Rate</t>
  </si>
  <si>
    <t>Truck - CO2 Emission Rate</t>
  </si>
  <si>
    <t>Auto - NOx Emission Rate</t>
  </si>
  <si>
    <t>Auto - SOx Emission Rate</t>
  </si>
  <si>
    <t>Auto - PM2.5 Emission Rate</t>
  </si>
  <si>
    <t>Auto - CO2 Emission Rate</t>
  </si>
  <si>
    <t>ppm / gallon diesel</t>
  </si>
  <si>
    <t>ppm / gallon gasoline</t>
  </si>
  <si>
    <t>Total Env. Sustainability Benefits</t>
  </si>
  <si>
    <t>Avoided Cost of NOx Emissions</t>
  </si>
  <si>
    <t>Avoided Cost of PM 2.5 Emissions</t>
  </si>
  <si>
    <t>Avoided Cost of SOx Emissions</t>
  </si>
  <si>
    <t>Avoided Cost of CO2 Emissions</t>
  </si>
  <si>
    <t>Annual Routine Maintenance, Partial-Build</t>
  </si>
  <si>
    <t>Annual Routine Maintenance, Full-Build</t>
  </si>
  <si>
    <t>Pavement Maintenance, Partial-Build</t>
  </si>
  <si>
    <t>Pavement Maintenace, Full-Build</t>
  </si>
  <si>
    <t>Discounted (2021$)</t>
  </si>
  <si>
    <t>Overall results of the benefit-cost analysis (millions of 2021$)</t>
  </si>
  <si>
    <t>$1,800,000 to resurface 12 lane-miles of asphalt in 2025; $975,000 to resurface 6.5 lane miles in 2045.
$600,000 to rehab 3.5 miles of gravel road every 10 years.
$7,675,000 to reconstruct US-412B North within 10 years;
$125,000 to restripe pavement every 5 years</t>
  </si>
  <si>
    <t>$4,050,000 every 20 years to resurface 27 lane-miles of asphalt; 
$250,000 to restripe pavement every 5 years</t>
  </si>
  <si>
    <t>$5,250,000 every 20 years to resurface 35 lane-miles of asphalt; 
$300,000 to restripe pavement every 5 years</t>
  </si>
  <si>
    <t>Annual Routine Cost</t>
  </si>
  <si>
    <t>Pavement</t>
  </si>
  <si>
    <t>https://www.cmfclearinghouse.org/detail.php?facid=7570</t>
  </si>
  <si>
    <t>Undiscounted (Partial-Build)</t>
  </si>
  <si>
    <t>Discounted (Partial-Build)</t>
  </si>
  <si>
    <t>Undiscounted (Full-Build)</t>
  </si>
  <si>
    <t>Discounted (Full-Build)</t>
  </si>
  <si>
    <t>Sources</t>
  </si>
  <si>
    <t>CMF IDs</t>
  </si>
  <si>
    <t>7570, 4397, 4399</t>
  </si>
  <si>
    <t>https://www.cmfclearinghouse.org/detail.php?facid=9305</t>
  </si>
  <si>
    <t>US 412/SH-412B Interchange </t>
  </si>
  <si>
    <t>SH-412B - Roundabout </t>
  </si>
  <si>
    <t>Patrol Road Improvements </t>
  </si>
  <si>
    <t>Williams Street Improvements </t>
  </si>
  <si>
    <t>Zarrow Street Widening </t>
  </si>
  <si>
    <t>Rocket Road Improvements </t>
  </si>
  <si>
    <t>Estimated safety benefits ($)</t>
  </si>
  <si>
    <t>Estimated safety benefits (# Crashes)</t>
  </si>
  <si>
    <t>Avoided Fatality Crashes</t>
  </si>
  <si>
    <t>Avoided Injury Crashes</t>
  </si>
  <si>
    <t>Avoided PDO Crashes</t>
  </si>
  <si>
    <t>Estimated environmental sustainability benefits ($)</t>
  </si>
  <si>
    <t>Estimated environmental sustainability benefits (emission)</t>
  </si>
  <si>
    <t>Avoided NOx Emissions (Metric Tons)</t>
  </si>
  <si>
    <t>Avoided SOx Emissions (Metric Tons)</t>
  </si>
  <si>
    <t>Avoided PM 2.5 Emissions (Metric Tons)</t>
  </si>
  <si>
    <t>Avoided CO2 Emissions (Metric Tons)</t>
  </si>
  <si>
    <t>Roadway</t>
  </si>
  <si>
    <t>US 69 and US 412 Data from ODOT interactive AADT map. Other roadways are assumed.</t>
  </si>
  <si>
    <t>Travel Time Savings (Hours of Time)</t>
  </si>
  <si>
    <t>Travel Time Savings (Monetized)</t>
  </si>
  <si>
    <t>Capital costs by year</t>
  </si>
  <si>
    <t>Pedestrian and Bike Elements</t>
  </si>
  <si>
    <t>Operating Cost Savings</t>
  </si>
  <si>
    <t>Safety Benefits</t>
  </si>
  <si>
    <t>Emissinon Reduction Benefits</t>
  </si>
  <si>
    <t>Facility and Vechicle Amenity Benefits / Heath Benefits</t>
  </si>
  <si>
    <t>Addition of hike and bike trails along MAIP local roadways.</t>
  </si>
  <si>
    <t>NOx Emissions Savings</t>
  </si>
  <si>
    <t>SOx Emissions Savings</t>
  </si>
  <si>
    <t>PM2.5 Emissions Savings</t>
  </si>
  <si>
    <t>CO2 Emissions Savings</t>
  </si>
  <si>
    <t>Begin</t>
  </si>
  <si>
    <t>AADT (No Build)</t>
  </si>
  <si>
    <t>AADT (Partial Build)</t>
  </si>
  <si>
    <t>AADT (Full Build)</t>
  </si>
  <si>
    <t>VMT (No Build)</t>
  </si>
  <si>
    <t>VMT (Partial Build)</t>
  </si>
  <si>
    <t>VMT (Full Build)</t>
  </si>
  <si>
    <t>Full Build Project Costs by Year (2021$)</t>
  </si>
  <si>
    <t>Partial Build Project Costs by Year (2021$)</t>
  </si>
  <si>
    <t>VHT (No Build)</t>
  </si>
  <si>
    <t>VHT (Partial Build)</t>
  </si>
  <si>
    <t>VHT (Full Build)</t>
  </si>
  <si>
    <t>VHT Project Data</t>
  </si>
  <si>
    <t>VMT Project Data</t>
  </si>
  <si>
    <t>AADT Project Data</t>
  </si>
  <si>
    <r>
      <t>Project</t>
    </r>
    <r>
      <rPr>
        <sz val="12"/>
        <color theme="0"/>
        <rFont val="Times New Roman"/>
        <family val="1"/>
      </rPr>
      <t> </t>
    </r>
  </si>
  <si>
    <r>
      <t>Project Cost</t>
    </r>
    <r>
      <rPr>
        <sz val="12"/>
        <color theme="0"/>
        <rFont val="Times New Roman"/>
        <family val="1"/>
      </rPr>
      <t> </t>
    </r>
  </si>
  <si>
    <t>Capital costs by Project</t>
  </si>
  <si>
    <r>
      <t>Total Project Costs</t>
    </r>
    <r>
      <rPr>
        <b/>
        <sz val="12"/>
        <rFont val="Times New Roman"/>
        <family val="1"/>
      </rPr>
      <t> </t>
    </r>
  </si>
  <si>
    <r>
      <t>Partial Build Subtotal</t>
    </r>
    <r>
      <rPr>
        <b/>
        <sz val="12"/>
        <rFont val="Times New Roman"/>
        <family val="1"/>
      </rPr>
      <t> </t>
    </r>
  </si>
  <si>
    <t>Local Streets</t>
  </si>
  <si>
    <t>CMF Sources</t>
  </si>
  <si>
    <t>Partial</t>
  </si>
  <si>
    <t>Full</t>
  </si>
  <si>
    <t>Total (Millions of Dollars)</t>
  </si>
  <si>
    <t>($) 2023 - Partial Build</t>
  </si>
  <si>
    <t>($) 2023 - Full Build</t>
  </si>
  <si>
    <t>Daily Volume x annualizationFactor days/yr. x Length</t>
  </si>
  <si>
    <t>U.S. DOT Benefit-Cost Analysis Guidance for Discretionary Grant Programs, Table A-1, "Value of Reduced Fatalities and Injuries" (January 2023)</t>
  </si>
  <si>
    <t>Vehicle Category</t>
  </si>
  <si>
    <t>Conversion Factors</t>
  </si>
  <si>
    <t xml:space="preserve">Assumptions: These represent a one-hour peak period. </t>
  </si>
  <si>
    <t xml:space="preserve">Developed Land / Gross </t>
  </si>
  <si>
    <t>Employee/SF</t>
  </si>
  <si>
    <t>Zone</t>
  </si>
  <si>
    <t>Area (acres)</t>
  </si>
  <si>
    <t>Area (SF GFA)</t>
  </si>
  <si>
    <t>Dev. GFA</t>
  </si>
  <si>
    <t>KSF</t>
  </si>
  <si>
    <t>ADT</t>
  </si>
  <si>
    <t>AM PEAK</t>
  </si>
  <si>
    <t>AM-IN</t>
  </si>
  <si>
    <t>AM-OUT</t>
  </si>
  <si>
    <t>PM PEAK</t>
  </si>
  <si>
    <t>PM-IN</t>
  </si>
  <si>
    <t>PM-OUT</t>
  </si>
  <si>
    <t>OFF-PEAK</t>
  </si>
  <si>
    <t>OFF-IN</t>
  </si>
  <si>
    <t>OFF-OUT</t>
  </si>
  <si>
    <t>Begin Construction</t>
  </si>
  <si>
    <t>50% Buildout</t>
  </si>
  <si>
    <t>Full Buildout</t>
  </si>
  <si>
    <t>4A</t>
  </si>
  <si>
    <t>4B</t>
  </si>
  <si>
    <t>4C</t>
  </si>
  <si>
    <t>Background Growth</t>
  </si>
  <si>
    <t>Other Highways</t>
  </si>
  <si>
    <t>Interior Roadways</t>
  </si>
  <si>
    <t>Land use code</t>
  </si>
  <si>
    <t>Name</t>
  </si>
  <si>
    <t xml:space="preserve">Percentage </t>
  </si>
  <si>
    <t>Daily</t>
  </si>
  <si>
    <t>AM</t>
  </si>
  <si>
    <t>PM</t>
  </si>
  <si>
    <t>General Light Industrial</t>
  </si>
  <si>
    <t>Industrial Park</t>
  </si>
  <si>
    <t>Manufacturing</t>
  </si>
  <si>
    <t>Warehousing</t>
  </si>
  <si>
    <t>High-cube Warehouse</t>
  </si>
  <si>
    <t>Data Center</t>
  </si>
  <si>
    <t>No-Build Scenario</t>
  </si>
  <si>
    <t>Trip Gen (ADT)</t>
  </si>
  <si>
    <t>Distribution (%)</t>
  </si>
  <si>
    <t>Base + Site-Gen (ADT)</t>
  </si>
  <si>
    <t>Partial-Build Scenario</t>
  </si>
  <si>
    <t>Full-Build Scenario</t>
  </si>
  <si>
    <t>Change in Parameter</t>
  </si>
  <si>
    <t>Change in NPV</t>
  </si>
  <si>
    <t>BCR</t>
  </si>
  <si>
    <t>Parameters</t>
  </si>
  <si>
    <t>Baseline</t>
  </si>
  <si>
    <t>No Change</t>
  </si>
  <si>
    <t>Sensitivity Analysis (Partial Build)</t>
  </si>
  <si>
    <t>Net Present Value (NPV)</t>
  </si>
  <si>
    <t>Change discount rate to 3%</t>
  </si>
  <si>
    <t>Increase capital cost by 20%</t>
  </si>
  <si>
    <t>Decrease capital cost by 20%</t>
  </si>
  <si>
    <t>Reduce development traffic by 40%</t>
  </si>
  <si>
    <t>Increase development traffic by 40%</t>
  </si>
  <si>
    <t>Increase VMT by 25%</t>
  </si>
  <si>
    <t>Decrease VMT by 25%</t>
  </si>
  <si>
    <t>Development Generated Traffic</t>
  </si>
  <si>
    <t>Peak Hours</t>
  </si>
  <si>
    <t>Vehicle Miles Travelled (VMT)</t>
  </si>
  <si>
    <t>Sensitivity Analysis (Full Build)</t>
  </si>
  <si>
    <t>Conventional Highway</t>
  </si>
  <si>
    <t>Based on HCM 6.0 - Chapters 12 &amp; 15</t>
  </si>
  <si>
    <t>Freeway</t>
  </si>
  <si>
    <t>Expressway</t>
  </si>
  <si>
    <t>HOV &amp; HOT Lanes</t>
  </si>
  <si>
    <t>Capacity</t>
  </si>
  <si>
    <t>ROAD TYPE</t>
  </si>
  <si>
    <t>2000*</t>
  </si>
  <si>
    <t>* See speed based values from HCM 6.0 - Chapter 12</t>
  </si>
  <si>
    <t>Conventional Highway**</t>
  </si>
  <si>
    <t>** Assumes Class III Highway with capacity limited by ATS (Average Travel Speed)</t>
  </si>
  <si>
    <t>FREEWAYS</t>
  </si>
  <si>
    <t>MULTILANE HIGHWAYS</t>
  </si>
  <si>
    <t>2-LANE HIGHWAYS</t>
  </si>
  <si>
    <t>FROM HCM VERSION 6.0 and BPR</t>
  </si>
  <si>
    <t>Capital Cost (Discounted)</t>
  </si>
  <si>
    <t>Increase total number of peak hours to 6 with 40% share of traffic</t>
  </si>
  <si>
    <t>Decrease total number of peak hours to 2 with 20% share of traffic</t>
  </si>
  <si>
    <t>Sensitivity</t>
  </si>
  <si>
    <t>Discounted Benefits by Category (Partial Build)</t>
  </si>
  <si>
    <t>Annual Discounted Benefits and Costs (Partial Build)</t>
  </si>
  <si>
    <t>Discounted Benefits by Category (Full Build)</t>
  </si>
  <si>
    <t>Annual Discounted Benefits and Costs (Full Build)</t>
  </si>
  <si>
    <t>Chart Data: Discounted Benefits (Partial Build)</t>
  </si>
  <si>
    <t>Partial Build Benefits</t>
  </si>
  <si>
    <t>Chart Data: Discounted Benefits (Full Build)</t>
  </si>
  <si>
    <t>Full Build Benefits</t>
  </si>
  <si>
    <t>SH-412B Improvements</t>
  </si>
  <si>
    <t>Using USDOT Dec 2023 Update</t>
  </si>
  <si>
    <t>Adjustment Factor, 2024$ to 2022$</t>
  </si>
  <si>
    <t>2022$ per 2024$</t>
  </si>
  <si>
    <t>Fatal</t>
  </si>
  <si>
    <t>Injurty</t>
  </si>
  <si>
    <t>Totals</t>
  </si>
  <si>
    <t>Construction Contingency</t>
  </si>
  <si>
    <t>Adjustment Factor to 2022 dollars</t>
  </si>
  <si>
    <t xml:space="preserve">[Index numbers, 2017=100] Seasonally adjusted </t>
  </si>
  <si>
    <t>Last Revised on: April 25, 2024 - Next Release Date May 30,2024</t>
  </si>
  <si>
    <t>2022 (Q1)</t>
  </si>
  <si>
    <t>2023 (Q1)</t>
  </si>
  <si>
    <t>2024 (Q1)</t>
  </si>
  <si>
    <t>Assumed values as per U.S. DOT Benefit-Cost Analysis Guidance for Discretionary Grant Programs, December 2023.</t>
  </si>
  <si>
    <t>2022$/hour</t>
  </si>
  <si>
    <t>2022$/Crash</t>
  </si>
  <si>
    <t>(Improvements)</t>
  </si>
  <si>
    <t>(2022$/metric ton)</t>
  </si>
  <si>
    <t>Source: USDOT Benefit-Cost Analysis Guidance for Discretionary Grant Programs. December 2023</t>
  </si>
  <si>
    <t>Note: Emission costss for 2021 &amp; 2022 are set to 0 for convenience (to avoid lookup errors). Since 2020 falls outside the project schedule, this has no effect on the analysis.</t>
  </si>
  <si>
    <t>Crash Costs (2022$)</t>
  </si>
  <si>
    <t>Avoided Crash Costs (2022$)</t>
  </si>
  <si>
    <t>Avoided Crash Costs by Severity (2022$)</t>
  </si>
  <si>
    <t>Undiscounted (2022$)</t>
  </si>
  <si>
    <t>($) 2022 - Partial Build</t>
  </si>
  <si>
    <t>($) 2022 - Full Build</t>
  </si>
  <si>
    <t>US DOT, Benefit-Cost Analysis Guidance for Discretionary Grants Program, December 2023; Table A-6.</t>
  </si>
  <si>
    <t>2024$</t>
  </si>
  <si>
    <t>Discounted (2022$)</t>
  </si>
  <si>
    <t>Discounted (2022$) - in milllions</t>
  </si>
  <si>
    <t>Difference Between No Build and Full Build</t>
  </si>
  <si>
    <t>Difference Between No Build and Partial Build</t>
  </si>
  <si>
    <t>Avoided Time Costs (for analysis years)</t>
  </si>
  <si>
    <t>for analysis years</t>
  </si>
  <si>
    <t>Rural 2024 Grant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</si>
</sst>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6" formatCode="&quot;$&quot;#,##0_);[Red]\(&quot;$&quot;#,##0\)"/>
    <numFmt numFmtId="7" formatCode="&quot;$&quot;#,##0.00_);\(&quot;$&quot;#,##0.00\)"/>
    <numFmt numFmtId="42" formatCode="_(&quot;$&quot;* #,##0_);_(&quot;$&quot;* \(#,##0\);_(&quot;$&quot;* &quot;-&quot;_);_(@_)"/>
    <numFmt numFmtId="44" formatCode="_(&quot;$&quot;* #,##0.00_);_(&quot;$&quot;* \(#,##0.00\);_(&quot;$&quot;* &quot;-&quot;??_);_(@_)"/>
    <numFmt numFmtId="164" formatCode="&quot;$&quot;#,##0.00"/>
    <numFmt numFmtId="165" formatCode="&quot;$&quot;#,##0"/>
    <numFmt numFmtId="166" formatCode="0.0%"/>
    <numFmt numFmtId="167" formatCode="0.0000"/>
    <numFmt numFmtId="168" formatCode="0.000"/>
    <numFmt numFmtId="169" formatCode="&quot;$&quot;#,##0;\-&quot;$&quot;#,##0;&quot;-&quot;_)"/>
    <numFmt numFmtId="170" formatCode="#,##0;\-#,##0;&quot;-&quot;_)"/>
    <numFmt numFmtId="171" formatCode="0.0"/>
    <numFmt numFmtId="172" formatCode="#,##0.0"/>
    <numFmt numFmtId="173" formatCode="&quot;$&quot;#,##0.0,,\ &quot;M&quot;;\-&quot;$&quot;#,##0.0,,\ &quot;M&quot;;&quot;$&quot;\ &quot;-&quot;"/>
    <numFmt numFmtId="174" formatCode="[$-409]mmmm\ d\,\ yyyy;@"/>
    <numFmt numFmtId="175" formatCode="#,##0.0000"/>
    <numFmt numFmtId="176" formatCode="0.00000"/>
    <numFmt numFmtId="177" formatCode="_(&quot;$&quot;* #,##0_);_(&quot;$&quot;* \(#,##0\);_(&quot;$&quot;* &quot;-&quot;??_);_(@_)"/>
    <numFmt numFmtId="178" formatCode="#,##0.00;\-#,##0.00;&quot;-&quot;_)"/>
    <numFmt numFmtId="179" formatCode="&quot;$&quot;#,##0.0,,;\-&quot;$&quot;#,##0.0,,;&quot;$&quot;\ &quot;-&quot;"/>
    <numFmt numFmtId="180" formatCode="#,##0;;&quot;-&quot;"/>
    <numFmt numFmtId="181" formatCode="#,##0.000"/>
    <numFmt numFmtId="182" formatCode="&quot;$&quot;#,##0.0"/>
    <numFmt numFmtId="183" formatCode="0.00000E+00"/>
    <numFmt numFmtId="184" formatCode="&quot;$&quot;#,##0.000000000_);[Red]\(&quot;$&quot;#,##0.000000000\)"/>
    <numFmt numFmtId="185" formatCode="0.00_);[Red]\(0.00\)"/>
  </numFmts>
  <fonts count="84" x14ac:knownFonts="1">
    <font>
      <sz val="11"/>
      <name val="Arial"/>
      <family val="2"/>
      <scheme val="minor"/>
    </font>
    <font>
      <sz val="11"/>
      <color theme="1"/>
      <name val="Arial"/>
      <family val="2"/>
      <scheme val="minor"/>
    </font>
    <font>
      <b/>
      <sz val="11"/>
      <color theme="0"/>
      <name val="Arial"/>
      <family val="2"/>
      <scheme val="minor"/>
    </font>
    <font>
      <sz val="11"/>
      <color theme="0"/>
      <name val="Arial"/>
      <family val="2"/>
      <scheme val="minor"/>
    </font>
    <font>
      <b/>
      <sz val="11"/>
      <name val="Arial"/>
      <family val="2"/>
      <scheme val="minor"/>
    </font>
    <font>
      <b/>
      <sz val="14"/>
      <color theme="4" tint="-0.499984740745262"/>
      <name val="Arial"/>
      <family val="2"/>
      <scheme val="minor"/>
    </font>
    <font>
      <i/>
      <sz val="11"/>
      <name val="Arial"/>
      <family val="2"/>
      <scheme val="minor"/>
    </font>
    <font>
      <b/>
      <sz val="18"/>
      <color theme="3"/>
      <name val="Arial"/>
      <family val="2"/>
      <scheme val="major"/>
    </font>
    <font>
      <sz val="14"/>
      <color theme="0"/>
      <name val="Arial"/>
      <family val="2"/>
      <scheme val="minor"/>
    </font>
    <font>
      <sz val="11"/>
      <name val="Arial"/>
      <family val="2"/>
      <scheme val="minor"/>
    </font>
    <font>
      <u/>
      <sz val="11"/>
      <color theme="10"/>
      <name val="Arial"/>
      <family val="2"/>
      <scheme val="minor"/>
    </font>
    <font>
      <i/>
      <u/>
      <sz val="11"/>
      <color theme="10"/>
      <name val="Arial"/>
      <family val="2"/>
      <scheme val="minor"/>
    </font>
    <font>
      <b/>
      <sz val="11"/>
      <color theme="3"/>
      <name val="Arial"/>
      <family val="2"/>
      <scheme val="minor"/>
    </font>
    <font>
      <b/>
      <sz val="11"/>
      <color theme="1"/>
      <name val="Arial"/>
      <family val="2"/>
      <scheme val="minor"/>
    </font>
    <font>
      <sz val="12"/>
      <name val="Arial"/>
      <family val="2"/>
      <scheme val="minor"/>
    </font>
    <font>
      <sz val="11"/>
      <color theme="3"/>
      <name val="Arial"/>
      <family val="2"/>
      <scheme val="minor"/>
    </font>
    <font>
      <sz val="11"/>
      <color theme="2" tint="-0.249977111117893"/>
      <name val="Arial"/>
      <family val="2"/>
      <scheme val="minor"/>
    </font>
    <font>
      <b/>
      <sz val="12"/>
      <color theme="3"/>
      <name val="Arial"/>
      <family val="2"/>
      <scheme val="minor"/>
    </font>
    <font>
      <b/>
      <sz val="12"/>
      <name val="Arial"/>
      <family val="2"/>
      <scheme val="minor"/>
    </font>
    <font>
      <b/>
      <sz val="9"/>
      <color theme="0"/>
      <name val="Arial"/>
      <family val="2"/>
      <scheme val="minor"/>
    </font>
    <font>
      <sz val="9"/>
      <color theme="1"/>
      <name val="Arial"/>
      <family val="2"/>
      <scheme val="minor"/>
    </font>
    <font>
      <sz val="10"/>
      <name val="Arial"/>
      <family val="2"/>
      <scheme val="major"/>
    </font>
    <font>
      <sz val="9"/>
      <name val="Arial"/>
      <family val="2"/>
      <scheme val="minor"/>
    </font>
    <font>
      <b/>
      <sz val="9"/>
      <name val="Arial"/>
      <family val="2"/>
      <scheme val="minor"/>
    </font>
    <font>
      <sz val="10"/>
      <name val="Arial"/>
      <family val="2"/>
      <scheme val="minor"/>
    </font>
    <font>
      <b/>
      <sz val="9"/>
      <name val="Arial"/>
      <family val="2"/>
      <scheme val="major"/>
    </font>
    <font>
      <u/>
      <sz val="11"/>
      <color theme="10"/>
      <name val="Calibri"/>
      <family val="2"/>
    </font>
    <font>
      <b/>
      <sz val="12"/>
      <color theme="0"/>
      <name val="Arial"/>
      <family val="2"/>
    </font>
    <font>
      <sz val="9"/>
      <color theme="0"/>
      <name val="Arial"/>
      <family val="2"/>
    </font>
    <font>
      <sz val="10"/>
      <color theme="0"/>
      <name val="Arial"/>
      <family val="2"/>
      <scheme val="minor"/>
    </font>
    <font>
      <b/>
      <i/>
      <sz val="10"/>
      <name val="Arial"/>
      <family val="2"/>
    </font>
    <font>
      <sz val="10"/>
      <name val="Arial"/>
      <family val="2"/>
    </font>
    <font>
      <sz val="10"/>
      <color indexed="16"/>
      <name val="Arial"/>
      <family val="2"/>
    </font>
    <font>
      <b/>
      <sz val="10"/>
      <color indexed="18"/>
      <name val="Arial"/>
      <family val="2"/>
    </font>
    <font>
      <b/>
      <sz val="10"/>
      <name val="Arial"/>
      <family val="2"/>
    </font>
    <font>
      <i/>
      <sz val="10"/>
      <name val="Arial"/>
      <family val="2"/>
    </font>
    <font>
      <sz val="18"/>
      <color theme="3"/>
      <name val="Arial"/>
      <family val="2"/>
      <scheme val="major"/>
    </font>
    <font>
      <b/>
      <u val="singleAccounting"/>
      <sz val="11"/>
      <color theme="1"/>
      <name val="Arial"/>
      <family val="2"/>
      <scheme val="minor"/>
    </font>
    <font>
      <b/>
      <i/>
      <sz val="11"/>
      <name val="Arial"/>
      <family val="2"/>
      <scheme val="minor"/>
    </font>
    <font>
      <sz val="11"/>
      <color theme="1" tint="0.34998626667073579"/>
      <name val="Arial"/>
      <family val="2"/>
      <scheme val="minor"/>
    </font>
    <font>
      <b/>
      <sz val="18"/>
      <color theme="4" tint="-0.499984740745262"/>
      <name val="Arial"/>
      <family val="2"/>
      <scheme val="major"/>
    </font>
    <font>
      <sz val="18"/>
      <color theme="4" tint="-0.499984740745262"/>
      <name val="Arial"/>
      <family val="2"/>
      <scheme val="minor"/>
    </font>
    <font>
      <sz val="18"/>
      <name val="Arial"/>
      <family val="2"/>
      <scheme val="minor"/>
    </font>
    <font>
      <b/>
      <sz val="10"/>
      <name val="Arial"/>
      <family val="2"/>
      <scheme val="minor"/>
    </font>
    <font>
      <b/>
      <sz val="9"/>
      <color rgb="FFFFFFFF"/>
      <name val="Arial"/>
      <family val="2"/>
      <scheme val="minor"/>
    </font>
    <font>
      <sz val="9"/>
      <color rgb="FF000000"/>
      <name val="Arial"/>
      <family val="2"/>
      <scheme val="minor"/>
    </font>
    <font>
      <b/>
      <sz val="9"/>
      <color rgb="FF000000"/>
      <name val="Arial"/>
      <family val="2"/>
      <scheme val="minor"/>
    </font>
    <font>
      <b/>
      <sz val="14"/>
      <name val="Arial"/>
      <family val="2"/>
      <scheme val="minor"/>
    </font>
    <font>
      <b/>
      <sz val="14"/>
      <color theme="9" tint="-0.249977111117893"/>
      <name val="Arial"/>
      <family val="2"/>
      <scheme val="minor"/>
    </font>
    <font>
      <b/>
      <u/>
      <sz val="14"/>
      <color theme="9" tint="-0.249977111117893"/>
      <name val="Arial"/>
      <family val="2"/>
      <scheme val="minor"/>
    </font>
    <font>
      <sz val="8"/>
      <name val="Arial"/>
      <family val="2"/>
      <scheme val="minor"/>
    </font>
    <font>
      <i/>
      <sz val="11"/>
      <color theme="5"/>
      <name val="Arial"/>
      <family val="2"/>
      <scheme val="minor"/>
    </font>
    <font>
      <sz val="10"/>
      <color rgb="FF000000"/>
      <name val="Arial"/>
      <family val="2"/>
      <scheme val="minor"/>
    </font>
    <font>
      <sz val="11"/>
      <color rgb="FF000000"/>
      <name val="Arial"/>
      <family val="2"/>
      <scheme val="minor"/>
    </font>
    <font>
      <b/>
      <sz val="11"/>
      <name val="Arial"/>
      <family val="2"/>
    </font>
    <font>
      <sz val="11"/>
      <name val="Arial"/>
      <family val="2"/>
    </font>
    <font>
      <sz val="10"/>
      <name val="Arial"/>
      <family val="2"/>
    </font>
    <font>
      <sz val="12"/>
      <color theme="1"/>
      <name val="Times New Roman"/>
      <family val="1"/>
    </font>
    <font>
      <b/>
      <sz val="18"/>
      <color theme="9" tint="-0.249977111117893"/>
      <name val="Arial"/>
      <family val="2"/>
      <scheme val="major"/>
    </font>
    <font>
      <b/>
      <sz val="18"/>
      <color theme="3"/>
      <name val="Arial"/>
      <family val="2"/>
      <scheme val="major"/>
    </font>
    <font>
      <sz val="11"/>
      <color rgb="FFFF0000"/>
      <name val="Arial"/>
      <family val="2"/>
      <scheme val="minor"/>
    </font>
    <font>
      <i/>
      <sz val="11"/>
      <color rgb="FFFF0000"/>
      <name val="Arial"/>
      <family val="2"/>
      <scheme val="minor"/>
    </font>
    <font>
      <sz val="11"/>
      <name val="Arial"/>
      <family val="2"/>
    </font>
    <font>
      <b/>
      <sz val="10"/>
      <color rgb="FFFFFFFF"/>
      <name val="Arial"/>
      <family val="2"/>
      <scheme val="minor"/>
    </font>
    <font>
      <b/>
      <sz val="14"/>
      <color rgb="FF598E17"/>
      <name val="Arial"/>
      <family val="2"/>
      <scheme val="minor"/>
    </font>
    <font>
      <b/>
      <sz val="11"/>
      <color rgb="FF598E17"/>
      <name val="Arial"/>
      <family val="2"/>
      <scheme val="minor"/>
    </font>
    <font>
      <b/>
      <sz val="11"/>
      <color theme="9" tint="-0.249977111117893"/>
      <name val="Arial"/>
      <family val="2"/>
      <scheme val="minor"/>
    </font>
    <font>
      <sz val="10"/>
      <color theme="9" tint="-0.249977111117893"/>
      <name val="Arial"/>
      <family val="2"/>
      <scheme val="minor"/>
    </font>
    <font>
      <sz val="10"/>
      <name val="Arial"/>
      <family val="2"/>
    </font>
    <font>
      <b/>
      <sz val="11"/>
      <name val="Arial"/>
      <family val="2"/>
    </font>
    <font>
      <b/>
      <sz val="12"/>
      <name val="Times New Roman"/>
      <family val="1"/>
    </font>
    <font>
      <sz val="14"/>
      <color rgb="FFFF0000"/>
      <name val="Arial"/>
      <family val="2"/>
      <scheme val="minor"/>
    </font>
    <font>
      <b/>
      <sz val="9"/>
      <name val="Arial"/>
      <family val="2"/>
      <scheme val="major"/>
    </font>
    <font>
      <sz val="12"/>
      <color theme="0"/>
      <name val="Times New Roman"/>
      <family val="1"/>
    </font>
    <font>
      <b/>
      <sz val="11"/>
      <color rgb="FF000000"/>
      <name val="Calibri"/>
      <family val="2"/>
    </font>
    <font>
      <sz val="11"/>
      <color rgb="FF000000"/>
      <name val="Calibri"/>
      <family val="2"/>
    </font>
    <font>
      <b/>
      <sz val="10"/>
      <color rgb="FF000000"/>
      <name val="Arial"/>
      <family val="2"/>
      <scheme val="minor"/>
    </font>
    <font>
      <sz val="10"/>
      <color rgb="FF000000"/>
      <name val="Arial"/>
      <family val="2"/>
      <scheme val="minor"/>
    </font>
    <font>
      <sz val="10"/>
      <color rgb="FF000000"/>
      <name val="Calibri"/>
      <family val="2"/>
    </font>
    <font>
      <sz val="11"/>
      <color rgb="FF000000"/>
      <name val="Arial"/>
      <family val="2"/>
      <scheme val="minor"/>
    </font>
    <font>
      <sz val="11"/>
      <color rgb="FF444444"/>
      <name val="Consolas"/>
      <family val="3"/>
    </font>
    <font>
      <b/>
      <sz val="18"/>
      <name val="Arial"/>
      <family val="2"/>
      <scheme val="minor"/>
    </font>
    <font>
      <b/>
      <sz val="16"/>
      <name val="Arial"/>
      <family val="2"/>
      <scheme val="minor"/>
    </font>
    <font>
      <sz val="9"/>
      <color rgb="FFFF0000"/>
      <name val="Arial"/>
      <family val="2"/>
      <scheme val="minor"/>
    </font>
  </fonts>
  <fills count="20">
    <fill>
      <patternFill patternType="none"/>
    </fill>
    <fill>
      <patternFill patternType="gray125"/>
    </fill>
    <fill>
      <patternFill patternType="solid">
        <fgColor theme="4"/>
      </patternFill>
    </fill>
    <fill>
      <patternFill patternType="solid">
        <fgColor theme="4" tint="-0.24994659260841701"/>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0.59996337778862885"/>
        <bgColor indexed="64"/>
      </patternFill>
    </fill>
    <fill>
      <patternFill patternType="solid">
        <fgColor theme="2" tint="0.79998168889431442"/>
        <bgColor indexed="64"/>
      </patternFill>
    </fill>
    <fill>
      <patternFill patternType="solid">
        <fgColor indexed="26"/>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DEDEB"/>
        <bgColor indexed="64"/>
      </patternFill>
    </fill>
    <fill>
      <patternFill patternType="solid">
        <fgColor theme="9" tint="-0.249977111117893"/>
        <bgColor indexed="64"/>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DCDCD8"/>
        <bgColor rgb="FF000000"/>
      </patternFill>
    </fill>
    <fill>
      <patternFill patternType="solid">
        <fgColor theme="2" tint="0.59999389629810485"/>
        <bgColor indexed="64"/>
      </patternFill>
    </fill>
    <fill>
      <patternFill patternType="solid">
        <fgColor theme="3" tint="0.79998168889431442"/>
        <bgColor indexed="64"/>
      </patternFill>
    </fill>
  </fills>
  <borders count="175">
    <border>
      <left/>
      <right/>
      <top/>
      <bottom/>
      <diagonal/>
    </border>
    <border>
      <left/>
      <right/>
      <top/>
      <bottom style="medium">
        <color theme="4" tint="0.39997558519241921"/>
      </bottom>
      <diagonal/>
    </border>
    <border>
      <left/>
      <right/>
      <top style="thin">
        <color theme="4"/>
      </top>
      <bottom style="double">
        <color theme="4"/>
      </bottom>
      <diagonal/>
    </border>
    <border>
      <left/>
      <right/>
      <top/>
      <bottom style="thin">
        <color theme="2" tint="-0.249977111117893"/>
      </bottom>
      <diagonal/>
    </border>
    <border>
      <left/>
      <right/>
      <top style="thin">
        <color theme="2" tint="-0.249977111117893"/>
      </top>
      <bottom style="thin">
        <color theme="2" tint="-0.249977111117893"/>
      </bottom>
      <diagonal/>
    </border>
    <border>
      <left/>
      <right/>
      <top style="thin">
        <color theme="2" tint="-0.249977111117893"/>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A6A6A6"/>
      </top>
      <bottom style="thin">
        <color rgb="FFA6A6A6"/>
      </bottom>
      <diagonal/>
    </border>
    <border>
      <left/>
      <right style="thin">
        <color theme="0" tint="-0.34998626667073579"/>
      </right>
      <top/>
      <bottom style="thin">
        <color rgb="FFA6A6A6"/>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2" tint="-0.249977111117893"/>
      </bottom>
      <diagonal/>
    </border>
    <border>
      <left/>
      <right style="thin">
        <color indexed="64"/>
      </right>
      <top/>
      <bottom style="thin">
        <color theme="2" tint="-0.249977111117893"/>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2" tint="-0.249977111117893"/>
      </top>
      <bottom style="medium">
        <color indexed="64"/>
      </bottom>
      <diagonal/>
    </border>
    <border>
      <left/>
      <right/>
      <top style="thin">
        <color theme="2" tint="-0.249977111117893"/>
      </top>
      <bottom style="medium">
        <color indexed="64"/>
      </bottom>
      <diagonal/>
    </border>
    <border>
      <left style="thin">
        <color indexed="64"/>
      </left>
      <right/>
      <top style="thin">
        <color theme="2" tint="-0.249977111117893"/>
      </top>
      <bottom style="medium">
        <color indexed="64"/>
      </bottom>
      <diagonal/>
    </border>
    <border>
      <left/>
      <right style="medium">
        <color indexed="64"/>
      </right>
      <top style="thin">
        <color theme="2" tint="-0.249977111117893"/>
      </top>
      <bottom style="medium">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theme="2" tint="-0.249977111117893"/>
      </bottom>
      <diagonal/>
    </border>
    <border>
      <left/>
      <right/>
      <top style="medium">
        <color indexed="64"/>
      </top>
      <bottom style="thin">
        <color theme="2" tint="-0.249977111117893"/>
      </bottom>
      <diagonal/>
    </border>
    <border>
      <left style="medium">
        <color indexed="64"/>
      </left>
      <right/>
      <top style="thin">
        <color theme="2" tint="-0.249977111117893"/>
      </top>
      <bottom style="thin">
        <color theme="2" tint="-0.249977111117893"/>
      </bottom>
      <diagonal/>
    </border>
    <border>
      <left/>
      <right style="medium">
        <color indexed="64"/>
      </right>
      <top style="thin">
        <color theme="2" tint="-0.249977111117893"/>
      </top>
      <bottom style="thin">
        <color theme="2" tint="-0.249977111117893"/>
      </bottom>
      <diagonal/>
    </border>
    <border>
      <left style="thin">
        <color rgb="FFB2B2B2"/>
      </left>
      <right style="thin">
        <color rgb="FFB2B2B2"/>
      </right>
      <top style="thin">
        <color rgb="FFB2B2B2"/>
      </top>
      <bottom style="thin">
        <color rgb="FFB2B2B2"/>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ck">
        <color auto="1"/>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theme="2" tint="-0.249977111117893"/>
      </top>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theme="0" tint="-0.249977111117893"/>
      </bottom>
      <diagonal/>
    </border>
    <border>
      <left/>
      <right/>
      <top style="medium">
        <color indexed="64"/>
      </top>
      <bottom style="thin">
        <color theme="0" tint="-0.249977111117893"/>
      </bottom>
      <diagonal/>
    </border>
    <border>
      <left/>
      <right style="medium">
        <color indexed="64"/>
      </right>
      <top style="medium">
        <color indexed="64"/>
      </top>
      <bottom style="thin">
        <color theme="0" tint="-0.249977111117893"/>
      </bottom>
      <diagonal/>
    </border>
    <border>
      <left style="medium">
        <color indexed="64"/>
      </left>
      <right/>
      <top style="thin">
        <color theme="0" tint="-0.249977111117893"/>
      </top>
      <bottom style="thin">
        <color theme="0" tint="-0.249977111117893"/>
      </bottom>
      <diagonal/>
    </border>
    <border>
      <left/>
      <right style="medium">
        <color indexed="64"/>
      </right>
      <top style="thin">
        <color theme="0" tint="-0.249977111117893"/>
      </top>
      <bottom style="thin">
        <color theme="0" tint="-0.249977111117893"/>
      </bottom>
      <diagonal/>
    </border>
    <border>
      <left style="medium">
        <color indexed="64"/>
      </left>
      <right/>
      <top/>
      <bottom style="thin">
        <color theme="0" tint="-0.249977111117893"/>
      </bottom>
      <diagonal/>
    </border>
    <border>
      <left style="medium">
        <color indexed="64"/>
      </left>
      <right/>
      <top style="thin">
        <color theme="0" tint="-0.249977111117893"/>
      </top>
      <bottom style="medium">
        <color indexed="64"/>
      </bottom>
      <diagonal/>
    </border>
    <border>
      <left/>
      <right/>
      <top style="thin">
        <color theme="0" tint="-0.249977111117893"/>
      </top>
      <bottom style="medium">
        <color indexed="64"/>
      </bottom>
      <diagonal/>
    </border>
    <border>
      <left/>
      <right style="medium">
        <color indexed="64"/>
      </right>
      <top style="thin">
        <color theme="0" tint="-0.249977111117893"/>
      </top>
      <bottom style="medium">
        <color indexed="64"/>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right/>
      <top style="thin">
        <color theme="2" tint="-0.249977111117893"/>
      </top>
      <bottom style="thin">
        <color indexed="64"/>
      </bottom>
      <diagonal/>
    </border>
    <border>
      <left style="thin">
        <color theme="0" tint="-0.249977111117893"/>
      </left>
      <right style="medium">
        <color indexed="64"/>
      </right>
      <top style="medium">
        <color indexed="64"/>
      </top>
      <bottom style="thin">
        <color theme="0" tint="-0.24994659260841701"/>
      </bottom>
      <diagonal/>
    </border>
    <border>
      <left style="thin">
        <color theme="0" tint="-0.249977111117893"/>
      </left>
      <right style="medium">
        <color indexed="64"/>
      </right>
      <top style="thin">
        <color theme="0" tint="-0.24994659260841701"/>
      </top>
      <bottom style="thin">
        <color theme="0" tint="-0.24994659260841701"/>
      </bottom>
      <diagonal/>
    </border>
    <border>
      <left/>
      <right style="medium">
        <color indexed="64"/>
      </right>
      <top/>
      <bottom style="thin">
        <color theme="0" tint="-0.24994659260841701"/>
      </bottom>
      <diagonal/>
    </border>
    <border>
      <left style="thin">
        <color theme="0" tint="-0.249977111117893"/>
      </left>
      <right style="medium">
        <color indexed="64"/>
      </right>
      <top style="thin">
        <color theme="0" tint="-0.24994659260841701"/>
      </top>
      <bottom style="medium">
        <color indexed="64"/>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bottom style="thin">
        <color theme="0" tint="-0.249977111117893"/>
      </bottom>
      <diagonal/>
    </border>
    <border>
      <left style="medium">
        <color indexed="64"/>
      </left>
      <right/>
      <top style="medium">
        <color indexed="64"/>
      </top>
      <bottom style="thin">
        <color rgb="FFA6A6A6"/>
      </bottom>
      <diagonal/>
    </border>
    <border>
      <left/>
      <right/>
      <top style="medium">
        <color indexed="64"/>
      </top>
      <bottom style="thin">
        <color rgb="FFA6A6A6"/>
      </bottom>
      <diagonal/>
    </border>
    <border>
      <left/>
      <right style="medium">
        <color indexed="64"/>
      </right>
      <top style="medium">
        <color indexed="64"/>
      </top>
      <bottom style="thin">
        <color rgb="FFA6A6A6"/>
      </bottom>
      <diagonal/>
    </border>
    <border>
      <left style="medium">
        <color indexed="64"/>
      </left>
      <right/>
      <top style="thin">
        <color rgb="FFA6A6A6"/>
      </top>
      <bottom style="thin">
        <color rgb="FFA6A6A6"/>
      </bottom>
      <diagonal/>
    </border>
    <border>
      <left style="thin">
        <color theme="0" tint="-0.34998626667073579"/>
      </left>
      <right style="medium">
        <color indexed="64"/>
      </right>
      <top style="thin">
        <color rgb="FFA6A6A6"/>
      </top>
      <bottom style="thin">
        <color rgb="FFA6A6A6"/>
      </bottom>
      <diagonal/>
    </border>
    <border>
      <left/>
      <right style="medium">
        <color indexed="64"/>
      </right>
      <top style="thin">
        <color rgb="FFA6A6A6"/>
      </top>
      <bottom/>
      <diagonal/>
    </border>
    <border>
      <left style="medium">
        <color indexed="64"/>
      </left>
      <right/>
      <top style="thin">
        <color rgb="FFA6A6A6"/>
      </top>
      <bottom style="medium">
        <color indexed="64"/>
      </bottom>
      <diagonal/>
    </border>
    <border>
      <left/>
      <right/>
      <top style="thin">
        <color rgb="FFA6A6A6"/>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rgb="FFA6A6A6"/>
      </bottom>
      <diagonal/>
    </border>
    <border>
      <left/>
      <right style="medium">
        <color indexed="64"/>
      </right>
      <top/>
      <bottom style="thin">
        <color rgb="FFA6A6A6"/>
      </bottom>
      <diagonal/>
    </border>
    <border>
      <left/>
      <right style="thick">
        <color indexed="64"/>
      </right>
      <top/>
      <bottom/>
      <diagonal/>
    </border>
    <border>
      <left/>
      <right/>
      <top/>
      <bottom style="thick">
        <color indexed="64"/>
      </bottom>
      <diagonal/>
    </border>
    <border>
      <left/>
      <right style="thick">
        <color indexed="64"/>
      </right>
      <top/>
      <bottom style="medium">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bottom style="thin">
        <color theme="0" tint="-0.24994659260841701"/>
      </bottom>
      <diagonal/>
    </border>
    <border>
      <left style="medium">
        <color indexed="64"/>
      </left>
      <right/>
      <top style="thin">
        <color theme="0" tint="-0.24994659260841701"/>
      </top>
      <bottom/>
      <diagonal/>
    </border>
    <border>
      <left style="thin">
        <color indexed="64"/>
      </left>
      <right/>
      <top style="thin">
        <color theme="2" tint="-0.249977111117893"/>
      </top>
      <bottom/>
      <diagonal/>
    </border>
    <border>
      <left style="thin">
        <color indexed="64"/>
      </left>
      <right/>
      <top style="thin">
        <color indexed="64"/>
      </top>
      <bottom style="thin">
        <color theme="2" tint="-0.249977111117893"/>
      </bottom>
      <diagonal/>
    </border>
    <border>
      <left/>
      <right style="thin">
        <color indexed="64"/>
      </right>
      <top style="thin">
        <color theme="2" tint="-0.249977111117893"/>
      </top>
      <bottom style="thin">
        <color theme="2" tint="-0.249977111117893"/>
      </bottom>
      <diagonal/>
    </border>
    <border>
      <left/>
      <right style="thin">
        <color indexed="64"/>
      </right>
      <top style="thin">
        <color theme="2" tint="-0.249977111117893"/>
      </top>
      <bottom style="thin">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theme="0" tint="-0.249977111117893"/>
      </right>
      <top style="thin">
        <color theme="0" tint="-0.249977111117893"/>
      </top>
      <bottom style="medium">
        <color indexed="64"/>
      </bottom>
      <diagonal/>
    </border>
    <border>
      <left/>
      <right style="medium">
        <color indexed="64"/>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right style="medium">
        <color indexed="64"/>
      </right>
      <top style="thin">
        <color theme="0" tint="-0.24994659260841701"/>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medium">
        <color indexed="64"/>
      </bottom>
      <diagonal/>
    </border>
    <border>
      <left style="medium">
        <color indexed="64"/>
      </left>
      <right/>
      <top/>
      <bottom style="thin">
        <color theme="2" tint="-0.249977111117893"/>
      </bottom>
      <diagonal/>
    </border>
    <border>
      <left/>
      <right/>
      <top/>
      <bottom style="thin">
        <color theme="0"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22">
    <xf numFmtId="0" fontId="0" fillId="0" borderId="0" applyProtection="0">
      <alignment horizontal="left" vertical="center" indent="1"/>
    </xf>
    <xf numFmtId="9" fontId="1" fillId="0" borderId="0" applyFont="0" applyFill="0" applyBorder="0" applyAlignment="0" applyProtection="0"/>
    <xf numFmtId="0" fontId="3" fillId="2" borderId="0" applyNumberFormat="0" applyBorder="0" applyAlignment="0" applyProtection="0"/>
    <xf numFmtId="0" fontId="7" fillId="0" borderId="0" applyNumberFormat="0" applyFill="0" applyBorder="0" applyAlignment="0" applyProtection="0"/>
    <xf numFmtId="3" fontId="9" fillId="0" borderId="0" applyFont="0" applyFill="0" applyBorder="0" applyAlignment="0" applyProtection="0"/>
    <xf numFmtId="165" fontId="9" fillId="0" borderId="0" applyFont="0" applyFill="0" applyBorder="0" applyAlignment="0" applyProtection="0">
      <alignment vertical="center"/>
    </xf>
    <xf numFmtId="42" fontId="9" fillId="0" borderId="0" applyFont="0" applyFill="0" applyBorder="0" applyAlignment="0" applyProtection="0"/>
    <xf numFmtId="0" fontId="10" fillId="0" borderId="0" applyNumberFormat="0" applyFill="0" applyBorder="0" applyAlignment="0" applyProtection="0">
      <alignment horizontal="left" vertical="center" indent="1"/>
    </xf>
    <xf numFmtId="0" fontId="5" fillId="0" borderId="0" applyNumberFormat="0" applyFill="0" applyAlignment="0" applyProtection="0"/>
    <xf numFmtId="0" fontId="8" fillId="3" borderId="0" applyNumberFormat="0" applyBorder="0" applyAlignment="0" applyProtection="0"/>
    <xf numFmtId="0" fontId="12" fillId="0" borderId="1" applyNumberFormat="0" applyFill="0" applyAlignment="0" applyProtection="0"/>
    <xf numFmtId="0" fontId="12" fillId="0" borderId="0" applyNumberFormat="0" applyFill="0" applyBorder="0" applyAlignment="0" applyProtection="0"/>
    <xf numFmtId="0" fontId="13" fillId="0" borderId="2" applyNumberFormat="0" applyFill="0" applyAlignment="0" applyProtection="0"/>
    <xf numFmtId="1" fontId="4" fillId="6" borderId="0" applyNumberFormat="0" applyBorder="0" applyProtection="0">
      <alignment horizontal="left" vertical="center" indent="1"/>
    </xf>
    <xf numFmtId="0" fontId="8" fillId="3" borderId="0" applyBorder="0" applyAlignment="0" applyProtection="0"/>
    <xf numFmtId="0" fontId="5" fillId="0" borderId="0" applyFill="0" applyAlignment="0" applyProtection="0"/>
    <xf numFmtId="0" fontId="26" fillId="0" borderId="0" applyNumberFormat="0" applyFill="0" applyBorder="0" applyAlignment="0" applyProtection="0">
      <alignment vertical="top"/>
      <protection locked="0"/>
    </xf>
    <xf numFmtId="9" fontId="31" fillId="0" borderId="0" applyFont="0" applyFill="0" applyBorder="0" applyAlignment="0" applyProtection="0"/>
    <xf numFmtId="0" fontId="6" fillId="0" borderId="0" applyNumberFormat="0" applyFill="0" applyBorder="0" applyAlignment="0" applyProtection="0"/>
    <xf numFmtId="180" fontId="9" fillId="0" borderId="0" applyFont="0" applyFill="0" applyBorder="0" applyAlignment="0" applyProtection="0"/>
    <xf numFmtId="0" fontId="9" fillId="0" borderId="0" applyNumberFormat="0" applyFill="0" applyBorder="0" applyProtection="0">
      <alignment horizontal="left" vertical="center"/>
    </xf>
    <xf numFmtId="0" fontId="9" fillId="13" borderId="81" applyNumberFormat="0" applyFont="0" applyAlignment="0" applyProtection="0"/>
  </cellStyleXfs>
  <cellXfs count="1441">
    <xf numFmtId="0" fontId="0" fillId="0" borderId="0" xfId="0">
      <alignment horizontal="left" vertical="center" indent="1"/>
    </xf>
    <xf numFmtId="0" fontId="4" fillId="0" borderId="0" xfId="0" applyFont="1">
      <alignment horizontal="left" vertical="center" indent="1"/>
    </xf>
    <xf numFmtId="0" fontId="0" fillId="0" borderId="0" xfId="0" applyAlignment="1">
      <alignment horizontal="right" vertical="center" indent="1"/>
    </xf>
    <xf numFmtId="0" fontId="5" fillId="0" borderId="0" xfId="0" applyFont="1">
      <alignment horizontal="left" vertical="center" indent="1"/>
    </xf>
    <xf numFmtId="0" fontId="2" fillId="0" borderId="0" xfId="2" applyFont="1" applyFill="1" applyBorder="1" applyAlignment="1">
      <alignment horizontal="left" vertical="center" indent="1"/>
    </xf>
    <xf numFmtId="3" fontId="0" fillId="0" borderId="0" xfId="0" applyNumberFormat="1" applyAlignment="1">
      <alignment horizontal="right" vertical="center" indent="1"/>
    </xf>
    <xf numFmtId="0" fontId="4" fillId="0" borderId="0" xfId="2" applyFont="1" applyFill="1" applyBorder="1" applyAlignment="1">
      <alignment horizontal="left" vertical="center" indent="1"/>
    </xf>
    <xf numFmtId="2" fontId="0" fillId="0" borderId="0" xfId="0" applyNumberFormat="1">
      <alignment horizontal="left" vertical="center" indent="1"/>
    </xf>
    <xf numFmtId="2" fontId="4" fillId="0" borderId="0" xfId="0" applyNumberFormat="1" applyFont="1">
      <alignment horizontal="left" vertical="center" indent="1"/>
    </xf>
    <xf numFmtId="0" fontId="6" fillId="0" borderId="0" xfId="0" applyFont="1">
      <alignment horizontal="left" vertical="center" indent="1"/>
    </xf>
    <xf numFmtId="0" fontId="7" fillId="0" borderId="0" xfId="3" applyBorder="1" applyAlignment="1">
      <alignment horizontal="left" vertical="center" indent="1"/>
    </xf>
    <xf numFmtId="2" fontId="0" fillId="0" borderId="0" xfId="0" applyNumberFormat="1" applyAlignment="1">
      <alignment horizontal="right" vertical="center" indent="1"/>
    </xf>
    <xf numFmtId="1" fontId="0" fillId="0" borderId="0" xfId="0" applyNumberFormat="1">
      <alignment horizontal="left" vertical="center" indent="1"/>
    </xf>
    <xf numFmtId="1" fontId="2" fillId="0" borderId="0" xfId="2" applyNumberFormat="1" applyFont="1" applyFill="1" applyBorder="1" applyAlignment="1">
      <alignment horizontal="left" vertical="center" indent="1"/>
    </xf>
    <xf numFmtId="0" fontId="3" fillId="0" borderId="0" xfId="0" applyFont="1">
      <alignment horizontal="left" vertical="center" indent="1"/>
    </xf>
    <xf numFmtId="0" fontId="8" fillId="0" borderId="0" xfId="0" applyFont="1">
      <alignment horizontal="left" vertical="center" indent="1"/>
    </xf>
    <xf numFmtId="165" fontId="0" fillId="0" borderId="0" xfId="0" applyNumberFormat="1" applyAlignment="1">
      <alignment horizontal="right" vertical="center" indent="1"/>
    </xf>
    <xf numFmtId="4" fontId="0" fillId="0" borderId="0" xfId="0" applyNumberFormat="1" applyAlignment="1">
      <alignment horizontal="right" vertical="center" indent="1"/>
    </xf>
    <xf numFmtId="3" fontId="4" fillId="0" borderId="0" xfId="0" applyNumberFormat="1" applyFont="1" applyAlignment="1">
      <alignment horizontal="right" vertical="center" indent="1"/>
    </xf>
    <xf numFmtId="2" fontId="4" fillId="0" borderId="0" xfId="0" applyNumberFormat="1" applyFont="1" applyAlignment="1">
      <alignment horizontal="right" vertical="center" indent="1"/>
    </xf>
    <xf numFmtId="0" fontId="11" fillId="0" borderId="0" xfId="7" applyFont="1" applyBorder="1">
      <alignment horizontal="left" vertical="center" indent="1"/>
    </xf>
    <xf numFmtId="165" fontId="0" fillId="0" borderId="0" xfId="5" applyFont="1" applyAlignment="1">
      <alignment horizontal="right" vertical="center" indent="1"/>
    </xf>
    <xf numFmtId="165" fontId="0" fillId="0" borderId="0" xfId="5" applyFont="1" applyBorder="1" applyAlignment="1">
      <alignment horizontal="right" vertical="center" indent="1"/>
    </xf>
    <xf numFmtId="3" fontId="0" fillId="0" borderId="0" xfId="4" applyFont="1" applyAlignment="1">
      <alignment horizontal="right" vertical="center" indent="1"/>
    </xf>
    <xf numFmtId="4" fontId="0" fillId="0" borderId="0" xfId="4" applyNumberFormat="1" applyFont="1" applyAlignment="1">
      <alignment horizontal="right" vertical="center" indent="1"/>
    </xf>
    <xf numFmtId="165" fontId="4" fillId="0" borderId="0" xfId="5" applyFont="1" applyFill="1" applyBorder="1" applyAlignment="1">
      <alignment horizontal="right" vertical="center" indent="1"/>
    </xf>
    <xf numFmtId="165" fontId="0" fillId="0" borderId="0" xfId="5" applyFont="1" applyFill="1" applyBorder="1" applyAlignment="1">
      <alignment horizontal="right" vertical="center" indent="1"/>
    </xf>
    <xf numFmtId="4" fontId="0" fillId="0" borderId="0" xfId="4" applyNumberFormat="1" applyFont="1" applyFill="1" applyAlignment="1">
      <alignment horizontal="right" vertical="center" indent="1"/>
    </xf>
    <xf numFmtId="1" fontId="0" fillId="0" borderId="0" xfId="0" applyNumberFormat="1" applyAlignment="1">
      <alignment horizontal="right" vertical="center" indent="1"/>
    </xf>
    <xf numFmtId="165" fontId="4" fillId="0" borderId="0" xfId="5" applyFont="1" applyBorder="1" applyAlignment="1">
      <alignment horizontal="right" vertical="center" indent="1"/>
    </xf>
    <xf numFmtId="164" fontId="0" fillId="0" borderId="0" xfId="5" applyNumberFormat="1" applyFont="1" applyBorder="1" applyAlignment="1">
      <alignment horizontal="right" vertical="center" indent="1"/>
    </xf>
    <xf numFmtId="0" fontId="5" fillId="0" borderId="0" xfId="8" applyAlignment="1">
      <alignment horizontal="left" vertical="center" indent="1"/>
    </xf>
    <xf numFmtId="1" fontId="4" fillId="6" borderId="0" xfId="13" applyNumberFormat="1" applyAlignment="1">
      <alignment horizontal="right" vertical="center" indent="1"/>
    </xf>
    <xf numFmtId="1" fontId="4" fillId="6" borderId="0" xfId="13" applyNumberFormat="1" applyBorder="1" applyAlignment="1">
      <alignment horizontal="right" vertical="center" indent="1"/>
    </xf>
    <xf numFmtId="1" fontId="4" fillId="6" borderId="0" xfId="13" applyNumberFormat="1" applyBorder="1">
      <alignment horizontal="left" vertical="center" indent="1"/>
    </xf>
    <xf numFmtId="3" fontId="0" fillId="0" borderId="0" xfId="4" applyFont="1" applyBorder="1" applyAlignment="1">
      <alignment horizontal="right" vertical="center" indent="1"/>
    </xf>
    <xf numFmtId="0" fontId="14" fillId="0" borderId="0" xfId="0" applyFont="1" applyAlignment="1">
      <alignment horizontal="left" vertical="top" indent="1"/>
    </xf>
    <xf numFmtId="0" fontId="14" fillId="0" borderId="0" xfId="0" applyFont="1" applyAlignment="1">
      <alignment horizontal="left" vertical="top" indent="5"/>
    </xf>
    <xf numFmtId="4" fontId="4" fillId="0" borderId="0" xfId="0" applyNumberFormat="1" applyFont="1" applyAlignment="1">
      <alignment horizontal="right" vertical="center" indent="1"/>
    </xf>
    <xf numFmtId="4" fontId="0" fillId="0" borderId="0" xfId="4" applyNumberFormat="1" applyFont="1" applyBorder="1" applyAlignment="1">
      <alignment horizontal="right" vertical="center" indent="1"/>
    </xf>
    <xf numFmtId="4" fontId="0" fillId="0" borderId="0" xfId="4" applyNumberFormat="1" applyFont="1" applyFill="1" applyBorder="1" applyAlignment="1">
      <alignment horizontal="right" vertical="center" indent="1"/>
    </xf>
    <xf numFmtId="0" fontId="14" fillId="0" borderId="0" xfId="0" applyFont="1">
      <alignment horizontal="left" vertical="center" indent="1"/>
    </xf>
    <xf numFmtId="172" fontId="0" fillId="0" borderId="0" xfId="0" applyNumberFormat="1" applyAlignment="1">
      <alignment horizontal="right" vertical="center" indent="1"/>
    </xf>
    <xf numFmtId="0" fontId="0" fillId="0" borderId="0" xfId="0" applyAlignment="1"/>
    <xf numFmtId="168" fontId="0" fillId="0" borderId="0" xfId="0" applyNumberFormat="1">
      <alignment horizontal="left" vertical="center" indent="1"/>
    </xf>
    <xf numFmtId="0" fontId="0" fillId="0" borderId="3" xfId="0" applyBorder="1">
      <alignment horizontal="left" vertical="center" indent="1"/>
    </xf>
    <xf numFmtId="0" fontId="4" fillId="6" borderId="0" xfId="13" applyNumberFormat="1" applyBorder="1" applyAlignment="1">
      <alignment horizontal="center" vertical="center"/>
    </xf>
    <xf numFmtId="3" fontId="4" fillId="0" borderId="4" xfId="0" applyNumberFormat="1" applyFont="1" applyBorder="1" applyAlignment="1">
      <alignment horizontal="right" vertical="center" indent="1"/>
    </xf>
    <xf numFmtId="9" fontId="0" fillId="0" borderId="0" xfId="1" applyFont="1" applyBorder="1" applyAlignment="1">
      <alignment horizontal="right" vertical="center" indent="1"/>
    </xf>
    <xf numFmtId="1" fontId="0" fillId="0" borderId="3" xfId="0" applyNumberFormat="1" applyBorder="1">
      <alignment horizontal="left" vertical="center" indent="1"/>
    </xf>
    <xf numFmtId="0" fontId="5" fillId="0" borderId="0" xfId="15" applyAlignment="1">
      <alignment horizontal="left" vertical="center" indent="1"/>
    </xf>
    <xf numFmtId="0" fontId="7" fillId="7" borderId="0" xfId="3" applyFill="1" applyBorder="1" applyAlignment="1">
      <alignment horizontal="left" vertical="center" indent="1"/>
    </xf>
    <xf numFmtId="0" fontId="0" fillId="7" borderId="0" xfId="0" applyFill="1">
      <alignment horizontal="left" vertical="center" indent="1"/>
    </xf>
    <xf numFmtId="0" fontId="18" fillId="7" borderId="0" xfId="0" applyFont="1" applyFill="1" applyAlignment="1">
      <alignment horizontal="left" vertical="center" indent="2"/>
    </xf>
    <xf numFmtId="0" fontId="0" fillId="7" borderId="0" xfId="0" applyFill="1" applyAlignment="1">
      <alignment horizontal="left" vertical="center" indent="2"/>
    </xf>
    <xf numFmtId="1" fontId="0" fillId="7" borderId="0" xfId="0" applyNumberFormat="1" applyFill="1" applyAlignment="1">
      <alignment horizontal="left" vertical="center" indent="2"/>
    </xf>
    <xf numFmtId="1" fontId="0" fillId="7" borderId="0" xfId="0" applyNumberFormat="1" applyFill="1" applyAlignment="1">
      <alignment horizontal="right" vertical="center" indent="2"/>
    </xf>
    <xf numFmtId="0" fontId="0" fillId="7" borderId="0" xfId="0" applyFill="1" applyAlignment="1">
      <alignment horizontal="right" vertical="center" indent="2"/>
    </xf>
    <xf numFmtId="9" fontId="0" fillId="7" borderId="0" xfId="1" applyFont="1" applyFill="1" applyBorder="1" applyAlignment="1">
      <alignment horizontal="left" vertical="center" indent="2"/>
    </xf>
    <xf numFmtId="9" fontId="0" fillId="7" borderId="0" xfId="1" applyFont="1" applyFill="1" applyBorder="1" applyAlignment="1">
      <alignment horizontal="right" vertical="center" indent="2"/>
    </xf>
    <xf numFmtId="164" fontId="0" fillId="7" borderId="0" xfId="5" applyNumberFormat="1" applyFont="1" applyFill="1" applyBorder="1" applyAlignment="1">
      <alignment horizontal="left" vertical="center" indent="2"/>
    </xf>
    <xf numFmtId="164" fontId="0" fillId="7" borderId="0" xfId="5" applyNumberFormat="1" applyFont="1" applyFill="1" applyBorder="1" applyAlignment="1">
      <alignment horizontal="right" vertical="center" indent="2"/>
    </xf>
    <xf numFmtId="167" fontId="0" fillId="0" borderId="0" xfId="0" applyNumberFormat="1">
      <alignment horizontal="left" vertical="center" indent="1"/>
    </xf>
    <xf numFmtId="0" fontId="14" fillId="0" borderId="0" xfId="0" applyFont="1" applyAlignment="1">
      <alignment horizontal="left" indent="1"/>
    </xf>
    <xf numFmtId="0" fontId="30" fillId="0" borderId="6" xfId="0" applyFont="1" applyBorder="1" applyAlignment="1">
      <alignment horizontal="left" vertical="center"/>
    </xf>
    <xf numFmtId="0" fontId="31" fillId="0" borderId="7" xfId="0" applyFont="1" applyBorder="1" applyAlignment="1">
      <alignment horizontal="left" vertical="center"/>
    </xf>
    <xf numFmtId="0" fontId="32" fillId="0" borderId="8" xfId="0" applyFont="1" applyBorder="1" applyAlignment="1">
      <alignment vertical="center"/>
    </xf>
    <xf numFmtId="0" fontId="30" fillId="0" borderId="9" xfId="0" applyFont="1" applyBorder="1" applyAlignment="1">
      <alignment horizontal="left" vertical="center"/>
    </xf>
    <xf numFmtId="0" fontId="33" fillId="0" borderId="0" xfId="0" applyFont="1" applyAlignment="1">
      <alignment horizontal="centerContinuous"/>
    </xf>
    <xf numFmtId="0" fontId="31" fillId="0" borderId="0" xfId="0" applyFont="1" applyAlignment="1">
      <alignment horizontal="centerContinuous"/>
    </xf>
    <xf numFmtId="0" fontId="31" fillId="0" borderId="10" xfId="0" applyFont="1" applyBorder="1" applyAlignment="1">
      <alignment vertical="center"/>
    </xf>
    <xf numFmtId="0" fontId="31" fillId="0" borderId="9" xfId="0" applyFont="1" applyBorder="1" applyAlignment="1">
      <alignment vertical="center"/>
    </xf>
    <xf numFmtId="0" fontId="32" fillId="0" borderId="0" xfId="0" applyFont="1" applyAlignment="1">
      <alignment horizontal="centerContinuous"/>
    </xf>
    <xf numFmtId="0" fontId="31" fillId="0" borderId="0" xfId="0" applyFont="1" applyAlignment="1"/>
    <xf numFmtId="0" fontId="34" fillId="8" borderId="11" xfId="0" applyFont="1" applyFill="1" applyBorder="1" applyAlignment="1">
      <alignment horizontal="center"/>
    </xf>
    <xf numFmtId="0" fontId="34" fillId="8" borderId="12" xfId="0" applyFont="1" applyFill="1" applyBorder="1" applyAlignment="1">
      <alignment horizontal="centerContinuous"/>
    </xf>
    <xf numFmtId="0" fontId="34" fillId="8" borderId="13" xfId="0" applyFont="1" applyFill="1" applyBorder="1" applyAlignment="1">
      <alignment horizontal="centerContinuous"/>
    </xf>
    <xf numFmtId="0" fontId="34" fillId="8" borderId="14" xfId="0" applyFont="1" applyFill="1" applyBorder="1" applyAlignment="1"/>
    <xf numFmtId="0" fontId="34" fillId="8" borderId="15" xfId="0" applyFont="1" applyFill="1" applyBorder="1" applyAlignment="1"/>
    <xf numFmtId="0" fontId="34" fillId="8" borderId="16" xfId="0" applyFont="1" applyFill="1" applyBorder="1" applyAlignment="1">
      <alignment horizontal="center"/>
    </xf>
    <xf numFmtId="0" fontId="34" fillId="8" borderId="17" xfId="0" applyFont="1" applyFill="1" applyBorder="1" applyAlignment="1">
      <alignment horizontal="centerContinuous"/>
    </xf>
    <xf numFmtId="0" fontId="34" fillId="8" borderId="18" xfId="0" applyFont="1" applyFill="1" applyBorder="1" applyAlignment="1">
      <alignment horizontal="centerContinuous"/>
    </xf>
    <xf numFmtId="0" fontId="34" fillId="8" borderId="19" xfId="0" applyFont="1" applyFill="1" applyBorder="1" applyAlignment="1">
      <alignment horizontal="centerContinuous"/>
    </xf>
    <xf numFmtId="0" fontId="34" fillId="8" borderId="20" xfId="0" applyFont="1" applyFill="1" applyBorder="1" applyAlignment="1">
      <alignment horizontal="centerContinuous"/>
    </xf>
    <xf numFmtId="0" fontId="34" fillId="8" borderId="21" xfId="0" applyFont="1" applyFill="1" applyBorder="1" applyAlignment="1">
      <alignment horizontal="center"/>
    </xf>
    <xf numFmtId="0" fontId="34" fillId="8" borderId="22" xfId="0" applyFont="1" applyFill="1" applyBorder="1" applyAlignment="1">
      <alignment horizontal="center"/>
    </xf>
    <xf numFmtId="0" fontId="34" fillId="8" borderId="23" xfId="0" applyFont="1" applyFill="1" applyBorder="1" applyAlignment="1">
      <alignment horizontal="center"/>
    </xf>
    <xf numFmtId="0" fontId="34" fillId="8" borderId="24" xfId="0" applyFont="1" applyFill="1" applyBorder="1" applyAlignment="1">
      <alignment horizontal="center"/>
    </xf>
    <xf numFmtId="0" fontId="32" fillId="0" borderId="11" xfId="0" applyFont="1" applyBorder="1" applyAlignment="1">
      <alignment horizontal="center"/>
    </xf>
    <xf numFmtId="166" fontId="31" fillId="0" borderId="25" xfId="0" applyNumberFormat="1" applyFont="1" applyBorder="1" applyAlignment="1">
      <alignment horizontal="center"/>
    </xf>
    <xf numFmtId="166" fontId="31" fillId="0" borderId="26" xfId="0" applyNumberFormat="1" applyFont="1" applyBorder="1" applyAlignment="1">
      <alignment horizontal="center"/>
    </xf>
    <xf numFmtId="166" fontId="31" fillId="0" borderId="27" xfId="0" applyNumberFormat="1" applyFont="1" applyBorder="1" applyAlignment="1">
      <alignment horizontal="center"/>
    </xf>
    <xf numFmtId="0" fontId="32" fillId="0" borderId="16" xfId="0" applyFont="1" applyBorder="1" applyAlignment="1">
      <alignment horizontal="center"/>
    </xf>
    <xf numFmtId="166" fontId="31" fillId="0" borderId="28" xfId="0" applyNumberFormat="1" applyFont="1" applyBorder="1" applyAlignment="1">
      <alignment horizontal="center"/>
    </xf>
    <xf numFmtId="166" fontId="31" fillId="0" borderId="29" xfId="0" applyNumberFormat="1" applyFont="1" applyBorder="1" applyAlignment="1">
      <alignment horizontal="center"/>
    </xf>
    <xf numFmtId="166" fontId="31" fillId="0" borderId="30" xfId="0" applyNumberFormat="1" applyFont="1" applyBorder="1" applyAlignment="1">
      <alignment horizontal="center"/>
    </xf>
    <xf numFmtId="0" fontId="32" fillId="0" borderId="21" xfId="0" applyFont="1" applyBorder="1" applyAlignment="1">
      <alignment horizontal="center"/>
    </xf>
    <xf numFmtId="166" fontId="31" fillId="0" borderId="31" xfId="0" applyNumberFormat="1" applyFont="1" applyBorder="1" applyAlignment="1">
      <alignment horizontal="center"/>
    </xf>
    <xf numFmtId="166" fontId="31" fillId="0" borderId="32" xfId="0" applyNumberFormat="1" applyFont="1" applyBorder="1" applyAlignment="1">
      <alignment horizontal="center"/>
    </xf>
    <xf numFmtId="166" fontId="31" fillId="0" borderId="33" xfId="0" applyNumberFormat="1" applyFont="1" applyBorder="1" applyAlignment="1">
      <alignment horizontal="center"/>
    </xf>
    <xf numFmtId="0" fontId="31" fillId="0" borderId="34" xfId="0" applyFont="1" applyBorder="1" applyAlignment="1"/>
    <xf numFmtId="0" fontId="31" fillId="0" borderId="35" xfId="0" applyFont="1" applyBorder="1" applyAlignment="1"/>
    <xf numFmtId="0" fontId="31" fillId="0" borderId="36" xfId="0" applyFont="1" applyBorder="1" applyAlignment="1"/>
    <xf numFmtId="10" fontId="35" fillId="0" borderId="0" xfId="17" applyNumberFormat="1" applyFont="1" applyFill="1" applyBorder="1" applyAlignment="1">
      <alignment horizontal="left"/>
    </xf>
    <xf numFmtId="0" fontId="35" fillId="0" borderId="0" xfId="0" applyFont="1" applyAlignment="1"/>
    <xf numFmtId="166" fontId="31" fillId="0" borderId="0" xfId="0" applyNumberFormat="1" applyFont="1" applyAlignment="1">
      <alignment horizontal="center"/>
    </xf>
    <xf numFmtId="0" fontId="36" fillId="0" borderId="0" xfId="3" applyFont="1" applyBorder="1" applyAlignment="1">
      <alignment horizontal="left" vertical="center" indent="1"/>
    </xf>
    <xf numFmtId="0" fontId="6" fillId="0" borderId="0" xfId="18" applyBorder="1" applyAlignment="1">
      <alignment horizontal="left" vertical="center" indent="1"/>
    </xf>
    <xf numFmtId="1" fontId="6" fillId="0" borderId="0" xfId="18" applyNumberFormat="1" applyBorder="1" applyAlignment="1">
      <alignment horizontal="left" vertical="center" indent="1"/>
    </xf>
    <xf numFmtId="166" fontId="0" fillId="0" borderId="0" xfId="1" applyNumberFormat="1" applyFont="1" applyBorder="1" applyAlignment="1">
      <alignment horizontal="right" vertical="center" indent="1"/>
    </xf>
    <xf numFmtId="3" fontId="0" fillId="0" borderId="0" xfId="0" applyNumberFormat="1">
      <alignment horizontal="left" vertical="center" indent="1"/>
    </xf>
    <xf numFmtId="0" fontId="10" fillId="0" borderId="0" xfId="7" applyBorder="1" applyAlignment="1">
      <alignment horizontal="left" vertical="center" indent="1"/>
    </xf>
    <xf numFmtId="0" fontId="10" fillId="0" borderId="0" xfId="7" applyAlignment="1">
      <alignment horizontal="left" vertical="center" indent="1"/>
    </xf>
    <xf numFmtId="165" fontId="4" fillId="0" borderId="0" xfId="5" applyFont="1" applyFill="1" applyBorder="1" applyAlignment="1">
      <alignment horizontal="left" vertical="center" indent="1"/>
    </xf>
    <xf numFmtId="0" fontId="0" fillId="0" borderId="0" xfId="0" applyAlignment="1">
      <alignment horizontal="center" vertical="center"/>
    </xf>
    <xf numFmtId="0" fontId="0" fillId="0" borderId="0" xfId="0" applyAlignment="1">
      <alignment horizontal="left" indent="1"/>
    </xf>
    <xf numFmtId="0" fontId="16" fillId="0" borderId="0" xfId="0" applyFont="1">
      <alignment horizontal="left" vertical="center" indent="1"/>
    </xf>
    <xf numFmtId="0" fontId="15" fillId="0" borderId="0" xfId="0" applyFont="1">
      <alignment horizontal="left" vertical="center" indent="1"/>
    </xf>
    <xf numFmtId="0" fontId="14" fillId="0" borderId="0" xfId="0" applyFont="1" applyAlignment="1">
      <alignment horizontal="left" indent="2"/>
    </xf>
    <xf numFmtId="0" fontId="16" fillId="0" borderId="0" xfId="0" applyFont="1" applyAlignment="1">
      <alignment horizontal="left" vertical="center" indent="2"/>
    </xf>
    <xf numFmtId="0" fontId="15" fillId="0" borderId="0" xfId="0" applyFont="1" applyAlignment="1">
      <alignment horizontal="left" vertical="center" indent="2"/>
    </xf>
    <xf numFmtId="0" fontId="4" fillId="6" borderId="0" xfId="13" applyNumberFormat="1" applyAlignment="1">
      <alignment horizontal="center" vertical="center"/>
    </xf>
    <xf numFmtId="0" fontId="0" fillId="0" borderId="3" xfId="0" applyBorder="1" applyAlignment="1">
      <alignment horizontal="center" vertical="center"/>
    </xf>
    <xf numFmtId="0" fontId="4" fillId="0" borderId="4" xfId="0" applyFont="1" applyBorder="1" applyAlignment="1">
      <alignment horizontal="center" vertical="center"/>
    </xf>
    <xf numFmtId="165" fontId="0" fillId="0" borderId="0" xfId="5" applyFont="1" applyAlignment="1"/>
    <xf numFmtId="0" fontId="39" fillId="0" borderId="0" xfId="0" applyFont="1" applyAlignment="1">
      <alignment horizontal="left" vertical="center" indent="2"/>
    </xf>
    <xf numFmtId="0" fontId="39" fillId="0" borderId="0" xfId="0" applyFont="1">
      <alignment horizontal="left" vertical="center" indent="1"/>
    </xf>
    <xf numFmtId="0" fontId="41" fillId="0" borderId="0" xfId="0" applyFont="1" applyAlignment="1">
      <alignment horizontal="right" vertical="center" indent="1"/>
    </xf>
    <xf numFmtId="165" fontId="40" fillId="0" borderId="0" xfId="5" applyFont="1" applyFill="1" applyBorder="1" applyAlignment="1">
      <alignment horizontal="left" vertical="center" indent="1"/>
    </xf>
    <xf numFmtId="0" fontId="41" fillId="0" borderId="0" xfId="0" applyFont="1">
      <alignment horizontal="left" vertical="center" indent="1"/>
    </xf>
    <xf numFmtId="0" fontId="42" fillId="0" borderId="0" xfId="0" applyFont="1" applyAlignment="1">
      <alignment horizontal="right" vertical="center" indent="1"/>
    </xf>
    <xf numFmtId="0" fontId="42" fillId="0" borderId="0" xfId="0" applyFont="1">
      <alignment horizontal="left" vertical="center" indent="1"/>
    </xf>
    <xf numFmtId="165" fontId="4" fillId="0" borderId="0" xfId="5" applyFont="1" applyAlignment="1">
      <alignment horizontal="right" vertical="center" indent="1"/>
    </xf>
    <xf numFmtId="0" fontId="4" fillId="0" borderId="0" xfId="0" applyFont="1" applyAlignment="1">
      <alignment horizontal="left" vertical="center"/>
    </xf>
    <xf numFmtId="0" fontId="24" fillId="0" borderId="0" xfId="0" applyFont="1" applyAlignment="1">
      <alignment horizontal="left" vertical="center"/>
    </xf>
    <xf numFmtId="0" fontId="21" fillId="0" borderId="0" xfId="0" applyFont="1" applyAlignment="1">
      <alignment horizontal="left" vertical="center"/>
    </xf>
    <xf numFmtId="0" fontId="0" fillId="0" borderId="0" xfId="0" applyAlignment="1">
      <alignment horizontal="left" vertical="center" indent="2"/>
    </xf>
    <xf numFmtId="0" fontId="20" fillId="0" borderId="0" xfId="0" applyFont="1" applyAlignment="1">
      <alignment horizontal="left" vertical="center"/>
    </xf>
    <xf numFmtId="170" fontId="20" fillId="0" borderId="0" xfId="0" applyNumberFormat="1" applyFont="1" applyAlignment="1">
      <alignment horizontal="left" vertical="center"/>
    </xf>
    <xf numFmtId="170" fontId="20" fillId="0" borderId="0" xfId="0" applyNumberFormat="1" applyFont="1" applyAlignment="1">
      <alignment horizontal="left" vertical="center" wrapText="1"/>
    </xf>
    <xf numFmtId="0" fontId="5" fillId="0" borderId="0" xfId="15" applyAlignment="1">
      <alignment horizontal="left" vertical="center"/>
    </xf>
    <xf numFmtId="0" fontId="18" fillId="0" borderId="0" xfId="18" applyFont="1" applyBorder="1" applyAlignment="1">
      <alignment horizontal="left" vertical="center" indent="1"/>
    </xf>
    <xf numFmtId="165" fontId="0" fillId="0" borderId="0" xfId="0" applyNumberFormat="1" applyAlignment="1"/>
    <xf numFmtId="171" fontId="0" fillId="0" borderId="0" xfId="0" applyNumberFormat="1" applyAlignment="1">
      <alignment horizontal="center" vertical="center"/>
    </xf>
    <xf numFmtId="178" fontId="20" fillId="0" borderId="0" xfId="0" applyNumberFormat="1" applyFont="1" applyAlignment="1">
      <alignment horizontal="left" vertical="center"/>
    </xf>
    <xf numFmtId="1" fontId="20" fillId="0" borderId="0" xfId="0" applyNumberFormat="1" applyFont="1" applyAlignment="1">
      <alignment horizontal="left" vertical="center"/>
    </xf>
    <xf numFmtId="0" fontId="20" fillId="0" borderId="0" xfId="0" applyFont="1" applyAlignment="1">
      <alignment horizontal="left" vertical="center" wrapText="1"/>
    </xf>
    <xf numFmtId="164" fontId="20" fillId="0" borderId="0" xfId="0" applyNumberFormat="1" applyFont="1" applyAlignment="1">
      <alignment horizontal="left" vertical="center"/>
    </xf>
    <xf numFmtId="9" fontId="20" fillId="0" borderId="0" xfId="1" applyFont="1" applyBorder="1" applyAlignment="1">
      <alignment horizontal="left" vertical="center"/>
    </xf>
    <xf numFmtId="3" fontId="20" fillId="0" borderId="0" xfId="4" applyFont="1" applyBorder="1" applyAlignment="1">
      <alignment horizontal="left" vertical="center"/>
    </xf>
    <xf numFmtId="0" fontId="0" fillId="0" borderId="0" xfId="0" applyAlignment="1">
      <alignment horizontal="left"/>
    </xf>
    <xf numFmtId="6" fontId="22" fillId="0" borderId="39" xfId="0" applyNumberFormat="1" applyFont="1" applyBorder="1" applyAlignment="1">
      <alignment horizontal="center" vertical="center"/>
    </xf>
    <xf numFmtId="0" fontId="22" fillId="0" borderId="40" xfId="0" applyFont="1" applyBorder="1" applyAlignment="1">
      <alignment horizontal="center" vertical="center"/>
    </xf>
    <xf numFmtId="0" fontId="45" fillId="0" borderId="0" xfId="0" applyFont="1" applyAlignment="1">
      <alignment horizontal="center" vertical="center" wrapText="1"/>
    </xf>
    <xf numFmtId="0" fontId="45" fillId="0" borderId="0" xfId="0" applyFont="1" applyAlignment="1">
      <alignment horizontal="left" vertical="center" wrapText="1"/>
    </xf>
    <xf numFmtId="10" fontId="45" fillId="0" borderId="0" xfId="0" applyNumberFormat="1" applyFont="1" applyAlignment="1">
      <alignment horizontal="center" vertical="center"/>
    </xf>
    <xf numFmtId="0" fontId="45" fillId="0" borderId="40" xfId="0" applyFont="1" applyBorder="1" applyAlignment="1">
      <alignment horizontal="center" vertical="center"/>
    </xf>
    <xf numFmtId="0" fontId="45" fillId="0" borderId="40" xfId="0" applyFont="1" applyBorder="1" applyAlignment="1">
      <alignment horizontal="center" vertical="center" wrapText="1"/>
    </xf>
    <xf numFmtId="10" fontId="45" fillId="0" borderId="40" xfId="0" applyNumberFormat="1" applyFont="1" applyBorder="1" applyAlignment="1">
      <alignment horizontal="center" vertical="center"/>
    </xf>
    <xf numFmtId="6" fontId="45" fillId="0" borderId="0" xfId="0" applyNumberFormat="1" applyFont="1" applyAlignment="1">
      <alignment horizontal="center" vertical="center"/>
    </xf>
    <xf numFmtId="6" fontId="45" fillId="0" borderId="38" xfId="0" applyNumberFormat="1" applyFont="1" applyBorder="1" applyAlignment="1">
      <alignment horizontal="center" vertical="center"/>
    </xf>
    <xf numFmtId="6" fontId="45" fillId="0" borderId="40" xfId="0" applyNumberFormat="1" applyFont="1" applyBorder="1" applyAlignment="1">
      <alignment horizontal="center" vertical="center"/>
    </xf>
    <xf numFmtId="10" fontId="22" fillId="0" borderId="40" xfId="0" applyNumberFormat="1" applyFont="1" applyBorder="1" applyAlignment="1">
      <alignment horizontal="center" vertical="center"/>
    </xf>
    <xf numFmtId="0" fontId="20" fillId="0" borderId="40" xfId="0" applyFont="1" applyBorder="1" applyAlignment="1">
      <alignment horizontal="left" vertical="center"/>
    </xf>
    <xf numFmtId="165" fontId="20" fillId="0" borderId="40" xfId="5" applyFont="1" applyBorder="1" applyAlignment="1">
      <alignment horizontal="left" vertical="center"/>
    </xf>
    <xf numFmtId="165" fontId="20" fillId="0" borderId="40" xfId="0" applyNumberFormat="1" applyFont="1" applyBorder="1" applyAlignment="1">
      <alignment horizontal="left" vertical="center"/>
    </xf>
    <xf numFmtId="179" fontId="22" fillId="0" borderId="40" xfId="0" applyNumberFormat="1" applyFont="1" applyBorder="1" applyAlignment="1">
      <alignment horizontal="center" vertical="center"/>
    </xf>
    <xf numFmtId="0" fontId="5" fillId="0" borderId="0" xfId="15" applyFill="1" applyAlignment="1">
      <alignment horizontal="left" vertical="center"/>
    </xf>
    <xf numFmtId="0" fontId="19" fillId="0" borderId="0" xfId="0" applyFont="1" applyAlignment="1">
      <alignment horizontal="left" vertical="center"/>
    </xf>
    <xf numFmtId="169" fontId="19" fillId="0" borderId="0" xfId="0" applyNumberFormat="1" applyFont="1" applyAlignment="1">
      <alignment horizontal="left" vertical="center"/>
    </xf>
    <xf numFmtId="173" fontId="19" fillId="0" borderId="0" xfId="0" applyNumberFormat="1" applyFont="1" applyAlignment="1">
      <alignment horizontal="left" vertical="center"/>
    </xf>
    <xf numFmtId="3" fontId="0" fillId="0" borderId="0" xfId="4" applyFont="1" applyBorder="1" applyAlignment="1">
      <alignment horizontal="center" vertical="center"/>
    </xf>
    <xf numFmtId="0" fontId="22" fillId="0" borderId="40" xfId="0" applyFont="1" applyBorder="1" applyAlignment="1">
      <alignment horizontal="center" vertical="center" wrapText="1"/>
    </xf>
    <xf numFmtId="3" fontId="22" fillId="0" borderId="0" xfId="0" applyNumberFormat="1" applyFont="1" applyAlignment="1">
      <alignment horizontal="center" vertical="center"/>
    </xf>
    <xf numFmtId="9" fontId="24" fillId="0" borderId="0" xfId="1" applyFont="1" applyAlignment="1">
      <alignment horizontal="left" vertical="center"/>
    </xf>
    <xf numFmtId="0" fontId="22" fillId="0" borderId="42" xfId="0" applyFont="1" applyBorder="1" applyAlignment="1">
      <alignment horizontal="center" vertical="center" wrapText="1"/>
    </xf>
    <xf numFmtId="6" fontId="22" fillId="0" borderId="43" xfId="0" applyNumberFormat="1" applyFont="1" applyBorder="1" applyAlignment="1">
      <alignment horizontal="center" vertical="center" wrapText="1"/>
    </xf>
    <xf numFmtId="0" fontId="22" fillId="0" borderId="0" xfId="0" applyFont="1" applyAlignment="1">
      <alignment horizontal="left" vertical="center" wrapText="1" indent="1"/>
    </xf>
    <xf numFmtId="0" fontId="0" fillId="0" borderId="37" xfId="0" applyBorder="1">
      <alignment horizontal="left" vertical="center" indent="1"/>
    </xf>
    <xf numFmtId="0" fontId="4" fillId="0" borderId="45" xfId="0" applyFont="1" applyBorder="1">
      <alignment horizontal="left" vertical="center" indent="1"/>
    </xf>
    <xf numFmtId="0" fontId="0" fillId="0" borderId="45" xfId="0" applyBorder="1">
      <alignment horizontal="left" vertical="center" indent="1"/>
    </xf>
    <xf numFmtId="0" fontId="0" fillId="0" borderId="47" xfId="0" applyBorder="1">
      <alignment horizontal="left" vertical="center" indent="1"/>
    </xf>
    <xf numFmtId="0" fontId="0" fillId="0" borderId="49" xfId="0" applyBorder="1">
      <alignment horizontal="left" vertical="center" indent="1"/>
    </xf>
    <xf numFmtId="0" fontId="0" fillId="0" borderId="51" xfId="0" applyBorder="1">
      <alignment horizontal="left" vertical="center" indent="1"/>
    </xf>
    <xf numFmtId="0" fontId="0" fillId="0" borderId="52" xfId="0" applyBorder="1">
      <alignment horizontal="left" vertical="center" indent="1"/>
    </xf>
    <xf numFmtId="0" fontId="0" fillId="0" borderId="0" xfId="0" quotePrefix="1" applyAlignment="1"/>
    <xf numFmtId="0" fontId="29" fillId="0" borderId="0" xfId="0" applyFont="1" applyAlignment="1">
      <alignment vertical="top" wrapText="1"/>
    </xf>
    <xf numFmtId="0" fontId="28" fillId="0" borderId="0" xfId="0" applyFont="1" applyAlignment="1">
      <alignment vertical="top" wrapText="1"/>
    </xf>
    <xf numFmtId="0" fontId="6" fillId="0" borderId="0" xfId="18" applyFill="1" applyAlignment="1">
      <alignment horizontal="left" vertical="center" indent="1"/>
    </xf>
    <xf numFmtId="0" fontId="8" fillId="12" borderId="0" xfId="14" applyFill="1" applyBorder="1" applyAlignment="1">
      <alignment horizontal="left" vertical="center" indent="1"/>
    </xf>
    <xf numFmtId="0" fontId="8" fillId="12" borderId="0" xfId="14" applyFill="1" applyAlignment="1">
      <alignment horizontal="left" vertical="center" indent="1"/>
    </xf>
    <xf numFmtId="0" fontId="48" fillId="0" borderId="0" xfId="15" applyFont="1" applyAlignment="1">
      <alignment horizontal="left" vertical="center" indent="1"/>
    </xf>
    <xf numFmtId="0" fontId="48" fillId="0" borderId="0" xfId="15" applyFont="1" applyFill="1" applyAlignment="1">
      <alignment horizontal="left" vertical="center" indent="1"/>
    </xf>
    <xf numFmtId="0" fontId="4" fillId="6" borderId="53" xfId="13" applyNumberFormat="1" applyBorder="1">
      <alignment horizontal="left" vertical="center" indent="1"/>
    </xf>
    <xf numFmtId="0" fontId="0" fillId="0" borderId="56" xfId="0" applyBorder="1">
      <alignment horizontal="left" vertical="center" indent="1"/>
    </xf>
    <xf numFmtId="165" fontId="0" fillId="0" borderId="57" xfId="5" applyFont="1" applyBorder="1" applyAlignment="1">
      <alignment horizontal="right" vertical="center" indent="1"/>
    </xf>
    <xf numFmtId="0" fontId="4" fillId="0" borderId="56" xfId="0" applyFont="1" applyBorder="1">
      <alignment horizontal="left" vertical="center" indent="1"/>
    </xf>
    <xf numFmtId="0" fontId="4" fillId="6" borderId="54" xfId="13" applyNumberFormat="1" applyBorder="1">
      <alignment horizontal="left" vertical="center" indent="1"/>
    </xf>
    <xf numFmtId="0" fontId="0" fillId="0" borderId="63" xfId="0" applyBorder="1">
      <alignment horizontal="left" vertical="center" indent="1"/>
    </xf>
    <xf numFmtId="0" fontId="0" fillId="0" borderId="64" xfId="0" applyBorder="1">
      <alignment horizontal="left" vertical="center" indent="1"/>
    </xf>
    <xf numFmtId="9" fontId="0" fillId="0" borderId="64" xfId="1" applyFont="1" applyBorder="1" applyAlignment="1">
      <alignment horizontal="right" vertical="center" indent="1"/>
    </xf>
    <xf numFmtId="0" fontId="4" fillId="0" borderId="68" xfId="0" applyFont="1" applyBorder="1">
      <alignment horizontal="left" vertical="center" indent="1"/>
    </xf>
    <xf numFmtId="0" fontId="4" fillId="6" borderId="55" xfId="13" applyNumberFormat="1" applyBorder="1">
      <alignment horizontal="left" vertical="center" indent="1"/>
    </xf>
    <xf numFmtId="0" fontId="4" fillId="6" borderId="37" xfId="13" applyNumberFormat="1" applyBorder="1" applyAlignment="1">
      <alignment horizontal="center" vertical="center"/>
    </xf>
    <xf numFmtId="0" fontId="4" fillId="6" borderId="37" xfId="13" applyNumberFormat="1" applyBorder="1" applyAlignment="1">
      <alignment horizontal="center" vertical="center" wrapText="1"/>
    </xf>
    <xf numFmtId="1" fontId="0" fillId="0" borderId="0" xfId="0" applyNumberFormat="1" applyAlignment="1">
      <alignment horizontal="left"/>
    </xf>
    <xf numFmtId="0" fontId="0" fillId="0" borderId="57" xfId="0" applyBorder="1">
      <alignment horizontal="left" vertical="center" indent="1"/>
    </xf>
    <xf numFmtId="0" fontId="0" fillId="0" borderId="65" xfId="0" applyBorder="1">
      <alignment horizontal="left" vertical="center" indent="1"/>
    </xf>
    <xf numFmtId="0" fontId="4" fillId="0" borderId="63" xfId="0" applyFont="1" applyBorder="1">
      <alignment horizontal="left" vertical="center" indent="1"/>
    </xf>
    <xf numFmtId="165" fontId="0" fillId="5" borderId="0" xfId="5" applyFont="1" applyFill="1" applyBorder="1" applyAlignment="1">
      <alignment horizontal="center"/>
    </xf>
    <xf numFmtId="165" fontId="0" fillId="5" borderId="57" xfId="5" applyFont="1" applyFill="1" applyBorder="1" applyAlignment="1">
      <alignment horizontal="center"/>
    </xf>
    <xf numFmtId="0" fontId="0" fillId="0" borderId="68" xfId="0" applyBorder="1">
      <alignment horizontal="left" vertical="center" indent="1"/>
    </xf>
    <xf numFmtId="0" fontId="4" fillId="0" borderId="57" xfId="0" applyFont="1" applyBorder="1" applyAlignment="1">
      <alignment horizontal="center" vertical="center"/>
    </xf>
    <xf numFmtId="0" fontId="4" fillId="0" borderId="79" xfId="0" applyFont="1" applyBorder="1">
      <alignment horizontal="left" vertical="center" indent="1"/>
    </xf>
    <xf numFmtId="0" fontId="4" fillId="0" borderId="80" xfId="0" applyFont="1" applyBorder="1" applyAlignment="1">
      <alignment horizontal="center" vertical="center"/>
    </xf>
    <xf numFmtId="166" fontId="0" fillId="0" borderId="64" xfId="1" applyNumberFormat="1" applyFont="1" applyBorder="1" applyAlignment="1">
      <alignment horizontal="center" vertical="center"/>
    </xf>
    <xf numFmtId="166" fontId="4" fillId="0" borderId="65" xfId="1" applyNumberFormat="1" applyFont="1" applyBorder="1" applyAlignment="1">
      <alignment horizontal="center" vertical="center"/>
    </xf>
    <xf numFmtId="0" fontId="0" fillId="0" borderId="51" xfId="0" applyBorder="1" applyAlignment="1">
      <alignment horizontal="center" vertical="center"/>
    </xf>
    <xf numFmtId="0" fontId="4" fillId="0" borderId="69" xfId="0" applyFont="1" applyBorder="1" applyAlignment="1">
      <alignment horizontal="center" vertical="center"/>
    </xf>
    <xf numFmtId="166" fontId="0" fillId="0" borderId="69" xfId="0" applyNumberFormat="1" applyBorder="1">
      <alignment horizontal="left" vertical="center" indent="1"/>
    </xf>
    <xf numFmtId="166" fontId="0" fillId="0" borderId="57" xfId="0" applyNumberFormat="1" applyBorder="1">
      <alignment horizontal="left" vertical="center" indent="1"/>
    </xf>
    <xf numFmtId="166" fontId="0" fillId="0" borderId="77" xfId="0" applyNumberFormat="1" applyBorder="1">
      <alignment horizontal="left" vertical="center" indent="1"/>
    </xf>
    <xf numFmtId="0" fontId="0" fillId="0" borderId="69" xfId="0" applyBorder="1">
      <alignment horizontal="left" vertical="center" indent="1"/>
    </xf>
    <xf numFmtId="0" fontId="8" fillId="12" borderId="0" xfId="9" applyFill="1" applyBorder="1" applyAlignment="1">
      <alignment horizontal="left" vertical="center" indent="1"/>
    </xf>
    <xf numFmtId="0" fontId="8" fillId="12" borderId="0" xfId="9" applyFill="1" applyAlignment="1">
      <alignment horizontal="left" vertical="center" indent="1"/>
    </xf>
    <xf numFmtId="1" fontId="0" fillId="0" borderId="0" xfId="0" applyNumberFormat="1" applyAlignment="1">
      <alignment horizontal="center" vertical="center"/>
    </xf>
    <xf numFmtId="1" fontId="0" fillId="0" borderId="51" xfId="0" applyNumberFormat="1" applyBorder="1" applyAlignment="1">
      <alignment horizontal="center" vertical="center"/>
    </xf>
    <xf numFmtId="1" fontId="0" fillId="0" borderId="52" xfId="0" applyNumberFormat="1" applyBorder="1" applyAlignment="1">
      <alignment horizontal="center" vertical="center"/>
    </xf>
    <xf numFmtId="1" fontId="0" fillId="0" borderId="64" xfId="0" applyNumberFormat="1" applyBorder="1" applyAlignment="1">
      <alignment horizontal="center" vertical="center"/>
    </xf>
    <xf numFmtId="0" fontId="6" fillId="0" borderId="56" xfId="0" applyFont="1" applyBorder="1">
      <alignment horizontal="left" vertical="center" indent="1"/>
    </xf>
    <xf numFmtId="0" fontId="4" fillId="0" borderId="53" xfId="0" applyFont="1" applyBorder="1">
      <alignment horizontal="left" vertical="center" indent="1"/>
    </xf>
    <xf numFmtId="0" fontId="4" fillId="6" borderId="83" xfId="13" applyNumberFormat="1" applyBorder="1">
      <alignment horizontal="left" vertical="center" indent="1"/>
    </xf>
    <xf numFmtId="0" fontId="4" fillId="6" borderId="84" xfId="13" applyNumberFormat="1" applyBorder="1">
      <alignment horizontal="left" vertical="center" indent="1"/>
    </xf>
    <xf numFmtId="0" fontId="4" fillId="6" borderId="85" xfId="13" applyNumberFormat="1" applyBorder="1" applyAlignment="1">
      <alignment horizontal="right" vertical="center" indent="1"/>
    </xf>
    <xf numFmtId="0" fontId="4" fillId="6" borderId="84" xfId="13" applyNumberFormat="1" applyBorder="1" applyAlignment="1">
      <alignment horizontal="right" vertical="center" indent="1"/>
    </xf>
    <xf numFmtId="0" fontId="4" fillId="6" borderId="78" xfId="13" applyNumberFormat="1" applyBorder="1" applyAlignment="1">
      <alignment horizontal="center" vertical="center"/>
    </xf>
    <xf numFmtId="0" fontId="4" fillId="0" borderId="0" xfId="13" applyNumberFormat="1" applyFill="1" applyBorder="1" applyAlignment="1">
      <alignment horizontal="center" vertical="center"/>
    </xf>
    <xf numFmtId="0" fontId="4" fillId="0" borderId="0" xfId="0" applyFont="1" applyAlignment="1">
      <alignment horizontal="center" vertical="center"/>
    </xf>
    <xf numFmtId="0" fontId="4" fillId="6" borderId="54" xfId="13" applyNumberFormat="1" applyBorder="1" applyAlignment="1">
      <alignment horizontal="left" vertical="center"/>
    </xf>
    <xf numFmtId="0" fontId="0" fillId="0" borderId="87" xfId="0" applyBorder="1">
      <alignment horizontal="left" vertical="center" indent="1"/>
    </xf>
    <xf numFmtId="0" fontId="10" fillId="0" borderId="0" xfId="7">
      <alignment horizontal="left" vertical="center" indent="1"/>
    </xf>
    <xf numFmtId="1" fontId="0" fillId="0" borderId="0" xfId="0" applyNumberFormat="1" applyAlignment="1"/>
    <xf numFmtId="1" fontId="0" fillId="0" borderId="0" xfId="21" applyNumberFormat="1" applyFont="1" applyFill="1" applyBorder="1" applyAlignment="1">
      <alignment vertical="center" wrapText="1"/>
    </xf>
    <xf numFmtId="0" fontId="8" fillId="0" borderId="0" xfId="14" applyFill="1" applyAlignment="1">
      <alignment horizontal="left" vertical="center" indent="1"/>
    </xf>
    <xf numFmtId="1" fontId="4" fillId="6" borderId="54" xfId="13" applyNumberFormat="1" applyBorder="1" applyAlignment="1">
      <alignment horizontal="center" vertical="center"/>
    </xf>
    <xf numFmtId="1" fontId="0" fillId="0" borderId="54" xfId="0" applyNumberFormat="1" applyBorder="1" applyAlignment="1">
      <alignment horizontal="center" vertical="center"/>
    </xf>
    <xf numFmtId="0" fontId="4" fillId="0" borderId="0" xfId="13" applyNumberFormat="1" applyFill="1" applyBorder="1" applyAlignment="1">
      <alignment horizontal="right" vertical="center" indent="1"/>
    </xf>
    <xf numFmtId="0" fontId="4" fillId="0" borderId="0" xfId="13" applyNumberFormat="1" applyFill="1" applyAlignment="1">
      <alignment horizontal="right" vertical="center" indent="1"/>
    </xf>
    <xf numFmtId="165" fontId="0" fillId="0" borderId="3" xfId="5" applyFont="1" applyFill="1" applyBorder="1" applyAlignment="1">
      <alignment horizontal="right" vertical="center" indent="1"/>
    </xf>
    <xf numFmtId="3" fontId="0" fillId="0" borderId="52" xfId="4" applyFont="1" applyBorder="1" applyAlignment="1">
      <alignment horizontal="center" vertical="center"/>
    </xf>
    <xf numFmtId="0" fontId="0" fillId="0" borderId="52" xfId="0" applyBorder="1" applyAlignment="1">
      <alignment horizontal="center" vertical="center"/>
    </xf>
    <xf numFmtId="3" fontId="0" fillId="0" borderId="89" xfId="4" applyFont="1" applyBorder="1" applyAlignment="1">
      <alignment horizontal="center" vertical="center"/>
    </xf>
    <xf numFmtId="9" fontId="0" fillId="0" borderId="0" xfId="19" applyNumberFormat="1" applyFont="1" applyFill="1" applyBorder="1" applyAlignment="1">
      <alignment horizontal="center" vertical="center"/>
    </xf>
    <xf numFmtId="2" fontId="0" fillId="0" borderId="0" xfId="19" applyNumberFormat="1" applyFont="1" applyFill="1" applyBorder="1" applyAlignment="1">
      <alignment horizontal="center" vertical="center"/>
    </xf>
    <xf numFmtId="9" fontId="0" fillId="0" borderId="89" xfId="19" applyNumberFormat="1" applyFont="1" applyFill="1" applyBorder="1" applyAlignment="1">
      <alignment horizontal="center" vertical="center"/>
    </xf>
    <xf numFmtId="2" fontId="0" fillId="0" borderId="89" xfId="19" applyNumberFormat="1" applyFont="1" applyFill="1" applyBorder="1" applyAlignment="1">
      <alignment horizontal="center" vertical="center"/>
    </xf>
    <xf numFmtId="3" fontId="0" fillId="0" borderId="0" xfId="19" applyNumberFormat="1" applyFont="1" applyFill="1" applyBorder="1" applyAlignment="1">
      <alignment horizontal="center" vertical="center"/>
    </xf>
    <xf numFmtId="3" fontId="0" fillId="0" borderId="51" xfId="19" applyNumberFormat="1" applyFont="1" applyFill="1" applyBorder="1" applyAlignment="1">
      <alignment horizontal="center" vertical="center"/>
    </xf>
    <xf numFmtId="3" fontId="0" fillId="0" borderId="52" xfId="19" applyNumberFormat="1" applyFont="1" applyFill="1" applyBorder="1" applyAlignment="1">
      <alignment horizontal="center" vertical="center"/>
    </xf>
    <xf numFmtId="1" fontId="4" fillId="6" borderId="52" xfId="13" applyNumberFormat="1" applyBorder="1" applyAlignment="1">
      <alignment horizontal="center" vertical="center"/>
    </xf>
    <xf numFmtId="1" fontId="4" fillId="6" borderId="52" xfId="13" applyNumberFormat="1" applyBorder="1" applyAlignment="1">
      <alignment horizontal="center" vertical="center" wrapText="1"/>
    </xf>
    <xf numFmtId="0" fontId="4" fillId="6" borderId="52" xfId="13" applyNumberFormat="1" applyBorder="1" applyAlignment="1">
      <alignment horizontal="center" vertical="center"/>
    </xf>
    <xf numFmtId="0" fontId="34" fillId="8" borderId="44" xfId="0" applyFont="1" applyFill="1" applyBorder="1" applyAlignment="1">
      <alignment horizontal="center"/>
    </xf>
    <xf numFmtId="0" fontId="34" fillId="8" borderId="45" xfId="0" applyFont="1" applyFill="1" applyBorder="1" applyAlignment="1">
      <alignment horizontal="center"/>
    </xf>
    <xf numFmtId="0" fontId="34" fillId="8" borderId="49" xfId="0" applyFont="1" applyFill="1" applyBorder="1" applyAlignment="1">
      <alignment horizontal="center"/>
    </xf>
    <xf numFmtId="0" fontId="32" fillId="0" borderId="44" xfId="0" applyFont="1" applyBorder="1" applyAlignment="1">
      <alignment horizontal="center"/>
    </xf>
    <xf numFmtId="0" fontId="32" fillId="0" borderId="45" xfId="0" applyFont="1" applyBorder="1" applyAlignment="1">
      <alignment horizontal="center"/>
    </xf>
    <xf numFmtId="0" fontId="32" fillId="0" borderId="49" xfId="0" applyFont="1" applyBorder="1" applyAlignment="1">
      <alignment horizontal="center"/>
    </xf>
    <xf numFmtId="1" fontId="4" fillId="6" borderId="62" xfId="13" applyNumberFormat="1" applyBorder="1" applyAlignment="1">
      <alignment horizontal="center" vertical="center" wrapText="1"/>
    </xf>
    <xf numFmtId="2" fontId="0" fillId="0" borderId="57" xfId="19" applyNumberFormat="1" applyFont="1" applyFill="1" applyBorder="1" applyAlignment="1">
      <alignment horizontal="center" vertical="center"/>
    </xf>
    <xf numFmtId="2" fontId="0" fillId="0" borderId="86" xfId="19" applyNumberFormat="1" applyFont="1" applyFill="1" applyBorder="1" applyAlignment="1">
      <alignment horizontal="center" vertical="center"/>
    </xf>
    <xf numFmtId="3" fontId="0" fillId="0" borderId="64" xfId="4" applyFont="1" applyBorder="1" applyAlignment="1">
      <alignment horizontal="center" vertical="center"/>
    </xf>
    <xf numFmtId="3" fontId="0" fillId="0" borderId="54" xfId="19" applyNumberFormat="1" applyFont="1" applyFill="1" applyBorder="1" applyAlignment="1">
      <alignment horizontal="center" vertical="center"/>
    </xf>
    <xf numFmtId="0" fontId="0" fillId="0" borderId="89" xfId="0" applyBorder="1" applyAlignment="1">
      <alignment horizontal="center" vertical="center"/>
    </xf>
    <xf numFmtId="0" fontId="0" fillId="0" borderId="64" xfId="0" applyBorder="1" applyAlignment="1">
      <alignment horizontal="center" vertical="center"/>
    </xf>
    <xf numFmtId="0" fontId="51" fillId="0" borderId="0" xfId="0" applyFont="1">
      <alignment horizontal="left" vertical="center" indent="1"/>
    </xf>
    <xf numFmtId="0" fontId="0" fillId="15" borderId="51" xfId="0" applyFill="1" applyBorder="1" applyAlignment="1">
      <alignment horizontal="center" vertical="center"/>
    </xf>
    <xf numFmtId="3" fontId="0" fillId="15" borderId="54" xfId="4" applyFont="1" applyFill="1" applyBorder="1" applyAlignment="1">
      <alignment horizontal="center" vertical="center"/>
    </xf>
    <xf numFmtId="181" fontId="0" fillId="15" borderId="54" xfId="4" applyNumberFormat="1" applyFont="1" applyFill="1" applyBorder="1" applyAlignment="1">
      <alignment horizontal="center" vertical="center"/>
    </xf>
    <xf numFmtId="3" fontId="0" fillId="15" borderId="54" xfId="19" applyNumberFormat="1" applyFont="1" applyFill="1" applyBorder="1" applyAlignment="1">
      <alignment horizontal="center" vertical="center"/>
    </xf>
    <xf numFmtId="3" fontId="53" fillId="15" borderId="54" xfId="0" applyNumberFormat="1" applyFont="1" applyFill="1" applyBorder="1" applyAlignment="1">
      <alignment horizontal="center" vertical="center"/>
    </xf>
    <xf numFmtId="10" fontId="9" fillId="15" borderId="54" xfId="19" applyNumberFormat="1" applyFont="1" applyFill="1" applyBorder="1" applyAlignment="1">
      <alignment horizontal="center" vertical="center"/>
    </xf>
    <xf numFmtId="3" fontId="0" fillId="15" borderId="51" xfId="19" applyNumberFormat="1" applyFont="1" applyFill="1" applyBorder="1" applyAlignment="1">
      <alignment horizontal="center" vertical="center"/>
    </xf>
    <xf numFmtId="0" fontId="0" fillId="15" borderId="0" xfId="0" applyFill="1">
      <alignment horizontal="left" vertical="center" indent="1"/>
    </xf>
    <xf numFmtId="0" fontId="0" fillId="15" borderId="0" xfId="0" applyFill="1" applyAlignment="1">
      <alignment horizontal="center" vertical="center"/>
    </xf>
    <xf numFmtId="3" fontId="0" fillId="15" borderId="0" xfId="4" applyFont="1" applyFill="1" applyBorder="1" applyAlignment="1">
      <alignment horizontal="center" vertical="center"/>
    </xf>
    <xf numFmtId="181" fontId="0" fillId="15" borderId="0" xfId="4" applyNumberFormat="1" applyFont="1" applyFill="1" applyBorder="1" applyAlignment="1">
      <alignment horizontal="center" vertical="center"/>
    </xf>
    <xf numFmtId="3" fontId="0" fillId="15" borderId="0" xfId="19" applyNumberFormat="1" applyFont="1" applyFill="1" applyBorder="1" applyAlignment="1">
      <alignment horizontal="center" vertical="center"/>
    </xf>
    <xf numFmtId="10" fontId="9" fillId="15" borderId="0" xfId="19" applyNumberFormat="1" applyFont="1" applyFill="1" applyBorder="1" applyAlignment="1">
      <alignment horizontal="center" vertical="center"/>
    </xf>
    <xf numFmtId="9" fontId="0" fillId="15" borderId="0" xfId="19" applyNumberFormat="1" applyFont="1" applyFill="1" applyBorder="1" applyAlignment="1">
      <alignment horizontal="center" vertical="center"/>
    </xf>
    <xf numFmtId="2" fontId="0" fillId="15" borderId="0" xfId="19" applyNumberFormat="1" applyFont="1" applyFill="1" applyBorder="1" applyAlignment="1">
      <alignment horizontal="center" vertical="center"/>
    </xf>
    <xf numFmtId="2" fontId="0" fillId="15" borderId="57" xfId="19" applyNumberFormat="1" applyFont="1" applyFill="1" applyBorder="1" applyAlignment="1">
      <alignment horizontal="center" vertical="center"/>
    </xf>
    <xf numFmtId="3" fontId="0" fillId="15" borderId="52" xfId="19" applyNumberFormat="1" applyFont="1" applyFill="1" applyBorder="1" applyAlignment="1">
      <alignment horizontal="center" vertical="center"/>
    </xf>
    <xf numFmtId="3" fontId="0" fillId="15" borderId="51" xfId="4" applyFont="1" applyFill="1" applyBorder="1" applyAlignment="1">
      <alignment horizontal="center" vertical="center"/>
    </xf>
    <xf numFmtId="181" fontId="0" fillId="15" borderId="51" xfId="4" applyNumberFormat="1" applyFont="1" applyFill="1" applyBorder="1" applyAlignment="1">
      <alignment horizontal="center" vertical="center"/>
    </xf>
    <xf numFmtId="3" fontId="53" fillId="15" borderId="51" xfId="0" applyNumberFormat="1" applyFont="1" applyFill="1" applyBorder="1" applyAlignment="1">
      <alignment horizontal="center" vertical="center"/>
    </xf>
    <xf numFmtId="10" fontId="9" fillId="15" borderId="51" xfId="19" applyNumberFormat="1" applyFont="1" applyFill="1" applyBorder="1" applyAlignment="1">
      <alignment horizontal="center" vertical="center"/>
    </xf>
    <xf numFmtId="0" fontId="0" fillId="15" borderId="52" xfId="0" applyFill="1" applyBorder="1" applyAlignment="1">
      <alignment horizontal="center" vertical="center"/>
    </xf>
    <xf numFmtId="3" fontId="0" fillId="15" borderId="52" xfId="4" applyFont="1" applyFill="1" applyBorder="1" applyAlignment="1">
      <alignment horizontal="center" vertical="center"/>
    </xf>
    <xf numFmtId="181" fontId="0" fillId="15" borderId="52" xfId="4" applyNumberFormat="1" applyFont="1" applyFill="1" applyBorder="1" applyAlignment="1">
      <alignment horizontal="center" vertical="center"/>
    </xf>
    <xf numFmtId="3" fontId="53" fillId="15" borderId="52" xfId="0" applyNumberFormat="1" applyFont="1" applyFill="1" applyBorder="1" applyAlignment="1">
      <alignment horizontal="center" vertical="center"/>
    </xf>
    <xf numFmtId="10" fontId="9" fillId="15" borderId="52" xfId="19" applyNumberFormat="1" applyFont="1" applyFill="1" applyBorder="1" applyAlignment="1">
      <alignment horizontal="center" vertical="center"/>
    </xf>
    <xf numFmtId="0" fontId="53" fillId="15" borderId="51" xfId="0" applyFont="1" applyFill="1" applyBorder="1" applyAlignment="1">
      <alignment horizontal="center" vertical="center"/>
    </xf>
    <xf numFmtId="0" fontId="53" fillId="15" borderId="52" xfId="0" applyFont="1" applyFill="1" applyBorder="1" applyAlignment="1">
      <alignment horizontal="center" vertical="center"/>
    </xf>
    <xf numFmtId="0" fontId="0" fillId="15" borderId="89" xfId="0" applyFill="1" applyBorder="1" applyAlignment="1">
      <alignment horizontal="center" vertical="center"/>
    </xf>
    <xf numFmtId="3" fontId="0" fillId="15" borderId="89" xfId="4" applyFont="1" applyFill="1" applyBorder="1" applyAlignment="1">
      <alignment horizontal="center" vertical="center"/>
    </xf>
    <xf numFmtId="181" fontId="0" fillId="15" borderId="89" xfId="4" applyNumberFormat="1" applyFont="1" applyFill="1" applyBorder="1" applyAlignment="1">
      <alignment horizontal="center" vertical="center"/>
    </xf>
    <xf numFmtId="0" fontId="52" fillId="15" borderId="89" xfId="0" applyFont="1" applyFill="1" applyBorder="1" applyAlignment="1">
      <alignment horizontal="center" vertical="center"/>
    </xf>
    <xf numFmtId="10" fontId="9" fillId="15" borderId="89" xfId="19" applyNumberFormat="1" applyFont="1" applyFill="1" applyBorder="1" applyAlignment="1">
      <alignment horizontal="center" vertical="center"/>
    </xf>
    <xf numFmtId="9" fontId="0" fillId="15" borderId="89" xfId="19" applyNumberFormat="1" applyFont="1" applyFill="1" applyBorder="1" applyAlignment="1">
      <alignment horizontal="center" vertical="center"/>
    </xf>
    <xf numFmtId="2" fontId="0" fillId="15" borderId="89" xfId="19" applyNumberFormat="1" applyFont="1" applyFill="1" applyBorder="1" applyAlignment="1">
      <alignment horizontal="center" vertical="center"/>
    </xf>
    <xf numFmtId="2" fontId="0" fillId="15" borderId="86" xfId="19" applyNumberFormat="1" applyFont="1" applyFill="1" applyBorder="1" applyAlignment="1">
      <alignment horizontal="center" vertical="center"/>
    </xf>
    <xf numFmtId="3" fontId="53" fillId="15" borderId="89" xfId="0" applyNumberFormat="1" applyFont="1" applyFill="1" applyBorder="1" applyAlignment="1">
      <alignment horizontal="center" vertical="center"/>
    </xf>
    <xf numFmtId="0" fontId="0" fillId="15" borderId="64" xfId="0" applyFill="1" applyBorder="1">
      <alignment horizontal="left" vertical="center" indent="1"/>
    </xf>
    <xf numFmtId="0" fontId="0" fillId="15" borderId="64" xfId="0" applyFill="1" applyBorder="1" applyAlignment="1">
      <alignment horizontal="center" vertical="center"/>
    </xf>
    <xf numFmtId="3" fontId="0" fillId="15" borderId="64" xfId="4" applyFont="1" applyFill="1" applyBorder="1" applyAlignment="1">
      <alignment horizontal="center" vertical="center"/>
    </xf>
    <xf numFmtId="181" fontId="0" fillId="15" borderId="64" xfId="4" applyNumberFormat="1" applyFont="1" applyFill="1" applyBorder="1" applyAlignment="1">
      <alignment horizontal="center" vertical="center"/>
    </xf>
    <xf numFmtId="10" fontId="9" fillId="15" borderId="64" xfId="19" applyNumberFormat="1" applyFont="1" applyFill="1" applyBorder="1" applyAlignment="1">
      <alignment horizontal="center" vertical="center"/>
    </xf>
    <xf numFmtId="1" fontId="4" fillId="6" borderId="66" xfId="13" applyNumberFormat="1" applyBorder="1" applyAlignment="1">
      <alignment horizontal="center" vertical="center"/>
    </xf>
    <xf numFmtId="3" fontId="0" fillId="0" borderId="68" xfId="19" applyNumberFormat="1" applyFont="1" applyFill="1" applyBorder="1" applyAlignment="1">
      <alignment horizontal="center" vertical="center"/>
    </xf>
    <xf numFmtId="3" fontId="0" fillId="0" borderId="56" xfId="19" applyNumberFormat="1" applyFont="1" applyFill="1" applyBorder="1" applyAlignment="1">
      <alignment horizontal="center" vertical="center"/>
    </xf>
    <xf numFmtId="3" fontId="0" fillId="0" borderId="66" xfId="19" applyNumberFormat="1" applyFont="1" applyFill="1" applyBorder="1" applyAlignment="1">
      <alignment horizontal="center" vertical="center"/>
    </xf>
    <xf numFmtId="3" fontId="0" fillId="15" borderId="53" xfId="19" applyNumberFormat="1" applyFont="1" applyFill="1" applyBorder="1" applyAlignment="1">
      <alignment horizontal="center" vertical="center"/>
    </xf>
    <xf numFmtId="3" fontId="53" fillId="15" borderId="55" xfId="0" applyNumberFormat="1" applyFont="1" applyFill="1" applyBorder="1" applyAlignment="1">
      <alignment horizontal="center" vertical="center"/>
    </xf>
    <xf numFmtId="3" fontId="0" fillId="15" borderId="56" xfId="19" applyNumberFormat="1" applyFont="1" applyFill="1" applyBorder="1" applyAlignment="1">
      <alignment horizontal="center" vertical="center"/>
    </xf>
    <xf numFmtId="3" fontId="53" fillId="15" borderId="0" xfId="0" applyNumberFormat="1" applyFont="1" applyFill="1" applyAlignment="1">
      <alignment horizontal="center" vertical="center"/>
    </xf>
    <xf numFmtId="3" fontId="53" fillId="15" borderId="57" xfId="0" applyNumberFormat="1" applyFont="1" applyFill="1" applyBorder="1" applyAlignment="1">
      <alignment horizontal="center" vertical="center"/>
    </xf>
    <xf numFmtId="3" fontId="0" fillId="15" borderId="68" xfId="19" applyNumberFormat="1" applyFont="1" applyFill="1" applyBorder="1" applyAlignment="1">
      <alignment horizontal="center" vertical="center"/>
    </xf>
    <xf numFmtId="3" fontId="53" fillId="15" borderId="69" xfId="0" applyNumberFormat="1" applyFont="1" applyFill="1" applyBorder="1" applyAlignment="1">
      <alignment horizontal="center" vertical="center"/>
    </xf>
    <xf numFmtId="3" fontId="0" fillId="15" borderId="66" xfId="19" applyNumberFormat="1" applyFont="1" applyFill="1" applyBorder="1" applyAlignment="1">
      <alignment horizontal="center" vertical="center"/>
    </xf>
    <xf numFmtId="3" fontId="53" fillId="15" borderId="62" xfId="0" applyNumberFormat="1" applyFont="1" applyFill="1" applyBorder="1" applyAlignment="1">
      <alignment horizontal="center" vertical="center"/>
    </xf>
    <xf numFmtId="0" fontId="53" fillId="15" borderId="0" xfId="0" applyFont="1" applyFill="1" applyAlignment="1">
      <alignment horizontal="center" vertical="center"/>
    </xf>
    <xf numFmtId="0" fontId="53" fillId="15" borderId="68" xfId="0" applyFont="1" applyFill="1" applyBorder="1" applyAlignment="1">
      <alignment horizontal="center" vertical="center"/>
    </xf>
    <xf numFmtId="3" fontId="0" fillId="15" borderId="57" xfId="19" applyNumberFormat="1" applyFont="1" applyFill="1" applyBorder="1" applyAlignment="1">
      <alignment horizontal="center" vertical="center"/>
    </xf>
    <xf numFmtId="0" fontId="53" fillId="15" borderId="66" xfId="0" applyFont="1" applyFill="1" applyBorder="1" applyAlignment="1">
      <alignment horizontal="center" vertical="center"/>
    </xf>
    <xf numFmtId="3" fontId="0" fillId="15" borderId="56" xfId="4" applyFont="1" applyFill="1" applyBorder="1" applyAlignment="1">
      <alignment horizontal="center" vertical="center"/>
    </xf>
    <xf numFmtId="3" fontId="0" fillId="15" borderId="94" xfId="4" applyFont="1" applyFill="1" applyBorder="1" applyAlignment="1">
      <alignment horizontal="center" vertical="center"/>
    </xf>
    <xf numFmtId="0" fontId="52" fillId="15" borderId="86" xfId="0" applyFont="1" applyFill="1" applyBorder="1" applyAlignment="1">
      <alignment horizontal="center" vertical="center"/>
    </xf>
    <xf numFmtId="3" fontId="53" fillId="15" borderId="86" xfId="0" applyNumberFormat="1" applyFont="1" applyFill="1" applyBorder="1" applyAlignment="1">
      <alignment horizontal="center" vertical="center"/>
    </xf>
    <xf numFmtId="3" fontId="0" fillId="15" borderId="63" xfId="4" applyFont="1" applyFill="1" applyBorder="1" applyAlignment="1">
      <alignment horizontal="center" vertical="center"/>
    </xf>
    <xf numFmtId="3" fontId="0" fillId="15" borderId="65" xfId="4" applyFont="1" applyFill="1" applyBorder="1" applyAlignment="1">
      <alignment horizontal="center" vertical="center"/>
    </xf>
    <xf numFmtId="3" fontId="0" fillId="0" borderId="53" xfId="19" applyNumberFormat="1" applyFont="1" applyFill="1" applyBorder="1" applyAlignment="1">
      <alignment horizontal="center" vertical="center"/>
    </xf>
    <xf numFmtId="1" fontId="4" fillId="6" borderId="66" xfId="13" applyNumberFormat="1" applyBorder="1" applyAlignment="1">
      <alignment horizontal="center" vertical="center" wrapText="1"/>
    </xf>
    <xf numFmtId="3" fontId="0" fillId="0" borderId="0" xfId="4" applyFont="1" applyFill="1" applyBorder="1" applyAlignment="1">
      <alignment horizontal="center" vertical="center"/>
    </xf>
    <xf numFmtId="0" fontId="0" fillId="14" borderId="0" xfId="0" applyFill="1">
      <alignment horizontal="left" vertical="center" indent="1"/>
    </xf>
    <xf numFmtId="16" fontId="0" fillId="0" borderId="0" xfId="0" quotePrefix="1" applyNumberFormat="1">
      <alignment horizontal="left" vertical="center" indent="1"/>
    </xf>
    <xf numFmtId="166" fontId="0" fillId="0" borderId="0" xfId="0" applyNumberFormat="1">
      <alignment horizontal="left" vertical="center" indent="1"/>
    </xf>
    <xf numFmtId="0" fontId="0" fillId="16" borderId="0" xfId="0" applyFill="1">
      <alignment horizontal="left" vertical="center" indent="1"/>
    </xf>
    <xf numFmtId="2" fontId="0" fillId="16" borderId="0" xfId="0" applyNumberFormat="1" applyFill="1">
      <alignment horizontal="left" vertical="center" indent="1"/>
    </xf>
    <xf numFmtId="1" fontId="54" fillId="17" borderId="0" xfId="13" applyNumberFormat="1" applyFont="1" applyFill="1" applyAlignment="1">
      <alignment horizontal="center" vertical="center"/>
    </xf>
    <xf numFmtId="2" fontId="55" fillId="0" borderId="57" xfId="0" applyNumberFormat="1" applyFont="1" applyBorder="1" applyAlignment="1">
      <alignment horizontal="center" vertical="center"/>
    </xf>
    <xf numFmtId="2" fontId="55" fillId="0" borderId="52" xfId="0" applyNumberFormat="1" applyFont="1" applyBorder="1" applyAlignment="1">
      <alignment horizontal="center" vertical="center"/>
    </xf>
    <xf numFmtId="2" fontId="55" fillId="0" borderId="62" xfId="0" applyNumberFormat="1" applyFont="1" applyBorder="1" applyAlignment="1">
      <alignment horizontal="center" vertical="center"/>
    </xf>
    <xf numFmtId="2" fontId="55" fillId="0" borderId="89" xfId="0" applyNumberFormat="1" applyFont="1" applyBorder="1" applyAlignment="1">
      <alignment horizontal="center" vertical="center"/>
    </xf>
    <xf numFmtId="2" fontId="55" fillId="0" borderId="86" xfId="0" applyNumberFormat="1" applyFont="1" applyBorder="1" applyAlignment="1">
      <alignment horizontal="center" vertical="center"/>
    </xf>
    <xf numFmtId="2" fontId="55" fillId="0" borderId="51" xfId="0" applyNumberFormat="1" applyFont="1" applyBorder="1" applyAlignment="1">
      <alignment horizontal="center" vertical="center"/>
    </xf>
    <xf numFmtId="2" fontId="55" fillId="0" borderId="69" xfId="0" applyNumberFormat="1" applyFont="1" applyBorder="1" applyAlignment="1">
      <alignment horizontal="center" vertical="center"/>
    </xf>
    <xf numFmtId="2" fontId="55" fillId="0" borderId="64" xfId="0" applyNumberFormat="1" applyFont="1" applyBorder="1" applyAlignment="1">
      <alignment horizontal="center" vertical="center"/>
    </xf>
    <xf numFmtId="2" fontId="55" fillId="0" borderId="65" xfId="0" applyNumberFormat="1" applyFont="1" applyBorder="1" applyAlignment="1">
      <alignment horizontal="center" vertical="center"/>
    </xf>
    <xf numFmtId="2" fontId="0" fillId="0" borderId="57" xfId="0" applyNumberFormat="1" applyBorder="1">
      <alignment horizontal="left" vertical="center" indent="1"/>
    </xf>
    <xf numFmtId="0" fontId="56" fillId="0" borderId="0" xfId="0" applyFont="1" applyAlignment="1"/>
    <xf numFmtId="2" fontId="55" fillId="15" borderId="54" xfId="0" applyNumberFormat="1" applyFont="1" applyFill="1" applyBorder="1" applyAlignment="1">
      <alignment horizontal="center" vertical="center"/>
    </xf>
    <xf numFmtId="2" fontId="55" fillId="15" borderId="55" xfId="0" applyNumberFormat="1" applyFont="1" applyFill="1" applyBorder="1" applyAlignment="1">
      <alignment horizontal="center" vertical="center"/>
    </xf>
    <xf numFmtId="2" fontId="55" fillId="15" borderId="57" xfId="0" applyNumberFormat="1" applyFont="1" applyFill="1" applyBorder="1" applyAlignment="1">
      <alignment horizontal="center" vertical="center"/>
    </xf>
    <xf numFmtId="2" fontId="55" fillId="15" borderId="52" xfId="0" applyNumberFormat="1" applyFont="1" applyFill="1" applyBorder="1" applyAlignment="1">
      <alignment horizontal="center" vertical="center"/>
    </xf>
    <xf numFmtId="2" fontId="55" fillId="15" borderId="62" xfId="0" applyNumberFormat="1" applyFont="1" applyFill="1" applyBorder="1" applyAlignment="1">
      <alignment horizontal="center" vertical="center"/>
    </xf>
    <xf numFmtId="2" fontId="55" fillId="15" borderId="51" xfId="0" applyNumberFormat="1" applyFont="1" applyFill="1" applyBorder="1" applyAlignment="1">
      <alignment horizontal="center" vertical="center"/>
    </xf>
    <xf numFmtId="2" fontId="55" fillId="15" borderId="89" xfId="0" applyNumberFormat="1" applyFont="1" applyFill="1" applyBorder="1" applyAlignment="1">
      <alignment horizontal="center" vertical="center"/>
    </xf>
    <xf numFmtId="2" fontId="55" fillId="15" borderId="86" xfId="0" applyNumberFormat="1" applyFont="1" applyFill="1" applyBorder="1" applyAlignment="1">
      <alignment horizontal="center" vertical="center"/>
    </xf>
    <xf numFmtId="2" fontId="55" fillId="15" borderId="65" xfId="0" applyNumberFormat="1" applyFont="1" applyFill="1" applyBorder="1" applyAlignment="1">
      <alignment horizontal="center" vertical="center"/>
    </xf>
    <xf numFmtId="0" fontId="0" fillId="0" borderId="0" xfId="7" applyFont="1" applyBorder="1">
      <alignment horizontal="left" vertical="center" indent="1"/>
    </xf>
    <xf numFmtId="0" fontId="58" fillId="0" borderId="0" xfId="3" applyFont="1" applyBorder="1" applyAlignment="1">
      <alignment horizontal="left" vertical="center" indent="1"/>
    </xf>
    <xf numFmtId="0" fontId="58" fillId="0" borderId="0" xfId="3" applyFont="1" applyAlignment="1">
      <alignment horizontal="left" vertical="center" indent="1"/>
    </xf>
    <xf numFmtId="2" fontId="55" fillId="15" borderId="0" xfId="0" applyNumberFormat="1" applyFont="1" applyFill="1" applyAlignment="1">
      <alignment horizontal="center" vertical="center"/>
    </xf>
    <xf numFmtId="0" fontId="34" fillId="8" borderId="0" xfId="0" applyFont="1" applyFill="1" applyAlignment="1"/>
    <xf numFmtId="0" fontId="34" fillId="8" borderId="0" xfId="0" applyFont="1" applyFill="1" applyAlignment="1">
      <alignment horizontal="centerContinuous"/>
    </xf>
    <xf numFmtId="0" fontId="34" fillId="8" borderId="0" xfId="0" applyFont="1" applyFill="1" applyAlignment="1">
      <alignment horizontal="center"/>
    </xf>
    <xf numFmtId="2" fontId="55" fillId="0" borderId="56" xfId="0" applyNumberFormat="1" applyFont="1" applyBorder="1" applyAlignment="1">
      <alignment horizontal="center" vertical="center"/>
    </xf>
    <xf numFmtId="2" fontId="55" fillId="0" borderId="0" xfId="0" applyNumberFormat="1" applyFont="1" applyAlignment="1">
      <alignment horizontal="center" vertical="center"/>
    </xf>
    <xf numFmtId="2" fontId="55" fillId="0" borderId="63" xfId="0" applyNumberFormat="1" applyFont="1" applyBorder="1" applyAlignment="1">
      <alignment horizontal="center" vertical="center"/>
    </xf>
    <xf numFmtId="2" fontId="55" fillId="0" borderId="68" xfId="0" applyNumberFormat="1" applyFont="1" applyBorder="1" applyAlignment="1">
      <alignment horizontal="center" vertical="center"/>
    </xf>
    <xf numFmtId="2" fontId="55" fillId="0" borderId="66" xfId="0" applyNumberFormat="1" applyFont="1" applyBorder="1" applyAlignment="1">
      <alignment horizontal="center" vertical="center"/>
    </xf>
    <xf numFmtId="2" fontId="55" fillId="0" borderId="94" xfId="0" applyNumberFormat="1" applyFont="1" applyBorder="1" applyAlignment="1">
      <alignment horizontal="center" vertical="center"/>
    </xf>
    <xf numFmtId="2" fontId="55" fillId="15" borderId="53" xfId="0" applyNumberFormat="1" applyFont="1" applyFill="1" applyBorder="1" applyAlignment="1">
      <alignment horizontal="center" vertical="center"/>
    </xf>
    <xf numFmtId="2" fontId="55" fillId="15" borderId="56" xfId="0" applyNumberFormat="1" applyFont="1" applyFill="1" applyBorder="1" applyAlignment="1">
      <alignment horizontal="center" vertical="center"/>
    </xf>
    <xf numFmtId="2" fontId="55" fillId="15" borderId="68" xfId="0" applyNumberFormat="1" applyFont="1" applyFill="1" applyBorder="1" applyAlignment="1">
      <alignment horizontal="center" vertical="center"/>
    </xf>
    <xf numFmtId="2" fontId="55" fillId="15" borderId="66" xfId="0" applyNumberFormat="1" applyFont="1" applyFill="1" applyBorder="1" applyAlignment="1">
      <alignment horizontal="center" vertical="center"/>
    </xf>
    <xf numFmtId="2" fontId="55" fillId="15" borderId="94" xfId="0" applyNumberFormat="1" applyFont="1" applyFill="1" applyBorder="1" applyAlignment="1">
      <alignment horizontal="center" vertical="center"/>
    </xf>
    <xf numFmtId="2" fontId="55" fillId="0" borderId="53" xfId="0" applyNumberFormat="1" applyFont="1" applyBorder="1" applyAlignment="1">
      <alignment horizontal="center" vertical="center"/>
    </xf>
    <xf numFmtId="2" fontId="55" fillId="0" borderId="54" xfId="0" applyNumberFormat="1" applyFont="1" applyBorder="1" applyAlignment="1">
      <alignment horizontal="center" vertical="center"/>
    </xf>
    <xf numFmtId="2" fontId="55" fillId="0" borderId="55" xfId="0" applyNumberFormat="1" applyFont="1" applyBorder="1" applyAlignment="1">
      <alignment horizontal="center" vertical="center"/>
    </xf>
    <xf numFmtId="4" fontId="0" fillId="0" borderId="51" xfId="19" applyNumberFormat="1" applyFont="1" applyFill="1" applyBorder="1" applyAlignment="1">
      <alignment horizontal="center" vertical="center"/>
    </xf>
    <xf numFmtId="4" fontId="9" fillId="0" borderId="0" xfId="19" applyNumberFormat="1" applyFont="1" applyFill="1" applyBorder="1" applyAlignment="1">
      <alignment horizontal="center" vertical="center"/>
    </xf>
    <xf numFmtId="4" fontId="0" fillId="0" borderId="68" xfId="19" applyNumberFormat="1" applyFont="1" applyFill="1" applyBorder="1" applyAlignment="1">
      <alignment horizontal="center" vertical="center"/>
    </xf>
    <xf numFmtId="4" fontId="0" fillId="0" borderId="56" xfId="19" applyNumberFormat="1" applyFont="1" applyFill="1" applyBorder="1" applyAlignment="1">
      <alignment horizontal="center" vertical="center"/>
    </xf>
    <xf numFmtId="4" fontId="0" fillId="0" borderId="63" xfId="19" applyNumberFormat="1" applyFont="1" applyFill="1" applyBorder="1" applyAlignment="1">
      <alignment horizontal="center" vertical="center"/>
    </xf>
    <xf numFmtId="4" fontId="0" fillId="0" borderId="66" xfId="19" applyNumberFormat="1" applyFont="1" applyFill="1" applyBorder="1" applyAlignment="1">
      <alignment horizontal="center" vertical="center"/>
    </xf>
    <xf numFmtId="4" fontId="0" fillId="0" borderId="94" xfId="19" applyNumberFormat="1" applyFont="1" applyFill="1" applyBorder="1" applyAlignment="1">
      <alignment horizontal="center" vertical="center"/>
    </xf>
    <xf numFmtId="4" fontId="0" fillId="15" borderId="53" xfId="19" applyNumberFormat="1" applyFont="1" applyFill="1" applyBorder="1" applyAlignment="1">
      <alignment horizontal="center" vertical="center"/>
    </xf>
    <xf numFmtId="4" fontId="9" fillId="15" borderId="54" xfId="19" applyNumberFormat="1" applyFont="1" applyFill="1" applyBorder="1" applyAlignment="1">
      <alignment horizontal="center" vertical="center"/>
    </xf>
    <xf numFmtId="4" fontId="0" fillId="15" borderId="56" xfId="19" applyNumberFormat="1" applyFont="1" applyFill="1" applyBorder="1" applyAlignment="1">
      <alignment horizontal="center" vertical="center"/>
    </xf>
    <xf numFmtId="4" fontId="9" fillId="15" borderId="0" xfId="19" applyNumberFormat="1" applyFont="1" applyFill="1" applyBorder="1" applyAlignment="1">
      <alignment horizontal="center" vertical="center"/>
    </xf>
    <xf numFmtId="4" fontId="0" fillId="15" borderId="68" xfId="19" applyNumberFormat="1" applyFont="1" applyFill="1" applyBorder="1" applyAlignment="1">
      <alignment horizontal="center" vertical="center"/>
    </xf>
    <xf numFmtId="4" fontId="0" fillId="15" borderId="66" xfId="19" applyNumberFormat="1" applyFont="1" applyFill="1" applyBorder="1" applyAlignment="1">
      <alignment horizontal="center" vertical="center"/>
    </xf>
    <xf numFmtId="4" fontId="0" fillId="15" borderId="94" xfId="19" applyNumberFormat="1" applyFont="1" applyFill="1" applyBorder="1" applyAlignment="1">
      <alignment horizontal="center" vertical="center"/>
    </xf>
    <xf numFmtId="4" fontId="0" fillId="15" borderId="63" xfId="19" applyNumberFormat="1" applyFont="1" applyFill="1" applyBorder="1" applyAlignment="1">
      <alignment horizontal="center" vertical="center"/>
    </xf>
    <xf numFmtId="4" fontId="9" fillId="15" borderId="64" xfId="19" applyNumberFormat="1" applyFont="1" applyFill="1" applyBorder="1" applyAlignment="1">
      <alignment horizontal="center" vertical="center"/>
    </xf>
    <xf numFmtId="4" fontId="0" fillId="0" borderId="69" xfId="19" applyNumberFormat="1" applyFont="1" applyFill="1" applyBorder="1" applyAlignment="1">
      <alignment horizontal="center" vertical="center"/>
    </xf>
    <xf numFmtId="4" fontId="9" fillId="15" borderId="55" xfId="19" applyNumberFormat="1" applyFont="1" applyFill="1" applyBorder="1" applyAlignment="1">
      <alignment horizontal="center" vertical="center"/>
    </xf>
    <xf numFmtId="4" fontId="9" fillId="15" borderId="57" xfId="19" applyNumberFormat="1" applyFont="1" applyFill="1" applyBorder="1" applyAlignment="1">
      <alignment horizontal="center" vertical="center"/>
    </xf>
    <xf numFmtId="4" fontId="9" fillId="15" borderId="65" xfId="19" applyNumberFormat="1" applyFont="1" applyFill="1" applyBorder="1" applyAlignment="1">
      <alignment horizontal="center" vertical="center"/>
    </xf>
    <xf numFmtId="3" fontId="4" fillId="6" borderId="84" xfId="13" applyNumberFormat="1" applyBorder="1" applyAlignment="1">
      <alignment horizontal="right" vertical="center" indent="1"/>
    </xf>
    <xf numFmtId="3" fontId="4" fillId="6" borderId="84" xfId="13" applyNumberFormat="1" applyBorder="1" applyAlignment="1">
      <alignment horizontal="center" vertical="center"/>
    </xf>
    <xf numFmtId="3" fontId="4" fillId="6" borderId="85" xfId="13" applyNumberFormat="1" applyBorder="1" applyAlignment="1">
      <alignment horizontal="center" vertical="center"/>
    </xf>
    <xf numFmtId="9" fontId="0" fillId="0" borderId="0" xfId="1" applyFont="1" applyBorder="1" applyAlignment="1">
      <alignment horizontal="center" vertical="center"/>
    </xf>
    <xf numFmtId="9" fontId="0" fillId="0" borderId="57" xfId="1" applyFont="1" applyBorder="1" applyAlignment="1">
      <alignment horizontal="center" vertical="center"/>
    </xf>
    <xf numFmtId="9" fontId="0" fillId="0" borderId="64" xfId="1" applyFont="1" applyBorder="1" applyAlignment="1">
      <alignment horizontal="center" vertical="center"/>
    </xf>
    <xf numFmtId="9" fontId="0" fillId="0" borderId="65" xfId="1" applyFont="1" applyBorder="1" applyAlignment="1">
      <alignment horizontal="center" vertical="center"/>
    </xf>
    <xf numFmtId="165" fontId="0" fillId="0" borderId="64" xfId="5" applyFont="1" applyBorder="1" applyAlignment="1">
      <alignment horizontal="right" vertical="center" indent="1"/>
    </xf>
    <xf numFmtId="165" fontId="0" fillId="0" borderId="65" xfId="5" applyFont="1" applyBorder="1" applyAlignment="1">
      <alignment horizontal="right" vertical="center" indent="1"/>
    </xf>
    <xf numFmtId="3" fontId="4" fillId="0" borderId="0" xfId="13" applyNumberFormat="1" applyFill="1" applyBorder="1" applyAlignment="1">
      <alignment horizontal="center" vertical="center"/>
    </xf>
    <xf numFmtId="9" fontId="0" fillId="0" borderId="0" xfId="1" applyFont="1" applyFill="1" applyBorder="1" applyAlignment="1">
      <alignment horizontal="center" vertical="center"/>
    </xf>
    <xf numFmtId="11" fontId="0" fillId="0" borderId="0" xfId="1" applyNumberFormat="1" applyFont="1" applyBorder="1" applyAlignment="1">
      <alignment horizontal="center" vertical="center"/>
    </xf>
    <xf numFmtId="11" fontId="0" fillId="0" borderId="57" xfId="1" applyNumberFormat="1" applyFont="1" applyBorder="1" applyAlignment="1">
      <alignment horizontal="center" vertical="center"/>
    </xf>
    <xf numFmtId="11" fontId="0" fillId="0" borderId="64" xfId="1" applyNumberFormat="1" applyFont="1" applyBorder="1" applyAlignment="1">
      <alignment horizontal="center" vertical="center"/>
    </xf>
    <xf numFmtId="11" fontId="0" fillId="0" borderId="65" xfId="1" applyNumberFormat="1" applyFont="1" applyBorder="1" applyAlignment="1">
      <alignment horizontal="center" vertical="center"/>
    </xf>
    <xf numFmtId="4" fontId="9" fillId="0" borderId="89" xfId="19" applyNumberFormat="1" applyFont="1" applyFill="1" applyBorder="1" applyAlignment="1">
      <alignment horizontal="center" vertical="center"/>
    </xf>
    <xf numFmtId="4" fontId="9" fillId="0" borderId="86" xfId="19" applyNumberFormat="1" applyFont="1" applyFill="1" applyBorder="1" applyAlignment="1">
      <alignment horizontal="center" vertical="center"/>
    </xf>
    <xf numFmtId="4" fontId="9" fillId="0" borderId="51" xfId="19" applyNumberFormat="1" applyFont="1" applyFill="1" applyBorder="1" applyAlignment="1">
      <alignment horizontal="center" vertical="center"/>
    </xf>
    <xf numFmtId="4" fontId="9" fillId="0" borderId="69" xfId="19" applyNumberFormat="1" applyFont="1" applyFill="1" applyBorder="1" applyAlignment="1">
      <alignment horizontal="center" vertical="center"/>
    </xf>
    <xf numFmtId="4" fontId="9" fillId="0" borderId="57" xfId="19" applyNumberFormat="1" applyFont="1" applyFill="1" applyBorder="1" applyAlignment="1">
      <alignment horizontal="center" vertical="center"/>
    </xf>
    <xf numFmtId="4" fontId="9" fillId="0" borderId="52" xfId="19" applyNumberFormat="1" applyFont="1" applyFill="1" applyBorder="1" applyAlignment="1">
      <alignment horizontal="center" vertical="center"/>
    </xf>
    <xf numFmtId="4" fontId="9" fillId="0" borderId="62" xfId="19" applyNumberFormat="1" applyFont="1" applyFill="1" applyBorder="1" applyAlignment="1">
      <alignment horizontal="center" vertical="center"/>
    </xf>
    <xf numFmtId="4" fontId="9" fillId="15" borderId="51" xfId="19" applyNumberFormat="1" applyFont="1" applyFill="1" applyBorder="1" applyAlignment="1">
      <alignment horizontal="center" vertical="center"/>
    </xf>
    <xf numFmtId="4" fontId="9" fillId="15" borderId="69" xfId="19" applyNumberFormat="1" applyFont="1" applyFill="1" applyBorder="1" applyAlignment="1">
      <alignment horizontal="center" vertical="center"/>
    </xf>
    <xf numFmtId="4" fontId="9" fillId="15" borderId="52" xfId="19" applyNumberFormat="1" applyFont="1" applyFill="1" applyBorder="1" applyAlignment="1">
      <alignment horizontal="center" vertical="center"/>
    </xf>
    <xf numFmtId="4" fontId="9" fillId="15" borderId="62" xfId="19" applyNumberFormat="1" applyFont="1" applyFill="1" applyBorder="1" applyAlignment="1">
      <alignment horizontal="center" vertical="center"/>
    </xf>
    <xf numFmtId="4" fontId="9" fillId="15" borderId="89" xfId="19" applyNumberFormat="1" applyFont="1" applyFill="1" applyBorder="1" applyAlignment="1">
      <alignment horizontal="center" vertical="center"/>
    </xf>
    <xf numFmtId="4" fontId="9" fillId="15" borderId="86" xfId="19" applyNumberFormat="1" applyFont="1" applyFill="1" applyBorder="1" applyAlignment="1">
      <alignment horizontal="center" vertical="center"/>
    </xf>
    <xf numFmtId="4" fontId="9" fillId="0" borderId="65" xfId="19" applyNumberFormat="1" applyFont="1" applyFill="1" applyBorder="1" applyAlignment="1">
      <alignment horizontal="center" vertical="center"/>
    </xf>
    <xf numFmtId="4" fontId="9" fillId="0" borderId="54" xfId="19" applyNumberFormat="1" applyFont="1" applyFill="1" applyBorder="1" applyAlignment="1">
      <alignment horizontal="center" vertical="center"/>
    </xf>
    <xf numFmtId="4" fontId="9" fillId="0" borderId="55" xfId="19" applyNumberFormat="1" applyFont="1" applyFill="1" applyBorder="1" applyAlignment="1">
      <alignment horizontal="center" vertical="center"/>
    </xf>
    <xf numFmtId="4" fontId="9" fillId="0" borderId="64" xfId="19" applyNumberFormat="1" applyFont="1" applyFill="1" applyBorder="1" applyAlignment="1">
      <alignment horizontal="center" vertical="center"/>
    </xf>
    <xf numFmtId="0" fontId="4" fillId="0" borderId="0" xfId="13" applyNumberFormat="1" applyFill="1" applyBorder="1">
      <alignment horizontal="left" vertical="center" indent="1"/>
    </xf>
    <xf numFmtId="10" fontId="0" fillId="0" borderId="0" xfId="1" applyNumberFormat="1" applyFont="1" applyAlignment="1">
      <alignment horizontal="left" vertical="center" indent="1"/>
    </xf>
    <xf numFmtId="0" fontId="0" fillId="0" borderId="84" xfId="0" applyBorder="1">
      <alignment horizontal="left" vertical="center" indent="1"/>
    </xf>
    <xf numFmtId="2" fontId="55" fillId="15" borderId="63" xfId="0" applyNumberFormat="1" applyFont="1" applyFill="1" applyBorder="1" applyAlignment="1">
      <alignment horizontal="center" vertical="center"/>
    </xf>
    <xf numFmtId="4" fontId="23" fillId="0" borderId="0" xfId="0" applyNumberFormat="1" applyFont="1" applyAlignment="1">
      <alignment horizontal="right" vertical="center" indent="1"/>
    </xf>
    <xf numFmtId="11" fontId="4" fillId="0" borderId="0" xfId="4" applyNumberFormat="1" applyFont="1" applyBorder="1" applyAlignment="1">
      <alignment horizontal="right" vertical="center" indent="1"/>
    </xf>
    <xf numFmtId="0" fontId="22" fillId="0" borderId="102" xfId="0" applyFont="1" applyBorder="1" applyAlignment="1">
      <alignment horizontal="center" vertical="center"/>
    </xf>
    <xf numFmtId="6" fontId="22" fillId="0" borderId="103" xfId="0" applyNumberFormat="1" applyFont="1" applyBorder="1" applyAlignment="1">
      <alignment horizontal="center" vertical="center"/>
    </xf>
    <xf numFmtId="0" fontId="22" fillId="0" borderId="104" xfId="0" applyFont="1" applyBorder="1" applyAlignment="1">
      <alignment horizontal="center" vertical="center"/>
    </xf>
    <xf numFmtId="0" fontId="44" fillId="12" borderId="105" xfId="0" applyFont="1" applyFill="1" applyBorder="1" applyAlignment="1">
      <alignment horizontal="center" vertical="center"/>
    </xf>
    <xf numFmtId="6" fontId="44" fillId="12" borderId="106" xfId="0" applyNumberFormat="1" applyFont="1" applyFill="1" applyBorder="1" applyAlignment="1">
      <alignment horizontal="center" vertical="center"/>
    </xf>
    <xf numFmtId="6" fontId="44" fillId="12" borderId="107" xfId="0" applyNumberFormat="1" applyFont="1" applyFill="1" applyBorder="1" applyAlignment="1">
      <alignment horizontal="center" vertical="center"/>
    </xf>
    <xf numFmtId="0" fontId="44" fillId="12" borderId="108" xfId="0" applyFont="1" applyFill="1" applyBorder="1" applyAlignment="1">
      <alignment horizontal="left" vertical="center"/>
    </xf>
    <xf numFmtId="0" fontId="44" fillId="12" borderId="109" xfId="0" applyFont="1" applyFill="1" applyBorder="1" applyAlignment="1">
      <alignment horizontal="center" vertical="center"/>
    </xf>
    <xf numFmtId="0" fontId="44" fillId="12" borderId="110" xfId="0" applyFont="1" applyFill="1" applyBorder="1" applyAlignment="1">
      <alignment horizontal="center" vertical="center"/>
    </xf>
    <xf numFmtId="7" fontId="22" fillId="0" borderId="112" xfId="0" applyNumberFormat="1" applyFont="1" applyBorder="1" applyAlignment="1">
      <alignment horizontal="center" vertical="center" wrapText="1"/>
    </xf>
    <xf numFmtId="0" fontId="4" fillId="6" borderId="54" xfId="13" applyNumberFormat="1" applyBorder="1" applyAlignment="1">
      <alignment horizontal="center" vertical="center"/>
    </xf>
    <xf numFmtId="0" fontId="59" fillId="0" borderId="0" xfId="3" applyFont="1" applyAlignment="1">
      <alignment horizontal="left" vertical="center" indent="1"/>
    </xf>
    <xf numFmtId="1" fontId="4" fillId="0" borderId="0" xfId="13" applyNumberFormat="1" applyFill="1" applyAlignment="1">
      <alignment horizontal="right" vertical="center" indent="1"/>
    </xf>
    <xf numFmtId="0" fontId="4" fillId="6" borderId="84" xfId="13" applyNumberFormat="1" applyBorder="1" applyAlignment="1">
      <alignment horizontal="center" vertical="center"/>
    </xf>
    <xf numFmtId="0" fontId="6" fillId="0" borderId="56" xfId="0" applyFont="1" applyBorder="1" applyAlignment="1">
      <alignment horizontal="left" vertical="center" wrapText="1" indent="1"/>
    </xf>
    <xf numFmtId="0" fontId="6" fillId="0" borderId="63" xfId="0" applyFont="1" applyBorder="1">
      <alignment horizontal="left" vertical="center" indent="1"/>
    </xf>
    <xf numFmtId="0" fontId="6" fillId="0" borderId="83" xfId="0" applyFont="1" applyBorder="1">
      <alignment horizontal="left" vertical="center" indent="1"/>
    </xf>
    <xf numFmtId="0" fontId="0" fillId="0" borderId="68" xfId="0" applyBorder="1" applyAlignment="1">
      <alignment horizontal="center" vertical="center"/>
    </xf>
    <xf numFmtId="1" fontId="4" fillId="6" borderId="53" xfId="13" applyNumberFormat="1" applyBorder="1" applyAlignment="1">
      <alignment horizontal="center" vertical="center"/>
    </xf>
    <xf numFmtId="0" fontId="4" fillId="6" borderId="44" xfId="13" applyNumberFormat="1" applyBorder="1">
      <alignment horizontal="left" vertical="center" indent="1"/>
    </xf>
    <xf numFmtId="0" fontId="0" fillId="0" borderId="56" xfId="0" applyBorder="1" applyAlignment="1">
      <alignment horizontal="center" vertical="center"/>
    </xf>
    <xf numFmtId="0" fontId="0" fillId="0" borderId="66" xfId="0" applyBorder="1" applyAlignment="1">
      <alignment horizontal="center" vertical="center"/>
    </xf>
    <xf numFmtId="0" fontId="4" fillId="6" borderId="54" xfId="13" applyNumberFormat="1" applyBorder="1" applyAlignment="1">
      <alignment horizontal="center" vertical="center" wrapText="1"/>
    </xf>
    <xf numFmtId="1" fontId="4" fillId="6" borderId="54" xfId="13" applyNumberFormat="1" applyBorder="1" applyAlignment="1">
      <alignment horizontal="center" vertical="center" wrapText="1"/>
    </xf>
    <xf numFmtId="1" fontId="4" fillId="6" borderId="55" xfId="13" applyNumberFormat="1" applyBorder="1" applyAlignment="1">
      <alignment horizontal="center" vertical="center"/>
    </xf>
    <xf numFmtId="0" fontId="44" fillId="12" borderId="53" xfId="0" applyFont="1" applyFill="1" applyBorder="1" applyAlignment="1">
      <alignment horizontal="left" vertical="center"/>
    </xf>
    <xf numFmtId="0" fontId="44" fillId="12" borderId="54" xfId="0" applyFont="1" applyFill="1" applyBorder="1" applyAlignment="1">
      <alignment horizontal="center" vertical="center"/>
    </xf>
    <xf numFmtId="0" fontId="45" fillId="0" borderId="108" xfId="0" applyFont="1" applyBorder="1" applyAlignment="1">
      <alignment horizontal="left" vertical="center" wrapText="1"/>
    </xf>
    <xf numFmtId="0" fontId="45" fillId="0" borderId="109" xfId="0" applyFont="1" applyBorder="1" applyAlignment="1">
      <alignment horizontal="center" vertical="center" wrapText="1"/>
    </xf>
    <xf numFmtId="6" fontId="45" fillId="0" borderId="109" xfId="0" applyNumberFormat="1" applyFont="1" applyBorder="1" applyAlignment="1">
      <alignment horizontal="center" vertical="center"/>
    </xf>
    <xf numFmtId="0" fontId="45" fillId="0" borderId="111" xfId="0" applyFont="1" applyBorder="1" applyAlignment="1">
      <alignment horizontal="left" vertical="center" wrapText="1"/>
    </xf>
    <xf numFmtId="0" fontId="45" fillId="0" borderId="113" xfId="0" applyFont="1" applyBorder="1" applyAlignment="1">
      <alignment horizontal="left" vertical="center" wrapText="1"/>
    </xf>
    <xf numFmtId="0" fontId="45" fillId="0" borderId="114" xfId="0" applyFont="1" applyBorder="1" applyAlignment="1">
      <alignment horizontal="center" vertical="center"/>
    </xf>
    <xf numFmtId="0" fontId="22" fillId="0" borderId="114" xfId="0" applyFont="1" applyBorder="1" applyAlignment="1">
      <alignment horizontal="center" vertical="center"/>
    </xf>
    <xf numFmtId="0" fontId="44" fillId="12" borderId="53" xfId="0" applyFont="1" applyFill="1" applyBorder="1" applyAlignment="1">
      <alignment horizontal="left" vertical="center" wrapText="1"/>
    </xf>
    <xf numFmtId="0" fontId="44" fillId="12" borderId="56" xfId="0" applyFont="1" applyFill="1" applyBorder="1" applyAlignment="1">
      <alignment horizontal="left" vertical="center" wrapText="1"/>
    </xf>
    <xf numFmtId="0" fontId="44" fillId="12" borderId="0" xfId="0" applyFont="1" applyFill="1" applyAlignment="1">
      <alignment horizontal="center" vertical="center" wrapText="1"/>
    </xf>
    <xf numFmtId="0" fontId="44" fillId="12" borderId="57" xfId="0" applyFont="1" applyFill="1" applyBorder="1" applyAlignment="1">
      <alignment horizontal="center" vertical="center"/>
    </xf>
    <xf numFmtId="0" fontId="45" fillId="0" borderId="104" xfId="0" applyFont="1" applyBorder="1" applyAlignment="1">
      <alignment horizontal="left" vertical="center"/>
    </xf>
    <xf numFmtId="6" fontId="45" fillId="0" borderId="123" xfId="0" applyNumberFormat="1" applyFont="1" applyBorder="1" applyAlignment="1">
      <alignment horizontal="center" vertical="center"/>
    </xf>
    <xf numFmtId="0" fontId="44" fillId="12" borderId="63" xfId="0" applyFont="1" applyFill="1" applyBorder="1" applyAlignment="1">
      <alignment horizontal="left" vertical="center"/>
    </xf>
    <xf numFmtId="6" fontId="44" fillId="12" borderId="64" xfId="0" applyNumberFormat="1" applyFont="1" applyFill="1" applyBorder="1" applyAlignment="1">
      <alignment horizontal="center" vertical="center"/>
    </xf>
    <xf numFmtId="6" fontId="44" fillId="12" borderId="65" xfId="0" applyNumberFormat="1" applyFont="1" applyFill="1" applyBorder="1" applyAlignment="1">
      <alignment horizontal="center" vertical="center"/>
    </xf>
    <xf numFmtId="0" fontId="6" fillId="0" borderId="66" xfId="0" applyFont="1" applyBorder="1" applyAlignment="1">
      <alignment horizontal="left" vertical="center" wrapText="1" indent="1"/>
    </xf>
    <xf numFmtId="9" fontId="61" fillId="0" borderId="0" xfId="1" applyFont="1" applyFill="1" applyBorder="1" applyAlignment="1">
      <alignment horizontal="center" vertical="center"/>
    </xf>
    <xf numFmtId="0" fontId="6" fillId="0" borderId="0" xfId="0" applyFont="1" applyAlignment="1">
      <alignment horizontal="right" vertical="center" indent="1"/>
    </xf>
    <xf numFmtId="0" fontId="60" fillId="0" borderId="0" xfId="0" applyFont="1" applyAlignment="1">
      <alignment horizontal="right" vertical="center" indent="1"/>
    </xf>
    <xf numFmtId="1" fontId="60" fillId="0" borderId="0" xfId="0" applyNumberFormat="1" applyFont="1">
      <alignment horizontal="left" vertical="center" indent="1"/>
    </xf>
    <xf numFmtId="0" fontId="61" fillId="0" borderId="0" xfId="0" applyFont="1" applyAlignment="1">
      <alignment horizontal="right" vertical="center" indent="1"/>
    </xf>
    <xf numFmtId="0" fontId="44" fillId="12" borderId="0" xfId="0" applyFont="1" applyFill="1" applyAlignment="1">
      <alignment horizontal="center" vertical="center"/>
    </xf>
    <xf numFmtId="6" fontId="44" fillId="12" borderId="0" xfId="0" applyNumberFormat="1" applyFont="1" applyFill="1" applyAlignment="1">
      <alignment horizontal="center" vertical="center"/>
    </xf>
    <xf numFmtId="2" fontId="62" fillId="0" borderId="51" xfId="0" applyNumberFormat="1" applyFont="1" applyBorder="1" applyAlignment="1">
      <alignment horizontal="center" vertical="center"/>
    </xf>
    <xf numFmtId="2" fontId="62" fillId="0" borderId="69" xfId="0" applyNumberFormat="1" applyFont="1" applyBorder="1" applyAlignment="1">
      <alignment horizontal="center" vertical="center"/>
    </xf>
    <xf numFmtId="2" fontId="62" fillId="0" borderId="57" xfId="0" applyNumberFormat="1" applyFont="1" applyBorder="1" applyAlignment="1">
      <alignment horizontal="center" vertical="center"/>
    </xf>
    <xf numFmtId="2" fontId="62" fillId="0" borderId="0" xfId="0" applyNumberFormat="1" applyFont="1" applyAlignment="1">
      <alignment horizontal="center" vertical="center"/>
    </xf>
    <xf numFmtId="2" fontId="62" fillId="0" borderId="56" xfId="0" applyNumberFormat="1" applyFont="1" applyBorder="1" applyAlignment="1">
      <alignment horizontal="center" vertical="center"/>
    </xf>
    <xf numFmtId="2" fontId="62" fillId="0" borderId="66" xfId="0" applyNumberFormat="1" applyFont="1" applyBorder="1" applyAlignment="1">
      <alignment horizontal="center" vertical="center"/>
    </xf>
    <xf numFmtId="2" fontId="62" fillId="0" borderId="52" xfId="0" applyNumberFormat="1" applyFont="1" applyBorder="1" applyAlignment="1">
      <alignment horizontal="center" vertical="center"/>
    </xf>
    <xf numFmtId="2" fontId="62" fillId="0" borderId="62" xfId="0" applyNumberFormat="1" applyFont="1" applyBorder="1" applyAlignment="1">
      <alignment horizontal="center" vertical="center"/>
    </xf>
    <xf numFmtId="2" fontId="62" fillId="15" borderId="0" xfId="0" applyNumberFormat="1" applyFont="1" applyFill="1" applyAlignment="1">
      <alignment horizontal="center" vertical="center"/>
    </xf>
    <xf numFmtId="2" fontId="62" fillId="15" borderId="89" xfId="0" applyNumberFormat="1" applyFont="1" applyFill="1" applyBorder="1" applyAlignment="1">
      <alignment horizontal="center" vertical="center"/>
    </xf>
    <xf numFmtId="0" fontId="22" fillId="12" borderId="124" xfId="0" applyFont="1" applyFill="1" applyBorder="1" applyAlignment="1">
      <alignment horizontal="left" vertical="center" wrapText="1" indent="1"/>
    </xf>
    <xf numFmtId="0" fontId="44" fillId="12" borderId="125" xfId="0" applyFont="1" applyFill="1" applyBorder="1" applyAlignment="1">
      <alignment horizontal="center" vertical="center" wrapText="1"/>
    </xf>
    <xf numFmtId="0" fontId="44" fillId="12" borderId="126" xfId="0" applyFont="1" applyFill="1" applyBorder="1" applyAlignment="1">
      <alignment horizontal="left" vertical="center" wrapText="1" indent="1"/>
    </xf>
    <xf numFmtId="0" fontId="22" fillId="0" borderId="127" xfId="0" applyFont="1" applyBorder="1" applyAlignment="1">
      <alignment horizontal="left" vertical="center" wrapText="1" indent="1"/>
    </xf>
    <xf numFmtId="0" fontId="22" fillId="0" borderId="130" xfId="0" applyFont="1" applyBorder="1" applyAlignment="1">
      <alignment horizontal="left" vertical="center" wrapText="1" indent="1"/>
    </xf>
    <xf numFmtId="0" fontId="22" fillId="0" borderId="131" xfId="0" applyFont="1" applyBorder="1" applyAlignment="1">
      <alignment horizontal="center" vertical="center" wrapText="1"/>
    </xf>
    <xf numFmtId="0" fontId="45" fillId="0" borderId="56" xfId="0" applyFont="1" applyBorder="1" applyAlignment="1">
      <alignment horizontal="left" vertical="center"/>
    </xf>
    <xf numFmtId="6" fontId="45" fillId="0" borderId="57" xfId="0" applyNumberFormat="1" applyFont="1" applyBorder="1" applyAlignment="1">
      <alignment horizontal="center" vertical="center"/>
    </xf>
    <xf numFmtId="0" fontId="0" fillId="0" borderId="0" xfId="0" applyAlignment="1">
      <alignment wrapText="1"/>
    </xf>
    <xf numFmtId="165" fontId="0" fillId="0" borderId="0" xfId="5" applyFont="1" applyBorder="1" applyAlignment="1"/>
    <xf numFmtId="0" fontId="63" fillId="12" borderId="99" xfId="0" applyFont="1" applyFill="1" applyBorder="1" applyAlignment="1">
      <alignment horizontal="center" vertical="center"/>
    </xf>
    <xf numFmtId="0" fontId="64" fillId="0" borderId="0" xfId="15" applyFont="1" applyAlignment="1">
      <alignment horizontal="left" vertical="center" indent="1"/>
    </xf>
    <xf numFmtId="0" fontId="66" fillId="0" borderId="0" xfId="0" applyFont="1" applyAlignment="1">
      <alignment horizontal="left" vertical="center"/>
    </xf>
    <xf numFmtId="0" fontId="48" fillId="0" borderId="0" xfId="15" applyFont="1" applyAlignment="1">
      <alignment horizontal="left" vertical="center"/>
    </xf>
    <xf numFmtId="0" fontId="67" fillId="0" borderId="0" xfId="0" applyFont="1" applyAlignment="1">
      <alignment horizontal="left" vertical="center"/>
    </xf>
    <xf numFmtId="0" fontId="4" fillId="0" borderId="93" xfId="0" applyFont="1" applyBorder="1" applyAlignment="1">
      <alignment horizontal="center" vertical="center"/>
    </xf>
    <xf numFmtId="0" fontId="3" fillId="12" borderId="0" xfId="0" applyFont="1" applyFill="1">
      <alignment horizontal="left" vertical="center" indent="1"/>
    </xf>
    <xf numFmtId="0" fontId="8" fillId="12" borderId="0" xfId="0" applyFont="1" applyFill="1">
      <alignment horizontal="left" vertical="center" indent="1"/>
    </xf>
    <xf numFmtId="0" fontId="44" fillId="12" borderId="109" xfId="0" applyFont="1" applyFill="1" applyBorder="1" applyAlignment="1">
      <alignment horizontal="center" vertical="center" wrapText="1"/>
    </xf>
    <xf numFmtId="0" fontId="44" fillId="12" borderId="110" xfId="0" applyFont="1" applyFill="1" applyBorder="1" applyAlignment="1">
      <alignment horizontal="left" vertical="center" wrapText="1"/>
    </xf>
    <xf numFmtId="0" fontId="20" fillId="0" borderId="111" xfId="0" applyFont="1" applyBorder="1" applyAlignment="1">
      <alignment horizontal="left" vertical="center" wrapText="1"/>
    </xf>
    <xf numFmtId="0" fontId="20" fillId="0" borderId="118" xfId="0" applyFont="1" applyBorder="1" applyAlignment="1">
      <alignment horizontal="left" vertical="center" wrapText="1"/>
    </xf>
    <xf numFmtId="0" fontId="20" fillId="0" borderId="113" xfId="0" applyFont="1" applyBorder="1" applyAlignment="1">
      <alignment horizontal="left" vertical="center"/>
    </xf>
    <xf numFmtId="0" fontId="20" fillId="0" borderId="114" xfId="0" applyFont="1" applyBorder="1" applyAlignment="1">
      <alignment horizontal="left" vertical="center"/>
    </xf>
    <xf numFmtId="1" fontId="20" fillId="0" borderId="114" xfId="0" applyNumberFormat="1" applyFont="1" applyBorder="1" applyAlignment="1">
      <alignment horizontal="left" vertical="center"/>
    </xf>
    <xf numFmtId="0" fontId="20" fillId="0" borderId="120" xfId="0" applyFont="1" applyBorder="1" applyAlignment="1">
      <alignment horizontal="left" vertical="center" wrapText="1"/>
    </xf>
    <xf numFmtId="0" fontId="66" fillId="0" borderId="0" xfId="0" applyFont="1">
      <alignment horizontal="left" vertical="center" indent="1"/>
    </xf>
    <xf numFmtId="0" fontId="58" fillId="0" borderId="0" xfId="3" applyFont="1" applyFill="1" applyBorder="1" applyAlignment="1">
      <alignment horizontal="left" vertical="center" indent="1"/>
    </xf>
    <xf numFmtId="0" fontId="48" fillId="0" borderId="0" xfId="8" applyFont="1" applyAlignment="1">
      <alignment horizontal="left" vertical="center" indent="1"/>
    </xf>
    <xf numFmtId="0" fontId="44" fillId="12" borderId="57" xfId="0" applyFont="1" applyFill="1" applyBorder="1" applyAlignment="1">
      <alignment horizontal="center" vertical="center" wrapText="1"/>
    </xf>
    <xf numFmtId="0" fontId="22" fillId="0" borderId="133" xfId="0" applyFont="1" applyBorder="1" applyAlignment="1">
      <alignment horizontal="center" vertical="center"/>
    </xf>
    <xf numFmtId="6" fontId="22" fillId="0" borderId="134" xfId="0" applyNumberFormat="1" applyFont="1" applyBorder="1" applyAlignment="1">
      <alignment horizontal="center" vertical="center" wrapText="1"/>
    </xf>
    <xf numFmtId="0" fontId="22" fillId="0" borderId="127" xfId="0" applyFont="1" applyBorder="1" applyAlignment="1">
      <alignment horizontal="center" vertical="center"/>
    </xf>
    <xf numFmtId="0" fontId="44" fillId="12" borderId="56" xfId="0" applyFont="1" applyFill="1" applyBorder="1" applyAlignment="1">
      <alignment horizontal="left" vertical="center"/>
    </xf>
    <xf numFmtId="6" fontId="44" fillId="12" borderId="57" xfId="0" applyNumberFormat="1" applyFont="1" applyFill="1" applyBorder="1" applyAlignment="1">
      <alignment horizontal="center" vertical="center"/>
    </xf>
    <xf numFmtId="0" fontId="68" fillId="0" borderId="0" xfId="0" applyFont="1" applyAlignment="1">
      <alignment horizontal="centerContinuous"/>
    </xf>
    <xf numFmtId="0" fontId="0" fillId="0" borderId="45" xfId="0" applyBorder="1" applyAlignment="1">
      <alignment horizontal="center" vertical="center"/>
    </xf>
    <xf numFmtId="0" fontId="0" fillId="15" borderId="53" xfId="0" applyFill="1" applyBorder="1" applyAlignment="1">
      <alignment horizontal="center" vertical="center"/>
    </xf>
    <xf numFmtId="0" fontId="4" fillId="6" borderId="53" xfId="13" applyNumberFormat="1" applyBorder="1" applyAlignment="1">
      <alignment horizontal="center" vertical="center"/>
    </xf>
    <xf numFmtId="0" fontId="0" fillId="15" borderId="54" xfId="0" applyFill="1" applyBorder="1" applyAlignment="1">
      <alignment horizontal="center" vertical="center"/>
    </xf>
    <xf numFmtId="168"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applyAlignment="1">
      <alignment horizontal="center" vertical="center"/>
    </xf>
    <xf numFmtId="9" fontId="0" fillId="0" borderId="0" xfId="0" applyNumberFormat="1" applyAlignment="1">
      <alignment horizontal="center" vertical="center"/>
    </xf>
    <xf numFmtId="2" fontId="0" fillId="0" borderId="0" xfId="0" applyNumberFormat="1" applyAlignment="1">
      <alignment horizontal="center" vertical="center"/>
    </xf>
    <xf numFmtId="168" fontId="0" fillId="0" borderId="52" xfId="0" applyNumberFormat="1" applyBorder="1" applyAlignment="1">
      <alignment horizontal="center" vertical="center"/>
    </xf>
    <xf numFmtId="171" fontId="0" fillId="0" borderId="52" xfId="0" applyNumberFormat="1" applyBorder="1" applyAlignment="1">
      <alignment horizontal="center" vertical="center"/>
    </xf>
    <xf numFmtId="3" fontId="0" fillId="0" borderId="51" xfId="0" applyNumberFormat="1" applyBorder="1" applyAlignment="1">
      <alignment horizontal="center" vertical="center"/>
    </xf>
    <xf numFmtId="4" fontId="0" fillId="0" borderId="51" xfId="0" applyNumberFormat="1" applyBorder="1" applyAlignment="1">
      <alignment horizontal="center" vertical="center"/>
    </xf>
    <xf numFmtId="9" fontId="0" fillId="0" borderId="51" xfId="0" applyNumberFormat="1" applyBorder="1" applyAlignment="1">
      <alignment horizontal="center" vertical="center"/>
    </xf>
    <xf numFmtId="2" fontId="0" fillId="0" borderId="51" xfId="0" applyNumberFormat="1" applyBorder="1" applyAlignment="1">
      <alignment horizontal="center" vertical="center"/>
    </xf>
    <xf numFmtId="3" fontId="0" fillId="0" borderId="52" xfId="0" applyNumberFormat="1" applyBorder="1" applyAlignment="1">
      <alignment horizontal="center" vertical="center"/>
    </xf>
    <xf numFmtId="4" fontId="0" fillId="0" borderId="52" xfId="0" applyNumberFormat="1" applyBorder="1" applyAlignment="1">
      <alignment horizontal="center" vertical="center"/>
    </xf>
    <xf numFmtId="9" fontId="0" fillId="0" borderId="52" xfId="0" applyNumberFormat="1" applyBorder="1" applyAlignment="1">
      <alignment horizontal="center" vertical="center"/>
    </xf>
    <xf numFmtId="2" fontId="0" fillId="0" borderId="52" xfId="0" applyNumberFormat="1" applyBorder="1" applyAlignment="1">
      <alignment horizontal="center" vertical="center"/>
    </xf>
    <xf numFmtId="168" fontId="0" fillId="0" borderId="89" xfId="0" applyNumberFormat="1" applyBorder="1" applyAlignment="1">
      <alignment horizontal="center" vertical="center"/>
    </xf>
    <xf numFmtId="171" fontId="0" fillId="0" borderId="89" xfId="0" applyNumberFormat="1" applyBorder="1" applyAlignment="1">
      <alignment horizontal="center" vertical="center"/>
    </xf>
    <xf numFmtId="3" fontId="0" fillId="0" borderId="89" xfId="0" applyNumberFormat="1" applyBorder="1" applyAlignment="1">
      <alignment horizontal="center" vertical="center"/>
    </xf>
    <xf numFmtId="4" fontId="0" fillId="0" borderId="89" xfId="0" applyNumberFormat="1" applyBorder="1" applyAlignment="1">
      <alignment horizontal="center" vertical="center"/>
    </xf>
    <xf numFmtId="9" fontId="0" fillId="0" borderId="89" xfId="0" applyNumberFormat="1" applyBorder="1" applyAlignment="1">
      <alignment horizontal="center" vertical="center"/>
    </xf>
    <xf numFmtId="1" fontId="0" fillId="0" borderId="89" xfId="0" applyNumberFormat="1" applyBorder="1" applyAlignment="1">
      <alignment horizontal="center" vertical="center"/>
    </xf>
    <xf numFmtId="168" fontId="0" fillId="0" borderId="51" xfId="0" applyNumberFormat="1" applyBorder="1" applyAlignment="1">
      <alignment horizontal="center" vertical="center"/>
    </xf>
    <xf numFmtId="171" fontId="0" fillId="0" borderId="51" xfId="0" applyNumberFormat="1" applyBorder="1" applyAlignment="1">
      <alignment horizontal="center" vertical="center"/>
    </xf>
    <xf numFmtId="2" fontId="0" fillId="0" borderId="89" xfId="0" applyNumberFormat="1" applyBorder="1" applyAlignment="1">
      <alignment horizontal="center" vertical="center"/>
    </xf>
    <xf numFmtId="168" fontId="0" fillId="0" borderId="64" xfId="0" applyNumberFormat="1" applyBorder="1" applyAlignment="1">
      <alignment horizontal="center" vertical="center"/>
    </xf>
    <xf numFmtId="168" fontId="0" fillId="15" borderId="54" xfId="0" applyNumberFormat="1" applyFill="1" applyBorder="1" applyAlignment="1">
      <alignment horizontal="center" vertical="center"/>
    </xf>
    <xf numFmtId="171" fontId="0" fillId="15" borderId="54" xfId="0" applyNumberFormat="1" applyFill="1" applyBorder="1" applyAlignment="1">
      <alignment horizontal="center" vertical="center"/>
    </xf>
    <xf numFmtId="3" fontId="0" fillId="15" borderId="54" xfId="0" applyNumberFormat="1" applyFill="1" applyBorder="1" applyAlignment="1">
      <alignment horizontal="center" vertical="center"/>
    </xf>
    <xf numFmtId="4" fontId="0" fillId="15" borderId="54" xfId="0" applyNumberFormat="1" applyFill="1" applyBorder="1" applyAlignment="1">
      <alignment horizontal="center" vertical="center"/>
    </xf>
    <xf numFmtId="9" fontId="0" fillId="15" borderId="54" xfId="0" applyNumberFormat="1" applyFill="1" applyBorder="1" applyAlignment="1">
      <alignment horizontal="center" vertical="center"/>
    </xf>
    <xf numFmtId="2" fontId="0" fillId="15" borderId="54" xfId="0" applyNumberFormat="1" applyFill="1" applyBorder="1" applyAlignment="1">
      <alignment horizontal="center" vertical="center"/>
    </xf>
    <xf numFmtId="1" fontId="0" fillId="15" borderId="54" xfId="0" applyNumberFormat="1" applyFill="1" applyBorder="1" applyAlignment="1">
      <alignment horizontal="center" vertical="center"/>
    </xf>
    <xf numFmtId="168" fontId="0" fillId="15" borderId="0" xfId="0" applyNumberFormat="1" applyFill="1" applyAlignment="1">
      <alignment horizontal="center" vertical="center"/>
    </xf>
    <xf numFmtId="171" fontId="0" fillId="15" borderId="0" xfId="0" applyNumberFormat="1" applyFill="1" applyAlignment="1">
      <alignment horizontal="center" vertical="center"/>
    </xf>
    <xf numFmtId="3" fontId="0" fillId="15" borderId="0" xfId="0" applyNumberFormat="1" applyFill="1" applyAlignment="1">
      <alignment horizontal="center" vertical="center"/>
    </xf>
    <xf numFmtId="4" fontId="0" fillId="15" borderId="0" xfId="0" applyNumberFormat="1" applyFill="1" applyAlignment="1">
      <alignment horizontal="center" vertical="center"/>
    </xf>
    <xf numFmtId="9" fontId="0" fillId="15" borderId="0" xfId="0" applyNumberFormat="1" applyFill="1" applyAlignment="1">
      <alignment horizontal="center" vertical="center"/>
    </xf>
    <xf numFmtId="2" fontId="0" fillId="15" borderId="0" xfId="0" applyNumberFormat="1" applyFill="1" applyAlignment="1">
      <alignment horizontal="center" vertical="center"/>
    </xf>
    <xf numFmtId="1" fontId="0" fillId="15" borderId="0" xfId="0" applyNumberFormat="1" applyFill="1" applyAlignment="1">
      <alignment horizontal="center" vertical="center"/>
    </xf>
    <xf numFmtId="168" fontId="0" fillId="15" borderId="52" xfId="0" applyNumberFormat="1" applyFill="1" applyBorder="1" applyAlignment="1">
      <alignment horizontal="center" vertical="center"/>
    </xf>
    <xf numFmtId="171" fontId="0" fillId="15" borderId="52" xfId="0" applyNumberFormat="1" applyFill="1" applyBorder="1" applyAlignment="1">
      <alignment horizontal="center" vertical="center"/>
    </xf>
    <xf numFmtId="2" fontId="0" fillId="15" borderId="52" xfId="0" applyNumberFormat="1" applyFill="1" applyBorder="1" applyAlignment="1">
      <alignment horizontal="center" vertical="center"/>
    </xf>
    <xf numFmtId="1" fontId="0" fillId="15" borderId="52" xfId="0" applyNumberFormat="1" applyFill="1" applyBorder="1" applyAlignment="1">
      <alignment horizontal="center" vertical="center"/>
    </xf>
    <xf numFmtId="168" fontId="0" fillId="15" borderId="51" xfId="0" applyNumberFormat="1" applyFill="1" applyBorder="1" applyAlignment="1">
      <alignment horizontal="center" vertical="center"/>
    </xf>
    <xf numFmtId="171" fontId="0" fillId="15" borderId="51" xfId="0" applyNumberFormat="1" applyFill="1" applyBorder="1" applyAlignment="1">
      <alignment horizontal="center" vertical="center"/>
    </xf>
    <xf numFmtId="3" fontId="0" fillId="15" borderId="51" xfId="0" applyNumberFormat="1" applyFill="1" applyBorder="1" applyAlignment="1">
      <alignment horizontal="center" vertical="center"/>
    </xf>
    <xf numFmtId="4" fontId="0" fillId="15" borderId="51" xfId="0" applyNumberFormat="1" applyFill="1" applyBorder="1" applyAlignment="1">
      <alignment horizontal="center" vertical="center"/>
    </xf>
    <xf numFmtId="9" fontId="0" fillId="15" borderId="51" xfId="0" applyNumberFormat="1" applyFill="1" applyBorder="1" applyAlignment="1">
      <alignment horizontal="center" vertical="center"/>
    </xf>
    <xf numFmtId="3" fontId="0" fillId="15" borderId="52" xfId="0" applyNumberFormat="1" applyFill="1" applyBorder="1" applyAlignment="1">
      <alignment horizontal="center" vertical="center"/>
    </xf>
    <xf numFmtId="4" fontId="0" fillId="15" borderId="52" xfId="0" applyNumberFormat="1" applyFill="1" applyBorder="1" applyAlignment="1">
      <alignment horizontal="center" vertical="center"/>
    </xf>
    <xf numFmtId="9" fontId="0" fillId="15" borderId="52" xfId="0" applyNumberFormat="1" applyFill="1" applyBorder="1" applyAlignment="1">
      <alignment horizontal="center" vertical="center"/>
    </xf>
    <xf numFmtId="168" fontId="0" fillId="15" borderId="89" xfId="0" applyNumberFormat="1" applyFill="1" applyBorder="1" applyAlignment="1">
      <alignment horizontal="center" vertical="center"/>
    </xf>
    <xf numFmtId="171" fontId="0" fillId="15" borderId="89" xfId="0" applyNumberFormat="1" applyFill="1" applyBorder="1" applyAlignment="1">
      <alignment horizontal="center" vertical="center"/>
    </xf>
    <xf numFmtId="3" fontId="0" fillId="15" borderId="89" xfId="0" applyNumberFormat="1" applyFill="1" applyBorder="1" applyAlignment="1">
      <alignment horizontal="center" vertical="center"/>
    </xf>
    <xf numFmtId="4" fontId="0" fillId="15" borderId="89" xfId="0" applyNumberFormat="1" applyFill="1" applyBorder="1" applyAlignment="1">
      <alignment horizontal="center" vertical="center"/>
    </xf>
    <xf numFmtId="9" fontId="0" fillId="15" borderId="89" xfId="0" applyNumberFormat="1" applyFill="1" applyBorder="1" applyAlignment="1">
      <alignment horizontal="center" vertical="center"/>
    </xf>
    <xf numFmtId="2" fontId="0" fillId="15" borderId="89" xfId="0" applyNumberFormat="1" applyFill="1" applyBorder="1" applyAlignment="1">
      <alignment horizontal="center" vertical="center"/>
    </xf>
    <xf numFmtId="1" fontId="0" fillId="15" borderId="89" xfId="0" applyNumberFormat="1" applyFill="1" applyBorder="1" applyAlignment="1">
      <alignment horizontal="center" vertical="center"/>
    </xf>
    <xf numFmtId="2" fontId="0" fillId="15" borderId="51" xfId="0" applyNumberFormat="1" applyFill="1" applyBorder="1" applyAlignment="1">
      <alignment horizontal="center" vertical="center"/>
    </xf>
    <xf numFmtId="1" fontId="0" fillId="15" borderId="51" xfId="0" applyNumberFormat="1" applyFill="1" applyBorder="1" applyAlignment="1">
      <alignment horizontal="center" vertical="center"/>
    </xf>
    <xf numFmtId="168" fontId="0" fillId="15" borderId="64" xfId="0" applyNumberFormat="1" applyFill="1" applyBorder="1" applyAlignment="1">
      <alignment horizontal="center" vertical="center"/>
    </xf>
    <xf numFmtId="171" fontId="0" fillId="15" borderId="64" xfId="0" applyNumberFormat="1" applyFill="1" applyBorder="1" applyAlignment="1">
      <alignment horizontal="center" vertical="center"/>
    </xf>
    <xf numFmtId="3" fontId="0" fillId="15" borderId="64" xfId="0" applyNumberFormat="1" applyFill="1" applyBorder="1" applyAlignment="1">
      <alignment horizontal="center" vertical="center"/>
    </xf>
    <xf numFmtId="4" fontId="0" fillId="15" borderId="64" xfId="0" applyNumberFormat="1" applyFill="1" applyBorder="1" applyAlignment="1">
      <alignment horizontal="center" vertical="center"/>
    </xf>
    <xf numFmtId="9" fontId="0" fillId="15" borderId="64" xfId="0" applyNumberFormat="1" applyFill="1" applyBorder="1" applyAlignment="1">
      <alignment horizontal="center" vertical="center"/>
    </xf>
    <xf numFmtId="2" fontId="0" fillId="15" borderId="64" xfId="0" applyNumberFormat="1" applyFill="1" applyBorder="1" applyAlignment="1">
      <alignment horizontal="center" vertical="center"/>
    </xf>
    <xf numFmtId="1" fontId="0" fillId="15" borderId="64" xfId="0" applyNumberFormat="1" applyFill="1" applyBorder="1" applyAlignment="1">
      <alignment horizontal="center" vertical="center"/>
    </xf>
    <xf numFmtId="0" fontId="0" fillId="0" borderId="135" xfId="0" applyBorder="1">
      <alignment horizontal="left" vertical="center" indent="1"/>
    </xf>
    <xf numFmtId="0" fontId="0" fillId="0" borderId="136" xfId="0" applyBorder="1">
      <alignment horizontal="left" vertical="center" indent="1"/>
    </xf>
    <xf numFmtId="1" fontId="54" fillId="17" borderId="0" xfId="13" applyNumberFormat="1" applyFont="1" applyFill="1" applyBorder="1" applyAlignment="1">
      <alignment horizontal="center" vertical="center"/>
    </xf>
    <xf numFmtId="2" fontId="55" fillId="0" borderId="135" xfId="0" applyNumberFormat="1" applyFont="1" applyBorder="1" applyAlignment="1">
      <alignment horizontal="center" vertical="center"/>
    </xf>
    <xf numFmtId="2" fontId="55" fillId="0" borderId="138" xfId="0" applyNumberFormat="1" applyFont="1" applyBorder="1" applyAlignment="1">
      <alignment horizontal="center" vertical="center"/>
    </xf>
    <xf numFmtId="2" fontId="62" fillId="0" borderId="135" xfId="0" applyNumberFormat="1" applyFont="1" applyBorder="1" applyAlignment="1">
      <alignment horizontal="center" vertical="center"/>
    </xf>
    <xf numFmtId="2" fontId="55" fillId="0" borderId="139" xfId="0" applyNumberFormat="1" applyFont="1" applyBorder="1" applyAlignment="1">
      <alignment horizontal="center" vertical="center"/>
    </xf>
    <xf numFmtId="2" fontId="55" fillId="0" borderId="140" xfId="0" applyNumberFormat="1" applyFont="1" applyBorder="1" applyAlignment="1">
      <alignment horizontal="center" vertical="center"/>
    </xf>
    <xf numFmtId="2" fontId="55" fillId="15" borderId="141" xfId="0" applyNumberFormat="1" applyFont="1" applyFill="1" applyBorder="1" applyAlignment="1">
      <alignment horizontal="center" vertical="center"/>
    </xf>
    <xf numFmtId="2" fontId="55" fillId="15" borderId="135" xfId="0" applyNumberFormat="1" applyFont="1" applyFill="1" applyBorder="1" applyAlignment="1">
      <alignment horizontal="center" vertical="center"/>
    </xf>
    <xf numFmtId="2" fontId="55" fillId="15" borderId="138" xfId="0" applyNumberFormat="1" applyFont="1" applyFill="1" applyBorder="1" applyAlignment="1">
      <alignment horizontal="center" vertical="center"/>
    </xf>
    <xf numFmtId="2" fontId="55" fillId="15" borderId="139" xfId="0" applyNumberFormat="1" applyFont="1" applyFill="1" applyBorder="1" applyAlignment="1">
      <alignment horizontal="center" vertical="center"/>
    </xf>
    <xf numFmtId="2" fontId="55" fillId="15" borderId="140" xfId="0" applyNumberFormat="1" applyFont="1" applyFill="1" applyBorder="1" applyAlignment="1">
      <alignment horizontal="center" vertical="center"/>
    </xf>
    <xf numFmtId="2" fontId="55" fillId="0" borderId="141" xfId="0" applyNumberFormat="1" applyFont="1" applyBorder="1" applyAlignment="1">
      <alignment horizontal="center" vertical="center"/>
    </xf>
    <xf numFmtId="0" fontId="0" fillId="0" borderId="136" xfId="0" applyBorder="1" applyAlignment="1">
      <alignment horizontal="center" vertical="center"/>
    </xf>
    <xf numFmtId="168" fontId="0" fillId="0" borderId="136" xfId="0" applyNumberFormat="1" applyBorder="1" applyAlignment="1">
      <alignment horizontal="center" vertical="center"/>
    </xf>
    <xf numFmtId="171" fontId="0" fillId="0" borderId="136" xfId="0" applyNumberFormat="1" applyBorder="1" applyAlignment="1">
      <alignment horizontal="center" vertical="center"/>
    </xf>
    <xf numFmtId="3" fontId="0" fillId="0" borderId="136" xfId="4" applyFont="1" applyBorder="1" applyAlignment="1">
      <alignment horizontal="center" vertical="center"/>
    </xf>
    <xf numFmtId="3" fontId="0" fillId="0" borderId="136" xfId="0" applyNumberFormat="1" applyBorder="1" applyAlignment="1">
      <alignment horizontal="center" vertical="center"/>
    </xf>
    <xf numFmtId="4" fontId="0" fillId="0" borderId="136" xfId="0" applyNumberFormat="1" applyBorder="1" applyAlignment="1">
      <alignment horizontal="center" vertical="center"/>
    </xf>
    <xf numFmtId="9" fontId="0" fillId="0" borderId="136" xfId="0" applyNumberFormat="1" applyBorder="1" applyAlignment="1">
      <alignment horizontal="center" vertical="center"/>
    </xf>
    <xf numFmtId="2" fontId="0" fillId="0" borderId="136" xfId="0" applyNumberFormat="1" applyBorder="1" applyAlignment="1">
      <alignment horizontal="center" vertical="center"/>
    </xf>
    <xf numFmtId="1" fontId="0" fillId="0" borderId="136" xfId="0" applyNumberFormat="1" applyBorder="1" applyAlignment="1">
      <alignment horizontal="center" vertical="center"/>
    </xf>
    <xf numFmtId="2" fontId="55" fillId="0" borderId="142" xfId="0" applyNumberFormat="1" applyFont="1" applyBorder="1" applyAlignment="1">
      <alignment horizontal="center" vertical="center"/>
    </xf>
    <xf numFmtId="2" fontId="55" fillId="0" borderId="136" xfId="0" applyNumberFormat="1" applyFont="1" applyBorder="1" applyAlignment="1">
      <alignment horizontal="center" vertical="center"/>
    </xf>
    <xf numFmtId="2" fontId="55" fillId="0" borderId="143" xfId="0" applyNumberFormat="1" applyFont="1" applyBorder="1" applyAlignment="1">
      <alignment horizontal="center" vertical="center"/>
    </xf>
    <xf numFmtId="2" fontId="55" fillId="0" borderId="144" xfId="0" applyNumberFormat="1" applyFont="1" applyBorder="1" applyAlignment="1">
      <alignment horizontal="center" vertical="center"/>
    </xf>
    <xf numFmtId="2" fontId="62" fillId="15" borderId="57" xfId="0" applyNumberFormat="1" applyFont="1" applyFill="1" applyBorder="1" applyAlignment="1">
      <alignment horizontal="center" vertical="center"/>
    </xf>
    <xf numFmtId="2" fontId="62" fillId="15" borderId="86" xfId="0" applyNumberFormat="1" applyFont="1" applyFill="1" applyBorder="1" applyAlignment="1">
      <alignment horizontal="center" vertical="center"/>
    </xf>
    <xf numFmtId="1" fontId="54" fillId="17" borderId="63" xfId="13" applyNumberFormat="1" applyFont="1" applyFill="1" applyBorder="1" applyAlignment="1">
      <alignment horizontal="center" vertical="center"/>
    </xf>
    <xf numFmtId="1" fontId="54" fillId="17" borderId="64" xfId="13" applyNumberFormat="1" applyFont="1" applyFill="1" applyBorder="1" applyAlignment="1">
      <alignment horizontal="center" vertical="center"/>
    </xf>
    <xf numFmtId="1" fontId="54" fillId="17" borderId="137" xfId="13" applyNumberFormat="1" applyFont="1" applyFill="1" applyBorder="1" applyAlignment="1">
      <alignment horizontal="center" vertical="center"/>
    </xf>
    <xf numFmtId="0" fontId="4" fillId="6" borderId="64" xfId="13" applyNumberFormat="1" applyBorder="1" applyAlignment="1">
      <alignment horizontal="center" vertical="center"/>
    </xf>
    <xf numFmtId="1" fontId="0" fillId="15" borderId="69" xfId="0" applyNumberFormat="1" applyFill="1" applyBorder="1" applyAlignment="1">
      <alignment horizontal="center" vertical="center"/>
    </xf>
    <xf numFmtId="1" fontId="0" fillId="15" borderId="57" xfId="0" applyNumberFormat="1" applyFill="1" applyBorder="1" applyAlignment="1">
      <alignment horizontal="center" vertical="center"/>
    </xf>
    <xf numFmtId="1" fontId="0" fillId="15" borderId="86" xfId="0" applyNumberFormat="1" applyFill="1" applyBorder="1" applyAlignment="1">
      <alignment horizontal="center" vertical="center"/>
    </xf>
    <xf numFmtId="1" fontId="0" fillId="0" borderId="69" xfId="0" applyNumberFormat="1" applyBorder="1" applyAlignment="1">
      <alignment horizontal="center" vertical="center"/>
    </xf>
    <xf numFmtId="1" fontId="0" fillId="0" borderId="57" xfId="0" applyNumberFormat="1" applyBorder="1" applyAlignment="1">
      <alignment horizontal="center" vertical="center"/>
    </xf>
    <xf numFmtId="1" fontId="0" fillId="0" borderId="86" xfId="0" applyNumberFormat="1" applyBorder="1" applyAlignment="1">
      <alignment horizontal="center" vertical="center"/>
    </xf>
    <xf numFmtId="0" fontId="48" fillId="0" borderId="0" xfId="8" applyFont="1" applyAlignment="1">
      <alignment horizontal="left" vertical="center" indent="2"/>
    </xf>
    <xf numFmtId="0" fontId="8" fillId="12" borderId="0" xfId="9" applyFill="1" applyAlignment="1">
      <alignment horizontal="right" vertical="center" indent="1"/>
    </xf>
    <xf numFmtId="0" fontId="44" fillId="12" borderId="99" xfId="0" applyFont="1" applyFill="1" applyBorder="1" applyAlignment="1">
      <alignment horizontal="left" vertical="center"/>
    </xf>
    <xf numFmtId="0" fontId="45" fillId="0" borderId="111" xfId="0" applyFont="1" applyBorder="1" applyAlignment="1">
      <alignment horizontal="left" vertical="center"/>
    </xf>
    <xf numFmtId="0" fontId="45" fillId="0" borderId="114" xfId="0" applyFont="1" applyBorder="1" applyAlignment="1">
      <alignment horizontal="center" vertical="center" wrapText="1"/>
    </xf>
    <xf numFmtId="10" fontId="45" fillId="0" borderId="114" xfId="0" applyNumberFormat="1" applyFont="1" applyBorder="1" applyAlignment="1">
      <alignment horizontal="center" vertical="center"/>
    </xf>
    <xf numFmtId="0" fontId="45" fillId="0" borderId="63" xfId="0" applyFont="1" applyBorder="1" applyAlignment="1">
      <alignment horizontal="left" vertical="center"/>
    </xf>
    <xf numFmtId="0" fontId="44" fillId="12" borderId="109" xfId="0" applyFont="1" applyFill="1" applyBorder="1" applyAlignment="1">
      <alignment horizontal="left" vertical="center" wrapText="1"/>
    </xf>
    <xf numFmtId="0" fontId="44" fillId="12" borderId="110" xfId="0" applyFont="1" applyFill="1" applyBorder="1" applyAlignment="1">
      <alignment horizontal="center" vertical="center" wrapText="1"/>
    </xf>
    <xf numFmtId="179" fontId="22" fillId="0" borderId="112" xfId="0" applyNumberFormat="1" applyFont="1" applyBorder="1" applyAlignment="1">
      <alignment horizontal="center" vertical="center"/>
    </xf>
    <xf numFmtId="0" fontId="19" fillId="12" borderId="63" xfId="0" applyFont="1" applyFill="1" applyBorder="1" applyAlignment="1">
      <alignment horizontal="left" vertical="center"/>
    </xf>
    <xf numFmtId="169" fontId="19" fillId="12" borderId="64" xfId="0" applyNumberFormat="1" applyFont="1" applyFill="1" applyBorder="1" applyAlignment="1">
      <alignment horizontal="left" vertical="center"/>
    </xf>
    <xf numFmtId="179" fontId="19" fillId="12" borderId="114" xfId="0" applyNumberFormat="1" applyFont="1" applyFill="1" applyBorder="1" applyAlignment="1">
      <alignment horizontal="center" vertical="center"/>
    </xf>
    <xf numFmtId="179" fontId="19" fillId="12" borderId="115" xfId="0" applyNumberFormat="1" applyFont="1" applyFill="1" applyBorder="1" applyAlignment="1">
      <alignment horizontal="center" vertical="center"/>
    </xf>
    <xf numFmtId="0" fontId="22" fillId="4" borderId="111" xfId="0" applyFont="1" applyFill="1" applyBorder="1" applyAlignment="1">
      <alignment horizontal="left" vertical="center"/>
    </xf>
    <xf numFmtId="0" fontId="22" fillId="4" borderId="113" xfId="0" applyFont="1" applyFill="1" applyBorder="1" applyAlignment="1">
      <alignment horizontal="left" vertical="center"/>
    </xf>
    <xf numFmtId="0" fontId="44" fillId="12" borderId="108" xfId="0" applyFont="1" applyFill="1" applyBorder="1" applyAlignment="1">
      <alignment horizontal="center" vertical="center"/>
    </xf>
    <xf numFmtId="1" fontId="25" fillId="0" borderId="111" xfId="0" applyNumberFormat="1" applyFont="1" applyBorder="1" applyAlignment="1">
      <alignment horizontal="center" vertical="center" wrapText="1"/>
    </xf>
    <xf numFmtId="0" fontId="22" fillId="0" borderId="41" xfId="0" applyFont="1" applyBorder="1" applyAlignment="1">
      <alignment horizontal="center" vertical="center" wrapText="1"/>
    </xf>
    <xf numFmtId="0" fontId="45" fillId="0" borderId="118" xfId="0" applyFont="1" applyBorder="1" applyAlignment="1">
      <alignment horizontal="center" vertical="center" wrapText="1"/>
    </xf>
    <xf numFmtId="0" fontId="45" fillId="0" borderId="120" xfId="0" applyFont="1" applyBorder="1" applyAlignment="1">
      <alignment horizontal="center" vertical="center" wrapText="1"/>
    </xf>
    <xf numFmtId="0" fontId="44" fillId="12" borderId="101" xfId="0" applyFont="1" applyFill="1" applyBorder="1" applyAlignment="1">
      <alignment horizontal="center" vertical="center" wrapText="1"/>
    </xf>
    <xf numFmtId="2" fontId="4" fillId="0" borderId="45" xfId="0" applyNumberFormat="1" applyFont="1" applyBorder="1">
      <alignment horizontal="left" vertical="center" indent="1"/>
    </xf>
    <xf numFmtId="0" fontId="6" fillId="0" borderId="45" xfId="0" applyFont="1" applyBorder="1" applyAlignment="1">
      <alignment horizontal="left" vertical="center" wrapText="1" indent="1"/>
    </xf>
    <xf numFmtId="0" fontId="6" fillId="0" borderId="45" xfId="0" applyFont="1" applyBorder="1">
      <alignment horizontal="left" vertical="center" indent="1"/>
    </xf>
    <xf numFmtId="0" fontId="10" fillId="0" borderId="47" xfId="7" applyBorder="1" applyAlignment="1">
      <alignment horizontal="left" vertical="center" indent="1"/>
    </xf>
    <xf numFmtId="0" fontId="0" fillId="0" borderId="152" xfId="0" applyBorder="1">
      <alignment horizontal="left" vertical="center" indent="1"/>
    </xf>
    <xf numFmtId="0" fontId="0" fillId="0" borderId="73" xfId="0" applyBorder="1">
      <alignment horizontal="left" vertical="center" indent="1"/>
    </xf>
    <xf numFmtId="0" fontId="4" fillId="6" borderId="45" xfId="13" applyNumberFormat="1" applyBorder="1">
      <alignment horizontal="left" vertical="center" indent="1"/>
    </xf>
    <xf numFmtId="0" fontId="8" fillId="12" borderId="45" xfId="0" applyFont="1" applyFill="1" applyBorder="1">
      <alignment horizontal="left" vertical="center" indent="1"/>
    </xf>
    <xf numFmtId="0" fontId="4" fillId="6" borderId="51" xfId="13" applyNumberFormat="1" applyBorder="1" applyAlignment="1">
      <alignment horizontal="center" vertical="center"/>
    </xf>
    <xf numFmtId="1" fontId="4" fillId="6" borderId="51" xfId="13" applyNumberFormat="1" applyBorder="1" applyAlignment="1">
      <alignment horizontal="center" vertical="center"/>
    </xf>
    <xf numFmtId="1" fontId="4" fillId="6" borderId="15" xfId="13" applyNumberFormat="1" applyBorder="1" applyAlignment="1">
      <alignment horizontal="center" vertical="center"/>
    </xf>
    <xf numFmtId="3" fontId="0" fillId="0" borderId="46" xfId="0" applyNumberFormat="1" applyBorder="1" applyAlignment="1">
      <alignment horizontal="center" vertical="center"/>
    </xf>
    <xf numFmtId="0" fontId="6" fillId="0" borderId="0" xfId="0" applyFont="1" applyAlignment="1">
      <alignment horizontal="center" vertical="center"/>
    </xf>
    <xf numFmtId="3" fontId="4" fillId="0" borderId="4" xfId="0" applyNumberFormat="1" applyFont="1" applyBorder="1" applyAlignment="1">
      <alignment horizontal="center" vertical="center"/>
    </xf>
    <xf numFmtId="3" fontId="4" fillId="0" borderId="149" xfId="0" applyNumberFormat="1" applyFont="1" applyBorder="1" applyAlignment="1">
      <alignment horizontal="center" vertical="center"/>
    </xf>
    <xf numFmtId="2" fontId="4" fillId="0" borderId="0" xfId="0" applyNumberFormat="1" applyFont="1" applyAlignment="1">
      <alignment horizontal="center" vertical="center"/>
    </xf>
    <xf numFmtId="0" fontId="38" fillId="0" borderId="0" xfId="0" applyFont="1" applyAlignment="1">
      <alignment horizontal="center" vertical="center"/>
    </xf>
    <xf numFmtId="0" fontId="4" fillId="0" borderId="3" xfId="0" applyFont="1" applyBorder="1" applyAlignment="1">
      <alignment horizontal="center" vertical="center"/>
    </xf>
    <xf numFmtId="0" fontId="4" fillId="0" borderId="116" xfId="0" applyFont="1" applyBorder="1" applyAlignment="1">
      <alignment horizontal="center" vertical="center"/>
    </xf>
    <xf numFmtId="3" fontId="4" fillId="0" borderId="116" xfId="0" applyNumberFormat="1" applyFont="1" applyBorder="1" applyAlignment="1">
      <alignment horizontal="center" vertical="center"/>
    </xf>
    <xf numFmtId="3" fontId="4" fillId="0" borderId="150" xfId="0" applyNumberFormat="1" applyFont="1" applyBorder="1" applyAlignment="1">
      <alignment horizontal="center" vertical="center"/>
    </xf>
    <xf numFmtId="3" fontId="4" fillId="0" borderId="0" xfId="0" applyNumberFormat="1" applyFont="1" applyAlignment="1">
      <alignment horizontal="center" vertical="center"/>
    </xf>
    <xf numFmtId="4" fontId="0" fillId="0" borderId="46" xfId="0" applyNumberFormat="1" applyBorder="1" applyAlignment="1">
      <alignment horizontal="center" vertical="center"/>
    </xf>
    <xf numFmtId="4" fontId="0" fillId="0" borderId="54" xfId="0" applyNumberFormat="1" applyBorder="1" applyAlignment="1">
      <alignment horizontal="center" vertical="center"/>
    </xf>
    <xf numFmtId="4" fontId="0" fillId="0" borderId="151" xfId="0" applyNumberFormat="1" applyBorder="1" applyAlignment="1">
      <alignment horizontal="center" vertical="center"/>
    </xf>
    <xf numFmtId="4" fontId="0" fillId="0" borderId="15" xfId="0" applyNumberFormat="1" applyBorder="1" applyAlignment="1">
      <alignment horizontal="center" vertical="center"/>
    </xf>
    <xf numFmtId="4" fontId="0" fillId="0" borderId="50" xfId="0" applyNumberFormat="1" applyBorder="1" applyAlignment="1">
      <alignment horizontal="center" vertical="center"/>
    </xf>
    <xf numFmtId="4" fontId="0" fillId="0" borderId="76" xfId="0" applyNumberFormat="1" applyBorder="1" applyAlignment="1">
      <alignment horizontal="center" vertical="center"/>
    </xf>
    <xf numFmtId="0" fontId="0" fillId="0" borderId="84" xfId="0" applyBorder="1" applyAlignment="1">
      <alignment horizontal="center" vertical="center"/>
    </xf>
    <xf numFmtId="0" fontId="4" fillId="0" borderId="84" xfId="0" applyFont="1" applyBorder="1" applyAlignment="1">
      <alignment horizontal="center" vertical="center"/>
    </xf>
    <xf numFmtId="4" fontId="43" fillId="0" borderId="84" xfId="0" applyNumberFormat="1" applyFont="1" applyBorder="1" applyAlignment="1">
      <alignment horizontal="center" vertical="center"/>
    </xf>
    <xf numFmtId="4" fontId="43" fillId="0" borderId="98" xfId="0" applyNumberFormat="1" applyFont="1" applyBorder="1" applyAlignment="1">
      <alignment horizontal="center" vertical="center"/>
    </xf>
    <xf numFmtId="4" fontId="0" fillId="0" borderId="64" xfId="0" applyNumberFormat="1" applyBorder="1" applyAlignment="1">
      <alignment horizontal="center" vertical="center"/>
    </xf>
    <xf numFmtId="4" fontId="0" fillId="0" borderId="92" xfId="0" applyNumberFormat="1" applyBorder="1" applyAlignment="1">
      <alignment horizontal="center" vertical="center"/>
    </xf>
    <xf numFmtId="0" fontId="0" fillId="0" borderId="72" xfId="0" applyBorder="1" applyAlignment="1">
      <alignment horizontal="center" vertical="center"/>
    </xf>
    <xf numFmtId="0" fontId="4" fillId="0" borderId="72" xfId="0" applyFont="1" applyBorder="1" applyAlignment="1">
      <alignment horizontal="center" vertical="center"/>
    </xf>
    <xf numFmtId="4" fontId="23" fillId="0" borderId="72" xfId="0" applyNumberFormat="1" applyFont="1" applyBorder="1" applyAlignment="1">
      <alignment horizontal="center" vertical="center"/>
    </xf>
    <xf numFmtId="4" fontId="23" fillId="0" borderId="153" xfId="0" applyNumberFormat="1" applyFont="1" applyBorder="1" applyAlignment="1">
      <alignment horizontal="center" vertical="center"/>
    </xf>
    <xf numFmtId="4" fontId="23" fillId="0" borderId="0" xfId="0" applyNumberFormat="1" applyFont="1" applyAlignment="1">
      <alignment horizontal="center" vertical="center"/>
    </xf>
    <xf numFmtId="166" fontId="0" fillId="0" borderId="0" xfId="1" applyNumberFormat="1" applyFont="1" applyBorder="1" applyAlignment="1">
      <alignment horizontal="center" vertical="center"/>
    </xf>
    <xf numFmtId="167" fontId="0" fillId="0" borderId="0" xfId="0" applyNumberFormat="1" applyAlignment="1">
      <alignment horizontal="center" vertical="center"/>
    </xf>
    <xf numFmtId="3" fontId="4" fillId="0" borderId="46" xfId="0" applyNumberFormat="1" applyFont="1" applyBorder="1" applyAlignment="1">
      <alignment horizontal="center" vertical="center"/>
    </xf>
    <xf numFmtId="1" fontId="4" fillId="6" borderId="0" xfId="13" applyNumberFormat="1" applyBorder="1" applyAlignment="1">
      <alignment horizontal="center" vertical="center"/>
    </xf>
    <xf numFmtId="1" fontId="4" fillId="6" borderId="46" xfId="13" applyNumberFormat="1" applyBorder="1" applyAlignment="1">
      <alignment horizontal="center" vertical="center"/>
    </xf>
    <xf numFmtId="4" fontId="23" fillId="0" borderId="84" xfId="0" applyNumberFormat="1" applyFont="1" applyBorder="1" applyAlignment="1">
      <alignment horizontal="center" vertical="center"/>
    </xf>
    <xf numFmtId="4" fontId="23" fillId="0" borderId="98" xfId="0" applyNumberFormat="1" applyFont="1" applyBorder="1" applyAlignment="1">
      <alignment horizontal="center" vertical="center"/>
    </xf>
    <xf numFmtId="4" fontId="23" fillId="0" borderId="46" xfId="0" applyNumberFormat="1" applyFont="1" applyBorder="1" applyAlignment="1">
      <alignment horizontal="center" vertical="center"/>
    </xf>
    <xf numFmtId="0" fontId="0" fillId="0" borderId="46" xfId="0" applyBorder="1" applyAlignment="1">
      <alignment horizontal="center" vertical="center"/>
    </xf>
    <xf numFmtId="4" fontId="0" fillId="0" borderId="55" xfId="0" applyNumberFormat="1" applyBorder="1" applyAlignment="1">
      <alignment horizontal="center" vertical="center"/>
    </xf>
    <xf numFmtId="4" fontId="0" fillId="0" borderId="57" xfId="0" applyNumberFormat="1" applyBorder="1" applyAlignment="1">
      <alignment horizontal="center" vertical="center"/>
    </xf>
    <xf numFmtId="4" fontId="0" fillId="0" borderId="69" xfId="0" applyNumberFormat="1" applyBorder="1" applyAlignment="1">
      <alignment horizontal="center" vertical="center"/>
    </xf>
    <xf numFmtId="4" fontId="0" fillId="0" borderId="62" xfId="0" applyNumberFormat="1" applyBorder="1" applyAlignment="1">
      <alignment horizontal="center" vertical="center"/>
    </xf>
    <xf numFmtId="4" fontId="0" fillId="0" borderId="86" xfId="0" applyNumberFormat="1" applyBorder="1" applyAlignment="1">
      <alignment horizontal="center" vertical="center"/>
    </xf>
    <xf numFmtId="0" fontId="6" fillId="0" borderId="84" xfId="0" applyFont="1" applyBorder="1" applyAlignment="1">
      <alignment horizontal="center" vertical="center"/>
    </xf>
    <xf numFmtId="4" fontId="4" fillId="0" borderId="84" xfId="0" applyNumberFormat="1" applyFont="1" applyBorder="1" applyAlignment="1">
      <alignment horizontal="center" vertical="center"/>
    </xf>
    <xf numFmtId="4" fontId="4" fillId="0" borderId="85" xfId="0" applyNumberFormat="1" applyFont="1" applyBorder="1" applyAlignment="1">
      <alignment horizontal="center" vertical="center"/>
    </xf>
    <xf numFmtId="0" fontId="4" fillId="6" borderId="72" xfId="13" applyNumberFormat="1" applyBorder="1" applyAlignment="1">
      <alignment horizontal="center" vertical="center"/>
    </xf>
    <xf numFmtId="1" fontId="4" fillId="6" borderId="72" xfId="13" applyNumberFormat="1" applyBorder="1" applyAlignment="1">
      <alignment horizontal="center" vertical="center"/>
    </xf>
    <xf numFmtId="1" fontId="4" fillId="6" borderId="74" xfId="13" applyNumberFormat="1" applyBorder="1" applyAlignment="1">
      <alignment horizontal="center" vertical="center"/>
    </xf>
    <xf numFmtId="1" fontId="4" fillId="6" borderId="85" xfId="13" applyNumberFormat="1" applyBorder="1" applyAlignment="1">
      <alignment horizontal="center" vertical="center"/>
    </xf>
    <xf numFmtId="1" fontId="4" fillId="6" borderId="84" xfId="13" applyNumberFormat="1" applyBorder="1" applyAlignment="1">
      <alignment horizontal="center" vertical="center"/>
    </xf>
    <xf numFmtId="0" fontId="6" fillId="0" borderId="64" xfId="0" applyFont="1" applyBorder="1" applyAlignment="1">
      <alignment horizontal="center" vertical="center"/>
    </xf>
    <xf numFmtId="0" fontId="4" fillId="0" borderId="59" xfId="0" applyFont="1" applyBorder="1" applyAlignment="1">
      <alignment horizontal="center" vertical="center"/>
    </xf>
    <xf numFmtId="4" fontId="0" fillId="0" borderId="65" xfId="0" applyNumberFormat="1" applyBorder="1" applyAlignment="1">
      <alignment horizontal="center" vertical="center"/>
    </xf>
    <xf numFmtId="4" fontId="4" fillId="0" borderId="64" xfId="0" applyNumberFormat="1" applyFont="1" applyBorder="1" applyAlignment="1">
      <alignment horizontal="center" vertical="center"/>
    </xf>
    <xf numFmtId="4" fontId="4" fillId="0" borderId="0" xfId="0" applyNumberFormat="1" applyFont="1" applyAlignment="1">
      <alignment horizontal="center" vertical="center"/>
    </xf>
    <xf numFmtId="0" fontId="0" fillId="0" borderId="54" xfId="0" applyBorder="1" applyAlignment="1">
      <alignment horizontal="center" vertical="center"/>
    </xf>
    <xf numFmtId="0" fontId="4" fillId="0" borderId="54" xfId="0" applyFont="1" applyBorder="1" applyAlignment="1">
      <alignment horizontal="center" vertical="center"/>
    </xf>
    <xf numFmtId="0" fontId="4" fillId="0" borderId="52" xfId="0" applyFont="1" applyBorder="1" applyAlignment="1">
      <alignment horizontal="center" vertical="center"/>
    </xf>
    <xf numFmtId="0" fontId="0" fillId="0" borderId="57" xfId="0" applyBorder="1" applyAlignment="1">
      <alignment horizontal="center" vertical="center"/>
    </xf>
    <xf numFmtId="0" fontId="0" fillId="0" borderId="65" xfId="0" applyBorder="1" applyAlignment="1">
      <alignment horizontal="center" vertical="center"/>
    </xf>
    <xf numFmtId="11" fontId="0" fillId="0" borderId="51" xfId="4" applyNumberFormat="1" applyFont="1" applyBorder="1" applyAlignment="1">
      <alignment horizontal="center" vertical="center"/>
    </xf>
    <xf numFmtId="11" fontId="0" fillId="0" borderId="69" xfId="4" applyNumberFormat="1" applyFont="1" applyBorder="1" applyAlignment="1">
      <alignment horizontal="center" vertical="center"/>
    </xf>
    <xf numFmtId="11" fontId="0" fillId="0" borderId="0" xfId="4" applyNumberFormat="1" applyFont="1" applyBorder="1" applyAlignment="1">
      <alignment horizontal="center" vertical="center"/>
    </xf>
    <xf numFmtId="11" fontId="0" fillId="0" borderId="57" xfId="4" applyNumberFormat="1" applyFont="1" applyBorder="1" applyAlignment="1">
      <alignment horizontal="center" vertical="center"/>
    </xf>
    <xf numFmtId="11" fontId="0" fillId="0" borderId="52" xfId="4" applyNumberFormat="1" applyFont="1" applyBorder="1" applyAlignment="1">
      <alignment horizontal="center" vertical="center"/>
    </xf>
    <xf numFmtId="11" fontId="0" fillId="0" borderId="89" xfId="4" applyNumberFormat="1" applyFont="1" applyBorder="1" applyAlignment="1">
      <alignment horizontal="center" vertical="center"/>
    </xf>
    <xf numFmtId="11" fontId="0" fillId="0" borderId="86" xfId="4" applyNumberFormat="1" applyFont="1" applyBorder="1" applyAlignment="1">
      <alignment horizontal="center" vertical="center"/>
    </xf>
    <xf numFmtId="0" fontId="0" fillId="0" borderId="94" xfId="0" applyBorder="1" applyAlignment="1">
      <alignment horizontal="center" vertical="center"/>
    </xf>
    <xf numFmtId="11" fontId="0" fillId="0" borderId="62" xfId="4" applyNumberFormat="1" applyFont="1" applyBorder="1" applyAlignment="1">
      <alignment horizontal="center" vertical="center"/>
    </xf>
    <xf numFmtId="0" fontId="4" fillId="0" borderId="56" xfId="0" applyFont="1" applyBorder="1" applyAlignment="1">
      <alignment horizontal="center" vertical="center"/>
    </xf>
    <xf numFmtId="11" fontId="4" fillId="0" borderId="0" xfId="4" applyNumberFormat="1" applyFont="1" applyBorder="1" applyAlignment="1">
      <alignment horizontal="center" vertical="center"/>
    </xf>
    <xf numFmtId="11" fontId="4" fillId="0" borderId="57" xfId="4" applyNumberFormat="1" applyFont="1" applyBorder="1" applyAlignment="1">
      <alignment horizontal="center" vertical="center"/>
    </xf>
    <xf numFmtId="0" fontId="4" fillId="0" borderId="63" xfId="0" applyFont="1" applyBorder="1" applyAlignment="1">
      <alignment horizontal="center" vertical="center"/>
    </xf>
    <xf numFmtId="0" fontId="4" fillId="0" borderId="64" xfId="0" applyFont="1" applyBorder="1" applyAlignment="1">
      <alignment horizontal="center" vertical="center"/>
    </xf>
    <xf numFmtId="11" fontId="4" fillId="0" borderId="64" xfId="4" applyNumberFormat="1" applyFont="1" applyBorder="1" applyAlignment="1">
      <alignment horizontal="center" vertical="center"/>
    </xf>
    <xf numFmtId="11" fontId="4" fillId="0" borderId="65" xfId="4" applyNumberFormat="1" applyFont="1" applyBorder="1" applyAlignment="1">
      <alignment horizontal="center" vertical="center"/>
    </xf>
    <xf numFmtId="4" fontId="0" fillId="0" borderId="0" xfId="4" applyNumberFormat="1" applyFont="1" applyBorder="1" applyAlignment="1">
      <alignment horizontal="center" vertical="center"/>
    </xf>
    <xf numFmtId="11" fontId="4" fillId="0" borderId="52" xfId="4" applyNumberFormat="1" applyFont="1" applyBorder="1" applyAlignment="1">
      <alignment horizontal="center" vertical="center"/>
    </xf>
    <xf numFmtId="11" fontId="4" fillId="0" borderId="62" xfId="4" applyNumberFormat="1" applyFont="1" applyBorder="1" applyAlignment="1">
      <alignment horizontal="center" vertical="center"/>
    </xf>
    <xf numFmtId="0" fontId="0" fillId="0" borderId="63" xfId="0" applyBorder="1" applyAlignment="1">
      <alignment horizontal="center" vertical="center"/>
    </xf>
    <xf numFmtId="0" fontId="48" fillId="0" borderId="0" xfId="15" applyFont="1" applyAlignment="1">
      <alignment vertical="center"/>
    </xf>
    <xf numFmtId="0" fontId="58" fillId="0" borderId="0" xfId="3" applyFont="1" applyBorder="1" applyAlignment="1">
      <alignment vertical="center"/>
    </xf>
    <xf numFmtId="0" fontId="8" fillId="12" borderId="0" xfId="9" applyFill="1" applyAlignment="1">
      <alignment vertical="center"/>
    </xf>
    <xf numFmtId="164" fontId="0" fillId="0" borderId="51" xfId="4" applyNumberFormat="1" applyFont="1" applyBorder="1" applyAlignment="1">
      <alignment horizontal="center" vertical="center"/>
    </xf>
    <xf numFmtId="164" fontId="0" fillId="0" borderId="69" xfId="4" applyNumberFormat="1" applyFont="1" applyBorder="1" applyAlignment="1">
      <alignment horizontal="center" vertical="center"/>
    </xf>
    <xf numFmtId="164" fontId="0" fillId="0" borderId="0" xfId="4" applyNumberFormat="1" applyFont="1" applyAlignment="1">
      <alignment horizontal="center" vertical="center"/>
    </xf>
    <xf numFmtId="164" fontId="0" fillId="0" borderId="57" xfId="4" applyNumberFormat="1" applyFont="1" applyBorder="1" applyAlignment="1">
      <alignment horizontal="center" vertical="center"/>
    </xf>
    <xf numFmtId="164" fontId="4" fillId="0" borderId="52" xfId="4" applyNumberFormat="1" applyFont="1" applyBorder="1" applyAlignment="1">
      <alignment horizontal="center" vertical="center"/>
    </xf>
    <xf numFmtId="164" fontId="4" fillId="0" borderId="62" xfId="4" applyNumberFormat="1" applyFont="1" applyBorder="1" applyAlignment="1">
      <alignment horizontal="center" vertical="center"/>
    </xf>
    <xf numFmtId="164" fontId="4" fillId="0" borderId="57" xfId="4" applyNumberFormat="1" applyFont="1" applyBorder="1" applyAlignment="1">
      <alignment horizontal="center" vertical="center"/>
    </xf>
    <xf numFmtId="164" fontId="4" fillId="0" borderId="64" xfId="4" applyNumberFormat="1" applyFont="1" applyBorder="1" applyAlignment="1">
      <alignment horizontal="center" vertical="center"/>
    </xf>
    <xf numFmtId="164" fontId="4" fillId="0" borderId="65" xfId="4" applyNumberFormat="1" applyFont="1" applyBorder="1" applyAlignment="1">
      <alignment horizontal="center" vertical="center"/>
    </xf>
    <xf numFmtId="0" fontId="4" fillId="0" borderId="68" xfId="0" applyFont="1" applyBorder="1" applyAlignment="1">
      <alignment horizontal="center" vertical="center"/>
    </xf>
    <xf numFmtId="0" fontId="4" fillId="0" borderId="51" xfId="0" applyFont="1" applyBorder="1" applyAlignment="1">
      <alignment horizontal="center" vertical="center"/>
    </xf>
    <xf numFmtId="164" fontId="0" fillId="0" borderId="0" xfId="4" applyNumberFormat="1" applyFont="1" applyBorder="1" applyAlignment="1">
      <alignment horizontal="center" vertical="center"/>
    </xf>
    <xf numFmtId="164" fontId="4" fillId="0" borderId="0" xfId="4" applyNumberFormat="1" applyFont="1" applyBorder="1" applyAlignment="1">
      <alignment horizontal="center" vertical="center"/>
    </xf>
    <xf numFmtId="0" fontId="48" fillId="0" borderId="64" xfId="15" applyFont="1" applyBorder="1" applyAlignment="1">
      <alignment vertical="center"/>
    </xf>
    <xf numFmtId="11" fontId="0" fillId="0" borderId="64" xfId="4" applyNumberFormat="1" applyFont="1" applyBorder="1" applyAlignment="1">
      <alignment horizontal="center" vertical="center"/>
    </xf>
    <xf numFmtId="11" fontId="0" fillId="0" borderId="65" xfId="4" applyNumberFormat="1" applyFont="1" applyBorder="1" applyAlignment="1">
      <alignment horizontal="center" vertical="center"/>
    </xf>
    <xf numFmtId="11" fontId="0" fillId="0" borderId="57" xfId="0" applyNumberFormat="1" applyBorder="1" applyAlignment="1">
      <alignment horizontal="center" vertical="center"/>
    </xf>
    <xf numFmtId="11" fontId="0" fillId="0" borderId="69" xfId="0" applyNumberFormat="1" applyBorder="1" applyAlignment="1">
      <alignment horizontal="center" vertical="center"/>
    </xf>
    <xf numFmtId="0" fontId="4" fillId="0" borderId="66" xfId="0" applyFont="1" applyBorder="1" applyAlignment="1">
      <alignment horizontal="center" vertical="center"/>
    </xf>
    <xf numFmtId="11" fontId="0" fillId="0" borderId="62" xfId="0" applyNumberFormat="1" applyBorder="1" applyAlignment="1">
      <alignment horizontal="center" vertical="center"/>
    </xf>
    <xf numFmtId="11" fontId="0" fillId="0" borderId="65" xfId="0" applyNumberFormat="1" applyBorder="1" applyAlignment="1">
      <alignment horizontal="center" vertical="center"/>
    </xf>
    <xf numFmtId="11" fontId="0" fillId="0" borderId="51" xfId="0" applyNumberFormat="1" applyBorder="1" applyAlignment="1">
      <alignment horizontal="center" vertical="center"/>
    </xf>
    <xf numFmtId="11" fontId="0" fillId="0" borderId="0" xfId="0" applyNumberFormat="1" applyAlignment="1">
      <alignment horizontal="center" vertical="center"/>
    </xf>
    <xf numFmtId="11" fontId="0" fillId="0" borderId="52" xfId="0" applyNumberFormat="1" applyBorder="1" applyAlignment="1">
      <alignment horizontal="center" vertical="center"/>
    </xf>
    <xf numFmtId="11" fontId="0" fillId="0" borderId="64" xfId="0" applyNumberFormat="1" applyBorder="1" applyAlignment="1">
      <alignment horizontal="center" vertical="center"/>
    </xf>
    <xf numFmtId="164" fontId="0" fillId="0" borderId="57" xfId="0" applyNumberFormat="1" applyBorder="1" applyAlignment="1">
      <alignment horizontal="center" vertical="center"/>
    </xf>
    <xf numFmtId="164" fontId="0" fillId="0" borderId="69" xfId="0" applyNumberFormat="1" applyBorder="1" applyAlignment="1">
      <alignment horizontal="center" vertical="center"/>
    </xf>
    <xf numFmtId="164" fontId="0" fillId="0" borderId="62" xfId="0" applyNumberFormat="1" applyBorder="1" applyAlignment="1">
      <alignment horizontal="center" vertical="center"/>
    </xf>
    <xf numFmtId="164" fontId="0" fillId="0" borderId="52" xfId="4" applyNumberFormat="1" applyFont="1" applyBorder="1" applyAlignment="1">
      <alignment horizontal="center" vertical="center"/>
    </xf>
    <xf numFmtId="164" fontId="0" fillId="0" borderId="62" xfId="4" applyNumberFormat="1" applyFont="1" applyBorder="1" applyAlignment="1">
      <alignment horizontal="center" vertical="center"/>
    </xf>
    <xf numFmtId="164" fontId="0" fillId="0" borderId="65" xfId="0" applyNumberFormat="1" applyBorder="1" applyAlignment="1">
      <alignment horizontal="center" vertical="center"/>
    </xf>
    <xf numFmtId="164" fontId="0" fillId="0" borderId="64" xfId="4" applyNumberFormat="1" applyFont="1" applyBorder="1" applyAlignment="1">
      <alignment horizontal="center" vertical="center"/>
    </xf>
    <xf numFmtId="164" fontId="0" fillId="0" borderId="65" xfId="4" applyNumberFormat="1" applyFont="1" applyBorder="1" applyAlignment="1">
      <alignment horizontal="center" vertical="center"/>
    </xf>
    <xf numFmtId="0" fontId="4" fillId="6" borderId="71" xfId="13" applyNumberFormat="1" applyBorder="1" applyAlignment="1">
      <alignment horizontal="center" vertical="center"/>
    </xf>
    <xf numFmtId="0" fontId="4" fillId="6" borderId="74" xfId="13" applyNumberFormat="1" applyBorder="1" applyAlignment="1">
      <alignment horizontal="center" vertical="center"/>
    </xf>
    <xf numFmtId="0" fontId="4" fillId="6" borderId="85" xfId="13" applyNumberFormat="1" applyBorder="1" applyAlignment="1">
      <alignment horizontal="center" vertical="center"/>
    </xf>
    <xf numFmtId="166" fontId="0" fillId="0" borderId="57" xfId="0" applyNumberFormat="1" applyBorder="1" applyAlignment="1">
      <alignment horizontal="center" vertical="center"/>
    </xf>
    <xf numFmtId="166" fontId="0" fillId="0" borderId="69" xfId="0" applyNumberFormat="1" applyBorder="1" applyAlignment="1">
      <alignment horizontal="center" vertical="center"/>
    </xf>
    <xf numFmtId="166" fontId="0" fillId="0" borderId="62" xfId="0" applyNumberFormat="1" applyBorder="1" applyAlignment="1">
      <alignment horizontal="center" vertical="center"/>
    </xf>
    <xf numFmtId="171" fontId="0" fillId="0" borderId="57" xfId="0" applyNumberFormat="1" applyBorder="1" applyAlignment="1">
      <alignment horizontal="center" vertical="center"/>
    </xf>
    <xf numFmtId="171" fontId="0" fillId="0" borderId="65" xfId="0" applyNumberFormat="1" applyBorder="1" applyAlignment="1">
      <alignment horizontal="center" vertical="center"/>
    </xf>
    <xf numFmtId="4" fontId="0" fillId="0" borderId="3" xfId="0" applyNumberFormat="1" applyBorder="1" applyAlignment="1">
      <alignment horizontal="center" vertical="center"/>
    </xf>
    <xf numFmtId="4" fontId="4" fillId="0" borderId="3" xfId="0" applyNumberFormat="1" applyFont="1" applyBorder="1" applyAlignment="1">
      <alignment horizontal="center" vertical="center"/>
    </xf>
    <xf numFmtId="4" fontId="4" fillId="0" borderId="89" xfId="0" applyNumberFormat="1" applyFont="1" applyBorder="1" applyAlignment="1">
      <alignment horizontal="center" vertical="center"/>
    </xf>
    <xf numFmtId="4" fontId="4" fillId="0" borderId="86" xfId="0" applyNumberFormat="1" applyFont="1" applyBorder="1" applyAlignment="1">
      <alignment horizontal="center" vertical="center"/>
    </xf>
    <xf numFmtId="0" fontId="4" fillId="0" borderId="89" xfId="0" applyFont="1" applyBorder="1" applyAlignment="1">
      <alignment horizontal="center" vertical="center"/>
    </xf>
    <xf numFmtId="0" fontId="4" fillId="0" borderId="82" xfId="0" applyFont="1" applyBorder="1" applyAlignment="1">
      <alignment horizontal="center" vertical="center"/>
    </xf>
    <xf numFmtId="4" fontId="4" fillId="0" borderId="82" xfId="0" applyNumberFormat="1" applyFont="1" applyBorder="1" applyAlignment="1">
      <alignment horizontal="center" vertical="center"/>
    </xf>
    <xf numFmtId="165" fontId="0" fillId="0" borderId="0" xfId="5" applyFont="1" applyBorder="1" applyAlignment="1">
      <alignment horizontal="center" vertical="center"/>
    </xf>
    <xf numFmtId="165" fontId="0" fillId="0" borderId="57" xfId="5" applyFont="1" applyBorder="1" applyAlignment="1">
      <alignment horizontal="center" vertical="center"/>
    </xf>
    <xf numFmtId="165" fontId="0" fillId="0" borderId="3" xfId="5" applyFont="1" applyBorder="1" applyAlignment="1">
      <alignment horizontal="center" vertical="center"/>
    </xf>
    <xf numFmtId="165" fontId="4" fillId="0" borderId="3" xfId="5" applyFont="1" applyBorder="1" applyAlignment="1">
      <alignment horizontal="center" vertical="center"/>
    </xf>
    <xf numFmtId="165" fontId="4" fillId="0" borderId="89" xfId="5" applyFont="1" applyBorder="1" applyAlignment="1">
      <alignment horizontal="center" vertical="center"/>
    </xf>
    <xf numFmtId="165" fontId="4" fillId="0" borderId="86" xfId="5" applyFont="1" applyBorder="1" applyAlignment="1">
      <alignment horizontal="center" vertical="center"/>
    </xf>
    <xf numFmtId="165" fontId="4" fillId="0" borderId="0" xfId="5" applyFont="1" applyBorder="1" applyAlignment="1">
      <alignment horizontal="center" vertical="center"/>
    </xf>
    <xf numFmtId="165" fontId="0" fillId="0" borderId="51" xfId="5" applyFont="1" applyBorder="1" applyAlignment="1">
      <alignment horizontal="center" vertical="center"/>
    </xf>
    <xf numFmtId="165" fontId="0" fillId="0" borderId="0" xfId="5" applyFont="1" applyAlignment="1">
      <alignment horizontal="center" vertical="center"/>
    </xf>
    <xf numFmtId="165" fontId="4" fillId="0" borderId="0" xfId="5" applyFont="1" applyAlignment="1">
      <alignment horizontal="center" vertical="center"/>
    </xf>
    <xf numFmtId="0" fontId="0" fillId="0" borderId="59" xfId="0" applyBorder="1" applyAlignment="1">
      <alignment horizontal="center" vertical="center"/>
    </xf>
    <xf numFmtId="165" fontId="4" fillId="0" borderId="59" xfId="5" applyFont="1" applyBorder="1" applyAlignment="1">
      <alignment horizontal="center" vertical="center"/>
    </xf>
    <xf numFmtId="165" fontId="4" fillId="0" borderId="64" xfId="5" applyFont="1" applyBorder="1" applyAlignment="1">
      <alignment horizontal="center" vertical="center"/>
    </xf>
    <xf numFmtId="165" fontId="4" fillId="0" borderId="65" xfId="5" applyFont="1" applyBorder="1" applyAlignment="1">
      <alignment horizontal="center" vertical="center"/>
    </xf>
    <xf numFmtId="4" fontId="0" fillId="0" borderId="77" xfId="0" applyNumberFormat="1" applyBorder="1" applyAlignment="1">
      <alignment horizontal="center" vertical="center"/>
    </xf>
    <xf numFmtId="4" fontId="4" fillId="0" borderId="77" xfId="0" applyNumberFormat="1" applyFont="1" applyBorder="1" applyAlignment="1">
      <alignment horizontal="center" vertical="center"/>
    </xf>
    <xf numFmtId="4" fontId="4" fillId="0" borderId="88" xfId="0" applyNumberFormat="1" applyFont="1" applyBorder="1" applyAlignment="1">
      <alignment horizontal="center" vertical="center"/>
    </xf>
    <xf numFmtId="165" fontId="0" fillId="0" borderId="77" xfId="5" applyFont="1" applyBorder="1" applyAlignment="1">
      <alignment horizontal="center" vertical="center"/>
    </xf>
    <xf numFmtId="165" fontId="4" fillId="0" borderId="77" xfId="5" applyFont="1" applyBorder="1" applyAlignment="1">
      <alignment horizontal="center" vertical="center"/>
    </xf>
    <xf numFmtId="165" fontId="4" fillId="0" borderId="57" xfId="5" applyFont="1" applyBorder="1" applyAlignment="1">
      <alignment horizontal="center" vertical="center"/>
    </xf>
    <xf numFmtId="165" fontId="0" fillId="0" borderId="69" xfId="5" applyFont="1" applyBorder="1" applyAlignment="1">
      <alignment horizontal="center" vertical="center"/>
    </xf>
    <xf numFmtId="1" fontId="4" fillId="0" borderId="59" xfId="0" applyNumberFormat="1" applyFont="1" applyBorder="1" applyAlignment="1">
      <alignment horizontal="center" vertical="center"/>
    </xf>
    <xf numFmtId="165" fontId="4" fillId="0" borderId="61" xfId="5" applyFont="1" applyBorder="1" applyAlignment="1">
      <alignment horizontal="center" vertical="center"/>
    </xf>
    <xf numFmtId="0" fontId="4" fillId="6" borderId="83" xfId="13" applyNumberFormat="1" applyBorder="1" applyAlignment="1">
      <alignment horizontal="center" vertical="center"/>
    </xf>
    <xf numFmtId="3" fontId="0" fillId="0" borderId="57" xfId="0" applyNumberFormat="1" applyBorder="1" applyAlignment="1">
      <alignment horizontal="center" vertical="center"/>
    </xf>
    <xf numFmtId="2" fontId="4" fillId="0" borderId="58" xfId="0" applyNumberFormat="1" applyFont="1" applyBorder="1" applyAlignment="1">
      <alignment horizontal="center" vertical="center"/>
    </xf>
    <xf numFmtId="2" fontId="4" fillId="0" borderId="59" xfId="0" applyNumberFormat="1" applyFont="1" applyBorder="1" applyAlignment="1">
      <alignment horizontal="center" vertical="center"/>
    </xf>
    <xf numFmtId="3" fontId="4" fillId="0" borderId="61" xfId="0" applyNumberFormat="1" applyFont="1" applyBorder="1" applyAlignment="1">
      <alignment horizontal="center" vertical="center"/>
    </xf>
    <xf numFmtId="4" fontId="4" fillId="0" borderId="59" xfId="0" applyNumberFormat="1" applyFont="1" applyBorder="1" applyAlignment="1">
      <alignment horizontal="center" vertical="center"/>
    </xf>
    <xf numFmtId="1" fontId="0" fillId="0" borderId="56" xfId="0" applyNumberFormat="1" applyBorder="1" applyAlignment="1">
      <alignment horizontal="center" vertical="center"/>
    </xf>
    <xf numFmtId="165" fontId="0" fillId="0" borderId="57" xfId="5" applyFont="1" applyFill="1" applyBorder="1" applyAlignment="1">
      <alignment horizontal="center" vertical="center"/>
    </xf>
    <xf numFmtId="165" fontId="4" fillId="0" borderId="61" xfId="5" applyFont="1" applyFill="1" applyBorder="1" applyAlignment="1">
      <alignment horizontal="center" vertical="center"/>
    </xf>
    <xf numFmtId="165" fontId="4" fillId="0" borderId="82" xfId="5" applyFont="1" applyBorder="1" applyAlignment="1">
      <alignment horizontal="center" vertical="center"/>
    </xf>
    <xf numFmtId="165" fontId="4" fillId="0" borderId="88" xfId="5" applyFont="1" applyBorder="1" applyAlignment="1">
      <alignment horizontal="center" vertical="center"/>
    </xf>
    <xf numFmtId="165" fontId="0" fillId="0" borderId="0" xfId="5" applyFont="1" applyFill="1" applyBorder="1" applyAlignment="1">
      <alignment horizontal="center" vertical="center"/>
    </xf>
    <xf numFmtId="165" fontId="4" fillId="0" borderId="52" xfId="5" applyFont="1" applyBorder="1" applyAlignment="1">
      <alignment horizontal="center" vertical="center"/>
    </xf>
    <xf numFmtId="165" fontId="4" fillId="0" borderId="62" xfId="5" applyFont="1" applyBorder="1" applyAlignment="1">
      <alignment horizontal="center" vertical="center"/>
    </xf>
    <xf numFmtId="165" fontId="0" fillId="0" borderId="0" xfId="0" applyNumberFormat="1" applyAlignment="1">
      <alignment horizontal="center" vertical="center"/>
    </xf>
    <xf numFmtId="165" fontId="0" fillId="0" borderId="57" xfId="0" applyNumberFormat="1" applyBorder="1" applyAlignment="1">
      <alignment horizontal="center" vertical="center"/>
    </xf>
    <xf numFmtId="164" fontId="0" fillId="0" borderId="64" xfId="0" applyNumberFormat="1" applyBorder="1" applyAlignment="1">
      <alignment horizontal="center" vertical="center"/>
    </xf>
    <xf numFmtId="165" fontId="0" fillId="0" borderId="64" xfId="0" applyNumberFormat="1" applyBorder="1" applyAlignment="1">
      <alignment horizontal="center" vertical="center"/>
    </xf>
    <xf numFmtId="165" fontId="0" fillId="0" borderId="56" xfId="5" applyFont="1" applyBorder="1" applyAlignment="1">
      <alignment horizontal="center" vertical="center"/>
    </xf>
    <xf numFmtId="0" fontId="4" fillId="0" borderId="67" xfId="0" applyFont="1" applyBorder="1" applyAlignment="1">
      <alignment horizontal="center" vertical="center"/>
    </xf>
    <xf numFmtId="0" fontId="0" fillId="0" borderId="67" xfId="0" applyBorder="1" applyAlignment="1">
      <alignment horizontal="center" vertical="center"/>
    </xf>
    <xf numFmtId="165" fontId="4" fillId="0" borderId="82" xfId="0" applyNumberFormat="1" applyFont="1" applyBorder="1" applyAlignment="1">
      <alignment horizontal="center" vertical="center"/>
    </xf>
    <xf numFmtId="165" fontId="4" fillId="0" borderId="88" xfId="0" applyNumberFormat="1" applyFont="1" applyBorder="1" applyAlignment="1">
      <alignment horizontal="center" vertical="center"/>
    </xf>
    <xf numFmtId="165" fontId="0" fillId="0" borderId="45" xfId="5" applyFont="1" applyBorder="1" applyAlignment="1">
      <alignment horizontal="center" vertical="center"/>
    </xf>
    <xf numFmtId="165" fontId="4" fillId="0" borderId="45" xfId="5" applyFont="1" applyBorder="1" applyAlignment="1">
      <alignment horizontal="center" vertical="center"/>
    </xf>
    <xf numFmtId="1" fontId="4" fillId="0" borderId="58" xfId="0" applyNumberFormat="1" applyFont="1" applyBorder="1" applyAlignment="1">
      <alignment horizontal="center" vertical="center"/>
    </xf>
    <xf numFmtId="165" fontId="4" fillId="0" borderId="60" xfId="5" applyFont="1" applyBorder="1" applyAlignment="1">
      <alignment horizontal="center" vertical="center"/>
    </xf>
    <xf numFmtId="9" fontId="0" fillId="0" borderId="51" xfId="1" applyFont="1" applyBorder="1" applyAlignment="1">
      <alignment horizontal="center" vertical="center"/>
    </xf>
    <xf numFmtId="165" fontId="0" fillId="0" borderId="44" xfId="5" applyFont="1" applyBorder="1" applyAlignment="1">
      <alignment horizontal="center" vertical="center"/>
    </xf>
    <xf numFmtId="0" fontId="4" fillId="6" borderId="72" xfId="13" applyNumberFormat="1" applyBorder="1" applyAlignment="1">
      <alignment horizontal="center" vertical="center" wrapText="1"/>
    </xf>
    <xf numFmtId="1" fontId="4" fillId="6" borderId="72" xfId="13" applyNumberFormat="1" applyBorder="1" applyAlignment="1">
      <alignment horizontal="center" vertical="center" wrapText="1"/>
    </xf>
    <xf numFmtId="165" fontId="0" fillId="0" borderId="0" xfId="1" applyNumberFormat="1" applyFont="1" applyBorder="1" applyAlignment="1">
      <alignment horizontal="center" vertical="center"/>
    </xf>
    <xf numFmtId="165" fontId="0" fillId="0" borderId="52" xfId="1" applyNumberFormat="1" applyFont="1" applyBorder="1" applyAlignment="1">
      <alignment horizontal="center" vertical="center"/>
    </xf>
    <xf numFmtId="165" fontId="0" fillId="0" borderId="51" xfId="1" applyNumberFormat="1" applyFont="1" applyBorder="1" applyAlignment="1">
      <alignment horizontal="center" vertical="center"/>
    </xf>
    <xf numFmtId="0" fontId="4" fillId="6" borderId="73" xfId="13" applyNumberFormat="1" applyBorder="1" applyAlignment="1">
      <alignment horizontal="center" vertical="center"/>
    </xf>
    <xf numFmtId="0" fontId="57" fillId="4" borderId="56" xfId="0" applyFont="1" applyFill="1" applyBorder="1" applyAlignment="1">
      <alignment horizontal="center" vertical="center"/>
    </xf>
    <xf numFmtId="0" fontId="0" fillId="0" borderId="0" xfId="0" applyAlignment="1">
      <alignment horizontal="center"/>
    </xf>
    <xf numFmtId="165" fontId="0" fillId="9" borderId="0" xfId="5" applyFont="1" applyFill="1" applyBorder="1" applyAlignment="1">
      <alignment horizontal="center"/>
    </xf>
    <xf numFmtId="165" fontId="0" fillId="5" borderId="45" xfId="5" applyFont="1" applyFill="1" applyBorder="1" applyAlignment="1">
      <alignment horizontal="center"/>
    </xf>
    <xf numFmtId="0" fontId="0" fillId="0" borderId="51" xfId="0" applyBorder="1" applyAlignment="1">
      <alignment horizontal="center"/>
    </xf>
    <xf numFmtId="165" fontId="13" fillId="9" borderId="51" xfId="0" applyNumberFormat="1" applyFont="1" applyFill="1" applyBorder="1" applyAlignment="1">
      <alignment horizontal="center"/>
    </xf>
    <xf numFmtId="165" fontId="0" fillId="5" borderId="44" xfId="5" applyFont="1" applyFill="1" applyBorder="1" applyAlignment="1">
      <alignment horizontal="center"/>
    </xf>
    <xf numFmtId="165" fontId="0" fillId="5" borderId="51" xfId="5" applyFont="1" applyFill="1" applyBorder="1" applyAlignment="1">
      <alignment horizontal="center"/>
    </xf>
    <xf numFmtId="165" fontId="0" fillId="5" borderId="69" xfId="5" applyFont="1" applyFill="1"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44" fontId="37" fillId="9" borderId="64" xfId="0" applyNumberFormat="1" applyFont="1" applyFill="1" applyBorder="1" applyAlignment="1">
      <alignment horizontal="center"/>
    </xf>
    <xf numFmtId="165" fontId="13" fillId="9" borderId="64" xfId="0" applyNumberFormat="1" applyFont="1" applyFill="1" applyBorder="1" applyAlignment="1">
      <alignment horizontal="center"/>
    </xf>
    <xf numFmtId="44" fontId="37" fillId="5" borderId="70" xfId="0" applyNumberFormat="1" applyFont="1" applyFill="1" applyBorder="1" applyAlignment="1">
      <alignment horizontal="center"/>
    </xf>
    <xf numFmtId="165" fontId="13" fillId="5" borderId="64" xfId="0" applyNumberFormat="1" applyFont="1" applyFill="1" applyBorder="1" applyAlignment="1">
      <alignment horizontal="center"/>
    </xf>
    <xf numFmtId="165" fontId="13" fillId="10" borderId="65" xfId="0" applyNumberFormat="1" applyFont="1" applyFill="1" applyBorder="1" applyAlignment="1">
      <alignment horizontal="center"/>
    </xf>
    <xf numFmtId="165" fontId="0" fillId="0" borderId="37" xfId="5" applyFont="1" applyBorder="1" applyAlignment="1">
      <alignment horizontal="center"/>
    </xf>
    <xf numFmtId="44" fontId="0" fillId="0" borderId="0" xfId="0" applyNumberFormat="1" applyAlignment="1">
      <alignment horizontal="center"/>
    </xf>
    <xf numFmtId="177" fontId="0" fillId="0" borderId="37" xfId="5" applyNumberFormat="1" applyFont="1" applyBorder="1" applyAlignment="1">
      <alignment horizontal="center"/>
    </xf>
    <xf numFmtId="6" fontId="0" fillId="0" borderId="37" xfId="5" applyNumberFormat="1" applyFont="1" applyBorder="1" applyAlignment="1">
      <alignment horizontal="center"/>
    </xf>
    <xf numFmtId="165" fontId="0" fillId="0" borderId="0" xfId="0" applyNumberFormat="1" applyAlignment="1">
      <alignment horizontal="center"/>
    </xf>
    <xf numFmtId="1" fontId="4" fillId="6" borderId="71" xfId="13" applyNumberFormat="1" applyBorder="1" applyAlignment="1">
      <alignment horizontal="center" vertical="center"/>
    </xf>
    <xf numFmtId="0" fontId="0" fillId="15" borderId="56" xfId="0" applyFill="1" applyBorder="1" applyAlignment="1">
      <alignment horizontal="center" vertical="center"/>
    </xf>
    <xf numFmtId="0" fontId="0" fillId="15" borderId="63" xfId="0" applyFill="1" applyBorder="1" applyAlignment="1">
      <alignment horizontal="center" vertical="center"/>
    </xf>
    <xf numFmtId="0" fontId="4" fillId="6" borderId="98" xfId="13" applyNumberFormat="1" applyBorder="1" applyAlignment="1">
      <alignment horizontal="center" vertical="center"/>
    </xf>
    <xf numFmtId="0" fontId="0" fillId="0" borderId="96" xfId="0" applyBorder="1" applyAlignment="1">
      <alignment horizontal="center" vertical="center"/>
    </xf>
    <xf numFmtId="0" fontId="0" fillId="0" borderId="16" xfId="0" applyBorder="1" applyAlignment="1">
      <alignment horizontal="center" vertical="center"/>
    </xf>
    <xf numFmtId="183" fontId="0" fillId="0" borderId="0" xfId="0" applyNumberFormat="1" applyAlignment="1">
      <alignment horizontal="center" vertical="center"/>
    </xf>
    <xf numFmtId="0" fontId="0" fillId="0" borderId="92" xfId="0" applyBorder="1" applyAlignment="1">
      <alignment horizontal="center" vertical="center"/>
    </xf>
    <xf numFmtId="183" fontId="0" fillId="0" borderId="64" xfId="0" applyNumberFormat="1" applyBorder="1" applyAlignment="1">
      <alignment horizontal="center" vertical="center"/>
    </xf>
    <xf numFmtId="0" fontId="0" fillId="0" borderId="97" xfId="0" applyBorder="1" applyAlignment="1">
      <alignment horizontal="center" vertical="center"/>
    </xf>
    <xf numFmtId="175" fontId="0" fillId="0" borderId="84" xfId="4" applyNumberFormat="1" applyFont="1" applyBorder="1" applyAlignment="1">
      <alignment horizontal="center" vertical="center"/>
    </xf>
    <xf numFmtId="10" fontId="0" fillId="0" borderId="54" xfId="1" applyNumberFormat="1" applyFont="1" applyBorder="1" applyAlignment="1">
      <alignment horizontal="center" vertical="center"/>
    </xf>
    <xf numFmtId="10" fontId="0" fillId="0" borderId="55" xfId="1" applyNumberFormat="1" applyFont="1" applyFill="1" applyBorder="1" applyAlignment="1">
      <alignment horizontal="center" vertical="center"/>
    </xf>
    <xf numFmtId="10" fontId="0" fillId="0" borderId="0" xfId="1" applyNumberFormat="1" applyFont="1" applyBorder="1" applyAlignment="1">
      <alignment horizontal="center" vertical="center"/>
    </xf>
    <xf numFmtId="10" fontId="0" fillId="0" borderId="57" xfId="1" applyNumberFormat="1" applyFont="1" applyFill="1" applyBorder="1" applyAlignment="1">
      <alignment horizontal="center" vertical="center"/>
    </xf>
    <xf numFmtId="10" fontId="0" fillId="0" borderId="57" xfId="1" applyNumberFormat="1" applyFont="1" applyBorder="1" applyAlignment="1">
      <alignment horizontal="center" vertical="center"/>
    </xf>
    <xf numFmtId="1" fontId="4" fillId="6" borderId="95" xfId="13" applyNumberFormat="1" applyBorder="1" applyAlignment="1">
      <alignment horizontal="center" vertical="center"/>
    </xf>
    <xf numFmtId="0" fontId="0" fillId="0" borderId="47" xfId="0" applyBorder="1" applyAlignment="1">
      <alignment horizontal="center" vertical="center"/>
    </xf>
    <xf numFmtId="1"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147" xfId="0" applyBorder="1" applyAlignment="1">
      <alignment horizontal="center" vertical="center"/>
    </xf>
    <xf numFmtId="0" fontId="0" fillId="0" borderId="148" xfId="0" applyBorder="1" applyAlignment="1">
      <alignment horizontal="center" vertical="center"/>
    </xf>
    <xf numFmtId="0" fontId="4" fillId="0" borderId="132" xfId="0" applyFont="1" applyBorder="1" applyAlignment="1">
      <alignment horizontal="center" vertical="center"/>
    </xf>
    <xf numFmtId="181" fontId="0" fillId="0" borderId="55" xfId="0" applyNumberFormat="1" applyBorder="1" applyAlignment="1">
      <alignment horizontal="center" vertical="center"/>
    </xf>
    <xf numFmtId="181" fontId="0" fillId="0" borderId="57" xfId="0" applyNumberFormat="1" applyBorder="1" applyAlignment="1">
      <alignment horizontal="center" vertical="center"/>
    </xf>
    <xf numFmtId="181" fontId="0" fillId="0" borderId="65" xfId="0" applyNumberFormat="1" applyBorder="1" applyAlignment="1">
      <alignment horizontal="center" vertical="center"/>
    </xf>
    <xf numFmtId="0" fontId="0" fillId="0" borderId="37" xfId="4" applyNumberFormat="1" applyFont="1" applyFill="1" applyBorder="1" applyAlignment="1">
      <alignment horizontal="left" vertical="center" indent="1"/>
    </xf>
    <xf numFmtId="0" fontId="44" fillId="0" borderId="0" xfId="0" applyFont="1" applyAlignment="1">
      <alignment vertical="center"/>
    </xf>
    <xf numFmtId="0" fontId="44" fillId="0" borderId="0" xfId="0" applyFont="1" applyAlignment="1">
      <alignment horizontal="center" vertical="center" wrapText="1"/>
    </xf>
    <xf numFmtId="6" fontId="44" fillId="0" borderId="0" xfId="0" applyNumberFormat="1" applyFont="1" applyAlignment="1">
      <alignment horizontal="center" vertical="center"/>
    </xf>
    <xf numFmtId="2" fontId="45" fillId="0" borderId="38" xfId="0" applyNumberFormat="1" applyFont="1" applyBorder="1" applyAlignment="1">
      <alignment horizontal="center" vertical="center"/>
    </xf>
    <xf numFmtId="2" fontId="45" fillId="0" borderId="123" xfId="0" applyNumberFormat="1" applyFont="1" applyBorder="1" applyAlignment="1">
      <alignment horizontal="center" vertical="center"/>
    </xf>
    <xf numFmtId="1" fontId="45" fillId="0" borderId="38" xfId="0" applyNumberFormat="1" applyFont="1" applyBorder="1" applyAlignment="1">
      <alignment horizontal="center" vertical="center"/>
    </xf>
    <xf numFmtId="1" fontId="45" fillId="0" borderId="123" xfId="0" applyNumberFormat="1" applyFont="1" applyBorder="1" applyAlignment="1">
      <alignment horizontal="center" vertical="center"/>
    </xf>
    <xf numFmtId="1" fontId="44" fillId="12" borderId="64" xfId="0" applyNumberFormat="1" applyFont="1" applyFill="1" applyBorder="1" applyAlignment="1">
      <alignment horizontal="center" vertical="center"/>
    </xf>
    <xf numFmtId="1" fontId="44" fillId="12" borderId="65" xfId="0" applyNumberFormat="1" applyFont="1" applyFill="1" applyBorder="1" applyAlignment="1">
      <alignment horizontal="center" vertical="center"/>
    </xf>
    <xf numFmtId="0" fontId="44" fillId="12" borderId="51" xfId="0" applyFont="1" applyFill="1" applyBorder="1" applyAlignment="1">
      <alignment horizontal="center" vertical="center" wrapText="1"/>
    </xf>
    <xf numFmtId="0" fontId="44" fillId="0" borderId="0" xfId="0" applyFont="1" applyAlignment="1">
      <alignment horizontal="center" vertical="center"/>
    </xf>
    <xf numFmtId="165" fontId="71" fillId="0" borderId="0" xfId="0" applyNumberFormat="1" applyFont="1" applyAlignment="1">
      <alignment horizontal="right" vertical="center" indent="1"/>
    </xf>
    <xf numFmtId="11" fontId="4" fillId="0" borderId="0" xfId="4" applyNumberFormat="1" applyFont="1" applyAlignment="1">
      <alignment horizontal="right" vertical="center" indent="1"/>
    </xf>
    <xf numFmtId="4" fontId="0" fillId="0" borderId="0" xfId="4" applyNumberFormat="1" applyFont="1" applyAlignment="1">
      <alignment horizontal="center" vertical="center"/>
    </xf>
    <xf numFmtId="11" fontId="4" fillId="0" borderId="0" xfId="4" applyNumberFormat="1" applyFont="1" applyAlignment="1">
      <alignment horizontal="center" vertical="center"/>
    </xf>
    <xf numFmtId="11" fontId="0" fillId="0" borderId="0" xfId="4" applyNumberFormat="1" applyFont="1" applyAlignment="1">
      <alignment horizontal="center" vertical="center"/>
    </xf>
    <xf numFmtId="165" fontId="0" fillId="0" borderId="0" xfId="5" applyFont="1" applyFill="1" applyAlignment="1">
      <alignment horizontal="right" vertical="center" indent="1"/>
    </xf>
    <xf numFmtId="165" fontId="0" fillId="0" borderId="0" xfId="5" applyFont="1" applyFill="1" applyAlignment="1">
      <alignment horizontal="left" vertical="center" indent="1"/>
    </xf>
    <xf numFmtId="165" fontId="9" fillId="0" borderId="0" xfId="5" applyFont="1" applyFill="1" applyAlignment="1">
      <alignment horizontal="left" vertical="center" indent="1"/>
    </xf>
    <xf numFmtId="1" fontId="4" fillId="0" borderId="0" xfId="13" applyNumberFormat="1" applyFill="1" applyBorder="1" applyAlignment="1">
      <alignment horizontal="right" vertical="center" indent="1"/>
    </xf>
    <xf numFmtId="1" fontId="4" fillId="0" borderId="0" xfId="13" applyNumberFormat="1" applyFill="1" applyBorder="1">
      <alignment horizontal="left" vertical="center" indent="1"/>
    </xf>
    <xf numFmtId="9" fontId="45" fillId="0" borderId="0" xfId="0" applyNumberFormat="1" applyFont="1" applyAlignment="1">
      <alignment horizontal="center" vertical="center"/>
    </xf>
    <xf numFmtId="3" fontId="45" fillId="0" borderId="102" xfId="0" applyNumberFormat="1" applyFont="1" applyBorder="1" applyAlignment="1">
      <alignment horizontal="left" vertical="center"/>
    </xf>
    <xf numFmtId="165" fontId="9" fillId="0" borderId="0" xfId="5" applyFont="1" applyFill="1" applyBorder="1" applyAlignment="1">
      <alignment horizontal="right" vertical="center" indent="1"/>
    </xf>
    <xf numFmtId="3" fontId="45" fillId="0" borderId="105" xfId="0" applyNumberFormat="1" applyFont="1" applyBorder="1" applyAlignment="1">
      <alignment horizontal="left" vertical="center"/>
    </xf>
    <xf numFmtId="9" fontId="45" fillId="0" borderId="39" xfId="0" applyNumberFormat="1" applyFont="1" applyBorder="1" applyAlignment="1">
      <alignment horizontal="left" vertical="center"/>
    </xf>
    <xf numFmtId="0" fontId="44" fillId="12" borderId="54" xfId="0" applyFont="1" applyFill="1" applyBorder="1" applyAlignment="1">
      <alignment horizontal="center" vertical="center" wrapText="1"/>
    </xf>
    <xf numFmtId="9" fontId="45" fillId="0" borderId="156" xfId="0" applyNumberFormat="1" applyFont="1" applyBorder="1" applyAlignment="1">
      <alignment horizontal="left" vertical="center"/>
    </xf>
    <xf numFmtId="9" fontId="45" fillId="0" borderId="106" xfId="0" applyNumberFormat="1" applyFont="1" applyBorder="1" applyAlignment="1">
      <alignment horizontal="left" vertical="center"/>
    </xf>
    <xf numFmtId="9" fontId="45" fillId="0" borderId="154" xfId="0" applyNumberFormat="1" applyFont="1" applyBorder="1" applyAlignment="1">
      <alignment horizontal="left" vertical="center"/>
    </xf>
    <xf numFmtId="6" fontId="45" fillId="0" borderId="64" xfId="0" applyNumberFormat="1" applyFont="1" applyBorder="1" applyAlignment="1">
      <alignment horizontal="center" vertical="center"/>
    </xf>
    <xf numFmtId="6" fontId="45" fillId="0" borderId="65" xfId="0" applyNumberFormat="1" applyFont="1" applyBorder="1" applyAlignment="1">
      <alignment horizontal="center" vertical="center"/>
    </xf>
    <xf numFmtId="3" fontId="45" fillId="0" borderId="38" xfId="0" applyNumberFormat="1" applyFont="1" applyBorder="1" applyAlignment="1">
      <alignment horizontal="center" vertical="center"/>
    </xf>
    <xf numFmtId="3" fontId="4" fillId="0" borderId="54" xfId="0" applyNumberFormat="1" applyFont="1" applyBorder="1" applyAlignment="1">
      <alignment horizontal="center" vertical="center"/>
    </xf>
    <xf numFmtId="0" fontId="6" fillId="0" borderId="51" xfId="0" applyFont="1" applyBorder="1" applyAlignment="1">
      <alignment horizontal="center" vertical="center"/>
    </xf>
    <xf numFmtId="164" fontId="4" fillId="0" borderId="51" xfId="0" applyNumberFormat="1" applyFont="1" applyBorder="1" applyAlignment="1">
      <alignment horizontal="center" vertical="center"/>
    </xf>
    <xf numFmtId="164" fontId="0" fillId="0" borderId="51" xfId="0" applyNumberFormat="1" applyBorder="1" applyAlignment="1">
      <alignment horizontal="center" vertical="center"/>
    </xf>
    <xf numFmtId="164" fontId="4" fillId="0" borderId="64" xfId="0" applyNumberFormat="1" applyFont="1" applyBorder="1" applyAlignment="1">
      <alignment horizontal="center" vertical="center"/>
    </xf>
    <xf numFmtId="184" fontId="24" fillId="0" borderId="0" xfId="0" applyNumberFormat="1" applyFont="1" applyAlignment="1">
      <alignment horizontal="left" vertical="center"/>
    </xf>
    <xf numFmtId="7" fontId="22" fillId="0" borderId="157" xfId="0" applyNumberFormat="1" applyFont="1" applyBorder="1" applyAlignment="1">
      <alignment horizontal="center" vertical="center" wrapText="1"/>
    </xf>
    <xf numFmtId="1" fontId="72" fillId="0" borderId="63" xfId="0" applyNumberFormat="1" applyFont="1" applyBorder="1" applyAlignment="1">
      <alignment horizontal="center" vertical="center" wrapText="1"/>
    </xf>
    <xf numFmtId="0" fontId="22" fillId="0" borderId="64" xfId="0" applyFont="1" applyBorder="1" applyAlignment="1">
      <alignment horizontal="center" vertical="center" wrapText="1"/>
    </xf>
    <xf numFmtId="7" fontId="22" fillId="0" borderId="65" xfId="0" applyNumberFormat="1" applyFont="1" applyBorder="1" applyAlignment="1">
      <alignment horizontal="center" vertical="center" wrapText="1"/>
    </xf>
    <xf numFmtId="165" fontId="9" fillId="0" borderId="0" xfId="5" applyFont="1" applyFill="1" applyAlignment="1">
      <alignment horizontal="right" vertical="center" indent="1"/>
    </xf>
    <xf numFmtId="165" fontId="0" fillId="0" borderId="3" xfId="5" applyFont="1" applyFill="1" applyBorder="1" applyAlignment="1">
      <alignment horizontal="left" vertical="center" indent="1"/>
    </xf>
    <xf numFmtId="0" fontId="0" fillId="19" borderId="0" xfId="0" applyFill="1">
      <alignment horizontal="left" vertical="center" indent="1"/>
    </xf>
    <xf numFmtId="0" fontId="4" fillId="19" borderId="0" xfId="0" applyFont="1" applyFill="1">
      <alignment horizontal="left" vertical="center" indent="1"/>
    </xf>
    <xf numFmtId="165" fontId="4" fillId="19" borderId="0" xfId="5" applyFont="1" applyFill="1" applyBorder="1" applyAlignment="1">
      <alignment horizontal="right" vertical="center" indent="1"/>
    </xf>
    <xf numFmtId="0" fontId="48" fillId="19" borderId="0" xfId="8" applyFont="1" applyFill="1" applyAlignment="1">
      <alignment horizontal="left" vertical="center" indent="1"/>
    </xf>
    <xf numFmtId="165" fontId="9" fillId="0" borderId="3" xfId="5" applyFont="1" applyFill="1" applyBorder="1" applyAlignment="1">
      <alignment horizontal="right" vertical="center" indent="1"/>
    </xf>
    <xf numFmtId="165" fontId="4" fillId="0" borderId="0" xfId="5" applyFont="1" applyFill="1" applyAlignment="1">
      <alignment horizontal="right" vertical="center" indent="1"/>
    </xf>
    <xf numFmtId="165" fontId="4" fillId="0" borderId="0" xfId="5" applyFont="1" applyFill="1" applyAlignment="1">
      <alignment horizontal="left" vertical="center" indent="1"/>
    </xf>
    <xf numFmtId="0" fontId="22" fillId="0" borderId="89" xfId="0" applyFont="1" applyBorder="1" applyAlignment="1">
      <alignment horizontal="center" vertical="center"/>
    </xf>
    <xf numFmtId="0" fontId="22" fillId="0" borderId="51" xfId="0" applyFont="1" applyBorder="1" applyAlignment="1">
      <alignment horizontal="center" vertical="center"/>
    </xf>
    <xf numFmtId="0" fontId="22" fillId="0" borderId="52" xfId="0" applyFont="1" applyBorder="1" applyAlignment="1">
      <alignment horizontal="center" vertical="center"/>
    </xf>
    <xf numFmtId="0" fontId="22" fillId="0" borderId="0" xfId="0" applyFont="1" applyAlignment="1">
      <alignment horizontal="center" vertical="center"/>
    </xf>
    <xf numFmtId="0" fontId="22" fillId="0" borderId="56" xfId="0" applyFont="1" applyBorder="1" applyAlignment="1">
      <alignment horizontal="center" vertical="center"/>
    </xf>
    <xf numFmtId="0" fontId="22" fillId="0" borderId="94" xfId="0" applyFont="1" applyBorder="1" applyAlignment="1">
      <alignment horizontal="center" vertical="center"/>
    </xf>
    <xf numFmtId="0" fontId="22" fillId="0" borderId="64" xfId="0" applyFont="1" applyBorder="1" applyAlignment="1">
      <alignment horizontal="center" vertical="center"/>
    </xf>
    <xf numFmtId="3" fontId="22" fillId="0" borderId="57" xfId="0" applyNumberFormat="1" applyFont="1" applyBorder="1" applyAlignment="1">
      <alignment horizontal="center" vertical="center"/>
    </xf>
    <xf numFmtId="3" fontId="22" fillId="0" borderId="51" xfId="0" applyNumberFormat="1" applyFont="1" applyBorder="1" applyAlignment="1">
      <alignment horizontal="center" vertical="center"/>
    </xf>
    <xf numFmtId="3" fontId="22" fillId="0" borderId="69" xfId="0" applyNumberFormat="1" applyFont="1" applyBorder="1" applyAlignment="1">
      <alignment horizontal="center" vertical="center"/>
    </xf>
    <xf numFmtId="3" fontId="22" fillId="0" borderId="52" xfId="0" applyNumberFormat="1" applyFont="1" applyBorder="1" applyAlignment="1">
      <alignment horizontal="center" vertical="center"/>
    </xf>
    <xf numFmtId="3" fontId="22" fillId="0" borderId="62" xfId="0" applyNumberFormat="1" applyFont="1" applyBorder="1" applyAlignment="1">
      <alignment horizontal="center" vertical="center"/>
    </xf>
    <xf numFmtId="3" fontId="22" fillId="0" borderId="89" xfId="0" applyNumberFormat="1" applyFont="1" applyBorder="1" applyAlignment="1">
      <alignment horizontal="center" vertical="center"/>
    </xf>
    <xf numFmtId="3" fontId="22" fillId="0" borderId="86" xfId="0" applyNumberFormat="1" applyFont="1" applyBorder="1" applyAlignment="1">
      <alignment horizontal="center" vertical="center"/>
    </xf>
    <xf numFmtId="3" fontId="22" fillId="0" borderId="64" xfId="0" applyNumberFormat="1" applyFont="1" applyBorder="1" applyAlignment="1">
      <alignment horizontal="center" vertical="center"/>
    </xf>
    <xf numFmtId="3" fontId="22" fillId="0" borderId="65" xfId="0" applyNumberFormat="1" applyFont="1" applyBorder="1" applyAlignment="1">
      <alignment horizontal="center" vertical="center"/>
    </xf>
    <xf numFmtId="0" fontId="4" fillId="0" borderId="3" xfId="0" applyFont="1" applyBorder="1">
      <alignment horizontal="left" vertical="center" indent="1"/>
    </xf>
    <xf numFmtId="165" fontId="4" fillId="0" borderId="3" xfId="5" applyFont="1" applyFill="1" applyBorder="1" applyAlignment="1">
      <alignment horizontal="right" vertical="center" indent="1"/>
    </xf>
    <xf numFmtId="165" fontId="4" fillId="0" borderId="3" xfId="5" applyFont="1" applyFill="1" applyBorder="1" applyAlignment="1">
      <alignment horizontal="left" vertical="center" indent="1"/>
    </xf>
    <xf numFmtId="165" fontId="0" fillId="0" borderId="57" xfId="1" applyNumberFormat="1" applyFont="1" applyBorder="1" applyAlignment="1">
      <alignment horizontal="center" vertical="center"/>
    </xf>
    <xf numFmtId="165" fontId="0" fillId="0" borderId="62" xfId="1" applyNumberFormat="1" applyFont="1" applyBorder="1" applyAlignment="1">
      <alignment horizontal="center" vertical="center"/>
    </xf>
    <xf numFmtId="165" fontId="0" fillId="0" borderId="69" xfId="1" applyNumberFormat="1" applyFont="1" applyBorder="1" applyAlignment="1">
      <alignment horizontal="center" vertical="center"/>
    </xf>
    <xf numFmtId="0" fontId="4" fillId="0" borderId="83" xfId="0" applyFont="1" applyBorder="1" applyAlignment="1">
      <alignment horizontal="center" vertical="center"/>
    </xf>
    <xf numFmtId="165" fontId="4" fillId="0" borderId="84" xfId="1" applyNumberFormat="1" applyFont="1" applyBorder="1" applyAlignment="1">
      <alignment horizontal="center" vertical="center"/>
    </xf>
    <xf numFmtId="165" fontId="4" fillId="0" borderId="85" xfId="1" applyNumberFormat="1" applyFont="1" applyBorder="1" applyAlignment="1">
      <alignment horizontal="center" vertical="center"/>
    </xf>
    <xf numFmtId="0" fontId="4" fillId="0" borderId="5" xfId="0" applyFont="1" applyBorder="1">
      <alignment horizontal="left" vertical="center" indent="1"/>
    </xf>
    <xf numFmtId="165" fontId="4" fillId="0" borderId="5" xfId="5" applyFont="1" applyFill="1" applyBorder="1" applyAlignment="1">
      <alignment horizontal="right" vertical="center" indent="1"/>
    </xf>
    <xf numFmtId="0" fontId="63" fillId="12" borderId="53" xfId="0" applyFont="1" applyFill="1" applyBorder="1" applyAlignment="1">
      <alignment horizontal="center" vertical="center"/>
    </xf>
    <xf numFmtId="0" fontId="22" fillId="0" borderId="63" xfId="0" applyFont="1" applyBorder="1" applyAlignment="1">
      <alignment horizontal="center" vertical="center"/>
    </xf>
    <xf numFmtId="165" fontId="0" fillId="0" borderId="52" xfId="5" applyFont="1" applyFill="1" applyBorder="1" applyAlignment="1">
      <alignment horizontal="right" vertical="center" indent="1"/>
    </xf>
    <xf numFmtId="0" fontId="63" fillId="12" borderId="55" xfId="0" applyFont="1" applyFill="1" applyBorder="1" applyAlignment="1">
      <alignment horizontal="center" vertical="center"/>
    </xf>
    <xf numFmtId="165" fontId="22" fillId="0" borderId="57" xfId="0" applyNumberFormat="1" applyFont="1" applyBorder="1" applyAlignment="1">
      <alignment horizontal="center" vertical="center"/>
    </xf>
    <xf numFmtId="0" fontId="23" fillId="0" borderId="56" xfId="0" applyFont="1" applyBorder="1" applyAlignment="1">
      <alignment horizontal="center" vertical="center"/>
    </xf>
    <xf numFmtId="165" fontId="23" fillId="0" borderId="57" xfId="0" applyNumberFormat="1" applyFont="1" applyBorder="1" applyAlignment="1">
      <alignment horizontal="center" vertical="center"/>
    </xf>
    <xf numFmtId="0" fontId="23" fillId="0" borderId="63" xfId="0" applyFont="1" applyBorder="1" applyAlignment="1">
      <alignment horizontal="center" vertical="center"/>
    </xf>
    <xf numFmtId="165" fontId="23" fillId="0" borderId="65" xfId="0" applyNumberFormat="1" applyFont="1" applyBorder="1" applyAlignment="1">
      <alignment horizontal="center" vertical="center"/>
    </xf>
    <xf numFmtId="0" fontId="22" fillId="0" borderId="0" xfId="0" applyFont="1" applyAlignment="1">
      <alignment horizontal="left" vertical="center"/>
    </xf>
    <xf numFmtId="0" fontId="22" fillId="0" borderId="57" xfId="0" applyFont="1" applyBorder="1" applyAlignment="1">
      <alignment horizontal="center" vertical="center"/>
    </xf>
    <xf numFmtId="0" fontId="22" fillId="0" borderId="64" xfId="0" applyFont="1" applyBorder="1" applyAlignment="1">
      <alignment horizontal="left" vertical="center"/>
    </xf>
    <xf numFmtId="0" fontId="22" fillId="0" borderId="65" xfId="0" applyFont="1" applyBorder="1" applyAlignment="1">
      <alignment horizontal="center" vertical="center"/>
    </xf>
    <xf numFmtId="0" fontId="48" fillId="0" borderId="0" xfId="8" applyFont="1" applyFill="1" applyAlignment="1">
      <alignment horizontal="left" vertical="center" indent="1"/>
    </xf>
    <xf numFmtId="1" fontId="4" fillId="0" borderId="0" xfId="13" applyNumberFormat="1" applyFill="1">
      <alignment horizontal="left" vertical="center" indent="1"/>
    </xf>
    <xf numFmtId="0" fontId="4" fillId="0" borderId="3" xfId="0" applyFont="1" applyBorder="1" applyAlignment="1">
      <alignment horizontal="right" vertical="center" indent="1"/>
    </xf>
    <xf numFmtId="2" fontId="4" fillId="0" borderId="3" xfId="0" applyNumberFormat="1" applyFont="1" applyBorder="1" applyAlignment="1">
      <alignment horizontal="right" vertical="center" indent="1"/>
    </xf>
    <xf numFmtId="166" fontId="9" fillId="0" borderId="3" xfId="1" applyNumberFormat="1" applyFont="1" applyFill="1" applyBorder="1" applyAlignment="1">
      <alignment horizontal="right" vertical="center" indent="1"/>
    </xf>
    <xf numFmtId="0" fontId="5" fillId="0" borderId="0" xfId="8" applyFill="1" applyAlignment="1">
      <alignment horizontal="left" vertical="center" indent="1"/>
    </xf>
    <xf numFmtId="0" fontId="8" fillId="0" borderId="0" xfId="9" applyFill="1" applyBorder="1" applyAlignment="1">
      <alignment horizontal="left" vertical="center" indent="1"/>
    </xf>
    <xf numFmtId="0" fontId="22" fillId="0" borderId="56" xfId="0" applyFont="1" applyBorder="1" applyAlignment="1">
      <alignment horizontal="center" vertical="center" wrapText="1"/>
    </xf>
    <xf numFmtId="166" fontId="0" fillId="0" borderId="3" xfId="1" applyNumberFormat="1" applyFont="1" applyFill="1" applyBorder="1" applyAlignment="1">
      <alignment horizontal="right" vertical="center" indent="1"/>
    </xf>
    <xf numFmtId="166" fontId="9" fillId="0" borderId="0" xfId="1" applyNumberFormat="1" applyFont="1" applyFill="1" applyBorder="1" applyAlignment="1">
      <alignment horizontal="right" vertical="center" indent="1"/>
    </xf>
    <xf numFmtId="1" fontId="23" fillId="4" borderId="146" xfId="0" applyNumberFormat="1" applyFont="1" applyFill="1" applyBorder="1" applyAlignment="1">
      <alignment horizontal="left" vertical="center"/>
    </xf>
    <xf numFmtId="0" fontId="22" fillId="4" borderId="40" xfId="0" applyFont="1" applyFill="1" applyBorder="1" applyAlignment="1">
      <alignment horizontal="left" vertical="center" wrapText="1"/>
    </xf>
    <xf numFmtId="1" fontId="4" fillId="0" borderId="44" xfId="13" applyNumberFormat="1" applyFill="1" applyBorder="1">
      <alignment horizontal="left" vertical="center" indent="1"/>
    </xf>
    <xf numFmtId="1" fontId="4" fillId="0" borderId="15" xfId="13" applyNumberFormat="1" applyFill="1" applyBorder="1">
      <alignment horizontal="left" vertical="center" indent="1"/>
    </xf>
    <xf numFmtId="1" fontId="4" fillId="0" borderId="37" xfId="13" applyNumberFormat="1" applyFill="1" applyBorder="1" applyAlignment="1">
      <alignment horizontal="right" vertical="center" indent="1"/>
    </xf>
    <xf numFmtId="0" fontId="4" fillId="0" borderId="46" xfId="0" applyFont="1" applyBorder="1">
      <alignment horizontal="left" vertical="center" indent="1"/>
    </xf>
    <xf numFmtId="165" fontId="0" fillId="0" borderId="37" xfId="5" applyFont="1" applyFill="1" applyBorder="1" applyAlignment="1">
      <alignment horizontal="right" vertical="center" indent="1"/>
    </xf>
    <xf numFmtId="0" fontId="0" fillId="0" borderId="46" xfId="0" applyBorder="1">
      <alignment horizontal="left" vertical="center" indent="1"/>
    </xf>
    <xf numFmtId="182" fontId="0" fillId="0" borderId="37" xfId="5" applyNumberFormat="1" applyFont="1" applyFill="1" applyBorder="1" applyAlignment="1">
      <alignment horizontal="right" vertical="center" indent="1"/>
    </xf>
    <xf numFmtId="0" fontId="0" fillId="0" borderId="48" xfId="0" applyBorder="1">
      <alignment horizontal="left" vertical="center" indent="1"/>
    </xf>
    <xf numFmtId="182" fontId="4" fillId="0" borderId="37" xfId="5" applyNumberFormat="1" applyFont="1" applyFill="1" applyBorder="1" applyAlignment="1">
      <alignment horizontal="right" vertical="center" indent="1"/>
    </xf>
    <xf numFmtId="0" fontId="4" fillId="0" borderId="47" xfId="0" applyFont="1" applyBorder="1">
      <alignment horizontal="left" vertical="center" indent="1"/>
    </xf>
    <xf numFmtId="0" fontId="4" fillId="0" borderId="48" xfId="0" applyFont="1" applyBorder="1" applyAlignment="1">
      <alignment horizontal="right" vertical="center" indent="1"/>
    </xf>
    <xf numFmtId="2" fontId="4" fillId="0" borderId="37" xfId="0" applyNumberFormat="1" applyFont="1" applyBorder="1" applyAlignment="1">
      <alignment horizontal="right" vertical="center" indent="1"/>
    </xf>
    <xf numFmtId="0" fontId="0" fillId="0" borderId="50" xfId="0" applyBorder="1">
      <alignment horizontal="left" vertical="center" indent="1"/>
    </xf>
    <xf numFmtId="172" fontId="0" fillId="0" borderId="37" xfId="0" applyNumberFormat="1" applyBorder="1" applyAlignment="1">
      <alignment horizontal="right" vertical="center" indent="1"/>
    </xf>
    <xf numFmtId="0" fontId="0" fillId="0" borderId="44" xfId="0" applyBorder="1">
      <alignment horizontal="left" vertical="center" indent="1"/>
    </xf>
    <xf numFmtId="166" fontId="0" fillId="0" borderId="15" xfId="0" applyNumberFormat="1" applyBorder="1">
      <alignment horizontal="left" vertical="center" indent="1"/>
    </xf>
    <xf numFmtId="166" fontId="0" fillId="0" borderId="50" xfId="0" applyNumberFormat="1" applyBorder="1">
      <alignment horizontal="left" vertical="center" indent="1"/>
    </xf>
    <xf numFmtId="164" fontId="63" fillId="12" borderId="100" xfId="0" applyNumberFormat="1" applyFont="1" applyFill="1" applyBorder="1" applyAlignment="1">
      <alignment horizontal="center" vertical="center" wrapText="1"/>
    </xf>
    <xf numFmtId="164" fontId="63" fillId="12" borderId="101" xfId="0" applyNumberFormat="1" applyFont="1" applyFill="1" applyBorder="1" applyAlignment="1">
      <alignment horizontal="center" vertical="center" wrapText="1"/>
    </xf>
    <xf numFmtId="0" fontId="60" fillId="0" borderId="0" xfId="0" applyFont="1">
      <alignment horizontal="left" vertical="center" indent="1"/>
    </xf>
    <xf numFmtId="166" fontId="0" fillId="0" borderId="64" xfId="1" applyNumberFormat="1" applyFont="1" applyFill="1" applyBorder="1" applyAlignment="1">
      <alignment horizontal="center" vertical="center"/>
    </xf>
    <xf numFmtId="166" fontId="4" fillId="0" borderId="65" xfId="1" applyNumberFormat="1" applyFont="1" applyFill="1" applyBorder="1" applyAlignment="1">
      <alignment horizontal="center" vertical="center"/>
    </xf>
    <xf numFmtId="0" fontId="63" fillId="12" borderId="54" xfId="0" applyFont="1" applyFill="1" applyBorder="1" applyAlignment="1">
      <alignment horizontal="center" vertical="center"/>
    </xf>
    <xf numFmtId="10" fontId="0" fillId="14" borderId="57" xfId="1" applyNumberFormat="1" applyFont="1" applyFill="1" applyBorder="1" applyAlignment="1">
      <alignment horizontal="center" vertical="center"/>
    </xf>
    <xf numFmtId="1" fontId="0" fillId="0" borderId="53" xfId="0" applyNumberFormat="1" applyBorder="1" applyAlignment="1">
      <alignment horizontal="left" vertical="center"/>
    </xf>
    <xf numFmtId="1" fontId="0" fillId="0" borderId="56" xfId="0" applyNumberFormat="1" applyBorder="1" applyAlignment="1">
      <alignment horizontal="left" vertical="center"/>
    </xf>
    <xf numFmtId="1" fontId="0" fillId="0" borderId="68" xfId="0" applyNumberFormat="1" applyBorder="1" applyAlignment="1">
      <alignment horizontal="left" vertical="center"/>
    </xf>
    <xf numFmtId="1" fontId="0" fillId="0" borderId="63" xfId="0" applyNumberFormat="1" applyBorder="1" applyAlignment="1">
      <alignment horizontal="left" vertical="center"/>
    </xf>
    <xf numFmtId="9" fontId="0" fillId="0" borderId="54" xfId="13" applyNumberFormat="1" applyFont="1" applyFill="1" applyBorder="1" applyAlignment="1">
      <alignment horizontal="center" vertical="center"/>
    </xf>
    <xf numFmtId="9" fontId="0" fillId="0" borderId="55" xfId="13" applyNumberFormat="1" applyFont="1" applyFill="1" applyBorder="1" applyAlignment="1">
      <alignment horizontal="center" vertical="center"/>
    </xf>
    <xf numFmtId="9" fontId="0" fillId="0" borderId="64" xfId="13" applyNumberFormat="1" applyFont="1" applyFill="1" applyBorder="1" applyAlignment="1">
      <alignment horizontal="center" vertical="center"/>
    </xf>
    <xf numFmtId="9" fontId="0" fillId="0" borderId="65" xfId="13" applyNumberFormat="1" applyFont="1" applyFill="1" applyBorder="1" applyAlignment="1">
      <alignment horizontal="center" vertical="center"/>
    </xf>
    <xf numFmtId="0" fontId="4" fillId="6" borderId="95" xfId="13" applyNumberFormat="1" applyBorder="1" applyAlignment="1">
      <alignment horizontal="center" vertical="center"/>
    </xf>
    <xf numFmtId="9" fontId="0" fillId="0" borderId="45" xfId="1" applyFont="1" applyBorder="1" applyAlignment="1">
      <alignment horizontal="center" vertical="center"/>
    </xf>
    <xf numFmtId="9" fontId="0" fillId="0" borderId="47" xfId="1" applyFont="1" applyBorder="1" applyAlignment="1">
      <alignment horizontal="center" vertical="center"/>
    </xf>
    <xf numFmtId="3" fontId="0" fillId="0" borderId="45" xfId="4" applyFont="1" applyBorder="1" applyAlignment="1">
      <alignment horizontal="center" vertical="center"/>
    </xf>
    <xf numFmtId="171" fontId="0" fillId="0" borderId="45" xfId="0" applyNumberFormat="1" applyBorder="1" applyAlignment="1">
      <alignment horizontal="center" vertical="center"/>
    </xf>
    <xf numFmtId="1" fontId="0" fillId="0" borderId="47" xfId="0" applyNumberFormat="1" applyBorder="1" applyAlignment="1">
      <alignment horizontal="center" vertical="center"/>
    </xf>
    <xf numFmtId="2" fontId="0" fillId="0" borderId="47" xfId="0" applyNumberFormat="1" applyBorder="1" applyAlignment="1">
      <alignment horizontal="center" vertical="center"/>
    </xf>
    <xf numFmtId="4" fontId="0" fillId="0" borderId="47" xfId="4" applyNumberFormat="1" applyFont="1" applyFill="1" applyBorder="1" applyAlignment="1">
      <alignment horizontal="center" vertical="center"/>
    </xf>
    <xf numFmtId="171" fontId="0" fillId="0" borderId="47" xfId="0" applyNumberFormat="1" applyBorder="1" applyAlignment="1">
      <alignment horizontal="center" vertical="center"/>
    </xf>
    <xf numFmtId="3" fontId="0" fillId="0" borderId="60" xfId="4" applyFont="1" applyFill="1" applyBorder="1" applyAlignment="1">
      <alignment horizontal="center" vertical="center"/>
    </xf>
    <xf numFmtId="0" fontId="4" fillId="0" borderId="68" xfId="0" applyFont="1" applyBorder="1" applyAlignment="1">
      <alignment horizontal="left" vertical="center"/>
    </xf>
    <xf numFmtId="0" fontId="4" fillId="0" borderId="56" xfId="0" applyFont="1" applyBorder="1" applyAlignment="1">
      <alignment horizontal="left" vertical="center"/>
    </xf>
    <xf numFmtId="1" fontId="0" fillId="0" borderId="57" xfId="0" applyNumberFormat="1" applyBorder="1">
      <alignment horizontal="left" vertical="center" indent="1"/>
    </xf>
    <xf numFmtId="1" fontId="0" fillId="0" borderId="64" xfId="0" applyNumberFormat="1" applyBorder="1">
      <alignment horizontal="left" vertical="center" indent="1"/>
    </xf>
    <xf numFmtId="1" fontId="0" fillId="0" borderId="65" xfId="0" applyNumberFormat="1" applyBorder="1">
      <alignment horizontal="left" vertical="center" indent="1"/>
    </xf>
    <xf numFmtId="1" fontId="0" fillId="0" borderId="51" xfId="0" applyNumberFormat="1" applyBorder="1">
      <alignment horizontal="left" vertical="center" indent="1"/>
    </xf>
    <xf numFmtId="1" fontId="0" fillId="0" borderId="69" xfId="0" applyNumberFormat="1" applyBorder="1">
      <alignment horizontal="left" vertical="center" indent="1"/>
    </xf>
    <xf numFmtId="1" fontId="4" fillId="0" borderId="0" xfId="13" applyNumberFormat="1" applyFill="1" applyBorder="1" applyAlignment="1">
      <alignment horizontal="center" vertical="center"/>
    </xf>
    <xf numFmtId="0" fontId="44" fillId="12" borderId="55" xfId="0" applyFont="1" applyFill="1" applyBorder="1" applyAlignment="1">
      <alignment horizontal="center" vertical="center"/>
    </xf>
    <xf numFmtId="0" fontId="0" fillId="0" borderId="37" xfId="0" applyBorder="1" applyAlignment="1">
      <alignment horizontal="center" vertical="center"/>
    </xf>
    <xf numFmtId="0" fontId="0" fillId="0" borderId="60" xfId="0" applyBorder="1" applyAlignment="1">
      <alignment horizontal="center" vertical="center"/>
    </xf>
    <xf numFmtId="0" fontId="22" fillId="0" borderId="0" xfId="0" applyFont="1" applyAlignment="1">
      <alignment horizontal="center" vertical="center" wrapText="1"/>
    </xf>
    <xf numFmtId="0" fontId="22" fillId="0" borderId="63" xfId="0" applyFont="1" applyBorder="1" applyAlignment="1">
      <alignment horizontal="center" vertical="center" wrapText="1"/>
    </xf>
    <xf numFmtId="2" fontId="22" fillId="0" borderId="40" xfId="0" applyNumberFormat="1" applyFont="1" applyBorder="1" applyAlignment="1">
      <alignment horizontal="center" vertical="center"/>
    </xf>
    <xf numFmtId="2" fontId="22" fillId="0" borderId="112" xfId="0" applyNumberFormat="1" applyFont="1" applyBorder="1" applyAlignment="1">
      <alignment horizontal="center" vertical="center"/>
    </xf>
    <xf numFmtId="165" fontId="22" fillId="0" borderId="40" xfId="0" applyNumberFormat="1" applyFont="1" applyBorder="1" applyAlignment="1">
      <alignment horizontal="center" vertical="center"/>
    </xf>
    <xf numFmtId="165" fontId="22" fillId="0" borderId="112" xfId="0" applyNumberFormat="1" applyFont="1" applyBorder="1" applyAlignment="1">
      <alignment horizontal="center" vertical="center"/>
    </xf>
    <xf numFmtId="0" fontId="44" fillId="12" borderId="164" xfId="0" applyFont="1" applyFill="1" applyBorder="1" applyAlignment="1">
      <alignment horizontal="center" vertical="center" wrapText="1"/>
    </xf>
    <xf numFmtId="165" fontId="22" fillId="0" borderId="165" xfId="0" applyNumberFormat="1" applyFont="1" applyBorder="1" applyAlignment="1">
      <alignment horizontal="center" vertical="center"/>
    </xf>
    <xf numFmtId="2" fontId="22" fillId="0" borderId="165" xfId="0" applyNumberFormat="1" applyFont="1" applyBorder="1" applyAlignment="1">
      <alignment horizontal="center" vertical="center"/>
    </xf>
    <xf numFmtId="164" fontId="0" fillId="0" borderId="0" xfId="0" applyNumberFormat="1" applyAlignment="1">
      <alignment horizontal="center" vertical="center"/>
    </xf>
    <xf numFmtId="3" fontId="4" fillId="18" borderId="84" xfId="13" applyNumberFormat="1" applyFill="1" applyBorder="1" applyAlignment="1">
      <alignment horizontal="center" vertical="center"/>
    </xf>
    <xf numFmtId="3" fontId="4" fillId="18" borderId="85" xfId="13" applyNumberFormat="1" applyFill="1" applyBorder="1" applyAlignment="1">
      <alignment horizontal="center" vertical="center"/>
    </xf>
    <xf numFmtId="9" fontId="9" fillId="0" borderId="0" xfId="13" applyNumberFormat="1" applyFont="1" applyFill="1" applyBorder="1" applyAlignment="1">
      <alignment horizontal="center" vertical="center"/>
    </xf>
    <xf numFmtId="9" fontId="9" fillId="0" borderId="57" xfId="13" applyNumberFormat="1" applyFont="1" applyFill="1" applyBorder="1" applyAlignment="1">
      <alignment horizontal="center" vertical="center"/>
    </xf>
    <xf numFmtId="9" fontId="9" fillId="0" borderId="64" xfId="13" applyNumberFormat="1" applyFont="1" applyFill="1" applyBorder="1" applyAlignment="1">
      <alignment horizontal="center" vertical="center"/>
    </xf>
    <xf numFmtId="9" fontId="9" fillId="0" borderId="65" xfId="13" applyNumberFormat="1" applyFont="1" applyFill="1" applyBorder="1" applyAlignment="1">
      <alignment horizontal="center" vertical="center"/>
    </xf>
    <xf numFmtId="166" fontId="0" fillId="0" borderId="57" xfId="1" applyNumberFormat="1" applyFont="1" applyBorder="1" applyAlignment="1">
      <alignment horizontal="center" vertical="center"/>
    </xf>
    <xf numFmtId="2" fontId="0" fillId="0" borderId="57" xfId="0" applyNumberFormat="1" applyBorder="1" applyAlignment="1">
      <alignment horizontal="center" vertical="center"/>
    </xf>
    <xf numFmtId="164" fontId="0" fillId="0" borderId="57" xfId="5" applyNumberFormat="1" applyFont="1" applyBorder="1" applyAlignment="1">
      <alignment horizontal="center" vertical="center"/>
    </xf>
    <xf numFmtId="164" fontId="0" fillId="0" borderId="65" xfId="5" applyNumberFormat="1" applyFont="1" applyBorder="1" applyAlignment="1">
      <alignment horizontal="center" vertical="center"/>
    </xf>
    <xf numFmtId="165" fontId="0" fillId="0" borderId="65" xfId="0" applyNumberFormat="1" applyBorder="1" applyAlignment="1">
      <alignment horizontal="center" vertical="center"/>
    </xf>
    <xf numFmtId="0" fontId="4" fillId="6" borderId="55" xfId="13" applyNumberFormat="1" applyBorder="1" applyAlignment="1">
      <alignment horizontal="right" vertical="center" indent="1"/>
    </xf>
    <xf numFmtId="1" fontId="0" fillId="0" borderId="57" xfId="0" applyNumberFormat="1" applyBorder="1" applyAlignment="1">
      <alignment horizontal="right" vertical="center" indent="1"/>
    </xf>
    <xf numFmtId="0" fontId="0" fillId="0" borderId="167" xfId="0" applyBorder="1">
      <alignment horizontal="left" vertical="center" indent="1"/>
    </xf>
    <xf numFmtId="1" fontId="0" fillId="0" borderId="77" xfId="0" applyNumberFormat="1" applyBorder="1" applyAlignment="1">
      <alignment horizontal="right" vertical="center" indent="1"/>
    </xf>
    <xf numFmtId="1" fontId="0" fillId="0" borderId="63" xfId="0" applyNumberFormat="1" applyBorder="1">
      <alignment horizontal="left" vertical="center" indent="1"/>
    </xf>
    <xf numFmtId="166" fontId="0" fillId="0" borderId="65" xfId="1" applyNumberFormat="1" applyFont="1" applyBorder="1" applyAlignment="1">
      <alignment horizontal="right" vertical="center" indent="1"/>
    </xf>
    <xf numFmtId="0" fontId="75" fillId="0" borderId="0" xfId="0" applyFont="1" applyAlignment="1">
      <alignment indent="1"/>
    </xf>
    <xf numFmtId="0" fontId="77" fillId="0" borderId="0" xfId="0" applyFont="1" applyAlignment="1">
      <alignment indent="1"/>
    </xf>
    <xf numFmtId="1" fontId="51" fillId="0" borderId="0" xfId="0" applyNumberFormat="1" applyFont="1">
      <alignment horizontal="left" vertical="center" indent="1"/>
    </xf>
    <xf numFmtId="3" fontId="0" fillId="0" borderId="51" xfId="4" applyFont="1" applyFill="1" applyBorder="1" applyAlignment="1">
      <alignment horizontal="center" vertical="center"/>
    </xf>
    <xf numFmtId="181" fontId="0" fillId="0" borderId="51" xfId="4" applyNumberFormat="1" applyFont="1" applyFill="1" applyBorder="1" applyAlignment="1">
      <alignment horizontal="center" vertical="center"/>
    </xf>
    <xf numFmtId="3" fontId="53" fillId="0" borderId="0" xfId="0" applyNumberFormat="1" applyFont="1" applyAlignment="1">
      <alignment horizontal="center" vertical="center"/>
    </xf>
    <xf numFmtId="171" fontId="0" fillId="0" borderId="0" xfId="0" applyNumberFormat="1" applyAlignment="1">
      <alignment horizontal="right" vertical="center" indent="1"/>
    </xf>
    <xf numFmtId="171" fontId="0" fillId="0" borderId="0" xfId="0" applyNumberFormat="1">
      <alignment horizontal="left" vertical="center" indent="1"/>
    </xf>
    <xf numFmtId="176" fontId="0" fillId="0" borderId="0" xfId="0" applyNumberFormat="1">
      <alignment horizontal="left" vertical="center" indent="1"/>
    </xf>
    <xf numFmtId="181" fontId="0" fillId="0" borderId="0" xfId="4" applyNumberFormat="1" applyFont="1" applyFill="1" applyBorder="1" applyAlignment="1">
      <alignment horizontal="center" vertical="center"/>
    </xf>
    <xf numFmtId="3" fontId="53" fillId="0" borderId="52" xfId="0" applyNumberFormat="1" applyFont="1" applyBorder="1" applyAlignment="1">
      <alignment horizontal="center" vertical="center"/>
    </xf>
    <xf numFmtId="3" fontId="0" fillId="0" borderId="52" xfId="4" applyFont="1" applyFill="1" applyBorder="1" applyAlignment="1">
      <alignment horizontal="center" vertical="center"/>
    </xf>
    <xf numFmtId="181" fontId="0" fillId="0" borderId="52" xfId="4" applyNumberFormat="1" applyFont="1" applyFill="1" applyBorder="1" applyAlignment="1">
      <alignment horizontal="center" vertical="center"/>
    </xf>
    <xf numFmtId="0" fontId="53" fillId="0" borderId="89" xfId="0" applyFont="1" applyBorder="1" applyAlignment="1">
      <alignment horizontal="center" vertical="center"/>
    </xf>
    <xf numFmtId="0" fontId="53" fillId="0" borderId="0" xfId="0" applyFont="1" applyAlignment="1">
      <alignment horizontal="center" vertical="center"/>
    </xf>
    <xf numFmtId="0" fontId="53" fillId="0" borderId="52" xfId="0" applyFont="1" applyBorder="1" applyAlignment="1">
      <alignment horizontal="center" vertical="center"/>
    </xf>
    <xf numFmtId="3" fontId="0" fillId="0" borderId="56" xfId="4" applyFont="1" applyFill="1" applyBorder="1" applyAlignment="1">
      <alignment horizontal="center" vertical="center"/>
    </xf>
    <xf numFmtId="3" fontId="0" fillId="0" borderId="63" xfId="4" applyFont="1" applyFill="1" applyBorder="1" applyAlignment="1">
      <alignment horizontal="center" vertical="center"/>
    </xf>
    <xf numFmtId="3" fontId="0" fillId="0" borderId="64" xfId="4" applyFont="1" applyFill="1" applyBorder="1" applyAlignment="1">
      <alignment horizontal="center" vertical="center"/>
    </xf>
    <xf numFmtId="0" fontId="36" fillId="0" borderId="0" xfId="3" applyFont="1" applyFill="1" applyBorder="1" applyAlignment="1">
      <alignment horizontal="left" vertical="center" indent="1"/>
    </xf>
    <xf numFmtId="166" fontId="0" fillId="0" borderId="0" xfId="1" applyNumberFormat="1" applyFont="1" applyFill="1" applyBorder="1" applyAlignment="1">
      <alignment horizontal="right" vertical="center" indent="1"/>
    </xf>
    <xf numFmtId="3" fontId="52" fillId="0" borderId="89" xfId="0" applyNumberFormat="1" applyFont="1" applyBorder="1" applyAlignment="1">
      <alignment horizontal="center" vertical="center"/>
    </xf>
    <xf numFmtId="3" fontId="0" fillId="0" borderId="89" xfId="4" applyFont="1" applyFill="1" applyBorder="1" applyAlignment="1">
      <alignment horizontal="center" vertical="center"/>
    </xf>
    <xf numFmtId="181" fontId="0" fillId="0" borderId="89" xfId="4" applyNumberFormat="1" applyFont="1" applyFill="1" applyBorder="1" applyAlignment="1">
      <alignment horizontal="center" vertical="center"/>
    </xf>
    <xf numFmtId="3" fontId="0" fillId="0" borderId="94" xfId="4" applyFont="1" applyFill="1" applyBorder="1" applyAlignment="1">
      <alignment horizontal="center" vertical="center"/>
    </xf>
    <xf numFmtId="0" fontId="52" fillId="0" borderId="89" xfId="0" applyFont="1" applyBorder="1" applyAlignment="1">
      <alignment horizontal="center" vertical="center"/>
    </xf>
    <xf numFmtId="181" fontId="0" fillId="0" borderId="64" xfId="4" applyNumberFormat="1" applyFont="1" applyFill="1" applyBorder="1" applyAlignment="1">
      <alignment horizontal="center" vertical="center"/>
    </xf>
    <xf numFmtId="3" fontId="53" fillId="0" borderId="89" xfId="0" applyNumberFormat="1" applyFont="1" applyBorder="1" applyAlignment="1">
      <alignment horizontal="center" vertical="center"/>
    </xf>
    <xf numFmtId="10" fontId="0" fillId="0" borderId="171" xfId="19" applyNumberFormat="1" applyFont="1" applyFill="1" applyBorder="1" applyAlignment="1">
      <alignment horizontal="center" vertical="center"/>
    </xf>
    <xf numFmtId="10" fontId="0" fillId="0" borderId="172" xfId="19" applyNumberFormat="1" applyFont="1" applyFill="1" applyBorder="1" applyAlignment="1">
      <alignment horizontal="center" vertical="center"/>
    </xf>
    <xf numFmtId="10" fontId="0" fillId="0" borderId="170" xfId="19" applyNumberFormat="1" applyFont="1" applyFill="1" applyBorder="1" applyAlignment="1">
      <alignment horizontal="center" vertical="center"/>
    </xf>
    <xf numFmtId="10" fontId="9" fillId="0" borderId="172" xfId="19" applyNumberFormat="1" applyFont="1" applyFill="1" applyBorder="1" applyAlignment="1">
      <alignment horizontal="center" vertical="center"/>
    </xf>
    <xf numFmtId="10" fontId="9" fillId="0" borderId="170" xfId="19" applyNumberFormat="1" applyFont="1" applyFill="1" applyBorder="1" applyAlignment="1">
      <alignment horizontal="center" vertical="center"/>
    </xf>
    <xf numFmtId="10" fontId="9" fillId="0" borderId="173" xfId="19" applyNumberFormat="1" applyFont="1" applyFill="1" applyBorder="1" applyAlignment="1">
      <alignment horizontal="center" vertical="center"/>
    </xf>
    <xf numFmtId="10" fontId="9" fillId="0" borderId="174" xfId="19" applyNumberFormat="1" applyFont="1" applyFill="1" applyBorder="1" applyAlignment="1">
      <alignment horizontal="center" vertical="center"/>
    </xf>
    <xf numFmtId="3" fontId="52" fillId="0" borderId="0" xfId="0" applyNumberFormat="1" applyFont="1" applyAlignment="1">
      <alignment horizontal="center" vertical="center"/>
    </xf>
    <xf numFmtId="0" fontId="0" fillId="0" borderId="53" xfId="0" applyBorder="1" applyAlignment="1">
      <alignment horizontal="center" vertical="center"/>
    </xf>
    <xf numFmtId="3" fontId="0" fillId="0" borderId="54" xfId="4" applyFont="1" applyFill="1" applyBorder="1" applyAlignment="1">
      <alignment horizontal="center" vertical="center"/>
    </xf>
    <xf numFmtId="181" fontId="0" fillId="0" borderId="54" xfId="4" applyNumberFormat="1" applyFont="1" applyFill="1" applyBorder="1" applyAlignment="1">
      <alignment horizontal="center" vertical="center"/>
    </xf>
    <xf numFmtId="3" fontId="53" fillId="0" borderId="54" xfId="0" applyNumberFormat="1" applyFont="1" applyBorder="1" applyAlignment="1">
      <alignment horizontal="center" vertical="center"/>
    </xf>
    <xf numFmtId="0" fontId="53" fillId="0" borderId="68" xfId="0" applyFont="1" applyBorder="1" applyAlignment="1">
      <alignment horizontal="center" vertical="center"/>
    </xf>
    <xf numFmtId="0" fontId="53" fillId="0" borderId="51" xfId="0" applyFont="1" applyBorder="1" applyAlignment="1">
      <alignment horizontal="center" vertical="center"/>
    </xf>
    <xf numFmtId="0" fontId="53" fillId="0" borderId="66" xfId="0" applyFont="1" applyBorder="1" applyAlignment="1">
      <alignment horizontal="center" vertical="center"/>
    </xf>
    <xf numFmtId="0" fontId="44" fillId="12" borderId="51" xfId="0" applyFont="1" applyFill="1" applyBorder="1" applyAlignment="1">
      <alignment horizontal="center" vertical="center"/>
    </xf>
    <xf numFmtId="0" fontId="44" fillId="12" borderId="69" xfId="0" applyFont="1" applyFill="1" applyBorder="1" applyAlignment="1">
      <alignment horizontal="center" vertical="center"/>
    </xf>
    <xf numFmtId="10" fontId="9" fillId="0" borderId="169" xfId="19" applyNumberFormat="1" applyFont="1" applyFill="1" applyBorder="1" applyAlignment="1">
      <alignment horizontal="center" vertical="center"/>
    </xf>
    <xf numFmtId="10" fontId="9" fillId="0" borderId="171" xfId="19" applyNumberFormat="1" applyFont="1" applyFill="1" applyBorder="1" applyAlignment="1">
      <alignment horizontal="center" vertical="center"/>
    </xf>
    <xf numFmtId="0" fontId="75" fillId="0" borderId="37" xfId="0" applyFont="1" applyBorder="1" applyAlignment="1">
      <alignment indent="1"/>
    </xf>
    <xf numFmtId="3" fontId="75" fillId="0" borderId="37" xfId="0" applyNumberFormat="1" applyFont="1" applyBorder="1" applyAlignment="1">
      <alignment indent="1"/>
    </xf>
    <xf numFmtId="4" fontId="75" fillId="0" borderId="37" xfId="0" applyNumberFormat="1" applyFont="1" applyBorder="1" applyAlignment="1">
      <alignment indent="1"/>
    </xf>
    <xf numFmtId="0" fontId="74" fillId="0" borderId="37" xfId="0" applyFont="1" applyBorder="1" applyAlignment="1">
      <alignment horizontal="center" vertical="center" indent="1"/>
    </xf>
    <xf numFmtId="0" fontId="75" fillId="0" borderId="37" xfId="0" applyFont="1" applyBorder="1" applyAlignment="1">
      <alignment horizontal="center" vertical="center" indent="1"/>
    </xf>
    <xf numFmtId="0" fontId="80" fillId="0" borderId="37" xfId="0" applyFont="1" applyBorder="1">
      <alignment horizontal="left" vertical="center" indent="1"/>
    </xf>
    <xf numFmtId="0" fontId="75" fillId="0" borderId="0" xfId="0" applyFont="1" applyAlignment="1">
      <alignment horizontal="center" indent="1"/>
    </xf>
    <xf numFmtId="0" fontId="76" fillId="0" borderId="54" xfId="0" applyFont="1" applyBorder="1" applyAlignment="1">
      <alignment indent="1"/>
    </xf>
    <xf numFmtId="0" fontId="76" fillId="0" borderId="0" xfId="0" applyFont="1" applyAlignment="1">
      <alignment indent="1"/>
    </xf>
    <xf numFmtId="0" fontId="79" fillId="0" borderId="0" xfId="0" applyFont="1" applyAlignment="1">
      <alignment indent="1"/>
    </xf>
    <xf numFmtId="3" fontId="77" fillId="0" borderId="0" xfId="0" applyNumberFormat="1" applyFont="1" applyAlignment="1">
      <alignment indent="1"/>
    </xf>
    <xf numFmtId="3" fontId="52" fillId="0" borderId="0" xfId="0" applyNumberFormat="1" applyFont="1" applyAlignment="1">
      <alignment indent="1"/>
    </xf>
    <xf numFmtId="0" fontId="24" fillId="0" borderId="0" xfId="0" applyFont="1" applyAlignment="1">
      <alignment horizontal="left" vertical="center" wrapText="1"/>
    </xf>
    <xf numFmtId="0" fontId="44" fillId="12" borderId="55" xfId="0" applyFont="1" applyFill="1" applyBorder="1" applyAlignment="1">
      <alignment horizontal="center" vertical="center" wrapText="1"/>
    </xf>
    <xf numFmtId="2" fontId="22" fillId="0" borderId="57" xfId="0" applyNumberFormat="1" applyFont="1" applyBorder="1" applyAlignment="1">
      <alignment horizontal="center" vertical="center"/>
    </xf>
    <xf numFmtId="0" fontId="24" fillId="0" borderId="64" xfId="0" applyFont="1" applyBorder="1" applyAlignment="1">
      <alignment horizontal="left" vertical="center" wrapText="1"/>
    </xf>
    <xf numFmtId="9" fontId="22" fillId="0" borderId="64" xfId="0" applyNumberFormat="1" applyFont="1" applyBorder="1" applyAlignment="1">
      <alignment horizontal="center" vertical="center"/>
    </xf>
    <xf numFmtId="0" fontId="22" fillId="0" borderId="56" xfId="0" applyFont="1" applyBorder="1" applyAlignment="1">
      <alignment vertical="center"/>
    </xf>
    <xf numFmtId="0" fontId="74" fillId="0" borderId="37" xfId="0" applyFont="1" applyBorder="1" applyAlignment="1">
      <alignment indent="1"/>
    </xf>
    <xf numFmtId="0" fontId="78" fillId="0" borderId="0" xfId="0" applyFont="1" applyAlignment="1">
      <alignment indent="1"/>
    </xf>
    <xf numFmtId="10" fontId="75" fillId="0" borderId="0" xfId="0" applyNumberFormat="1" applyFont="1" applyAlignment="1">
      <alignment indent="1"/>
    </xf>
    <xf numFmtId="3" fontId="75" fillId="0" borderId="0" xfId="0" applyNumberFormat="1" applyFont="1" applyAlignment="1">
      <alignment indent="1"/>
    </xf>
    <xf numFmtId="2" fontId="75" fillId="0" borderId="0" xfId="0" applyNumberFormat="1" applyFont="1" applyAlignment="1">
      <alignment indent="1"/>
    </xf>
    <xf numFmtId="9" fontId="77" fillId="0" borderId="0" xfId="0" applyNumberFormat="1" applyFont="1" applyAlignment="1">
      <alignment indent="1"/>
    </xf>
    <xf numFmtId="0" fontId="77" fillId="0" borderId="64" xfId="0" applyFont="1" applyBorder="1" applyAlignment="1">
      <alignment indent="1"/>
    </xf>
    <xf numFmtId="0" fontId="77" fillId="0" borderId="54" xfId="0" applyFont="1" applyBorder="1" applyAlignment="1">
      <alignment indent="1"/>
    </xf>
    <xf numFmtId="3" fontId="77" fillId="0" borderId="54" xfId="0" applyNumberFormat="1" applyFont="1" applyBorder="1" applyAlignment="1">
      <alignment indent="1"/>
    </xf>
    <xf numFmtId="3" fontId="77" fillId="0" borderId="64" xfId="0" applyNumberFormat="1" applyFont="1" applyBorder="1" applyAlignment="1">
      <alignment indent="1"/>
    </xf>
    <xf numFmtId="0" fontId="77" fillId="0" borderId="0" xfId="0" applyFont="1" applyAlignment="1">
      <alignment horizontal="center" indent="1"/>
    </xf>
    <xf numFmtId="9" fontId="77" fillId="0" borderId="54" xfId="0" applyNumberFormat="1" applyFont="1" applyBorder="1" applyAlignment="1">
      <alignment indent="1"/>
    </xf>
    <xf numFmtId="9" fontId="77" fillId="0" borderId="64" xfId="0" applyNumberFormat="1" applyFont="1" applyBorder="1" applyAlignment="1">
      <alignment indent="1"/>
    </xf>
    <xf numFmtId="10" fontId="77" fillId="15" borderId="37" xfId="0" applyNumberFormat="1" applyFont="1" applyFill="1" applyBorder="1" applyAlignment="1">
      <alignment indent="1"/>
    </xf>
    <xf numFmtId="9" fontId="77" fillId="15" borderId="37" xfId="0" applyNumberFormat="1" applyFont="1" applyFill="1" applyBorder="1" applyAlignment="1">
      <alignment indent="1"/>
    </xf>
    <xf numFmtId="164" fontId="45" fillId="0" borderId="40" xfId="0" applyNumberFormat="1" applyFont="1" applyBorder="1" applyAlignment="1">
      <alignment horizontal="center" vertical="center"/>
    </xf>
    <xf numFmtId="0" fontId="4" fillId="0" borderId="37" xfId="0" applyFont="1" applyBorder="1" applyAlignment="1">
      <alignment horizontal="center" vertical="center"/>
    </xf>
    <xf numFmtId="2" fontId="0" fillId="0" borderId="37" xfId="0" applyNumberFormat="1" applyBorder="1" applyAlignment="1">
      <alignment horizontal="center" vertical="center"/>
    </xf>
    <xf numFmtId="0" fontId="0" fillId="0" borderId="53" xfId="0" applyBorder="1">
      <alignment horizontal="left" vertical="center" indent="1"/>
    </xf>
    <xf numFmtId="0" fontId="0" fillId="0" borderId="54" xfId="0" applyBorder="1">
      <alignment horizontal="left" vertical="center" indent="1"/>
    </xf>
    <xf numFmtId="0" fontId="0" fillId="0" borderId="54" xfId="0" applyBorder="1" applyAlignment="1">
      <alignment horizontal="right" vertical="center" indent="1"/>
    </xf>
    <xf numFmtId="0" fontId="0" fillId="0" borderId="55" xfId="0" applyBorder="1">
      <alignment horizontal="left" vertical="center" indent="1"/>
    </xf>
    <xf numFmtId="0" fontId="0" fillId="0" borderId="64" xfId="0" applyBorder="1" applyAlignment="1">
      <alignment horizontal="right" vertical="center" indent="1"/>
    </xf>
    <xf numFmtId="0" fontId="81" fillId="0" borderId="0" xfId="0" applyFont="1">
      <alignment horizontal="left" vertical="center" indent="1"/>
    </xf>
    <xf numFmtId="165" fontId="22" fillId="0" borderId="0" xfId="0" applyNumberFormat="1" applyFont="1" applyAlignment="1">
      <alignment horizontal="center" vertical="center"/>
    </xf>
    <xf numFmtId="165" fontId="22" fillId="0" borderId="0" xfId="0" applyNumberFormat="1" applyFont="1" applyAlignment="1">
      <alignment horizontal="left" vertical="center" wrapText="1"/>
    </xf>
    <xf numFmtId="9" fontId="22" fillId="0" borderId="0" xfId="0" applyNumberFormat="1" applyFont="1" applyAlignment="1">
      <alignment horizontal="center" vertical="center"/>
    </xf>
    <xf numFmtId="2" fontId="22" fillId="0" borderId="0" xfId="0" applyNumberFormat="1" applyFont="1" applyAlignment="1">
      <alignment horizontal="left" vertical="center" wrapText="1"/>
    </xf>
    <xf numFmtId="165" fontId="22" fillId="0" borderId="64" xfId="0" applyNumberFormat="1" applyFont="1" applyBorder="1" applyAlignment="1">
      <alignment horizontal="center" vertical="center"/>
    </xf>
    <xf numFmtId="2" fontId="24" fillId="0" borderId="57" xfId="0" applyNumberFormat="1" applyFont="1" applyBorder="1" applyAlignment="1">
      <alignment horizontal="center" vertical="center"/>
    </xf>
    <xf numFmtId="2" fontId="24" fillId="0" borderId="65" xfId="0" applyNumberFormat="1" applyFont="1" applyBorder="1" applyAlignment="1">
      <alignment horizontal="center" vertical="center"/>
    </xf>
    <xf numFmtId="0" fontId="23" fillId="0" borderId="56" xfId="0" applyFont="1" applyBorder="1" applyAlignment="1">
      <alignment vertical="center"/>
    </xf>
    <xf numFmtId="165" fontId="23" fillId="0" borderId="0" xfId="0" applyNumberFormat="1" applyFont="1" applyAlignment="1">
      <alignment horizontal="left" vertical="center"/>
    </xf>
    <xf numFmtId="165" fontId="23" fillId="0" borderId="0" xfId="0" applyNumberFormat="1" applyFont="1" applyAlignment="1">
      <alignment horizontal="center" vertical="center"/>
    </xf>
    <xf numFmtId="10" fontId="23" fillId="0" borderId="0" xfId="0" applyNumberFormat="1" applyFont="1" applyAlignment="1">
      <alignment horizontal="center" vertical="center"/>
    </xf>
    <xf numFmtId="2" fontId="23" fillId="0" borderId="57" xfId="0" applyNumberFormat="1" applyFont="1" applyBorder="1" applyAlignment="1">
      <alignment horizontal="center" vertical="center"/>
    </xf>
    <xf numFmtId="164" fontId="0" fillId="0" borderId="0" xfId="5" applyNumberFormat="1" applyFont="1" applyFill="1" applyBorder="1" applyAlignment="1">
      <alignment horizontal="left" vertical="center" indent="2"/>
    </xf>
    <xf numFmtId="164" fontId="0" fillId="0" borderId="0" xfId="5" applyNumberFormat="1" applyFont="1" applyFill="1" applyBorder="1" applyAlignment="1">
      <alignment horizontal="right" vertical="center" indent="2"/>
    </xf>
    <xf numFmtId="0" fontId="17" fillId="0" borderId="0" xfId="0" applyFont="1" applyAlignment="1">
      <alignment horizontal="left" vertical="center" indent="2"/>
    </xf>
    <xf numFmtId="0" fontId="17" fillId="0" borderId="0" xfId="0" applyFont="1">
      <alignment horizontal="left" vertical="center" indent="1"/>
    </xf>
    <xf numFmtId="0" fontId="48" fillId="0" borderId="0" xfId="0" applyFont="1">
      <alignment horizontal="left" vertical="center" indent="1"/>
    </xf>
    <xf numFmtId="4" fontId="0" fillId="0" borderId="3" xfId="4" applyNumberFormat="1" applyFont="1" applyFill="1" applyBorder="1" applyAlignment="1">
      <alignment horizontal="right" vertical="center" indent="1"/>
    </xf>
    <xf numFmtId="165" fontId="22" fillId="0" borderId="0" xfId="5" applyFont="1" applyFill="1" applyBorder="1" applyAlignment="1">
      <alignment horizontal="right" vertical="center" indent="1"/>
    </xf>
    <xf numFmtId="165" fontId="22" fillId="0" borderId="3" xfId="5" applyFont="1" applyFill="1" applyBorder="1" applyAlignment="1">
      <alignment horizontal="right" vertical="center" indent="1"/>
    </xf>
    <xf numFmtId="165" fontId="0" fillId="0" borderId="0" xfId="5" applyFont="1" applyBorder="1" applyAlignment="1">
      <alignment horizontal="center"/>
    </xf>
    <xf numFmtId="165" fontId="0" fillId="0" borderId="56" xfId="5" applyFont="1" applyFill="1" applyBorder="1" applyAlignment="1">
      <alignment horizontal="center" vertical="center"/>
    </xf>
    <xf numFmtId="165" fontId="0" fillId="0" borderId="45" xfId="5" applyFont="1" applyFill="1" applyBorder="1" applyAlignment="1">
      <alignment horizontal="center" vertical="center"/>
    </xf>
    <xf numFmtId="166" fontId="0" fillId="0" borderId="45" xfId="1" applyNumberFormat="1" applyFont="1" applyBorder="1" applyAlignment="1">
      <alignment horizontal="center" vertical="center"/>
    </xf>
    <xf numFmtId="165" fontId="0" fillId="0" borderId="47" xfId="5" applyFont="1" applyFill="1" applyBorder="1" applyAlignment="1">
      <alignment horizontal="center" vertical="center"/>
    </xf>
    <xf numFmtId="164" fontId="0" fillId="0" borderId="45" xfId="5" applyNumberFormat="1" applyFont="1" applyFill="1" applyBorder="1" applyAlignment="1">
      <alignment horizontal="center" vertical="center"/>
    </xf>
    <xf numFmtId="0" fontId="57" fillId="0" borderId="56" xfId="0" applyFont="1" applyBorder="1" applyAlignment="1">
      <alignment horizontal="center" vertical="center"/>
    </xf>
    <xf numFmtId="0" fontId="4" fillId="0" borderId="0" xfId="21" applyFont="1" applyFill="1" applyBorder="1" applyAlignment="1">
      <alignment vertical="center" wrapText="1"/>
    </xf>
    <xf numFmtId="0" fontId="0" fillId="0" borderId="0" xfId="0" applyAlignment="1">
      <alignment vertical="center"/>
    </xf>
    <xf numFmtId="165" fontId="9" fillId="0" borderId="52" xfId="5" applyFont="1" applyFill="1" applyBorder="1" applyAlignment="1">
      <alignment horizontal="left" vertical="center" indent="1"/>
    </xf>
    <xf numFmtId="165" fontId="4" fillId="0" borderId="52" xfId="5" applyFont="1" applyFill="1" applyBorder="1" applyAlignment="1">
      <alignment horizontal="left" vertical="center" indent="1"/>
    </xf>
    <xf numFmtId="166" fontId="0" fillId="7" borderId="0" xfId="1" applyNumberFormat="1" applyFont="1" applyFill="1" applyBorder="1" applyAlignment="1">
      <alignment horizontal="right" vertical="center" indent="2"/>
    </xf>
    <xf numFmtId="3" fontId="60" fillId="15" borderId="0" xfId="19" applyNumberFormat="1" applyFont="1" applyFill="1" applyBorder="1" applyAlignment="1">
      <alignment horizontal="center" vertical="center"/>
    </xf>
    <xf numFmtId="3" fontId="60" fillId="0" borderId="0" xfId="19" applyNumberFormat="1" applyFont="1" applyFill="1" applyBorder="1" applyAlignment="1">
      <alignment horizontal="center" vertical="center"/>
    </xf>
    <xf numFmtId="0" fontId="60" fillId="15" borderId="51" xfId="0" applyFont="1" applyFill="1" applyBorder="1" applyAlignment="1">
      <alignment horizontal="center" vertical="center"/>
    </xf>
    <xf numFmtId="0" fontId="60" fillId="0" borderId="0" xfId="0" applyFont="1" applyAlignment="1">
      <alignment horizontal="center" vertical="center"/>
    </xf>
    <xf numFmtId="0" fontId="60" fillId="15" borderId="0" xfId="0" applyFont="1" applyFill="1" applyAlignment="1">
      <alignment horizontal="center" vertical="center"/>
    </xf>
    <xf numFmtId="0" fontId="60" fillId="0" borderId="89" xfId="0" applyFont="1" applyBorder="1" applyAlignment="1">
      <alignment horizontal="center" vertical="center"/>
    </xf>
    <xf numFmtId="3" fontId="60" fillId="15" borderId="51" xfId="0" applyNumberFormat="1" applyFont="1" applyFill="1" applyBorder="1" applyAlignment="1">
      <alignment horizontal="center" vertical="center"/>
    </xf>
    <xf numFmtId="3" fontId="60" fillId="0" borderId="0" xfId="0" applyNumberFormat="1" applyFont="1" applyAlignment="1">
      <alignment horizontal="center" vertical="center"/>
    </xf>
    <xf numFmtId="3" fontId="60" fillId="15" borderId="0" xfId="0" applyNumberFormat="1" applyFont="1" applyFill="1" applyAlignment="1">
      <alignment horizontal="center" vertical="center"/>
    </xf>
    <xf numFmtId="179" fontId="83" fillId="0" borderId="40" xfId="0" applyNumberFormat="1" applyFont="1" applyBorder="1" applyAlignment="1">
      <alignment horizontal="center" vertical="center"/>
    </xf>
    <xf numFmtId="179" fontId="83" fillId="0" borderId="112" xfId="0" applyNumberFormat="1" applyFont="1" applyBorder="1" applyAlignment="1">
      <alignment horizontal="center" vertical="center"/>
    </xf>
    <xf numFmtId="185" fontId="45" fillId="0" borderId="38" xfId="0" applyNumberFormat="1" applyFont="1" applyBorder="1" applyAlignment="1">
      <alignment horizontal="center" vertical="center"/>
    </xf>
    <xf numFmtId="185" fontId="45" fillId="0" borderId="123" xfId="0" applyNumberFormat="1" applyFont="1" applyBorder="1" applyAlignment="1">
      <alignment horizontal="center" vertical="center"/>
    </xf>
    <xf numFmtId="185" fontId="45" fillId="0" borderId="64" xfId="0" applyNumberFormat="1" applyFont="1" applyBorder="1" applyAlignment="1">
      <alignment horizontal="center" vertical="center"/>
    </xf>
    <xf numFmtId="185" fontId="45" fillId="0" borderId="65" xfId="0" applyNumberFormat="1" applyFont="1" applyBorder="1" applyAlignment="1">
      <alignment horizontal="center" vertical="center"/>
    </xf>
    <xf numFmtId="0" fontId="47" fillId="0" borderId="0" xfId="0" applyFont="1" applyAlignment="1">
      <alignment horizontal="center" vertical="center"/>
    </xf>
    <xf numFmtId="174" fontId="47" fillId="0" borderId="0" xfId="0" applyNumberFormat="1" applyFont="1" applyAlignment="1">
      <alignment horizontal="center" vertical="center"/>
    </xf>
    <xf numFmtId="0" fontId="27" fillId="0" borderId="0" xfId="0" applyFont="1" applyAlignment="1">
      <alignment horizontal="left"/>
    </xf>
    <xf numFmtId="0" fontId="48" fillId="7" borderId="0" xfId="8" applyFont="1" applyFill="1" applyAlignment="1">
      <alignment horizontal="left" vertical="center" indent="2"/>
    </xf>
    <xf numFmtId="171" fontId="40" fillId="0" borderId="0" xfId="3" applyNumberFormat="1" applyFont="1" applyFill="1" applyBorder="1" applyAlignment="1">
      <alignment horizontal="left" vertical="center" indent="2"/>
    </xf>
    <xf numFmtId="165" fontId="40" fillId="0" borderId="0" xfId="5" applyFont="1" applyFill="1" applyBorder="1" applyAlignment="1">
      <alignment horizontal="left" vertical="center" indent="1"/>
    </xf>
    <xf numFmtId="0" fontId="14" fillId="0" borderId="0" xfId="0" applyFont="1" applyAlignment="1">
      <alignment horizontal="left" indent="1"/>
    </xf>
    <xf numFmtId="0" fontId="44" fillId="12" borderId="53" xfId="0" applyFont="1" applyFill="1" applyBorder="1" applyAlignment="1">
      <alignment horizontal="center" vertical="center"/>
    </xf>
    <xf numFmtId="0" fontId="44" fillId="12" borderId="56" xfId="0" applyFont="1" applyFill="1" applyBorder="1" applyAlignment="1">
      <alignment horizontal="center" vertical="center"/>
    </xf>
    <xf numFmtId="0" fontId="44" fillId="12" borderId="121" xfId="0" applyFont="1" applyFill="1" applyBorder="1" applyAlignment="1">
      <alignment horizontal="center" vertical="center"/>
    </xf>
    <xf numFmtId="0" fontId="22" fillId="0" borderId="0" xfId="0" applyFont="1" applyAlignment="1">
      <alignment horizontal="center" vertical="center" wrapText="1"/>
    </xf>
    <xf numFmtId="0" fontId="22" fillId="0" borderId="64" xfId="0" applyFont="1" applyBorder="1" applyAlignment="1">
      <alignment horizontal="center" vertical="center" wrapText="1"/>
    </xf>
    <xf numFmtId="0" fontId="44" fillId="12" borderId="72" xfId="0" applyFont="1" applyFill="1" applyBorder="1" applyAlignment="1">
      <alignment horizontal="center" vertical="center"/>
    </xf>
    <xf numFmtId="0" fontId="44" fillId="12" borderId="74" xfId="0" applyFont="1" applyFill="1" applyBorder="1" applyAlignment="1">
      <alignment horizontal="center" vertical="center"/>
    </xf>
    <xf numFmtId="0" fontId="24" fillId="0" borderId="56" xfId="0" applyFont="1" applyBorder="1" applyAlignment="1">
      <alignment vertical="center"/>
    </xf>
    <xf numFmtId="0" fontId="24" fillId="0" borderId="63" xfId="0" applyFont="1" applyBorder="1" applyAlignment="1">
      <alignment vertical="center"/>
    </xf>
    <xf numFmtId="0" fontId="22" fillId="0" borderId="56" xfId="0" applyFont="1" applyBorder="1" applyAlignment="1">
      <alignment vertical="center"/>
    </xf>
    <xf numFmtId="10" fontId="22" fillId="0" borderId="166" xfId="0" applyNumberFormat="1" applyFont="1" applyBorder="1" applyAlignment="1">
      <alignment horizontal="center" vertical="center"/>
    </xf>
    <xf numFmtId="10" fontId="22" fillId="0" borderId="114" xfId="0" applyNumberFormat="1" applyFont="1" applyBorder="1" applyAlignment="1">
      <alignment horizontal="center" vertical="center"/>
    </xf>
    <xf numFmtId="10" fontId="22" fillId="0" borderId="115" xfId="0" applyNumberFormat="1" applyFont="1" applyBorder="1" applyAlignment="1">
      <alignment horizontal="center" vertical="center"/>
    </xf>
    <xf numFmtId="1" fontId="23" fillId="4" borderId="146" xfId="0" applyNumberFormat="1" applyFont="1" applyFill="1" applyBorder="1" applyAlignment="1">
      <alignment horizontal="left" vertical="center"/>
    </xf>
    <xf numFmtId="1" fontId="23" fillId="4" borderId="145" xfId="0" applyNumberFormat="1" applyFont="1" applyFill="1" applyBorder="1" applyAlignment="1">
      <alignment horizontal="left" vertical="center"/>
    </xf>
    <xf numFmtId="0" fontId="46" fillId="11" borderId="111" xfId="0" applyFont="1" applyFill="1" applyBorder="1" applyAlignment="1">
      <alignment horizontal="left" vertical="center"/>
    </xf>
    <xf numFmtId="0" fontId="46" fillId="11" borderId="40" xfId="0" applyFont="1" applyFill="1" applyBorder="1" applyAlignment="1">
      <alignment horizontal="left" vertical="center"/>
    </xf>
    <xf numFmtId="0" fontId="46" fillId="11" borderId="112" xfId="0" applyFont="1" applyFill="1" applyBorder="1" applyAlignment="1">
      <alignment horizontal="left" vertical="center"/>
    </xf>
    <xf numFmtId="0" fontId="44" fillId="12" borderId="122" xfId="0" applyFont="1" applyFill="1" applyBorder="1" applyAlignment="1">
      <alignment horizontal="center" vertical="center"/>
    </xf>
    <xf numFmtId="0" fontId="22" fillId="0" borderId="0" xfId="0" applyFont="1" applyAlignment="1">
      <alignment horizontal="left" vertical="center"/>
    </xf>
    <xf numFmtId="0" fontId="22" fillId="0" borderId="57" xfId="0" applyFont="1" applyBorder="1" applyAlignment="1">
      <alignment horizontal="left" vertical="center"/>
    </xf>
    <xf numFmtId="0" fontId="22" fillId="0" borderId="64" xfId="0" applyFont="1" applyBorder="1" applyAlignment="1">
      <alignment horizontal="left" vertical="center"/>
    </xf>
    <xf numFmtId="0" fontId="22" fillId="0" borderId="65" xfId="0" applyFont="1" applyBorder="1" applyAlignment="1">
      <alignment horizontal="left" vertical="center"/>
    </xf>
    <xf numFmtId="0" fontId="44" fillId="12" borderId="53" xfId="0" applyFont="1" applyFill="1" applyBorder="1" applyAlignment="1">
      <alignment horizontal="center" vertical="center" wrapText="1"/>
    </xf>
    <xf numFmtId="0" fontId="44" fillId="12" borderId="56" xfId="0" applyFont="1" applyFill="1" applyBorder="1" applyAlignment="1">
      <alignment horizontal="center" vertical="center" wrapText="1"/>
    </xf>
    <xf numFmtId="0" fontId="22" fillId="0" borderId="129" xfId="0" applyFont="1" applyBorder="1" applyAlignment="1">
      <alignment horizontal="center" vertical="center" wrapText="1"/>
    </xf>
    <xf numFmtId="0" fontId="22" fillId="0" borderId="57" xfId="0" applyFont="1" applyBorder="1" applyAlignment="1">
      <alignment horizontal="center" vertical="center" wrapText="1"/>
    </xf>
    <xf numFmtId="0" fontId="22" fillId="0" borderId="65" xfId="0" applyFont="1" applyBorder="1" applyAlignment="1">
      <alignment horizontal="center" vertical="center" wrapText="1"/>
    </xf>
    <xf numFmtId="0" fontId="45" fillId="0" borderId="118" xfId="0" applyFont="1" applyBorder="1" applyAlignment="1">
      <alignment horizontal="center" vertical="center" wrapText="1"/>
    </xf>
    <xf numFmtId="0" fontId="45" fillId="0" borderId="120" xfId="0" applyFont="1" applyBorder="1" applyAlignment="1">
      <alignment horizontal="center" vertical="center" wrapText="1"/>
    </xf>
    <xf numFmtId="0" fontId="63" fillId="12" borderId="54" xfId="0" applyFont="1" applyFill="1" applyBorder="1" applyAlignment="1">
      <alignment horizontal="center" vertical="center"/>
    </xf>
    <xf numFmtId="0" fontId="63" fillId="12" borderId="55" xfId="0" applyFont="1" applyFill="1" applyBorder="1" applyAlignment="1">
      <alignment horizontal="center" vertical="center"/>
    </xf>
    <xf numFmtId="0" fontId="22" fillId="0" borderId="128" xfId="0" applyFont="1" applyBorder="1" applyAlignment="1">
      <alignment horizontal="left" vertical="center" wrapText="1" indent="1"/>
    </xf>
    <xf numFmtId="0" fontId="44" fillId="12" borderId="54" xfId="0" applyFont="1" applyFill="1" applyBorder="1" applyAlignment="1">
      <alignment horizontal="center" vertical="center"/>
    </xf>
    <xf numFmtId="0" fontId="44" fillId="12" borderId="55" xfId="0" applyFont="1" applyFill="1" applyBorder="1" applyAlignment="1">
      <alignment horizontal="center" vertical="center"/>
    </xf>
    <xf numFmtId="0" fontId="45" fillId="0" borderId="117" xfId="0" applyFont="1" applyBorder="1" applyAlignment="1">
      <alignment horizontal="center" vertical="center" wrapText="1"/>
    </xf>
    <xf numFmtId="0" fontId="22" fillId="0" borderId="56" xfId="0" applyFont="1" applyBorder="1" applyAlignment="1">
      <alignment horizontal="center" vertical="center"/>
    </xf>
    <xf numFmtId="0" fontId="22" fillId="0" borderId="68" xfId="0" applyFont="1" applyBorder="1" applyAlignment="1">
      <alignment horizontal="center" vertical="center"/>
    </xf>
    <xf numFmtId="0" fontId="22" fillId="0" borderId="66" xfId="0" applyFont="1" applyBorder="1" applyAlignment="1">
      <alignment horizontal="center" vertical="center"/>
    </xf>
    <xf numFmtId="0" fontId="46" fillId="11" borderId="145" xfId="0" applyFont="1" applyFill="1" applyBorder="1" applyAlignment="1">
      <alignment horizontal="left" vertical="center"/>
    </xf>
    <xf numFmtId="0" fontId="46" fillId="11" borderId="168" xfId="0" applyFont="1" applyFill="1" applyBorder="1" applyAlignment="1">
      <alignment horizontal="left" vertical="center"/>
    </xf>
    <xf numFmtId="0" fontId="46" fillId="11" borderId="119" xfId="0" applyFont="1" applyFill="1" applyBorder="1" applyAlignment="1">
      <alignment horizontal="left" vertical="center"/>
    </xf>
    <xf numFmtId="0" fontId="45" fillId="0" borderId="155" xfId="0" applyFont="1" applyBorder="1" applyAlignment="1">
      <alignment horizontal="left" vertical="center" wrapText="1"/>
    </xf>
    <xf numFmtId="0" fontId="45" fillId="0" borderId="57" xfId="0" applyFont="1" applyBorder="1" applyAlignment="1">
      <alignment horizontal="left" vertical="center" wrapText="1"/>
    </xf>
    <xf numFmtId="0" fontId="45" fillId="0" borderId="65" xfId="0" applyFont="1" applyBorder="1" applyAlignment="1">
      <alignment horizontal="left" vertical="center" wrapText="1"/>
    </xf>
    <xf numFmtId="0" fontId="22" fillId="0" borderId="63" xfId="0" applyFont="1" applyBorder="1" applyAlignment="1">
      <alignment horizontal="center" vertical="center"/>
    </xf>
    <xf numFmtId="1" fontId="25" fillId="0" borderId="111" xfId="0" applyNumberFormat="1" applyFont="1" applyBorder="1" applyAlignment="1">
      <alignment horizontal="center" vertical="center" wrapText="1"/>
    </xf>
    <xf numFmtId="1" fontId="25" fillId="0" borderId="146" xfId="0" applyNumberFormat="1" applyFont="1" applyBorder="1" applyAlignment="1">
      <alignment horizontal="center" vertical="center" wrapText="1"/>
    </xf>
    <xf numFmtId="0" fontId="0" fillId="0" borderId="16" xfId="0" applyBorder="1" applyAlignment="1">
      <alignment horizontal="left" vertical="center"/>
    </xf>
    <xf numFmtId="0" fontId="0" fillId="0" borderId="160" xfId="0" applyBorder="1" applyAlignment="1">
      <alignment horizontal="left" vertical="center"/>
    </xf>
    <xf numFmtId="0" fontId="0" fillId="0" borderId="21" xfId="0" applyBorder="1" applyAlignment="1">
      <alignment horizontal="left" vertical="center"/>
    </xf>
    <xf numFmtId="0" fontId="0" fillId="0" borderId="163" xfId="0" applyBorder="1" applyAlignment="1">
      <alignment horizontal="left" vertical="center"/>
    </xf>
    <xf numFmtId="0" fontId="0" fillId="0" borderId="11" xfId="0" applyBorder="1" applyAlignment="1">
      <alignment horizontal="left" vertical="center"/>
    </xf>
    <xf numFmtId="0" fontId="0" fillId="0" borderId="162" xfId="0" applyBorder="1" applyAlignment="1">
      <alignment horizontal="left" vertical="center"/>
    </xf>
    <xf numFmtId="0" fontId="10" fillId="0" borderId="16" xfId="7" applyBorder="1" applyAlignment="1">
      <alignment horizontal="left" vertical="center"/>
    </xf>
    <xf numFmtId="0" fontId="10" fillId="0" borderId="160" xfId="7" applyBorder="1" applyAlignment="1">
      <alignment horizontal="left" vertical="center"/>
    </xf>
    <xf numFmtId="0" fontId="0" fillId="0" borderId="37" xfId="0" applyBorder="1" applyAlignment="1">
      <alignment horizontal="left" vertical="center"/>
    </xf>
    <xf numFmtId="0" fontId="0" fillId="0" borderId="159" xfId="0" applyBorder="1" applyAlignment="1">
      <alignment horizontal="left" vertical="center"/>
    </xf>
    <xf numFmtId="0" fontId="0" fillId="0" borderId="97" xfId="0" applyBorder="1" applyAlignment="1">
      <alignment horizontal="left" vertical="center"/>
    </xf>
    <xf numFmtId="0" fontId="0" fillId="0" borderId="161" xfId="0" applyBorder="1" applyAlignment="1">
      <alignment horizontal="left" vertical="center"/>
    </xf>
    <xf numFmtId="1" fontId="4" fillId="6" borderId="96" xfId="13" applyNumberFormat="1" applyBorder="1" applyAlignment="1">
      <alignment horizontal="center" vertical="center"/>
    </xf>
    <xf numFmtId="1" fontId="4" fillId="6" borderId="158" xfId="13" applyNumberFormat="1" applyBorder="1" applyAlignment="1">
      <alignment horizontal="center" vertical="center"/>
    </xf>
    <xf numFmtId="0" fontId="4" fillId="0" borderId="91" xfId="0" applyFont="1" applyBorder="1" applyAlignment="1">
      <alignment horizontal="center" vertical="center"/>
    </xf>
    <xf numFmtId="0" fontId="4" fillId="0" borderId="90" xfId="0" applyFont="1" applyBorder="1" applyAlignment="1">
      <alignment horizontal="center" vertical="center"/>
    </xf>
    <xf numFmtId="0" fontId="10" fillId="0" borderId="75" xfId="7" applyBorder="1" applyAlignment="1">
      <alignment horizontal="center" vertical="center"/>
    </xf>
    <xf numFmtId="0" fontId="10" fillId="0" borderId="89" xfId="7" applyBorder="1" applyAlignment="1">
      <alignment horizontal="center" vertical="center"/>
    </xf>
    <xf numFmtId="0" fontId="10" fillId="0" borderId="76" xfId="7" applyBorder="1" applyAlignment="1">
      <alignment horizontal="center" vertical="center"/>
    </xf>
    <xf numFmtId="0" fontId="0" fillId="0" borderId="75" xfId="0" applyBorder="1" applyAlignment="1">
      <alignment horizontal="center" vertical="center"/>
    </xf>
    <xf numFmtId="0" fontId="0" fillId="0" borderId="89" xfId="0" applyBorder="1" applyAlignment="1">
      <alignment horizontal="center" vertical="center"/>
    </xf>
    <xf numFmtId="0" fontId="0" fillId="0" borderId="76" xfId="0" applyBorder="1" applyAlignment="1">
      <alignment horizontal="center" vertical="center"/>
    </xf>
    <xf numFmtId="0" fontId="0" fillId="0" borderId="37" xfId="0" applyBorder="1" applyAlignment="1">
      <alignment horizontal="center" vertical="center"/>
    </xf>
    <xf numFmtId="0" fontId="10" fillId="0" borderId="37" xfId="7" applyBorder="1" applyAlignment="1">
      <alignment horizontal="center" vertical="center"/>
    </xf>
    <xf numFmtId="0" fontId="0" fillId="0" borderId="51" xfId="0" applyBorder="1" applyAlignment="1">
      <alignment horizontal="center" vertical="center"/>
    </xf>
    <xf numFmtId="0" fontId="4" fillId="6" borderId="84" xfId="13" applyNumberFormat="1" applyBorder="1" applyAlignment="1">
      <alignment horizontal="center" vertical="center"/>
    </xf>
    <xf numFmtId="0" fontId="0" fillId="0" borderId="0" xfId="0" applyAlignment="1">
      <alignment horizontal="center" vertical="center"/>
    </xf>
    <xf numFmtId="0" fontId="0" fillId="0" borderId="54" xfId="0" applyBorder="1" applyAlignment="1">
      <alignment horizontal="center" vertical="center"/>
    </xf>
    <xf numFmtId="0" fontId="4" fillId="6" borderId="54" xfId="13" applyNumberFormat="1" applyBorder="1" applyAlignment="1">
      <alignment horizontal="center" vertical="center"/>
    </xf>
    <xf numFmtId="0" fontId="65" fillId="0" borderId="0" xfId="0" applyFont="1">
      <alignment horizontal="left" vertical="center" indent="1"/>
    </xf>
    <xf numFmtId="0" fontId="4" fillId="6" borderId="72" xfId="13" applyNumberFormat="1" applyBorder="1" applyAlignment="1">
      <alignment horizontal="center" vertical="center"/>
    </xf>
    <xf numFmtId="0" fontId="0" fillId="0" borderId="68" xfId="0" applyBorder="1" applyAlignment="1">
      <alignment horizontal="center" vertical="center"/>
    </xf>
    <xf numFmtId="0" fontId="0" fillId="0" borderId="67" xfId="0" applyBorder="1" applyAlignment="1">
      <alignment horizontal="center" vertical="center"/>
    </xf>
    <xf numFmtId="0" fontId="4" fillId="6" borderId="71" xfId="13" applyNumberFormat="1" applyBorder="1" applyAlignment="1">
      <alignment horizontal="center" vertical="center"/>
    </xf>
    <xf numFmtId="0" fontId="0" fillId="0" borderId="56"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6" xfId="0" applyBorder="1" applyAlignment="1">
      <alignment horizontal="center" vertical="center"/>
    </xf>
    <xf numFmtId="0" fontId="0" fillId="0" borderId="52" xfId="0" applyBorder="1" applyAlignment="1">
      <alignment horizontal="center" vertical="center"/>
    </xf>
    <xf numFmtId="0" fontId="4" fillId="6" borderId="75" xfId="13" applyNumberFormat="1" applyBorder="1" applyAlignment="1">
      <alignment horizontal="center" vertical="center"/>
    </xf>
    <xf numFmtId="0" fontId="4" fillId="6" borderId="89" xfId="13" applyNumberFormat="1" applyBorder="1" applyAlignment="1">
      <alignment horizontal="center" vertical="center"/>
    </xf>
    <xf numFmtId="0" fontId="4" fillId="6" borderId="76" xfId="13" applyNumberFormat="1" applyBorder="1" applyAlignment="1">
      <alignment horizontal="center" vertical="center"/>
    </xf>
    <xf numFmtId="0" fontId="4" fillId="6" borderId="37" xfId="13" applyNumberFormat="1" applyBorder="1" applyAlignment="1">
      <alignment horizontal="center" vertical="center"/>
    </xf>
    <xf numFmtId="0" fontId="49" fillId="0" borderId="0" xfId="7" applyFont="1" applyAlignment="1">
      <alignment horizontal="left" vertical="center" indent="1"/>
    </xf>
    <xf numFmtId="0" fontId="4" fillId="6" borderId="55" xfId="13" applyNumberFormat="1" applyBorder="1" applyAlignment="1">
      <alignment horizontal="center" vertical="center"/>
    </xf>
    <xf numFmtId="0" fontId="4" fillId="6" borderId="62" xfId="13" applyNumberFormat="1" applyBorder="1" applyAlignment="1">
      <alignment horizontal="center" vertical="center"/>
    </xf>
    <xf numFmtId="0" fontId="4" fillId="6" borderId="53" xfId="13" applyNumberFormat="1" applyBorder="1" applyAlignment="1">
      <alignment horizontal="left" vertical="center"/>
    </xf>
    <xf numFmtId="0" fontId="4" fillId="6" borderId="66" xfId="13" applyNumberFormat="1" applyBorder="1" applyAlignment="1">
      <alignment horizontal="left" vertical="center"/>
    </xf>
    <xf numFmtId="0" fontId="4" fillId="6" borderId="53" xfId="13" applyNumberFormat="1" applyBorder="1">
      <alignment horizontal="left" vertical="center" indent="1"/>
    </xf>
    <xf numFmtId="0" fontId="4" fillId="6" borderId="56" xfId="13" applyNumberFormat="1" applyBorder="1">
      <alignment horizontal="left" vertical="center" indent="1"/>
    </xf>
    <xf numFmtId="0" fontId="4" fillId="6" borderId="78" xfId="13" applyNumberFormat="1" applyBorder="1" applyAlignment="1">
      <alignment horizontal="center" vertical="center"/>
    </xf>
    <xf numFmtId="0" fontId="4" fillId="6" borderId="57" xfId="13" applyNumberFormat="1" applyBorder="1" applyAlignment="1">
      <alignment horizontal="center" vertical="center"/>
    </xf>
    <xf numFmtId="0" fontId="4" fillId="0" borderId="53" xfId="13" applyNumberFormat="1" applyFill="1" applyBorder="1" applyAlignment="1">
      <alignment horizontal="left" vertical="center"/>
    </xf>
    <xf numFmtId="0" fontId="4" fillId="0" borderId="66" xfId="13" applyNumberFormat="1" applyFill="1" applyBorder="1" applyAlignment="1">
      <alignment horizontal="left" vertical="center"/>
    </xf>
    <xf numFmtId="0" fontId="4" fillId="0" borderId="0" xfId="13" applyNumberFormat="1" applyFill="1" applyBorder="1" applyAlignment="1">
      <alignment horizontal="center" vertical="center"/>
    </xf>
    <xf numFmtId="0" fontId="4" fillId="0" borderId="78" xfId="13" applyNumberFormat="1" applyFill="1" applyBorder="1" applyAlignment="1">
      <alignment horizontal="center" vertical="center"/>
    </xf>
    <xf numFmtId="0" fontId="4" fillId="0" borderId="55" xfId="13" applyNumberFormat="1" applyFill="1" applyBorder="1" applyAlignment="1">
      <alignment horizontal="center" vertical="center"/>
    </xf>
    <xf numFmtId="0" fontId="4" fillId="0" borderId="57" xfId="13" applyNumberFormat="1" applyFill="1" applyBorder="1" applyAlignment="1">
      <alignment horizontal="center" vertical="center"/>
    </xf>
    <xf numFmtId="0" fontId="4" fillId="0" borderId="0" xfId="13" applyNumberFormat="1" applyFill="1" applyBorder="1">
      <alignment horizontal="left" vertical="center" indent="1"/>
    </xf>
    <xf numFmtId="0" fontId="4" fillId="0" borderId="53" xfId="13" applyNumberFormat="1" applyFill="1" applyBorder="1">
      <alignment horizontal="left" vertical="center" indent="1"/>
    </xf>
    <xf numFmtId="0" fontId="4" fillId="0" borderId="56" xfId="13" applyNumberFormat="1" applyFill="1" applyBorder="1">
      <alignment horizontal="left" vertical="center" indent="1"/>
    </xf>
    <xf numFmtId="0" fontId="4" fillId="6" borderId="53" xfId="13" applyNumberFormat="1" applyBorder="1" applyAlignment="1">
      <alignment horizontal="center" vertical="center"/>
    </xf>
    <xf numFmtId="0" fontId="4" fillId="6" borderId="66" xfId="13" applyNumberFormat="1" applyBorder="1" applyAlignment="1">
      <alignment horizontal="center" vertical="center"/>
    </xf>
    <xf numFmtId="0" fontId="4" fillId="6" borderId="54" xfId="13" applyNumberFormat="1" applyBorder="1" applyAlignment="1">
      <alignment horizontal="center" vertical="center" wrapText="1"/>
    </xf>
    <xf numFmtId="0" fontId="4" fillId="6" borderId="52" xfId="13" applyNumberFormat="1" applyBorder="1" applyAlignment="1">
      <alignment horizontal="center" vertical="center" wrapText="1"/>
    </xf>
    <xf numFmtId="0" fontId="4" fillId="18" borderId="54" xfId="13" applyNumberFormat="1" applyFill="1" applyBorder="1" applyAlignment="1">
      <alignment horizontal="center" vertical="center"/>
    </xf>
    <xf numFmtId="0" fontId="4" fillId="18" borderId="52" xfId="13" applyNumberFormat="1" applyFill="1" applyBorder="1" applyAlignment="1">
      <alignment horizontal="center" vertical="center"/>
    </xf>
    <xf numFmtId="0" fontId="0" fillId="15" borderId="51" xfId="0" applyFill="1" applyBorder="1" applyAlignment="1">
      <alignment horizontal="center" vertical="center"/>
    </xf>
    <xf numFmtId="0" fontId="0" fillId="15" borderId="0" xfId="0" applyFill="1" applyAlignment="1">
      <alignment horizontal="center" vertical="center"/>
    </xf>
    <xf numFmtId="0" fontId="0" fillId="15" borderId="52" xfId="0" applyFill="1" applyBorder="1" applyAlignment="1">
      <alignment horizontal="center" vertical="center"/>
    </xf>
    <xf numFmtId="1" fontId="4" fillId="6" borderId="53" xfId="13" applyNumberFormat="1" applyBorder="1" applyAlignment="1">
      <alignment horizontal="center" vertical="center"/>
    </xf>
    <xf numFmtId="1" fontId="4" fillId="6" borderId="54" xfId="13" applyNumberFormat="1" applyBorder="1" applyAlignment="1">
      <alignment horizontal="center" vertical="center"/>
    </xf>
    <xf numFmtId="1" fontId="4" fillId="6" borderId="169" xfId="13" applyNumberFormat="1" applyBorder="1" applyAlignment="1">
      <alignment horizontal="center" vertical="center" wrapText="1"/>
    </xf>
    <xf numFmtId="1" fontId="4" fillId="6" borderId="170" xfId="13" applyNumberFormat="1" applyBorder="1" applyAlignment="1">
      <alignment horizontal="center" vertical="center" wrapText="1"/>
    </xf>
    <xf numFmtId="1" fontId="4" fillId="6" borderId="54" xfId="13" applyNumberFormat="1" applyBorder="1" applyAlignment="1">
      <alignment horizontal="center" vertical="center" wrapText="1"/>
    </xf>
    <xf numFmtId="1" fontId="4" fillId="6" borderId="52" xfId="13" applyNumberFormat="1" applyBorder="1" applyAlignment="1">
      <alignment horizontal="center" vertical="center" wrapText="1"/>
    </xf>
    <xf numFmtId="1" fontId="4" fillId="6" borderId="53" xfId="13" applyNumberFormat="1" applyBorder="1" applyAlignment="1">
      <alignment horizontal="center" vertical="center" wrapText="1"/>
    </xf>
    <xf numFmtId="1" fontId="4" fillId="6" borderId="55" xfId="13" applyNumberFormat="1" applyBorder="1" applyAlignment="1">
      <alignment horizontal="center" vertical="center" wrapText="1"/>
    </xf>
    <xf numFmtId="1" fontId="4" fillId="6" borderId="62" xfId="13" applyNumberFormat="1" applyBorder="1" applyAlignment="1">
      <alignment horizontal="center" vertical="center" wrapText="1"/>
    </xf>
    <xf numFmtId="2" fontId="0" fillId="0" borderId="51" xfId="19" applyNumberFormat="1" applyFont="1" applyFill="1" applyBorder="1" applyAlignment="1">
      <alignment horizontal="center" vertical="center"/>
    </xf>
    <xf numFmtId="2" fontId="0" fillId="0" borderId="0" xfId="19" applyNumberFormat="1" applyFont="1" applyFill="1" applyBorder="1" applyAlignment="1">
      <alignment horizontal="center" vertical="center"/>
    </xf>
    <xf numFmtId="2" fontId="0" fillId="0" borderId="52" xfId="19" applyNumberFormat="1" applyFont="1" applyFill="1" applyBorder="1" applyAlignment="1">
      <alignment horizontal="center" vertical="center"/>
    </xf>
    <xf numFmtId="9" fontId="9" fillId="0" borderId="0" xfId="19" applyNumberFormat="1" applyFont="1" applyFill="1" applyBorder="1" applyAlignment="1">
      <alignment horizontal="center" vertical="center"/>
    </xf>
    <xf numFmtId="9" fontId="9" fillId="0" borderId="64" xfId="19" applyNumberFormat="1" applyFont="1" applyFill="1" applyBorder="1" applyAlignment="1">
      <alignment horizontal="center" vertical="center"/>
    </xf>
    <xf numFmtId="9" fontId="0" fillId="0" borderId="51" xfId="19" applyNumberFormat="1" applyFont="1" applyFill="1" applyBorder="1" applyAlignment="1">
      <alignment horizontal="center" vertical="center"/>
    </xf>
    <xf numFmtId="9" fontId="0" fillId="0" borderId="0" xfId="19" applyNumberFormat="1" applyFont="1" applyFill="1" applyBorder="1" applyAlignment="1">
      <alignment horizontal="center" vertical="center"/>
    </xf>
    <xf numFmtId="9" fontId="0" fillId="0" borderId="52" xfId="19" applyNumberFormat="1" applyFont="1" applyFill="1" applyBorder="1" applyAlignment="1">
      <alignment horizontal="center" vertical="center"/>
    </xf>
    <xf numFmtId="9" fontId="9" fillId="0" borderId="51" xfId="19" applyNumberFormat="1" applyFont="1" applyFill="1" applyBorder="1" applyAlignment="1">
      <alignment horizontal="center" vertical="center"/>
    </xf>
    <xf numFmtId="2" fontId="9" fillId="0" borderId="51" xfId="19" applyNumberFormat="1" applyFont="1" applyFill="1" applyBorder="1" applyAlignment="1">
      <alignment horizontal="center" vertical="center"/>
    </xf>
    <xf numFmtId="2" fontId="9" fillId="0" borderId="0" xfId="19" applyNumberFormat="1" applyFont="1" applyFill="1" applyBorder="1" applyAlignment="1">
      <alignment horizontal="center" vertical="center"/>
    </xf>
    <xf numFmtId="2" fontId="9" fillId="0" borderId="64" xfId="19" applyNumberFormat="1" applyFont="1" applyFill="1" applyBorder="1" applyAlignment="1">
      <alignment horizontal="center" vertical="center"/>
    </xf>
    <xf numFmtId="2" fontId="0" fillId="0" borderId="69" xfId="19" applyNumberFormat="1" applyFont="1" applyFill="1" applyBorder="1" applyAlignment="1">
      <alignment horizontal="center" vertical="center"/>
    </xf>
    <xf numFmtId="2" fontId="0" fillId="0" borderId="57" xfId="19" applyNumberFormat="1" applyFont="1" applyFill="1" applyBorder="1" applyAlignment="1">
      <alignment horizontal="center" vertical="center"/>
    </xf>
    <xf numFmtId="2" fontId="0" fillId="0" borderId="62" xfId="19" applyNumberFormat="1" applyFont="1" applyFill="1" applyBorder="1" applyAlignment="1">
      <alignment horizontal="center" vertical="center"/>
    </xf>
    <xf numFmtId="2" fontId="9" fillId="0" borderId="69" xfId="19" applyNumberFormat="1" applyFont="1" applyFill="1" applyBorder="1" applyAlignment="1">
      <alignment horizontal="center" vertical="center"/>
    </xf>
    <xf numFmtId="2" fontId="9" fillId="0" borderId="57" xfId="19" applyNumberFormat="1" applyFont="1" applyFill="1" applyBorder="1" applyAlignment="1">
      <alignment horizontal="center" vertical="center"/>
    </xf>
    <xf numFmtId="2" fontId="9" fillId="0" borderId="65" xfId="19" applyNumberFormat="1" applyFont="1" applyFill="1" applyBorder="1" applyAlignment="1">
      <alignment horizontal="center" vertical="center"/>
    </xf>
    <xf numFmtId="2" fontId="0" fillId="15" borderId="69" xfId="19" applyNumberFormat="1" applyFont="1" applyFill="1" applyBorder="1" applyAlignment="1">
      <alignment horizontal="center" vertical="center"/>
    </xf>
    <xf numFmtId="2" fontId="0" fillId="15" borderId="57" xfId="19" applyNumberFormat="1" applyFont="1" applyFill="1" applyBorder="1" applyAlignment="1">
      <alignment horizontal="center" vertical="center"/>
    </xf>
    <xf numFmtId="2" fontId="0" fillId="15" borderId="62" xfId="19" applyNumberFormat="1" applyFont="1" applyFill="1" applyBorder="1" applyAlignment="1">
      <alignment horizontal="center" vertical="center"/>
    </xf>
    <xf numFmtId="9" fontId="0" fillId="15" borderId="51" xfId="19" applyNumberFormat="1" applyFont="1" applyFill="1" applyBorder="1" applyAlignment="1">
      <alignment horizontal="center" vertical="center"/>
    </xf>
    <xf numFmtId="9" fontId="0" fillId="15" borderId="0" xfId="19" applyNumberFormat="1" applyFont="1" applyFill="1" applyBorder="1" applyAlignment="1">
      <alignment horizontal="center" vertical="center"/>
    </xf>
    <xf numFmtId="9" fontId="0" fillId="15" borderId="52" xfId="19" applyNumberFormat="1" applyFont="1" applyFill="1" applyBorder="1" applyAlignment="1">
      <alignment horizontal="center" vertical="center"/>
    </xf>
    <xf numFmtId="2" fontId="0" fillId="15" borderId="51" xfId="19" applyNumberFormat="1" applyFont="1" applyFill="1" applyBorder="1" applyAlignment="1">
      <alignment horizontal="center" vertical="center"/>
    </xf>
    <xf numFmtId="2" fontId="0" fillId="15" borderId="0" xfId="19" applyNumberFormat="1" applyFont="1" applyFill="1" applyBorder="1" applyAlignment="1">
      <alignment horizontal="center" vertical="center"/>
    </xf>
    <xf numFmtId="2" fontId="0" fillId="15" borderId="52" xfId="19" applyNumberFormat="1" applyFont="1" applyFill="1" applyBorder="1" applyAlignment="1">
      <alignment horizontal="center" vertical="center"/>
    </xf>
    <xf numFmtId="0" fontId="0" fillId="15" borderId="54" xfId="0" applyFill="1" applyBorder="1" applyAlignment="1">
      <alignment horizontal="center" vertical="center"/>
    </xf>
    <xf numFmtId="9" fontId="9" fillId="15" borderId="0" xfId="19" applyNumberFormat="1" applyFont="1" applyFill="1" applyBorder="1" applyAlignment="1">
      <alignment horizontal="center" vertical="center"/>
    </xf>
    <xf numFmtId="9" fontId="9" fillId="15" borderId="64" xfId="19" applyNumberFormat="1" applyFont="1" applyFill="1" applyBorder="1" applyAlignment="1">
      <alignment horizontal="center" vertical="center"/>
    </xf>
    <xf numFmtId="9" fontId="9" fillId="15" borderId="51" xfId="19" applyNumberFormat="1" applyFont="1" applyFill="1" applyBorder="1" applyAlignment="1">
      <alignment horizontal="center" vertical="center"/>
    </xf>
    <xf numFmtId="2" fontId="9" fillId="15" borderId="51" xfId="19" applyNumberFormat="1" applyFont="1" applyFill="1" applyBorder="1" applyAlignment="1">
      <alignment horizontal="center" vertical="center"/>
    </xf>
    <xf numFmtId="2" fontId="9" fillId="15" borderId="0" xfId="19" applyNumberFormat="1" applyFont="1" applyFill="1" applyBorder="1" applyAlignment="1">
      <alignment horizontal="center" vertical="center"/>
    </xf>
    <xf numFmtId="2" fontId="9" fillId="15" borderId="64" xfId="19" applyNumberFormat="1" applyFont="1" applyFill="1" applyBorder="1" applyAlignment="1">
      <alignment horizontal="center" vertical="center"/>
    </xf>
    <xf numFmtId="2" fontId="9" fillId="15" borderId="69" xfId="19" applyNumberFormat="1" applyFont="1" applyFill="1" applyBorder="1" applyAlignment="1">
      <alignment horizontal="center" vertical="center"/>
    </xf>
    <xf numFmtId="2" fontId="9" fillId="15" borderId="57" xfId="19" applyNumberFormat="1" applyFont="1" applyFill="1" applyBorder="1" applyAlignment="1">
      <alignment horizontal="center" vertical="center"/>
    </xf>
    <xf numFmtId="2" fontId="9" fillId="15" borderId="65" xfId="19" applyNumberFormat="1" applyFont="1" applyFill="1" applyBorder="1" applyAlignment="1">
      <alignment horizontal="center" vertical="center"/>
    </xf>
    <xf numFmtId="0" fontId="74" fillId="0" borderId="75" xfId="0" applyFont="1" applyBorder="1" applyAlignment="1">
      <alignment horizontal="center" indent="1"/>
    </xf>
    <xf numFmtId="0" fontId="74" fillId="0" borderId="76" xfId="0" applyFont="1" applyBorder="1" applyAlignment="1">
      <alignment horizontal="center" indent="1"/>
    </xf>
    <xf numFmtId="0" fontId="75" fillId="0" borderId="0" xfId="0" applyFont="1" applyAlignment="1">
      <alignment horizontal="left" vertical="center" wrapText="1" indent="1"/>
    </xf>
    <xf numFmtId="0" fontId="82" fillId="0" borderId="0" xfId="0" applyFont="1" applyAlignment="1">
      <alignment horizontal="center" vertical="center" wrapText="1"/>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10" fillId="0" borderId="0" xfId="7" applyBorder="1" applyAlignment="1">
      <alignment horizontal="left" vertical="center" indent="1"/>
    </xf>
    <xf numFmtId="0" fontId="4" fillId="6" borderId="64" xfId="13" applyNumberFormat="1" applyBorder="1" applyAlignment="1">
      <alignment horizontal="center" vertical="center" wrapText="1"/>
    </xf>
    <xf numFmtId="0" fontId="4" fillId="6" borderId="64" xfId="13" applyNumberFormat="1" applyBorder="1" applyAlignment="1">
      <alignment horizontal="center" vertical="center"/>
    </xf>
    <xf numFmtId="0" fontId="4" fillId="6" borderId="63" xfId="13" applyNumberFormat="1" applyBorder="1" applyAlignment="1">
      <alignment horizontal="center" vertical="center"/>
    </xf>
    <xf numFmtId="1" fontId="0" fillId="0" borderId="0" xfId="0" applyNumberFormat="1" applyAlignment="1">
      <alignment horizontal="center" vertical="center"/>
    </xf>
    <xf numFmtId="1" fontId="0" fillId="0" borderId="52" xfId="0" applyNumberFormat="1" applyBorder="1" applyAlignment="1">
      <alignment horizontal="center" vertical="center"/>
    </xf>
    <xf numFmtId="0" fontId="81" fillId="0" borderId="56" xfId="0" applyFont="1" applyBorder="1" applyAlignment="1">
      <alignment horizontal="center" vertical="center"/>
    </xf>
    <xf numFmtId="0" fontId="81" fillId="0" borderId="0" xfId="0" applyFont="1" applyAlignment="1">
      <alignment horizontal="center" vertical="center"/>
    </xf>
    <xf numFmtId="1" fontId="69" fillId="17" borderId="0" xfId="13" applyNumberFormat="1" applyFont="1" applyFill="1" applyBorder="1" applyAlignment="1">
      <alignment horizontal="center" vertical="center"/>
    </xf>
    <xf numFmtId="1" fontId="69" fillId="17" borderId="57" xfId="13" applyNumberFormat="1" applyFont="1" applyFill="1" applyBorder="1" applyAlignment="1">
      <alignment horizontal="center" vertical="center"/>
    </xf>
    <xf numFmtId="1" fontId="54" fillId="17" borderId="0" xfId="13" applyNumberFormat="1" applyFont="1" applyFill="1" applyBorder="1" applyAlignment="1">
      <alignment horizontal="center" vertical="center"/>
    </xf>
    <xf numFmtId="0" fontId="0" fillId="0" borderId="64" xfId="0" applyBorder="1" applyAlignment="1">
      <alignment horizontal="center" vertical="center" wrapText="1"/>
    </xf>
    <xf numFmtId="0" fontId="4" fillId="6" borderId="55" xfId="13" applyNumberFormat="1" applyBorder="1" applyAlignment="1">
      <alignment horizontal="center" vertical="center" wrapText="1"/>
    </xf>
    <xf numFmtId="0" fontId="4" fillId="6" borderId="65" xfId="13" applyNumberFormat="1" applyBorder="1" applyAlignment="1">
      <alignment horizontal="center" vertical="center"/>
    </xf>
    <xf numFmtId="0" fontId="49" fillId="0" borderId="0" xfId="7" applyFont="1">
      <alignment horizontal="left" vertical="center" indent="1"/>
    </xf>
    <xf numFmtId="0" fontId="0" fillId="0" borderId="55" xfId="0" applyBorder="1" applyAlignment="1">
      <alignment horizontal="center" vertical="top" wrapText="1"/>
    </xf>
    <xf numFmtId="0" fontId="0" fillId="0" borderId="57" xfId="0" applyBorder="1" applyAlignment="1">
      <alignment horizontal="center" vertical="top" wrapText="1"/>
    </xf>
    <xf numFmtId="0" fontId="0" fillId="0" borderId="65" xfId="0" applyBorder="1" applyAlignment="1">
      <alignment horizontal="center" vertical="top" wrapText="1"/>
    </xf>
  </cellXfs>
  <cellStyles count="22">
    <cellStyle name="Accent1" xfId="2" builtinId="29"/>
    <cellStyle name="Comma" xfId="4" builtinId="3" customBuiltin="1"/>
    <cellStyle name="Comma [0]" xfId="19" builtinId="6" customBuiltin="1"/>
    <cellStyle name="Currency" xfId="5" builtinId="4" customBuiltin="1"/>
    <cellStyle name="Currency [0]" xfId="6" builtinId="7" customBuiltin="1"/>
    <cellStyle name="Explanatory Text" xfId="18" builtinId="53" customBuiltin="1"/>
    <cellStyle name="Hdg1" xfId="15" xr:uid="{CB408DF5-1995-4748-9EB8-7EEEAD89AE90}"/>
    <cellStyle name="Hdg2" xfId="14" xr:uid="{428C100C-E1D2-4B15-ADBF-9E3CF0E5B838}"/>
    <cellStyle name="Heading 1" xfId="8" builtinId="16" customBuiltin="1"/>
    <cellStyle name="Heading 2" xfId="9" builtinId="17" customBuiltin="1"/>
    <cellStyle name="Heading 3" xfId="10" builtinId="18" hidden="1"/>
    <cellStyle name="Heading 4" xfId="11" builtinId="19" hidden="1"/>
    <cellStyle name="Hyperlink" xfId="7" builtinId="8"/>
    <cellStyle name="Hyperlink 2" xfId="16" xr:uid="{65383806-1D57-4966-BDDD-5291951B844F}"/>
    <cellStyle name="Normal" xfId="0" builtinId="0" customBuiltin="1"/>
    <cellStyle name="Normal No Indent" xfId="20" xr:uid="{0BC1605A-6FDB-41AA-BA6F-5CD4520B0880}"/>
    <cellStyle name="Note" xfId="21" builtinId="10"/>
    <cellStyle name="Percent" xfId="1" builtinId="5"/>
    <cellStyle name="Percent 3" xfId="17" xr:uid="{F8123C25-985C-4B3C-8791-33E290122B2F}"/>
    <cellStyle name="Table Header" xfId="13" xr:uid="{1C30379B-656C-4BCC-8665-DAAC1F4AB9FE}"/>
    <cellStyle name="Title" xfId="3" builtinId="15" customBuiltin="1"/>
    <cellStyle name="Total" xfId="12" builtinId="25" hidden="1"/>
  </cellStyles>
  <dxfs count="10">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center" textRotation="0" wrapText="0" indent="0" justifyLastLine="0" shrinkToFit="0" readingOrder="0"/>
      <border diagonalUp="0" diagonalDown="0">
        <left/>
        <right/>
        <top/>
        <bottom/>
        <vertical/>
        <horizontal/>
      </border>
    </dxf>
    <dxf>
      <font>
        <b/>
        <i val="0"/>
        <color auto="1"/>
      </font>
      <fill>
        <patternFill>
          <bgColor theme="2" tint="0.59996337778862885"/>
        </patternFill>
      </fill>
    </dxf>
    <dxf>
      <border>
        <bottom style="thin">
          <color theme="1" tint="-0.24994659260841701"/>
        </bottom>
      </border>
    </dxf>
  </dxfs>
  <tableStyles count="1" defaultTableStyle="TableStyleMedium2" defaultPivotStyle="PivotStyleLight16">
    <tableStyle name="Table Style 1" pivot="0" count="2" xr9:uid="{63DC04B6-0132-4241-8F11-FC71DBB45638}">
      <tableStyleElement type="wholeTable" dxfId="9"/>
      <tableStyleElement type="headerRow"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85818734304871"/>
          <c:y val="0.39796730725777729"/>
          <c:w val="0.41804317478561642"/>
          <c:h val="0.599673323243881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427-4EF6-861B-AB2BC22CA05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427-4EF6-861B-AB2BC22CA05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427-4EF6-861B-AB2BC22CA05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427-4EF6-861B-AB2BC22CA05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427-4EF6-861B-AB2BC22CA05C}"/>
              </c:ext>
            </c:extLst>
          </c:dPt>
          <c:dLbls>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427-4EF6-861B-AB2BC22CA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Summary'!$E$146:$E$150</c:f>
              <c:strCache>
                <c:ptCount val="4"/>
                <c:pt idx="0">
                  <c:v>Travel Time</c:v>
                </c:pt>
                <c:pt idx="1">
                  <c:v>Safety</c:v>
                </c:pt>
                <c:pt idx="2">
                  <c:v>Residual Value</c:v>
                </c:pt>
                <c:pt idx="3">
                  <c:v>O&amp;M</c:v>
                </c:pt>
              </c:strCache>
            </c:strRef>
          </c:cat>
          <c:val>
            <c:numRef>
              <c:f>'Results Summary'!$F$146:$F$150</c:f>
              <c:numCache>
                <c:formatCode>"$"#,##0</c:formatCode>
                <c:ptCount val="5"/>
                <c:pt idx="0">
                  <c:v>255776493.28562629</c:v>
                </c:pt>
                <c:pt idx="1">
                  <c:v>8158544.5178865474</c:v>
                </c:pt>
                <c:pt idx="2">
                  <c:v>6285905.0644185329</c:v>
                </c:pt>
                <c:pt idx="3">
                  <c:v>5834022.6027569557</c:v>
                </c:pt>
              </c:numCache>
            </c:numRef>
          </c:val>
          <c:extLst>
            <c:ext xmlns:c16="http://schemas.microsoft.com/office/drawing/2014/chart" uri="{C3380CC4-5D6E-409C-BE32-E72D297353CC}">
              <c16:uniqueId val="{0000000A-C427-4EF6-861B-AB2BC22CA05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3511570186386E-2"/>
          <c:y val="3.2080464428574797E-2"/>
          <c:w val="0.93356213737242022"/>
          <c:h val="0.8042039161181459"/>
        </c:manualLayout>
      </c:layout>
      <c:barChart>
        <c:barDir val="col"/>
        <c:grouping val="stacked"/>
        <c:varyColors val="0"/>
        <c:ser>
          <c:idx val="9"/>
          <c:order val="0"/>
          <c:tx>
            <c:strRef>
              <c:f>'Results Summary'!$C$140</c:f>
              <c:strCache>
                <c:ptCount val="1"/>
                <c:pt idx="0">
                  <c:v>Capital Costs</c:v>
                </c:pt>
              </c:strCache>
            </c:strRef>
          </c:tx>
          <c:spPr>
            <a:solidFill>
              <a:schemeClr val="accent4">
                <a:lumMod val="60000"/>
              </a:schemeClr>
            </a:solidFill>
            <a:ln>
              <a:noFill/>
            </a:ln>
            <a:effectLst/>
          </c:spPr>
          <c:invertIfNegative val="0"/>
          <c:cat>
            <c:numRef>
              <c:f>'Results Summary'!$F$73:$AF$73</c:f>
              <c:numCache>
                <c:formatCode>0</c:formatCode>
                <c:ptCount val="2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numCache>
            </c:numRef>
          </c:cat>
          <c:val>
            <c:numRef>
              <c:f>'Results Summary'!$F$140:$AG$140</c:f>
              <c:numCache>
                <c:formatCode>"$"#,##0</c:formatCode>
                <c:ptCount val="28"/>
                <c:pt idx="0">
                  <c:v>0</c:v>
                </c:pt>
                <c:pt idx="1">
                  <c:v>-935484.23278378847</c:v>
                </c:pt>
                <c:pt idx="2">
                  <c:v>-2115566.2838574685</c:v>
                </c:pt>
                <c:pt idx="3">
                  <c:v>-1392772.169301922</c:v>
                </c:pt>
                <c:pt idx="4">
                  <c:v>-14776676.532966124</c:v>
                </c:pt>
                <c:pt idx="5">
                  <c:v>-14332372.97086918</c:v>
                </c:pt>
                <c:pt idx="6">
                  <c:v>-6985854.4538144451</c:v>
                </c:pt>
                <c:pt idx="7">
                  <c:v>-3067517.1340521304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F0BF-4A4C-A9AB-F3DA8AB7410C}"/>
            </c:ext>
          </c:extLst>
        </c:ser>
        <c:ser>
          <c:idx val="0"/>
          <c:order val="1"/>
          <c:tx>
            <c:strRef>
              <c:f>'Results Summary'!$C$139</c:f>
              <c:strCache>
                <c:ptCount val="1"/>
                <c:pt idx="0">
                  <c:v>Partial Build Benefits</c:v>
                </c:pt>
              </c:strCache>
            </c:strRef>
          </c:tx>
          <c:spPr>
            <a:solidFill>
              <a:schemeClr val="accent1"/>
            </a:solidFill>
            <a:ln>
              <a:noFill/>
            </a:ln>
            <a:effectLst/>
          </c:spPr>
          <c:invertIfNegative val="0"/>
          <c:cat>
            <c:numRef>
              <c:f>'Results Summary'!$F$73:$AF$73</c:f>
              <c:numCache>
                <c:formatCode>0</c:formatCode>
                <c:ptCount val="2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numCache>
            </c:numRef>
          </c:cat>
          <c:val>
            <c:numRef>
              <c:f>'Results Summary'!$F$139:$AG$139</c:f>
              <c:numCache>
                <c:formatCode>"$"#,##0</c:formatCode>
                <c:ptCount val="28"/>
                <c:pt idx="0">
                  <c:v>0</c:v>
                </c:pt>
                <c:pt idx="1">
                  <c:v>0</c:v>
                </c:pt>
                <c:pt idx="2">
                  <c:v>0</c:v>
                </c:pt>
                <c:pt idx="3">
                  <c:v>0</c:v>
                </c:pt>
                <c:pt idx="4">
                  <c:v>2135439.3562626322</c:v>
                </c:pt>
                <c:pt idx="5">
                  <c:v>0</c:v>
                </c:pt>
                <c:pt idx="6">
                  <c:v>0</c:v>
                </c:pt>
                <c:pt idx="7">
                  <c:v>-5496774.3843893036</c:v>
                </c:pt>
                <c:pt idx="8">
                  <c:v>-922200.31482886185</c:v>
                </c:pt>
                <c:pt idx="9">
                  <c:v>-1513942.3202900554</c:v>
                </c:pt>
                <c:pt idx="10">
                  <c:v>3345555.8014783254</c:v>
                </c:pt>
                <c:pt idx="11">
                  <c:v>8261078.3253311645</c:v>
                </c:pt>
                <c:pt idx="12">
                  <c:v>12946341.065848339</c:v>
                </c:pt>
                <c:pt idx="13">
                  <c:v>14377312.739668677</c:v>
                </c:pt>
                <c:pt idx="14">
                  <c:v>20079047.544546362</c:v>
                </c:pt>
                <c:pt idx="15">
                  <c:v>15215272.556823175</c:v>
                </c:pt>
                <c:pt idx="16">
                  <c:v>14730212.474165294</c:v>
                </c:pt>
                <c:pt idx="17">
                  <c:v>14442402.435285112</c:v>
                </c:pt>
                <c:pt idx="18">
                  <c:v>14676842.503369085</c:v>
                </c:pt>
                <c:pt idx="19">
                  <c:v>14858852.661099382</c:v>
                </c:pt>
                <c:pt idx="20">
                  <c:v>15185540.327262893</c:v>
                </c:pt>
                <c:pt idx="21">
                  <c:v>15466924.640186373</c:v>
                </c:pt>
                <c:pt idx="22">
                  <c:v>15764388.635474699</c:v>
                </c:pt>
                <c:pt idx="23">
                  <c:v>16092169.882918555</c:v>
                </c:pt>
                <c:pt idx="24">
                  <c:v>16234891.442414148</c:v>
                </c:pt>
                <c:pt idx="25">
                  <c:v>15874867.198044673</c:v>
                </c:pt>
                <c:pt idx="26">
                  <c:v>17262335.539108068</c:v>
                </c:pt>
                <c:pt idx="27">
                  <c:v>24022545.68325318</c:v>
                </c:pt>
              </c:numCache>
            </c:numRef>
          </c:val>
          <c:extLst>
            <c:ext xmlns:c16="http://schemas.microsoft.com/office/drawing/2014/chart" uri="{C3380CC4-5D6E-409C-BE32-E72D297353CC}">
              <c16:uniqueId val="{00000001-F0BF-4A4C-A9AB-F3DA8AB7410C}"/>
            </c:ext>
          </c:extLst>
        </c:ser>
        <c:dLbls>
          <c:showLegendKey val="0"/>
          <c:showVal val="0"/>
          <c:showCatName val="0"/>
          <c:showSerName val="0"/>
          <c:showPercent val="0"/>
          <c:showBubbleSize val="0"/>
        </c:dLbls>
        <c:gapWidth val="50"/>
        <c:overlap val="100"/>
        <c:axId val="488357968"/>
        <c:axId val="488359216"/>
      </c:barChart>
      <c:catAx>
        <c:axId val="488357968"/>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9216"/>
        <c:crosses val="autoZero"/>
        <c:auto val="1"/>
        <c:lblAlgn val="ctr"/>
        <c:lblOffset val="100"/>
        <c:tickMarkSkip val="5"/>
        <c:noMultiLvlLbl val="0"/>
      </c:catAx>
      <c:valAx>
        <c:axId val="488359216"/>
        <c:scaling>
          <c:orientation val="minMax"/>
        </c:scaling>
        <c:delete val="0"/>
        <c:axPos val="l"/>
        <c:majorGridlines>
          <c:spPr>
            <a:ln w="9525" cap="flat" cmpd="sng" algn="ctr">
              <a:noFill/>
              <a:round/>
            </a:ln>
            <a:effectLst/>
          </c:spPr>
        </c:majorGridlines>
        <c:numFmt formatCode="&quot;$&quot;#,##0,,\ &quot;M&quot;;\-&quot;$&quot;#,##0,,\ &quot;M&quot;;&quot;$&quot;\ 0" sourceLinked="0"/>
        <c:majorTickMark val="none"/>
        <c:minorTickMark val="none"/>
        <c:tickLblPos val="nextTo"/>
        <c:spPr>
          <a:noFill/>
          <a:ln w="6350">
            <a:solidFill>
              <a:schemeClr val="bg2">
                <a:lumMod val="7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7968"/>
        <c:crosses val="autoZero"/>
        <c:crossBetween val="between"/>
        <c:majorUnit val="10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85818734304871"/>
          <c:y val="0.39796730725777729"/>
          <c:w val="0.41804317478561642"/>
          <c:h val="0.599673323243881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3A-46DE-B6AA-96770E0890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3A-46DE-B6AA-96770E0890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3A-46DE-B6AA-96770E08905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F3A-46DE-B6AA-96770E08905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F3A-46DE-B6AA-96770E08905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Summary'!$E$163:$E$167</c:f>
              <c:strCache>
                <c:ptCount val="4"/>
                <c:pt idx="0">
                  <c:v>Travel Time</c:v>
                </c:pt>
                <c:pt idx="1">
                  <c:v>Safety</c:v>
                </c:pt>
                <c:pt idx="2">
                  <c:v>Residual Value</c:v>
                </c:pt>
                <c:pt idx="3">
                  <c:v>O&amp;M</c:v>
                </c:pt>
              </c:strCache>
            </c:strRef>
          </c:cat>
          <c:val>
            <c:numRef>
              <c:f>'Results Summary'!$F$163:$F$167</c:f>
              <c:numCache>
                <c:formatCode>"$"#,##0</c:formatCode>
                <c:ptCount val="5"/>
                <c:pt idx="0">
                  <c:v>317300987.9807409</c:v>
                </c:pt>
                <c:pt idx="1">
                  <c:v>94654122.303212166</c:v>
                </c:pt>
                <c:pt idx="2">
                  <c:v>10454158.556024067</c:v>
                </c:pt>
                <c:pt idx="3">
                  <c:v>5115735.1334823649</c:v>
                </c:pt>
              </c:numCache>
            </c:numRef>
          </c:val>
          <c:extLst>
            <c:ext xmlns:c16="http://schemas.microsoft.com/office/drawing/2014/chart" uri="{C3380CC4-5D6E-409C-BE32-E72D297353CC}">
              <c16:uniqueId val="{0000000A-9F3A-46DE-B6AA-96770E08905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3511570186386E-2"/>
          <c:y val="3.2080464428574797E-2"/>
          <c:w val="0.93356213737242022"/>
          <c:h val="0.8042039161181459"/>
        </c:manualLayout>
      </c:layout>
      <c:barChart>
        <c:barDir val="col"/>
        <c:grouping val="stacked"/>
        <c:varyColors val="0"/>
        <c:ser>
          <c:idx val="9"/>
          <c:order val="0"/>
          <c:tx>
            <c:strRef>
              <c:f>'Results Summary'!$C$157</c:f>
              <c:strCache>
                <c:ptCount val="1"/>
                <c:pt idx="0">
                  <c:v>Capital Costs</c:v>
                </c:pt>
              </c:strCache>
            </c:strRef>
          </c:tx>
          <c:spPr>
            <a:solidFill>
              <a:schemeClr val="accent4">
                <a:lumMod val="60000"/>
              </a:schemeClr>
            </a:solidFill>
            <a:ln>
              <a:noFill/>
            </a:ln>
            <a:effectLst/>
          </c:spPr>
          <c:invertIfNegative val="0"/>
          <c:cat>
            <c:numRef>
              <c:f>'Results Summary'!$F$73:$AF$73</c:f>
              <c:numCache>
                <c:formatCode>0</c:formatCode>
                <c:ptCount val="2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numCache>
            </c:numRef>
          </c:cat>
          <c:val>
            <c:numRef>
              <c:f>'Results Summary'!$F$157:$AG$157</c:f>
              <c:numCache>
                <c:formatCode>"$"#,##0</c:formatCode>
                <c:ptCount val="28"/>
                <c:pt idx="0">
                  <c:v>0</c:v>
                </c:pt>
                <c:pt idx="1">
                  <c:v>-2025440.7629228919</c:v>
                </c:pt>
                <c:pt idx="2">
                  <c:v>-4255374.6799478084</c:v>
                </c:pt>
                <c:pt idx="3">
                  <c:v>-2442844.4920212282</c:v>
                </c:pt>
                <c:pt idx="4">
                  <c:v>-28151884.654615544</c:v>
                </c:pt>
                <c:pt idx="5">
                  <c:v>-27305416.735805571</c:v>
                </c:pt>
                <c:pt idx="6">
                  <c:v>-6985854.4538144451</c:v>
                </c:pt>
                <c:pt idx="7">
                  <c:v>-3067517.1340521304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137F-431A-BE53-D3A9FA926776}"/>
            </c:ext>
          </c:extLst>
        </c:ser>
        <c:ser>
          <c:idx val="0"/>
          <c:order val="1"/>
          <c:tx>
            <c:strRef>
              <c:f>'Results Summary'!$C$156</c:f>
              <c:strCache>
                <c:ptCount val="1"/>
                <c:pt idx="0">
                  <c:v>Full Build Benefits</c:v>
                </c:pt>
              </c:strCache>
            </c:strRef>
          </c:tx>
          <c:spPr>
            <a:solidFill>
              <a:schemeClr val="accent1"/>
            </a:solidFill>
            <a:ln>
              <a:noFill/>
            </a:ln>
            <a:effectLst/>
          </c:spPr>
          <c:invertIfNegative val="0"/>
          <c:cat>
            <c:numRef>
              <c:f>'Results Summary'!$F$73:$AF$73</c:f>
              <c:numCache>
                <c:formatCode>0</c:formatCode>
                <c:ptCount val="2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numCache>
            </c:numRef>
          </c:cat>
          <c:val>
            <c:numRef>
              <c:f>'Results Summary'!$F$156:$AG$156</c:f>
              <c:numCache>
                <c:formatCode>"$"#,##0</c:formatCode>
                <c:ptCount val="28"/>
                <c:pt idx="0">
                  <c:v>0</c:v>
                </c:pt>
                <c:pt idx="1">
                  <c:v>0</c:v>
                </c:pt>
                <c:pt idx="2">
                  <c:v>0</c:v>
                </c:pt>
                <c:pt idx="3">
                  <c:v>0</c:v>
                </c:pt>
                <c:pt idx="4">
                  <c:v>2135439.3562626322</c:v>
                </c:pt>
                <c:pt idx="5">
                  <c:v>0</c:v>
                </c:pt>
                <c:pt idx="6">
                  <c:v>0</c:v>
                </c:pt>
                <c:pt idx="7">
                  <c:v>-7985998.1309583671</c:v>
                </c:pt>
                <c:pt idx="8">
                  <c:v>-1751440.8987014738</c:v>
                </c:pt>
                <c:pt idx="9">
                  <c:v>-2073879.3892686705</c:v>
                </c:pt>
                <c:pt idx="10">
                  <c:v>3856051.4479240105</c:v>
                </c:pt>
                <c:pt idx="11">
                  <c:v>9967379.7970487569</c:v>
                </c:pt>
                <c:pt idx="12">
                  <c:v>16199701.380319968</c:v>
                </c:pt>
                <c:pt idx="13">
                  <c:v>19935985.997010805</c:v>
                </c:pt>
                <c:pt idx="14">
                  <c:v>28948505.23804009</c:v>
                </c:pt>
                <c:pt idx="15">
                  <c:v>25403770.924670652</c:v>
                </c:pt>
                <c:pt idx="16">
                  <c:v>24975163.927168515</c:v>
                </c:pt>
                <c:pt idx="17">
                  <c:v>24755319.354989693</c:v>
                </c:pt>
                <c:pt idx="18">
                  <c:v>25093702.184318691</c:v>
                </c:pt>
                <c:pt idx="19">
                  <c:v>25394350.358503014</c:v>
                </c:pt>
                <c:pt idx="20">
                  <c:v>25930403.648473799</c:v>
                </c:pt>
                <c:pt idx="21">
                  <c:v>26453005.060041744</c:v>
                </c:pt>
                <c:pt idx="22">
                  <c:v>27248024.957320929</c:v>
                </c:pt>
                <c:pt idx="23">
                  <c:v>28213503.573880438</c:v>
                </c:pt>
                <c:pt idx="24">
                  <c:v>28845669.125535861</c:v>
                </c:pt>
                <c:pt idx="25">
                  <c:v>29451377.865873016</c:v>
                </c:pt>
                <c:pt idx="26">
                  <c:v>32285525.513148509</c:v>
                </c:pt>
                <c:pt idx="27">
                  <c:v>44637840.53018254</c:v>
                </c:pt>
              </c:numCache>
            </c:numRef>
          </c:val>
          <c:extLst>
            <c:ext xmlns:c16="http://schemas.microsoft.com/office/drawing/2014/chart" uri="{C3380CC4-5D6E-409C-BE32-E72D297353CC}">
              <c16:uniqueId val="{00000001-137F-431A-BE53-D3A9FA926776}"/>
            </c:ext>
          </c:extLst>
        </c:ser>
        <c:dLbls>
          <c:showLegendKey val="0"/>
          <c:showVal val="0"/>
          <c:showCatName val="0"/>
          <c:showSerName val="0"/>
          <c:showPercent val="0"/>
          <c:showBubbleSize val="0"/>
        </c:dLbls>
        <c:gapWidth val="50"/>
        <c:overlap val="100"/>
        <c:axId val="488357968"/>
        <c:axId val="488359216"/>
      </c:barChart>
      <c:catAx>
        <c:axId val="488357968"/>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9216"/>
        <c:crosses val="autoZero"/>
        <c:auto val="1"/>
        <c:lblAlgn val="ctr"/>
        <c:lblOffset val="100"/>
        <c:tickMarkSkip val="5"/>
        <c:noMultiLvlLbl val="0"/>
      </c:catAx>
      <c:valAx>
        <c:axId val="488359216"/>
        <c:scaling>
          <c:orientation val="minMax"/>
        </c:scaling>
        <c:delete val="0"/>
        <c:axPos val="l"/>
        <c:majorGridlines>
          <c:spPr>
            <a:ln w="9525" cap="flat" cmpd="sng" algn="ctr">
              <a:noFill/>
              <a:round/>
            </a:ln>
            <a:effectLst/>
          </c:spPr>
        </c:majorGridlines>
        <c:numFmt formatCode="&quot;$&quot;#,##0,,\ &quot;M&quot;;\-&quot;$&quot;#,##0,,\ &quot;M&quot;;&quot;$&quot;\ 0" sourceLinked="0"/>
        <c:majorTickMark val="none"/>
        <c:minorTickMark val="none"/>
        <c:tickLblPos val="nextTo"/>
        <c:spPr>
          <a:noFill/>
          <a:ln w="6350">
            <a:solidFill>
              <a:schemeClr val="bg2">
                <a:lumMod val="7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7968"/>
        <c:crosses val="autoZero"/>
        <c:crossBetween val="between"/>
        <c:majorUnit val="10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Crash History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'Crash Data'!$S$10:$S$14</c:f>
              <c:numCache>
                <c:formatCode>General</c:formatCode>
                <c:ptCount val="5"/>
                <c:pt idx="0">
                  <c:v>2017</c:v>
                </c:pt>
                <c:pt idx="1">
                  <c:v>2018</c:v>
                </c:pt>
                <c:pt idx="2">
                  <c:v>2019</c:v>
                </c:pt>
                <c:pt idx="3">
                  <c:v>2020</c:v>
                </c:pt>
                <c:pt idx="4">
                  <c:v>2021</c:v>
                </c:pt>
              </c:numCache>
            </c:numRef>
          </c:cat>
          <c:val>
            <c:numRef>
              <c:f>'Crash Data'!$T$10:$T$14</c:f>
              <c:numCache>
                <c:formatCode>General</c:formatCode>
                <c:ptCount val="5"/>
                <c:pt idx="0">
                  <c:v>6</c:v>
                </c:pt>
                <c:pt idx="1">
                  <c:v>12</c:v>
                </c:pt>
                <c:pt idx="2">
                  <c:v>11</c:v>
                </c:pt>
                <c:pt idx="3">
                  <c:v>11</c:v>
                </c:pt>
                <c:pt idx="4">
                  <c:v>9</c:v>
                </c:pt>
              </c:numCache>
            </c:numRef>
          </c:val>
          <c:smooth val="0"/>
          <c:extLst>
            <c:ext xmlns:c16="http://schemas.microsoft.com/office/drawing/2014/chart" uri="{C3380CC4-5D6E-409C-BE32-E72D297353CC}">
              <c16:uniqueId val="{00000000-DCD0-43F3-8D56-0316A29A0CD0}"/>
            </c:ext>
          </c:extLst>
        </c:ser>
        <c:dLbls>
          <c:showLegendKey val="0"/>
          <c:showVal val="0"/>
          <c:showCatName val="0"/>
          <c:showSerName val="0"/>
          <c:showPercent val="0"/>
          <c:showBubbleSize val="0"/>
        </c:dLbls>
        <c:smooth val="0"/>
        <c:axId val="995232432"/>
        <c:axId val="995230632"/>
      </c:lineChart>
      <c:catAx>
        <c:axId val="995232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5230632"/>
        <c:crosses val="autoZero"/>
        <c:auto val="1"/>
        <c:lblAlgn val="ctr"/>
        <c:lblOffset val="100"/>
        <c:noMultiLvlLbl val="0"/>
      </c:catAx>
      <c:valAx>
        <c:axId val="995230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Crashes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523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3" Type="http://schemas.openxmlformats.org/officeDocument/2006/relationships/customXml" Target="../ink/ink1.xml"/><Relationship Id="rId7" Type="http://schemas.openxmlformats.org/officeDocument/2006/relationships/image" Target="../media/image6.png"/><Relationship Id="rId12" Type="http://schemas.openxmlformats.org/officeDocument/2006/relationships/image" Target="../media/image11.png"/><Relationship Id="rId2" Type="http://schemas.openxmlformats.org/officeDocument/2006/relationships/image" Target="../media/image3.png"/><Relationship Id="rId16" Type="http://schemas.openxmlformats.org/officeDocument/2006/relationships/image" Target="../media/image15.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image" Target="../media/image40.png"/><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664493</xdr:colOff>
      <xdr:row>8</xdr:row>
      <xdr:rowOff>25544</xdr:rowOff>
    </xdr:from>
    <xdr:to>
      <xdr:col>8</xdr:col>
      <xdr:colOff>156209</xdr:colOff>
      <xdr:row>19</xdr:row>
      <xdr:rowOff>9525</xdr:rowOff>
    </xdr:to>
    <xdr:pic>
      <xdr:nvPicPr>
        <xdr:cNvPr id="6" name="Picture 5" descr="ODOT logo | | city-sentinel.com">
          <a:extLst>
            <a:ext uri="{FF2B5EF4-FFF2-40B4-BE49-F238E27FC236}">
              <a16:creationId xmlns:a16="http://schemas.microsoft.com/office/drawing/2014/main" id="{77ED6FF4-8F44-F037-CD77-38BB34C0E6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7693" y="1587644"/>
          <a:ext cx="2234916" cy="1898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884464</xdr:colOff>
      <xdr:row>11</xdr:row>
      <xdr:rowOff>204108</xdr:rowOff>
    </xdr:from>
    <xdr:to>
      <xdr:col>8</xdr:col>
      <xdr:colOff>247106</xdr:colOff>
      <xdr:row>24</xdr:row>
      <xdr:rowOff>40823</xdr:rowOff>
    </xdr:to>
    <xdr:graphicFrame macro="">
      <xdr:nvGraphicFramePr>
        <xdr:cNvPr id="2" name="Chart 5">
          <a:extLst>
            <a:ext uri="{FF2B5EF4-FFF2-40B4-BE49-F238E27FC236}">
              <a16:creationId xmlns:a16="http://schemas.microsoft.com/office/drawing/2014/main" id="{BE0E8846-F90D-465B-9AAC-DF2407694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544286</xdr:colOff>
      <xdr:row>15</xdr:row>
      <xdr:rowOff>40822</xdr:rowOff>
    </xdr:from>
    <xdr:to>
      <xdr:col>15</xdr:col>
      <xdr:colOff>738413</xdr:colOff>
      <xdr:row>27</xdr:row>
      <xdr:rowOff>0</xdr:rowOff>
    </xdr:to>
    <xdr:graphicFrame macro="">
      <xdr:nvGraphicFramePr>
        <xdr:cNvPr id="3" name="Chart 10">
          <a:extLst>
            <a:ext uri="{FF2B5EF4-FFF2-40B4-BE49-F238E27FC236}">
              <a16:creationId xmlns:a16="http://schemas.microsoft.com/office/drawing/2014/main" id="{48F65A56-80C1-4994-89F2-F9B2F119B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884464</xdr:colOff>
      <xdr:row>30</xdr:row>
      <xdr:rowOff>204108</xdr:rowOff>
    </xdr:from>
    <xdr:ext cx="5265965" cy="3374572"/>
    <xdr:graphicFrame macro="">
      <xdr:nvGraphicFramePr>
        <xdr:cNvPr id="4" name="Chart 5">
          <a:extLst>
            <a:ext uri="{FF2B5EF4-FFF2-40B4-BE49-F238E27FC236}">
              <a16:creationId xmlns:a16="http://schemas.microsoft.com/office/drawing/2014/main" id="{32ABE107-AB28-4F93-8111-7E062BFD2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xdr:from>
      <xdr:col>8</xdr:col>
      <xdr:colOff>544286</xdr:colOff>
      <xdr:row>34</xdr:row>
      <xdr:rowOff>40822</xdr:rowOff>
    </xdr:from>
    <xdr:to>
      <xdr:col>15</xdr:col>
      <xdr:colOff>738413</xdr:colOff>
      <xdr:row>46</xdr:row>
      <xdr:rowOff>0</xdr:rowOff>
    </xdr:to>
    <xdr:graphicFrame macro="">
      <xdr:nvGraphicFramePr>
        <xdr:cNvPr id="5" name="Chart 10">
          <a:extLst>
            <a:ext uri="{FF2B5EF4-FFF2-40B4-BE49-F238E27FC236}">
              <a16:creationId xmlns:a16="http://schemas.microsoft.com/office/drawing/2014/main" id="{066B6A99-B728-4365-BBA8-CA7C4E9B3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862854</xdr:colOff>
      <xdr:row>14</xdr:row>
      <xdr:rowOff>202825</xdr:rowOff>
    </xdr:from>
    <xdr:to>
      <xdr:col>23</xdr:col>
      <xdr:colOff>190501</xdr:colOff>
      <xdr:row>24</xdr:row>
      <xdr:rowOff>122143</xdr:rowOff>
    </xdr:to>
    <xdr:graphicFrame macro="">
      <xdr:nvGraphicFramePr>
        <xdr:cNvPr id="54" name="Chart 1">
          <a:extLst>
            <a:ext uri="{FF2B5EF4-FFF2-40B4-BE49-F238E27FC236}">
              <a16:creationId xmlns:a16="http://schemas.microsoft.com/office/drawing/2014/main" id="{1D6514A7-BE6B-94B4-CE04-CFD05ADD3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345892</xdr:colOff>
      <xdr:row>3</xdr:row>
      <xdr:rowOff>133350</xdr:rowOff>
    </xdr:from>
    <xdr:to>
      <xdr:col>7</xdr:col>
      <xdr:colOff>685800</xdr:colOff>
      <xdr:row>27</xdr:row>
      <xdr:rowOff>133776</xdr:rowOff>
    </xdr:to>
    <xdr:grpSp>
      <xdr:nvGrpSpPr>
        <xdr:cNvPr id="2" name="Group 2">
          <a:extLst>
            <a:ext uri="{FF2B5EF4-FFF2-40B4-BE49-F238E27FC236}">
              <a16:creationId xmlns:a16="http://schemas.microsoft.com/office/drawing/2014/main" id="{00000000-0008-0000-0800-000003000000}"/>
            </a:ext>
          </a:extLst>
        </xdr:cNvPr>
        <xdr:cNvGrpSpPr/>
      </xdr:nvGrpSpPr>
      <xdr:grpSpPr>
        <a:xfrm>
          <a:off x="612592" y="986790"/>
          <a:ext cx="6835958" cy="6858426"/>
          <a:chOff x="415291" y="400498"/>
          <a:chExt cx="6800178" cy="6667984"/>
        </a:xfrm>
      </xdr:grpSpPr>
      <xdr:pic>
        <xdr:nvPicPr>
          <xdr:cNvPr id="6"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415291" y="400498"/>
            <a:ext cx="6781412" cy="4528515"/>
          </a:xfrm>
          <a:prstGeom prst="rect">
            <a:avLst/>
          </a:prstGeom>
        </xdr:spPr>
      </xdr:pic>
      <xdr:pic>
        <xdr:nvPicPr>
          <xdr:cNvPr id="7" name="Picture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srcRect t="3011"/>
          <a:stretch/>
        </xdr:blipFill>
        <xdr:spPr>
          <a:xfrm>
            <a:off x="458471" y="4729027"/>
            <a:ext cx="6756998" cy="2339455"/>
          </a:xfrm>
          <a:prstGeom prst="rect">
            <a:avLst/>
          </a:prstGeom>
        </xdr:spPr>
      </xdr:pic>
    </xdr:grpSp>
    <xdr:clientData/>
  </xdr:twoCellAnchor>
  <xdr:oneCellAnchor>
    <xdr:from>
      <xdr:col>9</xdr:col>
      <xdr:colOff>184378</xdr:colOff>
      <xdr:row>8</xdr:row>
      <xdr:rowOff>6500</xdr:rowOff>
    </xdr:from>
    <xdr:ext cx="4785187" cy="1312612"/>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8">
              <a:extLst>
                <a:ext uri="{FF2B5EF4-FFF2-40B4-BE49-F238E27FC236}">
                  <a16:creationId xmlns:a16="http://schemas.microsoft.com/office/drawing/2014/main" id="{042435C9-2572-42F4-B3C3-2D4A1640FBC5}"/>
                </a:ext>
              </a:extLst>
            </xdr14:cNvPr>
            <xdr14:cNvContentPartPr/>
          </xdr14:nvContentPartPr>
          <xdr14:nvPr macro=""/>
          <xdr14:xfrm>
            <a:off x="441139" y="9597761"/>
            <a:ext cx="4785187" cy="1312612"/>
          </xdr14:xfrm>
        </xdr:contentPart>
      </mc:Choice>
      <mc:Fallback xmlns="">
        <xdr:pic>
          <xdr:nvPicPr>
            <xdr:cNvPr id="9" name="Ink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4"/>
            <a:stretch>
              <a:fillRect/>
            </a:stretch>
          </xdr:blipFill>
          <xdr:spPr>
            <a:xfrm>
              <a:off x="436632" y="9544261"/>
              <a:ext cx="4094646" cy="1325539"/>
            </a:xfrm>
            <a:prstGeom prst="rect">
              <a:avLst/>
            </a:prstGeom>
          </xdr:spPr>
        </xdr:pic>
      </mc:Fallback>
    </mc:AlternateContent>
    <xdr:clientData/>
  </xdr:oneCellAnchor>
  <xdr:twoCellAnchor editAs="oneCell">
    <xdr:from>
      <xdr:col>0</xdr:col>
      <xdr:colOff>246530</xdr:colOff>
      <xdr:row>36</xdr:row>
      <xdr:rowOff>5602</xdr:rowOff>
    </xdr:from>
    <xdr:to>
      <xdr:col>9</xdr:col>
      <xdr:colOff>874036</xdr:colOff>
      <xdr:row>37</xdr:row>
      <xdr:rowOff>136995</xdr:rowOff>
    </xdr:to>
    <xdr:pic>
      <xdr:nvPicPr>
        <xdr:cNvPr id="5" name="Picture 4">
          <a:extLst>
            <a:ext uri="{FF2B5EF4-FFF2-40B4-BE49-F238E27FC236}">
              <a16:creationId xmlns:a16="http://schemas.microsoft.com/office/drawing/2014/main" id="{23A7E6B2-46DD-83E6-AB4E-E704948B02C0}"/>
            </a:ext>
          </a:extLst>
        </xdr:cNvPr>
        <xdr:cNvPicPr>
          <a:picLocks noChangeAspect="1"/>
        </xdr:cNvPicPr>
      </xdr:nvPicPr>
      <xdr:blipFill>
        <a:blip xmlns:r="http://schemas.openxmlformats.org/officeDocument/2006/relationships" r:embed="rId5"/>
        <a:stretch>
          <a:fillRect/>
        </a:stretch>
      </xdr:blipFill>
      <xdr:spPr>
        <a:xfrm>
          <a:off x="246530" y="11782984"/>
          <a:ext cx="9166388" cy="422970"/>
        </a:xfrm>
        <a:prstGeom prst="rect">
          <a:avLst/>
        </a:prstGeom>
      </xdr:spPr>
    </xdr:pic>
    <xdr:clientData/>
  </xdr:twoCellAnchor>
  <xdr:twoCellAnchor editAs="oneCell">
    <xdr:from>
      <xdr:col>2</xdr:col>
      <xdr:colOff>457200</xdr:colOff>
      <xdr:row>38</xdr:row>
      <xdr:rowOff>66675</xdr:rowOff>
    </xdr:from>
    <xdr:to>
      <xdr:col>7</xdr:col>
      <xdr:colOff>860336</xdr:colOff>
      <xdr:row>42</xdr:row>
      <xdr:rowOff>76062</xdr:rowOff>
    </xdr:to>
    <xdr:pic>
      <xdr:nvPicPr>
        <xdr:cNvPr id="9" name="Picture 8">
          <a:extLst>
            <a:ext uri="{FF2B5EF4-FFF2-40B4-BE49-F238E27FC236}">
              <a16:creationId xmlns:a16="http://schemas.microsoft.com/office/drawing/2014/main" id="{DA65D9DA-D3E8-F54B-CD81-8FABFF955074}"/>
            </a:ext>
          </a:extLst>
        </xdr:cNvPr>
        <xdr:cNvPicPr>
          <a:picLocks noChangeAspect="1"/>
        </xdr:cNvPicPr>
      </xdr:nvPicPr>
      <xdr:blipFill>
        <a:blip xmlns:r="http://schemas.openxmlformats.org/officeDocument/2006/relationships" r:embed="rId6"/>
        <a:stretch>
          <a:fillRect/>
        </a:stretch>
      </xdr:blipFill>
      <xdr:spPr>
        <a:xfrm>
          <a:off x="1800225" y="12239625"/>
          <a:ext cx="5790476" cy="1114286"/>
        </a:xfrm>
        <a:prstGeom prst="rect">
          <a:avLst/>
        </a:prstGeom>
      </xdr:spPr>
    </xdr:pic>
    <xdr:clientData/>
  </xdr:twoCellAnchor>
  <xdr:twoCellAnchor editAs="oneCell">
    <xdr:from>
      <xdr:col>2</xdr:col>
      <xdr:colOff>571500</xdr:colOff>
      <xdr:row>42</xdr:row>
      <xdr:rowOff>66675</xdr:rowOff>
    </xdr:from>
    <xdr:to>
      <xdr:col>9</xdr:col>
      <xdr:colOff>246792</xdr:colOff>
      <xdr:row>45</xdr:row>
      <xdr:rowOff>171331</xdr:rowOff>
    </xdr:to>
    <xdr:pic>
      <xdr:nvPicPr>
        <xdr:cNvPr id="10" name="Picture 9">
          <a:extLst>
            <a:ext uri="{FF2B5EF4-FFF2-40B4-BE49-F238E27FC236}">
              <a16:creationId xmlns:a16="http://schemas.microsoft.com/office/drawing/2014/main" id="{E454F19C-87A8-C889-9518-A5135E1D8C6E}"/>
            </a:ext>
          </a:extLst>
        </xdr:cNvPr>
        <xdr:cNvPicPr>
          <a:picLocks noChangeAspect="1"/>
        </xdr:cNvPicPr>
      </xdr:nvPicPr>
      <xdr:blipFill>
        <a:blip xmlns:r="http://schemas.openxmlformats.org/officeDocument/2006/relationships" r:embed="rId7"/>
        <a:stretch>
          <a:fillRect/>
        </a:stretch>
      </xdr:blipFill>
      <xdr:spPr>
        <a:xfrm>
          <a:off x="1914525" y="13344525"/>
          <a:ext cx="6866667" cy="942857"/>
        </a:xfrm>
        <a:prstGeom prst="rect">
          <a:avLst/>
        </a:prstGeom>
      </xdr:spPr>
    </xdr:pic>
    <xdr:clientData/>
  </xdr:twoCellAnchor>
  <xdr:twoCellAnchor editAs="oneCell">
    <xdr:from>
      <xdr:col>9</xdr:col>
      <xdr:colOff>842122</xdr:colOff>
      <xdr:row>35</xdr:row>
      <xdr:rowOff>42582</xdr:rowOff>
    </xdr:from>
    <xdr:to>
      <xdr:col>20</xdr:col>
      <xdr:colOff>397028</xdr:colOff>
      <xdr:row>39</xdr:row>
      <xdr:rowOff>55890</xdr:rowOff>
    </xdr:to>
    <xdr:pic>
      <xdr:nvPicPr>
        <xdr:cNvPr id="11" name="Picture 10">
          <a:extLst>
            <a:ext uri="{FF2B5EF4-FFF2-40B4-BE49-F238E27FC236}">
              <a16:creationId xmlns:a16="http://schemas.microsoft.com/office/drawing/2014/main" id="{8C19F6A8-E7F5-4EAD-92C6-1326B76B067B}"/>
            </a:ext>
          </a:extLst>
        </xdr:cNvPr>
        <xdr:cNvPicPr>
          <a:picLocks noChangeAspect="1"/>
        </xdr:cNvPicPr>
      </xdr:nvPicPr>
      <xdr:blipFill>
        <a:blip xmlns:r="http://schemas.openxmlformats.org/officeDocument/2006/relationships" r:embed="rId8"/>
        <a:stretch>
          <a:fillRect/>
        </a:stretch>
      </xdr:blipFill>
      <xdr:spPr>
        <a:xfrm>
          <a:off x="9381004" y="11539817"/>
          <a:ext cx="9838096" cy="1143421"/>
        </a:xfrm>
        <a:prstGeom prst="rect">
          <a:avLst/>
        </a:prstGeom>
      </xdr:spPr>
    </xdr:pic>
    <xdr:clientData/>
  </xdr:twoCellAnchor>
  <xdr:twoCellAnchor editAs="oneCell">
    <xdr:from>
      <xdr:col>9</xdr:col>
      <xdr:colOff>891428</xdr:colOff>
      <xdr:row>38</xdr:row>
      <xdr:rowOff>257176</xdr:rowOff>
    </xdr:from>
    <xdr:to>
      <xdr:col>20</xdr:col>
      <xdr:colOff>815859</xdr:colOff>
      <xdr:row>47</xdr:row>
      <xdr:rowOff>60674</xdr:rowOff>
    </xdr:to>
    <xdr:pic>
      <xdr:nvPicPr>
        <xdr:cNvPr id="12" name="Picture 11">
          <a:extLst>
            <a:ext uri="{FF2B5EF4-FFF2-40B4-BE49-F238E27FC236}">
              <a16:creationId xmlns:a16="http://schemas.microsoft.com/office/drawing/2014/main" id="{056BE06F-972D-1523-E20F-3F1CCC30B9DF}"/>
            </a:ext>
          </a:extLst>
        </xdr:cNvPr>
        <xdr:cNvPicPr>
          <a:picLocks noChangeAspect="1"/>
        </xdr:cNvPicPr>
      </xdr:nvPicPr>
      <xdr:blipFill>
        <a:blip xmlns:r="http://schemas.openxmlformats.org/officeDocument/2006/relationships" r:embed="rId9"/>
        <a:stretch>
          <a:fillRect/>
        </a:stretch>
      </xdr:blipFill>
      <xdr:spPr>
        <a:xfrm>
          <a:off x="9430310" y="12594852"/>
          <a:ext cx="10200001" cy="2321012"/>
        </a:xfrm>
        <a:prstGeom prst="rect">
          <a:avLst/>
        </a:prstGeom>
      </xdr:spPr>
    </xdr:pic>
    <xdr:clientData/>
  </xdr:twoCellAnchor>
  <xdr:twoCellAnchor editAs="oneCell">
    <xdr:from>
      <xdr:col>2</xdr:col>
      <xdr:colOff>829235</xdr:colOff>
      <xdr:row>48</xdr:row>
      <xdr:rowOff>257736</xdr:rowOff>
    </xdr:from>
    <xdr:to>
      <xdr:col>11</xdr:col>
      <xdr:colOff>706877</xdr:colOff>
      <xdr:row>59</xdr:row>
      <xdr:rowOff>92311</xdr:rowOff>
    </xdr:to>
    <xdr:pic>
      <xdr:nvPicPr>
        <xdr:cNvPr id="13" name="Picture 12">
          <a:extLst>
            <a:ext uri="{FF2B5EF4-FFF2-40B4-BE49-F238E27FC236}">
              <a16:creationId xmlns:a16="http://schemas.microsoft.com/office/drawing/2014/main" id="{E72AA0B1-8B2A-41AD-EA12-49EAE2BAA678}"/>
            </a:ext>
          </a:extLst>
        </xdr:cNvPr>
        <xdr:cNvPicPr>
          <a:picLocks noChangeAspect="1"/>
        </xdr:cNvPicPr>
      </xdr:nvPicPr>
      <xdr:blipFill>
        <a:blip xmlns:r="http://schemas.openxmlformats.org/officeDocument/2006/relationships" r:embed="rId10"/>
        <a:stretch>
          <a:fillRect/>
        </a:stretch>
      </xdr:blipFill>
      <xdr:spPr>
        <a:xfrm>
          <a:off x="2173941" y="15396883"/>
          <a:ext cx="8876190" cy="2904762"/>
        </a:xfrm>
        <a:prstGeom prst="rect">
          <a:avLst/>
        </a:prstGeom>
      </xdr:spPr>
    </xdr:pic>
    <xdr:clientData/>
  </xdr:twoCellAnchor>
  <xdr:twoCellAnchor editAs="oneCell">
    <xdr:from>
      <xdr:col>11</xdr:col>
      <xdr:colOff>649942</xdr:colOff>
      <xdr:row>48</xdr:row>
      <xdr:rowOff>67236</xdr:rowOff>
    </xdr:from>
    <xdr:to>
      <xdr:col>20</xdr:col>
      <xdr:colOff>840442</xdr:colOff>
      <xdr:row>55</xdr:row>
      <xdr:rowOff>17102</xdr:rowOff>
    </xdr:to>
    <xdr:pic>
      <xdr:nvPicPr>
        <xdr:cNvPr id="15" name="Picture 14">
          <a:extLst>
            <a:ext uri="{FF2B5EF4-FFF2-40B4-BE49-F238E27FC236}">
              <a16:creationId xmlns:a16="http://schemas.microsoft.com/office/drawing/2014/main" id="{7BB3DB74-1FD9-126D-6B56-10CB59B1913D}"/>
            </a:ext>
          </a:extLst>
        </xdr:cNvPr>
        <xdr:cNvPicPr>
          <a:picLocks noChangeAspect="1"/>
        </xdr:cNvPicPr>
      </xdr:nvPicPr>
      <xdr:blipFill>
        <a:blip xmlns:r="http://schemas.openxmlformats.org/officeDocument/2006/relationships" r:embed="rId11"/>
        <a:stretch>
          <a:fillRect/>
        </a:stretch>
      </xdr:blipFill>
      <xdr:spPr>
        <a:xfrm>
          <a:off x="10981766" y="15206383"/>
          <a:ext cx="8684558" cy="1914705"/>
        </a:xfrm>
        <a:prstGeom prst="rect">
          <a:avLst/>
        </a:prstGeom>
      </xdr:spPr>
    </xdr:pic>
    <xdr:clientData/>
  </xdr:twoCellAnchor>
  <xdr:twoCellAnchor editAs="oneCell">
    <xdr:from>
      <xdr:col>11</xdr:col>
      <xdr:colOff>705971</xdr:colOff>
      <xdr:row>55</xdr:row>
      <xdr:rowOff>89647</xdr:rowOff>
    </xdr:from>
    <xdr:to>
      <xdr:col>20</xdr:col>
      <xdr:colOff>930009</xdr:colOff>
      <xdr:row>59</xdr:row>
      <xdr:rowOff>58584</xdr:rowOff>
    </xdr:to>
    <xdr:pic>
      <xdr:nvPicPr>
        <xdr:cNvPr id="16" name="Picture 15">
          <a:extLst>
            <a:ext uri="{FF2B5EF4-FFF2-40B4-BE49-F238E27FC236}">
              <a16:creationId xmlns:a16="http://schemas.microsoft.com/office/drawing/2014/main" id="{C178DEDA-586C-73FE-F2F8-ABE65296E0F2}"/>
            </a:ext>
          </a:extLst>
        </xdr:cNvPr>
        <xdr:cNvPicPr>
          <a:picLocks noChangeAspect="1"/>
        </xdr:cNvPicPr>
      </xdr:nvPicPr>
      <xdr:blipFill>
        <a:blip xmlns:r="http://schemas.openxmlformats.org/officeDocument/2006/relationships" r:embed="rId12"/>
        <a:stretch>
          <a:fillRect/>
        </a:stretch>
      </xdr:blipFill>
      <xdr:spPr>
        <a:xfrm>
          <a:off x="11037795" y="17189823"/>
          <a:ext cx="8714286" cy="1076190"/>
        </a:xfrm>
        <a:prstGeom prst="rect">
          <a:avLst/>
        </a:prstGeom>
      </xdr:spPr>
    </xdr:pic>
    <xdr:clientData/>
  </xdr:twoCellAnchor>
  <xdr:twoCellAnchor editAs="oneCell">
    <xdr:from>
      <xdr:col>11</xdr:col>
      <xdr:colOff>784411</xdr:colOff>
      <xdr:row>61</xdr:row>
      <xdr:rowOff>44824</xdr:rowOff>
    </xdr:from>
    <xdr:to>
      <xdr:col>14</xdr:col>
      <xdr:colOff>327035</xdr:colOff>
      <xdr:row>65</xdr:row>
      <xdr:rowOff>19474</xdr:rowOff>
    </xdr:to>
    <xdr:pic>
      <xdr:nvPicPr>
        <xdr:cNvPr id="18" name="Picture 17">
          <a:extLst>
            <a:ext uri="{FF2B5EF4-FFF2-40B4-BE49-F238E27FC236}">
              <a16:creationId xmlns:a16="http://schemas.microsoft.com/office/drawing/2014/main" id="{9EB5E761-36DA-B5D4-12AC-3BFD9572E96E}"/>
            </a:ext>
          </a:extLst>
        </xdr:cNvPr>
        <xdr:cNvPicPr>
          <a:picLocks noChangeAspect="1"/>
        </xdr:cNvPicPr>
      </xdr:nvPicPr>
      <xdr:blipFill>
        <a:blip xmlns:r="http://schemas.openxmlformats.org/officeDocument/2006/relationships" r:embed="rId13"/>
        <a:stretch>
          <a:fillRect/>
        </a:stretch>
      </xdr:blipFill>
      <xdr:spPr>
        <a:xfrm>
          <a:off x="11116235" y="18825883"/>
          <a:ext cx="2314286" cy="1085714"/>
        </a:xfrm>
        <a:prstGeom prst="rect">
          <a:avLst/>
        </a:prstGeom>
      </xdr:spPr>
    </xdr:pic>
    <xdr:clientData/>
  </xdr:twoCellAnchor>
  <xdr:twoCellAnchor editAs="oneCell">
    <xdr:from>
      <xdr:col>14</xdr:col>
      <xdr:colOff>593912</xdr:colOff>
      <xdr:row>59</xdr:row>
      <xdr:rowOff>123265</xdr:rowOff>
    </xdr:from>
    <xdr:to>
      <xdr:col>20</xdr:col>
      <xdr:colOff>572468</xdr:colOff>
      <xdr:row>65</xdr:row>
      <xdr:rowOff>248096</xdr:rowOff>
    </xdr:to>
    <xdr:pic>
      <xdr:nvPicPr>
        <xdr:cNvPr id="19" name="Picture 18">
          <a:extLst>
            <a:ext uri="{FF2B5EF4-FFF2-40B4-BE49-F238E27FC236}">
              <a16:creationId xmlns:a16="http://schemas.microsoft.com/office/drawing/2014/main" id="{F8FE036B-564F-4449-F842-C854620A1A38}"/>
            </a:ext>
          </a:extLst>
        </xdr:cNvPr>
        <xdr:cNvPicPr>
          <a:picLocks noChangeAspect="1"/>
        </xdr:cNvPicPr>
      </xdr:nvPicPr>
      <xdr:blipFill>
        <a:blip xmlns:r="http://schemas.openxmlformats.org/officeDocument/2006/relationships" r:embed="rId14"/>
        <a:stretch>
          <a:fillRect/>
        </a:stretch>
      </xdr:blipFill>
      <xdr:spPr>
        <a:xfrm>
          <a:off x="13693588" y="18344030"/>
          <a:ext cx="5704762" cy="1809524"/>
        </a:xfrm>
        <a:prstGeom prst="rect">
          <a:avLst/>
        </a:prstGeom>
      </xdr:spPr>
    </xdr:pic>
    <xdr:clientData/>
  </xdr:twoCellAnchor>
  <xdr:twoCellAnchor editAs="oneCell">
    <xdr:from>
      <xdr:col>4</xdr:col>
      <xdr:colOff>11206</xdr:colOff>
      <xdr:row>68</xdr:row>
      <xdr:rowOff>78440</xdr:rowOff>
    </xdr:from>
    <xdr:to>
      <xdr:col>14</xdr:col>
      <xdr:colOff>588074</xdr:colOff>
      <xdr:row>75</xdr:row>
      <xdr:rowOff>132647</xdr:rowOff>
    </xdr:to>
    <xdr:pic>
      <xdr:nvPicPr>
        <xdr:cNvPr id="20" name="Picture 19">
          <a:extLst>
            <a:ext uri="{FF2B5EF4-FFF2-40B4-BE49-F238E27FC236}">
              <a16:creationId xmlns:a16="http://schemas.microsoft.com/office/drawing/2014/main" id="{AE05CD45-483F-DDBE-66C5-C41AA7D6BF39}"/>
            </a:ext>
          </a:extLst>
        </xdr:cNvPr>
        <xdr:cNvPicPr>
          <a:picLocks noChangeAspect="1"/>
        </xdr:cNvPicPr>
      </xdr:nvPicPr>
      <xdr:blipFill>
        <a:blip xmlns:r="http://schemas.openxmlformats.org/officeDocument/2006/relationships" r:embed="rId15"/>
        <a:stretch>
          <a:fillRect/>
        </a:stretch>
      </xdr:blipFill>
      <xdr:spPr>
        <a:xfrm>
          <a:off x="3731559" y="20820528"/>
          <a:ext cx="9952381" cy="2028571"/>
        </a:xfrm>
        <a:prstGeom prst="rect">
          <a:avLst/>
        </a:prstGeom>
      </xdr:spPr>
    </xdr:pic>
    <xdr:clientData/>
  </xdr:twoCellAnchor>
  <xdr:twoCellAnchor editAs="oneCell">
    <xdr:from>
      <xdr:col>11</xdr:col>
      <xdr:colOff>280146</xdr:colOff>
      <xdr:row>69</xdr:row>
      <xdr:rowOff>179296</xdr:rowOff>
    </xdr:from>
    <xdr:to>
      <xdr:col>20</xdr:col>
      <xdr:colOff>513707</xdr:colOff>
      <xdr:row>79</xdr:row>
      <xdr:rowOff>95921</xdr:rowOff>
    </xdr:to>
    <xdr:pic>
      <xdr:nvPicPr>
        <xdr:cNvPr id="21" name="Picture 20">
          <a:extLst>
            <a:ext uri="{FF2B5EF4-FFF2-40B4-BE49-F238E27FC236}">
              <a16:creationId xmlns:a16="http://schemas.microsoft.com/office/drawing/2014/main" id="{3FD2D552-90FC-5888-ADE9-86A646F6281B}"/>
            </a:ext>
          </a:extLst>
        </xdr:cNvPr>
        <xdr:cNvPicPr>
          <a:picLocks noChangeAspect="1"/>
        </xdr:cNvPicPr>
      </xdr:nvPicPr>
      <xdr:blipFill>
        <a:blip xmlns:r="http://schemas.openxmlformats.org/officeDocument/2006/relationships" r:embed="rId16"/>
        <a:stretch>
          <a:fillRect/>
        </a:stretch>
      </xdr:blipFill>
      <xdr:spPr>
        <a:xfrm>
          <a:off x="10611970" y="21201531"/>
          <a:ext cx="8723809" cy="2714286"/>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8-17T20:51:28.799"/>
    </inkml:context>
    <inkml:brush xml:id="br0">
      <inkml:brushProperty name="width" value="0.05" units="cm"/>
      <inkml:brushProperty name="height" value="0.05" units="cm"/>
      <inkml:brushProperty name="color" value="#004F8B"/>
    </inkml:brush>
  </inkml:definitions>
  <inkml:trace contextRef="#ctx0" brushRef="#br0">392 1220 18460,'0'0'4584,"-16"-2"-4059,11 2-469,-143-6 830,132 6-873,-5 0 0,5 2 0,0 0 0,-5 1 0,5 1 1,-37 10-1,47-12-71,1 0-1,0 1 1,-1 0 0,1 0 0,0 0 0,0 1 0,-6 6 0,11-8 48,-5-1 0,5 1 0,0 0 0,0 0-1,-6 1 1,6-1 0,0 0 0,0 1 0,0-1 0,-5 0 0,5 1 0,0-1 0,0 1 0,0-1 0,0 1 0,0-1 0,0 1 0,0 4-1,0-4 54,5 0 0,-5 0 0,0-1-1,0 1 1,0-1 0,6 1 0,-6-2 0,0 1-1,0 1 1,5-1 0,-5 0 0,5 0-1,-5 0 1,0 0 0,6-1 0,-6 1-1,5 2 1,11 3 287,-6-1 0,22 8-1,-5-5 38,42 21 730,90 43 1332,-154-71-2391,0-1-1,-5 1 1,6 0 0,-6 0-1,5 1 1,-5-1-1,5 0 1,-5 1 0,5-1-1,-5 1 1,0 0-1,6 0 1,-6 0-1,0-1 1,5 1 0,-5 0-1,0 0 1,0 1-1,0-1 1,5 1 0,-5-2-1,0 1 1,0 1-1,0-1 1,0 5-1,0-2-36,-5 0-1,5 0 1,0 0-1,-5 0 1,5-1-1,-6 1 1,6-1-1,-5 1 0,5-1 1,-5 0-1,0 0 1,-6 8-1,0-1-15,-5 0 1,6-1-1,-6 0 0,-21 14 1,32-22-20,-1-1 0,1 1 0,0-1 0,-1 1 0,-4-1 0,4 0 0,1-1 0,0 1 0,0-1 0,-6 0 0,6-1 0,-1 0 0,1 1 0,0-2 0,-1 1 0,-15-2 0,21 1-6,0 1 0,0-1 0,-5 1-1,5-1 1,0 0 0,-5 0 0,5 0-1,0 0 1,-6 0 0,6 0-1,0 0 1,0 0 0,0 0 0,-5 0-1,5-1 1,0 1 0,0 0 0,-5 0-1,5 0 1,0-1 0,0 0 0,0 1-1,0-1 1,0 1 0,0-4 0,-6-15-845,6 0 1,0-1 0,0 1 0,0 0 0,0-1-1,6 1 1,4-25 0,-4 18-3960,25-42 1</inkml:trace>
  <inkml:trace contextRef="#ctx0" brushRef="#br0" timeOffset="1">557 1225 14091,'0'0'6460,"0"32"-6299,0 8-4,-11 167 1908,22 330 5621,-6-448-7358,-10-169-1528,-1 19 924,1-10-554,16-142 1,-6 172 65,0 0 0,6 1-1,5 2 1,26-74 0,-36 94 246,4 3 1,17-29-1,-22 40 501,-5 0 1,5 0-1,1 1 0,-6-1 0,5 2 0,0-1 0,1 0 1,-6 0-1,5 0 0,0 1 0,0-2 0,1 2 1,-1 0-1,0 1 0,6-2 0,-11 2 79,0 1-1,5 0 1,-5 0-1,0-1 1,0 1 0,6 0-1,-6 0 1,0 0-1,5 0 1,-5 1-1,0-1 1,0 0 0,5 1-1,-5-1 1,0 0-1,6 1 1,-6 0-1,0-1 1,0 1 0,5 0-1,-5 0 1,0-1-1,5 1 1,-5 0-1,0 0 1,0 0 0,0 1-1,0 0 1,5-1-1,-5 0 1,0 0 0,0 0-1,0 1 1,6 2-1,-6 2 128,0 1 0,5 0-1,-5 0 1,0 1 0,0 10-1,0-16-150,0 13 145,0 2-1,0 0 1,0-2 0,0 0 0,-5 1 0,5 0-1,-6 0 1,1-1 0,-5 0 0,4-1 0,-15 24 0,10-17-17,-5-1 0,1 1 1,-1-2-1,-32 30 0,37-42-385,1 1 0,-1 0-1,1-1 1,-22 9-1,26-12-608,-4 0 0,-1-1 0,1 0 0,4-1 0,-4 0 0,-22 1 0,11-2-7676</inkml:trace>
  <inkml:trace contextRef="#ctx0" brushRef="#br0" timeOffset="2">939 1650 13715,'0'0'4085,"31"-16"-2793,102-54-668,-122 66-584,-6 0-1,5 0 0,-4-1 1,-1-1-1,6 1 1,-6-1-1,0 1 1,1-1-1,-1-1 0,0 0 1,1 1-1,4-14 1,-5 12 2,1 2-24,-6 1 0,5-1-1,0 0 1,-5-1 0,0 1 0,6-2 0,-6 1 0,0 0-1,5 0 1,-5-6 0,0 12-9,0 1 0,0-1 0,0 0 0,0 1 0,0-1 0,0 0 0,0 1 0,0-1 0,0 0 0,0 1 0,0-1 0,0 0 0,0 1 0,0-1 0,-5 1 0,5-1 0,0 1 0,0-1 0,0 1 0,0-1 0,0 1 0,0-1 0,0 1 0,-6-1 0,6 1 0,0 0 0,0-1 0,0 1 0,0 0 0,-26-2 315,21 2-279,-6 0-25,6 0 1,-6 1-1,6-1 1,-1 2-1,-4-1 1,4 1-1,-4 0 0,5 0 1,-1 1-1,-4-1 1,4 2-1,1-1 1,-6 0-1,6 0 1,0 2-1,0-1 0,-6 8 1,0-3 188,6-1 0,-6 0 0,6 0 1,0 0-1,-6 1 0,6 0 0,0 1 0,5 0 0,-6 0 0,1 0 1,0-1-1,5 1 0,-6 1 0,6-1 0,0 0 0,-5 1 1,5 11-1,0-19-134,0 0 0,5-1 0,-5 1 1,0 0-1,0 0 0,0 0 1,0-1-1,6 1 0,-6 0 0,0-1 1,5 1-1,-5-1 0,0 0 0,0 1 1,5-1-1,-5 0 0,6 0 0,-6 0 1,5-1-1,-5 2 0,5-1 0,-5-1 1,6 0-1,-6 0 0,5 0 0,-5 0 1,5 0-1,0 0 0,1 0 0,15 3 24,-5-2 0,0 0 0,5-1 0,16-2 0,-16 1-21,-5 0-68,-5 0 0,5-1 0,0-1 0,-6 0 1,6-1-1,0 0 0,-5-1 0,5 1 0,-6-3 1,22-7-1,-11 0-42,6 0 1,-6-2-1,0 1 1,-5-2 0,32-22-1,-38 26-126,1-1-1,0-1 0,-1 0 1,1 0-1,-1 0 0,1-1 1,-6-2-1,11-22 0,-16 31-23,6 1-1,-6 0 0,0-1 1,0-9-1,0 17 179,0-1-5,0 1 1,0 0-1,0-1 0,0 1 1,0 0-1,0-1 0,0 1 1,0 0-1,0-1 0,0 1 1,0 0-1,0 0 0,0-1 1,0 1-1,0 0 0,0-1 1,0 1-1,0 0 0,0 0 1,0-1-1,0 1 1,0 0-1,0 0 0,0 0 1,-6-1-1,6 1 0,0 0 1,0 0-1,0 0 0,0 0 1,0 0-1,0-1 0,0 1 1,0 0-1,0 0 0,0 0 1,0 0-1,0 0 0,0 0 1,0 0-1,0 0 1,0 0-1,-5 0 0,5 0 1,0 0-1,0 1 0,0-1 1,0 0-1,0 0 0,-5 0-37,-6 1 55,6 0-1,-1 0 0,1 1 1,-5-1-1,4 1 1,1 1-1,0-2 1,-6 2-1,6 0 1,-1 0-1,1 1 1,0 0-1,-11 8 1,0 3 39,0 0 0,0 0 1,-16 22-1,27-28 54,-6 0 0,6-1 0,0 2 0,0 1 0,-1-1-1,1 1 1,0-1 0,5 0 0,-6 2 0,6-2 0,-5 1 0,5 0 0,0 0 0,0 18-1,0-26-68,0 0 0,0 0 0,0 0 0,0 0 0,0 0 0,0-1 0,5 1 0,-5 0 0,0 0 0,0-1 0,0 1 0,6 0 0,-6 0 0,5 0 0,-5-2 0,0 1 0,5 0 0,-5 0 0,6 0 0,-6 0 0,5 0 0,-5 0 0,5-1 0,-5 1 0,5-1 0,-5 0 0,11 2 0,0 0-12,-1-1 0,6 0 0,-5 0 0,5-2 0,15 0 0,-25 0-16,10 1-54,5-1 0,0-1 0,-5-1-1,0 0 1,5-1 0,-5-1 0,0-1 0,5 0-1,-5-1 1,21-10 0,-5-2-724,0-1 0,31-29 1,17-18-4032,-11 3-5002</inkml:trace>
  <inkml:trace contextRef="#ctx0" brushRef="#br0" timeOffset="3">2227 1436 5945,'0'0'6288,"-37"-9"-5381,0 1-555,-5 0 0,-38-1 0,75 9-278,-1 0 0,6 0 0,-5 0-1,0 0 1,-1 1 0,1 0 0,0 0 0,0 0-1,-1 0 1,6 1 0,-5 0 0,0 0-1,-1 0 1,6 0 0,-5 1 0,0 0-1,5-1 1,-11 7 0,-5 5 526,0 0 1,6 0-1,-6 2 1,-11 22-1,22-27-138,-6 1 0,6-1 0,0 1 0,-1 0 0,1 0 1,5 1-1,-10 22 0,10-29-222,0 0 0,0-2 0,0 2 0,0 8 0,0-12-189,0-1-1,5 1 1,-5-1 0,0 0 0,0 1 0,0-1 0,0 1 0,0-1 0,0 0 0,0 1 0,5-1 0,-5 0 0,0 0 0,0 0 0,5 0 0,-5 0 0,0 0 0,0 0 0,6 0 0,-1 2 0,0-1 29,1 0 0,-1-1 0,0 1 0,1-1 0,-1-1 0,0 1 0,11-1 0,0 0-8,-5-1 1,26-4-1,-21 2-63,-6-2 0,1 1 0,5-1 0,-6 0 0,1-1 0,5 0 0,-6-1 1,1 0-1,16-12 0,-6-1-29,5-2 0,33-43 0,-43 43-47,-1-1-1,1-2 1,0 2 0,-5-3 0,5 0 0,-6-1 0,-4 1-1,15-49 1,-10 3-930,-6 2-1,0-89 1,-5 113 550,0 45 445,0 0 0,0 0 0,0 1 1,0-1-1,0 0 0,0 0 0,0 0 0,0 0 0,0 0 0,0 0 0,-5 0 0,5 1 0,0-1 0,0 0 0,0 0 0,0 0 0,0 1 0,0-1 0,0 0 1,-5 1-1,5-1 0,0 0 0,0 1 0,0-1 0,0 0 0,-6 1 41,6 1 0,0-1 0,0 0 0,0 1 0,0-1 0,-5 1 0,5-1 0,0 1 0,0-1 0,0 1 0,-5 0 0,5-1 0,0 1 0,0 0 0,0 0 0,0-1 0,0 1 0,0 0 0,0 0 0,-6 0 0,6 0 0,0 0 0,0 0 0,0 0 0,0 1 0,-10 22 442,4-3 0,1 3 0,-6 44 0,1 54 1417,5 130 0,10-217-1467,0 44 0,0-63-318,1 2 0,-6-1 0,10 0 0,6 24 0,-5-23-98,0 0 0,15 19 0,-21-31-68,-5-1 1,6 0-1,-1-1 1,0 1 0,1-1-1,-1 0 1,0 0 0,0 1-1,1-1 1,-1-1 0,11 3-1,-11-4-205,1 0 0,4-1 0,-5 0-1,1 0 1,4 0 0,-4-1 0,-1 0 0,0 0-1,17-2 1,-17 1-543,0 0 0,0 0 1,1-1-1,-1 0 0,0 0 0,1 0 0,4-4 1,1 0-2108,-1 0-1,-4-1 1,-1 1 0,11-11 0</inkml:trace>
  <inkml:trace contextRef="#ctx0" brushRef="#br0" timeOffset="4">3017 1357 19492,'0'0'8770,"212"-39"-8770,-169 35-40,-1 4-752,-26 14-1681,-16 19-3208,0 6-2681</inkml:trace>
  <inkml:trace contextRef="#ctx0" brushRef="#br0" timeOffset="5">2985 1537 12307,'0'0'14587,"186"-11"-14347,-112-15-240,32 8-288,-26 9-2753,-16 9-9570</inkml:trace>
  <inkml:trace contextRef="#ctx0" brushRef="#br0" timeOffset="6">5176 924 14635,'0'0'8327,"0"26"-7496,10 85 328,-10-31 1476,0-55-1604,5-104-327,6-65-869,31-238 44,27 1-441,-42 290 85,-22 77 400,1 1 0,-1 1 0,16-23 0,-21 34 65,0 0 1,0 0 0,5 1 0,-5-1 0,0 0 0,0 0 0,0 0 0,0 1-1,0-1 1,0 0 0,0 1 0,6-1 0,-6 1 0,0-1 0,0 0 0,0 1-1,0 0 1,5-1 0,-5 1 0,0 0 0,0-1 0,0 1 0,5 0 0,-5 0 0,0 0-1,0-1 1,0 1 0,6 0 0,-6 1 0,0-1 0,0 0 0,0 0 0,5 0-1,-5 0 1,0 1 0,0-1 0,0 0 0,0 1 0,5-1 0,-5 1 0,0-1-1,0 2 1,5 1-259,1 0 0,-6 0-1,5 0 1,0 1 0,-5-1 0,0 2-1,11 5 1,0 11-2076,-1 0 0,1 0 0,5 32-1,-11-23-3866</inkml:trace>
  <inkml:trace contextRef="#ctx0" brushRef="#br0" timeOffset="7">5568 575 8162,'0'0'15427,"-255"41"-15427,176-29-88,-17 14-2473,27 0-3680,16 0-7146</inkml:trace>
  <inkml:trace contextRef="#ctx0" brushRef="#br0" timeOffset="8">5579 675 8666,'0'0'7563,"0"29"-5205,0 188 3256,0 15 510,0-267-6351,5 0-1,0 2 1,0-2 0,11-34-1,64-129-855,-70 176 687,1 1 1,0 0-1,26-36 1,-32 54 329,-5 0 1,5 1-1,-5-1 0,6 1 1,-1-1-1,-5 1 0,5-1 0,1 1 1,-1 0-1,-5 0 0,11-2 1,-6 4-15,-5 0 1,0-1-1,0 1 1,5 0-1,-5 0 1,0 0-1,5 0 1,-5 0-1,0 0 1,0 0-1,6 0 1,-6 0 0,0 1-1,5-1 1,-5 0-1,0 1 1,0 0-1,5-1 1,-5 1-1,0-1 1,0 1-1,6 0 1,-6 0-1,0 0 1,0 0-1,0 0 1,5 0-1,-5 0 1,0 1 0,0-1-1,0 0 1,5 0-1,-5 1 1,0-1-1,0 0 1,0 2-1,6 18-2999,-1 2 0,0 22 1,0-9-4439</inkml:trace>
  <inkml:trace contextRef="#ctx0" brushRef="#br0" timeOffset="9">5966 1084 18036,'0'0'8506,"37"-22"-8501,122-79-8,-143 90 3,-6 2 0,6-3 1,-5 0-1,5-1 0,-6 0 0,1 1 0,10-20 0,-10 15-2,-11 15 1,10-6-7,-4 0 1,-1 0-1,0-1 0,1 0 0,-1 0 0,0 0 1,-5-1-1,6 1 0,-1-13 0,-5 21 6,0 1 0,0 0 0,0-1 0,0 1 0,0-1-1,0 1 1,0-1 0,0 1 0,0-1 0,0 1 0,0-1 0,0 1-1,0 0 1,0-1 0,0 1 0,0-1 0,0 1 0,0-1 0,0 1-1,0 0 1,-5-1 0,5 1 0,0 0 0,0-1 0,0 1 0,0 0-1,0-1 1,-6 0 7,1 0 0,0 0 0,-6 1 0,6-1 0,-1 2 1,1-1-1,0 1 0,-16 1 0,15 1-27,-4-1 1,-1 2 0,0-1-1,1 1 1,-1 0 0,6 1-1,-6 0 1,1-1 0,4 1 0,-4 2-1,5 0 1,-1-1 0,-4 1-1,4 0 1,-10 12 0,11-9 63,-6 0 1,6 1 0,0 0 0,0 0-1,-1 1 1,1-2 0,5 2 0,-5 0-1,5 0 1,-6 1 0,6 17 0,0-27 25,0 0-1,0 1 1,0-1 0,0 0 0,0 0 0,0 2 0,0-2-1,0 0 1,6 0 0,-6 0 0,0 0 0,5 0 0,-5 0-1,0 0 1,5-2 0,-5 3 0,11 3 0,-11-4-26,5 0 0,0 0 0,1-1 0,-1 1 1,0-1-1,1 1 0,-1-1 0,0-1 0,1 0 0,-1 1 1,6-1-1,10 2-35,-5-2 0,0 0 1,37-2-1,-48 1-39,0-1 1,6-1-1,-6 1 0,0-1 0,6 0 0,-6 0 1,1-2-1,4 2 0,-4-2 0,-1 1 0,16-8 1,-16 3-342,6-1 1,0 0 0,-6-1 0,16-18-1,6-21-4292,-6 4-5635</inkml:trace>
  <inkml:trace contextRef="#ctx0" brushRef="#br0" timeOffset="10">6427 950 9418,'0'0'15129,"32"-7"-15085,122-30 44,-149 35-80,5-1 1,-4 1-1,-1-1 1,6 0-1,-6-1 1,0 0-1,6-4 1,-6 5-3,0 0 1,-5-1-1,6 0 0,-1 1 1,-5-1-1,5-7 0,1 4 0,-1 1-16,-5-1 1,5 1-1,-5-1 0,6 0 0,-6 0 0,5 0 1,-5-1-1,0 1 0,0 0 0,0-10 0,0 16-1,0 0 0,0 0-1,0 1 1,0 0 0,0-1-1,0 0 1,0 0 0,0 0-1,0 0 1,0 1 0,0-1 0,0 0-1,0 0 1,0 0 0,0 1-1,-5-1 1,5 0 0,0 1-1,0-1 1,0 0 0,0 1-1,0-1 1,0 1 0,-6-1 0,6 0-10,-5 0 1,5 1 0,0-1 0,-5 1 0,5-1 0,-6 1 0,6 0 0,0 0 0,-5 0 0,5 0 0,-5 0 0,-1 1-11,-4 0 0,5 1 0,-1-1-1,1 1 1,0 0 0,-6 1 0,0 4 0,-4 2-1,-1 2-1,0-1 0,5 2 1,-5-1-1,-21 28 1,21-20 258,0 1 1,6 1-1,-22 37 1,27-47 64,-1 0 1,6 2-1,-5-1 1,0-1-1,5 1 0,0 1 1,0 16-1,-6-26-206,6-1 1,0 1-1,6 1 0,-6-1 1,0 0-1,0 1 0,0 0 1,0-1-1,5 6 0,-5-7-58,5 0 0,-5-1 0,0 1 0,0 0 0,6-1-1,-6 1 1,0-1 0,5 0 0,-5 0 0,5 1 0,-5-1 0,5 0-1,-5-1 1,6 1 0,-1 1 0,11 1-64,0 0 0,-5-1 0,4-1 0,1-1 0,0 1 0,0-2 0,0 1 0,32-6 0,-11-3-1005,74-25 0,-10-6-5359,5-8-11415</inkml:trace>
  <inkml:trace contextRef="#ctx0" brushRef="#br0" timeOffset="11">7737 1171 10906,'0'0'10771,"0"-45"-10477,0 45-294,10-375 50,-10 332-44,0-165-6,6 163 9,-1 0 1,21-71-1,-20 108 5,-1-23 91,22-33 1,-22 55-20,0 0-1,1-1 0,-1 3 1,0-2-1,0 0 1,1 1-1,15-12 1,-16 18-16,-5-1 0,6 1 0,-6 0 0,5 0 0,0 1 1,-5-1-1,5 0 0,6 0 0,-11 1-38,0 1-1,0 0 1,5-1-1,-5 1 1,0 0-1,0 0 1,6 0-1,-6 0 1,0 0-1,0 0 1,5 0-1,-5 0 1,0 0-1,0 0 1,0 1-1,5-1 1,-5 1-1,0-1 1,6 0-1,-6 1 1,0 0-1,0-1 1,0 1-1,0 0 1,5 0-1,-5-1 1,0 1-1,0-1 1,0 1-1,5 2 1,-5 1-37,5 1 1,-5-1-1,0 1 0,6 0 0,-6-1 1,0 1-1,5 7 0,-5 47-816,0-31-869,0 1-1,0-1 1,-16 47 0,-5-8-5268</inkml:trace>
  <inkml:trace contextRef="#ctx0" brushRef="#br0" timeOffset="12">8113 624 18476,'0'0'5049,"-265"0"-4673,164 4-376,1 13-208,20 14-2096,27-1-3754,21-8-6792</inkml:trace>
  <inkml:trace contextRef="#ctx0" brushRef="#br0" timeOffset="13">8278 261 18724,'0'0'6249,"-69"232"-6241,37-120 48,11 10 120,5-2 320,10-8-135,6-24-73,0-32-288,6-35-576,10-21-2273,-6 0-7329</inkml:trace>
  <inkml:trace contextRef="#ctx0" brushRef="#br0" timeOffset="14">8474 645 416,'0'0'20322,"-32"11"-19253,0 1-704,-53 25 0,80-35-330,5 1 1,-5 0-1,-1 0 1,6 0-1,-10 0 1,10 0-1,-5 1 1,5 0-1,-6-1 1,6 1 0,-5 0-1,0 6 1,5-2 68,-6 0 1,6 0 0,-5 0-1,5 13 1,0-13-7,-5 29 675,5 40-1,0-72-691,0-1-1,0 1 1,5-1-1,-5 1 0,0-1 1,0 1-1,5-1 0,-5 1 1,0-1-1,6 0 1,-6 1-1,5-1 0,0 5 1,1-7-63,-6 0 1,0 0-1,5 0 0,-5-1 1,5 1-1,-5-1 1,5 0-1,-5 0 1,6 0-1,-6 0 0,5 1 1,-5-1-1,5-1 1,-5 1-1,6 0 0,-6-1 1,5 0-1,-5 0 1,5 0-1,1 0 1,-6 0-1,5 0 0,-5-1 1,5 1-1,0-2 1,1 0-28,-6 1 1,5-1-1,0 1 1,1-1-1,-6 0 1,5 0-1,0 0 1,-5-1-1,6 0 1,-1 1-1,-5-1 1,0 0-1,5 0 1,1-1-1,-6 0 1,0 1-1,5-7 1,5-4-118,-10 1 0,11-2 0,-6-19 1,1 8-640,-1-1 0,0-40 0,-5 42-1749,-5-29 0,5 48 1376,0-1-1,-5 0 1,5 1 0,-6-10 0,-10-5-5225</inkml:trace>
  <inkml:trace contextRef="#ctx0" brushRef="#br0" timeOffset="15">8474 645 12139</inkml:trace>
  <inkml:trace contextRef="#ctx0" brushRef="#br0" timeOffset="16">8484 645 12139,'64'-1'1557,"63"6"1,-121-5-1441,-6 0 1,5 1 0,-5-1-1,0 0 1,5 1-1,-5 0 1,0-1-1,6 1 1,-6 0 0,0 0-1,5 0 1,-5 0-1,0 0 1,5 0-1,0 3 1,-5-3 9,0 0 0,0 0 1,0 0-1,0 1 0,0-1 0,0 0 1,0 1-1,0-1 0,0 0 0,0 1 0,0-1 1,0 1-1,0 2 0,-10 97 3545,-1 68-44,11-137-3009,0 44 679,0-75-1287,0 1 1,0-1-1,0 1 1,0-1-1,0 0 0,0 1 1,0-1-1,0 1 1,0-2-1,6 1 1,-6 1-1,0-1 1,0 0-1,0 0 1,5 0-1,-5 0 1,0 0-1,0 1 1,0-1-1,0-1 0,5 1 1,-5 0-1,0 0 1,5 0-1,-5-1 1,0 1-1,0 0 1,6-1-1,-6 2 1,0-2-1,5 0 1,-5 1-1,0-1 1,0 0-1,5 0 0,-5 0 1,6 0-28,-1-1 0,0 1 1,-5-2-1,6 1 0,-1 0 1,0 0-1,-5-1 0,5 1 0,1-1 1,-6 0-1,5 0 0,0 0 0,1-3 1,4-5-135,1 0 0,0 0 0,-1-2 0,1 1 0,-6-1 0,0 0 0,11-21 0,-5 12-675,-1-2 1,-4 0-1,10-36 0,-11 38-519,-5 15 887,5 7 488,-5 5 403,0-6-427,11 41 900,-6-22-319,11 33 0,-11-38-289,1 0-1,4 0 1,-4 0 0,4-1 0,11 19-1,-15-31-288,-6 0 0,0 0 0,5 1 0,-5-1 1,0 1-1,0-2 0,5 1 0,-5 0 0,0 0 0,6-1 0,-6 1 0,0 0 0,5-1 0,-5 0 0,0 1 0,5-1 0,-5 0 0,0 0 0,6 0 0,-6 0 0,5 0 0,-5 0 0,0-1 0,5 1 0,-5 0 0,0-1 1,5 0-1,-5 1 0,0-1 0,6 0 0,-6-2 0,5-2-36,0 1-1,1-1 1,-1 0 0,-5-1 0,5 2 0,6-10 0,10-40-216,-21 52 228,58-143-1924,-15 40-4874,-11 45-4320</inkml:trace>
  <inkml:trace contextRef="#ctx0" brushRef="#br0" timeOffset="17">10462 487 10506,'0'0'4465,"-37"-2"-3683,-122-3 250,154 5-900,-6 0 0,1 1 1,4 1-1,-4-1 0,-6 3 0,11-3 9,-1 1 0,1 0-1,0 1 1,-11 5-1,5-1 111,11-7-245,-5 3 155,0 0 0,-1-1 0,1 1 0,0 1 0,5-1 0,-11 6 0,11-8-78,0 1 0,0-1 0,-5 0 0,5 0 0,0 0 0,0 0 0,0 1 0,0-1 0,0 0 0,0 1 0,0-1 0,0 0 0,0-1 0,0 2 0,0-1 0,0 0 0,0 1 0,0-1 0,0 0 0,0 1 0,0-1 0,0 0 0,0 1 0,0-1 0,0 0 0,0 0 0,5 0 0,-5 0 0,0 1 0,0-1 0,5 2 0,11 14 473,0-1 1,5-3-1,22 17 1,-11-9-53,105 88 1790,-131-105-2223,-1 0 0,0 1 0,1 0 0,-6 0 0,5 0 0,0 0 0,1 8 0,-6-10-51,0 0 1,5 0-1,-5 0 0,0 0 0,0 0 0,0 1 0,0-1 0,0 0 0,0 0 1,0 0-1,0 1 0,0 0 0,0-1 0,0 0 0,-5 4 0,5-2-27,-6-1 0,6 1-1,-5-1 1,0 0-1,5 1 1,-11-2-1,11 1 1,-5 0-1,-1 0 1,1-1 0,0 0-1,-6 4 1,-5 0-62,0 0 1,-37 10 0,48-16-35,0 1 0,-1-1 0,-4 0-1,5-1 1,-11 1 0,16-1 72,0 0 0,0 0 0,0 0 0,0 0 0,0-1 0,0 1-1,0 0 1,0 0 0,0 0 0,0 0 0,0 0 0,-6-1 0,6 1 0,0 0 0,0 0 0,0 0-1,0-1 1,0 1 0,0 0 0,0 0 0,0 0 0,0-1 0,0 1 0,0 0 0,0 0 0,0-1-1,0 1 1,0 0 0,0-1 0,0 1 0,0 0 0,0 0 0,0-1 0,0 1 0,0 0-1,0 0 1,0-1 0,0 1 0,0 0 0,0-1 0,0 1 0,0-1 0,6-13-619,-1 9 496,0 0 0,-5 0 0,6 0-1,-1 1 1,0-2 0,11-6 0,42-23-207,181-86 18,-48 29 322,-186 90 13,1 0 0,-6-1 0,5 1 1,0-1-1,-5 1 0,5-1 0,-5-1 1,6 1-1,-1 0 0,0-5 0,-5 3-28,6 0-1,-6 0 0,0 0 0,5-2 0,-5 2 1,0-1-1,0-1 0,0 2 0,0-9 0,0 14 404,0 3 118,0 1-370,0 40 502,0-2 0,-16 71 0,0-34-366,-47 226 761,47-204-240,0 105 0,16 48 575,0-242-1380,5-15-198,-5-25-218,0-74-148,11-246-588,26 87 69,-16 186 163,37-106-1,-21 103-246,-31 66 858,-1 1 0,0 1 1,6 0-1,10-16 0,-16 19 152,6 0 0,0 0-1,-6 1 1,21-8 0,-26 12 260,6 1 1,-6-1 0,5 1 0,0-1 0,-5 0-1,6 1 1,-1 0 0,-5 0 0,5 1 0,1-1-1,-6 1 1,5 0 0,0 0 0,-5 0 0,5 0 0,6 1-1,-11-1 7,0 0 0,0 1-1,5-1 1,-5 0-1,0 1 1,0-1 0,0 1-1,6-1 1,-6 2-1,0-1 1,0-1 0,0 1-1,5 0 1,-5 0-1,0-1 1,0 1 0,0 0-1,0 0 1,0 0-1,0 0 1,0 0 0,5 0-1,-5 0 1,0 1-1,0 11 276,6 0 0,-6 1-1,5 1 1,-5 0-1,0-3 1,0 2-1,-11 23 1,11-21-261,-5 2 0,0-1 0,-1-1 0,-4 0 0,4 0 0,-15 19 0,5-15-48,0 0 0,1 1 0,-38 31 1,42-42-39,-5-1 0,5 0 1,-15 7-1,21-13-25,-1 0 0,1-1 0,0 2 0,-1-2-1,1 0 1,0-1 0,-1 1 0,1-1 0,0 0 0,-11 0-1,16-1-68,-5 0 0,5 0-1,-6 0 1,6-1-1,0 1 1,-5 0 0,5-1-1,-5 1 1,5-1-1,0 0 1,-6 0 0,6 1-1,0-1 1,-5 0-1,5 0 1,0-1 0,0 1-1,-5-1 1,5 1-1,0-1 1,0 1 0,-5-3-1,5 0-787,-6 0 0,6 0 0,0 0 0,-5 0 0,5-1 0,-5-6 0,5-36-13443</inkml:trace>
  <inkml:trace contextRef="#ctx0" brushRef="#br0" timeOffset="18">10982 886 8810,'0'0'9046,"37"-4"-8669,128-18-231,-144 18-61,-5-1 0,5 0 0,0-1 0,-5-1 0,5 0 0,-5-2 0,21-12 0,-31 18-19,15-8 269,-5 0-1,5-1 0,-5-1 1,26-23-1,-36 29-244,4-1 0,-5 1 0,1 1 0,-1-2 0,0 0 0,1 0 0,-1 0 0,-5-1 0,5 0 0,-5 1 0,6 0 0,-1-15 0,-5 16-56,0-1-6,0 1-1,0-1 1,0 1-1,0 0 0,0-1 1,0 1-1,0-10 1,0 17-24,-5-1 0,5 1 1,0-1-1,0 0 0,0 0 0,-6 1 1,6-1-1,0 0 0,0 1 0,0-1 1,0 1-1,-5-1 0,5 1 1,0-1-1,0 1 0,0 0 0,-5-1 1,5 1-1,0 0 0,0 0 0,-6 0 1,6 0-1,0 0 0,-31 3 309,25-2-244,1 1 0,0 0 0,-1 0 0,1-1 1,0 1-1,-1 1 0,6-1 0,-5 1 1,0 0-1,-1 1 0,6 0 0,-5-1 1,0 6-1,-6 4 251,1 1 0,-12 23 0,12-20 42,5 3 0,-6-1 0,6-1 0,-1 2 0,1 0 0,0 0 0,5 27 0,-6-42-276,6 0 1,0 0-1,6 0 1,-6 0-1,0 0 1,0 0-1,0 0 0,0 0 1,5 0-1,-5 0 1,5 5-1,1-7-69,-6-1 0,0 0-1,5 2 1,-5-2 0,5 0-1,-5 0 1,6-1-1,-1 1 1,-5-1 0,5 1-1,-5-1 1,5 1-1,-5-1 1,6 0 0,-1 0-1,-5-1 1,5 1 0,6 0-1,5 1-118,5-1-1,0 0 0,1-1 1,-7-1-1,7-1 0,-6 0 1,37-8-1,-16 1-1634,0-4 0,58-25 0,-21 3-5082</inkml:trace>
  <inkml:trace contextRef="#ctx0" brushRef="#br0" timeOffset="19">11884 712 10642,'0'0'14489,"26"-8"-14184,91-30-169,-112 37-134,-5 0 1,5-1-1,1 0 0,-6 1 0,5-1 0,-5 0 1,5 0-1,-5-1 0,6 1 0,-6-2 1,5 2-1,-5-1 0,5 0 0,0-4 1,-5 4-4,0 0 1,6 0 0,-6 1 0,0-1 0,0 0-1,0 0 1,0-1 0,0 0 0,0-3 0,0 0 0,0 6-6,0 0 0,0 0 0,0 0-1,0 0 1,0 0 0,0 0 0,0 0 0,0 0-1,0 0 1,0 1 0,0-1 0,0 0 0,0 0-1,0 0 1,0 0 0,-6 0 0,6 1 0,0-1-1,0 0 1,0 0 0,0 1 0,0-1 0,-5 0-1,5 1 1,0-1 0,0 0 0,0 1 4,-5-1 1,5 1 0,-5 0 0,5 0-1,0 0 1,-6 0 0,6 0-1,-5 1 1,5-1 0,0 1 0,0-1-1,-5 1 1,5 0 0,-11 3 68,0 0 1,6 1 0,-6-1-1,6 2 1,0 0 0,-6-1-1,6 1 1,-11 11 0,16-16-62,-16 14 174,0 2 1,6-1 0,-6 0 0,5 3 0,-10 18 0,16-24-12,-1 1 0,1 0 0,0 0 0,-1 1-1,6-1 1,-5 1 0,5 24 0,0-33-110,0 0-1,0 1 1,0-1-1,5 11 1,-5-14-54,0-1-1,0 1 0,0-1 1,0 0-1,6 0 1,-6 0-1,0 0 1,5-1-1,-5 0 1,0 1-1,5 0 0,-5-1 1,0 1-1,6-1 1,-1 3-1,0-2-10,1 0 0,-1 0 0,0 0 0,0 0 0,1-1 0,4 0 0,6 1 0,48 0-182,-43-2 111,-5 0-60,0 0 0,0-1 1,0-1-1,0 0 1,0-1-1,-1 0 0,1-1 1,0-1-1,0 0 0,21-9 1,0-7-1268,43-28 0,-6-5-3885,-10 3-3846</inkml:trace>
  <inkml:trace contextRef="#ctx0" brushRef="#br0" timeOffset="20">12764 649 16628,'0'0'3231,"-21"-20"-3156,21 20-75,-22-24 63,-41-30 0,63 51-24,-6 0-1,1 1 1,0 0-1,0 0 1,5 0-1,-6 0 0,1 1 1,0-1-1,-1 0 1,1 1-1,5 1 1,-5-1-1,-1 0 1,1 1-1,0 0 1,-1 0-1,1 0 0,0 1 1,5 0-1,-5-1 1,-1 1-1,1 1 1,-6 2-1,1-1 82,4 1 0,-4 0 0,-1 0 0,6-1 0,-6 2-1,1 0 1,4 1 0,1 0 0,-5 0 0,-6 15 0,5-10 156,0-1 1,6 1-1,-6 1 1,6 0-1,0 0 1,-11 20-1,16-24-85,-5-1 0,5 2 0,0-1 0,0 0 0,-6-1 0,6 2 0,6 14 1,-6-22-171,0 1 1,0 0 0,0-1-1,0 1 1,0-1 0,0 1 0,0-1-1,5 1 1,-5-1 0,0 1 0,0-1-1,5 0 1,-5 1 0,0-1 0,0 0-1,0 0 1,6 0 0,-6 0 0,0 0-1,5 0 1,-5 0 0,0 0 0,5-1-1,-5 1 1,0-1 0,5 1-1,1 0 1,-1 0-2,6 0 0,-1 0 0,1-1 0,10 0 0,0-1-4,-10 1-10,0 0-1,-1-1 1,1-1 0,5 0 0,-6 0 0,1-1 0,-1 0 0,1 0 0,10-7 0,-5 1-39,0 1 0,0-2 0,0-1 0,0 2 0,10-18 0,1 2-295,-6 0 1,0-2-1,1 0 1,-1-3-1,-5 2 1,5-2 0,-11 1-1,28-63 1,-23 38-259,1-1 0,-5 1 0,-6-2 0,6-81 0,-11 134 564,0 1 0,0-1 0,0 1 1,0-1-1,-5 1 0,5 0 1,0 0-1,0-5 0,0 6 28,0 1 0,-6-1 0,6 1 0,0 0 0,0-1 0,0 1 0,0 0 0,0 0 0,0-1 0,0 1 0,0 0 0,0 0 0,-5 0 0,5 0 0,0-1 0,0 1 0,0 0 0,0 0 0,0 0 0,0 0 0,-5 0 0,5 0 0,0 0 0,0 1 0,0-1 0,0 0 0,0 0 0,0 0 0,0 0 0,0 1 0,-6-1 0,6 0 0,0 1 0,0-1 0,0 0 0,0 1 0,0-1 0,0 1 0,-5 1 129,0 1-1,5 1 1,-6-2-1,1 0 0,5 2 1,-5-1-1,0 0 1,5 1-1,0-1 0,-6 1 1,1 5-1,-6 9 428,-5 24 0,1 11 280,-1 1-1,-6 82 1,12 111 328,15-229-1165,-5 2 0,0-1-1,5-1 1,1 1-1,-1 0 1,0-1 0,1 1-1,15 21 1,-21-33-105,5 0 0,0 0 0,1-1 1,-1 1-1,0-1 0,1 0 0,-1 0 1,0 0-1,6-1 0,5 7 0,-11-7-563,6-2-1,-1 1 0,-4-1 1,4 0-1,1 0 1,-6-1-1,6 0 0,-1-1 1,17 1-1,21 0-7418</inkml:trace>
  <inkml:trace contextRef="#ctx0" brushRef="#br0" timeOffset="21">13289 1429 8194,'0'0'11005,"0"0"-9893,-133-1 5964,-259 3-4742,286 4-1962,-37 0-64,-22-7-299,-132 1 936,6 20 398,100-1-1309,-218 2 1,346-21-35,-340 13 0,270 3 0,-233 14 0,202-28 0,-324 19 0,27 5 0,-64-26 0,408 5 0,-138 21 0,-84 6 0,-138-34 0,-197 8 0,430 6 0,-275-19 0,-218-5 0,710 12 0,-5 1-2,6 0 0,-6 2-1,-32 7 1,75-11-1420,5 1 0,10 1 1,6 0-4518,5-1-10414</inkml:trace>
  <inkml:trace contextRef="#ctx0" brushRef="#br0" timeOffset="22">5419 2233 7562,'0'0'16629,"-5"18"-15568,-11 36-557,-42 130 1471,42-118-599,-5 97 0,15 71 908,1-180-3417,5-42 473,0-1 1,0 2-1,0-1 0,0 19 0,0-31 590,0 0 0,0 1 0,0-1 0,0 0 0,0 0 0,0 0-1,0 0 1,0 1 0,0-1 0,0 0 0,0 0 0,0 0 0,0 0 0,0 0-1,0 1 1,0-1 0,0 0 0,0 0 0,5 0 0,-5 0 0,0 0 0,0 0-1,0 0 1,0 0 0,0 0 0,0 0 0,0 0 0,0 0 0,0 0 0,0 0-1,0 0 1,0 0 0,0 0 0,0 0 0,0 0 0,0 0 0,0 0-1,0 0 1,0 0 0,0 0 0,27-2-5426,5-5-2153</inkml:trace>
  <inkml:trace contextRef="#ctx0" brushRef="#br0" timeOffset="23">6210 2695 8570,'0'0'14867,"-133"0"-14027,96 4-512,-6 0-328,6-4-752,16 0-3289,0 0-5713</inkml:trace>
  <inkml:trace contextRef="#ctx0" brushRef="#br0" timeOffset="24">6146 2505 16131,'0'0'9883,"0"155"-9395,-5-105-440,5-7-48,0-1-1345,0-13-3880,0-8-8954</inkml:trace>
  <inkml:trace contextRef="#ctx0" brushRef="#br0" timeOffset="25">8951 2732 16724,'0'0'16043,"0"30"-16043,0-26-1024,0-1-1321,0 7-4024</inkml:trace>
  <inkml:trace contextRef="#ctx0" brushRef="#br0" timeOffset="26">10006 2217 3545,'0'0'14291,"-212"135"-13467,159-76 1224,5 21 841,11 16-480,21 14-809,16 8-624,6-1-584,47-6-392,16-18-272,10-18-656,17-2-1201,-17-24-3688,-20-19-4945</inkml:trace>
  <inkml:trace contextRef="#ctx0" brushRef="#br0" timeOffset="27">10590 2351 15067,'0'0'6234,"10"26"-3525,38 92-449,-27-49-530,-10-46-716,-1 2 1,12 24 0,-22-49-1021,0 0 0,0 0 1,0 1-1,0-1 0,0 0 1,0 0-1,5 1 0,-5-1 0,0 0 1,0 0-1,0 0 0,0 1 0,0-1 1,0 0-1,0 0 0,0 0 0,0 0 1,0 2-1,0-2 0,0 0 0,0 0 1,0 0-1,0 0 0,0 0 0,0 0 1,0 0-1,5 0 0,-5 0 0,0 0 1,0 0-1,0 0 0,0 0 0,0 0 1,0 0-1,0 0 0,0 0 1,0 0-1,0 0 0,0 0 0,0 0 1,0 0-1,0-2 0,0 2 0,0 0 1,0 0-1,0 0 0,0 0 0,0-1 1,0 1-1,6 0 0,-6 0 0,0 0 1,0-1-1,0 1 0,0 0 0,0 0 1,0 0-1,0-1 0,0 1 0,10-19-83,-10 16 80,154-255 59,-143 239-197,-1 3-475,-5 2 0,6-2 0,5 3 0,-11-1 0,32-23 0,-31 36 423,-6 0 0,0 0 0,0 0 0,0 1 0,5-1 0,-5 1 0,0 0 0,0-1 0,0 0 0,5 1-1,-5 0 1,0-1 0,6 1 0,-6-1 0,0 1 39,0 0 0,5 0-1,-5 1 1,0-1 0,0 0 0,0 0-1,0 0 1,0 1 0,0-1 0,5 0 0,-5 0-1,0 1 1,0-1 0,0 0 0,0 1-1,0-1 1,0 0 0,0 0 0,0 0-1,0 1 1,0-1 0,0 1 0,0-1-1,0 1 1,5 4-788,-5 0 0,0 0-1,0 0 1,6 1 0,-6 7 0,0-13 937,0 49-8060</inkml:trace>
  <inkml:trace contextRef="#ctx0" brushRef="#br0" timeOffset="28">11157 2906 11618,'0'0'9595,"-186"17"-8483,96-4-480,-10-9-632,9 0-72,-15-4-2337,27 0-3368,26 0-6185</inkml:trace>
  <inkml:trace contextRef="#ctx0" brushRef="#br0" timeOffset="29">10897 3200 12579,'0'0'5738,"-37"5"-4591,-101 22 52,133-25-1006,0 0 0,-6 0-1,6 1 1,-6 0 0,-5 6-1,11-7 17,5 1 0,-5-1-1,-1 1 1,6 0-1,-10 6 1,4 0 189,6-8-332,-5 3 198,5-2 0,-5 2-1,5 0 1,-6 0 0,1 4-1,5-7-228,0-1 0,0 1 0,0 0 0,0-1-1,0 1 1,0 0 0,0-1 0,0 1-1,0 0 1,0 0 0,0-1 0,0 1-1,0 0 1,0-1 0,0 1 0,0 0-1,0-1 1,0 1 0,0 0 0,0-1-1,0 1 1,0 0 0,0-1 0,0 1 0,0-1-1,5 1 1,-5-1 0,0 1 0,0-1-1,0 1 1,0-1 0,0 1 0,0-1-1,6 1 1,-6-1 0,0 0 0,0 1-1,0-1 1,0 0 0,0 0 0,0 0-1,5 1 1,-5-1 0,32 7-173,-6-2 0,59 2 1,64-6-2440,-117-1 1516,74 0-8165,-80 0 1201</inkml:trace>
  <inkml:trace contextRef="#ctx0" brushRef="#br0" timeOffset="30">11507 2204 9458,'0'0'14987,"64"242"-12106,-38-124-1393,-10 4-472,-11 4-351,-5 4-353,-21 2-184,-32-10-128,-37-9-504,-16-16-481,-53 5-575,26-26-2993,27-14-10898</inkml:trace>
  <inkml:trace contextRef="#ctx0" brushRef="#br0" timeOffset="31">11915 2551 13355,'0'0'7775,"-5"-6"-8022,0 1 237,5 0-1,-6 0 1,1 0-1,5 0 1,-5 0-1,5-1 1,0 2-1,-5-10 1,5-1-3,-6-1 0,6-21 0,0 20 19,0 0 0,0 0 0,6 0 1,-6 0-1,5-1 0,0 2 0,0 0 1,17-31-1,-1 9 33,48-60 0,-59 82-119,6 2 0,-5 1 0,5 1 0,0-2 0,0 3 0,26-17 0,-37 25 228,1 1 0,-6-1-1,5 1 1,0 1-1,1-1 1,-1 1 0,0-1-1,0 1 1,1 0 0,-1 1-1,0-1 1,6 1-1,-11 9 1226,0-7-1335,0 2-1,0-1 1,0 0 0,0 0 0,-5-1 0,5 1 0,0 0 0,-6-1 0,6 1-1,0-1 1,0 0 0,-5 1 0,5-1 0,-5 0 0,5 0 0,-6 0 0,6 0-1,-5 0 1,0 2 0,-11 5-150,0-1 0,-26 8 0,26-8-93,10-6 194,1 0-273,0 0 0,0 1 0,-1-1 0,-4 7-1,10-9 236,-6 1 1,6 0-1,0 0 0,0-1 0,0 1 0,0 1 0,-5-1 0,5 0 0,0 0 0,0 0 0,0 0 0,0 0 0,0-1 0,0 1 0,0 0 0,0 1 0,0-1 0,0 0 0,0-1 0,0 1 0,0 0 0,0 0 0,0 0 0,0 0 0,0 0 1,0 0-1,0 0 0,0 0 0,0 0 0,0 0 0,0 1 0,5 1 54,-5-1 0,6 1-1,-6 0 1,5-1 0,0 0 0,-5 1 0,6-1 0,-1 0 0,-5 0 0,5-1 0,0 1-1,6 2 1,-6-2 12,54 17 254,-28-9 482,49 24-1,-80-34-705,5 1 0,-5-1 0,0 1 0,0 1 0,6-2 0,-6 1 0,0 0 0,0 0 0,0 0 0,0 0 0,0 0 0,5 0 0,-5 0 0,0 0 0,0 0 0,0 1 0,0-1-19,0 0 0,0 0 0,0 0-1,0 0 1,0-1 0,0 0 0,0 1 0,0 0 0,0 0 0,0 0-1,0 0 1,0-1 0,0 1 0,0 0 0,-5 0 0,5-1 0,0 1-1,0 0 1,0-1 0,0 1 0,0 0 0,0-1 0,-6 1-1,6-1 1,0 1 0,-16 8 26,1 0-1,-1-1 1,-6-1 0,6-1-1,-31 7 1,15-6-345,0-1-1,-53 4 1,85-10 285,-21-1-1617,21 1 1359,0 0 0,0-1 0,0 1 0,0 0 0,0-1 0,0 1 0,-5 0 0,5-1 0,0 1 1,0-1-1,0 1 0,0-1 0,0 1 0,0-1 0,0 1 0,0-2 0,0 2 0,0-1 0,0 1 0,0-1 0,0 1 1,0-1-1,0 0 0,0 1 0,0-1 0,0-18-11681</inkml:trace>
  <inkml:trace contextRef="#ctx0" brushRef="#br0" timeOffset="32">7859 2539 17268,'0'0'5798,"-16"22"-4872,-5 5-480,-11 15 523,-37 39-1,11-13 435,-139 107 0,192-170-1384,0 0-1,-6 0 1,6-1 0,-22 8-1,27-11-26,-5-1 1,5 1-1,-5 0 0,5-1 0,0 1 0,-6-1 0,6 0 1,-5 0-1,5 0 0,0 0 0,-11 0 0,11 0-5,0-1 0,0 1 0,-5 0 0,5-1 0,0 1 0,0-1 0,0 0 0,-5 1 0,5-1 0,0 0 0,0 0 0,0 1 0,-5-1 0,5 0 0,0 0 0,0 0 0,0 0 0,0 0 0,0 0 0,0 0 0,-6-2 0,6-6-129,-5-1-1,5-2 1,0 2 0,0 0-1,0-18 1,0 14 24,0-7-36,0 1 0,0-1 1,11-27-1,-11 41 100,5-1 0,-5 0-1,5 0 1,0 1 0,-5-1 0,6 0-1,-1 1 1,0 1 0,1 0 0,-1-1 0,11-8-1,-16 14 55,5-1 0,-5 1 0,0 0-1,5-1 1,-5 0 0,6 1-1,-6 0 1,0 0 0,5 0 0,-5 1-1,5-1 1,-5 0 0,0 1-1,6-1 1,-1 1 0,-5 0 15,5 0 0,-5 0 0,0 1 0,6-1 0,-6 1 0,0-1 0,0 1 0,5-1 0,-5 1 0,0 0 0,5 0 0,-5 0 0,0-1 0,0 2 0,6-1 0,-6 2 0,5 4 41,0-1 1,0 1-1,1 0 0,-1-1 1,-5 1-1,11 14 1,-1 11 21,1 5-34,10 0-1,-5-1 1,26 41 0,-31-67-118,-6-2 0,1 1-1,4 0 1,1-1 0,-6 1-1,6-1 1,-1-1 0,1 0 0,0-2-1,-1 1 1,22 9 0,-11-6-1129,43 10 1,26-3-4517,27-4-8237,-112-12 13405</inkml:trace>
</inkml:ink>
</file>

<file path=xl/persons/person.xml><?xml version="1.0" encoding="utf-8"?>
<personList xmlns="http://schemas.microsoft.com/office/spreadsheetml/2018/threadedcomments" xmlns:x="http://schemas.openxmlformats.org/spreadsheetml/2006/main">
  <person displayName="Caroline Canady" id="{F1BDA6F0-2278-4D34-8BF2-8A807077A434}" userId="S::cgatti@hntb.com::5c08b652-f850-4f80-9388-eda5bf4f0e1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1FBF497-400B-44B5-A8D6-6EF6D8CE30F6}" name="EmissionCost" displayName="EmissionCost" ref="B11:F44" totalsRowShown="0" headerRowDxfId="7" dataDxfId="5" headerRowBorderDxfId="6" headerRowCellStyle="Table Header" dataCellStyle="Normal">
  <tableColumns count="5">
    <tableColumn id="1" xr3:uid="{E460F98A-1BCE-4FBC-945C-8BDCF360EC3B}" name="Year" dataDxfId="4" dataCellStyle="Normal"/>
    <tableColumn id="2" xr3:uid="{47652CE3-4B48-47B9-AE34-AA16C78D44CA}" name="NOx" dataDxfId="3" dataCellStyle="Comma"/>
    <tableColumn id="3" xr3:uid="{66741F78-8808-4B99-AB73-66AE97A68A27}" name="SOx" dataDxfId="2" dataCellStyle="Comma"/>
    <tableColumn id="4" xr3:uid="{DB09AFE6-25DE-489B-B864-ABB9A27CBA23}" name="PM2.5" dataDxfId="1" dataCellStyle="Comma"/>
    <tableColumn id="5" xr3:uid="{0385F17B-1E18-45E8-A809-E618A8B96856}" name="CO2" dataDxfId="0" dataCellStyle="Comma"/>
  </tableColumns>
  <tableStyleInfo name="Table Style 1" showFirstColumn="0" showLastColumn="0" showRowStripes="1" showColumnStripes="0"/>
</table>
</file>

<file path=xl/theme/theme1.xml><?xml version="1.0" encoding="utf-8"?>
<a:theme xmlns:a="http://schemas.openxmlformats.org/drawingml/2006/main" name="HDR_WordTheme">
  <a:themeElements>
    <a:clrScheme name="HDR_WORD-BrandingBright">
      <a:dk1>
        <a:sysClr val="windowText" lastClr="000000"/>
      </a:dk1>
      <a:lt1>
        <a:sysClr val="window" lastClr="FFFFFF"/>
      </a:lt1>
      <a:dk2>
        <a:srgbClr val="54585A"/>
      </a:dk2>
      <a:lt2>
        <a:srgbClr val="A8A99E"/>
      </a:lt2>
      <a:accent1>
        <a:srgbClr val="4298B5"/>
      </a:accent1>
      <a:accent2>
        <a:srgbClr val="C8102E"/>
      </a:accent2>
      <a:accent3>
        <a:srgbClr val="CA005D"/>
      </a:accent3>
      <a:accent4>
        <a:srgbClr val="FF8200"/>
      </a:accent4>
      <a:accent5>
        <a:srgbClr val="FFC600"/>
      </a:accent5>
      <a:accent6>
        <a:srgbClr val="78BE20"/>
      </a:accent6>
      <a:hlink>
        <a:srgbClr val="00549F"/>
      </a:hlink>
      <a:folHlink>
        <a:srgbClr val="6B1F7C"/>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solidFill>
        <a:ln>
          <a:noFill/>
        </a:ln>
      </a:spPr>
      <a:bodyPr rtlCol="0" anchor="ctr"/>
      <a:lstStyle/>
      <a:style>
        <a:lnRef idx="2">
          <a:schemeClr val="accent1">
            <a:shade val="50000"/>
          </a:schemeClr>
        </a:lnRef>
        <a:fillRef idx="1">
          <a:schemeClr val="accent1"/>
        </a:fillRef>
        <a:effectRef idx="0">
          <a:schemeClr val="accent1"/>
        </a:effectRef>
        <a:fontRef idx="minor">
          <a:schemeClr val="lt1"/>
        </a:fontRef>
      </a:style>
    </a:spDef>
    <a:txDef>
      <a:spPr>
        <a:noFill/>
        <a:ln w="6350">
          <a:noFill/>
        </a:ln>
        <a:effectLst/>
      </a:spPr>
      <a:bodyPr wrap="square" rtlCol="0"/>
      <a:lstStyle/>
      <a:style>
        <a:lnRef idx="0">
          <a:schemeClr val="accent1"/>
        </a:lnRef>
        <a:fillRef idx="0">
          <a:schemeClr val="accent1"/>
        </a:fillRef>
        <a:effectRef idx="0">
          <a:schemeClr val="accent1"/>
        </a:effectRef>
        <a:fontRef idx="minor">
          <a:schemeClr val="dk1"/>
        </a:fontRef>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6" dT="2024-04-26T15:01:54.74" personId="{F1BDA6F0-2278-4D34-8BF2-8A807077A434}" id="{2DB912A6-AFBC-49A5-925A-AA09A3A462A9}">
    <text xml:space="preserve">Added 9% contingency for a total of 15% contingency between Construction and E&amp;C </text>
  </threadedComment>
  <threadedComment ref="E16" dT="2024-04-26T15:01:54.74" personId="{F1BDA6F0-2278-4D34-8BF2-8A807077A434}" id="{7896AA10-9D71-483F-B255-6ED3A17F353A}">
    <text xml:space="preserve">Added 9% contingency for a total of 15% contingency between Construction and E&amp;C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cmfclearinghouse.org/study_detail.php?stid=183" TargetMode="External"/><Relationship Id="rId7" Type="http://schemas.openxmlformats.org/officeDocument/2006/relationships/hyperlink" Target="https://www.cmfclearinghouse.org/detail.php?facid=325" TargetMode="External"/><Relationship Id="rId2" Type="http://schemas.openxmlformats.org/officeDocument/2006/relationships/hyperlink" Target="https://www.cmfclearinghouse.org/study_detail.php?stid=510" TargetMode="External"/><Relationship Id="rId1" Type="http://schemas.openxmlformats.org/officeDocument/2006/relationships/hyperlink" Target="https://www.cmfclearinghouse.org/study_detail.php?stid=13" TargetMode="External"/><Relationship Id="rId6" Type="http://schemas.openxmlformats.org/officeDocument/2006/relationships/hyperlink" Target="https://www.cmfclearinghouse.org/detail.php?facid=7570" TargetMode="External"/><Relationship Id="rId5" Type="http://schemas.openxmlformats.org/officeDocument/2006/relationships/hyperlink" Target="https://www.cmfclearinghouse.org/detail.php?facid=7570" TargetMode="External"/><Relationship Id="rId4" Type="http://schemas.openxmlformats.org/officeDocument/2006/relationships/hyperlink" Target="https://www.cmfclearinghouse.org/detail.php?facid=757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transportation.gov/sites/dot.gov/files/2023-12/Benefit%20Cost%20Analysis%20Guidance%202024%20Update.pdf"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cmfclearinghouse.org/study_detail.php?stid=183" TargetMode="External"/><Relationship Id="rId7" Type="http://schemas.openxmlformats.org/officeDocument/2006/relationships/hyperlink" Target="https://www.cmfclearinghouse.org/detail.php?facid=325" TargetMode="External"/><Relationship Id="rId2" Type="http://schemas.openxmlformats.org/officeDocument/2006/relationships/hyperlink" Target="https://www.cmfclearinghouse.org/study_detail.php?stid=510" TargetMode="External"/><Relationship Id="rId1" Type="http://schemas.openxmlformats.org/officeDocument/2006/relationships/hyperlink" Target="https://www.cmfclearinghouse.org/study_detail.php?stid=13" TargetMode="External"/><Relationship Id="rId6" Type="http://schemas.openxmlformats.org/officeDocument/2006/relationships/hyperlink" Target="https://www.cmfclearinghouse.org/detail.php?facid=7570" TargetMode="External"/><Relationship Id="rId5" Type="http://schemas.openxmlformats.org/officeDocument/2006/relationships/hyperlink" Target="https://www.cmfclearinghouse.org/detail.php?facid=7570" TargetMode="External"/><Relationship Id="rId4" Type="http://schemas.openxmlformats.org/officeDocument/2006/relationships/hyperlink" Target="https://www.cmfclearinghouse.org/detail.php?facid=757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C0A42-9E4E-45D8-A126-9C872F465BB5}">
  <sheetPr codeName="Sheet9"/>
  <dimension ref="B4:R27"/>
  <sheetViews>
    <sheetView workbookViewId="0">
      <selection activeCell="K10" sqref="K10"/>
    </sheetView>
  </sheetViews>
  <sheetFormatPr defaultColWidth="9" defaultRowHeight="13.8" x14ac:dyDescent="0.25"/>
  <cols>
    <col min="1" max="16384" width="9" style="43"/>
  </cols>
  <sheetData>
    <row r="4" spans="2:12" ht="17.399999999999999" x14ac:dyDescent="0.25">
      <c r="B4" s="1246" t="s">
        <v>213</v>
      </c>
      <c r="C4" s="1246"/>
      <c r="D4" s="1246"/>
      <c r="E4" s="1246"/>
      <c r="F4" s="1246"/>
      <c r="G4" s="1246"/>
      <c r="H4" s="1246"/>
      <c r="I4" s="1246"/>
      <c r="J4" s="1246"/>
      <c r="K4" s="1246"/>
      <c r="L4" s="1246"/>
    </row>
    <row r="5" spans="2:12" ht="17.399999999999999" x14ac:dyDescent="0.25">
      <c r="B5" s="1246" t="s">
        <v>268</v>
      </c>
      <c r="C5" s="1246"/>
      <c r="D5" s="1246"/>
      <c r="E5" s="1246"/>
      <c r="F5" s="1246"/>
      <c r="G5" s="1246"/>
      <c r="H5" s="1246"/>
      <c r="I5" s="1246"/>
      <c r="J5" s="1246"/>
      <c r="K5" s="1246"/>
      <c r="L5" s="1246"/>
    </row>
    <row r="6" spans="2:12" ht="17.399999999999999" x14ac:dyDescent="0.25">
      <c r="B6" s="1246" t="s">
        <v>723</v>
      </c>
      <c r="C6" s="1246"/>
      <c r="D6" s="1246"/>
      <c r="E6" s="1246"/>
      <c r="F6" s="1246"/>
      <c r="G6" s="1246"/>
      <c r="H6" s="1246"/>
      <c r="I6" s="1246"/>
      <c r="J6" s="1246"/>
      <c r="K6" s="1246"/>
      <c r="L6" s="1246"/>
    </row>
    <row r="7" spans="2:12" ht="17.399999999999999" x14ac:dyDescent="0.25">
      <c r="B7" s="1247">
        <v>45418</v>
      </c>
      <c r="C7" s="1247"/>
      <c r="D7" s="1247"/>
      <c r="E7" s="1247"/>
      <c r="F7" s="1247"/>
      <c r="G7" s="1247"/>
      <c r="H7" s="1247"/>
      <c r="I7" s="1247"/>
      <c r="J7" s="1247"/>
      <c r="K7" s="1247"/>
      <c r="L7" s="1247"/>
    </row>
    <row r="14" spans="2:12" ht="15.6" x14ac:dyDescent="0.3">
      <c r="B14" s="1248"/>
      <c r="C14" s="1248"/>
      <c r="E14" s="185"/>
    </row>
    <row r="15" spans="2:12" x14ac:dyDescent="0.25">
      <c r="B15" s="187"/>
      <c r="C15" s="187"/>
      <c r="D15" s="187"/>
      <c r="E15" s="187"/>
      <c r="F15" s="187"/>
      <c r="G15" s="187"/>
      <c r="H15" s="187"/>
      <c r="I15" s="187"/>
      <c r="J15" s="187"/>
      <c r="K15" s="187"/>
      <c r="L15" s="187"/>
    </row>
    <row r="16" spans="2:12" x14ac:dyDescent="0.25">
      <c r="B16" s="187"/>
      <c r="C16" s="187"/>
      <c r="D16" s="187"/>
      <c r="E16" s="187"/>
      <c r="F16" s="187"/>
      <c r="G16" s="187"/>
      <c r="H16" s="187"/>
      <c r="I16" s="187"/>
      <c r="J16" s="187"/>
      <c r="K16" s="187"/>
      <c r="L16" s="187"/>
    </row>
    <row r="17" spans="2:18" x14ac:dyDescent="0.25">
      <c r="B17" s="187"/>
      <c r="C17" s="187"/>
      <c r="D17" s="187"/>
      <c r="E17" s="187"/>
      <c r="F17" s="187"/>
      <c r="G17" s="187"/>
      <c r="H17" s="187"/>
      <c r="I17" s="187"/>
      <c r="J17" s="187"/>
      <c r="K17" s="187"/>
      <c r="L17" s="187"/>
    </row>
    <row r="18" spans="2:18" x14ac:dyDescent="0.25">
      <c r="B18" s="187"/>
      <c r="C18" s="187"/>
      <c r="D18" s="187"/>
      <c r="E18" s="187"/>
      <c r="F18" s="187"/>
      <c r="G18" s="187"/>
      <c r="H18" s="187"/>
      <c r="I18" s="187"/>
      <c r="J18" s="187"/>
      <c r="K18" s="187"/>
      <c r="L18" s="187"/>
      <c r="P18"/>
    </row>
    <row r="19" spans="2:18" x14ac:dyDescent="0.25">
      <c r="B19" s="187"/>
      <c r="C19" s="187"/>
      <c r="D19" s="187"/>
      <c r="E19" s="187"/>
      <c r="F19" s="187"/>
      <c r="G19" s="187"/>
      <c r="H19" s="187"/>
      <c r="I19" s="187"/>
      <c r="J19" s="187"/>
      <c r="K19" s="187"/>
      <c r="L19" s="187"/>
      <c r="R19"/>
    </row>
    <row r="20" spans="2:18" x14ac:dyDescent="0.25">
      <c r="B20" s="187"/>
      <c r="C20" s="187"/>
      <c r="D20" s="187"/>
      <c r="E20" s="187"/>
      <c r="F20" s="187"/>
      <c r="G20" s="187"/>
      <c r="H20" s="187"/>
      <c r="I20" s="187"/>
      <c r="J20" s="187"/>
      <c r="K20" s="187"/>
      <c r="L20" s="187"/>
    </row>
    <row r="21" spans="2:18" x14ac:dyDescent="0.25">
      <c r="B21" s="187"/>
      <c r="C21" s="187"/>
      <c r="D21" s="187"/>
      <c r="E21" s="187"/>
      <c r="F21" s="187"/>
      <c r="G21" s="187"/>
      <c r="H21" s="187"/>
      <c r="I21" s="187"/>
      <c r="J21" s="187"/>
      <c r="K21" s="187"/>
      <c r="L21" s="187"/>
    </row>
    <row r="22" spans="2:18" x14ac:dyDescent="0.25">
      <c r="B22" s="187"/>
      <c r="C22" s="187"/>
      <c r="D22" s="187"/>
      <c r="E22" s="187"/>
      <c r="F22" s="187"/>
      <c r="G22" s="187"/>
      <c r="H22" s="187"/>
      <c r="I22" s="187"/>
      <c r="J22" s="187"/>
      <c r="K22" s="187"/>
      <c r="L22" s="187"/>
    </row>
    <row r="23" spans="2:18" x14ac:dyDescent="0.25">
      <c r="B23" s="187"/>
      <c r="C23" s="187"/>
      <c r="D23" s="187"/>
      <c r="E23" s="187"/>
      <c r="F23" s="187"/>
      <c r="G23" s="187"/>
      <c r="H23" s="187"/>
      <c r="I23" s="187"/>
      <c r="J23" s="187"/>
      <c r="K23" s="187"/>
      <c r="L23" s="187"/>
    </row>
    <row r="24" spans="2:18" x14ac:dyDescent="0.25">
      <c r="B24" s="187"/>
      <c r="C24" s="187"/>
      <c r="D24" s="187"/>
      <c r="E24" s="187"/>
      <c r="F24" s="187"/>
      <c r="G24" s="187"/>
      <c r="H24" s="187"/>
      <c r="I24" s="187"/>
      <c r="J24" s="187"/>
      <c r="K24" s="187"/>
      <c r="L24" s="187"/>
    </row>
    <row r="25" spans="2:18" x14ac:dyDescent="0.25">
      <c r="B25" s="187"/>
      <c r="C25" s="187"/>
      <c r="D25" s="187"/>
      <c r="E25" s="187"/>
      <c r="F25" s="187"/>
      <c r="G25" s="187"/>
      <c r="H25" s="187"/>
      <c r="I25" s="187"/>
      <c r="J25" s="187"/>
      <c r="K25" s="187"/>
      <c r="L25" s="187"/>
    </row>
    <row r="26" spans="2:18" x14ac:dyDescent="0.25">
      <c r="B26" s="187"/>
      <c r="C26" s="187"/>
      <c r="D26" s="187"/>
      <c r="E26" s="187"/>
      <c r="F26" s="187"/>
      <c r="G26" s="187"/>
      <c r="H26" s="187"/>
      <c r="I26" s="187"/>
      <c r="J26" s="187"/>
      <c r="K26" s="187"/>
      <c r="L26" s="187"/>
    </row>
    <row r="27" spans="2:18" x14ac:dyDescent="0.25">
      <c r="B27" s="186"/>
      <c r="C27" s="186"/>
      <c r="D27" s="186"/>
      <c r="E27" s="186"/>
      <c r="F27" s="186"/>
      <c r="G27" s="186"/>
      <c r="H27" s="186"/>
      <c r="I27" s="186"/>
      <c r="J27" s="186"/>
      <c r="K27" s="186"/>
      <c r="L27" s="186"/>
    </row>
  </sheetData>
  <mergeCells count="5">
    <mergeCell ref="B4:L4"/>
    <mergeCell ref="B5:L5"/>
    <mergeCell ref="B6:L6"/>
    <mergeCell ref="B7:L7"/>
    <mergeCell ref="B14:C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48B7-B7A4-4A8B-AE41-0047E8CA06D8}">
  <sheetPr>
    <tabColor theme="4" tint="-0.249977111117893"/>
  </sheetPr>
  <dimension ref="A2:AI94"/>
  <sheetViews>
    <sheetView topLeftCell="A42" zoomScale="90" zoomScaleNormal="90" workbookViewId="0">
      <selection activeCell="C20" sqref="C20"/>
    </sheetView>
  </sheetViews>
  <sheetFormatPr defaultColWidth="10.59765625" defaultRowHeight="21.9" customHeight="1" x14ac:dyDescent="0.25"/>
  <cols>
    <col min="1" max="1" width="3.3984375" customWidth="1"/>
    <col min="2" max="2" width="30" customWidth="1"/>
    <col min="3" max="3" width="29.8984375" style="2" customWidth="1"/>
    <col min="4" max="4" width="15.59765625" style="28" customWidth="1"/>
    <col min="5" max="7" width="13.69921875" style="28" customWidth="1"/>
    <col min="8" max="8" width="13.69921875" style="12" customWidth="1"/>
    <col min="9" max="9" width="14.5" style="12" customWidth="1"/>
    <col min="10" max="20" width="13.69921875" style="12" customWidth="1"/>
    <col min="21" max="35" width="12.19921875" style="12" customWidth="1"/>
    <col min="36" max="46" width="12.19921875" customWidth="1"/>
  </cols>
  <sheetData>
    <row r="2" spans="1:18" ht="22.8" x14ac:dyDescent="0.25">
      <c r="B2" s="537" t="s">
        <v>102</v>
      </c>
      <c r="C2"/>
    </row>
    <row r="4" spans="1:18" ht="21.9" customHeight="1" x14ac:dyDescent="0.25">
      <c r="A4" s="189"/>
      <c r="B4" s="190" t="s">
        <v>0</v>
      </c>
    </row>
    <row r="5" spans="1:18" ht="21.9" customHeight="1" x14ac:dyDescent="0.25">
      <c r="C5"/>
    </row>
    <row r="6" spans="1:18" ht="21.9" customHeight="1" thickBot="1" x14ac:dyDescent="0.3">
      <c r="B6" s="191" t="s">
        <v>265</v>
      </c>
      <c r="D6" s="2"/>
    </row>
    <row r="7" spans="1:18" ht="41.4" x14ac:dyDescent="0.25">
      <c r="B7" s="805" t="s">
        <v>61</v>
      </c>
      <c r="C7" s="734" t="s">
        <v>160</v>
      </c>
      <c r="D7" s="872" t="s">
        <v>194</v>
      </c>
      <c r="E7" s="734" t="s">
        <v>162</v>
      </c>
      <c r="F7" s="734" t="s">
        <v>163</v>
      </c>
      <c r="G7" s="872" t="s">
        <v>195</v>
      </c>
      <c r="H7" s="873" t="s">
        <v>169</v>
      </c>
      <c r="I7" s="873" t="s">
        <v>170</v>
      </c>
      <c r="J7" s="736" t="s">
        <v>89</v>
      </c>
      <c r="K7" s="1079"/>
      <c r="L7" s="1079"/>
      <c r="M7" s="1079"/>
      <c r="N7" s="1079"/>
      <c r="O7" s="1079"/>
      <c r="P7" s="1079"/>
      <c r="Q7" s="1079"/>
      <c r="R7" s="1079"/>
    </row>
    <row r="8" spans="1:18" ht="21.9" customHeight="1" x14ac:dyDescent="0.25">
      <c r="B8" s="861" t="str">
        <f>'Project Cost Data'!B9</f>
        <v>US-412/SH-412B Interchange</v>
      </c>
      <c r="C8" s="820">
        <f>'Project Cost Data'!D9</f>
        <v>15000000</v>
      </c>
      <c r="D8" s="820">
        <f>'Project Cost Data'!F9</f>
        <v>900000</v>
      </c>
      <c r="E8" s="866">
        <f>'Project Cost Data'!G9</f>
        <v>760000</v>
      </c>
      <c r="F8" s="820">
        <f>'Project Cost Data'!H9</f>
        <v>0</v>
      </c>
      <c r="G8" s="820">
        <f>'Project Cost Data'!I9</f>
        <v>0</v>
      </c>
      <c r="H8" s="866">
        <f>SUM(C8:D8)</f>
        <v>15900000</v>
      </c>
      <c r="I8" s="820">
        <f>SUM(E8:G8)</f>
        <v>760000</v>
      </c>
      <c r="J8" s="821">
        <f>I8+H8</f>
        <v>16660000</v>
      </c>
      <c r="K8" s="820"/>
      <c r="L8" s="820"/>
      <c r="M8" s="820"/>
      <c r="N8" s="820"/>
      <c r="O8" s="820"/>
      <c r="P8" s="820"/>
      <c r="Q8" s="820"/>
      <c r="R8" s="820"/>
    </row>
    <row r="9" spans="1:18" ht="21.9" customHeight="1" x14ac:dyDescent="0.25">
      <c r="B9" s="861" t="str">
        <f>'Project Cost Data'!B10</f>
        <v>SH-412B Roundabout</v>
      </c>
      <c r="C9" s="820">
        <f>'Project Cost Data'!D10</f>
        <v>5600000</v>
      </c>
      <c r="D9" s="820">
        <f>'Project Cost Data'!F10</f>
        <v>336000</v>
      </c>
      <c r="E9" s="866">
        <f>'Project Cost Data'!G10</f>
        <v>504000</v>
      </c>
      <c r="F9" s="820">
        <f>'Project Cost Data'!H10</f>
        <v>0</v>
      </c>
      <c r="G9" s="820">
        <f>'Project Cost Data'!I10</f>
        <v>280000</v>
      </c>
      <c r="H9" s="866">
        <f t="shared" ref="H9:H16" si="0">SUM(C9:D9)</f>
        <v>5936000</v>
      </c>
      <c r="I9" s="820">
        <f>SUM(E9:G9)</f>
        <v>784000</v>
      </c>
      <c r="J9" s="821">
        <f t="shared" ref="J9:J16" si="1">I9+H9</f>
        <v>6720000</v>
      </c>
      <c r="K9" s="820"/>
      <c r="L9" s="820"/>
      <c r="M9" s="820"/>
      <c r="N9" s="820"/>
      <c r="O9" s="820"/>
      <c r="P9" s="820"/>
      <c r="Q9" s="820"/>
      <c r="R9" s="820"/>
    </row>
    <row r="10" spans="1:18" ht="21.9" customHeight="1" x14ac:dyDescent="0.25">
      <c r="B10" s="861" t="str">
        <f>'Project Cost Data'!B11</f>
        <v>Patrol Road Improvements</v>
      </c>
      <c r="C10" s="820">
        <f>'Project Cost Data'!D11</f>
        <v>10800000</v>
      </c>
      <c r="D10" s="820">
        <f>'Project Cost Data'!F11</f>
        <v>648000</v>
      </c>
      <c r="E10" s="866">
        <f>'Project Cost Data'!G11</f>
        <v>972000</v>
      </c>
      <c r="F10" s="820">
        <f>'Project Cost Data'!H11</f>
        <v>0</v>
      </c>
      <c r="G10" s="820">
        <f>'Project Cost Data'!I11</f>
        <v>540000</v>
      </c>
      <c r="H10" s="866">
        <f>SUM(C10:D10)</f>
        <v>11448000</v>
      </c>
      <c r="I10" s="820">
        <f>SUM(E10:G10)</f>
        <v>1512000</v>
      </c>
      <c r="J10" s="821">
        <f>I10+H10</f>
        <v>12960000</v>
      </c>
      <c r="K10" s="820"/>
      <c r="L10" s="820"/>
      <c r="M10" s="820"/>
      <c r="N10" s="820"/>
      <c r="O10" s="820"/>
      <c r="P10" s="820"/>
      <c r="Q10" s="820"/>
      <c r="R10" s="820"/>
    </row>
    <row r="11" spans="1:18" ht="21.9" customHeight="1" x14ac:dyDescent="0.25">
      <c r="B11" s="861" t="str">
        <f>'Project Cost Data'!B12</f>
        <v>Williams Street Improvements</v>
      </c>
      <c r="C11" s="820">
        <f>'Project Cost Data'!D12</f>
        <v>13600000</v>
      </c>
      <c r="D11" s="820">
        <f>'Project Cost Data'!F12</f>
        <v>816000</v>
      </c>
      <c r="E11" s="866">
        <f>'Project Cost Data'!G12</f>
        <v>1224000</v>
      </c>
      <c r="F11" s="820">
        <f>'Project Cost Data'!H12</f>
        <v>0</v>
      </c>
      <c r="G11" s="820">
        <f>'Project Cost Data'!I12</f>
        <v>680000</v>
      </c>
      <c r="H11" s="866">
        <f>SUM(C11:D11)</f>
        <v>14416000</v>
      </c>
      <c r="I11" s="820">
        <f>SUM(E11:G11)</f>
        <v>1904000</v>
      </c>
      <c r="J11" s="821">
        <f t="shared" ref="J11" si="2">I11+H11</f>
        <v>16320000</v>
      </c>
      <c r="K11" s="820"/>
      <c r="L11" s="820"/>
      <c r="M11" s="820"/>
      <c r="N11" s="820"/>
      <c r="O11" s="820"/>
      <c r="P11" s="820"/>
      <c r="Q11" s="820"/>
      <c r="R11" s="820"/>
    </row>
    <row r="12" spans="1:18" ht="21.9" customHeight="1" x14ac:dyDescent="0.25">
      <c r="B12" s="758" t="s">
        <v>336</v>
      </c>
      <c r="C12" s="826">
        <f t="shared" ref="C12:J12" si="3">SUM(C8:C11)</f>
        <v>45000000</v>
      </c>
      <c r="D12" s="826">
        <f t="shared" si="3"/>
        <v>2700000</v>
      </c>
      <c r="E12" s="867">
        <f t="shared" si="3"/>
        <v>3460000</v>
      </c>
      <c r="F12" s="826">
        <f t="shared" si="3"/>
        <v>0</v>
      </c>
      <c r="G12" s="826">
        <f t="shared" si="3"/>
        <v>1500000</v>
      </c>
      <c r="H12" s="867">
        <f t="shared" si="3"/>
        <v>47700000</v>
      </c>
      <c r="I12" s="826">
        <f t="shared" si="3"/>
        <v>4960000</v>
      </c>
      <c r="J12" s="839">
        <f t="shared" si="3"/>
        <v>52660000</v>
      </c>
      <c r="K12" s="826"/>
      <c r="L12" s="826"/>
      <c r="M12" s="826"/>
      <c r="N12" s="826"/>
      <c r="O12" s="826"/>
      <c r="P12" s="826"/>
      <c r="Q12" s="826"/>
      <c r="R12" s="826"/>
    </row>
    <row r="13" spans="1:18" ht="21.9" customHeight="1" x14ac:dyDescent="0.25">
      <c r="B13" s="469"/>
      <c r="C13" s="820"/>
      <c r="D13" s="820"/>
      <c r="E13" s="866"/>
      <c r="F13" s="820"/>
      <c r="G13" s="820"/>
      <c r="H13" s="866"/>
      <c r="I13" s="820"/>
      <c r="J13" s="821"/>
      <c r="K13" s="820"/>
      <c r="L13" s="820"/>
      <c r="M13" s="820"/>
      <c r="N13" s="820"/>
      <c r="O13" s="820"/>
      <c r="P13" s="820"/>
      <c r="Q13" s="820"/>
      <c r="R13" s="820"/>
    </row>
    <row r="14" spans="1:18" ht="21.9" customHeight="1" x14ac:dyDescent="0.25">
      <c r="B14" s="1220" t="str">
        <f>'Project Cost Data'!B13</f>
        <v>SH-412B Improvements</v>
      </c>
      <c r="C14" s="854">
        <f>'Project Cost Data'!D13</f>
        <v>16800000</v>
      </c>
      <c r="D14" s="854">
        <f>'Project Cost Data'!F13</f>
        <v>1008000</v>
      </c>
      <c r="E14" s="1221">
        <f>'Project Cost Data'!G13</f>
        <v>1512000</v>
      </c>
      <c r="F14" s="854">
        <f>'Project Cost Data'!H13</f>
        <v>0</v>
      </c>
      <c r="G14" s="854">
        <f>'Project Cost Data'!I13</f>
        <v>840000</v>
      </c>
      <c r="H14" s="1221">
        <f t="shared" ref="H14" si="4">SUM(C14:D14)</f>
        <v>17808000</v>
      </c>
      <c r="I14" s="854">
        <f t="shared" ref="I14" si="5">SUM(E14:G14)</f>
        <v>2352000</v>
      </c>
      <c r="J14" s="850">
        <f t="shared" ref="J14" si="6">I14+H14</f>
        <v>20160000</v>
      </c>
      <c r="K14" s="820"/>
      <c r="L14" s="820"/>
      <c r="M14" s="820"/>
      <c r="N14" s="820"/>
      <c r="O14" s="820"/>
      <c r="P14" s="820"/>
      <c r="Q14" s="820"/>
      <c r="R14" s="820"/>
    </row>
    <row r="15" spans="1:18" ht="21.9" customHeight="1" x14ac:dyDescent="0.25">
      <c r="B15" s="861" t="str">
        <f>'Project Cost Data'!B14</f>
        <v>Zarrow Street Widening</v>
      </c>
      <c r="C15" s="820">
        <f>'Project Cost Data'!D14</f>
        <v>6340000</v>
      </c>
      <c r="D15" s="820">
        <f>'Project Cost Data'!F14</f>
        <v>380400</v>
      </c>
      <c r="E15" s="866">
        <f>'Project Cost Data'!G14</f>
        <v>570600</v>
      </c>
      <c r="F15" s="820">
        <f>'Project Cost Data'!H14</f>
        <v>0</v>
      </c>
      <c r="G15" s="820">
        <f>'Project Cost Data'!I14</f>
        <v>900000</v>
      </c>
      <c r="H15" s="866">
        <f t="shared" si="0"/>
        <v>6720400</v>
      </c>
      <c r="I15" s="820">
        <f t="shared" ref="I15:I16" si="7">SUM(E15:G15)</f>
        <v>1470600</v>
      </c>
      <c r="J15" s="821">
        <f t="shared" si="1"/>
        <v>8191000</v>
      </c>
      <c r="K15" s="820"/>
      <c r="L15" s="820"/>
      <c r="M15" s="820"/>
      <c r="N15" s="820"/>
      <c r="O15" s="820"/>
      <c r="P15" s="820"/>
      <c r="Q15" s="820"/>
      <c r="R15" s="820"/>
    </row>
    <row r="16" spans="1:18" ht="21.9" customHeight="1" x14ac:dyDescent="0.25">
      <c r="B16" s="861" t="str">
        <f>'Project Cost Data'!B15</f>
        <v>Rocket Road Improvements</v>
      </c>
      <c r="C16" s="820">
        <f>'Project Cost Data'!D15</f>
        <v>6700000</v>
      </c>
      <c r="D16" s="820">
        <f>'Project Cost Data'!F15</f>
        <v>402000</v>
      </c>
      <c r="E16" s="866">
        <f>'Project Cost Data'!G15</f>
        <v>603000</v>
      </c>
      <c r="F16" s="820">
        <f>'Project Cost Data'!H15</f>
        <v>0</v>
      </c>
      <c r="G16" s="820">
        <f>'Project Cost Data'!I15</f>
        <v>335000</v>
      </c>
      <c r="H16" s="866">
        <f t="shared" si="0"/>
        <v>7102000</v>
      </c>
      <c r="I16" s="820">
        <f t="shared" si="7"/>
        <v>938000</v>
      </c>
      <c r="J16" s="821">
        <f t="shared" si="1"/>
        <v>8040000</v>
      </c>
      <c r="K16" s="820"/>
      <c r="L16" s="820"/>
      <c r="M16" s="820"/>
      <c r="N16" s="820"/>
      <c r="O16" s="820"/>
      <c r="P16" s="820"/>
      <c r="Q16" s="820"/>
      <c r="R16" s="820"/>
    </row>
    <row r="17" spans="1:35" ht="21.9" customHeight="1" thickBot="1" x14ac:dyDescent="0.3">
      <c r="B17" s="868" t="s">
        <v>25</v>
      </c>
      <c r="C17" s="831">
        <f t="shared" ref="C17:J17" si="8">SUM(C8:C11)+SUM(C14:C16)</f>
        <v>74840000</v>
      </c>
      <c r="D17" s="831">
        <f t="shared" si="8"/>
        <v>4490400</v>
      </c>
      <c r="E17" s="869">
        <f t="shared" si="8"/>
        <v>6145600</v>
      </c>
      <c r="F17" s="831">
        <f t="shared" si="8"/>
        <v>0</v>
      </c>
      <c r="G17" s="831">
        <f t="shared" si="8"/>
        <v>3575000</v>
      </c>
      <c r="H17" s="869">
        <f t="shared" si="8"/>
        <v>79330400</v>
      </c>
      <c r="I17" s="831">
        <f t="shared" si="8"/>
        <v>9720600</v>
      </c>
      <c r="J17" s="842">
        <f t="shared" si="8"/>
        <v>89051000</v>
      </c>
      <c r="K17" s="826"/>
      <c r="L17" s="826"/>
      <c r="M17" s="826"/>
      <c r="N17" s="826"/>
      <c r="O17" s="826"/>
      <c r="P17" s="826"/>
      <c r="Q17" s="826"/>
      <c r="R17" s="826"/>
    </row>
    <row r="18" spans="1:35" ht="21.9" customHeight="1" x14ac:dyDescent="0.25">
      <c r="B18" s="108" t="s">
        <v>304</v>
      </c>
      <c r="C18"/>
    </row>
    <row r="19" spans="1:35" ht="21.9" customHeight="1" x14ac:dyDescent="0.25">
      <c r="A19" s="14"/>
      <c r="B19" s="15"/>
      <c r="C19" s="937"/>
    </row>
    <row r="20" spans="1:35" ht="21.9" customHeight="1" x14ac:dyDescent="0.25">
      <c r="B20" s="12"/>
      <c r="C20" s="28"/>
      <c r="Y20"/>
      <c r="Z20"/>
      <c r="AA20"/>
      <c r="AB20"/>
      <c r="AC20"/>
      <c r="AD20"/>
      <c r="AE20"/>
      <c r="AF20"/>
      <c r="AG20"/>
      <c r="AH20"/>
      <c r="AI20"/>
    </row>
    <row r="21" spans="1:35" ht="21.9" customHeight="1" thickBot="1" x14ac:dyDescent="0.3">
      <c r="B21" s="191" t="s">
        <v>167</v>
      </c>
    </row>
    <row r="22" spans="1:35" ht="21.9" customHeight="1" x14ac:dyDescent="0.25">
      <c r="B22" s="548" t="s">
        <v>88</v>
      </c>
      <c r="C22" s="459" t="s">
        <v>61</v>
      </c>
      <c r="D22" s="244">
        <v>2021</v>
      </c>
      <c r="E22" s="244">
        <f>D22+1</f>
        <v>2022</v>
      </c>
      <c r="F22" s="244">
        <f>E22+1</f>
        <v>2023</v>
      </c>
      <c r="G22" s="244">
        <f>F22+1</f>
        <v>2024</v>
      </c>
      <c r="H22" s="244">
        <f>G22+1</f>
        <v>2025</v>
      </c>
      <c r="I22" s="244">
        <f>H22+1</f>
        <v>2026</v>
      </c>
      <c r="J22" s="244">
        <f t="shared" ref="J22" si="9">I22+1</f>
        <v>2027</v>
      </c>
      <c r="K22" s="244">
        <f>J22+1</f>
        <v>2028</v>
      </c>
      <c r="L22" s="244">
        <f t="shared" ref="L22:M22" si="10">K22+1</f>
        <v>2029</v>
      </c>
      <c r="M22" s="244">
        <f t="shared" si="10"/>
        <v>2030</v>
      </c>
      <c r="N22" s="244">
        <f t="shared" ref="N22:O22" si="11">M22+1</f>
        <v>2031</v>
      </c>
      <c r="O22" s="244">
        <f t="shared" si="11"/>
        <v>2032</v>
      </c>
      <c r="P22" s="244">
        <f t="shared" ref="P22:Q22" si="12">O22+1</f>
        <v>2033</v>
      </c>
      <c r="Q22" s="244">
        <f t="shared" si="12"/>
        <v>2034</v>
      </c>
      <c r="R22" s="244">
        <f t="shared" ref="R22:S22" si="13">Q22+1</f>
        <v>2035</v>
      </c>
      <c r="S22" s="244">
        <f t="shared" si="13"/>
        <v>2036</v>
      </c>
      <c r="T22" s="244">
        <f t="shared" ref="T22:U22" si="14">S22+1</f>
        <v>2037</v>
      </c>
      <c r="U22" s="244">
        <f t="shared" si="14"/>
        <v>2038</v>
      </c>
      <c r="V22" s="244">
        <f t="shared" ref="V22:W22" si="15">U22+1</f>
        <v>2039</v>
      </c>
      <c r="W22" s="244">
        <f t="shared" si="15"/>
        <v>2040</v>
      </c>
      <c r="X22" s="244">
        <f t="shared" ref="X22:Y22" si="16">W22+1</f>
        <v>2041</v>
      </c>
      <c r="Y22" s="244">
        <f t="shared" si="16"/>
        <v>2042</v>
      </c>
      <c r="Z22" s="244">
        <f t="shared" ref="Z22:AA22" si="17">Y22+1</f>
        <v>2043</v>
      </c>
      <c r="AA22" s="244">
        <f t="shared" si="17"/>
        <v>2044</v>
      </c>
      <c r="AB22" s="244">
        <f t="shared" ref="AB22:AC22" si="18">AA22+1</f>
        <v>2045</v>
      </c>
      <c r="AC22" s="244">
        <f t="shared" si="18"/>
        <v>2046</v>
      </c>
      <c r="AD22" s="244">
        <f t="shared" ref="AD22:AE22" si="19">AC22+1</f>
        <v>2047</v>
      </c>
      <c r="AE22" s="473">
        <f t="shared" si="19"/>
        <v>2048</v>
      </c>
    </row>
    <row r="23" spans="1:35" ht="21.9" customHeight="1" x14ac:dyDescent="0.25">
      <c r="B23" s="466" t="s">
        <v>165</v>
      </c>
      <c r="C23" s="217" t="str">
        <f>'Project Cost Data'!B9</f>
        <v>US-412/SH-412B Interchange</v>
      </c>
      <c r="D23" s="217"/>
      <c r="E23" s="870">
        <f>1/3</f>
        <v>0.33333333333333331</v>
      </c>
      <c r="F23" s="870">
        <f>1/3</f>
        <v>0.33333333333333331</v>
      </c>
      <c r="G23" s="870">
        <f>1/3</f>
        <v>0.33333333333333331</v>
      </c>
      <c r="H23" s="226"/>
      <c r="I23" s="226"/>
      <c r="J23" s="870"/>
      <c r="K23" s="870"/>
      <c r="L23" s="870"/>
      <c r="M23" s="870"/>
      <c r="N23" s="870"/>
      <c r="O23" s="870"/>
      <c r="P23" s="870"/>
      <c r="Q23" s="870"/>
      <c r="R23" s="870"/>
      <c r="S23" s="1077"/>
      <c r="T23" s="1077"/>
      <c r="U23" s="1077"/>
      <c r="V23" s="1077"/>
      <c r="W23" s="1077"/>
      <c r="X23" s="1077"/>
      <c r="Y23" s="1077"/>
      <c r="Z23" s="1077"/>
      <c r="AA23" s="1077"/>
      <c r="AB23" s="1077"/>
      <c r="AC23" s="1077"/>
      <c r="AD23" s="1077"/>
      <c r="AE23" s="1078"/>
    </row>
    <row r="24" spans="1:35" ht="21.9" customHeight="1" x14ac:dyDescent="0.25">
      <c r="B24" s="469"/>
      <c r="C24" s="114" t="str">
        <f>'Project Cost Data'!B10</f>
        <v>SH-412B Roundabout</v>
      </c>
      <c r="D24" s="114"/>
      <c r="E24" s="414"/>
      <c r="F24" s="414">
        <v>0.5</v>
      </c>
      <c r="G24" s="414">
        <v>0.5</v>
      </c>
      <c r="H24" s="225"/>
      <c r="I24" s="225"/>
      <c r="J24" s="414"/>
      <c r="K24" s="414"/>
      <c r="L24" s="414"/>
      <c r="M24" s="414"/>
      <c r="N24" s="414"/>
      <c r="O24" s="414"/>
      <c r="P24" s="414"/>
      <c r="Q24" s="414"/>
      <c r="R24" s="414"/>
      <c r="AE24" s="1074"/>
    </row>
    <row r="25" spans="1:35" ht="21.9" customHeight="1" x14ac:dyDescent="0.25">
      <c r="B25" s="469"/>
      <c r="C25" s="114" t="str">
        <f>'Project Cost Data'!B11</f>
        <v>Patrol Road Improvements</v>
      </c>
      <c r="D25" s="114"/>
      <c r="E25" s="414">
        <v>0.5</v>
      </c>
      <c r="F25" s="414">
        <v>0.5</v>
      </c>
      <c r="G25" s="414"/>
      <c r="H25" s="225"/>
      <c r="I25" s="225"/>
      <c r="J25" s="414"/>
      <c r="K25" s="414"/>
      <c r="L25" s="414"/>
      <c r="M25" s="414"/>
      <c r="N25" s="414"/>
      <c r="O25" s="414"/>
      <c r="P25" s="414"/>
      <c r="Q25" s="414"/>
      <c r="R25" s="414"/>
      <c r="AE25" s="1074"/>
    </row>
    <row r="26" spans="1:35" ht="21.9" customHeight="1" x14ac:dyDescent="0.25">
      <c r="B26" s="469"/>
      <c r="C26" s="114" t="str">
        <f>'Project Cost Data'!B12</f>
        <v>Williams Street Improvements</v>
      </c>
      <c r="D26" s="114"/>
      <c r="E26" s="414"/>
      <c r="F26" s="414">
        <v>0.5</v>
      </c>
      <c r="G26" s="414">
        <v>0.5</v>
      </c>
      <c r="H26" s="225"/>
      <c r="I26" s="225"/>
      <c r="J26" s="414"/>
      <c r="K26" s="414"/>
      <c r="L26" s="414"/>
      <c r="M26" s="414"/>
      <c r="N26" s="414"/>
      <c r="O26" s="414"/>
      <c r="P26" s="414"/>
      <c r="Q26" s="414"/>
      <c r="R26" s="414"/>
      <c r="AE26" s="1074"/>
    </row>
    <row r="27" spans="1:35" ht="21.9" customHeight="1" x14ac:dyDescent="0.25">
      <c r="B27" s="469"/>
      <c r="C27" s="114" t="str">
        <f>'Project Cost Data'!B13</f>
        <v>SH-412B Improvements</v>
      </c>
      <c r="D27" s="114"/>
      <c r="E27" s="414">
        <v>0.5</v>
      </c>
      <c r="F27" s="414">
        <v>0.5</v>
      </c>
      <c r="G27" s="414"/>
      <c r="H27" s="225"/>
      <c r="I27" s="225"/>
      <c r="J27" s="414"/>
      <c r="K27" s="414"/>
      <c r="L27" s="414"/>
      <c r="M27" s="414"/>
      <c r="N27" s="414"/>
      <c r="O27" s="414"/>
      <c r="P27" s="414"/>
      <c r="Q27" s="414"/>
      <c r="R27" s="414"/>
      <c r="AE27" s="1074"/>
    </row>
    <row r="28" spans="1:35" ht="21.9" customHeight="1" x14ac:dyDescent="0.25">
      <c r="B28" s="469"/>
      <c r="C28" s="114" t="str">
        <f>'Project Cost Data'!B14</f>
        <v>Zarrow Street Widening</v>
      </c>
      <c r="D28" s="114"/>
      <c r="E28" s="414"/>
      <c r="F28" s="414">
        <v>0.5</v>
      </c>
      <c r="G28" s="414">
        <v>0.5</v>
      </c>
      <c r="H28" s="225"/>
      <c r="I28" s="225"/>
      <c r="J28" s="414"/>
      <c r="K28" s="414"/>
      <c r="L28" s="414"/>
      <c r="M28" s="414"/>
      <c r="N28" s="414"/>
      <c r="O28" s="414"/>
      <c r="P28" s="414"/>
      <c r="Q28" s="414"/>
      <c r="R28" s="414"/>
      <c r="AE28" s="1074"/>
    </row>
    <row r="29" spans="1:35" ht="21.9" customHeight="1" x14ac:dyDescent="0.25">
      <c r="B29" s="469"/>
      <c r="C29" s="114" t="str">
        <f>'Project Cost Data'!B15</f>
        <v>Rocket Road Improvements</v>
      </c>
      <c r="D29" s="114"/>
      <c r="E29" s="414"/>
      <c r="F29" s="414">
        <v>0.5</v>
      </c>
      <c r="G29" s="414">
        <v>0.5</v>
      </c>
      <c r="H29" s="225"/>
      <c r="I29" s="225"/>
      <c r="J29" s="414"/>
      <c r="K29" s="414"/>
      <c r="L29" s="414"/>
      <c r="M29" s="414"/>
      <c r="N29" s="414"/>
      <c r="O29" s="414"/>
      <c r="P29" s="414"/>
      <c r="Q29" s="414"/>
      <c r="R29" s="414"/>
      <c r="AE29" s="1074"/>
    </row>
    <row r="30" spans="1:35" ht="21.9" customHeight="1" x14ac:dyDescent="0.25">
      <c r="B30" s="466" t="s">
        <v>168</v>
      </c>
      <c r="C30" s="217" t="str">
        <f>'Project Cost Data'!B9</f>
        <v>US-412/SH-412B Interchange</v>
      </c>
      <c r="D30" s="217"/>
      <c r="E30" s="870"/>
      <c r="F30" s="870"/>
      <c r="G30" s="870"/>
      <c r="H30" s="870">
        <v>0.25</v>
      </c>
      <c r="I30" s="870">
        <v>0.25</v>
      </c>
      <c r="J30" s="870">
        <v>0.25</v>
      </c>
      <c r="K30" s="870">
        <v>0.25</v>
      </c>
      <c r="L30" s="870"/>
      <c r="M30" s="870"/>
      <c r="N30" s="870"/>
      <c r="O30" s="870"/>
      <c r="P30" s="870"/>
      <c r="Q30" s="870"/>
      <c r="R30" s="870"/>
      <c r="S30" s="1077"/>
      <c r="T30" s="1077"/>
      <c r="U30" s="1077"/>
      <c r="V30" s="1077"/>
      <c r="W30" s="1077"/>
      <c r="X30" s="1077"/>
      <c r="Y30" s="1077"/>
      <c r="Z30" s="1077"/>
      <c r="AA30" s="1077"/>
      <c r="AB30" s="1077"/>
      <c r="AC30" s="1077"/>
      <c r="AD30" s="1077"/>
      <c r="AE30" s="1078"/>
    </row>
    <row r="31" spans="1:35" ht="21.9" customHeight="1" x14ac:dyDescent="0.25">
      <c r="B31" s="469"/>
      <c r="C31" s="114" t="str">
        <f>'Project Cost Data'!B10</f>
        <v>SH-412B Roundabout</v>
      </c>
      <c r="D31" s="114"/>
      <c r="E31" s="414"/>
      <c r="F31" s="414"/>
      <c r="G31" s="414"/>
      <c r="H31" s="414">
        <v>0.5</v>
      </c>
      <c r="I31" s="414">
        <v>0.5</v>
      </c>
      <c r="J31" s="414"/>
      <c r="K31" s="414"/>
      <c r="L31" s="414"/>
      <c r="M31" s="414"/>
      <c r="N31" s="414"/>
      <c r="O31" s="414"/>
      <c r="P31" s="414"/>
      <c r="Q31" s="414"/>
      <c r="R31" s="414"/>
      <c r="AE31" s="1074"/>
    </row>
    <row r="32" spans="1:35" ht="21.9" customHeight="1" x14ac:dyDescent="0.25">
      <c r="B32" s="469"/>
      <c r="C32" s="114" t="str">
        <f>'Project Cost Data'!B11</f>
        <v>Patrol Road Improvements</v>
      </c>
      <c r="D32" s="114"/>
      <c r="E32" s="414"/>
      <c r="F32" s="414"/>
      <c r="G32" s="414"/>
      <c r="H32" s="414">
        <v>0.5</v>
      </c>
      <c r="I32" s="414">
        <v>0.5</v>
      </c>
      <c r="J32" s="414"/>
      <c r="K32" s="414"/>
      <c r="L32" s="414"/>
      <c r="M32" s="414"/>
      <c r="N32" s="414"/>
      <c r="O32" s="414"/>
      <c r="P32" s="414"/>
      <c r="Q32" s="414"/>
      <c r="R32" s="414"/>
      <c r="AE32" s="1074"/>
    </row>
    <row r="33" spans="1:35" ht="21.9" customHeight="1" x14ac:dyDescent="0.25">
      <c r="B33" s="469"/>
      <c r="C33" s="114" t="str">
        <f>'Project Cost Data'!B12</f>
        <v>Williams Street Improvements</v>
      </c>
      <c r="D33" s="114"/>
      <c r="E33" s="414"/>
      <c r="F33" s="414"/>
      <c r="G33" s="414"/>
      <c r="H33" s="414">
        <f t="shared" ref="H33:I33" si="20">1/3</f>
        <v>0.33333333333333331</v>
      </c>
      <c r="I33" s="414">
        <f t="shared" si="20"/>
        <v>0.33333333333333331</v>
      </c>
      <c r="J33" s="414">
        <f>1/3</f>
        <v>0.33333333333333331</v>
      </c>
      <c r="K33" s="414"/>
      <c r="L33" s="414"/>
      <c r="M33" s="414"/>
      <c r="N33" s="414"/>
      <c r="O33" s="414"/>
      <c r="P33" s="414"/>
      <c r="Q33" s="414"/>
      <c r="R33" s="414"/>
      <c r="AE33" s="1074"/>
    </row>
    <row r="34" spans="1:35" ht="21.9" customHeight="1" x14ac:dyDescent="0.25">
      <c r="B34" s="469"/>
      <c r="C34" s="114" t="str">
        <f>'Project Cost Data'!B13</f>
        <v>SH-412B Improvements</v>
      </c>
      <c r="D34" s="114"/>
      <c r="E34" s="414"/>
      <c r="F34" s="414"/>
      <c r="G34" s="414"/>
      <c r="H34" s="414">
        <v>0.5</v>
      </c>
      <c r="I34" s="414">
        <v>0.5</v>
      </c>
      <c r="J34" s="414"/>
      <c r="K34" s="414"/>
      <c r="L34" s="414"/>
      <c r="M34" s="414"/>
      <c r="N34" s="414"/>
      <c r="O34" s="414"/>
      <c r="P34" s="414"/>
      <c r="Q34" s="414"/>
      <c r="R34" s="414"/>
      <c r="AE34" s="1074"/>
    </row>
    <row r="35" spans="1:35" ht="21.9" customHeight="1" x14ac:dyDescent="0.25">
      <c r="B35" s="469"/>
      <c r="C35" s="114" t="str">
        <f>'Project Cost Data'!B14</f>
        <v>Zarrow Street Widening</v>
      </c>
      <c r="D35" s="114"/>
      <c r="E35" s="414"/>
      <c r="F35" s="414"/>
      <c r="G35" s="414"/>
      <c r="H35" s="414">
        <v>0.5</v>
      </c>
      <c r="I35" s="414">
        <v>0.5</v>
      </c>
      <c r="J35" s="414"/>
      <c r="K35" s="414"/>
      <c r="L35" s="414"/>
      <c r="M35" s="414"/>
      <c r="N35" s="414"/>
      <c r="O35" s="414"/>
      <c r="P35" s="414"/>
      <c r="Q35" s="414"/>
      <c r="R35" s="414"/>
      <c r="AE35" s="1074"/>
    </row>
    <row r="36" spans="1:35" ht="21.9" customHeight="1" thickBot="1" x14ac:dyDescent="0.3">
      <c r="B36" s="768"/>
      <c r="C36" s="274" t="str">
        <f>'Project Cost Data'!B15</f>
        <v>Rocket Road Improvements</v>
      </c>
      <c r="D36" s="274"/>
      <c r="E36" s="416"/>
      <c r="F36" s="416"/>
      <c r="G36" s="416"/>
      <c r="H36" s="416">
        <v>0.5</v>
      </c>
      <c r="I36" s="416">
        <v>0.5</v>
      </c>
      <c r="J36" s="416"/>
      <c r="K36" s="416"/>
      <c r="L36" s="416"/>
      <c r="M36" s="416"/>
      <c r="N36" s="416"/>
      <c r="O36" s="416"/>
      <c r="P36" s="416"/>
      <c r="Q36" s="416"/>
      <c r="R36" s="416"/>
      <c r="S36" s="1075"/>
      <c r="T36" s="1075"/>
      <c r="U36" s="1075"/>
      <c r="V36" s="1075"/>
      <c r="W36" s="1075"/>
      <c r="X36" s="1075"/>
      <c r="Y36" s="1075"/>
      <c r="Z36" s="1075"/>
      <c r="AA36" s="1075"/>
      <c r="AB36" s="1075"/>
      <c r="AC36" s="1075"/>
      <c r="AD36" s="1075"/>
      <c r="AE36" s="1076"/>
    </row>
    <row r="37" spans="1:35" ht="21.9" customHeight="1" x14ac:dyDescent="0.25">
      <c r="B37" s="188" t="s">
        <v>271</v>
      </c>
      <c r="H37"/>
      <c r="I37" s="28"/>
    </row>
    <row r="40" spans="1:35" ht="21.9" customHeight="1" x14ac:dyDescent="0.25">
      <c r="A40" s="189"/>
      <c r="B40" s="190" t="s">
        <v>103</v>
      </c>
    </row>
    <row r="42" spans="1:35" ht="21.9" customHeight="1" thickBot="1" x14ac:dyDescent="0.3">
      <c r="A42" s="14"/>
      <c r="B42" s="192" t="s">
        <v>266</v>
      </c>
      <c r="D42" s="2"/>
      <c r="Y42"/>
      <c r="Z42"/>
      <c r="AA42"/>
      <c r="AB42"/>
      <c r="AC42"/>
      <c r="AD42"/>
      <c r="AE42"/>
      <c r="AF42"/>
      <c r="AG42"/>
      <c r="AH42"/>
      <c r="AI42"/>
    </row>
    <row r="43" spans="1:35" ht="41.4" x14ac:dyDescent="0.25">
      <c r="B43" s="548" t="s">
        <v>61</v>
      </c>
      <c r="C43" s="459" t="s">
        <v>160</v>
      </c>
      <c r="D43" s="471" t="s">
        <v>194</v>
      </c>
      <c r="E43" s="459" t="s">
        <v>162</v>
      </c>
      <c r="F43" s="459" t="s">
        <v>163</v>
      </c>
      <c r="G43" s="471" t="s">
        <v>195</v>
      </c>
      <c r="H43" s="472" t="s">
        <v>169</v>
      </c>
      <c r="I43" s="472" t="s">
        <v>170</v>
      </c>
      <c r="J43" s="473" t="s">
        <v>89</v>
      </c>
      <c r="K43" s="1079"/>
      <c r="L43" s="1079"/>
      <c r="M43" s="1079"/>
      <c r="N43" s="1079"/>
      <c r="O43" s="1079"/>
      <c r="P43" s="1079"/>
      <c r="Q43" s="1079"/>
      <c r="R43" s="1079"/>
      <c r="Y43"/>
      <c r="Z43"/>
      <c r="AA43"/>
      <c r="AB43"/>
      <c r="AC43"/>
      <c r="AD43"/>
      <c r="AE43"/>
      <c r="AF43"/>
      <c r="AG43"/>
      <c r="AH43"/>
      <c r="AI43"/>
    </row>
    <row r="44" spans="1:35" s="4" customFormat="1" ht="21.9" customHeight="1" x14ac:dyDescent="0.25">
      <c r="A44"/>
      <c r="B44" s="466" t="str">
        <f>'Project Cost Data'!B9</f>
        <v>US-412/SH-412B Interchange</v>
      </c>
      <c r="C44" s="827">
        <f t="shared" ref="C44:J47" si="21">C8 * adjust2023to2021</f>
        <v>13902506.761978362</v>
      </c>
      <c r="D44" s="827">
        <f t="shared" si="21"/>
        <v>834150.40571870166</v>
      </c>
      <c r="E44" s="871">
        <f t="shared" si="21"/>
        <v>704393.67594023701</v>
      </c>
      <c r="F44" s="827">
        <f t="shared" si="21"/>
        <v>0</v>
      </c>
      <c r="G44" s="827">
        <f t="shared" si="21"/>
        <v>0</v>
      </c>
      <c r="H44" s="871">
        <f t="shared" si="21"/>
        <v>14736657.167697063</v>
      </c>
      <c r="I44" s="827">
        <f t="shared" si="21"/>
        <v>704393.67594023701</v>
      </c>
      <c r="J44" s="840">
        <f t="shared" si="21"/>
        <v>15441050.843637301</v>
      </c>
      <c r="K44" s="820"/>
      <c r="L44" s="820"/>
      <c r="M44" s="820"/>
      <c r="N44" s="820"/>
      <c r="O44" s="820"/>
      <c r="P44" s="820"/>
      <c r="Q44" s="820"/>
      <c r="R44" s="820"/>
      <c r="S44" s="13"/>
      <c r="T44" s="13"/>
      <c r="U44" s="13"/>
      <c r="V44" s="13"/>
      <c r="W44" s="13"/>
      <c r="X44" s="13"/>
    </row>
    <row r="45" spans="1:35" ht="21.9" customHeight="1" x14ac:dyDescent="0.25">
      <c r="B45" s="469" t="str">
        <f>'Project Cost Data'!B10</f>
        <v>SH-412B Roundabout</v>
      </c>
      <c r="C45" s="820">
        <f t="shared" si="21"/>
        <v>5190269.1911385879</v>
      </c>
      <c r="D45" s="820">
        <f t="shared" si="21"/>
        <v>311416.15146831528</v>
      </c>
      <c r="E45" s="866">
        <f t="shared" si="21"/>
        <v>467124.22720247298</v>
      </c>
      <c r="F45" s="820">
        <f t="shared" si="21"/>
        <v>0</v>
      </c>
      <c r="G45" s="820">
        <f t="shared" si="21"/>
        <v>259513.45955692942</v>
      </c>
      <c r="H45" s="866">
        <f t="shared" si="21"/>
        <v>5501685.342606904</v>
      </c>
      <c r="I45" s="820">
        <f t="shared" si="21"/>
        <v>726637.68675940239</v>
      </c>
      <c r="J45" s="821">
        <f t="shared" si="21"/>
        <v>6228323.029366306</v>
      </c>
      <c r="K45" s="820"/>
      <c r="L45" s="820"/>
      <c r="M45" s="820"/>
      <c r="N45" s="820"/>
      <c r="O45" s="820"/>
      <c r="P45" s="820"/>
      <c r="Q45" s="820"/>
      <c r="R45" s="820"/>
      <c r="Y45"/>
      <c r="Z45"/>
      <c r="AA45"/>
      <c r="AB45"/>
      <c r="AC45"/>
      <c r="AD45"/>
      <c r="AE45"/>
      <c r="AF45"/>
      <c r="AG45"/>
      <c r="AH45"/>
      <c r="AI45"/>
    </row>
    <row r="46" spans="1:35" ht="21.9" customHeight="1" x14ac:dyDescent="0.25">
      <c r="B46" s="469" t="str">
        <f>'Project Cost Data'!B11</f>
        <v>Patrol Road Improvements</v>
      </c>
      <c r="C46" s="820">
        <f t="shared" si="21"/>
        <v>10009804.868624421</v>
      </c>
      <c r="D46" s="820">
        <f t="shared" si="21"/>
        <v>600588.29211746517</v>
      </c>
      <c r="E46" s="866">
        <f t="shared" si="21"/>
        <v>900882.43817619781</v>
      </c>
      <c r="F46" s="820">
        <f t="shared" si="21"/>
        <v>0</v>
      </c>
      <c r="G46" s="820">
        <f t="shared" si="21"/>
        <v>500490.243431221</v>
      </c>
      <c r="H46" s="866">
        <f t="shared" si="21"/>
        <v>10610393.160741886</v>
      </c>
      <c r="I46" s="820">
        <f t="shared" si="21"/>
        <v>1401372.6816074189</v>
      </c>
      <c r="J46" s="821">
        <f t="shared" si="21"/>
        <v>12011765.842349304</v>
      </c>
      <c r="K46" s="820"/>
      <c r="L46" s="820"/>
      <c r="M46" s="820"/>
      <c r="N46" s="820"/>
      <c r="O46" s="820"/>
      <c r="P46" s="820"/>
      <c r="Q46" s="820"/>
      <c r="R46" s="820"/>
      <c r="Y46"/>
      <c r="Z46"/>
      <c r="AA46"/>
      <c r="AB46"/>
      <c r="AC46"/>
      <c r="AD46"/>
      <c r="AE46"/>
      <c r="AF46"/>
      <c r="AG46"/>
      <c r="AH46"/>
      <c r="AI46"/>
    </row>
    <row r="47" spans="1:35" ht="21.9" customHeight="1" x14ac:dyDescent="0.25">
      <c r="B47" s="469" t="str">
        <f>'Project Cost Data'!B12</f>
        <v>Williams Street Improvements</v>
      </c>
      <c r="C47" s="820">
        <f t="shared" si="21"/>
        <v>12604939.464193715</v>
      </c>
      <c r="D47" s="820">
        <f t="shared" si="21"/>
        <v>756296.36785162287</v>
      </c>
      <c r="E47" s="866">
        <f t="shared" si="21"/>
        <v>1134444.5517774343</v>
      </c>
      <c r="F47" s="820">
        <f t="shared" si="21"/>
        <v>0</v>
      </c>
      <c r="G47" s="820">
        <f t="shared" si="21"/>
        <v>630246.97320968576</v>
      </c>
      <c r="H47" s="866">
        <f t="shared" si="21"/>
        <v>13361235.832045337</v>
      </c>
      <c r="I47" s="820">
        <f t="shared" si="21"/>
        <v>1764691.5249871199</v>
      </c>
      <c r="J47" s="821">
        <f t="shared" si="21"/>
        <v>15125927.357032457</v>
      </c>
      <c r="K47" s="820"/>
      <c r="L47" s="820"/>
      <c r="M47" s="820"/>
      <c r="N47" s="820"/>
      <c r="O47" s="820"/>
      <c r="P47" s="820"/>
      <c r="Q47" s="820"/>
      <c r="R47" s="820"/>
      <c r="Y47"/>
      <c r="Z47"/>
      <c r="AA47"/>
      <c r="AB47"/>
      <c r="AC47"/>
      <c r="AD47"/>
      <c r="AE47"/>
      <c r="AF47"/>
      <c r="AG47"/>
      <c r="AH47"/>
      <c r="AI47"/>
    </row>
    <row r="48" spans="1:35" ht="21.9" customHeight="1" x14ac:dyDescent="0.25">
      <c r="B48" s="758" t="s">
        <v>336</v>
      </c>
      <c r="C48" s="826">
        <f t="shared" ref="C48:J48" si="22">SUM(C44:C47)</f>
        <v>41707520.285935089</v>
      </c>
      <c r="D48" s="826">
        <f t="shared" si="22"/>
        <v>2502451.2171561052</v>
      </c>
      <c r="E48" s="867">
        <f t="shared" si="22"/>
        <v>3206844.8930963418</v>
      </c>
      <c r="F48" s="826">
        <f t="shared" si="22"/>
        <v>0</v>
      </c>
      <c r="G48" s="826">
        <f t="shared" si="22"/>
        <v>1390250.6761978362</v>
      </c>
      <c r="H48" s="867">
        <f t="shared" si="22"/>
        <v>44209971.503091194</v>
      </c>
      <c r="I48" s="826">
        <f t="shared" si="22"/>
        <v>4597095.5692941789</v>
      </c>
      <c r="J48" s="839">
        <f t="shared" si="22"/>
        <v>48807067.072385363</v>
      </c>
      <c r="K48" s="826"/>
      <c r="L48" s="826"/>
      <c r="M48" s="826"/>
      <c r="N48" s="826"/>
      <c r="O48" s="826"/>
      <c r="P48" s="826"/>
      <c r="Q48" s="826"/>
      <c r="R48" s="826"/>
      <c r="Y48"/>
      <c r="Z48"/>
      <c r="AA48"/>
      <c r="AB48"/>
      <c r="AC48"/>
      <c r="AD48"/>
      <c r="AE48"/>
      <c r="AF48"/>
      <c r="AG48"/>
      <c r="AH48"/>
      <c r="AI48"/>
    </row>
    <row r="49" spans="2:35" ht="21.9" customHeight="1" x14ac:dyDescent="0.25">
      <c r="B49" s="469"/>
      <c r="C49" s="820"/>
      <c r="D49" s="820"/>
      <c r="E49" s="866"/>
      <c r="F49" s="820"/>
      <c r="G49" s="820"/>
      <c r="H49" s="866"/>
      <c r="I49" s="820"/>
      <c r="J49" s="821"/>
      <c r="K49" s="820"/>
      <c r="L49" s="820"/>
      <c r="M49" s="820"/>
      <c r="N49" s="820"/>
      <c r="O49" s="820"/>
      <c r="P49" s="820"/>
      <c r="Q49" s="820"/>
      <c r="R49" s="820"/>
      <c r="Y49"/>
      <c r="Z49"/>
      <c r="AA49"/>
      <c r="AB49"/>
      <c r="AC49"/>
      <c r="AD49"/>
      <c r="AE49"/>
      <c r="AF49"/>
      <c r="AG49"/>
      <c r="AH49"/>
      <c r="AI49"/>
    </row>
    <row r="50" spans="2:35" ht="21.9" customHeight="1" x14ac:dyDescent="0.25">
      <c r="B50" s="469" t="str">
        <f>'Project Cost Data'!B13</f>
        <v>SH-412B Improvements</v>
      </c>
      <c r="C50" s="820">
        <f t="shared" ref="C50:J52" si="23">C14 * adjust2023to2021</f>
        <v>15570807.573415766</v>
      </c>
      <c r="D50" s="820">
        <f t="shared" si="23"/>
        <v>934248.45440494595</v>
      </c>
      <c r="E50" s="866">
        <f t="shared" si="23"/>
        <v>1401372.6816074189</v>
      </c>
      <c r="F50" s="820">
        <f t="shared" si="23"/>
        <v>0</v>
      </c>
      <c r="G50" s="820">
        <f t="shared" si="23"/>
        <v>778540.37867078825</v>
      </c>
      <c r="H50" s="866">
        <f t="shared" si="23"/>
        <v>16505056.02782071</v>
      </c>
      <c r="I50" s="820">
        <f t="shared" si="23"/>
        <v>2179913.0602782071</v>
      </c>
      <c r="J50" s="821">
        <f t="shared" si="23"/>
        <v>18684969.088098917</v>
      </c>
      <c r="K50" s="820"/>
      <c r="L50" s="820"/>
      <c r="M50" s="820"/>
      <c r="N50" s="820"/>
      <c r="O50" s="820"/>
      <c r="P50" s="820"/>
      <c r="Q50" s="820"/>
      <c r="R50" s="820"/>
      <c r="Y50"/>
      <c r="Z50"/>
      <c r="AA50"/>
      <c r="AB50"/>
      <c r="AC50"/>
      <c r="AD50"/>
      <c r="AE50"/>
      <c r="AF50"/>
      <c r="AG50"/>
      <c r="AH50"/>
      <c r="AI50"/>
    </row>
    <row r="51" spans="2:35" ht="21.9" customHeight="1" x14ac:dyDescent="0.25">
      <c r="B51" s="469" t="str">
        <f>'Project Cost Data'!B14</f>
        <v>Zarrow Street Widening</v>
      </c>
      <c r="C51" s="820">
        <f t="shared" si="23"/>
        <v>5876126.1913961871</v>
      </c>
      <c r="D51" s="820">
        <f t="shared" si="23"/>
        <v>352567.57148377126</v>
      </c>
      <c r="E51" s="866">
        <f t="shared" si="23"/>
        <v>528851.35722565686</v>
      </c>
      <c r="F51" s="820">
        <f t="shared" si="23"/>
        <v>0</v>
      </c>
      <c r="G51" s="820">
        <f t="shared" si="23"/>
        <v>834150.40571870166</v>
      </c>
      <c r="H51" s="866">
        <f t="shared" si="23"/>
        <v>6228693.7628799584</v>
      </c>
      <c r="I51" s="820">
        <f t="shared" si="23"/>
        <v>1363001.7629443586</v>
      </c>
      <c r="J51" s="821">
        <f t="shared" si="23"/>
        <v>7591695.5258243177</v>
      </c>
      <c r="K51" s="820"/>
      <c r="L51" s="820"/>
      <c r="M51" s="820"/>
      <c r="N51" s="820"/>
      <c r="O51" s="820"/>
      <c r="P51" s="820"/>
      <c r="Q51" s="820"/>
      <c r="R51" s="820"/>
      <c r="Y51"/>
      <c r="Z51"/>
      <c r="AA51"/>
      <c r="AB51"/>
      <c r="AC51"/>
      <c r="AD51"/>
      <c r="AE51"/>
      <c r="AF51"/>
      <c r="AG51"/>
      <c r="AH51"/>
      <c r="AI51"/>
    </row>
    <row r="52" spans="2:35" ht="21.9" customHeight="1" x14ac:dyDescent="0.25">
      <c r="B52" s="469" t="str">
        <f>'Project Cost Data'!B15</f>
        <v>Rocket Road Improvements</v>
      </c>
      <c r="C52" s="820">
        <f t="shared" si="23"/>
        <v>6209786.3536836682</v>
      </c>
      <c r="D52" s="820">
        <f t="shared" si="23"/>
        <v>372587.18122102012</v>
      </c>
      <c r="E52" s="866">
        <f t="shared" si="23"/>
        <v>558880.77183153015</v>
      </c>
      <c r="F52" s="820">
        <f t="shared" si="23"/>
        <v>0</v>
      </c>
      <c r="G52" s="820">
        <f t="shared" si="23"/>
        <v>310489.31768418342</v>
      </c>
      <c r="H52" s="866">
        <f t="shared" si="23"/>
        <v>6582373.5349046886</v>
      </c>
      <c r="I52" s="820">
        <f t="shared" si="23"/>
        <v>869370.08951571351</v>
      </c>
      <c r="J52" s="821">
        <f t="shared" si="23"/>
        <v>7451743.6244204016</v>
      </c>
      <c r="K52" s="820"/>
      <c r="L52" s="820"/>
      <c r="M52" s="820"/>
      <c r="N52" s="820"/>
      <c r="O52" s="820"/>
      <c r="P52" s="820"/>
      <c r="Q52" s="820"/>
      <c r="R52" s="820"/>
      <c r="Y52"/>
      <c r="Z52"/>
      <c r="AA52"/>
      <c r="AB52"/>
      <c r="AC52"/>
      <c r="AD52"/>
      <c r="AE52"/>
      <c r="AF52"/>
      <c r="AG52"/>
      <c r="AH52"/>
      <c r="AI52"/>
    </row>
    <row r="53" spans="2:35" ht="21.9" customHeight="1" thickBot="1" x14ac:dyDescent="0.3">
      <c r="B53" s="868" t="s">
        <v>25</v>
      </c>
      <c r="C53" s="831">
        <f t="shared" ref="C53:J53" si="24">SUM(C44:C47)+SUM(C50:C52)</f>
        <v>69364240.404430717</v>
      </c>
      <c r="D53" s="831">
        <f t="shared" si="24"/>
        <v>4161854.4242658429</v>
      </c>
      <c r="E53" s="869">
        <f t="shared" si="24"/>
        <v>5695949.703760948</v>
      </c>
      <c r="F53" s="831">
        <f t="shared" si="24"/>
        <v>0</v>
      </c>
      <c r="G53" s="831">
        <f t="shared" si="24"/>
        <v>3313430.7782715093</v>
      </c>
      <c r="H53" s="869">
        <f t="shared" si="24"/>
        <v>73526094.828696549</v>
      </c>
      <c r="I53" s="831">
        <f t="shared" si="24"/>
        <v>9009380.4820324574</v>
      </c>
      <c r="J53" s="842">
        <f t="shared" si="24"/>
        <v>82535475.310728997</v>
      </c>
      <c r="K53" s="826"/>
      <c r="L53" s="826"/>
      <c r="M53" s="826"/>
      <c r="N53" s="826"/>
      <c r="O53" s="826"/>
      <c r="P53" s="826"/>
      <c r="Q53" s="826"/>
      <c r="R53" s="826"/>
      <c r="Y53"/>
      <c r="Z53"/>
      <c r="AA53"/>
      <c r="AB53"/>
      <c r="AC53"/>
      <c r="AD53"/>
      <c r="AE53"/>
      <c r="AF53"/>
      <c r="AG53"/>
      <c r="AH53"/>
      <c r="AI53"/>
    </row>
    <row r="55" spans="2:35" ht="21.9" customHeight="1" thickBot="1" x14ac:dyDescent="0.3">
      <c r="B55" s="191" t="s">
        <v>574</v>
      </c>
    </row>
    <row r="56" spans="2:35" ht="21.9" customHeight="1" x14ac:dyDescent="0.25">
      <c r="B56" s="805" t="s">
        <v>88</v>
      </c>
      <c r="C56" s="734" t="s">
        <v>61</v>
      </c>
      <c r="D56" s="735">
        <v>2021</v>
      </c>
      <c r="E56" s="735">
        <f t="shared" ref="E56:AE56" si="25">D56+1</f>
        <v>2022</v>
      </c>
      <c r="F56" s="735">
        <f t="shared" si="25"/>
        <v>2023</v>
      </c>
      <c r="G56" s="735">
        <f t="shared" si="25"/>
        <v>2024</v>
      </c>
      <c r="H56" s="735">
        <f t="shared" si="25"/>
        <v>2025</v>
      </c>
      <c r="I56" s="735">
        <f t="shared" si="25"/>
        <v>2026</v>
      </c>
      <c r="J56" s="735">
        <f t="shared" si="25"/>
        <v>2027</v>
      </c>
      <c r="K56" s="735">
        <f t="shared" si="25"/>
        <v>2028</v>
      </c>
      <c r="L56" s="735">
        <f t="shared" si="25"/>
        <v>2029</v>
      </c>
      <c r="M56" s="735">
        <f t="shared" si="25"/>
        <v>2030</v>
      </c>
      <c r="N56" s="735">
        <f t="shared" si="25"/>
        <v>2031</v>
      </c>
      <c r="O56" s="735">
        <f t="shared" si="25"/>
        <v>2032</v>
      </c>
      <c r="P56" s="735">
        <f t="shared" si="25"/>
        <v>2033</v>
      </c>
      <c r="Q56" s="735">
        <f t="shared" si="25"/>
        <v>2034</v>
      </c>
      <c r="R56" s="735">
        <f t="shared" si="25"/>
        <v>2035</v>
      </c>
      <c r="S56" s="735">
        <f t="shared" si="25"/>
        <v>2036</v>
      </c>
      <c r="T56" s="735">
        <f t="shared" si="25"/>
        <v>2037</v>
      </c>
      <c r="U56" s="735">
        <f t="shared" si="25"/>
        <v>2038</v>
      </c>
      <c r="V56" s="735">
        <f t="shared" si="25"/>
        <v>2039</v>
      </c>
      <c r="W56" s="735">
        <f t="shared" si="25"/>
        <v>2040</v>
      </c>
      <c r="X56" s="735">
        <f t="shared" si="25"/>
        <v>2041</v>
      </c>
      <c r="Y56" s="735">
        <f t="shared" si="25"/>
        <v>2042</v>
      </c>
      <c r="Z56" s="735">
        <f t="shared" si="25"/>
        <v>2043</v>
      </c>
      <c r="AA56" s="735">
        <f t="shared" si="25"/>
        <v>2044</v>
      </c>
      <c r="AB56" s="735">
        <f t="shared" si="25"/>
        <v>2045</v>
      </c>
      <c r="AC56" s="735">
        <f t="shared" si="25"/>
        <v>2046</v>
      </c>
      <c r="AD56" s="735">
        <f t="shared" si="25"/>
        <v>2047</v>
      </c>
      <c r="AE56" s="736">
        <f t="shared" si="25"/>
        <v>2048</v>
      </c>
    </row>
    <row r="57" spans="2:35" ht="21.9" customHeight="1" x14ac:dyDescent="0.25">
      <c r="B57" s="1335" t="s">
        <v>165</v>
      </c>
      <c r="C57" s="114" t="str">
        <f>'Project Cost Data'!B9</f>
        <v>US-412/SH-412B Interchange</v>
      </c>
      <c r="D57" s="874">
        <f t="shared" ref="D57:AE57" si="26">$I$44*D23</f>
        <v>0</v>
      </c>
      <c r="E57" s="874">
        <f t="shared" si="26"/>
        <v>234797.891980079</v>
      </c>
      <c r="F57" s="874">
        <f t="shared" si="26"/>
        <v>234797.891980079</v>
      </c>
      <c r="G57" s="874">
        <f t="shared" si="26"/>
        <v>234797.891980079</v>
      </c>
      <c r="H57" s="874">
        <f t="shared" si="26"/>
        <v>0</v>
      </c>
      <c r="I57" s="874">
        <f t="shared" si="26"/>
        <v>0</v>
      </c>
      <c r="J57" s="874">
        <f t="shared" si="26"/>
        <v>0</v>
      </c>
      <c r="K57" s="874">
        <f t="shared" si="26"/>
        <v>0</v>
      </c>
      <c r="L57" s="874">
        <f t="shared" si="26"/>
        <v>0</v>
      </c>
      <c r="M57" s="874">
        <f t="shared" si="26"/>
        <v>0</v>
      </c>
      <c r="N57" s="874">
        <f t="shared" si="26"/>
        <v>0</v>
      </c>
      <c r="O57" s="874">
        <f t="shared" si="26"/>
        <v>0</v>
      </c>
      <c r="P57" s="874">
        <f t="shared" si="26"/>
        <v>0</v>
      </c>
      <c r="Q57" s="874">
        <f t="shared" si="26"/>
        <v>0</v>
      </c>
      <c r="R57" s="874">
        <f t="shared" si="26"/>
        <v>0</v>
      </c>
      <c r="S57" s="874">
        <f t="shared" si="26"/>
        <v>0</v>
      </c>
      <c r="T57" s="874">
        <f t="shared" si="26"/>
        <v>0</v>
      </c>
      <c r="U57" s="874">
        <f t="shared" si="26"/>
        <v>0</v>
      </c>
      <c r="V57" s="874">
        <f t="shared" si="26"/>
        <v>0</v>
      </c>
      <c r="W57" s="874">
        <f t="shared" si="26"/>
        <v>0</v>
      </c>
      <c r="X57" s="874">
        <f t="shared" si="26"/>
        <v>0</v>
      </c>
      <c r="Y57" s="874">
        <f t="shared" si="26"/>
        <v>0</v>
      </c>
      <c r="Z57" s="874">
        <f t="shared" si="26"/>
        <v>0</v>
      </c>
      <c r="AA57" s="874">
        <f t="shared" si="26"/>
        <v>0</v>
      </c>
      <c r="AB57" s="874">
        <f t="shared" si="26"/>
        <v>0</v>
      </c>
      <c r="AC57" s="874">
        <f t="shared" si="26"/>
        <v>0</v>
      </c>
      <c r="AD57" s="874">
        <f t="shared" si="26"/>
        <v>0</v>
      </c>
      <c r="AE57" s="997">
        <f t="shared" si="26"/>
        <v>0</v>
      </c>
    </row>
    <row r="58" spans="2:35" ht="21.9" customHeight="1" x14ac:dyDescent="0.25">
      <c r="B58" s="1335"/>
      <c r="C58" s="114" t="str">
        <f>'Project Cost Data'!B10</f>
        <v>SH-412B Roundabout</v>
      </c>
      <c r="D58" s="874">
        <f>$I$44*D24</f>
        <v>0</v>
      </c>
      <c r="E58" s="874">
        <f t="shared" ref="E58:AE58" si="27">$I$45*E24</f>
        <v>0</v>
      </c>
      <c r="F58" s="874">
        <f t="shared" si="27"/>
        <v>363318.8433797012</v>
      </c>
      <c r="G58" s="874">
        <f t="shared" si="27"/>
        <v>363318.8433797012</v>
      </c>
      <c r="H58" s="874">
        <f t="shared" si="27"/>
        <v>0</v>
      </c>
      <c r="I58" s="874">
        <f t="shared" si="27"/>
        <v>0</v>
      </c>
      <c r="J58" s="874">
        <f t="shared" si="27"/>
        <v>0</v>
      </c>
      <c r="K58" s="874">
        <f t="shared" si="27"/>
        <v>0</v>
      </c>
      <c r="L58" s="874">
        <f t="shared" si="27"/>
        <v>0</v>
      </c>
      <c r="M58" s="874">
        <f t="shared" si="27"/>
        <v>0</v>
      </c>
      <c r="N58" s="874">
        <f t="shared" si="27"/>
        <v>0</v>
      </c>
      <c r="O58" s="874">
        <f t="shared" si="27"/>
        <v>0</v>
      </c>
      <c r="P58" s="874">
        <f t="shared" si="27"/>
        <v>0</v>
      </c>
      <c r="Q58" s="874">
        <f t="shared" si="27"/>
        <v>0</v>
      </c>
      <c r="R58" s="874">
        <f t="shared" si="27"/>
        <v>0</v>
      </c>
      <c r="S58" s="874">
        <f t="shared" si="27"/>
        <v>0</v>
      </c>
      <c r="T58" s="874">
        <f t="shared" si="27"/>
        <v>0</v>
      </c>
      <c r="U58" s="874">
        <f t="shared" si="27"/>
        <v>0</v>
      </c>
      <c r="V58" s="874">
        <f t="shared" si="27"/>
        <v>0</v>
      </c>
      <c r="W58" s="874">
        <f t="shared" si="27"/>
        <v>0</v>
      </c>
      <c r="X58" s="874">
        <f t="shared" si="27"/>
        <v>0</v>
      </c>
      <c r="Y58" s="874">
        <f t="shared" si="27"/>
        <v>0</v>
      </c>
      <c r="Z58" s="874">
        <f t="shared" si="27"/>
        <v>0</v>
      </c>
      <c r="AA58" s="874">
        <f t="shared" si="27"/>
        <v>0</v>
      </c>
      <c r="AB58" s="874">
        <f t="shared" si="27"/>
        <v>0</v>
      </c>
      <c r="AC58" s="874">
        <f t="shared" si="27"/>
        <v>0</v>
      </c>
      <c r="AD58" s="874">
        <f t="shared" si="27"/>
        <v>0</v>
      </c>
      <c r="AE58" s="997">
        <f t="shared" si="27"/>
        <v>0</v>
      </c>
    </row>
    <row r="59" spans="2:35" ht="21.9" customHeight="1" x14ac:dyDescent="0.25">
      <c r="B59" s="1335"/>
      <c r="C59" s="114" t="str">
        <f>'Project Cost Data'!B11</f>
        <v>Patrol Road Improvements</v>
      </c>
      <c r="D59" s="874">
        <f>$I$44*D25</f>
        <v>0</v>
      </c>
      <c r="E59" s="874">
        <f t="shared" ref="E59:AE59" si="28">$I$46*E25</f>
        <v>700686.34080370946</v>
      </c>
      <c r="F59" s="874">
        <f t="shared" si="28"/>
        <v>700686.34080370946</v>
      </c>
      <c r="G59" s="874">
        <f t="shared" si="28"/>
        <v>0</v>
      </c>
      <c r="H59" s="874">
        <f t="shared" si="28"/>
        <v>0</v>
      </c>
      <c r="I59" s="874">
        <f t="shared" si="28"/>
        <v>0</v>
      </c>
      <c r="J59" s="874">
        <f t="shared" si="28"/>
        <v>0</v>
      </c>
      <c r="K59" s="874">
        <f t="shared" si="28"/>
        <v>0</v>
      </c>
      <c r="L59" s="874">
        <f t="shared" si="28"/>
        <v>0</v>
      </c>
      <c r="M59" s="874">
        <f t="shared" si="28"/>
        <v>0</v>
      </c>
      <c r="N59" s="874">
        <f t="shared" si="28"/>
        <v>0</v>
      </c>
      <c r="O59" s="874">
        <f t="shared" si="28"/>
        <v>0</v>
      </c>
      <c r="P59" s="874">
        <f t="shared" si="28"/>
        <v>0</v>
      </c>
      <c r="Q59" s="874">
        <f t="shared" si="28"/>
        <v>0</v>
      </c>
      <c r="R59" s="874">
        <f t="shared" si="28"/>
        <v>0</v>
      </c>
      <c r="S59" s="874">
        <f t="shared" si="28"/>
        <v>0</v>
      </c>
      <c r="T59" s="874">
        <f t="shared" si="28"/>
        <v>0</v>
      </c>
      <c r="U59" s="874">
        <f t="shared" si="28"/>
        <v>0</v>
      </c>
      <c r="V59" s="874">
        <f t="shared" si="28"/>
        <v>0</v>
      </c>
      <c r="W59" s="874">
        <f t="shared" si="28"/>
        <v>0</v>
      </c>
      <c r="X59" s="874">
        <f t="shared" si="28"/>
        <v>0</v>
      </c>
      <c r="Y59" s="874">
        <f t="shared" si="28"/>
        <v>0</v>
      </c>
      <c r="Z59" s="874">
        <f t="shared" si="28"/>
        <v>0</v>
      </c>
      <c r="AA59" s="874">
        <f t="shared" si="28"/>
        <v>0</v>
      </c>
      <c r="AB59" s="874">
        <f t="shared" si="28"/>
        <v>0</v>
      </c>
      <c r="AC59" s="874">
        <f t="shared" si="28"/>
        <v>0</v>
      </c>
      <c r="AD59" s="874">
        <f t="shared" si="28"/>
        <v>0</v>
      </c>
      <c r="AE59" s="997">
        <f t="shared" si="28"/>
        <v>0</v>
      </c>
    </row>
    <row r="60" spans="2:35" ht="21.9" customHeight="1" x14ac:dyDescent="0.25">
      <c r="B60" s="1335"/>
      <c r="C60" s="250" t="str">
        <f>'Project Cost Data'!B12</f>
        <v>Williams Street Improvements</v>
      </c>
      <c r="D60" s="875">
        <f>$I$44*D26</f>
        <v>0</v>
      </c>
      <c r="E60" s="875">
        <f t="shared" ref="E60:AE60" si="29">$I$47*E26</f>
        <v>0</v>
      </c>
      <c r="F60" s="875">
        <f t="shared" si="29"/>
        <v>882345.76249355997</v>
      </c>
      <c r="G60" s="875">
        <f t="shared" si="29"/>
        <v>882345.76249355997</v>
      </c>
      <c r="H60" s="875">
        <f t="shared" si="29"/>
        <v>0</v>
      </c>
      <c r="I60" s="875">
        <f t="shared" si="29"/>
        <v>0</v>
      </c>
      <c r="J60" s="875">
        <f t="shared" si="29"/>
        <v>0</v>
      </c>
      <c r="K60" s="875">
        <f t="shared" si="29"/>
        <v>0</v>
      </c>
      <c r="L60" s="875">
        <f t="shared" si="29"/>
        <v>0</v>
      </c>
      <c r="M60" s="875">
        <f t="shared" si="29"/>
        <v>0</v>
      </c>
      <c r="N60" s="875">
        <f t="shared" si="29"/>
        <v>0</v>
      </c>
      <c r="O60" s="875">
        <f t="shared" si="29"/>
        <v>0</v>
      </c>
      <c r="P60" s="875">
        <f t="shared" si="29"/>
        <v>0</v>
      </c>
      <c r="Q60" s="875">
        <f t="shared" si="29"/>
        <v>0</v>
      </c>
      <c r="R60" s="875">
        <f t="shared" si="29"/>
        <v>0</v>
      </c>
      <c r="S60" s="875">
        <f t="shared" si="29"/>
        <v>0</v>
      </c>
      <c r="T60" s="875">
        <f t="shared" si="29"/>
        <v>0</v>
      </c>
      <c r="U60" s="875">
        <f t="shared" si="29"/>
        <v>0</v>
      </c>
      <c r="V60" s="875">
        <f t="shared" si="29"/>
        <v>0</v>
      </c>
      <c r="W60" s="875">
        <f t="shared" si="29"/>
        <v>0</v>
      </c>
      <c r="X60" s="875">
        <f t="shared" si="29"/>
        <v>0</v>
      </c>
      <c r="Y60" s="875">
        <f t="shared" si="29"/>
        <v>0</v>
      </c>
      <c r="Z60" s="875">
        <f t="shared" si="29"/>
        <v>0</v>
      </c>
      <c r="AA60" s="875">
        <f t="shared" si="29"/>
        <v>0</v>
      </c>
      <c r="AB60" s="875">
        <f t="shared" si="29"/>
        <v>0</v>
      </c>
      <c r="AC60" s="875">
        <f t="shared" si="29"/>
        <v>0</v>
      </c>
      <c r="AD60" s="875">
        <f t="shared" si="29"/>
        <v>0</v>
      </c>
      <c r="AE60" s="998">
        <f t="shared" si="29"/>
        <v>0</v>
      </c>
    </row>
    <row r="61" spans="2:35" ht="21.9" customHeight="1" x14ac:dyDescent="0.25">
      <c r="B61" s="1332" t="s">
        <v>168</v>
      </c>
      <c r="C61" s="114" t="str">
        <f>'Project Cost Data'!B9</f>
        <v>US-412/SH-412B Interchange</v>
      </c>
      <c r="D61" s="874">
        <f t="shared" ref="D61:AE61" si="30">$H$44*D30</f>
        <v>0</v>
      </c>
      <c r="E61" s="874">
        <f t="shared" si="30"/>
        <v>0</v>
      </c>
      <c r="F61" s="874">
        <f t="shared" si="30"/>
        <v>0</v>
      </c>
      <c r="G61" s="874">
        <f t="shared" si="30"/>
        <v>0</v>
      </c>
      <c r="H61" s="874">
        <f t="shared" si="30"/>
        <v>3684164.2919242657</v>
      </c>
      <c r="I61" s="874">
        <f t="shared" si="30"/>
        <v>3684164.2919242657</v>
      </c>
      <c r="J61" s="874">
        <f t="shared" si="30"/>
        <v>3684164.2919242657</v>
      </c>
      <c r="K61" s="874">
        <f t="shared" si="30"/>
        <v>3684164.2919242657</v>
      </c>
      <c r="L61" s="874">
        <f t="shared" si="30"/>
        <v>0</v>
      </c>
      <c r="M61" s="874">
        <f t="shared" si="30"/>
        <v>0</v>
      </c>
      <c r="N61" s="874">
        <f t="shared" si="30"/>
        <v>0</v>
      </c>
      <c r="O61" s="874">
        <f t="shared" si="30"/>
        <v>0</v>
      </c>
      <c r="P61" s="874">
        <f t="shared" si="30"/>
        <v>0</v>
      </c>
      <c r="Q61" s="874">
        <f t="shared" si="30"/>
        <v>0</v>
      </c>
      <c r="R61" s="874">
        <f t="shared" si="30"/>
        <v>0</v>
      </c>
      <c r="S61" s="874">
        <f t="shared" si="30"/>
        <v>0</v>
      </c>
      <c r="T61" s="874">
        <f t="shared" si="30"/>
        <v>0</v>
      </c>
      <c r="U61" s="874">
        <f t="shared" si="30"/>
        <v>0</v>
      </c>
      <c r="V61" s="874">
        <f t="shared" si="30"/>
        <v>0</v>
      </c>
      <c r="W61" s="874">
        <f t="shared" si="30"/>
        <v>0</v>
      </c>
      <c r="X61" s="874">
        <f t="shared" si="30"/>
        <v>0</v>
      </c>
      <c r="Y61" s="874">
        <f t="shared" si="30"/>
        <v>0</v>
      </c>
      <c r="Z61" s="874">
        <f t="shared" si="30"/>
        <v>0</v>
      </c>
      <c r="AA61" s="874">
        <f t="shared" si="30"/>
        <v>0</v>
      </c>
      <c r="AB61" s="874">
        <f t="shared" si="30"/>
        <v>0</v>
      </c>
      <c r="AC61" s="874">
        <f t="shared" si="30"/>
        <v>0</v>
      </c>
      <c r="AD61" s="874">
        <f t="shared" si="30"/>
        <v>0</v>
      </c>
      <c r="AE61" s="997">
        <f t="shared" si="30"/>
        <v>0</v>
      </c>
    </row>
    <row r="62" spans="2:35" ht="21.9" customHeight="1" x14ac:dyDescent="0.25">
      <c r="B62" s="1335"/>
      <c r="C62" s="114" t="str">
        <f>'Project Cost Data'!B10</f>
        <v>SH-412B Roundabout</v>
      </c>
      <c r="D62" s="874">
        <f t="shared" ref="D62:AE62" si="31">$H$45*D31</f>
        <v>0</v>
      </c>
      <c r="E62" s="874">
        <f t="shared" si="31"/>
        <v>0</v>
      </c>
      <c r="F62" s="874">
        <f t="shared" si="31"/>
        <v>0</v>
      </c>
      <c r="G62" s="874">
        <f t="shared" si="31"/>
        <v>0</v>
      </c>
      <c r="H62" s="874">
        <f t="shared" si="31"/>
        <v>2750842.671303452</v>
      </c>
      <c r="I62" s="874">
        <f t="shared" si="31"/>
        <v>2750842.671303452</v>
      </c>
      <c r="J62" s="874">
        <f t="shared" si="31"/>
        <v>0</v>
      </c>
      <c r="K62" s="874">
        <f t="shared" si="31"/>
        <v>0</v>
      </c>
      <c r="L62" s="874">
        <f t="shared" si="31"/>
        <v>0</v>
      </c>
      <c r="M62" s="874">
        <f t="shared" si="31"/>
        <v>0</v>
      </c>
      <c r="N62" s="874">
        <f t="shared" si="31"/>
        <v>0</v>
      </c>
      <c r="O62" s="874">
        <f t="shared" si="31"/>
        <v>0</v>
      </c>
      <c r="P62" s="874">
        <f t="shared" si="31"/>
        <v>0</v>
      </c>
      <c r="Q62" s="874">
        <f t="shared" si="31"/>
        <v>0</v>
      </c>
      <c r="R62" s="874">
        <f t="shared" si="31"/>
        <v>0</v>
      </c>
      <c r="S62" s="874">
        <f t="shared" si="31"/>
        <v>0</v>
      </c>
      <c r="T62" s="874">
        <f t="shared" si="31"/>
        <v>0</v>
      </c>
      <c r="U62" s="874">
        <f t="shared" si="31"/>
        <v>0</v>
      </c>
      <c r="V62" s="874">
        <f t="shared" si="31"/>
        <v>0</v>
      </c>
      <c r="W62" s="874">
        <f t="shared" si="31"/>
        <v>0</v>
      </c>
      <c r="X62" s="874">
        <f t="shared" si="31"/>
        <v>0</v>
      </c>
      <c r="Y62" s="874">
        <f t="shared" si="31"/>
        <v>0</v>
      </c>
      <c r="Z62" s="874">
        <f t="shared" si="31"/>
        <v>0</v>
      </c>
      <c r="AA62" s="874">
        <f t="shared" si="31"/>
        <v>0</v>
      </c>
      <c r="AB62" s="874">
        <f t="shared" si="31"/>
        <v>0</v>
      </c>
      <c r="AC62" s="874">
        <f t="shared" si="31"/>
        <v>0</v>
      </c>
      <c r="AD62" s="874">
        <f t="shared" si="31"/>
        <v>0</v>
      </c>
      <c r="AE62" s="997">
        <f t="shared" si="31"/>
        <v>0</v>
      </c>
    </row>
    <row r="63" spans="2:35" ht="21.9" customHeight="1" x14ac:dyDescent="0.25">
      <c r="B63" s="1335"/>
      <c r="C63" s="114" t="str">
        <f>'Project Cost Data'!B11</f>
        <v>Patrol Road Improvements</v>
      </c>
      <c r="D63" s="874">
        <f t="shared" ref="D63:AE63" si="32">$H$46*D32</f>
        <v>0</v>
      </c>
      <c r="E63" s="874">
        <f t="shared" si="32"/>
        <v>0</v>
      </c>
      <c r="F63" s="874">
        <f t="shared" si="32"/>
        <v>0</v>
      </c>
      <c r="G63" s="874">
        <f t="shared" si="32"/>
        <v>0</v>
      </c>
      <c r="H63" s="874">
        <f t="shared" si="32"/>
        <v>5305196.5803709431</v>
      </c>
      <c r="I63" s="874">
        <f t="shared" si="32"/>
        <v>5305196.5803709431</v>
      </c>
      <c r="J63" s="874">
        <f t="shared" si="32"/>
        <v>0</v>
      </c>
      <c r="K63" s="874">
        <f t="shared" si="32"/>
        <v>0</v>
      </c>
      <c r="L63" s="874">
        <f t="shared" si="32"/>
        <v>0</v>
      </c>
      <c r="M63" s="874">
        <f t="shared" si="32"/>
        <v>0</v>
      </c>
      <c r="N63" s="874">
        <f t="shared" si="32"/>
        <v>0</v>
      </c>
      <c r="O63" s="874">
        <f t="shared" si="32"/>
        <v>0</v>
      </c>
      <c r="P63" s="874">
        <f t="shared" si="32"/>
        <v>0</v>
      </c>
      <c r="Q63" s="874">
        <f t="shared" si="32"/>
        <v>0</v>
      </c>
      <c r="R63" s="874">
        <f t="shared" si="32"/>
        <v>0</v>
      </c>
      <c r="S63" s="874">
        <f t="shared" si="32"/>
        <v>0</v>
      </c>
      <c r="T63" s="874">
        <f t="shared" si="32"/>
        <v>0</v>
      </c>
      <c r="U63" s="874">
        <f t="shared" si="32"/>
        <v>0</v>
      </c>
      <c r="V63" s="874">
        <f t="shared" si="32"/>
        <v>0</v>
      </c>
      <c r="W63" s="874">
        <f t="shared" si="32"/>
        <v>0</v>
      </c>
      <c r="X63" s="874">
        <f t="shared" si="32"/>
        <v>0</v>
      </c>
      <c r="Y63" s="874">
        <f t="shared" si="32"/>
        <v>0</v>
      </c>
      <c r="Z63" s="874">
        <f t="shared" si="32"/>
        <v>0</v>
      </c>
      <c r="AA63" s="874">
        <f t="shared" si="32"/>
        <v>0</v>
      </c>
      <c r="AB63" s="874">
        <f t="shared" si="32"/>
        <v>0</v>
      </c>
      <c r="AC63" s="874">
        <f t="shared" si="32"/>
        <v>0</v>
      </c>
      <c r="AD63" s="874">
        <f t="shared" si="32"/>
        <v>0</v>
      </c>
      <c r="AE63" s="997">
        <f t="shared" si="32"/>
        <v>0</v>
      </c>
    </row>
    <row r="64" spans="2:35" ht="21.9" customHeight="1" x14ac:dyDescent="0.25">
      <c r="B64" s="1335"/>
      <c r="C64" s="114" t="str">
        <f>'Project Cost Data'!B12</f>
        <v>Williams Street Improvements</v>
      </c>
      <c r="D64" s="875">
        <f t="shared" ref="D64:AE64" si="33">$H$47*D33</f>
        <v>0</v>
      </c>
      <c r="E64" s="875">
        <f t="shared" si="33"/>
        <v>0</v>
      </c>
      <c r="F64" s="875">
        <f t="shared" si="33"/>
        <v>0</v>
      </c>
      <c r="G64" s="875">
        <f t="shared" si="33"/>
        <v>0</v>
      </c>
      <c r="H64" s="875">
        <f t="shared" si="33"/>
        <v>4453745.2773484457</v>
      </c>
      <c r="I64" s="875">
        <f t="shared" si="33"/>
        <v>4453745.2773484457</v>
      </c>
      <c r="J64" s="875">
        <f t="shared" si="33"/>
        <v>4453745.2773484457</v>
      </c>
      <c r="K64" s="875">
        <f t="shared" si="33"/>
        <v>0</v>
      </c>
      <c r="L64" s="875">
        <f t="shared" si="33"/>
        <v>0</v>
      </c>
      <c r="M64" s="875">
        <f t="shared" si="33"/>
        <v>0</v>
      </c>
      <c r="N64" s="875">
        <f t="shared" si="33"/>
        <v>0</v>
      </c>
      <c r="O64" s="875">
        <f t="shared" si="33"/>
        <v>0</v>
      </c>
      <c r="P64" s="875">
        <f t="shared" si="33"/>
        <v>0</v>
      </c>
      <c r="Q64" s="875">
        <f t="shared" si="33"/>
        <v>0</v>
      </c>
      <c r="R64" s="875">
        <f t="shared" si="33"/>
        <v>0</v>
      </c>
      <c r="S64" s="875">
        <f t="shared" si="33"/>
        <v>0</v>
      </c>
      <c r="T64" s="875">
        <f t="shared" si="33"/>
        <v>0</v>
      </c>
      <c r="U64" s="875">
        <f t="shared" si="33"/>
        <v>0</v>
      </c>
      <c r="V64" s="875">
        <f t="shared" si="33"/>
        <v>0</v>
      </c>
      <c r="W64" s="875">
        <f t="shared" si="33"/>
        <v>0</v>
      </c>
      <c r="X64" s="875">
        <f t="shared" si="33"/>
        <v>0</v>
      </c>
      <c r="Y64" s="875">
        <f t="shared" si="33"/>
        <v>0</v>
      </c>
      <c r="Z64" s="875">
        <f t="shared" si="33"/>
        <v>0</v>
      </c>
      <c r="AA64" s="875">
        <f t="shared" si="33"/>
        <v>0</v>
      </c>
      <c r="AB64" s="875">
        <f t="shared" si="33"/>
        <v>0</v>
      </c>
      <c r="AC64" s="875">
        <f t="shared" si="33"/>
        <v>0</v>
      </c>
      <c r="AD64" s="875">
        <f t="shared" si="33"/>
        <v>0</v>
      </c>
      <c r="AE64" s="998">
        <f t="shared" si="33"/>
        <v>0</v>
      </c>
    </row>
    <row r="65" spans="2:31" ht="21.9" customHeight="1" x14ac:dyDescent="0.25">
      <c r="B65" s="1332" t="s">
        <v>23</v>
      </c>
      <c r="C65" s="217" t="str">
        <f>'Project Cost Data'!B9</f>
        <v>US-412/SH-412B Interchange</v>
      </c>
      <c r="D65" s="874">
        <f t="shared" ref="D65:AE65" si="34">D57+D61</f>
        <v>0</v>
      </c>
      <c r="E65" s="874">
        <f t="shared" si="34"/>
        <v>234797.891980079</v>
      </c>
      <c r="F65" s="874">
        <f t="shared" si="34"/>
        <v>234797.891980079</v>
      </c>
      <c r="G65" s="874">
        <f t="shared" si="34"/>
        <v>234797.891980079</v>
      </c>
      <c r="H65" s="874">
        <f t="shared" si="34"/>
        <v>3684164.2919242657</v>
      </c>
      <c r="I65" s="874">
        <f t="shared" si="34"/>
        <v>3684164.2919242657</v>
      </c>
      <c r="J65" s="874">
        <f t="shared" si="34"/>
        <v>3684164.2919242657</v>
      </c>
      <c r="K65" s="874">
        <f t="shared" si="34"/>
        <v>3684164.2919242657</v>
      </c>
      <c r="L65" s="874">
        <f t="shared" si="34"/>
        <v>0</v>
      </c>
      <c r="M65" s="874">
        <f t="shared" si="34"/>
        <v>0</v>
      </c>
      <c r="N65" s="874">
        <f t="shared" si="34"/>
        <v>0</v>
      </c>
      <c r="O65" s="874">
        <f t="shared" si="34"/>
        <v>0</v>
      </c>
      <c r="P65" s="874">
        <f t="shared" si="34"/>
        <v>0</v>
      </c>
      <c r="Q65" s="874">
        <f t="shared" si="34"/>
        <v>0</v>
      </c>
      <c r="R65" s="874">
        <f t="shared" si="34"/>
        <v>0</v>
      </c>
      <c r="S65" s="874">
        <f t="shared" si="34"/>
        <v>0</v>
      </c>
      <c r="T65" s="874">
        <f t="shared" si="34"/>
        <v>0</v>
      </c>
      <c r="U65" s="874">
        <f t="shared" si="34"/>
        <v>0</v>
      </c>
      <c r="V65" s="874">
        <f t="shared" si="34"/>
        <v>0</v>
      </c>
      <c r="W65" s="874">
        <f t="shared" si="34"/>
        <v>0</v>
      </c>
      <c r="X65" s="874">
        <f t="shared" si="34"/>
        <v>0</v>
      </c>
      <c r="Y65" s="874">
        <f t="shared" si="34"/>
        <v>0</v>
      </c>
      <c r="Z65" s="874">
        <f t="shared" si="34"/>
        <v>0</v>
      </c>
      <c r="AA65" s="874">
        <f t="shared" si="34"/>
        <v>0</v>
      </c>
      <c r="AB65" s="874">
        <f t="shared" si="34"/>
        <v>0</v>
      </c>
      <c r="AC65" s="874">
        <f t="shared" si="34"/>
        <v>0</v>
      </c>
      <c r="AD65" s="874">
        <f t="shared" si="34"/>
        <v>0</v>
      </c>
      <c r="AE65" s="997">
        <f t="shared" si="34"/>
        <v>0</v>
      </c>
    </row>
    <row r="66" spans="2:31" ht="21.9" customHeight="1" x14ac:dyDescent="0.25">
      <c r="B66" s="1335"/>
      <c r="C66" s="114" t="str">
        <f>'Project Cost Data'!B10</f>
        <v>SH-412B Roundabout</v>
      </c>
      <c r="D66" s="874">
        <f t="shared" ref="D66:AE66" si="35">D58+D62</f>
        <v>0</v>
      </c>
      <c r="E66" s="874">
        <f t="shared" si="35"/>
        <v>0</v>
      </c>
      <c r="F66" s="874">
        <f t="shared" si="35"/>
        <v>363318.8433797012</v>
      </c>
      <c r="G66" s="874">
        <f t="shared" si="35"/>
        <v>363318.8433797012</v>
      </c>
      <c r="H66" s="874">
        <f t="shared" si="35"/>
        <v>2750842.671303452</v>
      </c>
      <c r="I66" s="874">
        <f t="shared" si="35"/>
        <v>2750842.671303452</v>
      </c>
      <c r="J66" s="874">
        <f t="shared" si="35"/>
        <v>0</v>
      </c>
      <c r="K66" s="874">
        <f t="shared" si="35"/>
        <v>0</v>
      </c>
      <c r="L66" s="874">
        <f t="shared" si="35"/>
        <v>0</v>
      </c>
      <c r="M66" s="874">
        <f t="shared" si="35"/>
        <v>0</v>
      </c>
      <c r="N66" s="874">
        <f t="shared" si="35"/>
        <v>0</v>
      </c>
      <c r="O66" s="874">
        <f t="shared" si="35"/>
        <v>0</v>
      </c>
      <c r="P66" s="874">
        <f t="shared" si="35"/>
        <v>0</v>
      </c>
      <c r="Q66" s="874">
        <f t="shared" si="35"/>
        <v>0</v>
      </c>
      <c r="R66" s="874">
        <f t="shared" si="35"/>
        <v>0</v>
      </c>
      <c r="S66" s="874">
        <f t="shared" si="35"/>
        <v>0</v>
      </c>
      <c r="T66" s="874">
        <f t="shared" si="35"/>
        <v>0</v>
      </c>
      <c r="U66" s="874">
        <f t="shared" si="35"/>
        <v>0</v>
      </c>
      <c r="V66" s="874">
        <f t="shared" si="35"/>
        <v>0</v>
      </c>
      <c r="W66" s="874">
        <f t="shared" si="35"/>
        <v>0</v>
      </c>
      <c r="X66" s="874">
        <f t="shared" si="35"/>
        <v>0</v>
      </c>
      <c r="Y66" s="874">
        <f t="shared" si="35"/>
        <v>0</v>
      </c>
      <c r="Z66" s="874">
        <f t="shared" si="35"/>
        <v>0</v>
      </c>
      <c r="AA66" s="874">
        <f t="shared" si="35"/>
        <v>0</v>
      </c>
      <c r="AB66" s="874">
        <f t="shared" si="35"/>
        <v>0</v>
      </c>
      <c r="AC66" s="874">
        <f t="shared" si="35"/>
        <v>0</v>
      </c>
      <c r="AD66" s="874">
        <f t="shared" si="35"/>
        <v>0</v>
      </c>
      <c r="AE66" s="997">
        <f t="shared" si="35"/>
        <v>0</v>
      </c>
    </row>
    <row r="67" spans="2:31" ht="21.9" customHeight="1" x14ac:dyDescent="0.25">
      <c r="B67" s="1335"/>
      <c r="C67" s="114" t="str">
        <f>'Project Cost Data'!B11</f>
        <v>Patrol Road Improvements</v>
      </c>
      <c r="D67" s="874">
        <f t="shared" ref="D67:AE67" si="36">D59+D63</f>
        <v>0</v>
      </c>
      <c r="E67" s="874">
        <f t="shared" si="36"/>
        <v>700686.34080370946</v>
      </c>
      <c r="F67" s="874">
        <f t="shared" si="36"/>
        <v>700686.34080370946</v>
      </c>
      <c r="G67" s="874">
        <f t="shared" si="36"/>
        <v>0</v>
      </c>
      <c r="H67" s="874">
        <f t="shared" si="36"/>
        <v>5305196.5803709431</v>
      </c>
      <c r="I67" s="874">
        <f t="shared" si="36"/>
        <v>5305196.5803709431</v>
      </c>
      <c r="J67" s="874">
        <f t="shared" si="36"/>
        <v>0</v>
      </c>
      <c r="K67" s="874">
        <f t="shared" si="36"/>
        <v>0</v>
      </c>
      <c r="L67" s="874">
        <f t="shared" si="36"/>
        <v>0</v>
      </c>
      <c r="M67" s="874">
        <f t="shared" si="36"/>
        <v>0</v>
      </c>
      <c r="N67" s="874">
        <f t="shared" si="36"/>
        <v>0</v>
      </c>
      <c r="O67" s="874">
        <f t="shared" si="36"/>
        <v>0</v>
      </c>
      <c r="P67" s="874">
        <f t="shared" si="36"/>
        <v>0</v>
      </c>
      <c r="Q67" s="874">
        <f t="shared" si="36"/>
        <v>0</v>
      </c>
      <c r="R67" s="874">
        <f t="shared" si="36"/>
        <v>0</v>
      </c>
      <c r="S67" s="874">
        <f t="shared" si="36"/>
        <v>0</v>
      </c>
      <c r="T67" s="874">
        <f t="shared" si="36"/>
        <v>0</v>
      </c>
      <c r="U67" s="874">
        <f t="shared" si="36"/>
        <v>0</v>
      </c>
      <c r="V67" s="874">
        <f t="shared" si="36"/>
        <v>0</v>
      </c>
      <c r="W67" s="874">
        <f t="shared" si="36"/>
        <v>0</v>
      </c>
      <c r="X67" s="874">
        <f t="shared" si="36"/>
        <v>0</v>
      </c>
      <c r="Y67" s="874">
        <f t="shared" si="36"/>
        <v>0</v>
      </c>
      <c r="Z67" s="874">
        <f t="shared" si="36"/>
        <v>0</v>
      </c>
      <c r="AA67" s="874">
        <f t="shared" si="36"/>
        <v>0</v>
      </c>
      <c r="AB67" s="874">
        <f t="shared" si="36"/>
        <v>0</v>
      </c>
      <c r="AC67" s="874">
        <f t="shared" si="36"/>
        <v>0</v>
      </c>
      <c r="AD67" s="874">
        <f t="shared" si="36"/>
        <v>0</v>
      </c>
      <c r="AE67" s="997">
        <f t="shared" si="36"/>
        <v>0</v>
      </c>
    </row>
    <row r="68" spans="2:31" ht="21.9" customHeight="1" thickBot="1" x14ac:dyDescent="0.3">
      <c r="B68" s="1335"/>
      <c r="C68" s="114" t="str">
        <f>'Project Cost Data'!B12</f>
        <v>Williams Street Improvements</v>
      </c>
      <c r="D68" s="874">
        <f t="shared" ref="D68:AE68" si="37">D60+D64</f>
        <v>0</v>
      </c>
      <c r="E68" s="874">
        <f t="shared" si="37"/>
        <v>0</v>
      </c>
      <c r="F68" s="874">
        <f t="shared" si="37"/>
        <v>882345.76249355997</v>
      </c>
      <c r="G68" s="874">
        <f t="shared" si="37"/>
        <v>882345.76249355997</v>
      </c>
      <c r="H68" s="874">
        <f t="shared" si="37"/>
        <v>4453745.2773484457</v>
      </c>
      <c r="I68" s="874">
        <f t="shared" si="37"/>
        <v>4453745.2773484457</v>
      </c>
      <c r="J68" s="874">
        <f t="shared" si="37"/>
        <v>4453745.2773484457</v>
      </c>
      <c r="K68" s="874">
        <f t="shared" si="37"/>
        <v>0</v>
      </c>
      <c r="L68" s="874">
        <f t="shared" si="37"/>
        <v>0</v>
      </c>
      <c r="M68" s="874">
        <f t="shared" si="37"/>
        <v>0</v>
      </c>
      <c r="N68" s="874">
        <f t="shared" si="37"/>
        <v>0</v>
      </c>
      <c r="O68" s="874">
        <f t="shared" si="37"/>
        <v>0</v>
      </c>
      <c r="P68" s="874">
        <f t="shared" si="37"/>
        <v>0</v>
      </c>
      <c r="Q68" s="874">
        <f t="shared" si="37"/>
        <v>0</v>
      </c>
      <c r="R68" s="874">
        <f t="shared" si="37"/>
        <v>0</v>
      </c>
      <c r="S68" s="874">
        <f t="shared" si="37"/>
        <v>0</v>
      </c>
      <c r="T68" s="874">
        <f t="shared" si="37"/>
        <v>0</v>
      </c>
      <c r="U68" s="874">
        <f t="shared" si="37"/>
        <v>0</v>
      </c>
      <c r="V68" s="874">
        <f t="shared" si="37"/>
        <v>0</v>
      </c>
      <c r="W68" s="874">
        <f t="shared" si="37"/>
        <v>0</v>
      </c>
      <c r="X68" s="874">
        <f t="shared" si="37"/>
        <v>0</v>
      </c>
      <c r="Y68" s="874">
        <f t="shared" si="37"/>
        <v>0</v>
      </c>
      <c r="Z68" s="874">
        <f t="shared" si="37"/>
        <v>0</v>
      </c>
      <c r="AA68" s="874">
        <f t="shared" si="37"/>
        <v>0</v>
      </c>
      <c r="AB68" s="874">
        <f t="shared" si="37"/>
        <v>0</v>
      </c>
      <c r="AC68" s="874">
        <f t="shared" si="37"/>
        <v>0</v>
      </c>
      <c r="AD68" s="874">
        <f t="shared" si="37"/>
        <v>0</v>
      </c>
      <c r="AE68" s="997">
        <f t="shared" si="37"/>
        <v>0</v>
      </c>
    </row>
    <row r="69" spans="2:31" ht="21.9" customHeight="1" thickBot="1" x14ac:dyDescent="0.3">
      <c r="B69" s="1000"/>
      <c r="C69" s="707" t="s">
        <v>25</v>
      </c>
      <c r="D69" s="1001">
        <f t="shared" ref="D69:AE69" si="38">SUM(D65:D68)</f>
        <v>0</v>
      </c>
      <c r="E69" s="1001">
        <f t="shared" si="38"/>
        <v>935484.23278378847</v>
      </c>
      <c r="F69" s="1001">
        <f t="shared" si="38"/>
        <v>2181148.8386570499</v>
      </c>
      <c r="G69" s="1001">
        <f t="shared" si="38"/>
        <v>1480462.4978533401</v>
      </c>
      <c r="H69" s="1001">
        <f t="shared" si="38"/>
        <v>16193948.820947105</v>
      </c>
      <c r="I69" s="1001">
        <f t="shared" si="38"/>
        <v>16193948.820947105</v>
      </c>
      <c r="J69" s="1001">
        <f t="shared" si="38"/>
        <v>8137909.5692727119</v>
      </c>
      <c r="K69" s="1001">
        <f t="shared" si="38"/>
        <v>3684164.2919242657</v>
      </c>
      <c r="L69" s="1001">
        <f t="shared" si="38"/>
        <v>0</v>
      </c>
      <c r="M69" s="1001">
        <f t="shared" si="38"/>
        <v>0</v>
      </c>
      <c r="N69" s="1001">
        <f t="shared" si="38"/>
        <v>0</v>
      </c>
      <c r="O69" s="1001">
        <f t="shared" si="38"/>
        <v>0</v>
      </c>
      <c r="P69" s="1001">
        <f t="shared" si="38"/>
        <v>0</v>
      </c>
      <c r="Q69" s="1001">
        <f t="shared" si="38"/>
        <v>0</v>
      </c>
      <c r="R69" s="1001">
        <f t="shared" si="38"/>
        <v>0</v>
      </c>
      <c r="S69" s="1001">
        <f t="shared" si="38"/>
        <v>0</v>
      </c>
      <c r="T69" s="1001">
        <f t="shared" si="38"/>
        <v>0</v>
      </c>
      <c r="U69" s="1001">
        <f t="shared" si="38"/>
        <v>0</v>
      </c>
      <c r="V69" s="1001">
        <f t="shared" si="38"/>
        <v>0</v>
      </c>
      <c r="W69" s="1001">
        <f t="shared" si="38"/>
        <v>0</v>
      </c>
      <c r="X69" s="1001">
        <f t="shared" si="38"/>
        <v>0</v>
      </c>
      <c r="Y69" s="1001">
        <f t="shared" si="38"/>
        <v>0</v>
      </c>
      <c r="Z69" s="1001">
        <f t="shared" si="38"/>
        <v>0</v>
      </c>
      <c r="AA69" s="1001">
        <f t="shared" si="38"/>
        <v>0</v>
      </c>
      <c r="AB69" s="1001">
        <f t="shared" si="38"/>
        <v>0</v>
      </c>
      <c r="AC69" s="1001">
        <f t="shared" si="38"/>
        <v>0</v>
      </c>
      <c r="AD69" s="1001">
        <f t="shared" si="38"/>
        <v>0</v>
      </c>
      <c r="AE69" s="1002">
        <f t="shared" si="38"/>
        <v>0</v>
      </c>
    </row>
    <row r="71" spans="2:31" ht="21.9" customHeight="1" thickBot="1" x14ac:dyDescent="0.3">
      <c r="B71" s="192" t="s">
        <v>573</v>
      </c>
    </row>
    <row r="72" spans="2:31" ht="21.9" customHeight="1" x14ac:dyDescent="0.25">
      <c r="B72" s="805" t="s">
        <v>88</v>
      </c>
      <c r="C72" s="734" t="s">
        <v>61</v>
      </c>
      <c r="D72" s="735">
        <v>2021</v>
      </c>
      <c r="E72" s="735">
        <f>D72+1</f>
        <v>2022</v>
      </c>
      <c r="F72" s="735">
        <f>E72+1</f>
        <v>2023</v>
      </c>
      <c r="G72" s="735">
        <f t="shared" ref="G72:I72" si="39">F72+1</f>
        <v>2024</v>
      </c>
      <c r="H72" s="735">
        <f t="shared" si="39"/>
        <v>2025</v>
      </c>
      <c r="I72" s="735">
        <f t="shared" si="39"/>
        <v>2026</v>
      </c>
      <c r="J72" s="735">
        <f t="shared" ref="J72" si="40">I72+1</f>
        <v>2027</v>
      </c>
      <c r="K72" s="735">
        <f>J72+1</f>
        <v>2028</v>
      </c>
      <c r="L72" s="735">
        <f t="shared" ref="L72" si="41">K72+1</f>
        <v>2029</v>
      </c>
      <c r="M72" s="735">
        <f t="shared" ref="M72:N72" si="42">L72+1</f>
        <v>2030</v>
      </c>
      <c r="N72" s="735">
        <f t="shared" si="42"/>
        <v>2031</v>
      </c>
      <c r="O72" s="735">
        <f t="shared" ref="O72" si="43">N72+1</f>
        <v>2032</v>
      </c>
      <c r="P72" s="735">
        <f t="shared" ref="P72:Q72" si="44">O72+1</f>
        <v>2033</v>
      </c>
      <c r="Q72" s="735">
        <f t="shared" si="44"/>
        <v>2034</v>
      </c>
      <c r="R72" s="735">
        <f t="shared" ref="R72" si="45">Q72+1</f>
        <v>2035</v>
      </c>
      <c r="S72" s="735">
        <f t="shared" ref="S72:T72" si="46">R72+1</f>
        <v>2036</v>
      </c>
      <c r="T72" s="735">
        <f t="shared" si="46"/>
        <v>2037</v>
      </c>
      <c r="U72" s="735">
        <f t="shared" ref="U72" si="47">T72+1</f>
        <v>2038</v>
      </c>
      <c r="V72" s="735">
        <f t="shared" ref="V72" si="48">U72+1</f>
        <v>2039</v>
      </c>
      <c r="W72" s="735">
        <f t="shared" ref="W72" si="49">V72+1</f>
        <v>2040</v>
      </c>
      <c r="X72" s="735">
        <f t="shared" ref="X72" si="50">W72+1</f>
        <v>2041</v>
      </c>
      <c r="Y72" s="735">
        <f>X72+1</f>
        <v>2042</v>
      </c>
      <c r="Z72" s="735">
        <f t="shared" ref="Z72" si="51">Y72+1</f>
        <v>2043</v>
      </c>
      <c r="AA72" s="735">
        <f t="shared" ref="AA72" si="52">Z72+1</f>
        <v>2044</v>
      </c>
      <c r="AB72" s="735">
        <f t="shared" ref="AB72" si="53">AA72+1</f>
        <v>2045</v>
      </c>
      <c r="AC72" s="735">
        <f t="shared" ref="AC72" si="54">AB72+1</f>
        <v>2046</v>
      </c>
      <c r="AD72" s="735">
        <f t="shared" ref="AD72" si="55">AC72+1</f>
        <v>2047</v>
      </c>
      <c r="AE72" s="736">
        <f t="shared" ref="AE72" si="56">AD72+1</f>
        <v>2048</v>
      </c>
    </row>
    <row r="73" spans="2:31" ht="21.9" customHeight="1" x14ac:dyDescent="0.25">
      <c r="B73" s="1335" t="s">
        <v>165</v>
      </c>
      <c r="C73" s="114" t="str">
        <f>'Project Cost Data'!B9</f>
        <v>US-412/SH-412B Interchange</v>
      </c>
      <c r="D73" s="874">
        <f t="shared" ref="D73:AE73" si="57">$I$44*D23</f>
        <v>0</v>
      </c>
      <c r="E73" s="874">
        <f t="shared" si="57"/>
        <v>234797.891980079</v>
      </c>
      <c r="F73" s="874">
        <f t="shared" si="57"/>
        <v>234797.891980079</v>
      </c>
      <c r="G73" s="874">
        <f t="shared" si="57"/>
        <v>234797.891980079</v>
      </c>
      <c r="H73" s="874">
        <f t="shared" si="57"/>
        <v>0</v>
      </c>
      <c r="I73" s="874">
        <f t="shared" si="57"/>
        <v>0</v>
      </c>
      <c r="J73" s="874">
        <f t="shared" si="57"/>
        <v>0</v>
      </c>
      <c r="K73" s="874">
        <f t="shared" si="57"/>
        <v>0</v>
      </c>
      <c r="L73" s="874">
        <f t="shared" si="57"/>
        <v>0</v>
      </c>
      <c r="M73" s="874">
        <f t="shared" si="57"/>
        <v>0</v>
      </c>
      <c r="N73" s="874">
        <f t="shared" si="57"/>
        <v>0</v>
      </c>
      <c r="O73" s="874">
        <f t="shared" si="57"/>
        <v>0</v>
      </c>
      <c r="P73" s="874">
        <f t="shared" si="57"/>
        <v>0</v>
      </c>
      <c r="Q73" s="874">
        <f t="shared" si="57"/>
        <v>0</v>
      </c>
      <c r="R73" s="874">
        <f t="shared" si="57"/>
        <v>0</v>
      </c>
      <c r="S73" s="874">
        <f t="shared" si="57"/>
        <v>0</v>
      </c>
      <c r="T73" s="874">
        <f t="shared" si="57"/>
        <v>0</v>
      </c>
      <c r="U73" s="874">
        <f t="shared" si="57"/>
        <v>0</v>
      </c>
      <c r="V73" s="874">
        <f t="shared" si="57"/>
        <v>0</v>
      </c>
      <c r="W73" s="874">
        <f t="shared" si="57"/>
        <v>0</v>
      </c>
      <c r="X73" s="874">
        <f t="shared" si="57"/>
        <v>0</v>
      </c>
      <c r="Y73" s="874">
        <f t="shared" si="57"/>
        <v>0</v>
      </c>
      <c r="Z73" s="874">
        <f t="shared" si="57"/>
        <v>0</v>
      </c>
      <c r="AA73" s="874">
        <f t="shared" si="57"/>
        <v>0</v>
      </c>
      <c r="AB73" s="874">
        <f t="shared" si="57"/>
        <v>0</v>
      </c>
      <c r="AC73" s="874">
        <f t="shared" si="57"/>
        <v>0</v>
      </c>
      <c r="AD73" s="874">
        <f t="shared" si="57"/>
        <v>0</v>
      </c>
      <c r="AE73" s="997">
        <f t="shared" si="57"/>
        <v>0</v>
      </c>
    </row>
    <row r="74" spans="2:31" ht="21.9" customHeight="1" x14ac:dyDescent="0.25">
      <c r="B74" s="1335"/>
      <c r="C74" s="114" t="str">
        <f>'Project Cost Data'!B10</f>
        <v>SH-412B Roundabout</v>
      </c>
      <c r="D74" s="874">
        <f t="shared" ref="D74:AE74" si="58">$I$45*D24</f>
        <v>0</v>
      </c>
      <c r="E74" s="874">
        <f t="shared" si="58"/>
        <v>0</v>
      </c>
      <c r="F74" s="874">
        <f t="shared" si="58"/>
        <v>363318.8433797012</v>
      </c>
      <c r="G74" s="874">
        <f t="shared" si="58"/>
        <v>363318.8433797012</v>
      </c>
      <c r="H74" s="874">
        <f t="shared" si="58"/>
        <v>0</v>
      </c>
      <c r="I74" s="874">
        <f t="shared" si="58"/>
        <v>0</v>
      </c>
      <c r="J74" s="874">
        <f t="shared" si="58"/>
        <v>0</v>
      </c>
      <c r="K74" s="874">
        <f t="shared" si="58"/>
        <v>0</v>
      </c>
      <c r="L74" s="874">
        <f t="shared" si="58"/>
        <v>0</v>
      </c>
      <c r="M74" s="874">
        <f t="shared" si="58"/>
        <v>0</v>
      </c>
      <c r="N74" s="874">
        <f t="shared" si="58"/>
        <v>0</v>
      </c>
      <c r="O74" s="874">
        <f t="shared" si="58"/>
        <v>0</v>
      </c>
      <c r="P74" s="874">
        <f t="shared" si="58"/>
        <v>0</v>
      </c>
      <c r="Q74" s="874">
        <f t="shared" si="58"/>
        <v>0</v>
      </c>
      <c r="R74" s="874">
        <f t="shared" si="58"/>
        <v>0</v>
      </c>
      <c r="S74" s="874">
        <f t="shared" si="58"/>
        <v>0</v>
      </c>
      <c r="T74" s="874">
        <f t="shared" si="58"/>
        <v>0</v>
      </c>
      <c r="U74" s="874">
        <f t="shared" si="58"/>
        <v>0</v>
      </c>
      <c r="V74" s="874">
        <f t="shared" si="58"/>
        <v>0</v>
      </c>
      <c r="W74" s="874">
        <f t="shared" si="58"/>
        <v>0</v>
      </c>
      <c r="X74" s="874">
        <f t="shared" si="58"/>
        <v>0</v>
      </c>
      <c r="Y74" s="874">
        <f t="shared" si="58"/>
        <v>0</v>
      </c>
      <c r="Z74" s="874">
        <f t="shared" si="58"/>
        <v>0</v>
      </c>
      <c r="AA74" s="874">
        <f t="shared" si="58"/>
        <v>0</v>
      </c>
      <c r="AB74" s="874">
        <f t="shared" si="58"/>
        <v>0</v>
      </c>
      <c r="AC74" s="874">
        <f t="shared" si="58"/>
        <v>0</v>
      </c>
      <c r="AD74" s="874">
        <f t="shared" si="58"/>
        <v>0</v>
      </c>
      <c r="AE74" s="997">
        <f t="shared" si="58"/>
        <v>0</v>
      </c>
    </row>
    <row r="75" spans="2:31" ht="21.9" customHeight="1" x14ac:dyDescent="0.25">
      <c r="B75" s="1335"/>
      <c r="C75" s="114" t="str">
        <f>'Project Cost Data'!B11</f>
        <v>Patrol Road Improvements</v>
      </c>
      <c r="D75" s="874">
        <f t="shared" ref="D75:AE75" si="59">$I$46*D25</f>
        <v>0</v>
      </c>
      <c r="E75" s="874">
        <f t="shared" si="59"/>
        <v>700686.34080370946</v>
      </c>
      <c r="F75" s="874">
        <f t="shared" si="59"/>
        <v>700686.34080370946</v>
      </c>
      <c r="G75" s="874">
        <f t="shared" si="59"/>
        <v>0</v>
      </c>
      <c r="H75" s="874">
        <f t="shared" si="59"/>
        <v>0</v>
      </c>
      <c r="I75" s="874">
        <f t="shared" si="59"/>
        <v>0</v>
      </c>
      <c r="J75" s="874">
        <f t="shared" si="59"/>
        <v>0</v>
      </c>
      <c r="K75" s="874">
        <f t="shared" si="59"/>
        <v>0</v>
      </c>
      <c r="L75" s="874">
        <f t="shared" si="59"/>
        <v>0</v>
      </c>
      <c r="M75" s="874">
        <f t="shared" si="59"/>
        <v>0</v>
      </c>
      <c r="N75" s="874">
        <f t="shared" si="59"/>
        <v>0</v>
      </c>
      <c r="O75" s="874">
        <f t="shared" si="59"/>
        <v>0</v>
      </c>
      <c r="P75" s="874">
        <f t="shared" si="59"/>
        <v>0</v>
      </c>
      <c r="Q75" s="874">
        <f t="shared" si="59"/>
        <v>0</v>
      </c>
      <c r="R75" s="874">
        <f t="shared" si="59"/>
        <v>0</v>
      </c>
      <c r="S75" s="874">
        <f t="shared" si="59"/>
        <v>0</v>
      </c>
      <c r="T75" s="874">
        <f t="shared" si="59"/>
        <v>0</v>
      </c>
      <c r="U75" s="874">
        <f t="shared" si="59"/>
        <v>0</v>
      </c>
      <c r="V75" s="874">
        <f t="shared" si="59"/>
        <v>0</v>
      </c>
      <c r="W75" s="874">
        <f t="shared" si="59"/>
        <v>0</v>
      </c>
      <c r="X75" s="874">
        <f t="shared" si="59"/>
        <v>0</v>
      </c>
      <c r="Y75" s="874">
        <f t="shared" si="59"/>
        <v>0</v>
      </c>
      <c r="Z75" s="874">
        <f t="shared" si="59"/>
        <v>0</v>
      </c>
      <c r="AA75" s="874">
        <f t="shared" si="59"/>
        <v>0</v>
      </c>
      <c r="AB75" s="874">
        <f t="shared" si="59"/>
        <v>0</v>
      </c>
      <c r="AC75" s="874">
        <f t="shared" si="59"/>
        <v>0</v>
      </c>
      <c r="AD75" s="874">
        <f t="shared" si="59"/>
        <v>0</v>
      </c>
      <c r="AE75" s="997">
        <f t="shared" si="59"/>
        <v>0</v>
      </c>
    </row>
    <row r="76" spans="2:31" ht="21.9" customHeight="1" x14ac:dyDescent="0.25">
      <c r="B76" s="1335"/>
      <c r="C76" s="114" t="str">
        <f>'Project Cost Data'!B12</f>
        <v>Williams Street Improvements</v>
      </c>
      <c r="D76" s="874">
        <f t="shared" ref="D76:AE76" si="60">$I$47*D26</f>
        <v>0</v>
      </c>
      <c r="E76" s="874">
        <f t="shared" si="60"/>
        <v>0</v>
      </c>
      <c r="F76" s="874">
        <f t="shared" si="60"/>
        <v>882345.76249355997</v>
      </c>
      <c r="G76" s="874">
        <f t="shared" si="60"/>
        <v>882345.76249355997</v>
      </c>
      <c r="H76" s="874">
        <f t="shared" si="60"/>
        <v>0</v>
      </c>
      <c r="I76" s="874">
        <f t="shared" si="60"/>
        <v>0</v>
      </c>
      <c r="J76" s="874">
        <f t="shared" si="60"/>
        <v>0</v>
      </c>
      <c r="K76" s="874">
        <f t="shared" si="60"/>
        <v>0</v>
      </c>
      <c r="L76" s="874">
        <f t="shared" si="60"/>
        <v>0</v>
      </c>
      <c r="M76" s="874">
        <f t="shared" si="60"/>
        <v>0</v>
      </c>
      <c r="N76" s="874">
        <f t="shared" si="60"/>
        <v>0</v>
      </c>
      <c r="O76" s="874">
        <f t="shared" si="60"/>
        <v>0</v>
      </c>
      <c r="P76" s="874">
        <f t="shared" si="60"/>
        <v>0</v>
      </c>
      <c r="Q76" s="874">
        <f t="shared" si="60"/>
        <v>0</v>
      </c>
      <c r="R76" s="874">
        <f t="shared" si="60"/>
        <v>0</v>
      </c>
      <c r="S76" s="874">
        <f t="shared" si="60"/>
        <v>0</v>
      </c>
      <c r="T76" s="874">
        <f t="shared" si="60"/>
        <v>0</v>
      </c>
      <c r="U76" s="874">
        <f t="shared" si="60"/>
        <v>0</v>
      </c>
      <c r="V76" s="874">
        <f t="shared" si="60"/>
        <v>0</v>
      </c>
      <c r="W76" s="874">
        <f t="shared" si="60"/>
        <v>0</v>
      </c>
      <c r="X76" s="874">
        <f t="shared" si="60"/>
        <v>0</v>
      </c>
      <c r="Y76" s="874">
        <f t="shared" si="60"/>
        <v>0</v>
      </c>
      <c r="Z76" s="874">
        <f t="shared" si="60"/>
        <v>0</v>
      </c>
      <c r="AA76" s="874">
        <f t="shared" si="60"/>
        <v>0</v>
      </c>
      <c r="AB76" s="874">
        <f t="shared" si="60"/>
        <v>0</v>
      </c>
      <c r="AC76" s="874">
        <f t="shared" si="60"/>
        <v>0</v>
      </c>
      <c r="AD76" s="874">
        <f t="shared" si="60"/>
        <v>0</v>
      </c>
      <c r="AE76" s="997">
        <f t="shared" si="60"/>
        <v>0</v>
      </c>
    </row>
    <row r="77" spans="2:31" ht="21.9" customHeight="1" x14ac:dyDescent="0.25">
      <c r="B77" s="1335"/>
      <c r="C77" s="114" t="str">
        <f>'Project Cost Data'!B13</f>
        <v>SH-412B Improvements</v>
      </c>
      <c r="D77" s="874">
        <f t="shared" ref="D77:AE77" si="61">$I$50*D27</f>
        <v>0</v>
      </c>
      <c r="E77" s="874">
        <f t="shared" si="61"/>
        <v>1089956.5301391035</v>
      </c>
      <c r="F77" s="874">
        <f t="shared" si="61"/>
        <v>1089956.5301391035</v>
      </c>
      <c r="G77" s="874">
        <f t="shared" si="61"/>
        <v>0</v>
      </c>
      <c r="H77" s="874">
        <f t="shared" si="61"/>
        <v>0</v>
      </c>
      <c r="I77" s="874">
        <f t="shared" si="61"/>
        <v>0</v>
      </c>
      <c r="J77" s="874">
        <f t="shared" si="61"/>
        <v>0</v>
      </c>
      <c r="K77" s="874">
        <f t="shared" si="61"/>
        <v>0</v>
      </c>
      <c r="L77" s="874">
        <f t="shared" si="61"/>
        <v>0</v>
      </c>
      <c r="M77" s="874">
        <f t="shared" si="61"/>
        <v>0</v>
      </c>
      <c r="N77" s="874">
        <f t="shared" si="61"/>
        <v>0</v>
      </c>
      <c r="O77" s="874">
        <f t="shared" si="61"/>
        <v>0</v>
      </c>
      <c r="P77" s="874">
        <f t="shared" si="61"/>
        <v>0</v>
      </c>
      <c r="Q77" s="874">
        <f t="shared" si="61"/>
        <v>0</v>
      </c>
      <c r="R77" s="874">
        <f t="shared" si="61"/>
        <v>0</v>
      </c>
      <c r="S77" s="874">
        <f t="shared" si="61"/>
        <v>0</v>
      </c>
      <c r="T77" s="874">
        <f t="shared" si="61"/>
        <v>0</v>
      </c>
      <c r="U77" s="874">
        <f t="shared" si="61"/>
        <v>0</v>
      </c>
      <c r="V77" s="874">
        <f t="shared" si="61"/>
        <v>0</v>
      </c>
      <c r="W77" s="874">
        <f t="shared" si="61"/>
        <v>0</v>
      </c>
      <c r="X77" s="874">
        <f t="shared" si="61"/>
        <v>0</v>
      </c>
      <c r="Y77" s="874">
        <f t="shared" si="61"/>
        <v>0</v>
      </c>
      <c r="Z77" s="874">
        <f t="shared" si="61"/>
        <v>0</v>
      </c>
      <c r="AA77" s="874">
        <f t="shared" si="61"/>
        <v>0</v>
      </c>
      <c r="AB77" s="874">
        <f t="shared" si="61"/>
        <v>0</v>
      </c>
      <c r="AC77" s="874">
        <f t="shared" si="61"/>
        <v>0</v>
      </c>
      <c r="AD77" s="874">
        <f t="shared" si="61"/>
        <v>0</v>
      </c>
      <c r="AE77" s="997">
        <f t="shared" si="61"/>
        <v>0</v>
      </c>
    </row>
    <row r="78" spans="2:31" ht="21.9" customHeight="1" x14ac:dyDescent="0.25">
      <c r="B78" s="1335"/>
      <c r="C78" s="114" t="str">
        <f>'Project Cost Data'!B14</f>
        <v>Zarrow Street Widening</v>
      </c>
      <c r="D78" s="874">
        <f t="shared" ref="D78:AE78" si="62">$I$51*D28</f>
        <v>0</v>
      </c>
      <c r="E78" s="874">
        <f t="shared" si="62"/>
        <v>0</v>
      </c>
      <c r="F78" s="874">
        <f t="shared" si="62"/>
        <v>681500.88147217932</v>
      </c>
      <c r="G78" s="874">
        <f t="shared" si="62"/>
        <v>681500.88147217932</v>
      </c>
      <c r="H78" s="874">
        <f t="shared" si="62"/>
        <v>0</v>
      </c>
      <c r="I78" s="874">
        <f t="shared" si="62"/>
        <v>0</v>
      </c>
      <c r="J78" s="874">
        <f t="shared" si="62"/>
        <v>0</v>
      </c>
      <c r="K78" s="874">
        <f t="shared" si="62"/>
        <v>0</v>
      </c>
      <c r="L78" s="874">
        <f t="shared" si="62"/>
        <v>0</v>
      </c>
      <c r="M78" s="874">
        <f t="shared" si="62"/>
        <v>0</v>
      </c>
      <c r="N78" s="874">
        <f t="shared" si="62"/>
        <v>0</v>
      </c>
      <c r="O78" s="874">
        <f t="shared" si="62"/>
        <v>0</v>
      </c>
      <c r="P78" s="874">
        <f t="shared" si="62"/>
        <v>0</v>
      </c>
      <c r="Q78" s="874">
        <f t="shared" si="62"/>
        <v>0</v>
      </c>
      <c r="R78" s="874">
        <f t="shared" si="62"/>
        <v>0</v>
      </c>
      <c r="S78" s="874">
        <f t="shared" si="62"/>
        <v>0</v>
      </c>
      <c r="T78" s="874">
        <f t="shared" si="62"/>
        <v>0</v>
      </c>
      <c r="U78" s="874">
        <f t="shared" si="62"/>
        <v>0</v>
      </c>
      <c r="V78" s="874">
        <f t="shared" si="62"/>
        <v>0</v>
      </c>
      <c r="W78" s="874">
        <f t="shared" si="62"/>
        <v>0</v>
      </c>
      <c r="X78" s="874">
        <f t="shared" si="62"/>
        <v>0</v>
      </c>
      <c r="Y78" s="874">
        <f t="shared" si="62"/>
        <v>0</v>
      </c>
      <c r="Z78" s="874">
        <f t="shared" si="62"/>
        <v>0</v>
      </c>
      <c r="AA78" s="874">
        <f t="shared" si="62"/>
        <v>0</v>
      </c>
      <c r="AB78" s="874">
        <f t="shared" si="62"/>
        <v>0</v>
      </c>
      <c r="AC78" s="874">
        <f t="shared" si="62"/>
        <v>0</v>
      </c>
      <c r="AD78" s="874">
        <f t="shared" si="62"/>
        <v>0</v>
      </c>
      <c r="AE78" s="997">
        <f t="shared" si="62"/>
        <v>0</v>
      </c>
    </row>
    <row r="79" spans="2:31" ht="21.9" customHeight="1" x14ac:dyDescent="0.25">
      <c r="B79" s="1338"/>
      <c r="C79" s="250" t="str">
        <f>'Project Cost Data'!B15</f>
        <v>Rocket Road Improvements</v>
      </c>
      <c r="D79" s="875">
        <f t="shared" ref="D79:AE79" si="63">$I$52*D29</f>
        <v>0</v>
      </c>
      <c r="E79" s="875">
        <f t="shared" si="63"/>
        <v>0</v>
      </c>
      <c r="F79" s="875">
        <f t="shared" si="63"/>
        <v>434685.04475785675</v>
      </c>
      <c r="G79" s="875">
        <f t="shared" si="63"/>
        <v>434685.04475785675</v>
      </c>
      <c r="H79" s="875">
        <f t="shared" si="63"/>
        <v>0</v>
      </c>
      <c r="I79" s="875">
        <f t="shared" si="63"/>
        <v>0</v>
      </c>
      <c r="J79" s="875">
        <f t="shared" si="63"/>
        <v>0</v>
      </c>
      <c r="K79" s="875">
        <f t="shared" si="63"/>
        <v>0</v>
      </c>
      <c r="L79" s="875">
        <f t="shared" si="63"/>
        <v>0</v>
      </c>
      <c r="M79" s="875">
        <f t="shared" si="63"/>
        <v>0</v>
      </c>
      <c r="N79" s="875">
        <f t="shared" si="63"/>
        <v>0</v>
      </c>
      <c r="O79" s="875">
        <f t="shared" si="63"/>
        <v>0</v>
      </c>
      <c r="P79" s="875">
        <f t="shared" si="63"/>
        <v>0</v>
      </c>
      <c r="Q79" s="875">
        <f t="shared" si="63"/>
        <v>0</v>
      </c>
      <c r="R79" s="875">
        <f t="shared" si="63"/>
        <v>0</v>
      </c>
      <c r="S79" s="875">
        <f t="shared" si="63"/>
        <v>0</v>
      </c>
      <c r="T79" s="875">
        <f t="shared" si="63"/>
        <v>0</v>
      </c>
      <c r="U79" s="875">
        <f t="shared" si="63"/>
        <v>0</v>
      </c>
      <c r="V79" s="875">
        <f t="shared" si="63"/>
        <v>0</v>
      </c>
      <c r="W79" s="875">
        <f t="shared" si="63"/>
        <v>0</v>
      </c>
      <c r="X79" s="875">
        <f t="shared" si="63"/>
        <v>0</v>
      </c>
      <c r="Y79" s="875">
        <f t="shared" si="63"/>
        <v>0</v>
      </c>
      <c r="Z79" s="875">
        <f t="shared" si="63"/>
        <v>0</v>
      </c>
      <c r="AA79" s="875">
        <f t="shared" si="63"/>
        <v>0</v>
      </c>
      <c r="AB79" s="875">
        <f t="shared" si="63"/>
        <v>0</v>
      </c>
      <c r="AC79" s="875">
        <f t="shared" si="63"/>
        <v>0</v>
      </c>
      <c r="AD79" s="875">
        <f t="shared" si="63"/>
        <v>0</v>
      </c>
      <c r="AE79" s="998">
        <f t="shared" si="63"/>
        <v>0</v>
      </c>
    </row>
    <row r="80" spans="2:31" ht="21.9" customHeight="1" x14ac:dyDescent="0.25">
      <c r="B80" s="1332" t="s">
        <v>168</v>
      </c>
      <c r="C80" s="217" t="str">
        <f>'Project Cost Data'!B9</f>
        <v>US-412/SH-412B Interchange</v>
      </c>
      <c r="D80" s="876">
        <f t="shared" ref="D80:AE80" si="64">$H$44*D30</f>
        <v>0</v>
      </c>
      <c r="E80" s="876">
        <f t="shared" si="64"/>
        <v>0</v>
      </c>
      <c r="F80" s="876">
        <f t="shared" si="64"/>
        <v>0</v>
      </c>
      <c r="G80" s="876">
        <f t="shared" si="64"/>
        <v>0</v>
      </c>
      <c r="H80" s="876">
        <f t="shared" si="64"/>
        <v>3684164.2919242657</v>
      </c>
      <c r="I80" s="876">
        <f t="shared" si="64"/>
        <v>3684164.2919242657</v>
      </c>
      <c r="J80" s="876">
        <f t="shared" si="64"/>
        <v>3684164.2919242657</v>
      </c>
      <c r="K80" s="876">
        <f t="shared" si="64"/>
        <v>3684164.2919242657</v>
      </c>
      <c r="L80" s="876">
        <f t="shared" si="64"/>
        <v>0</v>
      </c>
      <c r="M80" s="876">
        <f t="shared" si="64"/>
        <v>0</v>
      </c>
      <c r="N80" s="876">
        <f t="shared" si="64"/>
        <v>0</v>
      </c>
      <c r="O80" s="876">
        <f t="shared" si="64"/>
        <v>0</v>
      </c>
      <c r="P80" s="876">
        <f t="shared" si="64"/>
        <v>0</v>
      </c>
      <c r="Q80" s="876">
        <f t="shared" si="64"/>
        <v>0</v>
      </c>
      <c r="R80" s="876">
        <f t="shared" si="64"/>
        <v>0</v>
      </c>
      <c r="S80" s="876">
        <f t="shared" si="64"/>
        <v>0</v>
      </c>
      <c r="T80" s="876">
        <f t="shared" si="64"/>
        <v>0</v>
      </c>
      <c r="U80" s="876">
        <f t="shared" si="64"/>
        <v>0</v>
      </c>
      <c r="V80" s="876">
        <f t="shared" si="64"/>
        <v>0</v>
      </c>
      <c r="W80" s="876">
        <f t="shared" si="64"/>
        <v>0</v>
      </c>
      <c r="X80" s="876">
        <f t="shared" si="64"/>
        <v>0</v>
      </c>
      <c r="Y80" s="876">
        <f t="shared" si="64"/>
        <v>0</v>
      </c>
      <c r="Z80" s="876">
        <f t="shared" si="64"/>
        <v>0</v>
      </c>
      <c r="AA80" s="876">
        <f t="shared" si="64"/>
        <v>0</v>
      </c>
      <c r="AB80" s="876">
        <f t="shared" si="64"/>
        <v>0</v>
      </c>
      <c r="AC80" s="876">
        <f t="shared" si="64"/>
        <v>0</v>
      </c>
      <c r="AD80" s="876">
        <f t="shared" si="64"/>
        <v>0</v>
      </c>
      <c r="AE80" s="999">
        <f t="shared" si="64"/>
        <v>0</v>
      </c>
    </row>
    <row r="81" spans="2:31" ht="21.9" customHeight="1" x14ac:dyDescent="0.25">
      <c r="B81" s="1335"/>
      <c r="C81" s="114" t="str">
        <f>'Project Cost Data'!B10</f>
        <v>SH-412B Roundabout</v>
      </c>
      <c r="D81" s="874">
        <f t="shared" ref="D81:AE81" si="65">$H$45*D31</f>
        <v>0</v>
      </c>
      <c r="E81" s="874">
        <f t="shared" si="65"/>
        <v>0</v>
      </c>
      <c r="F81" s="874">
        <f t="shared" si="65"/>
        <v>0</v>
      </c>
      <c r="G81" s="874">
        <f t="shared" si="65"/>
        <v>0</v>
      </c>
      <c r="H81" s="874">
        <f t="shared" si="65"/>
        <v>2750842.671303452</v>
      </c>
      <c r="I81" s="874">
        <f t="shared" si="65"/>
        <v>2750842.671303452</v>
      </c>
      <c r="J81" s="874">
        <f t="shared" si="65"/>
        <v>0</v>
      </c>
      <c r="K81" s="874">
        <f t="shared" si="65"/>
        <v>0</v>
      </c>
      <c r="L81" s="874">
        <f t="shared" si="65"/>
        <v>0</v>
      </c>
      <c r="M81" s="874">
        <f t="shared" si="65"/>
        <v>0</v>
      </c>
      <c r="N81" s="874">
        <f t="shared" si="65"/>
        <v>0</v>
      </c>
      <c r="O81" s="874">
        <f t="shared" si="65"/>
        <v>0</v>
      </c>
      <c r="P81" s="874">
        <f t="shared" si="65"/>
        <v>0</v>
      </c>
      <c r="Q81" s="874">
        <f t="shared" si="65"/>
        <v>0</v>
      </c>
      <c r="R81" s="874">
        <f t="shared" si="65"/>
        <v>0</v>
      </c>
      <c r="S81" s="874">
        <f t="shared" si="65"/>
        <v>0</v>
      </c>
      <c r="T81" s="874">
        <f t="shared" si="65"/>
        <v>0</v>
      </c>
      <c r="U81" s="874">
        <f t="shared" si="65"/>
        <v>0</v>
      </c>
      <c r="V81" s="874">
        <f t="shared" si="65"/>
        <v>0</v>
      </c>
      <c r="W81" s="874">
        <f t="shared" si="65"/>
        <v>0</v>
      </c>
      <c r="X81" s="874">
        <f t="shared" si="65"/>
        <v>0</v>
      </c>
      <c r="Y81" s="874">
        <f t="shared" si="65"/>
        <v>0</v>
      </c>
      <c r="Z81" s="874">
        <f t="shared" si="65"/>
        <v>0</v>
      </c>
      <c r="AA81" s="874">
        <f t="shared" si="65"/>
        <v>0</v>
      </c>
      <c r="AB81" s="874">
        <f t="shared" si="65"/>
        <v>0</v>
      </c>
      <c r="AC81" s="874">
        <f t="shared" si="65"/>
        <v>0</v>
      </c>
      <c r="AD81" s="874">
        <f t="shared" si="65"/>
        <v>0</v>
      </c>
      <c r="AE81" s="997">
        <f t="shared" si="65"/>
        <v>0</v>
      </c>
    </row>
    <row r="82" spans="2:31" ht="21.9" customHeight="1" x14ac:dyDescent="0.25">
      <c r="B82" s="1335"/>
      <c r="C82" s="114" t="str">
        <f>'Project Cost Data'!B11</f>
        <v>Patrol Road Improvements</v>
      </c>
      <c r="D82" s="874">
        <f t="shared" ref="D82:AE82" si="66">$H$46*D32</f>
        <v>0</v>
      </c>
      <c r="E82" s="874">
        <f t="shared" si="66"/>
        <v>0</v>
      </c>
      <c r="F82" s="874">
        <f t="shared" si="66"/>
        <v>0</v>
      </c>
      <c r="G82" s="874">
        <f t="shared" si="66"/>
        <v>0</v>
      </c>
      <c r="H82" s="874">
        <f t="shared" si="66"/>
        <v>5305196.5803709431</v>
      </c>
      <c r="I82" s="874">
        <f t="shared" si="66"/>
        <v>5305196.5803709431</v>
      </c>
      <c r="J82" s="874">
        <f t="shared" si="66"/>
        <v>0</v>
      </c>
      <c r="K82" s="874">
        <f t="shared" si="66"/>
        <v>0</v>
      </c>
      <c r="L82" s="874">
        <f t="shared" si="66"/>
        <v>0</v>
      </c>
      <c r="M82" s="874">
        <f t="shared" si="66"/>
        <v>0</v>
      </c>
      <c r="N82" s="874">
        <f t="shared" si="66"/>
        <v>0</v>
      </c>
      <c r="O82" s="874">
        <f t="shared" si="66"/>
        <v>0</v>
      </c>
      <c r="P82" s="874">
        <f t="shared" si="66"/>
        <v>0</v>
      </c>
      <c r="Q82" s="874">
        <f t="shared" si="66"/>
        <v>0</v>
      </c>
      <c r="R82" s="874">
        <f t="shared" si="66"/>
        <v>0</v>
      </c>
      <c r="S82" s="874">
        <f t="shared" si="66"/>
        <v>0</v>
      </c>
      <c r="T82" s="874">
        <f t="shared" si="66"/>
        <v>0</v>
      </c>
      <c r="U82" s="874">
        <f t="shared" si="66"/>
        <v>0</v>
      </c>
      <c r="V82" s="874">
        <f t="shared" si="66"/>
        <v>0</v>
      </c>
      <c r="W82" s="874">
        <f t="shared" si="66"/>
        <v>0</v>
      </c>
      <c r="X82" s="874">
        <f t="shared" si="66"/>
        <v>0</v>
      </c>
      <c r="Y82" s="874">
        <f t="shared" si="66"/>
        <v>0</v>
      </c>
      <c r="Z82" s="874">
        <f t="shared" si="66"/>
        <v>0</v>
      </c>
      <c r="AA82" s="874">
        <f t="shared" si="66"/>
        <v>0</v>
      </c>
      <c r="AB82" s="874">
        <f t="shared" si="66"/>
        <v>0</v>
      </c>
      <c r="AC82" s="874">
        <f t="shared" si="66"/>
        <v>0</v>
      </c>
      <c r="AD82" s="874">
        <f t="shared" si="66"/>
        <v>0</v>
      </c>
      <c r="AE82" s="997">
        <f t="shared" si="66"/>
        <v>0</v>
      </c>
    </row>
    <row r="83" spans="2:31" ht="21.9" customHeight="1" x14ac:dyDescent="0.25">
      <c r="B83" s="1335"/>
      <c r="C83" s="114" t="str">
        <f>'Project Cost Data'!B12</f>
        <v>Williams Street Improvements</v>
      </c>
      <c r="D83" s="874">
        <f t="shared" ref="D83:AE83" si="67">$H$47*D33</f>
        <v>0</v>
      </c>
      <c r="E83" s="874">
        <f t="shared" si="67"/>
        <v>0</v>
      </c>
      <c r="F83" s="874">
        <f t="shared" si="67"/>
        <v>0</v>
      </c>
      <c r="G83" s="874">
        <f t="shared" si="67"/>
        <v>0</v>
      </c>
      <c r="H83" s="874">
        <f t="shared" si="67"/>
        <v>4453745.2773484457</v>
      </c>
      <c r="I83" s="874">
        <f t="shared" si="67"/>
        <v>4453745.2773484457</v>
      </c>
      <c r="J83" s="874">
        <f t="shared" si="67"/>
        <v>4453745.2773484457</v>
      </c>
      <c r="K83" s="874">
        <f t="shared" si="67"/>
        <v>0</v>
      </c>
      <c r="L83" s="874">
        <f t="shared" si="67"/>
        <v>0</v>
      </c>
      <c r="M83" s="874">
        <f t="shared" si="67"/>
        <v>0</v>
      </c>
      <c r="N83" s="874">
        <f t="shared" si="67"/>
        <v>0</v>
      </c>
      <c r="O83" s="874">
        <f t="shared" si="67"/>
        <v>0</v>
      </c>
      <c r="P83" s="874">
        <f t="shared" si="67"/>
        <v>0</v>
      </c>
      <c r="Q83" s="874">
        <f t="shared" si="67"/>
        <v>0</v>
      </c>
      <c r="R83" s="874">
        <f t="shared" si="67"/>
        <v>0</v>
      </c>
      <c r="S83" s="874">
        <f t="shared" si="67"/>
        <v>0</v>
      </c>
      <c r="T83" s="874">
        <f t="shared" si="67"/>
        <v>0</v>
      </c>
      <c r="U83" s="874">
        <f t="shared" si="67"/>
        <v>0</v>
      </c>
      <c r="V83" s="874">
        <f t="shared" si="67"/>
        <v>0</v>
      </c>
      <c r="W83" s="874">
        <f t="shared" si="67"/>
        <v>0</v>
      </c>
      <c r="X83" s="874">
        <f t="shared" si="67"/>
        <v>0</v>
      </c>
      <c r="Y83" s="874">
        <f t="shared" si="67"/>
        <v>0</v>
      </c>
      <c r="Z83" s="874">
        <f t="shared" si="67"/>
        <v>0</v>
      </c>
      <c r="AA83" s="874">
        <f t="shared" si="67"/>
        <v>0</v>
      </c>
      <c r="AB83" s="874">
        <f t="shared" si="67"/>
        <v>0</v>
      </c>
      <c r="AC83" s="874">
        <f t="shared" si="67"/>
        <v>0</v>
      </c>
      <c r="AD83" s="874">
        <f t="shared" si="67"/>
        <v>0</v>
      </c>
      <c r="AE83" s="997">
        <f t="shared" si="67"/>
        <v>0</v>
      </c>
    </row>
    <row r="84" spans="2:31" ht="21.9" customHeight="1" x14ac:dyDescent="0.25">
      <c r="B84" s="1335"/>
      <c r="C84" s="114" t="str">
        <f>'Project Cost Data'!B13</f>
        <v>SH-412B Improvements</v>
      </c>
      <c r="D84" s="874">
        <f t="shared" ref="D84:AE84" si="68">$H$50*D34</f>
        <v>0</v>
      </c>
      <c r="E84" s="874">
        <f t="shared" si="68"/>
        <v>0</v>
      </c>
      <c r="F84" s="874">
        <f t="shared" si="68"/>
        <v>0</v>
      </c>
      <c r="G84" s="874">
        <f t="shared" si="68"/>
        <v>0</v>
      </c>
      <c r="H84" s="874">
        <f t="shared" si="68"/>
        <v>8252528.013910355</v>
      </c>
      <c r="I84" s="874">
        <f t="shared" si="68"/>
        <v>8252528.013910355</v>
      </c>
      <c r="J84" s="874">
        <f t="shared" si="68"/>
        <v>0</v>
      </c>
      <c r="K84" s="874">
        <f t="shared" si="68"/>
        <v>0</v>
      </c>
      <c r="L84" s="874">
        <f t="shared" si="68"/>
        <v>0</v>
      </c>
      <c r="M84" s="874">
        <f t="shared" si="68"/>
        <v>0</v>
      </c>
      <c r="N84" s="874">
        <f t="shared" si="68"/>
        <v>0</v>
      </c>
      <c r="O84" s="874">
        <f t="shared" si="68"/>
        <v>0</v>
      </c>
      <c r="P84" s="874">
        <f t="shared" si="68"/>
        <v>0</v>
      </c>
      <c r="Q84" s="874">
        <f t="shared" si="68"/>
        <v>0</v>
      </c>
      <c r="R84" s="874">
        <f t="shared" si="68"/>
        <v>0</v>
      </c>
      <c r="S84" s="874">
        <f t="shared" si="68"/>
        <v>0</v>
      </c>
      <c r="T84" s="874">
        <f t="shared" si="68"/>
        <v>0</v>
      </c>
      <c r="U84" s="874">
        <f t="shared" si="68"/>
        <v>0</v>
      </c>
      <c r="V84" s="874">
        <f t="shared" si="68"/>
        <v>0</v>
      </c>
      <c r="W84" s="874">
        <f t="shared" si="68"/>
        <v>0</v>
      </c>
      <c r="X84" s="874">
        <f t="shared" si="68"/>
        <v>0</v>
      </c>
      <c r="Y84" s="874">
        <f t="shared" si="68"/>
        <v>0</v>
      </c>
      <c r="Z84" s="874">
        <f t="shared" si="68"/>
        <v>0</v>
      </c>
      <c r="AA84" s="874">
        <f t="shared" si="68"/>
        <v>0</v>
      </c>
      <c r="AB84" s="874">
        <f t="shared" si="68"/>
        <v>0</v>
      </c>
      <c r="AC84" s="874">
        <f t="shared" si="68"/>
        <v>0</v>
      </c>
      <c r="AD84" s="874">
        <f t="shared" si="68"/>
        <v>0</v>
      </c>
      <c r="AE84" s="997">
        <f t="shared" si="68"/>
        <v>0</v>
      </c>
    </row>
    <row r="85" spans="2:31" ht="21.9" customHeight="1" x14ac:dyDescent="0.25">
      <c r="B85" s="1335"/>
      <c r="C85" s="114" t="str">
        <f>'Project Cost Data'!B14</f>
        <v>Zarrow Street Widening</v>
      </c>
      <c r="D85" s="874">
        <f t="shared" ref="D85:AE85" si="69">$H$51*D35</f>
        <v>0</v>
      </c>
      <c r="E85" s="874">
        <f t="shared" si="69"/>
        <v>0</v>
      </c>
      <c r="F85" s="874">
        <f t="shared" si="69"/>
        <v>0</v>
      </c>
      <c r="G85" s="874">
        <f t="shared" si="69"/>
        <v>0</v>
      </c>
      <c r="H85" s="874">
        <f t="shared" si="69"/>
        <v>3114346.8814399792</v>
      </c>
      <c r="I85" s="874">
        <f t="shared" si="69"/>
        <v>3114346.8814399792</v>
      </c>
      <c r="J85" s="874">
        <f t="shared" si="69"/>
        <v>0</v>
      </c>
      <c r="K85" s="874">
        <f t="shared" si="69"/>
        <v>0</v>
      </c>
      <c r="L85" s="874">
        <f t="shared" si="69"/>
        <v>0</v>
      </c>
      <c r="M85" s="874">
        <f t="shared" si="69"/>
        <v>0</v>
      </c>
      <c r="N85" s="874">
        <f t="shared" si="69"/>
        <v>0</v>
      </c>
      <c r="O85" s="874">
        <f t="shared" si="69"/>
        <v>0</v>
      </c>
      <c r="P85" s="874">
        <f t="shared" si="69"/>
        <v>0</v>
      </c>
      <c r="Q85" s="874">
        <f t="shared" si="69"/>
        <v>0</v>
      </c>
      <c r="R85" s="874">
        <f t="shared" si="69"/>
        <v>0</v>
      </c>
      <c r="S85" s="874">
        <f t="shared" si="69"/>
        <v>0</v>
      </c>
      <c r="T85" s="874">
        <f t="shared" si="69"/>
        <v>0</v>
      </c>
      <c r="U85" s="874">
        <f t="shared" si="69"/>
        <v>0</v>
      </c>
      <c r="V85" s="874">
        <f t="shared" si="69"/>
        <v>0</v>
      </c>
      <c r="W85" s="874">
        <f t="shared" si="69"/>
        <v>0</v>
      </c>
      <c r="X85" s="874">
        <f t="shared" si="69"/>
        <v>0</v>
      </c>
      <c r="Y85" s="874">
        <f t="shared" si="69"/>
        <v>0</v>
      </c>
      <c r="Z85" s="874">
        <f t="shared" si="69"/>
        <v>0</v>
      </c>
      <c r="AA85" s="874">
        <f t="shared" si="69"/>
        <v>0</v>
      </c>
      <c r="AB85" s="874">
        <f t="shared" si="69"/>
        <v>0</v>
      </c>
      <c r="AC85" s="874">
        <f t="shared" si="69"/>
        <v>0</v>
      </c>
      <c r="AD85" s="874">
        <f t="shared" si="69"/>
        <v>0</v>
      </c>
      <c r="AE85" s="997">
        <f t="shared" si="69"/>
        <v>0</v>
      </c>
    </row>
    <row r="86" spans="2:31" ht="21.9" customHeight="1" x14ac:dyDescent="0.25">
      <c r="B86" s="1338"/>
      <c r="C86" s="250" t="str">
        <f>'Project Cost Data'!B15</f>
        <v>Rocket Road Improvements</v>
      </c>
      <c r="D86" s="875">
        <f t="shared" ref="D86:AE86" si="70">$H$52*D36</f>
        <v>0</v>
      </c>
      <c r="E86" s="875">
        <f t="shared" si="70"/>
        <v>0</v>
      </c>
      <c r="F86" s="875">
        <f t="shared" si="70"/>
        <v>0</v>
      </c>
      <c r="G86" s="875">
        <f t="shared" si="70"/>
        <v>0</v>
      </c>
      <c r="H86" s="875">
        <f t="shared" si="70"/>
        <v>3291186.7674523443</v>
      </c>
      <c r="I86" s="875">
        <f t="shared" si="70"/>
        <v>3291186.7674523443</v>
      </c>
      <c r="J86" s="875">
        <f t="shared" si="70"/>
        <v>0</v>
      </c>
      <c r="K86" s="875">
        <f t="shared" si="70"/>
        <v>0</v>
      </c>
      <c r="L86" s="875">
        <f t="shared" si="70"/>
        <v>0</v>
      </c>
      <c r="M86" s="875">
        <f t="shared" si="70"/>
        <v>0</v>
      </c>
      <c r="N86" s="875">
        <f t="shared" si="70"/>
        <v>0</v>
      </c>
      <c r="O86" s="875">
        <f t="shared" si="70"/>
        <v>0</v>
      </c>
      <c r="P86" s="875">
        <f t="shared" si="70"/>
        <v>0</v>
      </c>
      <c r="Q86" s="875">
        <f t="shared" si="70"/>
        <v>0</v>
      </c>
      <c r="R86" s="875">
        <f t="shared" si="70"/>
        <v>0</v>
      </c>
      <c r="S86" s="875">
        <f t="shared" si="70"/>
        <v>0</v>
      </c>
      <c r="T86" s="875">
        <f t="shared" si="70"/>
        <v>0</v>
      </c>
      <c r="U86" s="875">
        <f t="shared" si="70"/>
        <v>0</v>
      </c>
      <c r="V86" s="875">
        <f t="shared" si="70"/>
        <v>0</v>
      </c>
      <c r="W86" s="875">
        <f t="shared" si="70"/>
        <v>0</v>
      </c>
      <c r="X86" s="875">
        <f t="shared" si="70"/>
        <v>0</v>
      </c>
      <c r="Y86" s="875">
        <f t="shared" si="70"/>
        <v>0</v>
      </c>
      <c r="Z86" s="875">
        <f t="shared" si="70"/>
        <v>0</v>
      </c>
      <c r="AA86" s="875">
        <f t="shared" si="70"/>
        <v>0</v>
      </c>
      <c r="AB86" s="875">
        <f t="shared" si="70"/>
        <v>0</v>
      </c>
      <c r="AC86" s="875">
        <f t="shared" si="70"/>
        <v>0</v>
      </c>
      <c r="AD86" s="875">
        <f t="shared" si="70"/>
        <v>0</v>
      </c>
      <c r="AE86" s="998">
        <f t="shared" si="70"/>
        <v>0</v>
      </c>
    </row>
    <row r="87" spans="2:31" ht="21.9" customHeight="1" x14ac:dyDescent="0.25">
      <c r="B87" s="1332" t="s">
        <v>23</v>
      </c>
      <c r="C87" s="217" t="str">
        <f>'Project Cost Data'!B9</f>
        <v>US-412/SH-412B Interchange</v>
      </c>
      <c r="D87" s="876">
        <f t="shared" ref="D87:AE87" si="71">D73+D80</f>
        <v>0</v>
      </c>
      <c r="E87" s="876">
        <f t="shared" si="71"/>
        <v>234797.891980079</v>
      </c>
      <c r="F87" s="876">
        <f t="shared" si="71"/>
        <v>234797.891980079</v>
      </c>
      <c r="G87" s="876">
        <f t="shared" si="71"/>
        <v>234797.891980079</v>
      </c>
      <c r="H87" s="876">
        <f t="shared" si="71"/>
        <v>3684164.2919242657</v>
      </c>
      <c r="I87" s="876">
        <f t="shared" si="71"/>
        <v>3684164.2919242657</v>
      </c>
      <c r="J87" s="876">
        <f t="shared" si="71"/>
        <v>3684164.2919242657</v>
      </c>
      <c r="K87" s="876">
        <f t="shared" si="71"/>
        <v>3684164.2919242657</v>
      </c>
      <c r="L87" s="876">
        <f t="shared" si="71"/>
        <v>0</v>
      </c>
      <c r="M87" s="876">
        <f t="shared" si="71"/>
        <v>0</v>
      </c>
      <c r="N87" s="876">
        <f t="shared" si="71"/>
        <v>0</v>
      </c>
      <c r="O87" s="876">
        <f t="shared" si="71"/>
        <v>0</v>
      </c>
      <c r="P87" s="876">
        <f t="shared" si="71"/>
        <v>0</v>
      </c>
      <c r="Q87" s="876">
        <f t="shared" si="71"/>
        <v>0</v>
      </c>
      <c r="R87" s="876">
        <f t="shared" si="71"/>
        <v>0</v>
      </c>
      <c r="S87" s="876">
        <f t="shared" si="71"/>
        <v>0</v>
      </c>
      <c r="T87" s="876">
        <f t="shared" si="71"/>
        <v>0</v>
      </c>
      <c r="U87" s="876">
        <f t="shared" si="71"/>
        <v>0</v>
      </c>
      <c r="V87" s="876">
        <f t="shared" si="71"/>
        <v>0</v>
      </c>
      <c r="W87" s="876">
        <f t="shared" si="71"/>
        <v>0</v>
      </c>
      <c r="X87" s="876">
        <f t="shared" si="71"/>
        <v>0</v>
      </c>
      <c r="Y87" s="876">
        <f t="shared" si="71"/>
        <v>0</v>
      </c>
      <c r="Z87" s="876">
        <f t="shared" si="71"/>
        <v>0</v>
      </c>
      <c r="AA87" s="876">
        <f t="shared" si="71"/>
        <v>0</v>
      </c>
      <c r="AB87" s="876">
        <f t="shared" si="71"/>
        <v>0</v>
      </c>
      <c r="AC87" s="876">
        <f t="shared" si="71"/>
        <v>0</v>
      </c>
      <c r="AD87" s="876">
        <f t="shared" si="71"/>
        <v>0</v>
      </c>
      <c r="AE87" s="999">
        <f t="shared" si="71"/>
        <v>0</v>
      </c>
    </row>
    <row r="88" spans="2:31" ht="21.9" customHeight="1" x14ac:dyDescent="0.25">
      <c r="B88" s="1335"/>
      <c r="C88" s="114" t="str">
        <f>'Project Cost Data'!B10</f>
        <v>SH-412B Roundabout</v>
      </c>
      <c r="D88" s="874">
        <f t="shared" ref="D88:AE88" si="72">D74+D81</f>
        <v>0</v>
      </c>
      <c r="E88" s="874">
        <f t="shared" si="72"/>
        <v>0</v>
      </c>
      <c r="F88" s="874">
        <f t="shared" si="72"/>
        <v>363318.8433797012</v>
      </c>
      <c r="G88" s="874">
        <f t="shared" si="72"/>
        <v>363318.8433797012</v>
      </c>
      <c r="H88" s="874">
        <f t="shared" si="72"/>
        <v>2750842.671303452</v>
      </c>
      <c r="I88" s="874">
        <f t="shared" si="72"/>
        <v>2750842.671303452</v>
      </c>
      <c r="J88" s="874">
        <f t="shared" si="72"/>
        <v>0</v>
      </c>
      <c r="K88" s="874">
        <f t="shared" si="72"/>
        <v>0</v>
      </c>
      <c r="L88" s="874">
        <f t="shared" si="72"/>
        <v>0</v>
      </c>
      <c r="M88" s="874">
        <f t="shared" si="72"/>
        <v>0</v>
      </c>
      <c r="N88" s="874">
        <f t="shared" si="72"/>
        <v>0</v>
      </c>
      <c r="O88" s="874">
        <f t="shared" si="72"/>
        <v>0</v>
      </c>
      <c r="P88" s="874">
        <f t="shared" si="72"/>
        <v>0</v>
      </c>
      <c r="Q88" s="874">
        <f t="shared" si="72"/>
        <v>0</v>
      </c>
      <c r="R88" s="874">
        <f t="shared" si="72"/>
        <v>0</v>
      </c>
      <c r="S88" s="874">
        <f t="shared" si="72"/>
        <v>0</v>
      </c>
      <c r="T88" s="874">
        <f t="shared" si="72"/>
        <v>0</v>
      </c>
      <c r="U88" s="874">
        <f t="shared" si="72"/>
        <v>0</v>
      </c>
      <c r="V88" s="874">
        <f t="shared" si="72"/>
        <v>0</v>
      </c>
      <c r="W88" s="874">
        <f t="shared" si="72"/>
        <v>0</v>
      </c>
      <c r="X88" s="874">
        <f t="shared" si="72"/>
        <v>0</v>
      </c>
      <c r="Y88" s="874">
        <f t="shared" si="72"/>
        <v>0</v>
      </c>
      <c r="Z88" s="874">
        <f t="shared" si="72"/>
        <v>0</v>
      </c>
      <c r="AA88" s="874">
        <f t="shared" si="72"/>
        <v>0</v>
      </c>
      <c r="AB88" s="874">
        <f t="shared" si="72"/>
        <v>0</v>
      </c>
      <c r="AC88" s="874">
        <f t="shared" si="72"/>
        <v>0</v>
      </c>
      <c r="AD88" s="874">
        <f t="shared" si="72"/>
        <v>0</v>
      </c>
      <c r="AE88" s="997">
        <f t="shared" si="72"/>
        <v>0</v>
      </c>
    </row>
    <row r="89" spans="2:31" ht="21.9" customHeight="1" x14ac:dyDescent="0.25">
      <c r="B89" s="1335"/>
      <c r="C89" s="114" t="str">
        <f>'Project Cost Data'!B11</f>
        <v>Patrol Road Improvements</v>
      </c>
      <c r="D89" s="874">
        <f t="shared" ref="D89:AE89" si="73">D75+D82</f>
        <v>0</v>
      </c>
      <c r="E89" s="874">
        <f t="shared" si="73"/>
        <v>700686.34080370946</v>
      </c>
      <c r="F89" s="874">
        <f t="shared" si="73"/>
        <v>700686.34080370946</v>
      </c>
      <c r="G89" s="874">
        <f t="shared" si="73"/>
        <v>0</v>
      </c>
      <c r="H89" s="874">
        <f t="shared" si="73"/>
        <v>5305196.5803709431</v>
      </c>
      <c r="I89" s="874">
        <f t="shared" si="73"/>
        <v>5305196.5803709431</v>
      </c>
      <c r="J89" s="874">
        <f t="shared" si="73"/>
        <v>0</v>
      </c>
      <c r="K89" s="874">
        <f t="shared" si="73"/>
        <v>0</v>
      </c>
      <c r="L89" s="874">
        <f t="shared" si="73"/>
        <v>0</v>
      </c>
      <c r="M89" s="874">
        <f t="shared" si="73"/>
        <v>0</v>
      </c>
      <c r="N89" s="874">
        <f t="shared" si="73"/>
        <v>0</v>
      </c>
      <c r="O89" s="874">
        <f t="shared" si="73"/>
        <v>0</v>
      </c>
      <c r="P89" s="874">
        <f t="shared" si="73"/>
        <v>0</v>
      </c>
      <c r="Q89" s="874">
        <f t="shared" si="73"/>
        <v>0</v>
      </c>
      <c r="R89" s="874">
        <f t="shared" si="73"/>
        <v>0</v>
      </c>
      <c r="S89" s="874">
        <f t="shared" si="73"/>
        <v>0</v>
      </c>
      <c r="T89" s="874">
        <f t="shared" si="73"/>
        <v>0</v>
      </c>
      <c r="U89" s="874">
        <f t="shared" si="73"/>
        <v>0</v>
      </c>
      <c r="V89" s="874">
        <f t="shared" si="73"/>
        <v>0</v>
      </c>
      <c r="W89" s="874">
        <f t="shared" si="73"/>
        <v>0</v>
      </c>
      <c r="X89" s="874">
        <f t="shared" si="73"/>
        <v>0</v>
      </c>
      <c r="Y89" s="874">
        <f t="shared" si="73"/>
        <v>0</v>
      </c>
      <c r="Z89" s="874">
        <f t="shared" si="73"/>
        <v>0</v>
      </c>
      <c r="AA89" s="874">
        <f t="shared" si="73"/>
        <v>0</v>
      </c>
      <c r="AB89" s="874">
        <f t="shared" si="73"/>
        <v>0</v>
      </c>
      <c r="AC89" s="874">
        <f t="shared" si="73"/>
        <v>0</v>
      </c>
      <c r="AD89" s="874">
        <f t="shared" si="73"/>
        <v>0</v>
      </c>
      <c r="AE89" s="997">
        <f t="shared" si="73"/>
        <v>0</v>
      </c>
    </row>
    <row r="90" spans="2:31" ht="21.9" customHeight="1" x14ac:dyDescent="0.25">
      <c r="B90" s="1335"/>
      <c r="C90" s="114" t="str">
        <f>'Project Cost Data'!B12</f>
        <v>Williams Street Improvements</v>
      </c>
      <c r="D90" s="874">
        <f t="shared" ref="D90:AE90" si="74">D76+D83</f>
        <v>0</v>
      </c>
      <c r="E90" s="874">
        <f t="shared" si="74"/>
        <v>0</v>
      </c>
      <c r="F90" s="874">
        <f t="shared" si="74"/>
        <v>882345.76249355997</v>
      </c>
      <c r="G90" s="874">
        <f t="shared" si="74"/>
        <v>882345.76249355997</v>
      </c>
      <c r="H90" s="874">
        <f t="shared" si="74"/>
        <v>4453745.2773484457</v>
      </c>
      <c r="I90" s="874">
        <f t="shared" si="74"/>
        <v>4453745.2773484457</v>
      </c>
      <c r="J90" s="874">
        <f t="shared" si="74"/>
        <v>4453745.2773484457</v>
      </c>
      <c r="K90" s="874">
        <f t="shared" si="74"/>
        <v>0</v>
      </c>
      <c r="L90" s="874">
        <f t="shared" si="74"/>
        <v>0</v>
      </c>
      <c r="M90" s="874">
        <f t="shared" si="74"/>
        <v>0</v>
      </c>
      <c r="N90" s="874">
        <f t="shared" si="74"/>
        <v>0</v>
      </c>
      <c r="O90" s="874">
        <f t="shared" si="74"/>
        <v>0</v>
      </c>
      <c r="P90" s="874">
        <f t="shared" si="74"/>
        <v>0</v>
      </c>
      <c r="Q90" s="874">
        <f t="shared" si="74"/>
        <v>0</v>
      </c>
      <c r="R90" s="874">
        <f t="shared" si="74"/>
        <v>0</v>
      </c>
      <c r="S90" s="874">
        <f t="shared" si="74"/>
        <v>0</v>
      </c>
      <c r="T90" s="874">
        <f t="shared" si="74"/>
        <v>0</v>
      </c>
      <c r="U90" s="874">
        <f t="shared" si="74"/>
        <v>0</v>
      </c>
      <c r="V90" s="874">
        <f t="shared" si="74"/>
        <v>0</v>
      </c>
      <c r="W90" s="874">
        <f t="shared" si="74"/>
        <v>0</v>
      </c>
      <c r="X90" s="874">
        <f t="shared" si="74"/>
        <v>0</v>
      </c>
      <c r="Y90" s="874">
        <f t="shared" si="74"/>
        <v>0</v>
      </c>
      <c r="Z90" s="874">
        <f t="shared" si="74"/>
        <v>0</v>
      </c>
      <c r="AA90" s="874">
        <f t="shared" si="74"/>
        <v>0</v>
      </c>
      <c r="AB90" s="874">
        <f t="shared" si="74"/>
        <v>0</v>
      </c>
      <c r="AC90" s="874">
        <f t="shared" si="74"/>
        <v>0</v>
      </c>
      <c r="AD90" s="874">
        <f t="shared" si="74"/>
        <v>0</v>
      </c>
      <c r="AE90" s="997">
        <f t="shared" si="74"/>
        <v>0</v>
      </c>
    </row>
    <row r="91" spans="2:31" ht="21.9" customHeight="1" x14ac:dyDescent="0.25">
      <c r="B91" s="1335"/>
      <c r="C91" s="114" t="str">
        <f>'Project Cost Data'!B13</f>
        <v>SH-412B Improvements</v>
      </c>
      <c r="D91" s="874">
        <f t="shared" ref="D91:AE91" si="75">D77+D84</f>
        <v>0</v>
      </c>
      <c r="E91" s="874">
        <f t="shared" si="75"/>
        <v>1089956.5301391035</v>
      </c>
      <c r="F91" s="874">
        <f t="shared" si="75"/>
        <v>1089956.5301391035</v>
      </c>
      <c r="G91" s="874">
        <f t="shared" si="75"/>
        <v>0</v>
      </c>
      <c r="H91" s="874">
        <f t="shared" si="75"/>
        <v>8252528.013910355</v>
      </c>
      <c r="I91" s="874">
        <f t="shared" si="75"/>
        <v>8252528.013910355</v>
      </c>
      <c r="J91" s="874">
        <f t="shared" si="75"/>
        <v>0</v>
      </c>
      <c r="K91" s="874">
        <f t="shared" si="75"/>
        <v>0</v>
      </c>
      <c r="L91" s="874">
        <f t="shared" si="75"/>
        <v>0</v>
      </c>
      <c r="M91" s="874">
        <f t="shared" si="75"/>
        <v>0</v>
      </c>
      <c r="N91" s="874">
        <f t="shared" si="75"/>
        <v>0</v>
      </c>
      <c r="O91" s="874">
        <f t="shared" si="75"/>
        <v>0</v>
      </c>
      <c r="P91" s="874">
        <f t="shared" si="75"/>
        <v>0</v>
      </c>
      <c r="Q91" s="874">
        <f t="shared" si="75"/>
        <v>0</v>
      </c>
      <c r="R91" s="874">
        <f t="shared" si="75"/>
        <v>0</v>
      </c>
      <c r="S91" s="874">
        <f t="shared" si="75"/>
        <v>0</v>
      </c>
      <c r="T91" s="874">
        <f t="shared" si="75"/>
        <v>0</v>
      </c>
      <c r="U91" s="874">
        <f t="shared" si="75"/>
        <v>0</v>
      </c>
      <c r="V91" s="874">
        <f t="shared" si="75"/>
        <v>0</v>
      </c>
      <c r="W91" s="874">
        <f t="shared" si="75"/>
        <v>0</v>
      </c>
      <c r="X91" s="874">
        <f t="shared" si="75"/>
        <v>0</v>
      </c>
      <c r="Y91" s="874">
        <f t="shared" si="75"/>
        <v>0</v>
      </c>
      <c r="Z91" s="874">
        <f t="shared" si="75"/>
        <v>0</v>
      </c>
      <c r="AA91" s="874">
        <f t="shared" si="75"/>
        <v>0</v>
      </c>
      <c r="AB91" s="874">
        <f t="shared" si="75"/>
        <v>0</v>
      </c>
      <c r="AC91" s="874">
        <f t="shared" si="75"/>
        <v>0</v>
      </c>
      <c r="AD91" s="874">
        <f t="shared" si="75"/>
        <v>0</v>
      </c>
      <c r="AE91" s="997">
        <f t="shared" si="75"/>
        <v>0</v>
      </c>
    </row>
    <row r="92" spans="2:31" ht="21.9" customHeight="1" x14ac:dyDescent="0.25">
      <c r="B92" s="1335"/>
      <c r="C92" s="114" t="str">
        <f>'Project Cost Data'!B14</f>
        <v>Zarrow Street Widening</v>
      </c>
      <c r="D92" s="874">
        <f t="shared" ref="D92:AE92" si="76">D78+D85</f>
        <v>0</v>
      </c>
      <c r="E92" s="874">
        <f t="shared" si="76"/>
        <v>0</v>
      </c>
      <c r="F92" s="874">
        <f t="shared" si="76"/>
        <v>681500.88147217932</v>
      </c>
      <c r="G92" s="874">
        <f t="shared" si="76"/>
        <v>681500.88147217932</v>
      </c>
      <c r="H92" s="874">
        <f t="shared" si="76"/>
        <v>3114346.8814399792</v>
      </c>
      <c r="I92" s="874">
        <f t="shared" si="76"/>
        <v>3114346.8814399792</v>
      </c>
      <c r="J92" s="874">
        <f t="shared" si="76"/>
        <v>0</v>
      </c>
      <c r="K92" s="874">
        <f t="shared" si="76"/>
        <v>0</v>
      </c>
      <c r="L92" s="874">
        <f t="shared" si="76"/>
        <v>0</v>
      </c>
      <c r="M92" s="874">
        <f t="shared" si="76"/>
        <v>0</v>
      </c>
      <c r="N92" s="874">
        <f t="shared" si="76"/>
        <v>0</v>
      </c>
      <c r="O92" s="874">
        <f t="shared" si="76"/>
        <v>0</v>
      </c>
      <c r="P92" s="874">
        <f t="shared" si="76"/>
        <v>0</v>
      </c>
      <c r="Q92" s="874">
        <f t="shared" si="76"/>
        <v>0</v>
      </c>
      <c r="R92" s="874">
        <f t="shared" si="76"/>
        <v>0</v>
      </c>
      <c r="S92" s="874">
        <f t="shared" si="76"/>
        <v>0</v>
      </c>
      <c r="T92" s="874">
        <f t="shared" si="76"/>
        <v>0</v>
      </c>
      <c r="U92" s="874">
        <f t="shared" si="76"/>
        <v>0</v>
      </c>
      <c r="V92" s="874">
        <f t="shared" si="76"/>
        <v>0</v>
      </c>
      <c r="W92" s="874">
        <f t="shared" si="76"/>
        <v>0</v>
      </c>
      <c r="X92" s="874">
        <f t="shared" si="76"/>
        <v>0</v>
      </c>
      <c r="Y92" s="874">
        <f t="shared" si="76"/>
        <v>0</v>
      </c>
      <c r="Z92" s="874">
        <f t="shared" si="76"/>
        <v>0</v>
      </c>
      <c r="AA92" s="874">
        <f t="shared" si="76"/>
        <v>0</v>
      </c>
      <c r="AB92" s="874">
        <f t="shared" si="76"/>
        <v>0</v>
      </c>
      <c r="AC92" s="874">
        <f t="shared" si="76"/>
        <v>0</v>
      </c>
      <c r="AD92" s="874">
        <f t="shared" si="76"/>
        <v>0</v>
      </c>
      <c r="AE92" s="997">
        <f t="shared" si="76"/>
        <v>0</v>
      </c>
    </row>
    <row r="93" spans="2:31" ht="21.9" customHeight="1" thickBot="1" x14ac:dyDescent="0.3">
      <c r="B93" s="1335"/>
      <c r="C93" s="114" t="str">
        <f>'Project Cost Data'!B15</f>
        <v>Rocket Road Improvements</v>
      </c>
      <c r="D93" s="874">
        <f t="shared" ref="D93:AE93" si="77">D79+D86</f>
        <v>0</v>
      </c>
      <c r="E93" s="874">
        <f t="shared" si="77"/>
        <v>0</v>
      </c>
      <c r="F93" s="874">
        <f t="shared" si="77"/>
        <v>434685.04475785675</v>
      </c>
      <c r="G93" s="874">
        <f t="shared" si="77"/>
        <v>434685.04475785675</v>
      </c>
      <c r="H93" s="874">
        <f t="shared" si="77"/>
        <v>3291186.7674523443</v>
      </c>
      <c r="I93" s="874">
        <f t="shared" si="77"/>
        <v>3291186.7674523443</v>
      </c>
      <c r="J93" s="874">
        <f t="shared" si="77"/>
        <v>0</v>
      </c>
      <c r="K93" s="874">
        <f t="shared" si="77"/>
        <v>0</v>
      </c>
      <c r="L93" s="874">
        <f t="shared" si="77"/>
        <v>0</v>
      </c>
      <c r="M93" s="874">
        <f t="shared" si="77"/>
        <v>0</v>
      </c>
      <c r="N93" s="874">
        <f t="shared" si="77"/>
        <v>0</v>
      </c>
      <c r="O93" s="874">
        <f t="shared" si="77"/>
        <v>0</v>
      </c>
      <c r="P93" s="874">
        <f t="shared" si="77"/>
        <v>0</v>
      </c>
      <c r="Q93" s="874">
        <f t="shared" si="77"/>
        <v>0</v>
      </c>
      <c r="R93" s="874">
        <f t="shared" si="77"/>
        <v>0</v>
      </c>
      <c r="S93" s="874">
        <f t="shared" si="77"/>
        <v>0</v>
      </c>
      <c r="T93" s="874">
        <f t="shared" si="77"/>
        <v>0</v>
      </c>
      <c r="U93" s="874">
        <f t="shared" si="77"/>
        <v>0</v>
      </c>
      <c r="V93" s="874">
        <f t="shared" si="77"/>
        <v>0</v>
      </c>
      <c r="W93" s="874">
        <f t="shared" si="77"/>
        <v>0</v>
      </c>
      <c r="X93" s="874">
        <f t="shared" si="77"/>
        <v>0</v>
      </c>
      <c r="Y93" s="874">
        <f t="shared" si="77"/>
        <v>0</v>
      </c>
      <c r="Z93" s="874">
        <f t="shared" si="77"/>
        <v>0</v>
      </c>
      <c r="AA93" s="874">
        <f t="shared" si="77"/>
        <v>0</v>
      </c>
      <c r="AB93" s="874">
        <f t="shared" si="77"/>
        <v>0</v>
      </c>
      <c r="AC93" s="874">
        <f t="shared" si="77"/>
        <v>0</v>
      </c>
      <c r="AD93" s="874">
        <f t="shared" si="77"/>
        <v>0</v>
      </c>
      <c r="AE93" s="997">
        <f t="shared" si="77"/>
        <v>0</v>
      </c>
    </row>
    <row r="94" spans="2:31" ht="21.9" customHeight="1" thickBot="1" x14ac:dyDescent="0.3">
      <c r="B94" s="1000"/>
      <c r="C94" s="707" t="s">
        <v>25</v>
      </c>
      <c r="D94" s="1001">
        <f t="shared" ref="D94:Y94" si="78">SUM(D87:D93)</f>
        <v>0</v>
      </c>
      <c r="E94" s="1001">
        <f t="shared" si="78"/>
        <v>2025440.7629228919</v>
      </c>
      <c r="F94" s="1001">
        <f t="shared" si="78"/>
        <v>4387291.2950261896</v>
      </c>
      <c r="G94" s="1001">
        <f t="shared" si="78"/>
        <v>2596648.4240833763</v>
      </c>
      <c r="H94" s="1001">
        <f t="shared" si="78"/>
        <v>30852010.483749785</v>
      </c>
      <c r="I94" s="1001">
        <f t="shared" si="78"/>
        <v>30852010.483749785</v>
      </c>
      <c r="J94" s="1001">
        <f t="shared" si="78"/>
        <v>8137909.5692727119</v>
      </c>
      <c r="K94" s="1001">
        <f t="shared" si="78"/>
        <v>3684164.2919242657</v>
      </c>
      <c r="L94" s="1001">
        <f t="shared" si="78"/>
        <v>0</v>
      </c>
      <c r="M94" s="1001">
        <f t="shared" si="78"/>
        <v>0</v>
      </c>
      <c r="N94" s="1001">
        <f t="shared" si="78"/>
        <v>0</v>
      </c>
      <c r="O94" s="1001">
        <f t="shared" si="78"/>
        <v>0</v>
      </c>
      <c r="P94" s="1001">
        <f t="shared" si="78"/>
        <v>0</v>
      </c>
      <c r="Q94" s="1001">
        <f t="shared" si="78"/>
        <v>0</v>
      </c>
      <c r="R94" s="1001">
        <f t="shared" si="78"/>
        <v>0</v>
      </c>
      <c r="S94" s="1001">
        <f t="shared" si="78"/>
        <v>0</v>
      </c>
      <c r="T94" s="1001">
        <f t="shared" si="78"/>
        <v>0</v>
      </c>
      <c r="U94" s="1001">
        <f t="shared" si="78"/>
        <v>0</v>
      </c>
      <c r="V94" s="1001">
        <f t="shared" si="78"/>
        <v>0</v>
      </c>
      <c r="W94" s="1001">
        <f t="shared" si="78"/>
        <v>0</v>
      </c>
      <c r="X94" s="1001">
        <f t="shared" si="78"/>
        <v>0</v>
      </c>
      <c r="Y94" s="1001">
        <f t="shared" si="78"/>
        <v>0</v>
      </c>
      <c r="Z94" s="1001">
        <f t="shared" ref="Z94:AE94" si="79">SUM(Z87:Z93)</f>
        <v>0</v>
      </c>
      <c r="AA94" s="1001">
        <f t="shared" si="79"/>
        <v>0</v>
      </c>
      <c r="AB94" s="1001">
        <f t="shared" si="79"/>
        <v>0</v>
      </c>
      <c r="AC94" s="1001">
        <f t="shared" si="79"/>
        <v>0</v>
      </c>
      <c r="AD94" s="1001">
        <f t="shared" si="79"/>
        <v>0</v>
      </c>
      <c r="AE94" s="1002">
        <f t="shared" si="79"/>
        <v>0</v>
      </c>
    </row>
  </sheetData>
  <mergeCells count="6">
    <mergeCell ref="B73:B79"/>
    <mergeCell ref="B80:B86"/>
    <mergeCell ref="B87:B93"/>
    <mergeCell ref="B57:B60"/>
    <mergeCell ref="B61:B64"/>
    <mergeCell ref="B65:B68"/>
  </mergeCells>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A235-C11C-426F-ACC8-D02598052016}">
  <sheetPr>
    <tabColor theme="4" tint="-0.249977111117893"/>
  </sheetPr>
  <dimension ref="A1:AN590"/>
  <sheetViews>
    <sheetView topLeftCell="A546" zoomScale="60" zoomScaleNormal="60" workbookViewId="0">
      <selection activeCell="P5" sqref="P5"/>
    </sheetView>
  </sheetViews>
  <sheetFormatPr defaultColWidth="11.59765625" defaultRowHeight="21.9" customHeight="1" x14ac:dyDescent="0.25"/>
  <cols>
    <col min="1" max="1" width="3.3984375" customWidth="1"/>
    <col min="2" max="2" width="54" customWidth="1"/>
    <col min="3" max="3" width="16.59765625" bestFit="1" customWidth="1"/>
    <col min="4" max="4" width="19" customWidth="1"/>
    <col min="5" max="5" width="14.69921875" customWidth="1"/>
    <col min="6" max="6" width="20.3984375" customWidth="1"/>
    <col min="7" max="7" width="23.8984375" customWidth="1"/>
    <col min="8" max="17" width="18.59765625" style="2" customWidth="1"/>
    <col min="18" max="33" width="18.59765625" customWidth="1"/>
    <col min="34" max="40" width="14.69921875" customWidth="1"/>
  </cols>
  <sheetData>
    <row r="1" spans="1:30" ht="21.9" customHeight="1" x14ac:dyDescent="0.25">
      <c r="E1" s="12"/>
      <c r="F1" s="12"/>
      <c r="G1" s="12"/>
      <c r="H1" s="12"/>
      <c r="I1" s="12"/>
      <c r="J1" s="12"/>
      <c r="K1" s="12"/>
      <c r="L1" s="12"/>
      <c r="M1" s="12"/>
      <c r="N1" s="12"/>
      <c r="O1" s="12"/>
      <c r="P1" s="12"/>
      <c r="Q1" s="12"/>
      <c r="R1" s="12"/>
      <c r="S1" s="12"/>
      <c r="T1" s="12"/>
      <c r="U1" s="12"/>
      <c r="V1" s="12"/>
      <c r="W1" s="12"/>
      <c r="X1" s="12"/>
      <c r="Y1" s="12"/>
      <c r="Z1" s="12"/>
      <c r="AA1" s="12"/>
      <c r="AB1" s="12"/>
      <c r="AC1" s="12"/>
    </row>
    <row r="2" spans="1:30" ht="22.8" x14ac:dyDescent="0.25">
      <c r="B2" s="371" t="s">
        <v>8</v>
      </c>
      <c r="C2" s="10"/>
      <c r="D2" s="10"/>
      <c r="E2" s="12"/>
      <c r="F2" s="12"/>
      <c r="G2" s="12"/>
      <c r="H2" s="12"/>
      <c r="I2" s="12"/>
      <c r="J2" s="12"/>
      <c r="K2" s="12"/>
      <c r="L2" s="12"/>
      <c r="M2" s="12"/>
      <c r="N2" s="12"/>
      <c r="O2" s="12"/>
      <c r="P2" s="12"/>
      <c r="Q2" s="12"/>
      <c r="R2" s="12"/>
      <c r="S2" s="12"/>
      <c r="T2" s="12"/>
      <c r="U2" s="12"/>
      <c r="V2" s="12"/>
      <c r="W2" s="12"/>
      <c r="X2" s="12"/>
      <c r="Y2" s="12"/>
      <c r="Z2" s="12"/>
      <c r="AA2" s="12"/>
      <c r="AB2" s="12"/>
      <c r="AC2" s="12"/>
    </row>
    <row r="3" spans="1:30" ht="21.9" customHeight="1" x14ac:dyDescent="0.25">
      <c r="E3" s="12"/>
      <c r="F3" s="12"/>
      <c r="G3" s="12"/>
      <c r="H3" s="12"/>
      <c r="I3" s="12"/>
      <c r="J3" s="12"/>
      <c r="K3" s="12"/>
      <c r="L3" s="12"/>
      <c r="M3" s="12"/>
      <c r="N3" s="12"/>
      <c r="O3" s="12"/>
      <c r="P3" s="12"/>
      <c r="Q3" s="12"/>
      <c r="R3" s="12"/>
      <c r="S3" s="12"/>
      <c r="T3" s="12"/>
      <c r="U3" s="12"/>
      <c r="V3" s="12"/>
      <c r="W3" s="12"/>
      <c r="X3" s="12"/>
      <c r="Y3" s="12"/>
      <c r="Z3" s="12"/>
      <c r="AA3" s="12"/>
      <c r="AB3" s="12"/>
      <c r="AC3" s="12"/>
    </row>
    <row r="4" spans="1:30" ht="21.9" customHeight="1" x14ac:dyDescent="0.25">
      <c r="A4" s="526"/>
      <c r="B4" s="527" t="s">
        <v>0</v>
      </c>
      <c r="E4" s="12"/>
      <c r="F4" s="12"/>
      <c r="G4" s="12"/>
      <c r="H4" s="12"/>
      <c r="I4" s="12"/>
      <c r="J4" s="12"/>
      <c r="K4" s="12"/>
      <c r="L4" s="12"/>
      <c r="M4" s="12"/>
      <c r="N4" s="12"/>
      <c r="O4" s="12"/>
      <c r="P4" s="12"/>
      <c r="Q4" s="12"/>
      <c r="R4" s="12"/>
      <c r="S4" s="12"/>
      <c r="T4" s="12"/>
      <c r="U4" s="12"/>
      <c r="V4" s="12"/>
      <c r="W4" s="12"/>
      <c r="X4" s="12"/>
      <c r="Y4" s="12"/>
      <c r="Z4" s="12"/>
      <c r="AA4" s="12"/>
      <c r="AB4" s="12"/>
      <c r="AC4" s="12"/>
    </row>
    <row r="5" spans="1:30" ht="21.9" customHeight="1" x14ac:dyDescent="0.25">
      <c r="A5" s="14"/>
      <c r="B5" s="15"/>
      <c r="C5" s="15"/>
      <c r="D5" s="15"/>
      <c r="E5" s="12"/>
      <c r="F5" s="12"/>
      <c r="G5" s="12"/>
      <c r="H5" s="12"/>
      <c r="I5" s="12"/>
      <c r="J5" s="12"/>
      <c r="K5" s="12"/>
      <c r="L5" s="12"/>
      <c r="M5" s="12"/>
      <c r="N5" s="12"/>
      <c r="O5" s="12"/>
      <c r="P5" s="12"/>
      <c r="Q5" s="12"/>
      <c r="R5" s="12"/>
      <c r="S5" s="12"/>
      <c r="T5" s="12"/>
      <c r="U5" s="12"/>
      <c r="V5" s="12"/>
      <c r="W5" s="12"/>
      <c r="X5" s="12"/>
      <c r="Y5" s="12"/>
      <c r="Z5" s="12"/>
      <c r="AA5" s="12"/>
      <c r="AB5" s="12"/>
      <c r="AC5" s="12"/>
    </row>
    <row r="6" spans="1:30" ht="21.9" customHeight="1" x14ac:dyDescent="0.25">
      <c r="A6" s="14"/>
      <c r="B6" s="521" t="s">
        <v>444</v>
      </c>
      <c r="H6"/>
      <c r="K6" s="12"/>
      <c r="L6" s="12"/>
      <c r="M6" s="12"/>
      <c r="N6" s="12"/>
      <c r="O6"/>
      <c r="P6"/>
      <c r="Q6"/>
      <c r="R6" s="12"/>
      <c r="S6" s="12"/>
      <c r="T6" s="12"/>
      <c r="U6" s="12"/>
      <c r="V6" s="12"/>
      <c r="W6" s="12"/>
      <c r="X6" s="12"/>
      <c r="Y6" s="12"/>
      <c r="Z6" s="12"/>
      <c r="AA6" s="12"/>
      <c r="AB6" s="12"/>
      <c r="AC6" s="12"/>
      <c r="AD6" s="12"/>
    </row>
    <row r="7" spans="1:30" ht="21.9" customHeight="1" x14ac:dyDescent="0.25">
      <c r="B7" s="111"/>
      <c r="C7" s="9"/>
      <c r="D7" s="9"/>
      <c r="E7" s="12"/>
      <c r="F7" s="12"/>
      <c r="G7" s="12"/>
      <c r="H7" s="12"/>
      <c r="I7" s="12"/>
      <c r="J7" s="12"/>
      <c r="K7" s="12"/>
      <c r="L7" s="12"/>
      <c r="M7" s="12"/>
      <c r="N7" s="12"/>
      <c r="O7"/>
      <c r="P7"/>
      <c r="Q7"/>
      <c r="U7" s="12"/>
      <c r="V7" s="12"/>
      <c r="W7" s="12"/>
      <c r="X7" s="12"/>
      <c r="Y7" s="12"/>
      <c r="Z7" s="12"/>
      <c r="AA7" s="12"/>
      <c r="AB7" s="12"/>
      <c r="AC7" s="12"/>
      <c r="AD7" s="12"/>
    </row>
    <row r="8" spans="1:30" ht="21.9" customHeight="1" x14ac:dyDescent="0.25">
      <c r="B8" s="9" t="s">
        <v>446</v>
      </c>
      <c r="E8" s="12"/>
      <c r="F8" s="12"/>
      <c r="G8" s="12"/>
      <c r="H8" s="12"/>
      <c r="I8" s="12"/>
      <c r="J8" s="12"/>
      <c r="K8" s="12"/>
      <c r="L8" s="12"/>
      <c r="M8" s="62"/>
      <c r="N8" s="12"/>
      <c r="O8" s="12"/>
      <c r="P8"/>
      <c r="Q8" s="12"/>
      <c r="U8" s="12"/>
      <c r="V8" s="12"/>
      <c r="W8" s="12"/>
      <c r="X8" s="12"/>
      <c r="Y8" s="12"/>
      <c r="Z8" s="12"/>
      <c r="AA8" s="12"/>
      <c r="AB8" s="12"/>
      <c r="AC8" s="12"/>
      <c r="AD8" s="12"/>
    </row>
    <row r="9" spans="1:30" ht="21.9" customHeight="1" x14ac:dyDescent="0.25">
      <c r="B9" s="9" t="s">
        <v>445</v>
      </c>
      <c r="E9" s="12"/>
      <c r="F9" s="12"/>
      <c r="G9" s="12"/>
      <c r="H9" s="12"/>
      <c r="I9" s="12"/>
      <c r="J9" s="12"/>
      <c r="K9" s="12"/>
      <c r="L9" s="12"/>
      <c r="M9" s="62"/>
      <c r="N9" s="12"/>
      <c r="O9" s="12"/>
      <c r="P9"/>
      <c r="Q9" s="12"/>
      <c r="U9" s="12"/>
      <c r="V9" s="12"/>
      <c r="W9" s="12"/>
      <c r="X9" s="12"/>
      <c r="Y9" s="12"/>
      <c r="Z9" s="12"/>
      <c r="AA9" s="12"/>
      <c r="AB9" s="12"/>
      <c r="AC9" s="12"/>
      <c r="AD9" s="12"/>
    </row>
    <row r="10" spans="1:30" ht="21.9" customHeight="1" x14ac:dyDescent="0.25">
      <c r="E10" s="12"/>
      <c r="F10" s="12"/>
      <c r="G10" s="12"/>
      <c r="H10" s="12"/>
      <c r="I10" s="12"/>
      <c r="J10"/>
      <c r="K10"/>
      <c r="L10"/>
      <c r="M10"/>
      <c r="N10" s="30"/>
      <c r="O10"/>
      <c r="P10"/>
      <c r="Q10" s="12"/>
      <c r="R10" s="12"/>
      <c r="S10" s="12"/>
      <c r="T10" s="12"/>
      <c r="U10" s="12"/>
      <c r="V10" s="12"/>
      <c r="W10" s="12"/>
      <c r="X10" s="12"/>
      <c r="Y10" s="12"/>
      <c r="Z10" s="12"/>
      <c r="AA10" s="12"/>
    </row>
    <row r="11" spans="1:30" ht="21.9" customHeight="1" thickBot="1" x14ac:dyDescent="0.3">
      <c r="B11" s="191" t="s">
        <v>439</v>
      </c>
      <c r="G11" s="12"/>
      <c r="H11" s="12"/>
      <c r="I11" s="12"/>
      <c r="J11" s="12"/>
      <c r="K11" s="12"/>
      <c r="L11" s="12"/>
      <c r="M11" s="62"/>
      <c r="N11" s="12"/>
      <c r="O11" s="12"/>
      <c r="P11"/>
      <c r="Q11" s="12"/>
      <c r="U11" s="12"/>
      <c r="V11" s="12"/>
      <c r="W11" s="12"/>
      <c r="X11" s="12"/>
      <c r="Y11" s="12"/>
      <c r="Z11" s="12"/>
      <c r="AA11" s="12"/>
      <c r="AB11" s="12"/>
      <c r="AC11" s="12"/>
      <c r="AD11" s="12"/>
    </row>
    <row r="12" spans="1:30" ht="21.9" customHeight="1" x14ac:dyDescent="0.25">
      <c r="B12" s="193" t="s">
        <v>1</v>
      </c>
      <c r="C12" s="197"/>
      <c r="D12" s="197"/>
      <c r="E12" s="197" t="s">
        <v>2</v>
      </c>
      <c r="F12" s="1104" t="s">
        <v>3</v>
      </c>
      <c r="G12" s="12"/>
      <c r="I12"/>
      <c r="J12" s="12"/>
      <c r="K12" s="12"/>
      <c r="L12" s="12"/>
      <c r="M12" s="62"/>
      <c r="N12" s="12"/>
      <c r="O12" s="12"/>
      <c r="P12"/>
      <c r="Q12" s="12"/>
      <c r="U12" s="12"/>
      <c r="V12" s="12"/>
      <c r="W12" s="12"/>
      <c r="X12" s="12"/>
      <c r="Y12" s="12"/>
      <c r="Z12" s="12"/>
      <c r="AA12" s="12"/>
      <c r="AB12" s="12"/>
      <c r="AC12" s="12"/>
      <c r="AD12" s="12"/>
    </row>
    <row r="13" spans="1:30" ht="21.9" customHeight="1" x14ac:dyDescent="0.25">
      <c r="B13" s="194" t="s">
        <v>153</v>
      </c>
      <c r="C13" s="12"/>
      <c r="D13" s="12"/>
      <c r="E13" s="12" t="s">
        <v>129</v>
      </c>
      <c r="F13" s="1105">
        <f>peakHoursAM</f>
        <v>2</v>
      </c>
      <c r="G13" s="12"/>
      <c r="I13"/>
      <c r="J13" s="12"/>
      <c r="K13" s="12"/>
      <c r="L13" s="12"/>
      <c r="M13" s="62"/>
      <c r="N13" s="12"/>
      <c r="O13" s="12"/>
      <c r="P13"/>
      <c r="Q13" s="12"/>
      <c r="U13" s="12"/>
      <c r="V13" s="12"/>
      <c r="W13" s="12"/>
      <c r="X13" s="12"/>
      <c r="Y13" s="12"/>
      <c r="Z13" s="12"/>
      <c r="AA13" s="12"/>
      <c r="AB13" s="12"/>
      <c r="AC13" s="12"/>
      <c r="AD13" s="12"/>
    </row>
    <row r="14" spans="1:30" ht="21.9" customHeight="1" x14ac:dyDescent="0.25">
      <c r="B14" s="1106" t="s">
        <v>154</v>
      </c>
      <c r="C14" s="49"/>
      <c r="D14" s="49"/>
      <c r="E14" s="49" t="s">
        <v>129</v>
      </c>
      <c r="F14" s="1107">
        <f>peakHoursPM</f>
        <v>2</v>
      </c>
      <c r="G14" s="12"/>
      <c r="I14"/>
      <c r="J14" s="12"/>
      <c r="K14" s="12"/>
      <c r="L14" s="12"/>
      <c r="M14" s="62"/>
      <c r="N14" s="12"/>
      <c r="O14" s="12"/>
      <c r="P14"/>
      <c r="Q14" s="12"/>
      <c r="U14" s="12"/>
      <c r="V14" s="12"/>
      <c r="W14" s="12"/>
      <c r="X14" s="12"/>
      <c r="Y14" s="12"/>
      <c r="Z14" s="12"/>
      <c r="AA14" s="12"/>
      <c r="AB14" s="12"/>
      <c r="AC14" s="12"/>
      <c r="AD14" s="12"/>
    </row>
    <row r="15" spans="1:30" ht="21.9" customHeight="1" thickBot="1" x14ac:dyDescent="0.3">
      <c r="B15" s="1108" t="s">
        <v>148</v>
      </c>
      <c r="C15" s="1075"/>
      <c r="D15" s="1075"/>
      <c r="E15" s="1075" t="s">
        <v>128</v>
      </c>
      <c r="F15" s="1109">
        <f>percentPeak</f>
        <v>0.32800000000000001</v>
      </c>
      <c r="G15" s="109"/>
      <c r="I15"/>
      <c r="J15" s="12"/>
      <c r="K15" s="12"/>
      <c r="L15" s="12"/>
      <c r="M15" s="62"/>
      <c r="N15" s="12"/>
      <c r="O15" s="12"/>
      <c r="P15"/>
      <c r="Q15" s="12"/>
      <c r="U15" s="12"/>
      <c r="V15" s="12"/>
      <c r="W15" s="12"/>
      <c r="X15" s="12"/>
      <c r="Y15" s="12"/>
      <c r="Z15" s="12"/>
      <c r="AA15" s="12"/>
      <c r="AB15" s="12"/>
      <c r="AC15" s="12"/>
      <c r="AD15" s="12"/>
    </row>
    <row r="16" spans="1:30" ht="21.9" customHeight="1" x14ac:dyDescent="0.25">
      <c r="B16" s="12"/>
      <c r="C16" s="12"/>
      <c r="D16" s="12"/>
      <c r="E16" s="12"/>
      <c r="F16" s="12"/>
      <c r="G16" s="12"/>
      <c r="H16" s="109"/>
      <c r="I16"/>
      <c r="J16" s="12"/>
      <c r="K16" s="12"/>
      <c r="L16" s="12"/>
      <c r="M16" s="62"/>
      <c r="N16" s="12"/>
      <c r="O16" s="12"/>
      <c r="P16"/>
      <c r="Q16" s="12"/>
      <c r="U16" s="12"/>
      <c r="V16" s="12"/>
      <c r="W16" s="12"/>
      <c r="X16" s="12"/>
      <c r="Y16" s="12"/>
      <c r="Z16" s="12"/>
      <c r="AA16" s="12"/>
      <c r="AB16" s="12"/>
      <c r="AC16" s="12"/>
      <c r="AD16" s="12"/>
    </row>
    <row r="17" spans="1:40" ht="21.9" customHeight="1" x14ac:dyDescent="0.25">
      <c r="B17" s="12"/>
      <c r="C17" s="12"/>
      <c r="D17" s="12"/>
      <c r="E17" s="12"/>
      <c r="F17" s="12"/>
      <c r="G17" s="12"/>
      <c r="H17" s="109"/>
      <c r="I17"/>
      <c r="J17" s="12"/>
      <c r="K17" s="12"/>
      <c r="L17" s="12"/>
      <c r="M17" s="62"/>
      <c r="N17" s="12"/>
      <c r="O17" s="12"/>
      <c r="P17"/>
      <c r="Q17" s="12"/>
      <c r="U17" s="12"/>
      <c r="V17" s="12"/>
      <c r="W17" s="12"/>
      <c r="X17" s="12"/>
      <c r="Y17" s="12"/>
      <c r="Z17" s="12"/>
      <c r="AA17" s="12"/>
      <c r="AB17" s="12"/>
      <c r="AC17" s="12"/>
      <c r="AD17" s="12"/>
    </row>
    <row r="18" spans="1:40" ht="21.9" customHeight="1" x14ac:dyDescent="0.25">
      <c r="A18" s="526"/>
      <c r="B18" s="527" t="s">
        <v>9</v>
      </c>
      <c r="E18" s="12"/>
      <c r="F18" s="444"/>
      <c r="G18" s="444"/>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row>
    <row r="19" spans="1:40" ht="21.9" customHeight="1" x14ac:dyDescent="0.25">
      <c r="B19" s="1"/>
      <c r="E19" s="12"/>
      <c r="F19" s="12"/>
      <c r="G19" s="12"/>
      <c r="H19" s="12"/>
      <c r="I19" s="12"/>
      <c r="J19" s="12"/>
      <c r="K19" s="12"/>
      <c r="L19" s="12"/>
      <c r="M19" s="12"/>
      <c r="N19" s="12"/>
      <c r="O19" s="12"/>
      <c r="P19" s="12"/>
      <c r="Q19" s="12"/>
      <c r="R19" s="12"/>
      <c r="S19" s="12"/>
      <c r="T19" s="12"/>
      <c r="U19" s="12"/>
      <c r="V19" s="12"/>
      <c r="W19" s="12"/>
      <c r="X19" s="12"/>
      <c r="Y19" s="12"/>
      <c r="Z19" s="12"/>
      <c r="AA19" s="12"/>
      <c r="AB19" s="12"/>
    </row>
    <row r="20" spans="1:40" ht="21.9" customHeight="1" x14ac:dyDescent="0.25">
      <c r="B20" s="191" t="s">
        <v>64</v>
      </c>
      <c r="C20" s="12"/>
      <c r="D20" s="12"/>
      <c r="E20" s="12"/>
      <c r="F20" s="12"/>
      <c r="G20" s="12"/>
      <c r="H20" s="109"/>
      <c r="I20"/>
      <c r="J20" s="12"/>
      <c r="K20" s="12"/>
      <c r="L20" s="12"/>
      <c r="M20" s="62"/>
      <c r="N20" s="12"/>
      <c r="O20" s="12"/>
      <c r="P20"/>
      <c r="Q20" s="12"/>
      <c r="U20" s="12"/>
      <c r="V20" s="12"/>
      <c r="W20" s="12"/>
      <c r="X20" s="12"/>
      <c r="Y20" s="12"/>
      <c r="Z20" s="12"/>
      <c r="AA20" s="12"/>
      <c r="AB20" s="12"/>
      <c r="AC20" s="12"/>
      <c r="AD20" s="12"/>
    </row>
    <row r="21" spans="1:40" s="7" customFormat="1" ht="21.9" customHeight="1" x14ac:dyDescent="0.25">
      <c r="B21" s="468"/>
      <c r="C21" s="686" t="s">
        <v>2</v>
      </c>
      <c r="D21" s="686" t="s">
        <v>440</v>
      </c>
      <c r="E21" s="686" t="s">
        <v>312</v>
      </c>
      <c r="F21" s="686" t="s">
        <v>313</v>
      </c>
      <c r="G21" s="686" t="s">
        <v>314</v>
      </c>
      <c r="H21" s="687">
        <v>2023</v>
      </c>
      <c r="I21" s="687">
        <v>2024</v>
      </c>
      <c r="J21" s="687">
        <v>2025</v>
      </c>
      <c r="K21" s="687">
        <v>2026</v>
      </c>
      <c r="L21" s="687">
        <v>2027</v>
      </c>
      <c r="M21" s="687">
        <v>2028</v>
      </c>
      <c r="N21" s="687">
        <v>2029</v>
      </c>
      <c r="O21" s="687">
        <v>2030</v>
      </c>
      <c r="P21" s="687">
        <v>2031</v>
      </c>
      <c r="Q21" s="687">
        <v>2032</v>
      </c>
      <c r="R21" s="687">
        <v>2033</v>
      </c>
      <c r="S21" s="687">
        <v>2034</v>
      </c>
      <c r="T21" s="687">
        <v>2035</v>
      </c>
      <c r="U21" s="687">
        <v>2036</v>
      </c>
      <c r="V21" s="687">
        <v>2037</v>
      </c>
      <c r="W21" s="687">
        <v>2038</v>
      </c>
      <c r="X21" s="687">
        <v>2039</v>
      </c>
      <c r="Y21" s="687">
        <v>2040</v>
      </c>
      <c r="Z21" s="687">
        <v>2041</v>
      </c>
      <c r="AA21" s="687">
        <v>2042</v>
      </c>
      <c r="AB21" s="687">
        <v>2043</v>
      </c>
      <c r="AC21" s="687">
        <v>2044</v>
      </c>
      <c r="AD21" s="687">
        <v>2045</v>
      </c>
      <c r="AE21" s="687">
        <v>2046</v>
      </c>
      <c r="AF21" s="687">
        <v>2047</v>
      </c>
      <c r="AG21" s="688">
        <v>2048</v>
      </c>
      <c r="AH21" s="32"/>
      <c r="AI21" s="32"/>
      <c r="AJ21" s="32"/>
      <c r="AK21" s="32"/>
      <c r="AL21" s="32"/>
      <c r="AM21" s="32"/>
      <c r="AN21" s="32"/>
    </row>
    <row r="22" spans="1:40" ht="21.9" customHeight="1" x14ac:dyDescent="0.25">
      <c r="B22" s="678" t="s">
        <v>447</v>
      </c>
      <c r="C22" s="554" t="s">
        <v>105</v>
      </c>
      <c r="D22" s="554"/>
      <c r="E22" s="1325" t="s">
        <v>315</v>
      </c>
      <c r="F22" s="217" t="s">
        <v>316</v>
      </c>
      <c r="G22" s="217" t="s">
        <v>276</v>
      </c>
      <c r="H22" s="551">
        <f>'Traffic Data'!J7*annualizationFactor*'Traffic Data'!$H7</f>
        <v>554800</v>
      </c>
      <c r="I22" s="551">
        <f>'Traffic Data'!K7*annualizationFactor*'Traffic Data'!$H7</f>
        <v>580324.26749999996</v>
      </c>
      <c r="J22" s="551">
        <f>'Traffic Data'!L7*annualizationFactor*'Traffic Data'!$H7</f>
        <v>616166.08125000005</v>
      </c>
      <c r="K22" s="551">
        <f>'Traffic Data'!M7*annualizationFactor*'Traffic Data'!$H7</f>
        <v>668745.51750000007</v>
      </c>
      <c r="L22" s="551">
        <f>'Traffic Data'!N7*annualizationFactor*'Traffic Data'!$H7</f>
        <v>721344.02500000002</v>
      </c>
      <c r="M22" s="551">
        <f>'Traffic Data'!O7*annualizationFactor*'Traffic Data'!$H7</f>
        <v>773944.26624999987</v>
      </c>
      <c r="N22" s="551">
        <f>'Traffic Data'!P7*annualizationFactor*'Traffic Data'!$H7</f>
        <v>826523.70249999978</v>
      </c>
      <c r="O22" s="551">
        <f>'Traffic Data'!Q7*annualizationFactor*'Traffic Data'!$H7</f>
        <v>879143.01499999978</v>
      </c>
      <c r="P22" s="551">
        <f>'Traffic Data'!R7*annualizationFactor*'Traffic Data'!$H7</f>
        <v>931141.64500000002</v>
      </c>
      <c r="Q22" s="551">
        <f>'Traffic Data'!S7*annualizationFactor*'Traffic Data'!$H7</f>
        <v>983150.67749999999</v>
      </c>
      <c r="R22" s="551">
        <f>'Traffic Data'!T7*annualizationFactor*'Traffic Data'!$H7</f>
        <v>1035149.3075</v>
      </c>
      <c r="S22" s="551">
        <f>'Traffic Data'!U7*annualizationFactor*'Traffic Data'!$H7</f>
        <v>1087147.9375000002</v>
      </c>
      <c r="T22" s="551">
        <f>'Traffic Data'!V7*annualizationFactor*'Traffic Data'!$H7</f>
        <v>1139188.1775000002</v>
      </c>
      <c r="U22" s="551">
        <f>'Traffic Data'!W7*annualizationFactor*'Traffic Data'!$H7</f>
        <v>1174428.3800000001</v>
      </c>
      <c r="V22" s="551">
        <f>'Traffic Data'!X7*annualizationFactor*'Traffic Data'!$H7</f>
        <v>1199952.6474999997</v>
      </c>
      <c r="W22" s="551">
        <f>'Traffic Data'!Y7*annualizationFactor*'Traffic Data'!$H7</f>
        <v>1225476.9149999998</v>
      </c>
      <c r="X22" s="551">
        <f>'Traffic Data'!Z7*annualizationFactor*'Traffic Data'!$H7</f>
        <v>1251001.1825000001</v>
      </c>
      <c r="Y22" s="551">
        <f>'Traffic Data'!AA7*annualizationFactor*'Traffic Data'!$H7</f>
        <v>1276535.8525000003</v>
      </c>
      <c r="Z22" s="551">
        <f>'Traffic Data'!AB7*annualizationFactor*'Traffic Data'!$H7</f>
        <v>1302060.1200000001</v>
      </c>
      <c r="AA22" s="551">
        <f>'Traffic Data'!AC7*annualizationFactor*'Traffic Data'!$H7</f>
        <v>1327594.7899999998</v>
      </c>
      <c r="AB22" s="551">
        <f>'Traffic Data'!AD7*annualizationFactor*'Traffic Data'!$H7</f>
        <v>1353119.0575000001</v>
      </c>
      <c r="AC22" s="551">
        <f>'Traffic Data'!AE7*annualizationFactor*'Traffic Data'!$H7</f>
        <v>1378643.325</v>
      </c>
      <c r="AD22" s="551">
        <f>'Traffic Data'!AF7*annualizationFactor*'Traffic Data'!$H7</f>
        <v>1404177.9949999999</v>
      </c>
      <c r="AE22" s="551">
        <f>'Traffic Data'!AG7*annualizationFactor*'Traffic Data'!$H7</f>
        <v>1429702.2625</v>
      </c>
      <c r="AF22" s="551">
        <f>'Traffic Data'!AH7*annualizationFactor*'Traffic Data'!$H7</f>
        <v>1455226.53</v>
      </c>
      <c r="AG22" s="689">
        <f>'Traffic Data'!AI7*annualizationFactor*'Traffic Data'!$H7</f>
        <v>1480761.2</v>
      </c>
      <c r="AH22" s="5"/>
      <c r="AI22" s="5"/>
      <c r="AJ22" s="5"/>
      <c r="AK22" s="5"/>
      <c r="AL22" s="5"/>
      <c r="AM22" s="5"/>
      <c r="AN22" s="5"/>
    </row>
    <row r="23" spans="1:40" ht="21.9" customHeight="1" x14ac:dyDescent="0.25">
      <c r="B23" s="679" t="s">
        <v>593</v>
      </c>
      <c r="C23" s="554"/>
      <c r="D23" s="554"/>
      <c r="E23" s="1327"/>
      <c r="F23" s="114" t="s">
        <v>276</v>
      </c>
      <c r="G23" s="114" t="s">
        <v>274</v>
      </c>
      <c r="H23" s="551">
        <f>'Traffic Data'!J8*annualizationFactor*'Traffic Data'!$H8</f>
        <v>17839789.772727273</v>
      </c>
      <c r="I23" s="551">
        <f>'Traffic Data'!K8*annualizationFactor*'Traffic Data'!$H8</f>
        <v>18828048.052840907</v>
      </c>
      <c r="J23" s="551">
        <f>'Traffic Data'!L8*annualizationFactor*'Traffic Data'!$H8</f>
        <v>19974089.362500001</v>
      </c>
      <c r="K23" s="551">
        <f>'Traffic Data'!M8*annualizationFactor*'Traffic Data'!$H8</f>
        <v>22112551.56988636</v>
      </c>
      <c r="L23" s="551">
        <f>'Traffic Data'!N8*annualizationFactor*'Traffic Data'!$H8</f>
        <v>24251806.656818189</v>
      </c>
      <c r="M23" s="551">
        <f>'Traffic Data'!O8*annualizationFactor*'Traffic Data'!$H8</f>
        <v>26391458.183522731</v>
      </c>
      <c r="N23" s="551">
        <f>'Traffic Data'!P8*annualizationFactor*'Traffic Data'!$H8</f>
        <v>28529920.390909094</v>
      </c>
      <c r="O23" s="551">
        <f>'Traffic Data'!Q8*annualizationFactor*'Traffic Data'!$H8</f>
        <v>30670430.870454546</v>
      </c>
      <c r="P23" s="551">
        <f>'Traffic Data'!R8*annualizationFactor*'Traffic Data'!$H8</f>
        <v>33207777.5625</v>
      </c>
      <c r="Q23" s="551">
        <f>'Traffic Data'!S8*annualizationFactor*'Traffic Data'!$H8</f>
        <v>35745851.060795456</v>
      </c>
      <c r="R23" s="551">
        <f>'Traffic Data'!T8*annualizationFactor*'Traffic Data'!$H8</f>
        <v>38283197.752840914</v>
      </c>
      <c r="S23" s="551">
        <f>'Traffic Data'!U8*annualizationFactor*'Traffic Data'!$H8</f>
        <v>40820544.444886357</v>
      </c>
      <c r="T23" s="551">
        <f>'Traffic Data'!V8*annualizationFactor*'Traffic Data'!$H8</f>
        <v>43360401.922159091</v>
      </c>
      <c r="U23" s="551">
        <f>'Traffic Data'!W8*annualizationFactor*'Traffic Data'!$H8</f>
        <v>44904072.32386364</v>
      </c>
      <c r="V23" s="551">
        <f>'Traffic Data'!X8*annualizationFactor*'Traffic Data'!$H8</f>
        <v>45892330.603977278</v>
      </c>
      <c r="W23" s="551">
        <f>'Traffic Data'!Y8*annualizationFactor*'Traffic Data'!$H8</f>
        <v>46880588.8840909</v>
      </c>
      <c r="X23" s="551">
        <f>'Traffic Data'!Z8*annualizationFactor*'Traffic Data'!$H8</f>
        <v>47868847.164204538</v>
      </c>
      <c r="Y23" s="551">
        <f>'Traffic Data'!AA8*annualizationFactor*'Traffic Data'!$H8</f>
        <v>48857766.17727273</v>
      </c>
      <c r="Z23" s="551">
        <f>'Traffic Data'!AB8*annualizationFactor*'Traffic Data'!$H8</f>
        <v>49846024.457386367</v>
      </c>
      <c r="AA23" s="551">
        <f>'Traffic Data'!AC8*annualizationFactor*'Traffic Data'!$H8</f>
        <v>50834943.470454536</v>
      </c>
      <c r="AB23" s="551">
        <f>'Traffic Data'!AD8*annualizationFactor*'Traffic Data'!$H8</f>
        <v>51823201.750568174</v>
      </c>
      <c r="AC23" s="551">
        <f>'Traffic Data'!AE8*annualizationFactor*'Traffic Data'!$H8</f>
        <v>52811460.030681811</v>
      </c>
      <c r="AD23" s="551">
        <f>'Traffic Data'!AF8*annualizationFactor*'Traffic Data'!$H8</f>
        <v>53800379.043750003</v>
      </c>
      <c r="AE23" s="551">
        <f>'Traffic Data'!AG8*annualizationFactor*'Traffic Data'!$H8</f>
        <v>54788637.32386364</v>
      </c>
      <c r="AF23" s="551">
        <f>'Traffic Data'!AH8*annualizationFactor*'Traffic Data'!$H8</f>
        <v>55776895.603977278</v>
      </c>
      <c r="AG23" s="689">
        <f>'Traffic Data'!AI8*annualizationFactor*'Traffic Data'!$H8</f>
        <v>56765814.617045462</v>
      </c>
      <c r="AH23" s="5"/>
      <c r="AI23" s="5"/>
      <c r="AJ23" s="5"/>
      <c r="AK23" s="5"/>
      <c r="AL23" s="5"/>
      <c r="AM23" s="5"/>
      <c r="AN23" s="5"/>
    </row>
    <row r="24" spans="1:40" ht="21.9" customHeight="1" x14ac:dyDescent="0.25">
      <c r="B24" s="678"/>
      <c r="C24" s="554"/>
      <c r="D24" s="554"/>
      <c r="E24" s="1327"/>
      <c r="F24" s="114" t="s">
        <v>274</v>
      </c>
      <c r="G24" s="114" t="s">
        <v>317</v>
      </c>
      <c r="H24" s="551">
        <f>'Traffic Data'!J9*annualizationFactor*'Traffic Data'!$H9</f>
        <v>416100</v>
      </c>
      <c r="I24" s="551">
        <f>'Traffic Data'!K9*annualizationFactor*'Traffic Data'!$H9</f>
        <v>433475.6424999999</v>
      </c>
      <c r="J24" s="551">
        <f>'Traffic Data'!L9*annualizationFactor*'Traffic Data'!$H9</f>
        <v>454981.0774999999</v>
      </c>
      <c r="K24" s="551">
        <f>'Traffic Data'!M9*annualizationFactor*'Traffic Data'!$H9</f>
        <v>483934.70250000001</v>
      </c>
      <c r="L24" s="551">
        <f>'Traffic Data'!N9*annualizationFactor*'Traffic Data'!$H9</f>
        <v>512898.7300000001</v>
      </c>
      <c r="M24" s="551">
        <f>'Traffic Data'!O9*annualizationFactor*'Traffic Data'!$H9</f>
        <v>541859.29</v>
      </c>
      <c r="N24" s="551">
        <f>'Traffic Data'!P9*annualizationFactor*'Traffic Data'!$H9</f>
        <v>570812.91500000004</v>
      </c>
      <c r="O24" s="551">
        <f>'Traffic Data'!Q9*annualizationFactor*'Traffic Data'!$H9</f>
        <v>599787.3450000002</v>
      </c>
      <c r="P24" s="551">
        <f>'Traffic Data'!R9*annualizationFactor*'Traffic Data'!$H9</f>
        <v>627860.22499999998</v>
      </c>
      <c r="Q24" s="551">
        <f>'Traffic Data'!S9*annualizationFactor*'Traffic Data'!$H9</f>
        <v>655943.50749999983</v>
      </c>
      <c r="R24" s="551">
        <f>'Traffic Data'!T9*annualizationFactor*'Traffic Data'!$H9</f>
        <v>684016.38749999995</v>
      </c>
      <c r="S24" s="551">
        <f>'Traffic Data'!U9*annualizationFactor*'Traffic Data'!$H9</f>
        <v>712089.26749999996</v>
      </c>
      <c r="T24" s="551">
        <f>'Traffic Data'!V9*annualizationFactor*'Traffic Data'!$H9</f>
        <v>740182.95250000013</v>
      </c>
      <c r="U24" s="551">
        <f>'Traffic Data'!W9*annualizationFactor*'Traffic Data'!$H9</f>
        <v>760797.24</v>
      </c>
      <c r="V24" s="551">
        <f>'Traffic Data'!X9*annualizationFactor*'Traffic Data'!$H9</f>
        <v>778172.88250000007</v>
      </c>
      <c r="W24" s="551">
        <f>'Traffic Data'!Y9*annualizationFactor*'Traffic Data'!$H9</f>
        <v>795548.52499999991</v>
      </c>
      <c r="X24" s="551">
        <f>'Traffic Data'!Z9*annualizationFactor*'Traffic Data'!$H9</f>
        <v>812924.16749999998</v>
      </c>
      <c r="Y24" s="551">
        <f>'Traffic Data'!AA9*annualizationFactor*'Traffic Data'!$H9</f>
        <v>830306.745</v>
      </c>
      <c r="Z24" s="551">
        <f>'Traffic Data'!AB9*annualizationFactor*'Traffic Data'!$H9</f>
        <v>847682.38749999995</v>
      </c>
      <c r="AA24" s="551">
        <f>'Traffic Data'!AC9*annualizationFactor*'Traffic Data'!$H9</f>
        <v>865064.96499999997</v>
      </c>
      <c r="AB24" s="551">
        <f>'Traffic Data'!AD9*annualizationFactor*'Traffic Data'!$H9</f>
        <v>882440.60750000016</v>
      </c>
      <c r="AC24" s="551">
        <f>'Traffic Data'!AE9*annualizationFactor*'Traffic Data'!$H9</f>
        <v>899816.24999999988</v>
      </c>
      <c r="AD24" s="551">
        <f>'Traffic Data'!AF9*annualizationFactor*'Traffic Data'!$H9</f>
        <v>917198.82750000001</v>
      </c>
      <c r="AE24" s="551">
        <f>'Traffic Data'!AG9*annualizationFactor*'Traffic Data'!$H9</f>
        <v>934574.47</v>
      </c>
      <c r="AF24" s="551">
        <f>'Traffic Data'!AH9*annualizationFactor*'Traffic Data'!$H9</f>
        <v>951950.11249999981</v>
      </c>
      <c r="AG24" s="689">
        <f>'Traffic Data'!AI9*annualizationFactor*'Traffic Data'!$H9</f>
        <v>969332.69000000006</v>
      </c>
      <c r="AH24" s="5"/>
      <c r="AI24" s="5"/>
      <c r="AJ24" s="5"/>
      <c r="AK24" s="5"/>
      <c r="AL24" s="5"/>
      <c r="AM24" s="5"/>
      <c r="AN24" s="5"/>
    </row>
    <row r="25" spans="1:40" ht="21.9" customHeight="1" x14ac:dyDescent="0.25">
      <c r="B25" s="678"/>
      <c r="C25" s="554"/>
      <c r="D25" s="554"/>
      <c r="E25" s="1325" t="s">
        <v>274</v>
      </c>
      <c r="F25" s="217" t="s">
        <v>275</v>
      </c>
      <c r="G25" s="217" t="s">
        <v>318</v>
      </c>
      <c r="H25" s="551">
        <f>'Traffic Data'!J10*annualizationFactor*'Traffic Data'!$H10</f>
        <v>3781400</v>
      </c>
      <c r="I25" s="551">
        <f>'Traffic Data'!K10*annualizationFactor*'Traffic Data'!$H10</f>
        <v>4193998.0075000003</v>
      </c>
      <c r="J25" s="551">
        <f>'Traffic Data'!L10*annualizationFactor*'Traffic Data'!$H10</f>
        <v>4629738.1829999993</v>
      </c>
      <c r="K25" s="551">
        <f>'Traffic Data'!M10*annualizationFactor*'Traffic Data'!$H10</f>
        <v>5978497.3885000004</v>
      </c>
      <c r="L25" s="551">
        <f>'Traffic Data'!N10*annualizationFactor*'Traffic Data'!$H10</f>
        <v>7327937.2459999993</v>
      </c>
      <c r="M25" s="551">
        <f>'Traffic Data'!O10*annualizationFactor*'Traffic Data'!$H10</f>
        <v>8677736.3365000002</v>
      </c>
      <c r="N25" s="551">
        <f>'Traffic Data'!P10*annualizationFactor*'Traffic Data'!$H10</f>
        <v>10026495.541999999</v>
      </c>
      <c r="O25" s="551">
        <f>'Traffic Data'!Q10*annualizationFactor*'Traffic Data'!$H10</f>
        <v>11377117.087000001</v>
      </c>
      <c r="P25" s="551">
        <f>'Traffic Data'!R10*annualizationFactor*'Traffic Data'!$H10</f>
        <v>13189542.106999999</v>
      </c>
      <c r="Q25" s="551">
        <f>'Traffic Data'!S10*annualizationFactor*'Traffic Data'!$H10</f>
        <v>15002770.674499996</v>
      </c>
      <c r="R25" s="551">
        <f>'Traffic Data'!T10*annualizationFactor*'Traffic Data'!$H10</f>
        <v>16815195.694499999</v>
      </c>
      <c r="S25" s="551">
        <f>'Traffic Data'!U10*annualizationFactor*'Traffic Data'!$H10</f>
        <v>18627620.714500003</v>
      </c>
      <c r="T25" s="551">
        <f>'Traffic Data'!V10*annualizationFactor*'Traffic Data'!$H10</f>
        <v>20442409.109500002</v>
      </c>
      <c r="U25" s="551">
        <f>'Traffic Data'!W10*annualizationFactor*'Traffic Data'!$H10</f>
        <v>21340633.411999997</v>
      </c>
      <c r="V25" s="551">
        <f>'Traffic Data'!X10*annualizationFactor*'Traffic Data'!$H10</f>
        <v>21753231.419500001</v>
      </c>
      <c r="W25" s="551">
        <f>'Traffic Data'!Y10*annualizationFactor*'Traffic Data'!$H10</f>
        <v>22165829.427000001</v>
      </c>
      <c r="X25" s="551">
        <f>'Traffic Data'!Z10*annualizationFactor*'Traffic Data'!$H10</f>
        <v>22578427.434500001</v>
      </c>
      <c r="Y25" s="551">
        <f>'Traffic Data'!AA10*annualizationFactor*'Traffic Data'!$H10</f>
        <v>22991687.186999999</v>
      </c>
      <c r="Z25" s="551">
        <f>'Traffic Data'!AB10*annualizationFactor*'Traffic Data'!$H10</f>
        <v>23404285.194499996</v>
      </c>
      <c r="AA25" s="551">
        <f>'Traffic Data'!AC10*annualizationFactor*'Traffic Data'!$H10</f>
        <v>23817544.946999997</v>
      </c>
      <c r="AB25" s="551">
        <f>'Traffic Data'!AD10*annualizationFactor*'Traffic Data'!$H10</f>
        <v>24230142.954500001</v>
      </c>
      <c r="AC25" s="551">
        <f>'Traffic Data'!AE10*annualizationFactor*'Traffic Data'!$H10</f>
        <v>24642740.962000001</v>
      </c>
      <c r="AD25" s="551">
        <f>'Traffic Data'!AF10*annualizationFactor*'Traffic Data'!$H10</f>
        <v>25056000.714500006</v>
      </c>
      <c r="AE25" s="551">
        <f>'Traffic Data'!AG10*annualizationFactor*'Traffic Data'!$H10</f>
        <v>25468598.721999999</v>
      </c>
      <c r="AF25" s="551">
        <f>'Traffic Data'!AH10*annualizationFactor*'Traffic Data'!$H10</f>
        <v>25881196.729499996</v>
      </c>
      <c r="AG25" s="689">
        <f>'Traffic Data'!AI10*annualizationFactor*'Traffic Data'!$H10</f>
        <v>26294456.482000001</v>
      </c>
      <c r="AH25" s="5"/>
      <c r="AI25" s="5"/>
      <c r="AJ25" s="5"/>
      <c r="AK25" s="5"/>
      <c r="AL25" s="5"/>
      <c r="AM25" s="5"/>
      <c r="AN25" s="5"/>
    </row>
    <row r="26" spans="1:40" ht="21.9" customHeight="1" x14ac:dyDescent="0.25">
      <c r="B26" s="678"/>
      <c r="C26" s="554"/>
      <c r="D26" s="554"/>
      <c r="E26" s="1327"/>
      <c r="F26" s="114" t="s">
        <v>318</v>
      </c>
      <c r="G26" s="114" t="s">
        <v>308</v>
      </c>
      <c r="H26" s="551">
        <f>'Traffic Data'!J11*annualizationFactor*'Traffic Data'!$H11</f>
        <v>438000</v>
      </c>
      <c r="I26" s="551">
        <f>'Traffic Data'!K11*annualizationFactor*'Traffic Data'!$H11</f>
        <v>496202.9</v>
      </c>
      <c r="J26" s="551">
        <f>'Traffic Data'!L11*annualizationFactor*'Traffic Data'!$H11</f>
        <v>554442.30000000005</v>
      </c>
      <c r="K26" s="551">
        <f>'Traffic Data'!M11*annualizationFactor*'Traffic Data'!$H11</f>
        <v>751491.20000000007</v>
      </c>
      <c r="L26" s="551">
        <f>'Traffic Data'!N11*annualizationFactor*'Traffic Data'!$H11</f>
        <v>948580.25</v>
      </c>
      <c r="M26" s="551">
        <f>'Traffic Data'!O11*annualizationFactor*'Traffic Data'!$H11</f>
        <v>1145848.1500000001</v>
      </c>
      <c r="N26" s="551">
        <f>'Traffic Data'!P11*annualizationFactor*'Traffic Data'!$H11</f>
        <v>1342897.05</v>
      </c>
      <c r="O26" s="551">
        <f>'Traffic Data'!Q11*annualizationFactor*'Traffic Data'!$H11</f>
        <v>1540132.1</v>
      </c>
      <c r="P26" s="551">
        <f>'Traffic Data'!R11*annualizationFactor*'Traffic Data'!$H11</f>
        <v>1842976.25</v>
      </c>
      <c r="Q26" s="551">
        <f>'Traffic Data'!S11*annualizationFactor*'Traffic Data'!$H11</f>
        <v>2145787.5500000003</v>
      </c>
      <c r="R26" s="551">
        <f>'Traffic Data'!T11*annualizationFactor*'Traffic Data'!$H11</f>
        <v>2448628.0500000003</v>
      </c>
      <c r="S26" s="551">
        <f>'Traffic Data'!U11*annualizationFactor*'Traffic Data'!$H11</f>
        <v>2751472.1999999997</v>
      </c>
      <c r="T26" s="551">
        <f>'Traffic Data'!V11*annualizationFactor*'Traffic Data'!$H11</f>
        <v>3054612.0000000005</v>
      </c>
      <c r="U26" s="551">
        <f>'Traffic Data'!W11*annualizationFactor*'Traffic Data'!$H11</f>
        <v>3218497.0000000005</v>
      </c>
      <c r="V26" s="551">
        <f>'Traffic Data'!X11*annualizationFactor*'Traffic Data'!$H11</f>
        <v>3276699.9</v>
      </c>
      <c r="W26" s="551">
        <f>'Traffic Data'!Y11*annualizationFactor*'Traffic Data'!$H11</f>
        <v>3334902.8000000003</v>
      </c>
      <c r="X26" s="551">
        <f>'Traffic Data'!Z11*annualizationFactor*'Traffic Data'!$H11</f>
        <v>3393105.7000000007</v>
      </c>
      <c r="Y26" s="551">
        <f>'Traffic Data'!AA11*annualizationFactor*'Traffic Data'!$H11</f>
        <v>3451345.1000000006</v>
      </c>
      <c r="Z26" s="551">
        <f>'Traffic Data'!AB11*annualizationFactor*'Traffic Data'!$H11</f>
        <v>3509548.0000000005</v>
      </c>
      <c r="AA26" s="551">
        <f>'Traffic Data'!AC11*annualizationFactor*'Traffic Data'!$H11</f>
        <v>3567787.4</v>
      </c>
      <c r="AB26" s="551">
        <f>'Traffic Data'!AD11*annualizationFactor*'Traffic Data'!$H11</f>
        <v>3625990.3</v>
      </c>
      <c r="AC26" s="551">
        <f>'Traffic Data'!AE11*annualizationFactor*'Traffic Data'!$H11</f>
        <v>3684193.2</v>
      </c>
      <c r="AD26" s="551">
        <f>'Traffic Data'!AF11*annualizationFactor*'Traffic Data'!$H11</f>
        <v>3742432.6000000006</v>
      </c>
      <c r="AE26" s="551">
        <f>'Traffic Data'!AG11*annualizationFactor*'Traffic Data'!$H11</f>
        <v>3800635.5000000005</v>
      </c>
      <c r="AF26" s="551">
        <f>'Traffic Data'!AH11*annualizationFactor*'Traffic Data'!$H11</f>
        <v>3858838.4</v>
      </c>
      <c r="AG26" s="689">
        <f>'Traffic Data'!AI11*annualizationFactor*'Traffic Data'!$H11</f>
        <v>3917077.8</v>
      </c>
      <c r="AH26" s="5"/>
      <c r="AI26" s="5"/>
      <c r="AJ26" s="5"/>
      <c r="AK26" s="5"/>
      <c r="AL26" s="5"/>
      <c r="AM26" s="5"/>
      <c r="AN26" s="5"/>
    </row>
    <row r="27" spans="1:40" ht="21.9" customHeight="1" x14ac:dyDescent="0.25">
      <c r="B27" s="678"/>
      <c r="C27" s="554"/>
      <c r="D27" s="554"/>
      <c r="E27" s="1339"/>
      <c r="F27" s="250" t="s">
        <v>308</v>
      </c>
      <c r="G27" s="250" t="s">
        <v>319</v>
      </c>
      <c r="H27" s="551">
        <f>'Traffic Data'!J12*annualizationFactor*'Traffic Data'!$H12</f>
        <v>5869200</v>
      </c>
      <c r="I27" s="551">
        <f>'Traffic Data'!K12*annualizationFactor*'Traffic Data'!$H12</f>
        <v>6086878.8460000008</v>
      </c>
      <c r="J27" s="551">
        <f>'Traffic Data'!L12*annualizationFactor*'Traffic Data'!$H12</f>
        <v>6304694.6399999987</v>
      </c>
      <c r="K27" s="551">
        <f>'Traffic Data'!M12*annualizationFactor*'Traffic Data'!$H12</f>
        <v>6727697.6660000011</v>
      </c>
      <c r="L27" s="551">
        <f>'Traffic Data'!N12*annualizationFactor*'Traffic Data'!$H12</f>
        <v>7150945.2420000015</v>
      </c>
      <c r="M27" s="551">
        <f>'Traffic Data'!O12*annualizationFactor*'Traffic Data'!$H12</f>
        <v>7574085.2160000009</v>
      </c>
      <c r="N27" s="551">
        <f>'Traffic Data'!P12*annualizationFactor*'Traffic Data'!$H12</f>
        <v>7997088.2420000015</v>
      </c>
      <c r="O27" s="551">
        <f>'Traffic Data'!Q12*annualizationFactor*'Traffic Data'!$H12</f>
        <v>8420541.2400000021</v>
      </c>
      <c r="P27" s="551">
        <f>'Traffic Data'!R12*annualizationFactor*'Traffic Data'!$H12</f>
        <v>9008175.3260000013</v>
      </c>
      <c r="Q27" s="551">
        <f>'Traffic Data'!S12*annualizationFactor*'Traffic Data'!$H12</f>
        <v>9596122.4360000007</v>
      </c>
      <c r="R27" s="551">
        <f>'Traffic Data'!T12*annualizationFactor*'Traffic Data'!$H12</f>
        <v>10183648.92</v>
      </c>
      <c r="S27" s="551">
        <f>'Traffic Data'!U12*annualizationFactor*'Traffic Data'!$H12</f>
        <v>10771283.006000003</v>
      </c>
      <c r="T27" s="551">
        <f>'Traffic Data'!V12*annualizationFactor*'Traffic Data'!$H12</f>
        <v>11359435.538000003</v>
      </c>
      <c r="U27" s="551">
        <f>'Traffic Data'!W12*annualizationFactor*'Traffic Data'!$H12</f>
        <v>11741569.367999999</v>
      </c>
      <c r="V27" s="551">
        <f>'Traffic Data'!X12*annualizationFactor*'Traffic Data'!$H12</f>
        <v>11959248.214000003</v>
      </c>
      <c r="W27" s="551">
        <f>'Traffic Data'!Y12*annualizationFactor*'Traffic Data'!$H12</f>
        <v>12176927.060000001</v>
      </c>
      <c r="X27" s="551">
        <f>'Traffic Data'!Z12*annualizationFactor*'Traffic Data'!$H12</f>
        <v>12394605.906000001</v>
      </c>
      <c r="Y27" s="551">
        <f>'Traffic Data'!AA12*annualizationFactor*'Traffic Data'!$H12</f>
        <v>12612421.700000003</v>
      </c>
      <c r="Z27" s="551">
        <f>'Traffic Data'!AB12*annualizationFactor*'Traffic Data'!$H12</f>
        <v>12830100.545999998</v>
      </c>
      <c r="AA27" s="551">
        <f>'Traffic Data'!AC12*annualizationFactor*'Traffic Data'!$H12</f>
        <v>13047916.34</v>
      </c>
      <c r="AB27" s="551">
        <f>'Traffic Data'!AD12*annualizationFactor*'Traffic Data'!$H12</f>
        <v>13265595.186000001</v>
      </c>
      <c r="AC27" s="551">
        <f>'Traffic Data'!AE12*annualizationFactor*'Traffic Data'!$H12</f>
        <v>13483274.032000002</v>
      </c>
      <c r="AD27" s="551">
        <f>'Traffic Data'!AF12*annualizationFactor*'Traffic Data'!$H12</f>
        <v>13701089.826000003</v>
      </c>
      <c r="AE27" s="551">
        <f>'Traffic Data'!AG12*annualizationFactor*'Traffic Data'!$H12</f>
        <v>13918768.672000002</v>
      </c>
      <c r="AF27" s="551">
        <f>'Traffic Data'!AH12*annualizationFactor*'Traffic Data'!$H12</f>
        <v>14136447.518000003</v>
      </c>
      <c r="AG27" s="689">
        <f>'Traffic Data'!AI12*annualizationFactor*'Traffic Data'!$H12</f>
        <v>14354263.312000003</v>
      </c>
      <c r="AH27" s="5"/>
      <c r="AI27" s="5"/>
      <c r="AJ27" s="5"/>
      <c r="AK27" s="5"/>
      <c r="AL27" s="5"/>
      <c r="AM27" s="5"/>
      <c r="AN27" s="5"/>
    </row>
    <row r="28" spans="1:40" ht="21.9" customHeight="1" x14ac:dyDescent="0.25">
      <c r="B28" s="678"/>
      <c r="C28" s="554"/>
      <c r="D28" s="554"/>
      <c r="E28" s="114" t="s">
        <v>320</v>
      </c>
      <c r="F28" s="114" t="s">
        <v>318</v>
      </c>
      <c r="G28" s="114" t="s">
        <v>308</v>
      </c>
      <c r="H28" s="551">
        <f>'Traffic Data'!J13*annualizationFactor*'Traffic Data'!$H13</f>
        <v>17155</v>
      </c>
      <c r="I28" s="551">
        <f>'Traffic Data'!K13*annualizationFactor*'Traffic Data'!$H13</f>
        <v>27773.945</v>
      </c>
      <c r="J28" s="551">
        <f>'Traffic Data'!L13*annualizationFactor*'Traffic Data'!$H13</f>
        <v>79238.944999999992</v>
      </c>
      <c r="K28" s="551">
        <f>'Traffic Data'!M13*annualizationFactor*'Traffic Data'!$H13</f>
        <v>167535.73000000001</v>
      </c>
      <c r="L28" s="551">
        <f>'Traffic Data'!N13*annualizationFactor*'Traffic Data'!$H13</f>
        <v>255901.13500000001</v>
      </c>
      <c r="M28" s="551">
        <f>'Traffic Data'!O13*annualizationFactor*'Traffic Data'!$H13</f>
        <v>344232.23000000004</v>
      </c>
      <c r="N28" s="551">
        <f>'Traffic Data'!P13*annualizationFactor*'Traffic Data'!$H13</f>
        <v>432529.01500000007</v>
      </c>
      <c r="O28" s="551">
        <f>'Traffic Data'!Q13*annualizationFactor*'Traffic Data'!$H13</f>
        <v>520963.04</v>
      </c>
      <c r="P28" s="551">
        <f>'Traffic Data'!R13*annualizationFactor*'Traffic Data'!$H13</f>
        <v>568465.23499999999</v>
      </c>
      <c r="Q28" s="551">
        <f>'Traffic Data'!S13*annualizationFactor*'Traffic Data'!$H13</f>
        <v>616036.04999999993</v>
      </c>
      <c r="R28" s="551">
        <f>'Traffic Data'!T13*annualizationFactor*'Traffic Data'!$H13</f>
        <v>663555.4</v>
      </c>
      <c r="S28" s="551">
        <f>'Traffic Data'!U13*annualizationFactor*'Traffic Data'!$H13</f>
        <v>711057.59500000009</v>
      </c>
      <c r="T28" s="551">
        <f>'Traffic Data'!V13*annualizationFactor*'Traffic Data'!$H13</f>
        <v>758679.875</v>
      </c>
      <c r="U28" s="551">
        <f>'Traffic Data'!W13*annualizationFactor*'Traffic Data'!$H13</f>
        <v>769298.82</v>
      </c>
      <c r="V28" s="551">
        <f>'Traffic Data'!X13*annualizationFactor*'Traffic Data'!$H13</f>
        <v>779917.76500000013</v>
      </c>
      <c r="W28" s="551">
        <f>'Traffic Data'!Y13*annualizationFactor*'Traffic Data'!$H13</f>
        <v>790536.71</v>
      </c>
      <c r="X28" s="551">
        <f>'Traffic Data'!Z13*annualizationFactor*'Traffic Data'!$H13</f>
        <v>801155.65500000003</v>
      </c>
      <c r="Y28" s="551">
        <f>'Traffic Data'!AA13*annualizationFactor*'Traffic Data'!$H13</f>
        <v>811826.06499999994</v>
      </c>
      <c r="Z28" s="551">
        <f>'Traffic Data'!AB13*annualizationFactor*'Traffic Data'!$H13</f>
        <v>822445.01</v>
      </c>
      <c r="AA28" s="551">
        <f>'Traffic Data'!AC13*annualizationFactor*'Traffic Data'!$H13</f>
        <v>833115.42</v>
      </c>
      <c r="AB28" s="551">
        <f>'Traffic Data'!AD13*annualizationFactor*'Traffic Data'!$H13</f>
        <v>843734.36499999999</v>
      </c>
      <c r="AC28" s="551">
        <f>'Traffic Data'!AE13*annualizationFactor*'Traffic Data'!$H13</f>
        <v>854353.30999999994</v>
      </c>
      <c r="AD28" s="551">
        <f>'Traffic Data'!AF13*annualizationFactor*'Traffic Data'!$H13</f>
        <v>865023.72000000009</v>
      </c>
      <c r="AE28" s="551">
        <f>'Traffic Data'!AG13*annualizationFactor*'Traffic Data'!$H13</f>
        <v>875642.66499999992</v>
      </c>
      <c r="AF28" s="551">
        <f>'Traffic Data'!AH13*annualizationFactor*'Traffic Data'!$H13</f>
        <v>886261.61</v>
      </c>
      <c r="AG28" s="689">
        <f>'Traffic Data'!AI13*annualizationFactor*'Traffic Data'!$H13</f>
        <v>896932.02</v>
      </c>
      <c r="AH28" s="5"/>
      <c r="AI28" s="5"/>
      <c r="AJ28" s="5"/>
      <c r="AK28" s="5"/>
      <c r="AL28" s="5"/>
      <c r="AM28" s="5"/>
      <c r="AN28" s="5"/>
    </row>
    <row r="29" spans="1:40" ht="21.9" customHeight="1" x14ac:dyDescent="0.25">
      <c r="B29" s="678"/>
      <c r="C29" s="554"/>
      <c r="D29" s="554"/>
      <c r="E29" s="1325" t="s">
        <v>308</v>
      </c>
      <c r="F29" s="217" t="s">
        <v>276</v>
      </c>
      <c r="G29" s="217" t="s">
        <v>320</v>
      </c>
      <c r="H29" s="551">
        <f>'Traffic Data'!J14*annualizationFactor*'Traffic Data'!$H14</f>
        <v>49275</v>
      </c>
      <c r="I29" s="551">
        <f>'Traffic Data'!K14*annualizationFactor*'Traffic Data'!$H14</f>
        <v>49275</v>
      </c>
      <c r="J29" s="551">
        <f>'Traffic Data'!L14*annualizationFactor*'Traffic Data'!$H14</f>
        <v>576566.77500000014</v>
      </c>
      <c r="K29" s="551">
        <f>'Traffic Data'!M14*annualizationFactor*'Traffic Data'!$H14</f>
        <v>1103858.5500000003</v>
      </c>
      <c r="L29" s="551">
        <f>'Traffic Data'!N14*annualizationFactor*'Traffic Data'!$H14</f>
        <v>1631593.8</v>
      </c>
      <c r="M29" s="551">
        <f>'Traffic Data'!O14*annualizationFactor*'Traffic Data'!$H14</f>
        <v>2158885.5750000002</v>
      </c>
      <c r="N29" s="551">
        <f>'Traffic Data'!P14*annualizationFactor*'Traffic Data'!$H14</f>
        <v>2686177.3500000006</v>
      </c>
      <c r="O29" s="551">
        <f>'Traffic Data'!Q14*annualizationFactor*'Traffic Data'!$H14</f>
        <v>3213912.6</v>
      </c>
      <c r="P29" s="551">
        <f>'Traffic Data'!R14*annualizationFactor*'Traffic Data'!$H14</f>
        <v>3213912.6</v>
      </c>
      <c r="Q29" s="551">
        <f>'Traffic Data'!S14*annualizationFactor*'Traffic Data'!$H14</f>
        <v>3213912.6</v>
      </c>
      <c r="R29" s="551">
        <f>'Traffic Data'!T14*annualizationFactor*'Traffic Data'!$H14</f>
        <v>3213912.6</v>
      </c>
      <c r="S29" s="551">
        <f>'Traffic Data'!U14*annualizationFactor*'Traffic Data'!$H14</f>
        <v>3213912.6</v>
      </c>
      <c r="T29" s="551">
        <f>'Traffic Data'!V14*annualizationFactor*'Traffic Data'!$H14</f>
        <v>3213912.6</v>
      </c>
      <c r="U29" s="551">
        <f>'Traffic Data'!W14*annualizationFactor*'Traffic Data'!$H14</f>
        <v>3213912.6</v>
      </c>
      <c r="V29" s="551">
        <f>'Traffic Data'!X14*annualizationFactor*'Traffic Data'!$H14</f>
        <v>3213912.6</v>
      </c>
      <c r="W29" s="551">
        <f>'Traffic Data'!Y14*annualizationFactor*'Traffic Data'!$H14</f>
        <v>3213912.6</v>
      </c>
      <c r="X29" s="551">
        <f>'Traffic Data'!Z14*annualizationFactor*'Traffic Data'!$H14</f>
        <v>3213912.6</v>
      </c>
      <c r="Y29" s="551">
        <f>'Traffic Data'!AA14*annualizationFactor*'Traffic Data'!$H14</f>
        <v>3213912.6</v>
      </c>
      <c r="Z29" s="551">
        <f>'Traffic Data'!AB14*annualizationFactor*'Traffic Data'!$H14</f>
        <v>3213912.6</v>
      </c>
      <c r="AA29" s="551">
        <f>'Traffic Data'!AC14*annualizationFactor*'Traffic Data'!$H14</f>
        <v>3213912.6</v>
      </c>
      <c r="AB29" s="551">
        <f>'Traffic Data'!AD14*annualizationFactor*'Traffic Data'!$H14</f>
        <v>3213912.6</v>
      </c>
      <c r="AC29" s="551">
        <f>'Traffic Data'!AE14*annualizationFactor*'Traffic Data'!$H14</f>
        <v>3213912.6</v>
      </c>
      <c r="AD29" s="551">
        <f>'Traffic Data'!AF14*annualizationFactor*'Traffic Data'!$H14</f>
        <v>3213912.6</v>
      </c>
      <c r="AE29" s="551">
        <f>'Traffic Data'!AG14*annualizationFactor*'Traffic Data'!$H14</f>
        <v>3213912.6</v>
      </c>
      <c r="AF29" s="551">
        <f>'Traffic Data'!AH14*annualizationFactor*'Traffic Data'!$H14</f>
        <v>3213912.6</v>
      </c>
      <c r="AG29" s="689">
        <f>'Traffic Data'!AI14*annualizationFactor*'Traffic Data'!$H14</f>
        <v>3213912.6</v>
      </c>
      <c r="AH29" s="5"/>
      <c r="AI29" s="5"/>
      <c r="AJ29" s="5"/>
      <c r="AK29" s="5"/>
      <c r="AL29" s="5"/>
      <c r="AM29" s="5"/>
      <c r="AN29" s="5"/>
    </row>
    <row r="30" spans="1:40" ht="21.9" customHeight="1" x14ac:dyDescent="0.25">
      <c r="B30" s="678"/>
      <c r="C30" s="554"/>
      <c r="D30" s="554"/>
      <c r="E30" s="1327"/>
      <c r="F30" s="114" t="s">
        <v>320</v>
      </c>
      <c r="G30" s="114" t="s">
        <v>282</v>
      </c>
      <c r="H30" s="551">
        <f>'Traffic Data'!J15*annualizationFactor*'Traffic Data'!$H15</f>
        <v>22484.000000000004</v>
      </c>
      <c r="I30" s="551">
        <f>'Traffic Data'!K15*annualizationFactor*'Traffic Data'!$H15</f>
        <v>42719.600000000006</v>
      </c>
      <c r="J30" s="551">
        <f>'Traffic Data'!L15*annualizationFactor*'Traffic Data'!$H15</f>
        <v>62955.200000000004</v>
      </c>
      <c r="K30" s="551">
        <f>'Traffic Data'!M15*annualizationFactor*'Traffic Data'!$H15</f>
        <v>136948</v>
      </c>
      <c r="L30" s="551">
        <f>'Traffic Data'!N15*annualizationFactor*'Traffic Data'!$H15</f>
        <v>210838.6</v>
      </c>
      <c r="M30" s="551">
        <f>'Traffic Data'!O15*annualizationFactor*'Traffic Data'!$H15</f>
        <v>284933.60000000003</v>
      </c>
      <c r="N30" s="551">
        <f>'Traffic Data'!P15*annualizationFactor*'Traffic Data'!$H15</f>
        <v>358926.4</v>
      </c>
      <c r="O30" s="551">
        <f>'Traffic Data'!Q15*annualizationFactor*'Traffic Data'!$H15</f>
        <v>432919.20000000007</v>
      </c>
      <c r="P30" s="551">
        <f>'Traffic Data'!R15*annualizationFactor*'Traffic Data'!$H15</f>
        <v>561589</v>
      </c>
      <c r="Q30" s="551">
        <f>'Traffic Data'!S15*annualizationFactor*'Traffic Data'!$H15</f>
        <v>690156.60000000009</v>
      </c>
      <c r="R30" s="551">
        <f>'Traffic Data'!T15*annualizationFactor*'Traffic Data'!$H15</f>
        <v>818724.20000000007</v>
      </c>
      <c r="S30" s="551">
        <f>'Traffic Data'!U15*annualizationFactor*'Traffic Data'!$H15</f>
        <v>947394.00000000012</v>
      </c>
      <c r="T30" s="551">
        <f>'Traffic Data'!V15*annualizationFactor*'Traffic Data'!$H15</f>
        <v>1076063.8</v>
      </c>
      <c r="U30" s="551">
        <f>'Traffic Data'!W15*annualizationFactor*'Traffic Data'!$H15</f>
        <v>1150976.4000000001</v>
      </c>
      <c r="V30" s="551">
        <f>'Traffic Data'!X15*annualizationFactor*'Traffic Data'!$H15</f>
        <v>1171109.8</v>
      </c>
      <c r="W30" s="551">
        <f>'Traffic Data'!Y15*annualizationFactor*'Traffic Data'!$H15</f>
        <v>1191345.4000000001</v>
      </c>
      <c r="X30" s="551">
        <f>'Traffic Data'!Z15*annualizationFactor*'Traffic Data'!$H15</f>
        <v>1211581</v>
      </c>
      <c r="Y30" s="551">
        <f>'Traffic Data'!AA15*annualizationFactor*'Traffic Data'!$H15</f>
        <v>1231816.6000000001</v>
      </c>
      <c r="Z30" s="551">
        <f>'Traffic Data'!AB15*annualizationFactor*'Traffic Data'!$H15</f>
        <v>1252052.2000000002</v>
      </c>
      <c r="AA30" s="551">
        <f>'Traffic Data'!AC15*annualizationFactor*'Traffic Data'!$H15</f>
        <v>1272287.8</v>
      </c>
      <c r="AB30" s="551">
        <f>'Traffic Data'!AD15*annualizationFactor*'Traffic Data'!$H15</f>
        <v>1292523.4000000001</v>
      </c>
      <c r="AC30" s="551">
        <f>'Traffic Data'!AE15*annualizationFactor*'Traffic Data'!$H15</f>
        <v>1312759.0000000002</v>
      </c>
      <c r="AD30" s="551">
        <f>'Traffic Data'!AF15*annualizationFactor*'Traffic Data'!$H15</f>
        <v>1332892.4000000001</v>
      </c>
      <c r="AE30" s="551">
        <f>'Traffic Data'!AG15*annualizationFactor*'Traffic Data'!$H15</f>
        <v>1353128.0000000002</v>
      </c>
      <c r="AF30" s="551">
        <f>'Traffic Data'!AH15*annualizationFactor*'Traffic Data'!$H15</f>
        <v>1373363.6</v>
      </c>
      <c r="AG30" s="689">
        <f>'Traffic Data'!AI15*annualizationFactor*'Traffic Data'!$H15</f>
        <v>1393599.2000000002</v>
      </c>
      <c r="AH30" s="5"/>
      <c r="AI30" s="5"/>
      <c r="AJ30" s="5"/>
      <c r="AK30" s="5"/>
      <c r="AL30" s="5"/>
      <c r="AM30" s="5"/>
      <c r="AN30" s="5"/>
    </row>
    <row r="31" spans="1:40" ht="21.9" customHeight="1" x14ac:dyDescent="0.25">
      <c r="B31" s="678"/>
      <c r="C31" s="554"/>
      <c r="D31" s="554"/>
      <c r="E31" s="1327"/>
      <c r="F31" s="114" t="s">
        <v>282</v>
      </c>
      <c r="G31" s="114" t="s">
        <v>321</v>
      </c>
      <c r="H31" s="551">
        <f>'Traffic Data'!J16*annualizationFactor*'Traffic Data'!$H16</f>
        <v>79935</v>
      </c>
      <c r="I31" s="551">
        <f>'Traffic Data'!K16*annualizationFactor*'Traffic Data'!$H16</f>
        <v>151841.8615</v>
      </c>
      <c r="J31" s="551">
        <f>'Traffic Data'!L16*annualizationFactor*'Traffic Data'!$H16</f>
        <v>223724.74250000005</v>
      </c>
      <c r="K31" s="551">
        <f>'Traffic Data'!M16*annualizationFactor*'Traffic Data'!$H16</f>
        <v>486702.89899999992</v>
      </c>
      <c r="L31" s="551">
        <f>'Traffic Data'!N16*annualizationFactor*'Traffic Data'!$H16</f>
        <v>749691.71350000007</v>
      </c>
      <c r="M31" s="551">
        <f>'Traffic Data'!O16*annualizationFactor*'Traffic Data'!$H16</f>
        <v>1013016.2550000001</v>
      </c>
      <c r="N31" s="551">
        <f>'Traffic Data'!P16*annualizationFactor*'Traffic Data'!$H16</f>
        <v>1275994.4114999999</v>
      </c>
      <c r="O31" s="551">
        <f>'Traffic Data'!Q16*annualizationFactor*'Traffic Data'!$H16</f>
        <v>1539132.4380000001</v>
      </c>
      <c r="P31" s="551">
        <f>'Traffic Data'!R16*annualizationFactor*'Traffic Data'!$H16</f>
        <v>1996432.5795000002</v>
      </c>
      <c r="Q31" s="551">
        <f>'Traffic Data'!S16*annualizationFactor*'Traffic Data'!$H16</f>
        <v>2453546.2060000002</v>
      </c>
      <c r="R31" s="551">
        <f>'Traffic Data'!T16*annualizationFactor*'Traffic Data'!$H16</f>
        <v>2910811.7089999993</v>
      </c>
      <c r="S31" s="551">
        <f>'Traffic Data'!U16*annualizationFactor*'Traffic Data'!$H16</f>
        <v>3368111.8505000002</v>
      </c>
      <c r="T31" s="551">
        <f>'Traffic Data'!V16*annualizationFactor*'Traffic Data'!$H16</f>
        <v>3825745.0544999996</v>
      </c>
      <c r="U31" s="551">
        <f>'Traffic Data'!W16*annualizationFactor*'Traffic Data'!$H16</f>
        <v>4091766.0699999994</v>
      </c>
      <c r="V31" s="551">
        <f>'Traffic Data'!X16*annualizationFactor*'Traffic Data'!$H16</f>
        <v>4163672.9314999999</v>
      </c>
      <c r="W31" s="551">
        <f>'Traffic Data'!Y16*annualizationFactor*'Traffic Data'!$H16</f>
        <v>4235579.7929999996</v>
      </c>
      <c r="X31" s="551">
        <f>'Traffic Data'!Z16*annualizationFactor*'Traffic Data'!$H16</f>
        <v>4307486.6544999992</v>
      </c>
      <c r="Y31" s="551">
        <f>'Traffic Data'!AA16*annualizationFactor*'Traffic Data'!$H16</f>
        <v>4379369.5354999993</v>
      </c>
      <c r="Z31" s="551">
        <f>'Traffic Data'!AB16*annualizationFactor*'Traffic Data'!$H16</f>
        <v>4451276.3969999999</v>
      </c>
      <c r="AA31" s="551">
        <f>'Traffic Data'!AC16*annualizationFactor*'Traffic Data'!$H16</f>
        <v>4523159.2779999999</v>
      </c>
      <c r="AB31" s="551">
        <f>'Traffic Data'!AD16*annualizationFactor*'Traffic Data'!$H16</f>
        <v>4595066.1394999996</v>
      </c>
      <c r="AC31" s="551">
        <f>'Traffic Data'!AE16*annualizationFactor*'Traffic Data'!$H16</f>
        <v>4666973.0010000002</v>
      </c>
      <c r="AD31" s="551">
        <f>'Traffic Data'!AF16*annualizationFactor*'Traffic Data'!$H16</f>
        <v>4738855.8820000002</v>
      </c>
      <c r="AE31" s="551">
        <f>'Traffic Data'!AG16*annualizationFactor*'Traffic Data'!$H16</f>
        <v>4810762.7435000008</v>
      </c>
      <c r="AF31" s="551">
        <f>'Traffic Data'!AH16*annualizationFactor*'Traffic Data'!$H16</f>
        <v>4882669.6050000004</v>
      </c>
      <c r="AG31" s="689">
        <f>'Traffic Data'!AI16*annualizationFactor*'Traffic Data'!$H16</f>
        <v>4954552.4859999996</v>
      </c>
      <c r="AH31" s="5"/>
      <c r="AI31" s="5"/>
      <c r="AJ31" s="5"/>
      <c r="AK31" s="5"/>
      <c r="AL31" s="5"/>
      <c r="AM31" s="5"/>
      <c r="AN31" s="5"/>
    </row>
    <row r="32" spans="1:40" ht="21.9" customHeight="1" x14ac:dyDescent="0.25">
      <c r="B32" s="678"/>
      <c r="C32" s="554"/>
      <c r="D32" s="554"/>
      <c r="E32" s="1339"/>
      <c r="F32" s="250" t="s">
        <v>321</v>
      </c>
      <c r="G32" s="250" t="s">
        <v>274</v>
      </c>
      <c r="H32" s="551">
        <f>'Traffic Data'!J17*annualizationFactor*'Traffic Data'!$H17</f>
        <v>114975</v>
      </c>
      <c r="I32" s="551">
        <f>'Traffic Data'!K17*annualizationFactor*'Traffic Data'!$H17</f>
        <v>218402.67749999999</v>
      </c>
      <c r="J32" s="551">
        <f>'Traffic Data'!L17*annualizationFactor*'Traffic Data'!$H17</f>
        <v>321795.86250000005</v>
      </c>
      <c r="K32" s="551">
        <f>'Traffic Data'!M17*annualizationFactor*'Traffic Data'!$H17</f>
        <v>700052.11499999999</v>
      </c>
      <c r="L32" s="551">
        <f>'Traffic Data'!N17*annualizationFactor*'Traffic Data'!$H17</f>
        <v>1078323.6975</v>
      </c>
      <c r="M32" s="551">
        <f>'Traffic Data'!O17*annualizationFactor*'Traffic Data'!$H17</f>
        <v>1457078.1750000003</v>
      </c>
      <c r="N32" s="551">
        <f>'Traffic Data'!P17*annualizationFactor*'Traffic Data'!$H17</f>
        <v>1835334.4275000002</v>
      </c>
      <c r="O32" s="551">
        <f>'Traffic Data'!Q17*annualizationFactor*'Traffic Data'!$H17</f>
        <v>2213820.6300000004</v>
      </c>
      <c r="P32" s="551">
        <f>'Traffic Data'!R17*annualizationFactor*'Traffic Data'!$H17</f>
        <v>2871581.1075000004</v>
      </c>
      <c r="Q32" s="551">
        <f>'Traffic Data'!S17*annualizationFactor*'Traffic Data'!$H17</f>
        <v>3529073.3100000005</v>
      </c>
      <c r="R32" s="551">
        <f>'Traffic Data'!T17*annualizationFactor*'Traffic Data'!$H17</f>
        <v>4186783.9649999994</v>
      </c>
      <c r="S32" s="551">
        <f>'Traffic Data'!U17*annualizationFactor*'Traffic Data'!$H17</f>
        <v>4844544.4425000008</v>
      </c>
      <c r="T32" s="551">
        <f>'Traffic Data'!V17*annualizationFactor*'Traffic Data'!$H17</f>
        <v>5502783.9824999999</v>
      </c>
      <c r="U32" s="551">
        <f>'Traffic Data'!W17*annualizationFactor*'Traffic Data'!$H17</f>
        <v>5885416.9499999993</v>
      </c>
      <c r="V32" s="551">
        <f>'Traffic Data'!X17*annualizationFactor*'Traffic Data'!$H17</f>
        <v>5988844.6275000004</v>
      </c>
      <c r="W32" s="551">
        <f>'Traffic Data'!Y17*annualizationFactor*'Traffic Data'!$H17</f>
        <v>6092272.3049999997</v>
      </c>
      <c r="X32" s="551">
        <f>'Traffic Data'!Z17*annualizationFactor*'Traffic Data'!$H17</f>
        <v>6195699.9824999999</v>
      </c>
      <c r="Y32" s="551">
        <f>'Traffic Data'!AA17*annualizationFactor*'Traffic Data'!$H17</f>
        <v>6299093.1674999995</v>
      </c>
      <c r="Z32" s="551">
        <f>'Traffic Data'!AB17*annualizationFactor*'Traffic Data'!$H17</f>
        <v>6402520.8450000007</v>
      </c>
      <c r="AA32" s="551">
        <f>'Traffic Data'!AC17*annualizationFactor*'Traffic Data'!$H17</f>
        <v>6505914.0300000003</v>
      </c>
      <c r="AB32" s="551">
        <f>'Traffic Data'!AD17*annualizationFactor*'Traffic Data'!$H17</f>
        <v>6609341.7074999996</v>
      </c>
      <c r="AC32" s="551">
        <f>'Traffic Data'!AE17*annualizationFactor*'Traffic Data'!$H17</f>
        <v>6712769.3850000007</v>
      </c>
      <c r="AD32" s="551">
        <f>'Traffic Data'!AF17*annualizationFactor*'Traffic Data'!$H17</f>
        <v>6816162.5700000003</v>
      </c>
      <c r="AE32" s="551">
        <f>'Traffic Data'!AG17*annualizationFactor*'Traffic Data'!$H17</f>
        <v>6919590.2475000015</v>
      </c>
      <c r="AF32" s="551">
        <f>'Traffic Data'!AH17*annualizationFactor*'Traffic Data'!$H17</f>
        <v>7023017.9250000017</v>
      </c>
      <c r="AG32" s="689">
        <f>'Traffic Data'!AI17*annualizationFactor*'Traffic Data'!$H17</f>
        <v>7126411.1100000003</v>
      </c>
      <c r="AH32" s="5"/>
      <c r="AI32" s="5"/>
      <c r="AJ32" s="5"/>
      <c r="AK32" s="5"/>
      <c r="AL32" s="5"/>
      <c r="AM32" s="5"/>
      <c r="AN32" s="5"/>
    </row>
    <row r="33" spans="2:40" ht="21.9" customHeight="1" x14ac:dyDescent="0.25">
      <c r="B33" s="678"/>
      <c r="C33" s="554"/>
      <c r="D33" s="554"/>
      <c r="E33" s="114" t="s">
        <v>282</v>
      </c>
      <c r="F33" s="114" t="s">
        <v>308</v>
      </c>
      <c r="G33" s="114" t="s">
        <v>324</v>
      </c>
      <c r="H33" s="551">
        <f>'Traffic Data'!J18*annualizationFactor*'Traffic Data'!$H18</f>
        <v>657000</v>
      </c>
      <c r="I33" s="551">
        <f>'Traffic Data'!K18*annualizationFactor*'Traffic Data'!$H18</f>
        <v>681630.2</v>
      </c>
      <c r="J33" s="551">
        <f>'Traffic Data'!L18*annualizationFactor*'Traffic Data'!$H18</f>
        <v>719305.5</v>
      </c>
      <c r="K33" s="551">
        <f>'Traffic Data'!M18*annualizationFactor*'Traffic Data'!$H18</f>
        <v>839007.25000000023</v>
      </c>
      <c r="L33" s="551">
        <f>'Traffic Data'!N18*annualizationFactor*'Traffic Data'!$H18</f>
        <v>958727.25</v>
      </c>
      <c r="M33" s="551">
        <f>'Traffic Data'!O18*annualizationFactor*'Traffic Data'!$H18</f>
        <v>1078574.9999999998</v>
      </c>
      <c r="N33" s="551">
        <f>'Traffic Data'!P18*annualizationFactor*'Traffic Data'!$H18</f>
        <v>1198276.75</v>
      </c>
      <c r="O33" s="551">
        <f>'Traffic Data'!Q18*annualizationFactor*'Traffic Data'!$H18</f>
        <v>1318095.3</v>
      </c>
      <c r="P33" s="551">
        <f>'Traffic Data'!R18*annualizationFactor*'Traffic Data'!$H18</f>
        <v>1475968.75</v>
      </c>
      <c r="Q33" s="551">
        <f>'Traffic Data'!S18*annualizationFactor*'Traffic Data'!$H18</f>
        <v>1633802.05</v>
      </c>
      <c r="R33" s="551">
        <f>'Traffic Data'!T18*annualizationFactor*'Traffic Data'!$H18</f>
        <v>1791693.75</v>
      </c>
      <c r="S33" s="551">
        <f>'Traffic Data'!U18*annualizationFactor*'Traffic Data'!$H18</f>
        <v>1949567.2000000007</v>
      </c>
      <c r="T33" s="551">
        <f>'Traffic Data'!V18*annualizationFactor*'Traffic Data'!$H18</f>
        <v>2107619.5</v>
      </c>
      <c r="U33" s="551">
        <f>'Traffic Data'!W18*annualizationFactor*'Traffic Data'!$H18</f>
        <v>2183386.1999999997</v>
      </c>
      <c r="V33" s="551">
        <f>'Traffic Data'!X18*annualizationFactor*'Traffic Data'!$H18</f>
        <v>2208016.4</v>
      </c>
      <c r="W33" s="551">
        <f>'Traffic Data'!Y18*annualizationFactor*'Traffic Data'!$H18</f>
        <v>2232646.5999999996</v>
      </c>
      <c r="X33" s="551">
        <f>'Traffic Data'!Z18*annualizationFactor*'Traffic Data'!$H18</f>
        <v>2257276.7999999998</v>
      </c>
      <c r="Y33" s="551">
        <f>'Traffic Data'!AA18*annualizationFactor*'Traffic Data'!$H18</f>
        <v>2281932.5499999998</v>
      </c>
      <c r="Z33" s="551">
        <f>'Traffic Data'!AB18*annualizationFactor*'Traffic Data'!$H18</f>
        <v>2306562.7499999995</v>
      </c>
      <c r="AA33" s="551">
        <f>'Traffic Data'!AC18*annualizationFactor*'Traffic Data'!$H18</f>
        <v>2331218.5</v>
      </c>
      <c r="AB33" s="551">
        <f>'Traffic Data'!AD18*annualizationFactor*'Traffic Data'!$H18</f>
        <v>2355848.7000000002</v>
      </c>
      <c r="AC33" s="551">
        <f>'Traffic Data'!AE18*annualizationFactor*'Traffic Data'!$H18</f>
        <v>2380478.9</v>
      </c>
      <c r="AD33" s="551">
        <f>'Traffic Data'!AF18*annualizationFactor*'Traffic Data'!$H18</f>
        <v>2405134.65</v>
      </c>
      <c r="AE33" s="551">
        <f>'Traffic Data'!AG18*annualizationFactor*'Traffic Data'!$H18</f>
        <v>2429764.8500000006</v>
      </c>
      <c r="AF33" s="551">
        <f>'Traffic Data'!AH18*annualizationFactor*'Traffic Data'!$H18</f>
        <v>2454395.0499999998</v>
      </c>
      <c r="AG33" s="689">
        <f>'Traffic Data'!AI18*annualizationFactor*'Traffic Data'!$H18</f>
        <v>2479050.7999999998</v>
      </c>
      <c r="AH33" s="5"/>
      <c r="AI33" s="5"/>
      <c r="AJ33" s="5"/>
      <c r="AK33" s="5"/>
      <c r="AL33" s="5"/>
      <c r="AM33" s="5"/>
      <c r="AN33" s="5"/>
    </row>
    <row r="34" spans="2:40" ht="21.9" customHeight="1" x14ac:dyDescent="0.25">
      <c r="B34" s="678"/>
      <c r="C34" s="554"/>
      <c r="D34" s="554"/>
      <c r="E34" s="273" t="s">
        <v>321</v>
      </c>
      <c r="F34" s="273" t="s">
        <v>318</v>
      </c>
      <c r="G34" s="273" t="s">
        <v>308</v>
      </c>
      <c r="H34" s="551">
        <f>'Traffic Data'!J19*annualizationFactor*'Traffic Data'!$H19</f>
        <v>0</v>
      </c>
      <c r="I34" s="551">
        <f>'Traffic Data'!K19*annualizationFactor*'Traffic Data'!$H19</f>
        <v>0</v>
      </c>
      <c r="J34" s="551">
        <f>'Traffic Data'!L19*annualizationFactor*'Traffic Data'!$H19</f>
        <v>0</v>
      </c>
      <c r="K34" s="551">
        <f>'Traffic Data'!M19*annualizationFactor*'Traffic Data'!$H19</f>
        <v>0</v>
      </c>
      <c r="L34" s="551">
        <f>'Traffic Data'!N19*annualizationFactor*'Traffic Data'!$H19</f>
        <v>0</v>
      </c>
      <c r="M34" s="551">
        <f>'Traffic Data'!O19*annualizationFactor*'Traffic Data'!$H19</f>
        <v>0</v>
      </c>
      <c r="N34" s="551">
        <f>'Traffic Data'!P19*annualizationFactor*'Traffic Data'!$H19</f>
        <v>0</v>
      </c>
      <c r="O34" s="551">
        <f>'Traffic Data'!Q19*annualizationFactor*'Traffic Data'!$H19</f>
        <v>0</v>
      </c>
      <c r="P34" s="551">
        <f>'Traffic Data'!R19*annualizationFactor*'Traffic Data'!$H19</f>
        <v>0</v>
      </c>
      <c r="Q34" s="551">
        <f>'Traffic Data'!S19*annualizationFactor*'Traffic Data'!$H19</f>
        <v>0</v>
      </c>
      <c r="R34" s="551">
        <f>'Traffic Data'!T19*annualizationFactor*'Traffic Data'!$H19</f>
        <v>0</v>
      </c>
      <c r="S34" s="551">
        <f>'Traffic Data'!U19*annualizationFactor*'Traffic Data'!$H19</f>
        <v>0</v>
      </c>
      <c r="T34" s="551">
        <f>'Traffic Data'!V19*annualizationFactor*'Traffic Data'!$H19</f>
        <v>0</v>
      </c>
      <c r="U34" s="551">
        <f>'Traffic Data'!W19*annualizationFactor*'Traffic Data'!$H19</f>
        <v>0</v>
      </c>
      <c r="V34" s="551">
        <f>'Traffic Data'!X19*annualizationFactor*'Traffic Data'!$H19</f>
        <v>0</v>
      </c>
      <c r="W34" s="551">
        <f>'Traffic Data'!Y19*annualizationFactor*'Traffic Data'!$H19</f>
        <v>0</v>
      </c>
      <c r="X34" s="551">
        <f>'Traffic Data'!Z19*annualizationFactor*'Traffic Data'!$H19</f>
        <v>0</v>
      </c>
      <c r="Y34" s="551">
        <f>'Traffic Data'!AA19*annualizationFactor*'Traffic Data'!$H19</f>
        <v>0</v>
      </c>
      <c r="Z34" s="551">
        <f>'Traffic Data'!AB19*annualizationFactor*'Traffic Data'!$H19</f>
        <v>0</v>
      </c>
      <c r="AA34" s="551">
        <f>'Traffic Data'!AC19*annualizationFactor*'Traffic Data'!$H19</f>
        <v>0</v>
      </c>
      <c r="AB34" s="551">
        <f>'Traffic Data'!AD19*annualizationFactor*'Traffic Data'!$H19</f>
        <v>0</v>
      </c>
      <c r="AC34" s="551">
        <f>'Traffic Data'!AE19*annualizationFactor*'Traffic Data'!$H19</f>
        <v>0</v>
      </c>
      <c r="AD34" s="551">
        <f>'Traffic Data'!AF19*annualizationFactor*'Traffic Data'!$H19</f>
        <v>0</v>
      </c>
      <c r="AE34" s="551">
        <f>'Traffic Data'!AG19*annualizationFactor*'Traffic Data'!$H19</f>
        <v>0</v>
      </c>
      <c r="AF34" s="551">
        <f>'Traffic Data'!AH19*annualizationFactor*'Traffic Data'!$H19</f>
        <v>0</v>
      </c>
      <c r="AG34" s="689">
        <f>'Traffic Data'!AI19*annualizationFactor*'Traffic Data'!$H19</f>
        <v>0</v>
      </c>
      <c r="AH34" s="5"/>
      <c r="AI34" s="5"/>
      <c r="AJ34" s="5"/>
      <c r="AK34" s="5"/>
      <c r="AL34" s="5"/>
      <c r="AM34" s="5"/>
      <c r="AN34" s="5"/>
    </row>
    <row r="35" spans="2:40" ht="21.9" customHeight="1" x14ac:dyDescent="0.25">
      <c r="B35" s="678"/>
      <c r="C35" s="554"/>
      <c r="D35" s="554"/>
      <c r="E35" s="273" t="s">
        <v>333</v>
      </c>
      <c r="F35" s="273" t="s">
        <v>319</v>
      </c>
      <c r="G35" s="273" t="s">
        <v>308</v>
      </c>
      <c r="H35" s="551">
        <f>'Traffic Data'!J20*annualizationFactor*'Traffic Data'!$H20</f>
        <v>1218436.3636363635</v>
      </c>
      <c r="I35" s="551">
        <f>'Traffic Data'!K20*annualizationFactor*'Traffic Data'!$H20</f>
        <v>1237267.9745454544</v>
      </c>
      <c r="J35" s="551">
        <f>'Traffic Data'!L20*annualizationFactor*'Traffic Data'!$H20</f>
        <v>1268209.489090909</v>
      </c>
      <c r="K35" s="551">
        <f>'Traffic Data'!M20*annualizationFactor*'Traffic Data'!$H20</f>
        <v>1373370.7009090909</v>
      </c>
      <c r="L35" s="551">
        <f>'Traffic Data'!N20*annualizationFactor*'Traffic Data'!$H20</f>
        <v>1478545.4509090909</v>
      </c>
      <c r="M35" s="551">
        <f>'Traffic Data'!O20*annualizationFactor*'Traffic Data'!$H20</f>
        <v>1583842.0445454542</v>
      </c>
      <c r="N35" s="551">
        <f>'Traffic Data'!P20*annualizationFactor*'Traffic Data'!$H20</f>
        <v>1689003.2563636359</v>
      </c>
      <c r="O35" s="551">
        <f>'Traffic Data'!Q20*annualizationFactor*'Traffic Data'!$H20</f>
        <v>1794282.927272727</v>
      </c>
      <c r="P35" s="551">
        <f>'Traffic Data'!R20*annualizationFactor*'Traffic Data'!$H20</f>
        <v>1919016.9654545451</v>
      </c>
      <c r="Q35" s="551">
        <f>'Traffic Data'!S20*annualizationFactor*'Traffic Data'!$H20</f>
        <v>2043723.9272727268</v>
      </c>
      <c r="R35" s="551">
        <f>'Traffic Data'!T20*annualizationFactor*'Traffic Data'!$H20</f>
        <v>2168491.8109090906</v>
      </c>
      <c r="S35" s="551">
        <f>'Traffic Data'!U20*annualizationFactor*'Traffic Data'!$H20</f>
        <v>2293225.8490909091</v>
      </c>
      <c r="T35" s="551">
        <f>'Traffic Data'!V20*annualizationFactor*'Traffic Data'!$H20</f>
        <v>2418135.8836363633</v>
      </c>
      <c r="U35" s="551">
        <f>'Traffic Data'!W20*annualizationFactor*'Traffic Data'!$H20</f>
        <v>2468579.1490909089</v>
      </c>
      <c r="V35" s="551">
        <f>'Traffic Data'!X20*annualizationFactor*'Traffic Data'!$H20</f>
        <v>2487410.7599999993</v>
      </c>
      <c r="W35" s="551">
        <f>'Traffic Data'!Y20*annualizationFactor*'Traffic Data'!$H20</f>
        <v>2506242.3709090911</v>
      </c>
      <c r="X35" s="551">
        <f>'Traffic Data'!Z20*annualizationFactor*'Traffic Data'!$H20</f>
        <v>2525073.9818181819</v>
      </c>
      <c r="Y35" s="551">
        <f>'Traffic Data'!AA20*annualizationFactor*'Traffic Data'!$H20</f>
        <v>2543942.8227272728</v>
      </c>
      <c r="Z35" s="551">
        <f>'Traffic Data'!AB20*annualizationFactor*'Traffic Data'!$H20</f>
        <v>2562774.4336363636</v>
      </c>
      <c r="AA35" s="551">
        <f>'Traffic Data'!AC20*annualizationFactor*'Traffic Data'!$H20</f>
        <v>2581643.2745454544</v>
      </c>
      <c r="AB35" s="551">
        <f>'Traffic Data'!AD20*annualizationFactor*'Traffic Data'!$H20</f>
        <v>2600474.8854545457</v>
      </c>
      <c r="AC35" s="551">
        <f>'Traffic Data'!AE20*annualizationFactor*'Traffic Data'!$H20</f>
        <v>2619306.4963636366</v>
      </c>
      <c r="AD35" s="551">
        <f>'Traffic Data'!AF20*annualizationFactor*'Traffic Data'!$H20</f>
        <v>2638175.3372727274</v>
      </c>
      <c r="AE35" s="551">
        <f>'Traffic Data'!AG20*annualizationFactor*'Traffic Data'!$H20</f>
        <v>2657006.9481818182</v>
      </c>
      <c r="AF35" s="551">
        <f>'Traffic Data'!AH20*annualizationFactor*'Traffic Data'!$H20</f>
        <v>2675838.5590909095</v>
      </c>
      <c r="AG35" s="689">
        <f>'Traffic Data'!AI20*annualizationFactor*'Traffic Data'!$H20</f>
        <v>2694707.4</v>
      </c>
      <c r="AH35" s="5"/>
      <c r="AI35" s="5"/>
      <c r="AJ35" s="5"/>
      <c r="AK35" s="5"/>
      <c r="AL35" s="5"/>
      <c r="AM35" s="5"/>
      <c r="AN35" s="5"/>
    </row>
    <row r="36" spans="2:40" ht="21.9" customHeight="1" x14ac:dyDescent="0.25">
      <c r="B36" s="678"/>
      <c r="C36" s="554"/>
      <c r="D36" s="554"/>
      <c r="E36" s="114" t="s">
        <v>319</v>
      </c>
      <c r="F36" s="114" t="s">
        <v>276</v>
      </c>
      <c r="G36" s="114" t="s">
        <v>333</v>
      </c>
      <c r="H36" s="551">
        <f>'Traffic Data'!J21*annualizationFactor*'Traffic Data'!$H21</f>
        <v>4375852.2727272734</v>
      </c>
      <c r="I36" s="551">
        <f>'Traffic Data'!K21*annualizationFactor*'Traffic Data'!$H21</f>
        <v>4538568.3394886367</v>
      </c>
      <c r="J36" s="551">
        <f>'Traffic Data'!L21*annualizationFactor*'Traffic Data'!$H21</f>
        <v>4711777.6999999993</v>
      </c>
      <c r="K36" s="551">
        <f>'Traffic Data'!M21*annualizationFactor*'Traffic Data'!$H21</f>
        <v>5096034.4156249994</v>
      </c>
      <c r="L36" s="551">
        <f>'Traffic Data'!N21*annualizationFactor*'Traffic Data'!$H21</f>
        <v>5480387.4000000013</v>
      </c>
      <c r="M36" s="551">
        <f>'Traffic Data'!O21*annualizationFactor*'Traffic Data'!$H21</f>
        <v>5864950.4252840923</v>
      </c>
      <c r="N36" s="551">
        <f>'Traffic Data'!P21*annualizationFactor*'Traffic Data'!$H21</f>
        <v>6249207.1409090934</v>
      </c>
      <c r="O36" s="551">
        <f>'Traffic Data'!Q21*annualizationFactor*'Traffic Data'!$H21</f>
        <v>6633800.7971590925</v>
      </c>
      <c r="P36" s="551">
        <f>'Traffic Data'!R21*annualizationFactor*'Traffic Data'!$H21</f>
        <v>7150851.5017045448</v>
      </c>
      <c r="Q36" s="551">
        <f>'Traffic Data'!S21*annualizationFactor*'Traffic Data'!$H21</f>
        <v>7667924.0855113631</v>
      </c>
      <c r="R36" s="551">
        <f>'Traffic Data'!T21*annualizationFactor*'Traffic Data'!$H21</f>
        <v>8184974.7900568163</v>
      </c>
      <c r="S36" s="551">
        <f>'Traffic Data'!U21*annualizationFactor*'Traffic Data'!$H21</f>
        <v>8702025.4946022723</v>
      </c>
      <c r="T36" s="551">
        <f>'Traffic Data'!V21*annualizationFactor*'Traffic Data'!$H21</f>
        <v>9219557.5428977292</v>
      </c>
      <c r="U36" s="551">
        <f>'Traffic Data'!W21*annualizationFactor*'Traffic Data'!$H21</f>
        <v>9525320.2204545457</v>
      </c>
      <c r="V36" s="551">
        <f>'Traffic Data'!X21*annualizationFactor*'Traffic Data'!$H21</f>
        <v>9688036.287215909</v>
      </c>
      <c r="W36" s="551">
        <f>'Traffic Data'!Y21*annualizationFactor*'Traffic Data'!$H21</f>
        <v>9850752.3539772704</v>
      </c>
      <c r="X36" s="551">
        <f>'Traffic Data'!Z21*annualizationFactor*'Traffic Data'!$H21</f>
        <v>10013468.420738636</v>
      </c>
      <c r="Y36" s="551">
        <f>'Traffic Data'!AA21*annualizationFactor*'Traffic Data'!$H21</f>
        <v>10176272.004545454</v>
      </c>
      <c r="Z36" s="551">
        <f>'Traffic Data'!AB21*annualizationFactor*'Traffic Data'!$H21</f>
        <v>10338988.071306817</v>
      </c>
      <c r="AA36" s="551">
        <f>'Traffic Data'!AC21*annualizationFactor*'Traffic Data'!$H21</f>
        <v>10501791.655113636</v>
      </c>
      <c r="AB36" s="551">
        <f>'Traffic Data'!AD21*annualizationFactor*'Traffic Data'!$H21</f>
        <v>10664507.721875003</v>
      </c>
      <c r="AC36" s="551">
        <f>'Traffic Data'!AE21*annualizationFactor*'Traffic Data'!$H21</f>
        <v>10827223.788636364</v>
      </c>
      <c r="AD36" s="551">
        <f>'Traffic Data'!AF21*annualizationFactor*'Traffic Data'!$H21</f>
        <v>10990027.372443181</v>
      </c>
      <c r="AE36" s="551">
        <f>'Traffic Data'!AG21*annualizationFactor*'Traffic Data'!$H21</f>
        <v>11152743.439204546</v>
      </c>
      <c r="AF36" s="551">
        <f>'Traffic Data'!AH21*annualizationFactor*'Traffic Data'!$H21</f>
        <v>11315459.505965909</v>
      </c>
      <c r="AG36" s="689">
        <f>'Traffic Data'!AI21*annualizationFactor*'Traffic Data'!$H21</f>
        <v>11478263.089772727</v>
      </c>
      <c r="AH36" s="5"/>
      <c r="AI36" s="5"/>
      <c r="AJ36" s="5"/>
      <c r="AK36" s="5"/>
      <c r="AL36" s="5"/>
      <c r="AM36" s="5"/>
      <c r="AN36" s="5"/>
    </row>
    <row r="37" spans="2:40" ht="21.9" customHeight="1" x14ac:dyDescent="0.25">
      <c r="B37" s="678"/>
      <c r="C37" s="554"/>
      <c r="D37" s="554"/>
      <c r="E37" s="114"/>
      <c r="F37" s="114" t="s">
        <v>333</v>
      </c>
      <c r="G37" s="114" t="s">
        <v>323</v>
      </c>
      <c r="H37" s="551">
        <f>'Traffic Data'!J22*annualizationFactor*'Traffic Data'!$H22</f>
        <v>637284.46969696973</v>
      </c>
      <c r="I37" s="551">
        <f>'Traffic Data'!K22*annualizationFactor*'Traffic Data'!$H22</f>
        <v>659962.57296401518</v>
      </c>
      <c r="J37" s="551">
        <f>'Traffic Data'!L22*annualizationFactor*'Traffic Data'!$H22</f>
        <v>684643.09111742419</v>
      </c>
      <c r="K37" s="551">
        <f>'Traffic Data'!M22*annualizationFactor*'Traffic Data'!$H22</f>
        <v>731829.81343750015</v>
      </c>
      <c r="L37" s="551">
        <f>'Traffic Data'!N22*annualizationFactor*'Traffic Data'!$H22</f>
        <v>779034.98346590914</v>
      </c>
      <c r="M37" s="551">
        <f>'Traffic Data'!O22*annualizationFactor*'Traffic Data'!$H22</f>
        <v>826246.861751894</v>
      </c>
      <c r="N37" s="551">
        <f>'Traffic Data'!P22*annualizationFactor*'Traffic Data'!$H22</f>
        <v>873433.58407196961</v>
      </c>
      <c r="O37" s="551">
        <f>'Traffic Data'!Q22*annualizationFactor*'Traffic Data'!$H22</f>
        <v>920659.71740530303</v>
      </c>
      <c r="P37" s="551">
        <f>'Traffic Data'!R22*annualizationFactor*'Traffic Data'!$H22</f>
        <v>985453.10026515124</v>
      </c>
      <c r="Q37" s="551">
        <f>'Traffic Data'!S22*annualizationFactor*'Traffic Data'!$H22</f>
        <v>1050259.0611079542</v>
      </c>
      <c r="R37" s="551">
        <f>'Traffic Data'!T22*annualizationFactor*'Traffic Data'!$H22</f>
        <v>1115044.0586458333</v>
      </c>
      <c r="S37" s="551">
        <f>'Traffic Data'!U22*annualizationFactor*'Traffic Data'!$H22</f>
        <v>1179837.4415056817</v>
      </c>
      <c r="T37" s="551">
        <f>'Traffic Data'!V22*annualizationFactor*'Traffic Data'!$H22</f>
        <v>1244681.1362973482</v>
      </c>
      <c r="U37" s="551">
        <f>'Traffic Data'!W22*annualizationFactor*'Traffic Data'!$H22</f>
        <v>1286938.9663636363</v>
      </c>
      <c r="V37" s="551">
        <f>'Traffic Data'!X22*annualizationFactor*'Traffic Data'!$H22</f>
        <v>1309617.0696306815</v>
      </c>
      <c r="W37" s="551">
        <f>'Traffic Data'!Y22*annualizationFactor*'Traffic Data'!$H22</f>
        <v>1332295.1728977272</v>
      </c>
      <c r="X37" s="551">
        <f>'Traffic Data'!Z22*annualizationFactor*'Traffic Data'!$H22</f>
        <v>1354973.2761647727</v>
      </c>
      <c r="Y37" s="551">
        <f>'Traffic Data'!AA22*annualizationFactor*'Traffic Data'!$H22</f>
        <v>1377659.7647537878</v>
      </c>
      <c r="Z37" s="551">
        <f>'Traffic Data'!AB22*annualizationFactor*'Traffic Data'!$H22</f>
        <v>1400337.8680208328</v>
      </c>
      <c r="AA37" s="551">
        <f>'Traffic Data'!AC22*annualizationFactor*'Traffic Data'!$H22</f>
        <v>1423024.3566098486</v>
      </c>
      <c r="AB37" s="551">
        <f>'Traffic Data'!AD22*annualizationFactor*'Traffic Data'!$H22</f>
        <v>1445702.459876894</v>
      </c>
      <c r="AC37" s="551">
        <f>'Traffic Data'!AE22*annualizationFactor*'Traffic Data'!$H22</f>
        <v>1468380.5631439392</v>
      </c>
      <c r="AD37" s="551">
        <f>'Traffic Data'!AF22*annualizationFactor*'Traffic Data'!$H22</f>
        <v>1491067.0517329546</v>
      </c>
      <c r="AE37" s="551">
        <f>'Traffic Data'!AG22*annualizationFactor*'Traffic Data'!$H22</f>
        <v>1513745.155</v>
      </c>
      <c r="AF37" s="551">
        <f>'Traffic Data'!AH22*annualizationFactor*'Traffic Data'!$H22</f>
        <v>1536423.2582670455</v>
      </c>
      <c r="AG37" s="689">
        <f>'Traffic Data'!AI22*annualizationFactor*'Traffic Data'!$H22</f>
        <v>1559109.7468560603</v>
      </c>
      <c r="AH37" s="5"/>
      <c r="AI37" s="5"/>
      <c r="AJ37" s="5"/>
      <c r="AK37" s="5"/>
      <c r="AL37" s="5"/>
      <c r="AM37" s="5"/>
      <c r="AN37" s="5"/>
    </row>
    <row r="38" spans="2:40" ht="21.9" customHeight="1" x14ac:dyDescent="0.25">
      <c r="B38" s="678"/>
      <c r="C38" s="554"/>
      <c r="D38" s="554"/>
      <c r="E38" s="114"/>
      <c r="F38" s="114" t="s">
        <v>323</v>
      </c>
      <c r="G38" s="114" t="s">
        <v>322</v>
      </c>
      <c r="H38" s="551">
        <f>'Traffic Data'!J23*annualizationFactor*'Traffic Data'!$H23</f>
        <v>157613.63636363635</v>
      </c>
      <c r="I38" s="551">
        <f>'Traffic Data'!K23*annualizationFactor*'Traffic Data'!$H23</f>
        <v>163222.40056818182</v>
      </c>
      <c r="J38" s="551">
        <f>'Traffic Data'!L23*annualizationFactor*'Traffic Data'!$H23</f>
        <v>169326.40340909088</v>
      </c>
      <c r="K38" s="551">
        <f>'Traffic Data'!M23*annualizationFactor*'Traffic Data'!$H23</f>
        <v>180996.65625000003</v>
      </c>
      <c r="L38" s="551">
        <f>'Traffic Data'!N23*annualizationFactor*'Traffic Data'!$H23</f>
        <v>192671.47159090912</v>
      </c>
      <c r="M38" s="551">
        <f>'Traffic Data'!O23*annualizationFactor*'Traffic Data'!$H23</f>
        <v>204347.94602272726</v>
      </c>
      <c r="N38" s="551">
        <f>'Traffic Data'!P23*annualizationFactor*'Traffic Data'!$H23</f>
        <v>216018.19886363635</v>
      </c>
      <c r="O38" s="551">
        <f>'Traffic Data'!Q23*annualizationFactor*'Traffic Data'!$H23</f>
        <v>227698.19886363635</v>
      </c>
      <c r="P38" s="551">
        <f>'Traffic Data'!R23*annualizationFactor*'Traffic Data'!$H23</f>
        <v>243722.94318181812</v>
      </c>
      <c r="Q38" s="551">
        <f>'Traffic Data'!S23*annualizationFactor*'Traffic Data'!$H23</f>
        <v>259750.79829545447</v>
      </c>
      <c r="R38" s="551">
        <f>'Traffic Data'!T23*annualizationFactor*'Traffic Data'!$H23</f>
        <v>275773.46875</v>
      </c>
      <c r="S38" s="551">
        <f>'Traffic Data'!U23*annualizationFactor*'Traffic Data'!$H23</f>
        <v>291798.21306818182</v>
      </c>
      <c r="T38" s="551">
        <f>'Traffic Data'!V23*annualizationFactor*'Traffic Data'!$H23</f>
        <v>307835.40056818177</v>
      </c>
      <c r="U38" s="551">
        <f>'Traffic Data'!W23*annualizationFactor*'Traffic Data'!$H23</f>
        <v>318286.63636363635</v>
      </c>
      <c r="V38" s="551">
        <f>'Traffic Data'!X23*annualizationFactor*'Traffic Data'!$H23</f>
        <v>323895.40056818177</v>
      </c>
      <c r="W38" s="551">
        <f>'Traffic Data'!Y23*annualizationFactor*'Traffic Data'!$H23</f>
        <v>329504.16477272724</v>
      </c>
      <c r="X38" s="551">
        <f>'Traffic Data'!Z23*annualizationFactor*'Traffic Data'!$H23</f>
        <v>335112.92897727271</v>
      </c>
      <c r="Y38" s="551">
        <f>'Traffic Data'!AA23*annualizationFactor*'Traffic Data'!$H23</f>
        <v>340723.76704545453</v>
      </c>
      <c r="Z38" s="551">
        <f>'Traffic Data'!AB23*annualizationFactor*'Traffic Data'!$H23</f>
        <v>346332.53124999988</v>
      </c>
      <c r="AA38" s="551">
        <f>'Traffic Data'!AC23*annualizationFactor*'Traffic Data'!$H23</f>
        <v>351943.36931818182</v>
      </c>
      <c r="AB38" s="551">
        <f>'Traffic Data'!AD23*annualizationFactor*'Traffic Data'!$H23</f>
        <v>357552.13352272724</v>
      </c>
      <c r="AC38" s="551">
        <f>'Traffic Data'!AE23*annualizationFactor*'Traffic Data'!$H23</f>
        <v>363160.89772727271</v>
      </c>
      <c r="AD38" s="551">
        <f>'Traffic Data'!AF23*annualizationFactor*'Traffic Data'!$H23</f>
        <v>368771.73579545453</v>
      </c>
      <c r="AE38" s="551">
        <f>'Traffic Data'!AG23*annualizationFactor*'Traffic Data'!$H23</f>
        <v>374380.5</v>
      </c>
      <c r="AF38" s="551">
        <f>'Traffic Data'!AH23*annualizationFactor*'Traffic Data'!$H23</f>
        <v>379989.26420454541</v>
      </c>
      <c r="AG38" s="689">
        <f>'Traffic Data'!AI23*annualizationFactor*'Traffic Data'!$H23</f>
        <v>385600.10227272718</v>
      </c>
      <c r="AH38" s="5"/>
      <c r="AI38" s="5"/>
      <c r="AJ38" s="5"/>
      <c r="AK38" s="5"/>
      <c r="AL38" s="5"/>
      <c r="AM38" s="5"/>
      <c r="AN38" s="5"/>
    </row>
    <row r="39" spans="2:40" ht="21.9" customHeight="1" x14ac:dyDescent="0.25">
      <c r="B39" s="678"/>
      <c r="C39" s="554"/>
      <c r="D39" s="554"/>
      <c r="E39" s="114"/>
      <c r="F39" s="114" t="s">
        <v>322</v>
      </c>
      <c r="G39" s="114" t="s">
        <v>326</v>
      </c>
      <c r="H39" s="551">
        <f>'Traffic Data'!J24*annualizationFactor*'Traffic Data'!$H24</f>
        <v>404403.40909090912</v>
      </c>
      <c r="I39" s="551">
        <f>'Traffic Data'!K24*annualizationFactor*'Traffic Data'!$H24</f>
        <v>418330.38849431823</v>
      </c>
      <c r="J39" s="551">
        <f>'Traffic Data'!L24*annualizationFactor*'Traffic Data'!$H24</f>
        <v>433868.24147727265</v>
      </c>
      <c r="K39" s="551">
        <f>'Traffic Data'!M24*annualizationFactor*'Traffic Data'!$H24</f>
        <v>461011.12428977276</v>
      </c>
      <c r="L39" s="551">
        <f>'Traffic Data'!N24*annualizationFactor*'Traffic Data'!$H24</f>
        <v>488170.18323863635</v>
      </c>
      <c r="M39" s="551">
        <f>'Traffic Data'!O24*annualizationFactor*'Traffic Data'!$H24</f>
        <v>515319.80610795465</v>
      </c>
      <c r="N39" s="551">
        <f>'Traffic Data'!P24*annualizationFactor*'Traffic Data'!$H24</f>
        <v>542462.6889204547</v>
      </c>
      <c r="O39" s="551">
        <f>'Traffic Data'!Q24*annualizationFactor*'Traffic Data'!$H24</f>
        <v>569633.20596590918</v>
      </c>
      <c r="P39" s="551">
        <f>'Traffic Data'!R24*annualizationFactor*'Traffic Data'!$H24</f>
        <v>604626.23295454553</v>
      </c>
      <c r="Q39" s="551">
        <f>'Traffic Data'!S24*annualizationFactor*'Traffic Data'!$H24</f>
        <v>639638.8061079547</v>
      </c>
      <c r="R39" s="551">
        <f>'Traffic Data'!T24*annualizationFactor*'Traffic Data'!$H24</f>
        <v>674625.09303977247</v>
      </c>
      <c r="S39" s="551">
        <f>'Traffic Data'!U24*annualizationFactor*'Traffic Data'!$H24</f>
        <v>709618.12002840906</v>
      </c>
      <c r="T39" s="551">
        <f>'Traffic Data'!V24*annualizationFactor*'Traffic Data'!$H24</f>
        <v>744640.80326704553</v>
      </c>
      <c r="U39" s="551">
        <f>'Traffic Data'!W24*annualizationFactor*'Traffic Data'!$H24</f>
        <v>768010.60227272729</v>
      </c>
      <c r="V39" s="551">
        <f>'Traffic Data'!X24*annualizationFactor*'Traffic Data'!$H24</f>
        <v>781937.58167613659</v>
      </c>
      <c r="W39" s="551">
        <f>'Traffic Data'!Y24*annualizationFactor*'Traffic Data'!$H24</f>
        <v>795864.56107954553</v>
      </c>
      <c r="X39" s="551">
        <f>'Traffic Data'!Z24*annualizationFactor*'Traffic Data'!$H24</f>
        <v>809791.54048295482</v>
      </c>
      <c r="Y39" s="551">
        <f>'Traffic Data'!AA24*annualizationFactor*'Traffic Data'!$H24</f>
        <v>823726.60795454576</v>
      </c>
      <c r="Z39" s="551">
        <f>'Traffic Data'!AB24*annualizationFactor*'Traffic Data'!$H24</f>
        <v>837653.5873579547</v>
      </c>
      <c r="AA39" s="551">
        <f>'Traffic Data'!AC24*annualizationFactor*'Traffic Data'!$H24</f>
        <v>851588.65482954541</v>
      </c>
      <c r="AB39" s="551">
        <f>'Traffic Data'!AD24*annualizationFactor*'Traffic Data'!$H24</f>
        <v>865515.6342329547</v>
      </c>
      <c r="AC39" s="551">
        <f>'Traffic Data'!AE24*annualizationFactor*'Traffic Data'!$H24</f>
        <v>879442.61363636365</v>
      </c>
      <c r="AD39" s="551">
        <f>'Traffic Data'!AF24*annualizationFactor*'Traffic Data'!$H24</f>
        <v>893377.68110795459</v>
      </c>
      <c r="AE39" s="551">
        <f>'Traffic Data'!AG24*annualizationFactor*'Traffic Data'!$H24</f>
        <v>907304.66051136365</v>
      </c>
      <c r="AF39" s="551">
        <f>'Traffic Data'!AH24*annualizationFactor*'Traffic Data'!$H24</f>
        <v>921231.63991477282</v>
      </c>
      <c r="AG39" s="689">
        <f>'Traffic Data'!AI24*annualizationFactor*'Traffic Data'!$H24</f>
        <v>935166.70738636376</v>
      </c>
      <c r="AH39" s="5"/>
      <c r="AI39" s="5"/>
      <c r="AJ39" s="5"/>
      <c r="AK39" s="5"/>
      <c r="AL39" s="5"/>
      <c r="AM39" s="5"/>
      <c r="AN39" s="5"/>
    </row>
    <row r="40" spans="2:40" ht="21.9" customHeight="1" x14ac:dyDescent="0.25">
      <c r="B40" s="678"/>
      <c r="C40" s="554"/>
      <c r="D40" s="554"/>
      <c r="E40" s="114"/>
      <c r="F40" s="114" t="s">
        <v>326</v>
      </c>
      <c r="G40" s="114" t="s">
        <v>274</v>
      </c>
      <c r="H40" s="551">
        <f>'Traffic Data'!J25*annualizationFactor*'Traffic Data'!$H25</f>
        <v>3357585.2272727275</v>
      </c>
      <c r="I40" s="551">
        <f>'Traffic Data'!K25*annualizationFactor*'Traffic Data'!$H25</f>
        <v>3473214.8665246218</v>
      </c>
      <c r="J40" s="551">
        <f>'Traffic Data'!L25*annualizationFactor*'Traffic Data'!$H25</f>
        <v>3602218.8869318175</v>
      </c>
      <c r="K40" s="551">
        <f>'Traffic Data'!M25*annualizationFactor*'Traffic Data'!$H25</f>
        <v>3827574.4114109855</v>
      </c>
      <c r="L40" s="551">
        <f>'Traffic Data'!N25*annualizationFactor*'Traffic Data'!$H25</f>
        <v>4053064.2392992424</v>
      </c>
      <c r="M40" s="551">
        <f>'Traffic Data'!O25*annualizationFactor*'Traffic Data'!$H25</f>
        <v>4278475.723532198</v>
      </c>
      <c r="N40" s="551">
        <f>'Traffic Data'!P25*annualizationFactor*'Traffic Data'!$H25</f>
        <v>4503831.2480113646</v>
      </c>
      <c r="O40" s="551">
        <f>'Traffic Data'!Q25*annualizationFactor*'Traffic Data'!$H25</f>
        <v>4729416.2074810611</v>
      </c>
      <c r="P40" s="551">
        <f>'Traffic Data'!R25*annualizationFactor*'Traffic Data'!$H25</f>
        <v>5019948.057196971</v>
      </c>
      <c r="Q40" s="551">
        <f>'Traffic Data'!S25*annualizationFactor*'Traffic Data'!$H25</f>
        <v>5310642.1901988648</v>
      </c>
      <c r="R40" s="551">
        <f>'Traffic Data'!T25*annualizationFactor*'Traffic Data'!$H25</f>
        <v>5601118.0801609829</v>
      </c>
      <c r="S40" s="551">
        <f>'Traffic Data'!U25*annualizationFactor*'Traffic Data'!$H25</f>
        <v>5891649.9298768938</v>
      </c>
      <c r="T40" s="551">
        <f>'Traffic Data'!V25*annualizationFactor*'Traffic Data'!$H25</f>
        <v>6182428.0025094701</v>
      </c>
      <c r="U40" s="551">
        <f>'Traffic Data'!W25*annualizationFactor*'Traffic Data'!$H25</f>
        <v>6376457.2568181828</v>
      </c>
      <c r="V40" s="551">
        <f>'Traffic Data'!X25*annualizationFactor*'Traffic Data'!$H25</f>
        <v>6492086.8960700771</v>
      </c>
      <c r="W40" s="551">
        <f>'Traffic Data'!Y25*annualizationFactor*'Traffic Data'!$H25</f>
        <v>6607716.5353219705</v>
      </c>
      <c r="X40" s="551">
        <f>'Traffic Data'!Z25*annualizationFactor*'Traffic Data'!$H25</f>
        <v>6723346.1745738657</v>
      </c>
      <c r="Y40" s="551">
        <f>'Traffic Data'!AA25*annualizationFactor*'Traffic Data'!$H25</f>
        <v>6839042.9655303052</v>
      </c>
      <c r="Z40" s="551">
        <f>'Traffic Data'!AB25*annualizationFactor*'Traffic Data'!$H25</f>
        <v>6954672.6047821976</v>
      </c>
      <c r="AA40" s="551">
        <f>'Traffic Data'!AC25*annualizationFactor*'Traffic Data'!$H25</f>
        <v>7070369.3957386361</v>
      </c>
      <c r="AB40" s="551">
        <f>'Traffic Data'!AD25*annualizationFactor*'Traffic Data'!$H25</f>
        <v>7185999.0349905314</v>
      </c>
      <c r="AC40" s="551">
        <f>'Traffic Data'!AE25*annualizationFactor*'Traffic Data'!$H25</f>
        <v>7301628.6742424248</v>
      </c>
      <c r="AD40" s="551">
        <f>'Traffic Data'!AF25*annualizationFactor*'Traffic Data'!$H25</f>
        <v>7417325.4651988642</v>
      </c>
      <c r="AE40" s="551">
        <f>'Traffic Data'!AG25*annualizationFactor*'Traffic Data'!$H25</f>
        <v>7532955.1044507585</v>
      </c>
      <c r="AF40" s="551">
        <f>'Traffic Data'!AH25*annualizationFactor*'Traffic Data'!$H25</f>
        <v>7648584.7437026519</v>
      </c>
      <c r="AG40" s="689">
        <f>'Traffic Data'!AI25*annualizationFactor*'Traffic Data'!$H25</f>
        <v>7764281.5346590914</v>
      </c>
      <c r="AH40" s="5"/>
      <c r="AI40" s="5"/>
      <c r="AJ40" s="5"/>
      <c r="AK40" s="5"/>
      <c r="AL40" s="5"/>
      <c r="AM40" s="5"/>
      <c r="AN40" s="5"/>
    </row>
    <row r="41" spans="2:40" ht="21.9" customHeight="1" thickBot="1" x14ac:dyDescent="0.3">
      <c r="B41" s="680"/>
      <c r="C41" s="690"/>
      <c r="D41" s="554"/>
      <c r="E41" s="274"/>
      <c r="F41" s="274" t="s">
        <v>274</v>
      </c>
      <c r="G41" s="274" t="s">
        <v>317</v>
      </c>
      <c r="H41" s="551">
        <f>'Traffic Data'!J26*annualizationFactor*'Traffic Data'!$H26</f>
        <v>82954.545454545456</v>
      </c>
      <c r="I41" s="551">
        <f>'Traffic Data'!K26*annualizationFactor*'Traffic Data'!$H26</f>
        <v>85811.36174242424</v>
      </c>
      <c r="J41" s="551">
        <f>'Traffic Data'!L26*annualizationFactor*'Traffic Data'!$H26</f>
        <v>88998.613636363618</v>
      </c>
      <c r="K41" s="551">
        <f>'Traffic Data'!M26*annualizationFactor*'Traffic Data'!$H26</f>
        <v>94566.384469696975</v>
      </c>
      <c r="L41" s="551">
        <f>'Traffic Data'!N26*annualizationFactor*'Traffic Data'!$H26</f>
        <v>100137.47348484848</v>
      </c>
      <c r="M41" s="551">
        <f>'Traffic Data'!O26*annualizationFactor*'Traffic Data'!$H26</f>
        <v>105706.62689393941</v>
      </c>
      <c r="N41" s="551">
        <f>'Traffic Data'!P26*annualizationFactor*'Traffic Data'!$H26</f>
        <v>111274.39772727276</v>
      </c>
      <c r="O41" s="551">
        <f>'Traffic Data'!Q26*annualizationFactor*'Traffic Data'!$H26</f>
        <v>116847.83712121216</v>
      </c>
      <c r="P41" s="551">
        <f>'Traffic Data'!R26*annualizationFactor*'Traffic Data'!$H26</f>
        <v>124025.89393939395</v>
      </c>
      <c r="Q41" s="551">
        <f>'Traffic Data'!S26*annualizationFactor*'Traffic Data'!$H26</f>
        <v>131207.96022727276</v>
      </c>
      <c r="R41" s="551">
        <f>'Traffic Data'!T26*annualizationFactor*'Traffic Data'!$H26</f>
        <v>138384.63446969693</v>
      </c>
      <c r="S41" s="551">
        <f>'Traffic Data'!U26*annualizationFactor*'Traffic Data'!$H26</f>
        <v>145562.69128787878</v>
      </c>
      <c r="T41" s="551">
        <f>'Traffic Data'!V26*annualizationFactor*'Traffic Data'!$H26</f>
        <v>152746.83143939395</v>
      </c>
      <c r="U41" s="551">
        <f>'Traffic Data'!W26*annualizationFactor*'Traffic Data'!$H26</f>
        <v>157540.63636363638</v>
      </c>
      <c r="V41" s="551">
        <f>'Traffic Data'!X26*annualizationFactor*'Traffic Data'!$H26</f>
        <v>160397.45265151517</v>
      </c>
      <c r="W41" s="551">
        <f>'Traffic Data'!Y26*annualizationFactor*'Traffic Data'!$H26</f>
        <v>163254.26893939398</v>
      </c>
      <c r="X41" s="551">
        <f>'Traffic Data'!Z26*annualizationFactor*'Traffic Data'!$H26</f>
        <v>166111.08522727279</v>
      </c>
      <c r="Y41" s="551">
        <f>'Traffic Data'!AA26*annualizationFactor*'Traffic Data'!$H26</f>
        <v>168969.56060606067</v>
      </c>
      <c r="Z41" s="551">
        <f>'Traffic Data'!AB26*annualizationFactor*'Traffic Data'!$H26</f>
        <v>171826.37689393942</v>
      </c>
      <c r="AA41" s="551">
        <f>'Traffic Data'!AC26*annualizationFactor*'Traffic Data'!$H26</f>
        <v>174684.85227272726</v>
      </c>
      <c r="AB41" s="551">
        <f>'Traffic Data'!AD26*annualizationFactor*'Traffic Data'!$H26</f>
        <v>177541.66856060608</v>
      </c>
      <c r="AC41" s="551">
        <f>'Traffic Data'!AE26*annualizationFactor*'Traffic Data'!$H26</f>
        <v>180398.48484848486</v>
      </c>
      <c r="AD41" s="551">
        <f>'Traffic Data'!AF26*annualizationFactor*'Traffic Data'!$H26</f>
        <v>183256.96022727274</v>
      </c>
      <c r="AE41" s="551">
        <f>'Traffic Data'!AG26*annualizationFactor*'Traffic Data'!$H26</f>
        <v>186113.77651515152</v>
      </c>
      <c r="AF41" s="551">
        <f>'Traffic Data'!AH26*annualizationFactor*'Traffic Data'!$H26</f>
        <v>188970.59280303033</v>
      </c>
      <c r="AG41" s="689">
        <f>'Traffic Data'!AI26*annualizationFactor*'Traffic Data'!$H26</f>
        <v>191829.06818181821</v>
      </c>
      <c r="AH41" s="5"/>
      <c r="AI41" s="5"/>
      <c r="AJ41" s="5"/>
      <c r="AK41" s="5"/>
      <c r="AL41" s="5"/>
      <c r="AM41" s="5"/>
      <c r="AN41" s="5"/>
    </row>
    <row r="42" spans="2:40" ht="21.9" customHeight="1" x14ac:dyDescent="0.25">
      <c r="B42" s="181"/>
      <c r="C42" s="122"/>
      <c r="D42" s="122"/>
      <c r="E42" s="123" t="s">
        <v>25</v>
      </c>
      <c r="F42" s="123"/>
      <c r="G42" s="123"/>
      <c r="H42" s="691">
        <f t="shared" ref="H42:AG42" si="0">SUM(H22:H41)</f>
        <v>40074243.696969688</v>
      </c>
      <c r="I42" s="691">
        <f t="shared" si="0"/>
        <v>42366948.904668547</v>
      </c>
      <c r="J42" s="691">
        <f t="shared" si="0"/>
        <v>45476741.094912879</v>
      </c>
      <c r="K42" s="691">
        <f t="shared" si="0"/>
        <v>51922406.094778404</v>
      </c>
      <c r="L42" s="691">
        <f t="shared" si="0"/>
        <v>58370599.547806814</v>
      </c>
      <c r="M42" s="691">
        <f t="shared" si="0"/>
        <v>64820541.711410984</v>
      </c>
      <c r="N42" s="691">
        <f t="shared" si="0"/>
        <v>71266206.711276501</v>
      </c>
      <c r="O42" s="691">
        <f t="shared" si="0"/>
        <v>77718333.756723508</v>
      </c>
      <c r="P42" s="691">
        <f t="shared" si="0"/>
        <v>85543067.082196966</v>
      </c>
      <c r="Q42" s="691">
        <f t="shared" si="0"/>
        <v>93369299.551017001</v>
      </c>
      <c r="R42" s="691">
        <f t="shared" si="0"/>
        <v>101193729.6723731</v>
      </c>
      <c r="S42" s="691">
        <f t="shared" si="0"/>
        <v>109018462.99784659</v>
      </c>
      <c r="T42" s="691">
        <f t="shared" si="0"/>
        <v>116851060.11227463</v>
      </c>
      <c r="U42" s="691">
        <f t="shared" si="0"/>
        <v>121335888.23159094</v>
      </c>
      <c r="V42" s="691">
        <f t="shared" si="0"/>
        <v>123628491.23928981</v>
      </c>
      <c r="W42" s="691">
        <f t="shared" si="0"/>
        <v>125921196.44698861</v>
      </c>
      <c r="X42" s="691">
        <f t="shared" si="0"/>
        <v>128213901.65468748</v>
      </c>
      <c r="Y42" s="691">
        <f t="shared" si="0"/>
        <v>130508350.7729356</v>
      </c>
      <c r="Z42" s="691">
        <f t="shared" si="0"/>
        <v>132801055.98063447</v>
      </c>
      <c r="AA42" s="691">
        <f t="shared" si="0"/>
        <v>135095505.09888259</v>
      </c>
      <c r="AB42" s="691">
        <f t="shared" si="0"/>
        <v>137388210.30658141</v>
      </c>
      <c r="AC42" s="691">
        <f t="shared" si="0"/>
        <v>139680915.51428035</v>
      </c>
      <c r="AD42" s="691">
        <f t="shared" si="0"/>
        <v>141975262.43252847</v>
      </c>
      <c r="AE42" s="691">
        <f t="shared" si="0"/>
        <v>144267967.64022729</v>
      </c>
      <c r="AF42" s="691">
        <f t="shared" si="0"/>
        <v>146560672.84792614</v>
      </c>
      <c r="AG42" s="692">
        <f t="shared" si="0"/>
        <v>148855121.96617424</v>
      </c>
      <c r="AH42" s="47"/>
      <c r="AI42" s="47"/>
      <c r="AJ42" s="47"/>
      <c r="AK42" s="47"/>
      <c r="AL42" s="47"/>
      <c r="AM42" s="47"/>
      <c r="AN42" s="47"/>
    </row>
    <row r="43" spans="2:40" ht="21.9" customHeight="1" x14ac:dyDescent="0.25">
      <c r="B43" s="678" t="s">
        <v>448</v>
      </c>
      <c r="C43" s="554" t="s">
        <v>65</v>
      </c>
      <c r="D43" s="693" t="s">
        <v>441</v>
      </c>
      <c r="E43" s="1325" t="s">
        <v>315</v>
      </c>
      <c r="F43" s="217" t="s">
        <v>316</v>
      </c>
      <c r="G43" s="217" t="s">
        <v>276</v>
      </c>
      <c r="H43" s="551" cm="1">
        <f t="array" ref="H43">_xlfn.ANCHORARRAY(H22) * $F$15</f>
        <v>181974.39999999999</v>
      </c>
      <c r="I43" s="551" cm="1">
        <f t="array" ref="I43">_xlfn.ANCHORARRAY(I22) * $F$15</f>
        <v>190346.35973999999</v>
      </c>
      <c r="J43" s="551" cm="1">
        <f t="array" ref="J43">_xlfn.ANCHORARRAY(J22) * $F$15</f>
        <v>202102.47465000002</v>
      </c>
      <c r="K43" s="551" cm="1">
        <f t="array" ref="K43">_xlfn.ANCHORARRAY(K22) * $F$15</f>
        <v>219348.52974000003</v>
      </c>
      <c r="L43" s="551" cm="1">
        <f t="array" ref="L43">_xlfn.ANCHORARRAY(L22) * $F$15</f>
        <v>236600.84020000001</v>
      </c>
      <c r="M43" s="551" cm="1">
        <f t="array" ref="M43">_xlfn.ANCHORARRAY(M22) * $F$15</f>
        <v>253853.71932999996</v>
      </c>
      <c r="N43" s="551" cm="1">
        <f t="array" ref="N43">_xlfn.ANCHORARRAY(N22) * $F$15</f>
        <v>271099.77441999991</v>
      </c>
      <c r="O43" s="551" cm="1">
        <f t="array" ref="O43">_xlfn.ANCHORARRAY(O22) * $F$15</f>
        <v>288358.90891999996</v>
      </c>
      <c r="P43" s="551" cm="1">
        <f t="array" ref="P43">_xlfn.ANCHORARRAY(P22) * $F$15</f>
        <v>305414.45956000005</v>
      </c>
      <c r="Q43" s="551" cm="1">
        <f t="array" ref="Q43">_xlfn.ANCHORARRAY(Q22) * $F$15</f>
        <v>322473.42222000001</v>
      </c>
      <c r="R43" s="551" cm="1">
        <f t="array" ref="R43">_xlfn.ANCHORARRAY(R22) * $F$15</f>
        <v>339528.97286000004</v>
      </c>
      <c r="S43" s="551" cm="1">
        <f t="array" ref="S43">_xlfn.ANCHORARRAY(S22) * $F$15</f>
        <v>356584.52350000007</v>
      </c>
      <c r="T43" s="551" cm="1">
        <f t="array" ref="T43">_xlfn.ANCHORARRAY(T22) * $F$15</f>
        <v>373653.72222000011</v>
      </c>
      <c r="U43" s="551" cm="1">
        <f t="array" ref="U43">_xlfn.ANCHORARRAY(U22) * $F$15</f>
        <v>385212.50864000007</v>
      </c>
      <c r="V43" s="551" cm="1">
        <f t="array" ref="V43">_xlfn.ANCHORARRAY(V22) * $F$15</f>
        <v>393584.46837999992</v>
      </c>
      <c r="W43" s="551" cm="1">
        <f t="array" ref="W43">_xlfn.ANCHORARRAY(W22) * $F$15</f>
        <v>401956.42811999994</v>
      </c>
      <c r="X43" s="551" cm="1">
        <f t="array" ref="X43">_xlfn.ANCHORARRAY(X22) * $F$15</f>
        <v>410328.38786000008</v>
      </c>
      <c r="Y43" s="551" cm="1">
        <f t="array" ref="Y43">_xlfn.ANCHORARRAY(Y22) * $F$15</f>
        <v>418703.75962000008</v>
      </c>
      <c r="Z43" s="551" cm="1">
        <f t="array" ref="Z43">_xlfn.ANCHORARRAY(Z22) * $F$15</f>
        <v>427075.71936000005</v>
      </c>
      <c r="AA43" s="551" cm="1">
        <f t="array" ref="AA43">_xlfn.ANCHORARRAY(AA22) * $F$15</f>
        <v>435451.09111999994</v>
      </c>
      <c r="AB43" s="551" cm="1">
        <f t="array" ref="AB43">_xlfn.ANCHORARRAY(AB22) * $F$15</f>
        <v>443823.05086000008</v>
      </c>
      <c r="AC43" s="551" cm="1">
        <f t="array" ref="AC43">_xlfn.ANCHORARRAY(AC22) * $F$15</f>
        <v>452195.01059999998</v>
      </c>
      <c r="AD43" s="551" cm="1">
        <f t="array" ref="AD43">_xlfn.ANCHORARRAY(AD22) * $F$15</f>
        <v>460570.38235999999</v>
      </c>
      <c r="AE43" s="551" cm="1">
        <f t="array" ref="AE43">_xlfn.ANCHORARRAY(AE22) * $F$15</f>
        <v>468942.34210000001</v>
      </c>
      <c r="AF43" s="551" cm="1">
        <f t="array" ref="AF43">_xlfn.ANCHORARRAY(AF22) * $F$15</f>
        <v>477314.30184000003</v>
      </c>
      <c r="AG43" s="689" cm="1">
        <f t="array" ref="AG43">_xlfn.ANCHORARRAY(AG22) * $F$15</f>
        <v>485689.67359999998</v>
      </c>
      <c r="AH43" s="5"/>
      <c r="AI43" s="5"/>
      <c r="AJ43" s="5"/>
      <c r="AK43" s="5"/>
      <c r="AL43" s="5"/>
      <c r="AM43" s="5"/>
      <c r="AN43" s="5"/>
    </row>
    <row r="44" spans="2:40" ht="21.9" customHeight="1" x14ac:dyDescent="0.25">
      <c r="B44" s="679" t="s">
        <v>442</v>
      </c>
      <c r="C44" s="690"/>
      <c r="D44" s="694"/>
      <c r="E44" s="1327"/>
      <c r="F44" s="114" t="s">
        <v>276</v>
      </c>
      <c r="G44" s="114" t="s">
        <v>274</v>
      </c>
      <c r="H44" s="551" cm="1">
        <f t="array" ref="H44">_xlfn.ANCHORARRAY(H23) * $F$15</f>
        <v>5851451.0454545459</v>
      </c>
      <c r="I44" s="551" cm="1">
        <f t="array" ref="I44">_xlfn.ANCHORARRAY(I23) * $F$15</f>
        <v>6175599.7613318181</v>
      </c>
      <c r="J44" s="551" cm="1">
        <f t="array" ref="J44">_xlfn.ANCHORARRAY(J23) * $F$15</f>
        <v>6551501.3109000009</v>
      </c>
      <c r="K44" s="551" cm="1">
        <f t="array" ref="K44">_xlfn.ANCHORARRAY(K23) * $F$15</f>
        <v>7252916.9149227263</v>
      </c>
      <c r="L44" s="551" cm="1">
        <f t="array" ref="L44">_xlfn.ANCHORARRAY(L23) * $F$15</f>
        <v>7954592.5834363662</v>
      </c>
      <c r="M44" s="551" cm="1">
        <f t="array" ref="M44">_xlfn.ANCHORARRAY(M23) * $F$15</f>
        <v>8656398.2841954567</v>
      </c>
      <c r="N44" s="551" cm="1">
        <f t="array" ref="N44">_xlfn.ANCHORARRAY(N23) * $F$15</f>
        <v>9357813.8882181831</v>
      </c>
      <c r="O44" s="551" cm="1">
        <f t="array" ref="O44">_xlfn.ANCHORARRAY(O23) * $F$15</f>
        <v>10059901.325509092</v>
      </c>
      <c r="P44" s="551" cm="1">
        <f t="array" ref="P44">_xlfn.ANCHORARRAY(P23) * $F$15</f>
        <v>10892151.0405</v>
      </c>
      <c r="Q44" s="551" cm="1">
        <f t="array" ref="Q44">_xlfn.ANCHORARRAY(Q23) * $F$15</f>
        <v>11724639.147940909</v>
      </c>
      <c r="R44" s="551" cm="1">
        <f t="array" ref="R44">_xlfn.ANCHORARRAY(R23) * $F$15</f>
        <v>12556888.86293182</v>
      </c>
      <c r="S44" s="551" cm="1">
        <f t="array" ref="S44">_xlfn.ANCHORARRAY(S23) * $F$15</f>
        <v>13389138.577922726</v>
      </c>
      <c r="T44" s="551" cm="1">
        <f t="array" ref="T44">_xlfn.ANCHORARRAY(T23) * $F$15</f>
        <v>14222211.830468182</v>
      </c>
      <c r="U44" s="551" cm="1">
        <f t="array" ref="U44">_xlfn.ANCHORARRAY(U23) * $F$15</f>
        <v>14728535.722227275</v>
      </c>
      <c r="V44" s="551" cm="1">
        <f t="array" ref="V44">_xlfn.ANCHORARRAY(V23) * $F$15</f>
        <v>15052684.438104548</v>
      </c>
      <c r="W44" s="551" cm="1">
        <f t="array" ref="W44">_xlfn.ANCHORARRAY(W23) * $F$15</f>
        <v>15376833.153981816</v>
      </c>
      <c r="X44" s="551" cm="1">
        <f t="array" ref="X44">_xlfn.ANCHORARRAY(X23) * $F$15</f>
        <v>15700981.869859088</v>
      </c>
      <c r="Y44" s="551" cm="1">
        <f t="array" ref="Y44">_xlfn.ANCHORARRAY(Y23) * $F$15</f>
        <v>16025347.306145456</v>
      </c>
      <c r="Z44" s="551" cm="1">
        <f t="array" ref="Z44">_xlfn.ANCHORARRAY(Z23) * $F$15</f>
        <v>16349496.02202273</v>
      </c>
      <c r="AA44" s="551" cm="1">
        <f t="array" ref="AA44">_xlfn.ANCHORARRAY(AA23) * $F$15</f>
        <v>16673861.458309088</v>
      </c>
      <c r="AB44" s="551" cm="1">
        <f t="array" ref="AB44">_xlfn.ANCHORARRAY(AB23) * $F$15</f>
        <v>16998010.17418636</v>
      </c>
      <c r="AC44" s="551" cm="1">
        <f t="array" ref="AC44">_xlfn.ANCHORARRAY(AC23) * $F$15</f>
        <v>17322158.890063636</v>
      </c>
      <c r="AD44" s="551" cm="1">
        <f t="array" ref="AD44">_xlfn.ANCHORARRAY(AD23) * $F$15</f>
        <v>17646524.326350003</v>
      </c>
      <c r="AE44" s="551" cm="1">
        <f t="array" ref="AE44">_xlfn.ANCHORARRAY(AE23) * $F$15</f>
        <v>17970673.042227276</v>
      </c>
      <c r="AF44" s="551" cm="1">
        <f t="array" ref="AF44">_xlfn.ANCHORARRAY(AF23) * $F$15</f>
        <v>18294821.758104548</v>
      </c>
      <c r="AG44" s="689" cm="1">
        <f t="array" ref="AG44">_xlfn.ANCHORARRAY(AG23) * $F$15</f>
        <v>18619187.194390912</v>
      </c>
      <c r="AH44" s="5"/>
      <c r="AI44" s="5"/>
      <c r="AJ44" s="5"/>
      <c r="AK44" s="5"/>
      <c r="AL44" s="5"/>
      <c r="AM44" s="5"/>
      <c r="AN44" s="5"/>
    </row>
    <row r="45" spans="2:40" ht="21.9" customHeight="1" x14ac:dyDescent="0.25">
      <c r="B45" s="679"/>
      <c r="C45" s="690"/>
      <c r="D45" s="694"/>
      <c r="E45" s="1327"/>
      <c r="F45" s="114" t="s">
        <v>274</v>
      </c>
      <c r="G45" s="114" t="s">
        <v>317</v>
      </c>
      <c r="H45" s="551" cm="1">
        <f t="array" ref="H45">_xlfn.ANCHORARRAY(H24) * $F$15</f>
        <v>136480.80000000002</v>
      </c>
      <c r="I45" s="551" cm="1">
        <f t="array" ref="I45">_xlfn.ANCHORARRAY(I24) * $F$15</f>
        <v>142180.01073999997</v>
      </c>
      <c r="J45" s="551" cm="1">
        <f t="array" ref="J45">_xlfn.ANCHORARRAY(J24) * $F$15</f>
        <v>149233.79341999997</v>
      </c>
      <c r="K45" s="551" cm="1">
        <f t="array" ref="K45">_xlfn.ANCHORARRAY(K24) * $F$15</f>
        <v>158730.58242000002</v>
      </c>
      <c r="L45" s="551" cm="1">
        <f t="array" ref="L45">_xlfn.ANCHORARRAY(L24) * $F$15</f>
        <v>168230.78344000003</v>
      </c>
      <c r="M45" s="551" cm="1">
        <f t="array" ref="M45">_xlfn.ANCHORARRAY(M24) * $F$15</f>
        <v>177729.84712000002</v>
      </c>
      <c r="N45" s="551" cm="1">
        <f t="array" ref="N45">_xlfn.ANCHORARRAY(N24) * $F$15</f>
        <v>187226.63612000001</v>
      </c>
      <c r="O45" s="551" cm="1">
        <f t="array" ref="O45">_xlfn.ANCHORARRAY(O24) * $F$15</f>
        <v>196730.24916000006</v>
      </c>
      <c r="P45" s="551" cm="1">
        <f t="array" ref="P45">_xlfn.ANCHORARRAY(P24) * $F$15</f>
        <v>205938.1538</v>
      </c>
      <c r="Q45" s="551" cm="1">
        <f t="array" ref="Q45">_xlfn.ANCHORARRAY(Q24) * $F$15</f>
        <v>215149.47045999995</v>
      </c>
      <c r="R45" s="551" cm="1">
        <f t="array" ref="R45">_xlfn.ANCHORARRAY(R24) * $F$15</f>
        <v>224357.3751</v>
      </c>
      <c r="S45" s="551" cm="1">
        <f t="array" ref="S45">_xlfn.ANCHORARRAY(S24) * $F$15</f>
        <v>233565.27974</v>
      </c>
      <c r="T45" s="551" cm="1">
        <f t="array" ref="T45">_xlfn.ANCHORARRAY(T24) * $F$15</f>
        <v>242780.00842000006</v>
      </c>
      <c r="U45" s="551" cm="1">
        <f t="array" ref="U45">_xlfn.ANCHORARRAY(U24) * $F$15</f>
        <v>249541.49472000002</v>
      </c>
      <c r="V45" s="551" cm="1">
        <f t="array" ref="V45">_xlfn.ANCHORARRAY(V24) * $F$15</f>
        <v>255240.70546000003</v>
      </c>
      <c r="W45" s="551" cm="1">
        <f t="array" ref="W45">_xlfn.ANCHORARRAY(W24) * $F$15</f>
        <v>260939.91619999998</v>
      </c>
      <c r="X45" s="551" cm="1">
        <f t="array" ref="X45">_xlfn.ANCHORARRAY(X24) * $F$15</f>
        <v>266639.12693999999</v>
      </c>
      <c r="Y45" s="551" cm="1">
        <f t="array" ref="Y45">_xlfn.ANCHORARRAY(Y24) * $F$15</f>
        <v>272340.61236000003</v>
      </c>
      <c r="Z45" s="551" cm="1">
        <f t="array" ref="Z45">_xlfn.ANCHORARRAY(Z24) * $F$15</f>
        <v>278039.82309999998</v>
      </c>
      <c r="AA45" s="551" cm="1">
        <f t="array" ref="AA45">_xlfn.ANCHORARRAY(AA24) * $F$15</f>
        <v>283741.30852000002</v>
      </c>
      <c r="AB45" s="551" cm="1">
        <f t="array" ref="AB45">_xlfn.ANCHORARRAY(AB24) * $F$15</f>
        <v>289440.51926000009</v>
      </c>
      <c r="AC45" s="551" cm="1">
        <f t="array" ref="AC45">_xlfn.ANCHORARRAY(AC24) * $F$15</f>
        <v>295139.73</v>
      </c>
      <c r="AD45" s="551" cm="1">
        <f t="array" ref="AD45">_xlfn.ANCHORARRAY(AD24) * $F$15</f>
        <v>300841.21542000002</v>
      </c>
      <c r="AE45" s="551" cm="1">
        <f t="array" ref="AE45">_xlfn.ANCHORARRAY(AE24) * $F$15</f>
        <v>306540.42616000003</v>
      </c>
      <c r="AF45" s="551" cm="1">
        <f t="array" ref="AF45">_xlfn.ANCHORARRAY(AF24) * $F$15</f>
        <v>312239.63689999992</v>
      </c>
      <c r="AG45" s="689" cm="1">
        <f t="array" ref="AG45">_xlfn.ANCHORARRAY(AG24) * $F$15</f>
        <v>317941.12232000002</v>
      </c>
      <c r="AH45" s="5"/>
      <c r="AI45" s="5"/>
      <c r="AJ45" s="5"/>
      <c r="AK45" s="5"/>
      <c r="AL45" s="5"/>
      <c r="AM45" s="5"/>
      <c r="AN45" s="5"/>
    </row>
    <row r="46" spans="2:40" ht="21.9" customHeight="1" x14ac:dyDescent="0.25">
      <c r="B46" s="679"/>
      <c r="C46" s="690"/>
      <c r="D46" s="694"/>
      <c r="E46" s="1325" t="s">
        <v>274</v>
      </c>
      <c r="F46" s="217" t="s">
        <v>275</v>
      </c>
      <c r="G46" s="217" t="s">
        <v>318</v>
      </c>
      <c r="H46" s="551" cm="1">
        <f t="array" ref="H46">_xlfn.ANCHORARRAY(H25) * $F$15</f>
        <v>1240299.2</v>
      </c>
      <c r="I46" s="551" cm="1">
        <f t="array" ref="I46">_xlfn.ANCHORARRAY(I25) * $F$15</f>
        <v>1375631.3464600001</v>
      </c>
      <c r="J46" s="551" cm="1">
        <f t="array" ref="J46">_xlfn.ANCHORARRAY(J25) * $F$15</f>
        <v>1518554.1240239998</v>
      </c>
      <c r="K46" s="551" cm="1">
        <f t="array" ref="K46">_xlfn.ANCHORARRAY(K25) * $F$15</f>
        <v>1960947.1434280002</v>
      </c>
      <c r="L46" s="551" cm="1">
        <f t="array" ref="L46">_xlfn.ANCHORARRAY(L25) * $F$15</f>
        <v>2403563.4166879999</v>
      </c>
      <c r="M46" s="551" cm="1">
        <f t="array" ref="M46">_xlfn.ANCHORARRAY(M25) * $F$15</f>
        <v>2846297.5183720002</v>
      </c>
      <c r="N46" s="551" cm="1">
        <f t="array" ref="N46">_xlfn.ANCHORARRAY(N25) * $F$15</f>
        <v>3288690.5377759999</v>
      </c>
      <c r="O46" s="551" cm="1">
        <f t="array" ref="O46">_xlfn.ANCHORARRAY(O25) * $F$15</f>
        <v>3731694.4045360005</v>
      </c>
      <c r="P46" s="551" cm="1">
        <f t="array" ref="P46">_xlfn.ANCHORARRAY(P25) * $F$15</f>
        <v>4326169.8110959996</v>
      </c>
      <c r="Q46" s="551" cm="1">
        <f t="array" ref="Q46">_xlfn.ANCHORARRAY(Q25) * $F$15</f>
        <v>4920908.7812359985</v>
      </c>
      <c r="R46" s="551" cm="1">
        <f t="array" ref="R46">_xlfn.ANCHORARRAY(R25) * $F$15</f>
        <v>5515384.1877960004</v>
      </c>
      <c r="S46" s="551" cm="1">
        <f t="array" ref="S46">_xlfn.ANCHORARRAY(S25) * $F$15</f>
        <v>6109859.5943560014</v>
      </c>
      <c r="T46" s="551" cm="1">
        <f t="array" ref="T46">_xlfn.ANCHORARRAY(T25) * $F$15</f>
        <v>6705110.1879160013</v>
      </c>
      <c r="U46" s="551" cm="1">
        <f t="array" ref="U46">_xlfn.ANCHORARRAY(U25) * $F$15</f>
        <v>6999727.7591359988</v>
      </c>
      <c r="V46" s="551" cm="1">
        <f t="array" ref="V46">_xlfn.ANCHORARRAY(V25) * $F$15</f>
        <v>7135059.9055960001</v>
      </c>
      <c r="W46" s="551" cm="1">
        <f t="array" ref="W46">_xlfn.ANCHORARRAY(W25) * $F$15</f>
        <v>7270392.0520560006</v>
      </c>
      <c r="X46" s="551" cm="1">
        <f t="array" ref="X46">_xlfn.ANCHORARRAY(X25) * $F$15</f>
        <v>7405724.198516001</v>
      </c>
      <c r="Y46" s="551" cm="1">
        <f t="array" ref="Y46">_xlfn.ANCHORARRAY(Y25) * $F$15</f>
        <v>7541273.3973359996</v>
      </c>
      <c r="Z46" s="551" cm="1">
        <f t="array" ref="Z46">_xlfn.ANCHORARRAY(Z25) * $F$15</f>
        <v>7676605.5437959991</v>
      </c>
      <c r="AA46" s="551" cm="1">
        <f t="array" ref="AA46">_xlfn.ANCHORARRAY(AA25) * $F$15</f>
        <v>7812154.7426159997</v>
      </c>
      <c r="AB46" s="551" cm="1">
        <f t="array" ref="AB46">_xlfn.ANCHORARRAY(AB25) * $F$15</f>
        <v>7947486.889076001</v>
      </c>
      <c r="AC46" s="551" cm="1">
        <f t="array" ref="AC46">_xlfn.ANCHORARRAY(AC25) * $F$15</f>
        <v>8082819.0355360005</v>
      </c>
      <c r="AD46" s="551" cm="1">
        <f t="array" ref="AD46">_xlfn.ANCHORARRAY(AD25) * $F$15</f>
        <v>8218368.234356002</v>
      </c>
      <c r="AE46" s="551" cm="1">
        <f t="array" ref="AE46">_xlfn.ANCHORARRAY(AE25) * $F$15</f>
        <v>8353700.3808160005</v>
      </c>
      <c r="AF46" s="551" cm="1">
        <f t="array" ref="AF46">_xlfn.ANCHORARRAY(AF25) * $F$15</f>
        <v>8489032.5272759981</v>
      </c>
      <c r="AG46" s="689" cm="1">
        <f t="array" ref="AG46">_xlfn.ANCHORARRAY(AG25) * $F$15</f>
        <v>8624581.7260960005</v>
      </c>
      <c r="AH46" s="5"/>
      <c r="AI46" s="5"/>
      <c r="AJ46" s="5"/>
      <c r="AK46" s="5"/>
      <c r="AL46" s="5"/>
      <c r="AM46" s="5"/>
      <c r="AN46" s="5"/>
    </row>
    <row r="47" spans="2:40" ht="21.9" customHeight="1" x14ac:dyDescent="0.25">
      <c r="B47" s="679"/>
      <c r="C47" s="690"/>
      <c r="D47" s="694"/>
      <c r="E47" s="1327"/>
      <c r="F47" s="114" t="s">
        <v>318</v>
      </c>
      <c r="G47" s="114" t="s">
        <v>308</v>
      </c>
      <c r="H47" s="551" cm="1">
        <f t="array" ref="H47">_xlfn.ANCHORARRAY(H26) * $F$15</f>
        <v>143664</v>
      </c>
      <c r="I47" s="551" cm="1">
        <f t="array" ref="I47">_xlfn.ANCHORARRAY(I26) * $F$15</f>
        <v>162754.55120000002</v>
      </c>
      <c r="J47" s="551" cm="1">
        <f t="array" ref="J47">_xlfn.ANCHORARRAY(J26) * $F$15</f>
        <v>181857.07440000001</v>
      </c>
      <c r="K47" s="551" cm="1">
        <f t="array" ref="K47">_xlfn.ANCHORARRAY(K26) * $F$15</f>
        <v>246489.11360000004</v>
      </c>
      <c r="L47" s="551" cm="1">
        <f t="array" ref="L47">_xlfn.ANCHORARRAY(L26) * $F$15</f>
        <v>311134.32199999999</v>
      </c>
      <c r="M47" s="551" cm="1">
        <f t="array" ref="M47">_xlfn.ANCHORARRAY(M26) * $F$15</f>
        <v>375838.19320000004</v>
      </c>
      <c r="N47" s="551" cm="1">
        <f t="array" ref="N47">_xlfn.ANCHORARRAY(N26) * $F$15</f>
        <v>440470.23240000004</v>
      </c>
      <c r="O47" s="551" cm="1">
        <f t="array" ref="O47">_xlfn.ANCHORARRAY(O26) * $F$15</f>
        <v>505163.32880000008</v>
      </c>
      <c r="P47" s="551" cm="1">
        <f t="array" ref="P47">_xlfn.ANCHORARRAY(P26) * $F$15</f>
        <v>604496.21000000008</v>
      </c>
      <c r="Q47" s="551" cm="1">
        <f t="array" ref="Q47">_xlfn.ANCHORARRAY(Q26) * $F$15</f>
        <v>703818.31640000013</v>
      </c>
      <c r="R47" s="551" cm="1">
        <f t="array" ref="R47">_xlfn.ANCHORARRAY(R26) * $F$15</f>
        <v>803150.00040000014</v>
      </c>
      <c r="S47" s="551" cm="1">
        <f t="array" ref="S47">_xlfn.ANCHORARRAY(S26) * $F$15</f>
        <v>902482.88159999996</v>
      </c>
      <c r="T47" s="551" cm="1">
        <f t="array" ref="T47">_xlfn.ANCHORARRAY(T26) * $F$15</f>
        <v>1001912.7360000001</v>
      </c>
      <c r="U47" s="551" cm="1">
        <f t="array" ref="U47">_xlfn.ANCHORARRAY(U26) * $F$15</f>
        <v>1055667.0160000003</v>
      </c>
      <c r="V47" s="551" cm="1">
        <f t="array" ref="V47">_xlfn.ANCHORARRAY(V26) * $F$15</f>
        <v>1074757.5671999999</v>
      </c>
      <c r="W47" s="551" cm="1">
        <f t="array" ref="W47">_xlfn.ANCHORARRAY(W26) * $F$15</f>
        <v>1093848.1184</v>
      </c>
      <c r="X47" s="551" cm="1">
        <f t="array" ref="X47">_xlfn.ANCHORARRAY(X26) * $F$15</f>
        <v>1112938.6696000004</v>
      </c>
      <c r="Y47" s="551" cm="1">
        <f t="array" ref="Y47">_xlfn.ANCHORARRAY(Y26) * $F$15</f>
        <v>1132041.1928000003</v>
      </c>
      <c r="Z47" s="551" cm="1">
        <f t="array" ref="Z47">_xlfn.ANCHORARRAY(Z26) * $F$15</f>
        <v>1151131.7440000002</v>
      </c>
      <c r="AA47" s="551" cm="1">
        <f t="array" ref="AA47">_xlfn.ANCHORARRAY(AA26) * $F$15</f>
        <v>1170234.2672000001</v>
      </c>
      <c r="AB47" s="551" cm="1">
        <f t="array" ref="AB47">_xlfn.ANCHORARRAY(AB26) * $F$15</f>
        <v>1189324.8184</v>
      </c>
      <c r="AC47" s="551" cm="1">
        <f t="array" ref="AC47">_xlfn.ANCHORARRAY(AC26) * $F$15</f>
        <v>1208415.3696000001</v>
      </c>
      <c r="AD47" s="551" cm="1">
        <f t="array" ref="AD47">_xlfn.ANCHORARRAY(AD26) * $F$15</f>
        <v>1227517.8928000003</v>
      </c>
      <c r="AE47" s="551" cm="1">
        <f t="array" ref="AE47">_xlfn.ANCHORARRAY(AE26) * $F$15</f>
        <v>1246608.4440000001</v>
      </c>
      <c r="AF47" s="551" cm="1">
        <f t="array" ref="AF47">_xlfn.ANCHORARRAY(AF26) * $F$15</f>
        <v>1265698.9952</v>
      </c>
      <c r="AG47" s="689" cm="1">
        <f t="array" ref="AG47">_xlfn.ANCHORARRAY(AG26) * $F$15</f>
        <v>1284801.5183999999</v>
      </c>
      <c r="AH47" s="5"/>
      <c r="AI47" s="5"/>
      <c r="AJ47" s="5"/>
      <c r="AK47" s="5"/>
      <c r="AL47" s="5"/>
      <c r="AM47" s="5"/>
      <c r="AN47" s="5"/>
    </row>
    <row r="48" spans="2:40" ht="21.9" customHeight="1" x14ac:dyDescent="0.25">
      <c r="B48" s="679"/>
      <c r="C48" s="690"/>
      <c r="D48" s="694"/>
      <c r="E48" s="1339"/>
      <c r="F48" s="250" t="s">
        <v>308</v>
      </c>
      <c r="G48" s="250" t="s">
        <v>319</v>
      </c>
      <c r="H48" s="551" cm="1">
        <f t="array" ref="H48">_xlfn.ANCHORARRAY(H27) * $F$15</f>
        <v>1925097.6</v>
      </c>
      <c r="I48" s="551" cm="1">
        <f t="array" ref="I48">_xlfn.ANCHORARRAY(I27) * $F$15</f>
        <v>1996496.2614880004</v>
      </c>
      <c r="J48" s="551" cm="1">
        <f t="array" ref="J48">_xlfn.ANCHORARRAY(J27) * $F$15</f>
        <v>2067939.8419199996</v>
      </c>
      <c r="K48" s="551" cm="1">
        <f t="array" ref="K48">_xlfn.ANCHORARRAY(K27) * $F$15</f>
        <v>2206684.8344480004</v>
      </c>
      <c r="L48" s="551" cm="1">
        <f t="array" ref="L48">_xlfn.ANCHORARRAY(L27) * $F$15</f>
        <v>2345510.0393760004</v>
      </c>
      <c r="M48" s="551" cm="1">
        <f t="array" ref="M48">_xlfn.ANCHORARRAY(M27) * $F$15</f>
        <v>2484299.9508480006</v>
      </c>
      <c r="N48" s="551" cm="1">
        <f t="array" ref="N48">_xlfn.ANCHORARRAY(N27) * $F$15</f>
        <v>2623044.9433760005</v>
      </c>
      <c r="O48" s="551" cm="1">
        <f t="array" ref="O48">_xlfn.ANCHORARRAY(O27) * $F$15</f>
        <v>2761937.5267200009</v>
      </c>
      <c r="P48" s="551" cm="1">
        <f t="array" ref="P48">_xlfn.ANCHORARRAY(P27) * $F$15</f>
        <v>2954681.5069280006</v>
      </c>
      <c r="Q48" s="551" cm="1">
        <f t="array" ref="Q48">_xlfn.ANCHORARRAY(Q27) * $F$15</f>
        <v>3147528.1590080005</v>
      </c>
      <c r="R48" s="551" cm="1">
        <f t="array" ref="R48">_xlfn.ANCHORARRAY(R27) * $F$15</f>
        <v>3340236.8457599999</v>
      </c>
      <c r="S48" s="551" cm="1">
        <f t="array" ref="S48">_xlfn.ANCHORARRAY(S27) * $F$15</f>
        <v>3532980.825968001</v>
      </c>
      <c r="T48" s="551" cm="1">
        <f t="array" ref="T48">_xlfn.ANCHORARRAY(T27) * $F$15</f>
        <v>3725894.8564640009</v>
      </c>
      <c r="U48" s="551" cm="1">
        <f t="array" ref="U48">_xlfn.ANCHORARRAY(U27) * $F$15</f>
        <v>3851234.7527039996</v>
      </c>
      <c r="V48" s="551" cm="1">
        <f t="array" ref="V48">_xlfn.ANCHORARRAY(V27) * $F$15</f>
        <v>3922633.4141920013</v>
      </c>
      <c r="W48" s="551" cm="1">
        <f t="array" ref="W48">_xlfn.ANCHORARRAY(W27) * $F$15</f>
        <v>3994032.0756800002</v>
      </c>
      <c r="X48" s="551" cm="1">
        <f t="array" ref="X48">_xlfn.ANCHORARRAY(X27) * $F$15</f>
        <v>4065430.7371680005</v>
      </c>
      <c r="Y48" s="551" cm="1">
        <f t="array" ref="Y48">_xlfn.ANCHORARRAY(Y27) * $F$15</f>
        <v>4136874.3176000011</v>
      </c>
      <c r="Z48" s="551" cm="1">
        <f t="array" ref="Z48">_xlfn.ANCHORARRAY(Z27) * $F$15</f>
        <v>4208272.979088</v>
      </c>
      <c r="AA48" s="551" cm="1">
        <f t="array" ref="AA48">_xlfn.ANCHORARRAY(AA27) * $F$15</f>
        <v>4279716.5595200006</v>
      </c>
      <c r="AB48" s="551" cm="1">
        <f t="array" ref="AB48">_xlfn.ANCHORARRAY(AB27) * $F$15</f>
        <v>4351115.221008</v>
      </c>
      <c r="AC48" s="551" cm="1">
        <f t="array" ref="AC48">_xlfn.ANCHORARRAY(AC27) * $F$15</f>
        <v>4422513.8824960003</v>
      </c>
      <c r="AD48" s="551" cm="1">
        <f t="array" ref="AD48">_xlfn.ANCHORARRAY(AD27) * $F$15</f>
        <v>4493957.4629280008</v>
      </c>
      <c r="AE48" s="551" cm="1">
        <f t="array" ref="AE48">_xlfn.ANCHORARRAY(AE27) * $F$15</f>
        <v>4565356.1244160011</v>
      </c>
      <c r="AF48" s="551" cm="1">
        <f t="array" ref="AF48">_xlfn.ANCHORARRAY(AF27) * $F$15</f>
        <v>4636754.7859040014</v>
      </c>
      <c r="AG48" s="689" cm="1">
        <f t="array" ref="AG48">_xlfn.ANCHORARRAY(AG27) * $F$15</f>
        <v>4708198.3663360011</v>
      </c>
      <c r="AH48" s="5"/>
      <c r="AI48" s="5"/>
      <c r="AJ48" s="5"/>
      <c r="AK48" s="5"/>
      <c r="AL48" s="5"/>
      <c r="AM48" s="5"/>
      <c r="AN48" s="5"/>
    </row>
    <row r="49" spans="1:40" ht="21.9" customHeight="1" x14ac:dyDescent="0.25">
      <c r="B49" s="679"/>
      <c r="C49" s="690"/>
      <c r="D49" s="694"/>
      <c r="E49" s="114" t="s">
        <v>320</v>
      </c>
      <c r="F49" s="114" t="s">
        <v>318</v>
      </c>
      <c r="G49" s="114" t="s">
        <v>308</v>
      </c>
      <c r="H49" s="551" cm="1">
        <f t="array" ref="H49">_xlfn.ANCHORARRAY(H28) * $F$15</f>
        <v>5626.84</v>
      </c>
      <c r="I49" s="551" cm="1">
        <f t="array" ref="I49">_xlfn.ANCHORARRAY(I28) * $F$15</f>
        <v>9109.8539600000004</v>
      </c>
      <c r="J49" s="551" cm="1">
        <f t="array" ref="J49">_xlfn.ANCHORARRAY(J28) * $F$15</f>
        <v>25990.373959999997</v>
      </c>
      <c r="K49" s="551" cm="1">
        <f t="array" ref="K49">_xlfn.ANCHORARRAY(K28) * $F$15</f>
        <v>54951.719440000008</v>
      </c>
      <c r="L49" s="551" cm="1">
        <f t="array" ref="L49">_xlfn.ANCHORARRAY(L28) * $F$15</f>
        <v>83935.572280000008</v>
      </c>
      <c r="M49" s="551" cm="1">
        <f t="array" ref="M49">_xlfn.ANCHORARRAY(M28) * $F$15</f>
        <v>112908.17144000002</v>
      </c>
      <c r="N49" s="551" cm="1">
        <f t="array" ref="N49">_xlfn.ANCHORARRAY(N28) * $F$15</f>
        <v>141869.51692000002</v>
      </c>
      <c r="O49" s="551" cm="1">
        <f t="array" ref="O49">_xlfn.ANCHORARRAY(O28) * $F$15</f>
        <v>170875.87711999999</v>
      </c>
      <c r="P49" s="551" cm="1">
        <f t="array" ref="P49">_xlfn.ANCHORARRAY(P28) * $F$15</f>
        <v>186456.59708000001</v>
      </c>
      <c r="Q49" s="551" cm="1">
        <f t="array" ref="Q49">_xlfn.ANCHORARRAY(Q28) * $F$15</f>
        <v>202059.82439999998</v>
      </c>
      <c r="R49" s="551" cm="1">
        <f t="array" ref="R49">_xlfn.ANCHORARRAY(R28) * $F$15</f>
        <v>217646.17120000001</v>
      </c>
      <c r="S49" s="551" cm="1">
        <f t="array" ref="S49">_xlfn.ANCHORARRAY(S28) * $F$15</f>
        <v>233226.89116000003</v>
      </c>
      <c r="T49" s="551" cm="1">
        <f t="array" ref="T49">_xlfn.ANCHORARRAY(T28) * $F$15</f>
        <v>248846.99900000001</v>
      </c>
      <c r="U49" s="551" cm="1">
        <f t="array" ref="U49">_xlfn.ANCHORARRAY(U28) * $F$15</f>
        <v>252330.01295999999</v>
      </c>
      <c r="V49" s="551" cm="1">
        <f t="array" ref="V49">_xlfn.ANCHORARRAY(V28) * $F$15</f>
        <v>255813.02692000006</v>
      </c>
      <c r="W49" s="551" cm="1">
        <f t="array" ref="W49">_xlfn.ANCHORARRAY(W28) * $F$15</f>
        <v>259296.04087999999</v>
      </c>
      <c r="X49" s="551" cm="1">
        <f t="array" ref="X49">_xlfn.ANCHORARRAY(X28) * $F$15</f>
        <v>262779.05484</v>
      </c>
      <c r="Y49" s="551" cm="1">
        <f t="array" ref="Y49">_xlfn.ANCHORARRAY(Y28) * $F$15</f>
        <v>266278.94932000001</v>
      </c>
      <c r="Z49" s="551" cm="1">
        <f t="array" ref="Z49">_xlfn.ANCHORARRAY(Z28) * $F$15</f>
        <v>269761.96328000003</v>
      </c>
      <c r="AA49" s="551" cm="1">
        <f t="array" ref="AA49">_xlfn.ANCHORARRAY(AA28) * $F$15</f>
        <v>273261.85776000004</v>
      </c>
      <c r="AB49" s="551" cm="1">
        <f t="array" ref="AB49">_xlfn.ANCHORARRAY(AB28) * $F$15</f>
        <v>276744.87172</v>
      </c>
      <c r="AC49" s="551" cm="1">
        <f t="array" ref="AC49">_xlfn.ANCHORARRAY(AC28) * $F$15</f>
        <v>280227.88568000001</v>
      </c>
      <c r="AD49" s="551" cm="1">
        <f t="array" ref="AD49">_xlfn.ANCHORARRAY(AD28) * $F$15</f>
        <v>283727.78016000002</v>
      </c>
      <c r="AE49" s="551" cm="1">
        <f t="array" ref="AE49">_xlfn.ANCHORARRAY(AE28) * $F$15</f>
        <v>287210.79411999998</v>
      </c>
      <c r="AF49" s="551" cm="1">
        <f t="array" ref="AF49">_xlfn.ANCHORARRAY(AF28) * $F$15</f>
        <v>290693.80807999999</v>
      </c>
      <c r="AG49" s="689" cm="1">
        <f t="array" ref="AG49">_xlfn.ANCHORARRAY(AG28) * $F$15</f>
        <v>294193.70256000001</v>
      </c>
      <c r="AH49" s="5"/>
      <c r="AI49" s="5"/>
      <c r="AJ49" s="5"/>
      <c r="AK49" s="5"/>
      <c r="AL49" s="5"/>
      <c r="AM49" s="5"/>
      <c r="AN49" s="5"/>
    </row>
    <row r="50" spans="1:40" ht="21.9" customHeight="1" x14ac:dyDescent="0.25">
      <c r="B50" s="679"/>
      <c r="C50" s="690"/>
      <c r="D50" s="694"/>
      <c r="E50" s="1325" t="s">
        <v>308</v>
      </c>
      <c r="F50" s="217" t="s">
        <v>276</v>
      </c>
      <c r="G50" s="217" t="s">
        <v>320</v>
      </c>
      <c r="H50" s="551" cm="1">
        <f t="array" ref="H50">_xlfn.ANCHORARRAY(H29) * $F$15</f>
        <v>16162.2</v>
      </c>
      <c r="I50" s="551" cm="1">
        <f t="array" ref="I50">_xlfn.ANCHORARRAY(I29) * $F$15</f>
        <v>16162.2</v>
      </c>
      <c r="J50" s="551" cm="1">
        <f t="array" ref="J50">_xlfn.ANCHORARRAY(J29) * $F$15</f>
        <v>189113.90220000004</v>
      </c>
      <c r="K50" s="551" cm="1">
        <f t="array" ref="K50">_xlfn.ANCHORARRAY(K29) * $F$15</f>
        <v>362065.60440000013</v>
      </c>
      <c r="L50" s="551" cm="1">
        <f t="array" ref="L50">_xlfn.ANCHORARRAY(L29) * $F$15</f>
        <v>535162.76640000008</v>
      </c>
      <c r="M50" s="551" cm="1">
        <f t="array" ref="M50">_xlfn.ANCHORARRAY(M29) * $F$15</f>
        <v>708114.46860000014</v>
      </c>
      <c r="N50" s="551" cm="1">
        <f t="array" ref="N50">_xlfn.ANCHORARRAY(N29) * $F$15</f>
        <v>881066.1708000002</v>
      </c>
      <c r="O50" s="551" cm="1">
        <f t="array" ref="O50">_xlfn.ANCHORARRAY(O29) * $F$15</f>
        <v>1054163.3328</v>
      </c>
      <c r="P50" s="551" cm="1">
        <f t="array" ref="P50">_xlfn.ANCHORARRAY(P29) * $F$15</f>
        <v>1054163.3328</v>
      </c>
      <c r="Q50" s="551" cm="1">
        <f t="array" ref="Q50">_xlfn.ANCHORARRAY(Q29) * $F$15</f>
        <v>1054163.3328</v>
      </c>
      <c r="R50" s="551" cm="1">
        <f t="array" ref="R50">_xlfn.ANCHORARRAY(R29) * $F$15</f>
        <v>1054163.3328</v>
      </c>
      <c r="S50" s="551" cm="1">
        <f t="array" ref="S50">_xlfn.ANCHORARRAY(S29) * $F$15</f>
        <v>1054163.3328</v>
      </c>
      <c r="T50" s="551" cm="1">
        <f t="array" ref="T50">_xlfn.ANCHORARRAY(T29) * $F$15</f>
        <v>1054163.3328</v>
      </c>
      <c r="U50" s="551" cm="1">
        <f t="array" ref="U50">_xlfn.ANCHORARRAY(U29) * $F$15</f>
        <v>1054163.3328</v>
      </c>
      <c r="V50" s="551" cm="1">
        <f t="array" ref="V50">_xlfn.ANCHORARRAY(V29) * $F$15</f>
        <v>1054163.3328</v>
      </c>
      <c r="W50" s="551" cm="1">
        <f t="array" ref="W50">_xlfn.ANCHORARRAY(W29) * $F$15</f>
        <v>1054163.3328</v>
      </c>
      <c r="X50" s="551" cm="1">
        <f t="array" ref="X50">_xlfn.ANCHORARRAY(X29) * $F$15</f>
        <v>1054163.3328</v>
      </c>
      <c r="Y50" s="551" cm="1">
        <f t="array" ref="Y50">_xlfn.ANCHORARRAY(Y29) * $F$15</f>
        <v>1054163.3328</v>
      </c>
      <c r="Z50" s="551" cm="1">
        <f t="array" ref="Z50">_xlfn.ANCHORARRAY(Z29) * $F$15</f>
        <v>1054163.3328</v>
      </c>
      <c r="AA50" s="551" cm="1">
        <f t="array" ref="AA50">_xlfn.ANCHORARRAY(AA29) * $F$15</f>
        <v>1054163.3328</v>
      </c>
      <c r="AB50" s="551" cm="1">
        <f t="array" ref="AB50">_xlfn.ANCHORARRAY(AB29) * $F$15</f>
        <v>1054163.3328</v>
      </c>
      <c r="AC50" s="551" cm="1">
        <f t="array" ref="AC50">_xlfn.ANCHORARRAY(AC29) * $F$15</f>
        <v>1054163.3328</v>
      </c>
      <c r="AD50" s="551" cm="1">
        <f t="array" ref="AD50">_xlfn.ANCHORARRAY(AD29) * $F$15</f>
        <v>1054163.3328</v>
      </c>
      <c r="AE50" s="551" cm="1">
        <f t="array" ref="AE50">_xlfn.ANCHORARRAY(AE29) * $F$15</f>
        <v>1054163.3328</v>
      </c>
      <c r="AF50" s="551" cm="1">
        <f t="array" ref="AF50">_xlfn.ANCHORARRAY(AF29) * $F$15</f>
        <v>1054163.3328</v>
      </c>
      <c r="AG50" s="689" cm="1">
        <f t="array" ref="AG50">_xlfn.ANCHORARRAY(AG29) * $F$15</f>
        <v>1054163.3328</v>
      </c>
      <c r="AH50" s="5"/>
      <c r="AI50" s="5"/>
      <c r="AJ50" s="5"/>
      <c r="AK50" s="5"/>
      <c r="AL50" s="5"/>
      <c r="AM50" s="5"/>
      <c r="AN50" s="5"/>
    </row>
    <row r="51" spans="1:40" ht="21.9" customHeight="1" x14ac:dyDescent="0.25">
      <c r="B51" s="679"/>
      <c r="C51" s="690"/>
      <c r="D51" s="694"/>
      <c r="E51" s="1327"/>
      <c r="F51" s="114" t="s">
        <v>320</v>
      </c>
      <c r="G51" s="114" t="s">
        <v>282</v>
      </c>
      <c r="H51" s="551" cm="1">
        <f t="array" ref="H51">_xlfn.ANCHORARRAY(H30) * $F$15</f>
        <v>7374.7520000000013</v>
      </c>
      <c r="I51" s="551" cm="1">
        <f t="array" ref="I51">_xlfn.ANCHORARRAY(I30) * $F$15</f>
        <v>14012.028800000002</v>
      </c>
      <c r="J51" s="551" cm="1">
        <f t="array" ref="J51">_xlfn.ANCHORARRAY(J30) * $F$15</f>
        <v>20649.305600000003</v>
      </c>
      <c r="K51" s="551" cm="1">
        <f t="array" ref="K51">_xlfn.ANCHORARRAY(K30) * $F$15</f>
        <v>44918.944000000003</v>
      </c>
      <c r="L51" s="551" cm="1">
        <f t="array" ref="L51">_xlfn.ANCHORARRAY(L30) * $F$15</f>
        <v>69155.060800000007</v>
      </c>
      <c r="M51" s="551" cm="1">
        <f t="array" ref="M51">_xlfn.ANCHORARRAY(M30) * $F$15</f>
        <v>93458.22080000001</v>
      </c>
      <c r="N51" s="551" cm="1">
        <f t="array" ref="N51">_xlfn.ANCHORARRAY(N30) * $F$15</f>
        <v>117727.85920000001</v>
      </c>
      <c r="O51" s="551" cm="1">
        <f t="array" ref="O51">_xlfn.ANCHORARRAY(O30) * $F$15</f>
        <v>141997.49760000003</v>
      </c>
      <c r="P51" s="551" cm="1">
        <f t="array" ref="P51">_xlfn.ANCHORARRAY(P30) * $F$15</f>
        <v>184201.19200000001</v>
      </c>
      <c r="Q51" s="551" cm="1">
        <f t="array" ref="Q51">_xlfn.ANCHORARRAY(Q30) * $F$15</f>
        <v>226371.36480000004</v>
      </c>
      <c r="R51" s="551" cm="1">
        <f t="array" ref="R51">_xlfn.ANCHORARRAY(R30) * $F$15</f>
        <v>268541.53760000004</v>
      </c>
      <c r="S51" s="551" cm="1">
        <f t="array" ref="S51">_xlfn.ANCHORARRAY(S30) * $F$15</f>
        <v>310745.23200000008</v>
      </c>
      <c r="T51" s="551" cm="1">
        <f t="array" ref="T51">_xlfn.ANCHORARRAY(T30) * $F$15</f>
        <v>352948.92640000005</v>
      </c>
      <c r="U51" s="551" cm="1">
        <f t="array" ref="U51">_xlfn.ANCHORARRAY(U30) * $F$15</f>
        <v>377520.25920000009</v>
      </c>
      <c r="V51" s="551" cm="1">
        <f t="array" ref="V51">_xlfn.ANCHORARRAY(V30) * $F$15</f>
        <v>384124.01440000004</v>
      </c>
      <c r="W51" s="551" cm="1">
        <f t="array" ref="W51">_xlfn.ANCHORARRAY(W30) * $F$15</f>
        <v>390761.29120000004</v>
      </c>
      <c r="X51" s="551" cm="1">
        <f t="array" ref="X51">_xlfn.ANCHORARRAY(X30) * $F$15</f>
        <v>397398.56800000003</v>
      </c>
      <c r="Y51" s="551" cm="1">
        <f t="array" ref="Y51">_xlfn.ANCHORARRAY(Y30) * $F$15</f>
        <v>404035.84480000002</v>
      </c>
      <c r="Z51" s="551" cm="1">
        <f t="array" ref="Z51">_xlfn.ANCHORARRAY(Z30) * $F$15</f>
        <v>410673.12160000007</v>
      </c>
      <c r="AA51" s="551" cm="1">
        <f t="array" ref="AA51">_xlfn.ANCHORARRAY(AA30) * $F$15</f>
        <v>417310.39840000001</v>
      </c>
      <c r="AB51" s="551" cm="1">
        <f t="array" ref="AB51">_xlfn.ANCHORARRAY(AB30) * $F$15</f>
        <v>423947.67520000006</v>
      </c>
      <c r="AC51" s="551" cm="1">
        <f t="array" ref="AC51">_xlfn.ANCHORARRAY(AC30) * $F$15</f>
        <v>430584.95200000011</v>
      </c>
      <c r="AD51" s="551" cm="1">
        <f t="array" ref="AD51">_xlfn.ANCHORARRAY(AD30) * $F$15</f>
        <v>437188.70720000006</v>
      </c>
      <c r="AE51" s="551" cm="1">
        <f t="array" ref="AE51">_xlfn.ANCHORARRAY(AE30) * $F$15</f>
        <v>443825.98400000011</v>
      </c>
      <c r="AF51" s="551" cm="1">
        <f t="array" ref="AF51">_xlfn.ANCHORARRAY(AF30) * $F$15</f>
        <v>450463.26080000005</v>
      </c>
      <c r="AG51" s="689" cm="1">
        <f t="array" ref="AG51">_xlfn.ANCHORARRAY(AG30) * $F$15</f>
        <v>457100.5376000001</v>
      </c>
      <c r="AH51" s="5"/>
      <c r="AI51" s="5"/>
      <c r="AJ51" s="5"/>
      <c r="AK51" s="5"/>
      <c r="AL51" s="5"/>
      <c r="AM51" s="5"/>
      <c r="AN51" s="5"/>
    </row>
    <row r="52" spans="1:40" ht="21.9" customHeight="1" x14ac:dyDescent="0.25">
      <c r="B52" s="679"/>
      <c r="C52" s="690"/>
      <c r="D52" s="694"/>
      <c r="E52" s="1327"/>
      <c r="F52" s="114" t="s">
        <v>282</v>
      </c>
      <c r="G52" s="114" t="s">
        <v>321</v>
      </c>
      <c r="H52" s="551" cm="1">
        <f t="array" ref="H52">_xlfn.ANCHORARRAY(H31) * $F$15</f>
        <v>26218.68</v>
      </c>
      <c r="I52" s="551" cm="1">
        <f t="array" ref="I52">_xlfn.ANCHORARRAY(I31) * $F$15</f>
        <v>49804.130572000002</v>
      </c>
      <c r="J52" s="551" cm="1">
        <f t="array" ref="J52">_xlfn.ANCHORARRAY(J31) * $F$15</f>
        <v>73381.715540000019</v>
      </c>
      <c r="K52" s="551" cm="1">
        <f t="array" ref="K52">_xlfn.ANCHORARRAY(K31) * $F$15</f>
        <v>159638.55087199999</v>
      </c>
      <c r="L52" s="551" cm="1">
        <f t="array" ref="L52">_xlfn.ANCHORARRAY(L31) * $F$15</f>
        <v>245898.88202800002</v>
      </c>
      <c r="M52" s="551" cm="1">
        <f t="array" ref="M52">_xlfn.ANCHORARRAY(M31) * $F$15</f>
        <v>332269.33164000005</v>
      </c>
      <c r="N52" s="551" cm="1">
        <f t="array" ref="N52">_xlfn.ANCHORARRAY(N31) * $F$15</f>
        <v>418526.16697199998</v>
      </c>
      <c r="O52" s="551" cm="1">
        <f t="array" ref="O52">_xlfn.ANCHORARRAY(O31) * $F$15</f>
        <v>504835.43966400006</v>
      </c>
      <c r="P52" s="551" cm="1">
        <f t="array" ref="P52">_xlfn.ANCHORARRAY(P31) * $F$15</f>
        <v>654829.88607600005</v>
      </c>
      <c r="Q52" s="551" cm="1">
        <f t="array" ref="Q52">_xlfn.ANCHORARRAY(Q31) * $F$15</f>
        <v>804763.15556800016</v>
      </c>
      <c r="R52" s="551" cm="1">
        <f t="array" ref="R52">_xlfn.ANCHORARRAY(R31) * $F$15</f>
        <v>954746.24055199977</v>
      </c>
      <c r="S52" s="551" cm="1">
        <f t="array" ref="S52">_xlfn.ANCHORARRAY(S31) * $F$15</f>
        <v>1104740.6869640001</v>
      </c>
      <c r="T52" s="551" cm="1">
        <f t="array" ref="T52">_xlfn.ANCHORARRAY(T31) * $F$15</f>
        <v>1254844.377876</v>
      </c>
      <c r="U52" s="551" cm="1">
        <f t="array" ref="U52">_xlfn.ANCHORARRAY(U31) * $F$15</f>
        <v>1342099.2709599999</v>
      </c>
      <c r="V52" s="551" cm="1">
        <f t="array" ref="V52">_xlfn.ANCHORARRAY(V31) * $F$15</f>
        <v>1365684.721532</v>
      </c>
      <c r="W52" s="551" cm="1">
        <f t="array" ref="W52">_xlfn.ANCHORARRAY(W31) * $F$15</f>
        <v>1389270.1721039999</v>
      </c>
      <c r="X52" s="551" cm="1">
        <f t="array" ref="X52">_xlfn.ANCHORARRAY(X31) * $F$15</f>
        <v>1412855.6226759998</v>
      </c>
      <c r="Y52" s="551" cm="1">
        <f t="array" ref="Y52">_xlfn.ANCHORARRAY(Y31) * $F$15</f>
        <v>1436433.2076439997</v>
      </c>
      <c r="Z52" s="551" cm="1">
        <f t="array" ref="Z52">_xlfn.ANCHORARRAY(Z31) * $F$15</f>
        <v>1460018.6582160001</v>
      </c>
      <c r="AA52" s="551" cm="1">
        <f t="array" ref="AA52">_xlfn.ANCHORARRAY(AA31) * $F$15</f>
        <v>1483596.243184</v>
      </c>
      <c r="AB52" s="551" cm="1">
        <f t="array" ref="AB52">_xlfn.ANCHORARRAY(AB31) * $F$15</f>
        <v>1507181.6937559999</v>
      </c>
      <c r="AC52" s="551" cm="1">
        <f t="array" ref="AC52">_xlfn.ANCHORARRAY(AC31) * $F$15</f>
        <v>1530767.144328</v>
      </c>
      <c r="AD52" s="551" cm="1">
        <f t="array" ref="AD52">_xlfn.ANCHORARRAY(AD31) * $F$15</f>
        <v>1554344.7292960002</v>
      </c>
      <c r="AE52" s="551" cm="1">
        <f t="array" ref="AE52">_xlfn.ANCHORARRAY(AE31) * $F$15</f>
        <v>1577930.1798680003</v>
      </c>
      <c r="AF52" s="551" cm="1">
        <f t="array" ref="AF52">_xlfn.ANCHORARRAY(AF31) * $F$15</f>
        <v>1601515.6304400002</v>
      </c>
      <c r="AG52" s="689" cm="1">
        <f t="array" ref="AG52">_xlfn.ANCHORARRAY(AG31) * $F$15</f>
        <v>1625093.2154079999</v>
      </c>
      <c r="AH52" s="5"/>
      <c r="AI52" s="5"/>
      <c r="AJ52" s="5"/>
      <c r="AK52" s="5"/>
      <c r="AL52" s="5"/>
      <c r="AM52" s="5"/>
      <c r="AN52" s="5"/>
    </row>
    <row r="53" spans="1:40" ht="21.9" customHeight="1" x14ac:dyDescent="0.25">
      <c r="B53" s="679"/>
      <c r="C53" s="690"/>
      <c r="D53" s="694"/>
      <c r="E53" s="1339"/>
      <c r="F53" s="250" t="s">
        <v>321</v>
      </c>
      <c r="G53" s="250" t="s">
        <v>274</v>
      </c>
      <c r="H53" s="551" cm="1">
        <f t="array" ref="H53">_xlfn.ANCHORARRAY(H32) * $F$15</f>
        <v>37711.800000000003</v>
      </c>
      <c r="I53" s="551" cm="1">
        <f t="array" ref="I53">_xlfn.ANCHORARRAY(I32) * $F$15</f>
        <v>71636.078219999996</v>
      </c>
      <c r="J53" s="551" cm="1">
        <f t="array" ref="J53">_xlfn.ANCHORARRAY(J32) * $F$15</f>
        <v>105549.04290000001</v>
      </c>
      <c r="K53" s="551" cm="1">
        <f t="array" ref="K53">_xlfn.ANCHORARRAY(K32) * $F$15</f>
        <v>229617.09372</v>
      </c>
      <c r="L53" s="551" cm="1">
        <f t="array" ref="L53">_xlfn.ANCHORARRAY(L32) * $F$15</f>
        <v>353690.17278000002</v>
      </c>
      <c r="M53" s="551" cm="1">
        <f t="array" ref="M53">_xlfn.ANCHORARRAY(M32) * $F$15</f>
        <v>477921.64140000014</v>
      </c>
      <c r="N53" s="551" cm="1">
        <f t="array" ref="N53">_xlfn.ANCHORARRAY(N32) * $F$15</f>
        <v>601989.69222000008</v>
      </c>
      <c r="O53" s="551" cm="1">
        <f t="array" ref="O53">_xlfn.ANCHORARRAY(O32) * $F$15</f>
        <v>726133.16664000018</v>
      </c>
      <c r="P53" s="551" cm="1">
        <f t="array" ref="P53">_xlfn.ANCHORARRAY(P32) * $F$15</f>
        <v>941878.60326000012</v>
      </c>
      <c r="Q53" s="551" cm="1">
        <f t="array" ref="Q53">_xlfn.ANCHORARRAY(Q32) * $F$15</f>
        <v>1157536.0456800002</v>
      </c>
      <c r="R53" s="551" cm="1">
        <f t="array" ref="R53">_xlfn.ANCHORARRAY(R32) * $F$15</f>
        <v>1373265.1405199999</v>
      </c>
      <c r="S53" s="551" cm="1">
        <f t="array" ref="S53">_xlfn.ANCHORARRAY(S32) * $F$15</f>
        <v>1589010.5771400004</v>
      </c>
      <c r="T53" s="551" cm="1">
        <f t="array" ref="T53">_xlfn.ANCHORARRAY(T32) * $F$15</f>
        <v>1804913.1462600001</v>
      </c>
      <c r="U53" s="551" cm="1">
        <f t="array" ref="U53">_xlfn.ANCHORARRAY(U32) * $F$15</f>
        <v>1930416.7595999998</v>
      </c>
      <c r="V53" s="551" cm="1">
        <f t="array" ref="V53">_xlfn.ANCHORARRAY(V32) * $F$15</f>
        <v>1964341.0378200002</v>
      </c>
      <c r="W53" s="551" cm="1">
        <f t="array" ref="W53">_xlfn.ANCHORARRAY(W32) * $F$15</f>
        <v>1998265.3160399999</v>
      </c>
      <c r="X53" s="551" cm="1">
        <f t="array" ref="X53">_xlfn.ANCHORARRAY(X32) * $F$15</f>
        <v>2032189.5942600002</v>
      </c>
      <c r="Y53" s="551" cm="1">
        <f t="array" ref="Y53">_xlfn.ANCHORARRAY(Y32) * $F$15</f>
        <v>2066102.5589399999</v>
      </c>
      <c r="Z53" s="551" cm="1">
        <f t="array" ref="Z53">_xlfn.ANCHORARRAY(Z32) * $F$15</f>
        <v>2100026.8371600001</v>
      </c>
      <c r="AA53" s="551" cm="1">
        <f t="array" ref="AA53">_xlfn.ANCHORARRAY(AA32) * $F$15</f>
        <v>2133939.8018400003</v>
      </c>
      <c r="AB53" s="551" cm="1">
        <f t="array" ref="AB53">_xlfn.ANCHORARRAY(AB32) * $F$15</f>
        <v>2167864.0800600001</v>
      </c>
      <c r="AC53" s="551" cm="1">
        <f t="array" ref="AC53">_xlfn.ANCHORARRAY(AC32) * $F$15</f>
        <v>2201788.3582800003</v>
      </c>
      <c r="AD53" s="551" cm="1">
        <f t="array" ref="AD53">_xlfn.ANCHORARRAY(AD32) * $F$15</f>
        <v>2235701.32296</v>
      </c>
      <c r="AE53" s="551" cm="1">
        <f t="array" ref="AE53">_xlfn.ANCHORARRAY(AE32) * $F$15</f>
        <v>2269625.6011800007</v>
      </c>
      <c r="AF53" s="551" cm="1">
        <f t="array" ref="AF53">_xlfn.ANCHORARRAY(AF32) * $F$15</f>
        <v>2303549.8794000004</v>
      </c>
      <c r="AG53" s="689" cm="1">
        <f t="array" ref="AG53">_xlfn.ANCHORARRAY(AG32) * $F$15</f>
        <v>2337462.8440800002</v>
      </c>
      <c r="AH53" s="5"/>
      <c r="AI53" s="5"/>
      <c r="AJ53" s="5"/>
      <c r="AK53" s="5"/>
      <c r="AL53" s="5"/>
      <c r="AM53" s="5"/>
      <c r="AN53" s="5"/>
    </row>
    <row r="54" spans="1:40" ht="21.9" customHeight="1" x14ac:dyDescent="0.25">
      <c r="B54" s="679"/>
      <c r="C54" s="690"/>
      <c r="D54" s="694"/>
      <c r="E54" s="114" t="s">
        <v>282</v>
      </c>
      <c r="F54" s="114" t="s">
        <v>308</v>
      </c>
      <c r="G54" s="114" t="s">
        <v>324</v>
      </c>
      <c r="H54" s="551" cm="1">
        <f t="array" ref="H54">_xlfn.ANCHORARRAY(H33) * $F$15</f>
        <v>215496</v>
      </c>
      <c r="I54" s="551" cm="1">
        <f t="array" ref="I54">_xlfn.ANCHORARRAY(I33) * $F$15</f>
        <v>223574.70559999999</v>
      </c>
      <c r="J54" s="551" cm="1">
        <f t="array" ref="J54">_xlfn.ANCHORARRAY(J33) * $F$15</f>
        <v>235932.204</v>
      </c>
      <c r="K54" s="551" cm="1">
        <f t="array" ref="K54">_xlfn.ANCHORARRAY(K33) * $F$15</f>
        <v>275194.37800000008</v>
      </c>
      <c r="L54" s="551" cm="1">
        <f t="array" ref="L54">_xlfn.ANCHORARRAY(L33) * $F$15</f>
        <v>314462.538</v>
      </c>
      <c r="M54" s="551" cm="1">
        <f t="array" ref="M54">_xlfn.ANCHORARRAY(M33) * $F$15</f>
        <v>353772.59999999992</v>
      </c>
      <c r="N54" s="551" cm="1">
        <f t="array" ref="N54">_xlfn.ANCHORARRAY(N33) * $F$15</f>
        <v>393034.77400000003</v>
      </c>
      <c r="O54" s="551" cm="1">
        <f t="array" ref="O54">_xlfn.ANCHORARRAY(O33) * $F$15</f>
        <v>432335.25840000005</v>
      </c>
      <c r="P54" s="551" cm="1">
        <f t="array" ref="P54">_xlfn.ANCHORARRAY(P33) * $F$15</f>
        <v>484117.75</v>
      </c>
      <c r="Q54" s="551" cm="1">
        <f t="array" ref="Q54">_xlfn.ANCHORARRAY(Q33) * $F$15</f>
        <v>535887.07240000006</v>
      </c>
      <c r="R54" s="551" cm="1">
        <f t="array" ref="R54">_xlfn.ANCHORARRAY(R33) * $F$15</f>
        <v>587675.55000000005</v>
      </c>
      <c r="S54" s="551" cm="1">
        <f t="array" ref="S54">_xlfn.ANCHORARRAY(S33) * $F$15</f>
        <v>639458.04160000023</v>
      </c>
      <c r="T54" s="551" cm="1">
        <f t="array" ref="T54">_xlfn.ANCHORARRAY(T33) * $F$15</f>
        <v>691299.196</v>
      </c>
      <c r="U54" s="551" cm="1">
        <f t="array" ref="U54">_xlfn.ANCHORARRAY(U33) * $F$15</f>
        <v>716150.67359999998</v>
      </c>
      <c r="V54" s="551" cm="1">
        <f t="array" ref="V54">_xlfn.ANCHORARRAY(V33) * $F$15</f>
        <v>724229.37919999997</v>
      </c>
      <c r="W54" s="551" cm="1">
        <f t="array" ref="W54">_xlfn.ANCHORARRAY(W33) * $F$15</f>
        <v>732308.08479999995</v>
      </c>
      <c r="X54" s="551" cm="1">
        <f t="array" ref="X54">_xlfn.ANCHORARRAY(X33) * $F$15</f>
        <v>740386.79039999994</v>
      </c>
      <c r="Y54" s="551" cm="1">
        <f t="array" ref="Y54">_xlfn.ANCHORARRAY(Y33) * $F$15</f>
        <v>748473.87639999995</v>
      </c>
      <c r="Z54" s="551" cm="1">
        <f t="array" ref="Z54">_xlfn.ANCHORARRAY(Z33) * $F$15</f>
        <v>756552.58199999994</v>
      </c>
      <c r="AA54" s="551" cm="1">
        <f t="array" ref="AA54">_xlfn.ANCHORARRAY(AA33) * $F$15</f>
        <v>764639.66800000006</v>
      </c>
      <c r="AB54" s="551" cm="1">
        <f t="array" ref="AB54">_xlfn.ANCHORARRAY(AB33) * $F$15</f>
        <v>772718.37360000005</v>
      </c>
      <c r="AC54" s="551" cm="1">
        <f t="array" ref="AC54">_xlfn.ANCHORARRAY(AC33) * $F$15</f>
        <v>780797.07920000004</v>
      </c>
      <c r="AD54" s="551" cm="1">
        <f t="array" ref="AD54">_xlfn.ANCHORARRAY(AD33) * $F$15</f>
        <v>788884.16520000005</v>
      </c>
      <c r="AE54" s="551" cm="1">
        <f t="array" ref="AE54">_xlfn.ANCHORARRAY(AE33) * $F$15</f>
        <v>796962.87080000027</v>
      </c>
      <c r="AF54" s="551" cm="1">
        <f t="array" ref="AF54">_xlfn.ANCHORARRAY(AF33) * $F$15</f>
        <v>805041.57640000002</v>
      </c>
      <c r="AG54" s="689" cm="1">
        <f t="array" ref="AG54">_xlfn.ANCHORARRAY(AG33) * $F$15</f>
        <v>813128.66240000003</v>
      </c>
      <c r="AH54" s="5"/>
      <c r="AI54" s="5"/>
      <c r="AJ54" s="5"/>
      <c r="AK54" s="5"/>
      <c r="AL54" s="5"/>
      <c r="AM54" s="5"/>
      <c r="AN54" s="5"/>
    </row>
    <row r="55" spans="1:40" ht="21.9" customHeight="1" x14ac:dyDescent="0.25">
      <c r="B55" s="679"/>
      <c r="C55" s="690"/>
      <c r="D55" s="694"/>
      <c r="E55" s="273" t="s">
        <v>321</v>
      </c>
      <c r="F55" s="273" t="s">
        <v>318</v>
      </c>
      <c r="G55" s="273" t="s">
        <v>308</v>
      </c>
      <c r="H55" s="551" cm="1">
        <f t="array" ref="H55">_xlfn.ANCHORARRAY(H34) * $F$15</f>
        <v>0</v>
      </c>
      <c r="I55" s="551" cm="1">
        <f t="array" ref="I55">_xlfn.ANCHORARRAY(I34) * $F$15</f>
        <v>0</v>
      </c>
      <c r="J55" s="551" cm="1">
        <f t="array" ref="J55">_xlfn.ANCHORARRAY(J34) * $F$15</f>
        <v>0</v>
      </c>
      <c r="K55" s="551" cm="1">
        <f t="array" ref="K55">_xlfn.ANCHORARRAY(K34) * $F$15</f>
        <v>0</v>
      </c>
      <c r="L55" s="551" cm="1">
        <f t="array" ref="L55">_xlfn.ANCHORARRAY(L34) * $F$15</f>
        <v>0</v>
      </c>
      <c r="M55" s="551" cm="1">
        <f t="array" ref="M55">_xlfn.ANCHORARRAY(M34) * $F$15</f>
        <v>0</v>
      </c>
      <c r="N55" s="551" cm="1">
        <f t="array" ref="N55">_xlfn.ANCHORARRAY(N34) * $F$15</f>
        <v>0</v>
      </c>
      <c r="O55" s="551" cm="1">
        <f t="array" ref="O55">_xlfn.ANCHORARRAY(O34) * $F$15</f>
        <v>0</v>
      </c>
      <c r="P55" s="551" cm="1">
        <f t="array" ref="P55">_xlfn.ANCHORARRAY(P34) * $F$15</f>
        <v>0</v>
      </c>
      <c r="Q55" s="551" cm="1">
        <f t="array" ref="Q55">_xlfn.ANCHORARRAY(Q34) * $F$15</f>
        <v>0</v>
      </c>
      <c r="R55" s="551" cm="1">
        <f t="array" ref="R55">_xlfn.ANCHORARRAY(R34) * $F$15</f>
        <v>0</v>
      </c>
      <c r="S55" s="551" cm="1">
        <f t="array" ref="S55">_xlfn.ANCHORARRAY(S34) * $F$15</f>
        <v>0</v>
      </c>
      <c r="T55" s="551" cm="1">
        <f t="array" ref="T55">_xlfn.ANCHORARRAY(T34) * $F$15</f>
        <v>0</v>
      </c>
      <c r="U55" s="551" cm="1">
        <f t="array" ref="U55">_xlfn.ANCHORARRAY(U34) * $F$15</f>
        <v>0</v>
      </c>
      <c r="V55" s="551" cm="1">
        <f t="array" ref="V55">_xlfn.ANCHORARRAY(V34) * $F$15</f>
        <v>0</v>
      </c>
      <c r="W55" s="551" cm="1">
        <f t="array" ref="W55">_xlfn.ANCHORARRAY(W34) * $F$15</f>
        <v>0</v>
      </c>
      <c r="X55" s="551" cm="1">
        <f t="array" ref="X55">_xlfn.ANCHORARRAY(X34) * $F$15</f>
        <v>0</v>
      </c>
      <c r="Y55" s="551" cm="1">
        <f t="array" ref="Y55">_xlfn.ANCHORARRAY(Y34) * $F$15</f>
        <v>0</v>
      </c>
      <c r="Z55" s="551" cm="1">
        <f t="array" ref="Z55">_xlfn.ANCHORARRAY(Z34) * $F$15</f>
        <v>0</v>
      </c>
      <c r="AA55" s="551" cm="1">
        <f t="array" ref="AA55">_xlfn.ANCHORARRAY(AA34) * $F$15</f>
        <v>0</v>
      </c>
      <c r="AB55" s="551" cm="1">
        <f t="array" ref="AB55">_xlfn.ANCHORARRAY(AB34) * $F$15</f>
        <v>0</v>
      </c>
      <c r="AC55" s="551" cm="1">
        <f t="array" ref="AC55">_xlfn.ANCHORARRAY(AC34) * $F$15</f>
        <v>0</v>
      </c>
      <c r="AD55" s="551" cm="1">
        <f t="array" ref="AD55">_xlfn.ANCHORARRAY(AD34) * $F$15</f>
        <v>0</v>
      </c>
      <c r="AE55" s="551" cm="1">
        <f t="array" ref="AE55">_xlfn.ANCHORARRAY(AE34) * $F$15</f>
        <v>0</v>
      </c>
      <c r="AF55" s="551" cm="1">
        <f t="array" ref="AF55">_xlfn.ANCHORARRAY(AF34) * $F$15</f>
        <v>0</v>
      </c>
      <c r="AG55" s="689" cm="1">
        <f t="array" ref="AG55">_xlfn.ANCHORARRAY(AG34) * $F$15</f>
        <v>0</v>
      </c>
      <c r="AH55" s="5"/>
      <c r="AI55" s="5"/>
      <c r="AJ55" s="5"/>
      <c r="AK55" s="5"/>
      <c r="AL55" s="5"/>
      <c r="AM55" s="5"/>
      <c r="AN55" s="5"/>
    </row>
    <row r="56" spans="1:40" ht="21.9" customHeight="1" x14ac:dyDescent="0.25">
      <c r="B56" s="679"/>
      <c r="C56" s="690"/>
      <c r="D56" s="694"/>
      <c r="E56" s="273" t="s">
        <v>333</v>
      </c>
      <c r="F56" s="273" t="s">
        <v>319</v>
      </c>
      <c r="G56" s="273" t="s">
        <v>308</v>
      </c>
      <c r="H56" s="551" cm="1">
        <f t="array" ref="H56">_xlfn.ANCHORARRAY(H35) * $F$15</f>
        <v>399647.12727272726</v>
      </c>
      <c r="I56" s="551" cm="1">
        <f t="array" ref="I56">_xlfn.ANCHORARRAY(I35) * $F$15</f>
        <v>405823.89565090905</v>
      </c>
      <c r="J56" s="551" cm="1">
        <f t="array" ref="J56">_xlfn.ANCHORARRAY(J35) * $F$15</f>
        <v>415972.71242181817</v>
      </c>
      <c r="K56" s="551" cm="1">
        <f t="array" ref="K56">_xlfn.ANCHORARRAY(K35) * $F$15</f>
        <v>450465.58989818185</v>
      </c>
      <c r="L56" s="551" cm="1">
        <f t="array" ref="L56">_xlfn.ANCHORARRAY(L35) * $F$15</f>
        <v>484962.90789818182</v>
      </c>
      <c r="M56" s="551" cm="1">
        <f t="array" ref="M56">_xlfn.ANCHORARRAY(M35) * $F$15</f>
        <v>519500.19061090902</v>
      </c>
      <c r="N56" s="551" cm="1">
        <f t="array" ref="N56">_xlfn.ANCHORARRAY(N35) * $F$15</f>
        <v>553993.06808727258</v>
      </c>
      <c r="O56" s="551" cm="1">
        <f t="array" ref="O56">_xlfn.ANCHORARRAY(O35) * $F$15</f>
        <v>588524.80014545447</v>
      </c>
      <c r="P56" s="551" cm="1">
        <f t="array" ref="P56">_xlfn.ANCHORARRAY(P35) * $F$15</f>
        <v>629437.56466909079</v>
      </c>
      <c r="Q56" s="551" cm="1">
        <f t="array" ref="Q56">_xlfn.ANCHORARRAY(Q35) * $F$15</f>
        <v>670341.4481454544</v>
      </c>
      <c r="R56" s="551" cm="1">
        <f t="array" ref="R56">_xlfn.ANCHORARRAY(R35) * $F$15</f>
        <v>711265.31397818169</v>
      </c>
      <c r="S56" s="551" cm="1">
        <f t="array" ref="S56">_xlfn.ANCHORARRAY(S35) * $F$15</f>
        <v>752178.07850181824</v>
      </c>
      <c r="T56" s="551" cm="1">
        <f t="array" ref="T56">_xlfn.ANCHORARRAY(T35) * $F$15</f>
        <v>793148.5698327272</v>
      </c>
      <c r="U56" s="551" cm="1">
        <f t="array" ref="U56">_xlfn.ANCHORARRAY(U35) * $F$15</f>
        <v>809693.96090181812</v>
      </c>
      <c r="V56" s="551" cm="1">
        <f t="array" ref="V56">_xlfn.ANCHORARRAY(V35) * $F$15</f>
        <v>815870.72927999985</v>
      </c>
      <c r="W56" s="551" cm="1">
        <f t="array" ref="W56">_xlfn.ANCHORARRAY(W35) * $F$15</f>
        <v>822047.49765818194</v>
      </c>
      <c r="X56" s="551" cm="1">
        <f t="array" ref="X56">_xlfn.ANCHORARRAY(X35) * $F$15</f>
        <v>828224.26603636367</v>
      </c>
      <c r="Y56" s="551" cm="1">
        <f t="array" ref="Y56">_xlfn.ANCHORARRAY(Y35) * $F$15</f>
        <v>834413.2458545455</v>
      </c>
      <c r="Z56" s="551" cm="1">
        <f t="array" ref="Z56">_xlfn.ANCHORARRAY(Z35) * $F$15</f>
        <v>840590.01423272735</v>
      </c>
      <c r="AA56" s="551" cm="1">
        <f t="array" ref="AA56">_xlfn.ANCHORARRAY(AA35) * $F$15</f>
        <v>846778.99405090907</v>
      </c>
      <c r="AB56" s="551" cm="1">
        <f t="array" ref="AB56">_xlfn.ANCHORARRAY(AB35) * $F$15</f>
        <v>852955.76242909103</v>
      </c>
      <c r="AC56" s="551" cm="1">
        <f t="array" ref="AC56">_xlfn.ANCHORARRAY(AC35) * $F$15</f>
        <v>859132.53080727288</v>
      </c>
      <c r="AD56" s="551" cm="1">
        <f t="array" ref="AD56">_xlfn.ANCHORARRAY(AD35) * $F$15</f>
        <v>865321.5106254546</v>
      </c>
      <c r="AE56" s="551" cm="1">
        <f t="array" ref="AE56">_xlfn.ANCHORARRAY(AE35) * $F$15</f>
        <v>871498.27900363645</v>
      </c>
      <c r="AF56" s="551" cm="1">
        <f t="array" ref="AF56">_xlfn.ANCHORARRAY(AF35) * $F$15</f>
        <v>877675.04738181841</v>
      </c>
      <c r="AG56" s="689" cm="1">
        <f t="array" ref="AG56">_xlfn.ANCHORARRAY(AG35) * $F$15</f>
        <v>883864.02720000001</v>
      </c>
      <c r="AH56" s="5"/>
      <c r="AI56" s="5"/>
      <c r="AJ56" s="5"/>
      <c r="AK56" s="5"/>
      <c r="AL56" s="5"/>
      <c r="AM56" s="5"/>
      <c r="AN56" s="5"/>
    </row>
    <row r="57" spans="1:40" ht="21.9" customHeight="1" x14ac:dyDescent="0.25">
      <c r="B57" s="679"/>
      <c r="C57" s="690"/>
      <c r="D57" s="694"/>
      <c r="E57" s="114" t="s">
        <v>319</v>
      </c>
      <c r="F57" s="114" t="s">
        <v>276</v>
      </c>
      <c r="G57" s="114" t="s">
        <v>333</v>
      </c>
      <c r="H57" s="551" cm="1">
        <f t="array" ref="H57">_xlfn.ANCHORARRAY(H36) * $F$15</f>
        <v>1435279.5454545456</v>
      </c>
      <c r="I57" s="551" cm="1">
        <f t="array" ref="I57">_xlfn.ANCHORARRAY(I36) * $F$15</f>
        <v>1488650.4153522728</v>
      </c>
      <c r="J57" s="551" cm="1">
        <f t="array" ref="J57">_xlfn.ANCHORARRAY(J36) * $F$15</f>
        <v>1545463.0855999999</v>
      </c>
      <c r="K57" s="551" cm="1">
        <f t="array" ref="K57">_xlfn.ANCHORARRAY(K36) * $F$15</f>
        <v>1671499.2883249999</v>
      </c>
      <c r="L57" s="551" cm="1">
        <f t="array" ref="L57">_xlfn.ANCHORARRAY(L36) * $F$15</f>
        <v>1797567.0672000004</v>
      </c>
      <c r="M57" s="551" cm="1">
        <f t="array" ref="M57">_xlfn.ANCHORARRAY(M36) * $F$15</f>
        <v>1923703.7394931824</v>
      </c>
      <c r="N57" s="551" cm="1">
        <f t="array" ref="N57">_xlfn.ANCHORARRAY(N36) * $F$15</f>
        <v>2049739.9422181828</v>
      </c>
      <c r="O57" s="551" cm="1">
        <f t="array" ref="O57">_xlfn.ANCHORARRAY(O36) * $F$15</f>
        <v>2175886.6614681822</v>
      </c>
      <c r="P57" s="551" cm="1">
        <f t="array" ref="P57">_xlfn.ANCHORARRAY(P36) * $F$15</f>
        <v>2345479.292559091</v>
      </c>
      <c r="Q57" s="551" cm="1">
        <f t="array" ref="Q57">_xlfn.ANCHORARRAY(Q36) * $F$15</f>
        <v>2515079.1000477271</v>
      </c>
      <c r="R57" s="551" cm="1">
        <f t="array" ref="R57">_xlfn.ANCHORARRAY(R36) * $F$15</f>
        <v>2684671.7311386359</v>
      </c>
      <c r="S57" s="551" cm="1">
        <f t="array" ref="S57">_xlfn.ANCHORARRAY(S36) * $F$15</f>
        <v>2854264.3622295456</v>
      </c>
      <c r="T57" s="551" cm="1">
        <f t="array" ref="T57">_xlfn.ANCHORARRAY(T36) * $F$15</f>
        <v>3024014.8740704553</v>
      </c>
      <c r="U57" s="551" cm="1">
        <f t="array" ref="U57">_xlfn.ANCHORARRAY(U36) * $F$15</f>
        <v>3124305.0323090912</v>
      </c>
      <c r="V57" s="551" cm="1">
        <f t="array" ref="V57">_xlfn.ANCHORARRAY(V36) * $F$15</f>
        <v>3177675.9022068181</v>
      </c>
      <c r="W57" s="551" cm="1">
        <f t="array" ref="W57">_xlfn.ANCHORARRAY(W36) * $F$15</f>
        <v>3231046.772104545</v>
      </c>
      <c r="X57" s="551" cm="1">
        <f t="array" ref="X57">_xlfn.ANCHORARRAY(X36) * $F$15</f>
        <v>3284417.6420022724</v>
      </c>
      <c r="Y57" s="551" cm="1">
        <f t="array" ref="Y57">_xlfn.ANCHORARRAY(Y36) * $F$15</f>
        <v>3337817.2174909092</v>
      </c>
      <c r="Z57" s="551" cm="1">
        <f t="array" ref="Z57">_xlfn.ANCHORARRAY(Z36) * $F$15</f>
        <v>3391188.0873886361</v>
      </c>
      <c r="AA57" s="551" cm="1">
        <f t="array" ref="AA57">_xlfn.ANCHORARRAY(AA36) * $F$15</f>
        <v>3444587.6628772728</v>
      </c>
      <c r="AB57" s="551" cm="1">
        <f t="array" ref="AB57">_xlfn.ANCHORARRAY(AB36) * $F$15</f>
        <v>3497958.5327750011</v>
      </c>
      <c r="AC57" s="551" cm="1">
        <f t="array" ref="AC57">_xlfn.ANCHORARRAY(AC36) * $F$15</f>
        <v>3551329.4026727276</v>
      </c>
      <c r="AD57" s="551" cm="1">
        <f t="array" ref="AD57">_xlfn.ANCHORARRAY(AD36) * $F$15</f>
        <v>3604728.9781613634</v>
      </c>
      <c r="AE57" s="551" cm="1">
        <f t="array" ref="AE57">_xlfn.ANCHORARRAY(AE36) * $F$15</f>
        <v>3658099.8480590913</v>
      </c>
      <c r="AF57" s="551" cm="1">
        <f t="array" ref="AF57">_xlfn.ANCHORARRAY(AF36) * $F$15</f>
        <v>3711470.7179568182</v>
      </c>
      <c r="AG57" s="689" cm="1">
        <f t="array" ref="AG57">_xlfn.ANCHORARRAY(AG36) * $F$15</f>
        <v>3764870.2934454549</v>
      </c>
      <c r="AH57" s="5"/>
      <c r="AI57" s="5"/>
      <c r="AJ57" s="5"/>
      <c r="AK57" s="5"/>
      <c r="AL57" s="5"/>
      <c r="AM57" s="5"/>
      <c r="AN57" s="5"/>
    </row>
    <row r="58" spans="1:40" ht="21.9" customHeight="1" x14ac:dyDescent="0.25">
      <c r="B58" s="679"/>
      <c r="C58" s="690"/>
      <c r="D58" s="694"/>
      <c r="E58" s="114"/>
      <c r="F58" s="114" t="s">
        <v>333</v>
      </c>
      <c r="G58" s="114" t="s">
        <v>323</v>
      </c>
      <c r="H58" s="551" cm="1">
        <f t="array" ref="H58">_xlfn.ANCHORARRAY(H37) * $F$15</f>
        <v>209029.30606060609</v>
      </c>
      <c r="I58" s="551" cm="1">
        <f t="array" ref="I58">_xlfn.ANCHORARRAY(I37) * $F$15</f>
        <v>216467.723932197</v>
      </c>
      <c r="J58" s="551" cm="1">
        <f t="array" ref="J58">_xlfn.ANCHORARRAY(J37) * $F$15</f>
        <v>224562.93388651515</v>
      </c>
      <c r="K58" s="551" cm="1">
        <f t="array" ref="K58">_xlfn.ANCHORARRAY(K37) * $F$15</f>
        <v>240040.17880750005</v>
      </c>
      <c r="L58" s="551" cm="1">
        <f t="array" ref="L58">_xlfn.ANCHORARRAY(L37) * $F$15</f>
        <v>255523.4745768182</v>
      </c>
      <c r="M58" s="551" cm="1">
        <f t="array" ref="M58">_xlfn.ANCHORARRAY(M37) * $F$15</f>
        <v>271008.97065462125</v>
      </c>
      <c r="N58" s="551" cm="1">
        <f t="array" ref="N58">_xlfn.ANCHORARRAY(N37) * $F$15</f>
        <v>286486.21557560604</v>
      </c>
      <c r="O58" s="551" cm="1">
        <f t="array" ref="O58">_xlfn.ANCHORARRAY(O37) * $F$15</f>
        <v>301976.38730893942</v>
      </c>
      <c r="P58" s="551" cm="1">
        <f t="array" ref="P58">_xlfn.ANCHORARRAY(P37) * $F$15</f>
        <v>323228.6168869696</v>
      </c>
      <c r="Q58" s="551" cm="1">
        <f t="array" ref="Q58">_xlfn.ANCHORARRAY(Q37) * $F$15</f>
        <v>344484.97204340901</v>
      </c>
      <c r="R58" s="551" cm="1">
        <f t="array" ref="R58">_xlfn.ANCHORARRAY(R37) * $F$15</f>
        <v>365734.45123583334</v>
      </c>
      <c r="S58" s="551" cm="1">
        <f t="array" ref="S58">_xlfn.ANCHORARRAY(S37) * $F$15</f>
        <v>386986.68081386364</v>
      </c>
      <c r="T58" s="551" cm="1">
        <f t="array" ref="T58">_xlfn.ANCHORARRAY(T37) * $F$15</f>
        <v>408255.41270553024</v>
      </c>
      <c r="U58" s="551" cm="1">
        <f t="array" ref="U58">_xlfn.ANCHORARRAY(U37) * $F$15</f>
        <v>422115.98096727271</v>
      </c>
      <c r="V58" s="551" cm="1">
        <f t="array" ref="V58">_xlfn.ANCHORARRAY(V37) * $F$15</f>
        <v>429554.39883886353</v>
      </c>
      <c r="W58" s="551" cm="1">
        <f t="array" ref="W58">_xlfn.ANCHORARRAY(W37) * $F$15</f>
        <v>436992.81671045453</v>
      </c>
      <c r="X58" s="551" cm="1">
        <f t="array" ref="X58">_xlfn.ANCHORARRAY(X37) * $F$15</f>
        <v>444431.23458204546</v>
      </c>
      <c r="Y58" s="551" cm="1">
        <f t="array" ref="Y58">_xlfn.ANCHORARRAY(Y37) * $F$15</f>
        <v>451872.40283924242</v>
      </c>
      <c r="Z58" s="551" cm="1">
        <f t="array" ref="Z58">_xlfn.ANCHORARRAY(Z37) * $F$15</f>
        <v>459310.82071083318</v>
      </c>
      <c r="AA58" s="551" cm="1">
        <f t="array" ref="AA58">_xlfn.ANCHORARRAY(AA37) * $F$15</f>
        <v>466751.98896803037</v>
      </c>
      <c r="AB58" s="551" cm="1">
        <f t="array" ref="AB58">_xlfn.ANCHORARRAY(AB37) * $F$15</f>
        <v>474190.40683962125</v>
      </c>
      <c r="AC58" s="551" cm="1">
        <f t="array" ref="AC58">_xlfn.ANCHORARRAY(AC37) * $F$15</f>
        <v>481628.82471121207</v>
      </c>
      <c r="AD58" s="551" cm="1">
        <f t="array" ref="AD58">_xlfn.ANCHORARRAY(AD37) * $F$15</f>
        <v>489069.99296840915</v>
      </c>
      <c r="AE58" s="551" cm="1">
        <f t="array" ref="AE58">_xlfn.ANCHORARRAY(AE37) * $F$15</f>
        <v>496508.41084000003</v>
      </c>
      <c r="AF58" s="551" cm="1">
        <f t="array" ref="AF58">_xlfn.ANCHORARRAY(AF37) * $F$15</f>
        <v>503946.82871159096</v>
      </c>
      <c r="AG58" s="689" cm="1">
        <f t="array" ref="AG58">_xlfn.ANCHORARRAY(AG37) * $F$15</f>
        <v>511387.9969687878</v>
      </c>
      <c r="AH58" s="5"/>
      <c r="AI58" s="5"/>
      <c r="AJ58" s="5"/>
      <c r="AK58" s="5"/>
      <c r="AL58" s="5"/>
      <c r="AM58" s="5"/>
      <c r="AN58" s="5"/>
    </row>
    <row r="59" spans="1:40" ht="21.9" customHeight="1" x14ac:dyDescent="0.25">
      <c r="B59" s="679"/>
      <c r="C59" s="690"/>
      <c r="D59" s="694"/>
      <c r="E59" s="114"/>
      <c r="F59" s="114" t="s">
        <v>323</v>
      </c>
      <c r="G59" s="114" t="s">
        <v>322</v>
      </c>
      <c r="H59" s="551" cm="1">
        <f t="array" ref="H59">_xlfn.ANCHORARRAY(H38) * $F$15</f>
        <v>51697.272727272728</v>
      </c>
      <c r="I59" s="551" cm="1">
        <f t="array" ref="I59">_xlfn.ANCHORARRAY(I38) * $F$15</f>
        <v>53536.947386363638</v>
      </c>
      <c r="J59" s="551" cm="1">
        <f t="array" ref="J59">_xlfn.ANCHORARRAY(J38) * $F$15</f>
        <v>55539.060318181815</v>
      </c>
      <c r="K59" s="551" cm="1">
        <f t="array" ref="K59">_xlfn.ANCHORARRAY(K38) * $F$15</f>
        <v>59366.90325000001</v>
      </c>
      <c r="L59" s="551" cm="1">
        <f t="array" ref="L59">_xlfn.ANCHORARRAY(L38) * $F$15</f>
        <v>63196.242681818192</v>
      </c>
      <c r="M59" s="551" cm="1">
        <f t="array" ref="M59">_xlfn.ANCHORARRAY(M38) * $F$15</f>
        <v>67026.126295454553</v>
      </c>
      <c r="N59" s="551" cm="1">
        <f t="array" ref="N59">_xlfn.ANCHORARRAY(N38) * $F$15</f>
        <v>70853.969227272726</v>
      </c>
      <c r="O59" s="551" cm="1">
        <f t="array" ref="O59">_xlfn.ANCHORARRAY(O38) * $F$15</f>
        <v>74685.00922727272</v>
      </c>
      <c r="P59" s="551" cm="1">
        <f t="array" ref="P59">_xlfn.ANCHORARRAY(P38) * $F$15</f>
        <v>79941.12536363634</v>
      </c>
      <c r="Q59" s="551" cm="1">
        <f t="array" ref="Q59">_xlfn.ANCHORARRAY(Q38) * $F$15</f>
        <v>85198.261840909065</v>
      </c>
      <c r="R59" s="551" cm="1">
        <f t="array" ref="R59">_xlfn.ANCHORARRAY(R38) * $F$15</f>
        <v>90453.697750000007</v>
      </c>
      <c r="S59" s="551" cm="1">
        <f t="array" ref="S59">_xlfn.ANCHORARRAY(S38) * $F$15</f>
        <v>95709.813886363641</v>
      </c>
      <c r="T59" s="551" cm="1">
        <f t="array" ref="T59">_xlfn.ANCHORARRAY(T38) * $F$15</f>
        <v>100970.01138636362</v>
      </c>
      <c r="U59" s="551" cm="1">
        <f t="array" ref="U59">_xlfn.ANCHORARRAY(U38) * $F$15</f>
        <v>104398.01672727273</v>
      </c>
      <c r="V59" s="551" cm="1">
        <f t="array" ref="V59">_xlfn.ANCHORARRAY(V38) * $F$15</f>
        <v>106237.69138636363</v>
      </c>
      <c r="W59" s="551" cm="1">
        <f t="array" ref="W59">_xlfn.ANCHORARRAY(W38) * $F$15</f>
        <v>108077.36604545453</v>
      </c>
      <c r="X59" s="551" cm="1">
        <f t="array" ref="X59">_xlfn.ANCHORARRAY(X38) * $F$15</f>
        <v>109917.04070454545</v>
      </c>
      <c r="Y59" s="551" cm="1">
        <f t="array" ref="Y59">_xlfn.ANCHORARRAY(Y38) * $F$15</f>
        <v>111757.39559090909</v>
      </c>
      <c r="Z59" s="551" cm="1">
        <f t="array" ref="Z59">_xlfn.ANCHORARRAY(Z38) * $F$15</f>
        <v>113597.07024999996</v>
      </c>
      <c r="AA59" s="551" cm="1">
        <f t="array" ref="AA59">_xlfn.ANCHORARRAY(AA38) * $F$15</f>
        <v>115437.42513636364</v>
      </c>
      <c r="AB59" s="551" cm="1">
        <f t="array" ref="AB59">_xlfn.ANCHORARRAY(AB38) * $F$15</f>
        <v>117277.09979545453</v>
      </c>
      <c r="AC59" s="551" cm="1">
        <f t="array" ref="AC59">_xlfn.ANCHORARRAY(AC38) * $F$15</f>
        <v>119116.77445454545</v>
      </c>
      <c r="AD59" s="551" cm="1">
        <f t="array" ref="AD59">_xlfn.ANCHORARRAY(AD38) * $F$15</f>
        <v>120957.12934090909</v>
      </c>
      <c r="AE59" s="551" cm="1">
        <f t="array" ref="AE59">_xlfn.ANCHORARRAY(AE38) * $F$15</f>
        <v>122796.804</v>
      </c>
      <c r="AF59" s="551" cm="1">
        <f t="array" ref="AF59">_xlfn.ANCHORARRAY(AF38) * $F$15</f>
        <v>124636.47865909091</v>
      </c>
      <c r="AG59" s="689" cm="1">
        <f t="array" ref="AG59">_xlfn.ANCHORARRAY(AG38) * $F$15</f>
        <v>126476.83354545452</v>
      </c>
      <c r="AH59" s="5"/>
      <c r="AI59" s="5"/>
      <c r="AJ59" s="5"/>
      <c r="AK59" s="5"/>
      <c r="AL59" s="5"/>
      <c r="AM59" s="5"/>
      <c r="AN59" s="5"/>
    </row>
    <row r="60" spans="1:40" ht="21.9" customHeight="1" x14ac:dyDescent="0.25">
      <c r="B60" s="679"/>
      <c r="C60" s="690"/>
      <c r="D60" s="694"/>
      <c r="E60" s="114"/>
      <c r="F60" s="114" t="s">
        <v>322</v>
      </c>
      <c r="G60" s="114" t="s">
        <v>326</v>
      </c>
      <c r="H60" s="551" cm="1">
        <f t="array" ref="H60">_xlfn.ANCHORARRAY(H39) * $F$15</f>
        <v>132644.31818181821</v>
      </c>
      <c r="I60" s="551" cm="1">
        <f t="array" ref="I60">_xlfn.ANCHORARRAY(I39) * $F$15</f>
        <v>137212.36742613639</v>
      </c>
      <c r="J60" s="551" cm="1">
        <f t="array" ref="J60">_xlfn.ANCHORARRAY(J39) * $F$15</f>
        <v>142308.78320454544</v>
      </c>
      <c r="K60" s="551" cm="1">
        <f t="array" ref="K60">_xlfn.ANCHORARRAY(K39) * $F$15</f>
        <v>151211.64876704547</v>
      </c>
      <c r="L60" s="551" cm="1">
        <f t="array" ref="L60">_xlfn.ANCHORARRAY(L39) * $F$15</f>
        <v>160119.82010227273</v>
      </c>
      <c r="M60" s="551" cm="1">
        <f t="array" ref="M60">_xlfn.ANCHORARRAY(M39) * $F$15</f>
        <v>169024.89640340913</v>
      </c>
      <c r="N60" s="551" cm="1">
        <f t="array" ref="N60">_xlfn.ANCHORARRAY(N39) * $F$15</f>
        <v>177927.76196590916</v>
      </c>
      <c r="O60" s="551" cm="1">
        <f t="array" ref="O60">_xlfn.ANCHORARRAY(O39) * $F$15</f>
        <v>186839.69155681823</v>
      </c>
      <c r="P60" s="551" cm="1">
        <f t="array" ref="P60">_xlfn.ANCHORARRAY(P39) * $F$15</f>
        <v>198317.40440909093</v>
      </c>
      <c r="Q60" s="551" cm="1">
        <f t="array" ref="Q60">_xlfn.ANCHORARRAY(Q39) * $F$15</f>
        <v>209801.52840340915</v>
      </c>
      <c r="R60" s="551" cm="1">
        <f t="array" ref="R60">_xlfn.ANCHORARRAY(R39) * $F$15</f>
        <v>221277.03051704538</v>
      </c>
      <c r="S60" s="551" cm="1">
        <f t="array" ref="S60">_xlfn.ANCHORARRAY(S39) * $F$15</f>
        <v>232754.7433693182</v>
      </c>
      <c r="T60" s="551" cm="1">
        <f t="array" ref="T60">_xlfn.ANCHORARRAY(T39) * $F$15</f>
        <v>244242.18347159095</v>
      </c>
      <c r="U60" s="551" cm="1">
        <f t="array" ref="U60">_xlfn.ANCHORARRAY(U39) * $F$15</f>
        <v>251907.47754545457</v>
      </c>
      <c r="V60" s="551" cm="1">
        <f t="array" ref="V60">_xlfn.ANCHORARRAY(V39) * $F$15</f>
        <v>256475.52678977282</v>
      </c>
      <c r="W60" s="551" cm="1">
        <f t="array" ref="W60">_xlfn.ANCHORARRAY(W39) * $F$15</f>
        <v>261043.57603409095</v>
      </c>
      <c r="X60" s="551" cm="1">
        <f t="array" ref="X60">_xlfn.ANCHORARRAY(X39) * $F$15</f>
        <v>265611.62527840922</v>
      </c>
      <c r="Y60" s="551" cm="1">
        <f t="array" ref="Y60">_xlfn.ANCHORARRAY(Y39) * $F$15</f>
        <v>270182.327409091</v>
      </c>
      <c r="Z60" s="551" cm="1">
        <f t="array" ref="Z60">_xlfn.ANCHORARRAY(Z39) * $F$15</f>
        <v>274750.37665340916</v>
      </c>
      <c r="AA60" s="551" cm="1">
        <f t="array" ref="AA60">_xlfn.ANCHORARRAY(AA39) * $F$15</f>
        <v>279321.07878409093</v>
      </c>
      <c r="AB60" s="551" cm="1">
        <f t="array" ref="AB60">_xlfn.ANCHORARRAY(AB39) * $F$15</f>
        <v>283889.12802840915</v>
      </c>
      <c r="AC60" s="551" cm="1">
        <f t="array" ref="AC60">_xlfn.ANCHORARRAY(AC39) * $F$15</f>
        <v>288457.17727272731</v>
      </c>
      <c r="AD60" s="551" cm="1">
        <f t="array" ref="AD60">_xlfn.ANCHORARRAY(AD39) * $F$15</f>
        <v>293027.87940340914</v>
      </c>
      <c r="AE60" s="551" cm="1">
        <f t="array" ref="AE60">_xlfn.ANCHORARRAY(AE39) * $F$15</f>
        <v>297595.9286477273</v>
      </c>
      <c r="AF60" s="551" cm="1">
        <f t="array" ref="AF60">_xlfn.ANCHORARRAY(AF39) * $F$15</f>
        <v>302163.97789204551</v>
      </c>
      <c r="AG60" s="689" cm="1">
        <f t="array" ref="AG60">_xlfn.ANCHORARRAY(AG39) * $F$15</f>
        <v>306734.68002272735</v>
      </c>
      <c r="AH60" s="5"/>
      <c r="AI60" s="5"/>
      <c r="AJ60" s="5"/>
      <c r="AK60" s="5"/>
      <c r="AL60" s="5"/>
      <c r="AM60" s="5"/>
      <c r="AN60" s="5"/>
    </row>
    <row r="61" spans="1:40" ht="21.9" customHeight="1" x14ac:dyDescent="0.25">
      <c r="B61" s="680"/>
      <c r="C61" s="690"/>
      <c r="D61" s="694"/>
      <c r="E61" s="114"/>
      <c r="F61" s="114" t="s">
        <v>326</v>
      </c>
      <c r="G61" s="114" t="s">
        <v>274</v>
      </c>
      <c r="H61" s="551" cm="1">
        <f t="array" ref="H61">_xlfn.ANCHORARRAY(H40) * $F$15</f>
        <v>1101287.9545454546</v>
      </c>
      <c r="I61" s="551" cm="1">
        <f t="array" ref="I61">_xlfn.ANCHORARRAY(I40) * $F$15</f>
        <v>1139214.476220076</v>
      </c>
      <c r="J61" s="551" cm="1">
        <f t="array" ref="J61">_xlfn.ANCHORARRAY(J40) * $F$15</f>
        <v>1181527.7949136363</v>
      </c>
      <c r="K61" s="551" cm="1">
        <f t="array" ref="K61">_xlfn.ANCHORARRAY(K40) * $F$15</f>
        <v>1255444.4069428034</v>
      </c>
      <c r="L61" s="551" cm="1">
        <f t="array" ref="L61">_xlfn.ANCHORARRAY(L40) * $F$15</f>
        <v>1329405.0704901516</v>
      </c>
      <c r="M61" s="551" cm="1">
        <f t="array" ref="M61">_xlfn.ANCHORARRAY(M40) * $F$15</f>
        <v>1403340.037318561</v>
      </c>
      <c r="N61" s="551" cm="1">
        <f t="array" ref="N61">_xlfn.ANCHORARRAY(N40) * $F$15</f>
        <v>1477256.6493477277</v>
      </c>
      <c r="O61" s="551" cm="1">
        <f t="array" ref="O61">_xlfn.ANCHORARRAY(O40) * $F$15</f>
        <v>1551248.5160537881</v>
      </c>
      <c r="P61" s="551" cm="1">
        <f t="array" ref="P61">_xlfn.ANCHORARRAY(P40) * $F$15</f>
        <v>1646542.9627606065</v>
      </c>
      <c r="Q61" s="551" cm="1">
        <f t="array" ref="Q61">_xlfn.ANCHORARRAY(Q40) * $F$15</f>
        <v>1741890.6383852276</v>
      </c>
      <c r="R61" s="551" cm="1">
        <f t="array" ref="R61">_xlfn.ANCHORARRAY(R40) * $F$15</f>
        <v>1837166.7302928024</v>
      </c>
      <c r="S61" s="551" cm="1">
        <f t="array" ref="S61">_xlfn.ANCHORARRAY(S40) * $F$15</f>
        <v>1932461.1769996213</v>
      </c>
      <c r="T61" s="551" cm="1">
        <f t="array" ref="T61">_xlfn.ANCHORARRAY(T40) * $F$15</f>
        <v>2027836.3848231062</v>
      </c>
      <c r="U61" s="551" cm="1">
        <f t="array" ref="U61">_xlfn.ANCHORARRAY(U40) * $F$15</f>
        <v>2091477.9802363641</v>
      </c>
      <c r="V61" s="551" cm="1">
        <f t="array" ref="V61">_xlfn.ANCHORARRAY(V40) * $F$15</f>
        <v>2129404.5019109854</v>
      </c>
      <c r="W61" s="551" cm="1">
        <f t="array" ref="W61">_xlfn.ANCHORARRAY(W40) * $F$15</f>
        <v>2167331.0235856064</v>
      </c>
      <c r="X61" s="551" cm="1">
        <f t="array" ref="X61">_xlfn.ANCHORARRAY(X40) * $F$15</f>
        <v>2205257.5452602282</v>
      </c>
      <c r="Y61" s="551" cm="1">
        <f t="array" ref="Y61">_xlfn.ANCHORARRAY(Y40) * $F$15</f>
        <v>2243206.0926939403</v>
      </c>
      <c r="Z61" s="551" cm="1">
        <f t="array" ref="Z61">_xlfn.ANCHORARRAY(Z40) * $F$15</f>
        <v>2281132.6143685607</v>
      </c>
      <c r="AA61" s="551" cm="1">
        <f t="array" ref="AA61">_xlfn.ANCHORARRAY(AA40) * $F$15</f>
        <v>2319081.1618022728</v>
      </c>
      <c r="AB61" s="551" cm="1">
        <f t="array" ref="AB61">_xlfn.ANCHORARRAY(AB40) * $F$15</f>
        <v>2357007.6834768946</v>
      </c>
      <c r="AC61" s="551" cm="1">
        <f t="array" ref="AC61">_xlfn.ANCHORARRAY(AC40) * $F$15</f>
        <v>2394934.2051515155</v>
      </c>
      <c r="AD61" s="551" cm="1">
        <f t="array" ref="AD61">_xlfn.ANCHORARRAY(AD40) * $F$15</f>
        <v>2432882.7525852276</v>
      </c>
      <c r="AE61" s="551" cm="1">
        <f t="array" ref="AE61">_xlfn.ANCHORARRAY(AE40) * $F$15</f>
        <v>2470809.274259849</v>
      </c>
      <c r="AF61" s="551" cm="1">
        <f t="array" ref="AF61">_xlfn.ANCHORARRAY(AF40) * $F$15</f>
        <v>2508735.7959344699</v>
      </c>
      <c r="AG61" s="689" cm="1">
        <f t="array" ref="AG61">_xlfn.ANCHORARRAY(AG40) * $F$15</f>
        <v>2546684.343368182</v>
      </c>
      <c r="AH61" s="5"/>
      <c r="AI61" s="5"/>
      <c r="AJ61" s="5"/>
      <c r="AK61" s="5"/>
      <c r="AL61" s="5"/>
      <c r="AM61" s="5"/>
      <c r="AN61" s="5"/>
    </row>
    <row r="62" spans="1:40" ht="21.9" customHeight="1" thickBot="1" x14ac:dyDescent="0.3">
      <c r="B62" s="180"/>
      <c r="C62" s="114"/>
      <c r="D62" s="694"/>
      <c r="E62" s="274"/>
      <c r="F62" s="274" t="s">
        <v>274</v>
      </c>
      <c r="G62" s="274" t="s">
        <v>317</v>
      </c>
      <c r="H62" s="551" cm="1">
        <f t="array" ref="H62">_xlfn.ANCHORARRAY(H41) * $F$15</f>
        <v>27209.090909090912</v>
      </c>
      <c r="I62" s="551" cm="1">
        <f t="array" ref="I62">_xlfn.ANCHORARRAY(I41) * $F$15</f>
        <v>28146.126651515151</v>
      </c>
      <c r="J62" s="551" cm="1">
        <f t="array" ref="J62">_xlfn.ANCHORARRAY(J41) * $F$15</f>
        <v>29191.545272727268</v>
      </c>
      <c r="K62" s="551" cm="1">
        <f t="array" ref="K62">_xlfn.ANCHORARRAY(K41) * $F$15</f>
        <v>31017.774106060609</v>
      </c>
      <c r="L62" s="551" cm="1">
        <f t="array" ref="L62">_xlfn.ANCHORARRAY(L41) * $F$15</f>
        <v>32845.091303030305</v>
      </c>
      <c r="M62" s="551" cm="1">
        <f t="array" ref="M62">_xlfn.ANCHORARRAY(M41) * $F$15</f>
        <v>34671.773621212124</v>
      </c>
      <c r="N62" s="551" cm="1">
        <f t="array" ref="N62">_xlfn.ANCHORARRAY(N41) * $F$15</f>
        <v>36498.002454545465</v>
      </c>
      <c r="O62" s="551" cm="1">
        <f t="array" ref="O62">_xlfn.ANCHORARRAY(O41) * $F$15</f>
        <v>38326.090575757589</v>
      </c>
      <c r="P62" s="551" cm="1">
        <f t="array" ref="P62">_xlfn.ANCHORARRAY(P41) * $F$15</f>
        <v>40680.493212121219</v>
      </c>
      <c r="Q62" s="551" cm="1">
        <f t="array" ref="Q62">_xlfn.ANCHORARRAY(Q41) * $F$15</f>
        <v>43036.210954545466</v>
      </c>
      <c r="R62" s="551" cm="1">
        <f t="array" ref="R62">_xlfn.ANCHORARRAY(R41) * $F$15</f>
        <v>45390.160106060597</v>
      </c>
      <c r="S62" s="551" cm="1">
        <f t="array" ref="S62">_xlfn.ANCHORARRAY(S41) * $F$15</f>
        <v>47744.562742424241</v>
      </c>
      <c r="T62" s="551" cm="1">
        <f t="array" ref="T62">_xlfn.ANCHORARRAY(T41) * $F$15</f>
        <v>50100.960712121218</v>
      </c>
      <c r="U62" s="551" cm="1">
        <f t="array" ref="U62">_xlfn.ANCHORARRAY(U41) * $F$15</f>
        <v>51673.328727272732</v>
      </c>
      <c r="V62" s="551" cm="1">
        <f t="array" ref="V62">_xlfn.ANCHORARRAY(V41) * $F$15</f>
        <v>52610.364469696979</v>
      </c>
      <c r="W62" s="551" cm="1">
        <f t="array" ref="W62">_xlfn.ANCHORARRAY(W41) * $F$15</f>
        <v>53547.400212121225</v>
      </c>
      <c r="X62" s="551" cm="1">
        <f t="array" ref="X62">_xlfn.ANCHORARRAY(X41) * $F$15</f>
        <v>54484.435954545479</v>
      </c>
      <c r="Y62" s="551" cm="1">
        <f t="array" ref="Y62">_xlfn.ANCHORARRAY(Y41) * $F$15</f>
        <v>55422.015878787897</v>
      </c>
      <c r="Z62" s="551" cm="1">
        <f t="array" ref="Z62">_xlfn.ANCHORARRAY(Z41) * $F$15</f>
        <v>56359.051621212129</v>
      </c>
      <c r="AA62" s="551" cm="1">
        <f t="array" ref="AA62">_xlfn.ANCHORARRAY(AA41) * $F$15</f>
        <v>57296.631545454547</v>
      </c>
      <c r="AB62" s="551" cm="1">
        <f t="array" ref="AB62">_xlfn.ANCHORARRAY(AB41) * $F$15</f>
        <v>58233.667287878794</v>
      </c>
      <c r="AC62" s="551" cm="1">
        <f t="array" ref="AC62">_xlfn.ANCHORARRAY(AC41) * $F$15</f>
        <v>59170.703030303041</v>
      </c>
      <c r="AD62" s="551" cm="1">
        <f t="array" ref="AD62">_xlfn.ANCHORARRAY(AD41) * $F$15</f>
        <v>60108.282954545459</v>
      </c>
      <c r="AE62" s="551" cm="1">
        <f t="array" ref="AE62">_xlfn.ANCHORARRAY(AE41) * $F$15</f>
        <v>61045.318696969698</v>
      </c>
      <c r="AF62" s="551" cm="1">
        <f t="array" ref="AF62">_xlfn.ANCHORARRAY(AF41) * $F$15</f>
        <v>61982.354439393952</v>
      </c>
      <c r="AG62" s="689" cm="1">
        <f t="array" ref="AG62">_xlfn.ANCHORARRAY(AG41) * $F$15</f>
        <v>62919.934363636377</v>
      </c>
      <c r="AH62" s="5"/>
      <c r="AI62" s="5"/>
      <c r="AJ62" s="5"/>
      <c r="AK62" s="5"/>
      <c r="AL62" s="5"/>
      <c r="AM62" s="5"/>
      <c r="AN62" s="5"/>
    </row>
    <row r="63" spans="1:40" ht="21.9" customHeight="1" x14ac:dyDescent="0.25">
      <c r="B63" s="180"/>
      <c r="C63" s="114"/>
      <c r="D63" s="695"/>
      <c r="E63" s="123" t="s">
        <v>25</v>
      </c>
      <c r="F63" s="123"/>
      <c r="G63" s="123"/>
      <c r="H63" s="691">
        <f t="shared" ref="H63:AG63" si="1">SUM(H43:H62)</f>
        <v>13144351.932606064</v>
      </c>
      <c r="I63" s="691">
        <f t="shared" si="1"/>
        <v>13896359.240731288</v>
      </c>
      <c r="J63" s="691">
        <f t="shared" si="1"/>
        <v>14916371.079131423</v>
      </c>
      <c r="K63" s="691">
        <f t="shared" si="1"/>
        <v>17030549.199087318</v>
      </c>
      <c r="L63" s="691">
        <f t="shared" si="1"/>
        <v>19145556.651680648</v>
      </c>
      <c r="M63" s="691">
        <f t="shared" si="1"/>
        <v>21261137.681342807</v>
      </c>
      <c r="N63" s="691">
        <f t="shared" si="1"/>
        <v>23375315.8012987</v>
      </c>
      <c r="O63" s="691">
        <f t="shared" si="1"/>
        <v>25491613.472205307</v>
      </c>
      <c r="P63" s="691">
        <f t="shared" si="1"/>
        <v>28058126.002960607</v>
      </c>
      <c r="Q63" s="691">
        <f t="shared" si="1"/>
        <v>30625130.252733592</v>
      </c>
      <c r="R63" s="691">
        <f t="shared" si="1"/>
        <v>33191543.33253837</v>
      </c>
      <c r="S63" s="691">
        <f t="shared" si="1"/>
        <v>35758055.863293685</v>
      </c>
      <c r="T63" s="691">
        <f t="shared" si="1"/>
        <v>38327147.716826081</v>
      </c>
      <c r="U63" s="691">
        <f t="shared" si="1"/>
        <v>39798171.339961834</v>
      </c>
      <c r="V63" s="691">
        <f t="shared" si="1"/>
        <v>40550145.126487046</v>
      </c>
      <c r="W63" s="691">
        <f t="shared" si="1"/>
        <v>41302152.434612274</v>
      </c>
      <c r="X63" s="691">
        <f t="shared" si="1"/>
        <v>42054159.742737494</v>
      </c>
      <c r="Y63" s="691">
        <f t="shared" si="1"/>
        <v>42806739.053522885</v>
      </c>
      <c r="Z63" s="691">
        <f t="shared" si="1"/>
        <v>43558746.361648098</v>
      </c>
      <c r="AA63" s="691">
        <f t="shared" si="1"/>
        <v>44311325.672433481</v>
      </c>
      <c r="AB63" s="691">
        <f t="shared" si="1"/>
        <v>45063332.980558708</v>
      </c>
      <c r="AC63" s="691">
        <f t="shared" si="1"/>
        <v>45815340.288683951</v>
      </c>
      <c r="AD63" s="691">
        <f t="shared" si="1"/>
        <v>46567886.077869318</v>
      </c>
      <c r="AE63" s="691">
        <f t="shared" si="1"/>
        <v>47319893.385994546</v>
      </c>
      <c r="AF63" s="691">
        <f t="shared" si="1"/>
        <v>48071900.694119774</v>
      </c>
      <c r="AG63" s="692">
        <f t="shared" si="1"/>
        <v>48824480.004905149</v>
      </c>
      <c r="AH63" s="47"/>
      <c r="AI63" s="47"/>
      <c r="AJ63" s="47"/>
      <c r="AK63" s="47"/>
      <c r="AL63" s="47"/>
      <c r="AM63" s="47"/>
      <c r="AN63" s="47"/>
    </row>
    <row r="64" spans="1:40" ht="21.9" customHeight="1" x14ac:dyDescent="0.25">
      <c r="A64" s="9"/>
      <c r="B64" s="680"/>
      <c r="C64" s="690"/>
      <c r="D64" s="693" t="s">
        <v>443</v>
      </c>
      <c r="E64" s="1325" t="s">
        <v>315</v>
      </c>
      <c r="F64" s="217" t="s">
        <v>316</v>
      </c>
      <c r="G64" s="217" t="s">
        <v>276</v>
      </c>
      <c r="H64" s="551">
        <f t="shared" ref="H64:AG64" si="2">H22 * (1-$F$15)</f>
        <v>372825.59999999998</v>
      </c>
      <c r="I64" s="551">
        <f t="shared" si="2"/>
        <v>389977.90775999991</v>
      </c>
      <c r="J64" s="551">
        <f t="shared" si="2"/>
        <v>414063.6066</v>
      </c>
      <c r="K64" s="551">
        <f t="shared" si="2"/>
        <v>449396.98775999999</v>
      </c>
      <c r="L64" s="551">
        <f t="shared" si="2"/>
        <v>484743.18479999999</v>
      </c>
      <c r="M64" s="551">
        <f t="shared" si="2"/>
        <v>520090.54691999988</v>
      </c>
      <c r="N64" s="551">
        <f t="shared" si="2"/>
        <v>555423.92807999975</v>
      </c>
      <c r="O64" s="551">
        <f t="shared" si="2"/>
        <v>590784.10607999982</v>
      </c>
      <c r="P64" s="551">
        <f t="shared" si="2"/>
        <v>625727.18543999991</v>
      </c>
      <c r="Q64" s="551">
        <f t="shared" si="2"/>
        <v>660677.25527999992</v>
      </c>
      <c r="R64" s="551">
        <f t="shared" si="2"/>
        <v>695620.3346399999</v>
      </c>
      <c r="S64" s="551">
        <f t="shared" si="2"/>
        <v>730563.41400000011</v>
      </c>
      <c r="T64" s="551">
        <f t="shared" si="2"/>
        <v>765534.45528000011</v>
      </c>
      <c r="U64" s="551">
        <f t="shared" si="2"/>
        <v>789215.87135999999</v>
      </c>
      <c r="V64" s="551">
        <f t="shared" si="2"/>
        <v>806368.17911999975</v>
      </c>
      <c r="W64" s="551">
        <f t="shared" si="2"/>
        <v>823520.48687999975</v>
      </c>
      <c r="X64" s="551">
        <f t="shared" si="2"/>
        <v>840672.79463999998</v>
      </c>
      <c r="Y64" s="551">
        <f t="shared" si="2"/>
        <v>857832.09288000013</v>
      </c>
      <c r="Z64" s="551">
        <f t="shared" si="2"/>
        <v>874984.40064000001</v>
      </c>
      <c r="AA64" s="551">
        <f t="shared" si="2"/>
        <v>892143.69887999981</v>
      </c>
      <c r="AB64" s="551">
        <f t="shared" si="2"/>
        <v>909296.00664000004</v>
      </c>
      <c r="AC64" s="551">
        <f t="shared" si="2"/>
        <v>926448.31439999992</v>
      </c>
      <c r="AD64" s="551">
        <f t="shared" si="2"/>
        <v>943607.61263999983</v>
      </c>
      <c r="AE64" s="551">
        <f t="shared" si="2"/>
        <v>960759.92039999983</v>
      </c>
      <c r="AF64" s="551">
        <f t="shared" si="2"/>
        <v>977912.22815999994</v>
      </c>
      <c r="AG64" s="689">
        <f t="shared" si="2"/>
        <v>995071.52639999986</v>
      </c>
      <c r="AH64" s="5"/>
      <c r="AI64" s="5"/>
      <c r="AJ64" s="5"/>
      <c r="AK64" s="5"/>
      <c r="AL64" s="5"/>
      <c r="AM64" s="5"/>
      <c r="AN64" s="5"/>
    </row>
    <row r="65" spans="1:40" ht="21.9" customHeight="1" x14ac:dyDescent="0.25">
      <c r="A65" s="9"/>
      <c r="B65" s="680"/>
      <c r="C65" s="690"/>
      <c r="D65" s="693"/>
      <c r="E65" s="1327"/>
      <c r="F65" s="114" t="s">
        <v>276</v>
      </c>
      <c r="G65" s="114" t="s">
        <v>274</v>
      </c>
      <c r="H65" s="551">
        <f t="shared" ref="H65:AG65" si="3">H23 * (1-$F$15)</f>
        <v>11988338.727272727</v>
      </c>
      <c r="I65" s="551">
        <f t="shared" si="3"/>
        <v>12652448.291509088</v>
      </c>
      <c r="J65" s="551">
        <f t="shared" si="3"/>
        <v>13422588.0516</v>
      </c>
      <c r="K65" s="551">
        <f t="shared" si="3"/>
        <v>14859634.654963633</v>
      </c>
      <c r="L65" s="551">
        <f t="shared" si="3"/>
        <v>16297214.073381821</v>
      </c>
      <c r="M65" s="551">
        <f t="shared" si="3"/>
        <v>17735059.899327274</v>
      </c>
      <c r="N65" s="551">
        <f t="shared" si="3"/>
        <v>19172106.502690911</v>
      </c>
      <c r="O65" s="551">
        <f t="shared" si="3"/>
        <v>20610529.544945452</v>
      </c>
      <c r="P65" s="551">
        <f t="shared" si="3"/>
        <v>22315626.521999996</v>
      </c>
      <c r="Q65" s="551">
        <f t="shared" si="3"/>
        <v>24021211.912854545</v>
      </c>
      <c r="R65" s="551">
        <f t="shared" si="3"/>
        <v>25726308.889909092</v>
      </c>
      <c r="S65" s="551">
        <f t="shared" si="3"/>
        <v>27431405.866963629</v>
      </c>
      <c r="T65" s="551">
        <f t="shared" si="3"/>
        <v>29138190.091690905</v>
      </c>
      <c r="U65" s="551">
        <f t="shared" si="3"/>
        <v>30175536.601636365</v>
      </c>
      <c r="V65" s="551">
        <f t="shared" si="3"/>
        <v>30839646.165872727</v>
      </c>
      <c r="W65" s="551">
        <f t="shared" si="3"/>
        <v>31503755.730109081</v>
      </c>
      <c r="X65" s="551">
        <f t="shared" si="3"/>
        <v>32167865.294345446</v>
      </c>
      <c r="Y65" s="551">
        <f t="shared" si="3"/>
        <v>32832418.87112727</v>
      </c>
      <c r="Z65" s="551">
        <f t="shared" si="3"/>
        <v>33496528.435363635</v>
      </c>
      <c r="AA65" s="551">
        <f t="shared" si="3"/>
        <v>34161082.012145445</v>
      </c>
      <c r="AB65" s="551">
        <f t="shared" si="3"/>
        <v>34825191.57638181</v>
      </c>
      <c r="AC65" s="551">
        <f t="shared" si="3"/>
        <v>35489301.140618175</v>
      </c>
      <c r="AD65" s="551">
        <f t="shared" si="3"/>
        <v>36153854.717399999</v>
      </c>
      <c r="AE65" s="551">
        <f t="shared" si="3"/>
        <v>36817964.281636365</v>
      </c>
      <c r="AF65" s="551">
        <f t="shared" si="3"/>
        <v>37482073.84587273</v>
      </c>
      <c r="AG65" s="689">
        <f t="shared" si="3"/>
        <v>38146627.422654547</v>
      </c>
      <c r="AH65" s="5"/>
      <c r="AI65" s="5"/>
      <c r="AJ65" s="5"/>
      <c r="AK65" s="5"/>
      <c r="AL65" s="5"/>
      <c r="AM65" s="5"/>
      <c r="AN65" s="5"/>
    </row>
    <row r="66" spans="1:40" ht="21.9" customHeight="1" x14ac:dyDescent="0.25">
      <c r="A66" s="9"/>
      <c r="B66" s="680"/>
      <c r="C66" s="690"/>
      <c r="D66" s="693"/>
      <c r="E66" s="1327"/>
      <c r="F66" s="114" t="s">
        <v>274</v>
      </c>
      <c r="G66" s="114" t="s">
        <v>317</v>
      </c>
      <c r="H66" s="551">
        <f t="shared" ref="H66:AG66" si="4">H24 * (1-$F$15)</f>
        <v>279619.19999999995</v>
      </c>
      <c r="I66" s="551">
        <f t="shared" si="4"/>
        <v>291295.6317599999</v>
      </c>
      <c r="J66" s="551">
        <f t="shared" si="4"/>
        <v>305747.2840799999</v>
      </c>
      <c r="K66" s="551">
        <f t="shared" si="4"/>
        <v>325204.12007999996</v>
      </c>
      <c r="L66" s="551">
        <f t="shared" si="4"/>
        <v>344667.94656000001</v>
      </c>
      <c r="M66" s="551">
        <f t="shared" si="4"/>
        <v>364129.44287999999</v>
      </c>
      <c r="N66" s="551">
        <f t="shared" si="4"/>
        <v>383586.27888</v>
      </c>
      <c r="O66" s="551">
        <f t="shared" si="4"/>
        <v>403057.09584000008</v>
      </c>
      <c r="P66" s="551">
        <f t="shared" si="4"/>
        <v>421922.07119999995</v>
      </c>
      <c r="Q66" s="551">
        <f t="shared" si="4"/>
        <v>440794.03703999985</v>
      </c>
      <c r="R66" s="551">
        <f t="shared" si="4"/>
        <v>459659.01239999995</v>
      </c>
      <c r="S66" s="551">
        <f t="shared" si="4"/>
        <v>478523.98775999993</v>
      </c>
      <c r="T66" s="551">
        <f t="shared" si="4"/>
        <v>497402.94408000004</v>
      </c>
      <c r="U66" s="551">
        <f t="shared" si="4"/>
        <v>511255.74527999992</v>
      </c>
      <c r="V66" s="551">
        <f t="shared" si="4"/>
        <v>522932.17703999998</v>
      </c>
      <c r="W66" s="551">
        <f t="shared" si="4"/>
        <v>534608.60879999993</v>
      </c>
      <c r="X66" s="551">
        <f t="shared" si="4"/>
        <v>546285.04055999988</v>
      </c>
      <c r="Y66" s="551">
        <f t="shared" si="4"/>
        <v>557966.13263999997</v>
      </c>
      <c r="Z66" s="551">
        <f t="shared" si="4"/>
        <v>569642.56439999992</v>
      </c>
      <c r="AA66" s="551">
        <f t="shared" si="4"/>
        <v>581323.65647999989</v>
      </c>
      <c r="AB66" s="551">
        <f t="shared" si="4"/>
        <v>593000.08824000007</v>
      </c>
      <c r="AC66" s="551">
        <f t="shared" si="4"/>
        <v>604676.5199999999</v>
      </c>
      <c r="AD66" s="551">
        <f t="shared" si="4"/>
        <v>616357.61207999999</v>
      </c>
      <c r="AE66" s="551">
        <f t="shared" si="4"/>
        <v>628034.04383999994</v>
      </c>
      <c r="AF66" s="551">
        <f t="shared" si="4"/>
        <v>639710.47559999977</v>
      </c>
      <c r="AG66" s="689">
        <f t="shared" si="4"/>
        <v>651391.56767999998</v>
      </c>
      <c r="AH66" s="5"/>
      <c r="AI66" s="5"/>
      <c r="AJ66" s="5"/>
      <c r="AK66" s="5"/>
      <c r="AL66" s="5"/>
      <c r="AM66" s="5"/>
      <c r="AN66" s="5"/>
    </row>
    <row r="67" spans="1:40" ht="21.9" customHeight="1" x14ac:dyDescent="0.25">
      <c r="A67" s="9"/>
      <c r="B67" s="680"/>
      <c r="C67" s="690"/>
      <c r="D67" s="693"/>
      <c r="E67" s="1325" t="s">
        <v>274</v>
      </c>
      <c r="F67" s="217" t="s">
        <v>275</v>
      </c>
      <c r="G67" s="217" t="s">
        <v>318</v>
      </c>
      <c r="H67" s="551">
        <f t="shared" ref="H67:AG67" si="5">H25 * (1-$F$15)</f>
        <v>2541100.7999999998</v>
      </c>
      <c r="I67" s="551">
        <f t="shared" si="5"/>
        <v>2818366.6610399997</v>
      </c>
      <c r="J67" s="551">
        <f t="shared" si="5"/>
        <v>3111184.0589759992</v>
      </c>
      <c r="K67" s="551">
        <f t="shared" si="5"/>
        <v>4017550.2450719997</v>
      </c>
      <c r="L67" s="551">
        <f t="shared" si="5"/>
        <v>4924373.8293119995</v>
      </c>
      <c r="M67" s="551">
        <f t="shared" si="5"/>
        <v>5831438.8181279991</v>
      </c>
      <c r="N67" s="551">
        <f t="shared" si="5"/>
        <v>6737805.0042239986</v>
      </c>
      <c r="O67" s="551">
        <f t="shared" si="5"/>
        <v>7645422.6824639998</v>
      </c>
      <c r="P67" s="551">
        <f t="shared" si="5"/>
        <v>8863372.2959039975</v>
      </c>
      <c r="Q67" s="551">
        <f t="shared" si="5"/>
        <v>10081861.893263996</v>
      </c>
      <c r="R67" s="551">
        <f t="shared" si="5"/>
        <v>11299811.506703999</v>
      </c>
      <c r="S67" s="551">
        <f t="shared" si="5"/>
        <v>12517761.120144</v>
      </c>
      <c r="T67" s="551">
        <f t="shared" si="5"/>
        <v>13737298.921584001</v>
      </c>
      <c r="U67" s="551">
        <f t="shared" si="5"/>
        <v>14340905.652863996</v>
      </c>
      <c r="V67" s="551">
        <f t="shared" si="5"/>
        <v>14618171.513904</v>
      </c>
      <c r="W67" s="551">
        <f t="shared" si="5"/>
        <v>14895437.374944</v>
      </c>
      <c r="X67" s="551">
        <f t="shared" si="5"/>
        <v>15172703.235983999</v>
      </c>
      <c r="Y67" s="551">
        <f t="shared" si="5"/>
        <v>15450413.789663998</v>
      </c>
      <c r="Z67" s="551">
        <f t="shared" si="5"/>
        <v>15727679.650703995</v>
      </c>
      <c r="AA67" s="551">
        <f t="shared" si="5"/>
        <v>16005390.204383995</v>
      </c>
      <c r="AB67" s="551">
        <f t="shared" si="5"/>
        <v>16282656.065423999</v>
      </c>
      <c r="AC67" s="551">
        <f t="shared" si="5"/>
        <v>16559921.926463999</v>
      </c>
      <c r="AD67" s="551">
        <f t="shared" si="5"/>
        <v>16837632.480144002</v>
      </c>
      <c r="AE67" s="551">
        <f t="shared" si="5"/>
        <v>17114898.341183998</v>
      </c>
      <c r="AF67" s="551">
        <f t="shared" si="5"/>
        <v>17392164.202223994</v>
      </c>
      <c r="AG67" s="689">
        <f t="shared" si="5"/>
        <v>17669874.755904</v>
      </c>
      <c r="AH67" s="5"/>
      <c r="AI67" s="5"/>
      <c r="AJ67" s="5"/>
      <c r="AK67" s="5"/>
      <c r="AL67" s="5"/>
      <c r="AM67" s="5"/>
      <c r="AN67" s="5"/>
    </row>
    <row r="68" spans="1:40" ht="21.9" customHeight="1" x14ac:dyDescent="0.25">
      <c r="A68" s="9"/>
      <c r="B68" s="680"/>
      <c r="C68" s="690"/>
      <c r="D68" s="693"/>
      <c r="E68" s="1327"/>
      <c r="F68" s="114" t="s">
        <v>318</v>
      </c>
      <c r="G68" s="114" t="s">
        <v>308</v>
      </c>
      <c r="H68" s="551">
        <f t="shared" ref="H68:AG68" si="6">H26 * (1-$F$15)</f>
        <v>294335.99999999994</v>
      </c>
      <c r="I68" s="551">
        <f t="shared" si="6"/>
        <v>333448.34879999998</v>
      </c>
      <c r="J68" s="551">
        <f t="shared" si="6"/>
        <v>372585.22560000001</v>
      </c>
      <c r="K68" s="551">
        <f t="shared" si="6"/>
        <v>505002.08639999997</v>
      </c>
      <c r="L68" s="551">
        <f t="shared" si="6"/>
        <v>637445.92799999996</v>
      </c>
      <c r="M68" s="551">
        <f t="shared" si="6"/>
        <v>770009.95680000004</v>
      </c>
      <c r="N68" s="551">
        <f t="shared" si="6"/>
        <v>902426.81759999995</v>
      </c>
      <c r="O68" s="551">
        <f t="shared" si="6"/>
        <v>1034968.7712</v>
      </c>
      <c r="P68" s="551">
        <f t="shared" si="6"/>
        <v>1238480.0399999998</v>
      </c>
      <c r="Q68" s="551">
        <f t="shared" si="6"/>
        <v>1441969.2336000002</v>
      </c>
      <c r="R68" s="551">
        <f t="shared" si="6"/>
        <v>1645478.0496</v>
      </c>
      <c r="S68" s="551">
        <f t="shared" si="6"/>
        <v>1848989.3183999995</v>
      </c>
      <c r="T68" s="551">
        <f t="shared" si="6"/>
        <v>2052699.2640000002</v>
      </c>
      <c r="U68" s="551">
        <f t="shared" si="6"/>
        <v>2162829.9840000002</v>
      </c>
      <c r="V68" s="551">
        <f t="shared" si="6"/>
        <v>2201942.3327999995</v>
      </c>
      <c r="W68" s="551">
        <f t="shared" si="6"/>
        <v>2241054.6815999998</v>
      </c>
      <c r="X68" s="551">
        <f t="shared" si="6"/>
        <v>2280167.0304</v>
      </c>
      <c r="Y68" s="551">
        <f t="shared" si="6"/>
        <v>2319303.9072000002</v>
      </c>
      <c r="Z68" s="551">
        <f t="shared" si="6"/>
        <v>2358416.2560000001</v>
      </c>
      <c r="AA68" s="551">
        <f t="shared" si="6"/>
        <v>2397553.1327999998</v>
      </c>
      <c r="AB68" s="551">
        <f t="shared" si="6"/>
        <v>2436665.4815999996</v>
      </c>
      <c r="AC68" s="551">
        <f t="shared" si="6"/>
        <v>2475777.8303999999</v>
      </c>
      <c r="AD68" s="551">
        <f t="shared" si="6"/>
        <v>2514914.7072000001</v>
      </c>
      <c r="AE68" s="551">
        <f t="shared" si="6"/>
        <v>2554027.0559999999</v>
      </c>
      <c r="AF68" s="551">
        <f t="shared" si="6"/>
        <v>2593139.4047999997</v>
      </c>
      <c r="AG68" s="689">
        <f t="shared" si="6"/>
        <v>2632276.2815999994</v>
      </c>
      <c r="AH68" s="5"/>
      <c r="AI68" s="5"/>
      <c r="AJ68" s="5"/>
      <c r="AK68" s="5"/>
      <c r="AL68" s="5"/>
      <c r="AM68" s="5"/>
      <c r="AN68" s="5"/>
    </row>
    <row r="69" spans="1:40" ht="21.9" customHeight="1" x14ac:dyDescent="0.25">
      <c r="A69" s="9"/>
      <c r="B69" s="680"/>
      <c r="C69" s="690"/>
      <c r="D69" s="693"/>
      <c r="E69" s="1339"/>
      <c r="F69" s="250" t="s">
        <v>308</v>
      </c>
      <c r="G69" s="250" t="s">
        <v>319</v>
      </c>
      <c r="H69" s="551">
        <f t="shared" ref="H69:AG69" si="7">H27 * (1-$F$15)</f>
        <v>3944102.3999999994</v>
      </c>
      <c r="I69" s="551">
        <f t="shared" si="7"/>
        <v>4090382.584512</v>
      </c>
      <c r="J69" s="551">
        <f t="shared" si="7"/>
        <v>4236754.7980799992</v>
      </c>
      <c r="K69" s="551">
        <f t="shared" si="7"/>
        <v>4521012.8315520007</v>
      </c>
      <c r="L69" s="551">
        <f t="shared" si="7"/>
        <v>4805435.2026240006</v>
      </c>
      <c r="M69" s="551">
        <f t="shared" si="7"/>
        <v>5089785.2651519999</v>
      </c>
      <c r="N69" s="551">
        <f t="shared" si="7"/>
        <v>5374043.2986240005</v>
      </c>
      <c r="O69" s="551">
        <f t="shared" si="7"/>
        <v>5658603.7132800007</v>
      </c>
      <c r="P69" s="551">
        <f t="shared" si="7"/>
        <v>6053493.8190720007</v>
      </c>
      <c r="Q69" s="551">
        <f t="shared" si="7"/>
        <v>6448594.2769919997</v>
      </c>
      <c r="R69" s="551">
        <f t="shared" si="7"/>
        <v>6843412.0742399991</v>
      </c>
      <c r="S69" s="551">
        <f t="shared" si="7"/>
        <v>7238302.1800320009</v>
      </c>
      <c r="T69" s="551">
        <f t="shared" si="7"/>
        <v>7633540.6815360012</v>
      </c>
      <c r="U69" s="551">
        <f t="shared" si="7"/>
        <v>7890334.6152959988</v>
      </c>
      <c r="V69" s="551">
        <f t="shared" si="7"/>
        <v>8036614.7998080011</v>
      </c>
      <c r="W69" s="551">
        <f t="shared" si="7"/>
        <v>8182894.9843199998</v>
      </c>
      <c r="X69" s="551">
        <f t="shared" si="7"/>
        <v>8329175.1688320003</v>
      </c>
      <c r="Y69" s="551">
        <f t="shared" si="7"/>
        <v>8475547.3824000005</v>
      </c>
      <c r="Z69" s="551">
        <f t="shared" si="7"/>
        <v>8621827.5669119973</v>
      </c>
      <c r="AA69" s="551">
        <f t="shared" si="7"/>
        <v>8768199.7804799993</v>
      </c>
      <c r="AB69" s="551">
        <f t="shared" si="7"/>
        <v>8914479.9649919998</v>
      </c>
      <c r="AC69" s="551">
        <f t="shared" si="7"/>
        <v>9060760.1495040003</v>
      </c>
      <c r="AD69" s="551">
        <f t="shared" si="7"/>
        <v>9207132.3630720004</v>
      </c>
      <c r="AE69" s="551">
        <f t="shared" si="7"/>
        <v>9353412.547584001</v>
      </c>
      <c r="AF69" s="551">
        <f t="shared" si="7"/>
        <v>9499692.7320960015</v>
      </c>
      <c r="AG69" s="689">
        <f t="shared" si="7"/>
        <v>9646064.9456640016</v>
      </c>
      <c r="AH69" s="5"/>
      <c r="AI69" s="5"/>
      <c r="AJ69" s="5"/>
      <c r="AK69" s="5"/>
      <c r="AL69" s="5"/>
      <c r="AM69" s="5"/>
      <c r="AN69" s="5"/>
    </row>
    <row r="70" spans="1:40" ht="21.9" customHeight="1" x14ac:dyDescent="0.25">
      <c r="A70" s="9"/>
      <c r="B70" s="680"/>
      <c r="C70" s="690"/>
      <c r="D70" s="693"/>
      <c r="E70" s="114" t="s">
        <v>320</v>
      </c>
      <c r="F70" s="114" t="s">
        <v>318</v>
      </c>
      <c r="G70" s="114" t="s">
        <v>308</v>
      </c>
      <c r="H70" s="551">
        <f t="shared" ref="H70:AG70" si="8">H28 * (1-$F$15)</f>
        <v>11528.159999999998</v>
      </c>
      <c r="I70" s="551">
        <f t="shared" si="8"/>
        <v>18664.091039999999</v>
      </c>
      <c r="J70" s="551">
        <f t="shared" si="8"/>
        <v>53248.571039999988</v>
      </c>
      <c r="K70" s="551">
        <f t="shared" si="8"/>
        <v>112584.01056</v>
      </c>
      <c r="L70" s="551">
        <f t="shared" si="8"/>
        <v>171965.56271999999</v>
      </c>
      <c r="M70" s="551">
        <f t="shared" si="8"/>
        <v>231324.05856</v>
      </c>
      <c r="N70" s="551">
        <f t="shared" si="8"/>
        <v>290659.49807999999</v>
      </c>
      <c r="O70" s="551">
        <f t="shared" si="8"/>
        <v>350087.16287999996</v>
      </c>
      <c r="P70" s="551">
        <f t="shared" si="8"/>
        <v>382008.63791999995</v>
      </c>
      <c r="Q70" s="551">
        <f t="shared" si="8"/>
        <v>413976.22559999989</v>
      </c>
      <c r="R70" s="551">
        <f t="shared" si="8"/>
        <v>445909.22879999998</v>
      </c>
      <c r="S70" s="551">
        <f t="shared" si="8"/>
        <v>477830.70384000003</v>
      </c>
      <c r="T70" s="551">
        <f t="shared" si="8"/>
        <v>509832.87599999993</v>
      </c>
      <c r="U70" s="551">
        <f t="shared" si="8"/>
        <v>516968.80703999993</v>
      </c>
      <c r="V70" s="551">
        <f t="shared" si="8"/>
        <v>524104.73808000004</v>
      </c>
      <c r="W70" s="551">
        <f t="shared" si="8"/>
        <v>531240.66911999998</v>
      </c>
      <c r="X70" s="551">
        <f t="shared" si="8"/>
        <v>538376.60015999991</v>
      </c>
      <c r="Y70" s="551">
        <f t="shared" si="8"/>
        <v>545547.11567999993</v>
      </c>
      <c r="Z70" s="551">
        <f t="shared" si="8"/>
        <v>552683.04671999998</v>
      </c>
      <c r="AA70" s="551">
        <f t="shared" si="8"/>
        <v>559853.56224</v>
      </c>
      <c r="AB70" s="551">
        <f t="shared" si="8"/>
        <v>566989.49327999994</v>
      </c>
      <c r="AC70" s="551">
        <f t="shared" si="8"/>
        <v>574125.42431999987</v>
      </c>
      <c r="AD70" s="551">
        <f t="shared" si="8"/>
        <v>581295.93984000001</v>
      </c>
      <c r="AE70" s="551">
        <f t="shared" si="8"/>
        <v>588431.87087999994</v>
      </c>
      <c r="AF70" s="551">
        <f t="shared" si="8"/>
        <v>595567.80191999988</v>
      </c>
      <c r="AG70" s="689">
        <f t="shared" si="8"/>
        <v>602738.3174399999</v>
      </c>
      <c r="AH70" s="5"/>
      <c r="AI70" s="5"/>
      <c r="AJ70" s="5"/>
      <c r="AK70" s="5"/>
      <c r="AL70" s="5"/>
      <c r="AM70" s="5"/>
      <c r="AN70" s="5"/>
    </row>
    <row r="71" spans="1:40" ht="21.9" customHeight="1" x14ac:dyDescent="0.25">
      <c r="A71" s="9"/>
      <c r="B71" s="680"/>
      <c r="C71" s="690"/>
      <c r="D71" s="693"/>
      <c r="E71" s="1325" t="s">
        <v>308</v>
      </c>
      <c r="F71" s="217" t="s">
        <v>276</v>
      </c>
      <c r="G71" s="217" t="s">
        <v>320</v>
      </c>
      <c r="H71" s="551">
        <f t="shared" ref="H71:AG71" si="9">H29 * (1-$F$15)</f>
        <v>33112.799999999996</v>
      </c>
      <c r="I71" s="551">
        <f t="shared" si="9"/>
        <v>33112.799999999996</v>
      </c>
      <c r="J71" s="551">
        <f t="shared" si="9"/>
        <v>387452.87280000007</v>
      </c>
      <c r="K71" s="551">
        <f t="shared" si="9"/>
        <v>741792.94560000009</v>
      </c>
      <c r="L71" s="551">
        <f t="shared" si="9"/>
        <v>1096431.0336</v>
      </c>
      <c r="M71" s="551">
        <f t="shared" si="9"/>
        <v>1450771.1063999999</v>
      </c>
      <c r="N71" s="551">
        <f t="shared" si="9"/>
        <v>1805111.1792000001</v>
      </c>
      <c r="O71" s="551">
        <f t="shared" si="9"/>
        <v>2159749.2671999997</v>
      </c>
      <c r="P71" s="551">
        <f t="shared" si="9"/>
        <v>2159749.2671999997</v>
      </c>
      <c r="Q71" s="551">
        <f t="shared" si="9"/>
        <v>2159749.2671999997</v>
      </c>
      <c r="R71" s="551">
        <f t="shared" si="9"/>
        <v>2159749.2671999997</v>
      </c>
      <c r="S71" s="551">
        <f t="shared" si="9"/>
        <v>2159749.2671999997</v>
      </c>
      <c r="T71" s="551">
        <f t="shared" si="9"/>
        <v>2159749.2671999997</v>
      </c>
      <c r="U71" s="551">
        <f t="shared" si="9"/>
        <v>2159749.2671999997</v>
      </c>
      <c r="V71" s="551">
        <f t="shared" si="9"/>
        <v>2159749.2671999997</v>
      </c>
      <c r="W71" s="551">
        <f t="shared" si="9"/>
        <v>2159749.2671999997</v>
      </c>
      <c r="X71" s="551">
        <f t="shared" si="9"/>
        <v>2159749.2671999997</v>
      </c>
      <c r="Y71" s="551">
        <f t="shared" si="9"/>
        <v>2159749.2671999997</v>
      </c>
      <c r="Z71" s="551">
        <f t="shared" si="9"/>
        <v>2159749.2671999997</v>
      </c>
      <c r="AA71" s="551">
        <f t="shared" si="9"/>
        <v>2159749.2671999997</v>
      </c>
      <c r="AB71" s="551">
        <f t="shared" si="9"/>
        <v>2159749.2671999997</v>
      </c>
      <c r="AC71" s="551">
        <f t="shared" si="9"/>
        <v>2159749.2671999997</v>
      </c>
      <c r="AD71" s="551">
        <f t="shared" si="9"/>
        <v>2159749.2671999997</v>
      </c>
      <c r="AE71" s="551">
        <f t="shared" si="9"/>
        <v>2159749.2671999997</v>
      </c>
      <c r="AF71" s="551">
        <f t="shared" si="9"/>
        <v>2159749.2671999997</v>
      </c>
      <c r="AG71" s="689">
        <f t="shared" si="9"/>
        <v>2159749.2671999997</v>
      </c>
      <c r="AH71" s="5"/>
      <c r="AI71" s="5"/>
      <c r="AJ71" s="5"/>
      <c r="AK71" s="5"/>
      <c r="AL71" s="5"/>
      <c r="AM71" s="5"/>
      <c r="AN71" s="5"/>
    </row>
    <row r="72" spans="1:40" ht="21.9" customHeight="1" x14ac:dyDescent="0.25">
      <c r="A72" s="9"/>
      <c r="B72" s="680"/>
      <c r="C72" s="690"/>
      <c r="D72" s="693"/>
      <c r="E72" s="1327"/>
      <c r="F72" s="114" t="s">
        <v>320</v>
      </c>
      <c r="G72" s="114" t="s">
        <v>282</v>
      </c>
      <c r="H72" s="551">
        <f t="shared" ref="H72:AG72" si="10">H30 * (1-$F$15)</f>
        <v>15109.248000000001</v>
      </c>
      <c r="I72" s="551">
        <f t="shared" si="10"/>
        <v>28707.571200000002</v>
      </c>
      <c r="J72" s="551">
        <f t="shared" si="10"/>
        <v>42305.894399999997</v>
      </c>
      <c r="K72" s="551">
        <f t="shared" si="10"/>
        <v>92029.055999999997</v>
      </c>
      <c r="L72" s="551">
        <f t="shared" si="10"/>
        <v>141683.5392</v>
      </c>
      <c r="M72" s="551">
        <f t="shared" si="10"/>
        <v>191475.3792</v>
      </c>
      <c r="N72" s="551">
        <f t="shared" si="10"/>
        <v>241198.54079999999</v>
      </c>
      <c r="O72" s="551">
        <f t="shared" si="10"/>
        <v>290921.70240000001</v>
      </c>
      <c r="P72" s="551">
        <f t="shared" si="10"/>
        <v>377387.80799999996</v>
      </c>
      <c r="Q72" s="551">
        <f t="shared" si="10"/>
        <v>463785.2352</v>
      </c>
      <c r="R72" s="551">
        <f t="shared" si="10"/>
        <v>550182.66240000003</v>
      </c>
      <c r="S72" s="551">
        <f t="shared" si="10"/>
        <v>636648.76800000004</v>
      </c>
      <c r="T72" s="551">
        <f t="shared" si="10"/>
        <v>723114.87359999993</v>
      </c>
      <c r="U72" s="551">
        <f t="shared" si="10"/>
        <v>773456.14080000005</v>
      </c>
      <c r="V72" s="551">
        <f t="shared" si="10"/>
        <v>786985.78559999994</v>
      </c>
      <c r="W72" s="551">
        <f t="shared" si="10"/>
        <v>800584.10880000005</v>
      </c>
      <c r="X72" s="551">
        <f t="shared" si="10"/>
        <v>814182.43199999991</v>
      </c>
      <c r="Y72" s="551">
        <f t="shared" si="10"/>
        <v>827780.75520000001</v>
      </c>
      <c r="Z72" s="551">
        <f t="shared" si="10"/>
        <v>841379.0784</v>
      </c>
      <c r="AA72" s="551">
        <f t="shared" si="10"/>
        <v>854977.40159999998</v>
      </c>
      <c r="AB72" s="551">
        <f t="shared" si="10"/>
        <v>868575.72479999997</v>
      </c>
      <c r="AC72" s="551">
        <f t="shared" si="10"/>
        <v>882174.04800000007</v>
      </c>
      <c r="AD72" s="551">
        <f t="shared" si="10"/>
        <v>895703.69279999996</v>
      </c>
      <c r="AE72" s="551">
        <f t="shared" si="10"/>
        <v>909302.01600000006</v>
      </c>
      <c r="AF72" s="551">
        <f t="shared" si="10"/>
        <v>922900.33919999993</v>
      </c>
      <c r="AG72" s="689">
        <f t="shared" si="10"/>
        <v>936498.66240000003</v>
      </c>
      <c r="AH72" s="5"/>
      <c r="AI72" s="5"/>
      <c r="AJ72" s="5"/>
      <c r="AK72" s="5"/>
      <c r="AL72" s="5"/>
      <c r="AM72" s="5"/>
      <c r="AN72" s="5"/>
    </row>
    <row r="73" spans="1:40" ht="21.9" customHeight="1" x14ac:dyDescent="0.25">
      <c r="A73" s="9"/>
      <c r="B73" s="680"/>
      <c r="C73" s="690"/>
      <c r="D73" s="693"/>
      <c r="E73" s="1327"/>
      <c r="F73" s="114" t="s">
        <v>282</v>
      </c>
      <c r="G73" s="114" t="s">
        <v>321</v>
      </c>
      <c r="H73" s="551">
        <f t="shared" ref="H73:AG73" si="11">H31 * (1-$F$15)</f>
        <v>53716.319999999992</v>
      </c>
      <c r="I73" s="551">
        <f t="shared" si="11"/>
        <v>102037.73092799999</v>
      </c>
      <c r="J73" s="551">
        <f t="shared" si="11"/>
        <v>150343.02696000002</v>
      </c>
      <c r="K73" s="551">
        <f t="shared" si="11"/>
        <v>327064.34812799993</v>
      </c>
      <c r="L73" s="551">
        <f t="shared" si="11"/>
        <v>503792.83147199999</v>
      </c>
      <c r="M73" s="551">
        <f t="shared" si="11"/>
        <v>680746.92336000002</v>
      </c>
      <c r="N73" s="551">
        <f t="shared" si="11"/>
        <v>857468.24452799989</v>
      </c>
      <c r="O73" s="551">
        <f t="shared" si="11"/>
        <v>1034296.9983359999</v>
      </c>
      <c r="P73" s="551">
        <f t="shared" si="11"/>
        <v>1341602.6934239999</v>
      </c>
      <c r="Q73" s="551">
        <f t="shared" si="11"/>
        <v>1648783.0504320001</v>
      </c>
      <c r="R73" s="551">
        <f t="shared" si="11"/>
        <v>1956065.4684479993</v>
      </c>
      <c r="S73" s="551">
        <f t="shared" si="11"/>
        <v>2263371.1635360001</v>
      </c>
      <c r="T73" s="551">
        <f t="shared" si="11"/>
        <v>2570900.6766239996</v>
      </c>
      <c r="U73" s="551">
        <f t="shared" si="11"/>
        <v>2749666.7990399995</v>
      </c>
      <c r="V73" s="551">
        <f t="shared" si="11"/>
        <v>2797988.2099679997</v>
      </c>
      <c r="W73" s="551">
        <f t="shared" si="11"/>
        <v>2846309.6208959995</v>
      </c>
      <c r="X73" s="551">
        <f t="shared" si="11"/>
        <v>2894631.0318239992</v>
      </c>
      <c r="Y73" s="551">
        <f t="shared" si="11"/>
        <v>2942936.3278559991</v>
      </c>
      <c r="Z73" s="551">
        <f t="shared" si="11"/>
        <v>2991257.7387839998</v>
      </c>
      <c r="AA73" s="551">
        <f t="shared" si="11"/>
        <v>3039563.0348159997</v>
      </c>
      <c r="AB73" s="551">
        <f t="shared" si="11"/>
        <v>3087884.4457439994</v>
      </c>
      <c r="AC73" s="551">
        <f t="shared" si="11"/>
        <v>3136205.8566719997</v>
      </c>
      <c r="AD73" s="551">
        <f t="shared" si="11"/>
        <v>3184511.152704</v>
      </c>
      <c r="AE73" s="551">
        <f t="shared" si="11"/>
        <v>3232832.5636320002</v>
      </c>
      <c r="AF73" s="551">
        <f t="shared" si="11"/>
        <v>3281153.97456</v>
      </c>
      <c r="AG73" s="689">
        <f t="shared" si="11"/>
        <v>3329459.2705919994</v>
      </c>
      <c r="AH73" s="5"/>
      <c r="AI73" s="5"/>
      <c r="AJ73" s="5"/>
      <c r="AK73" s="5"/>
      <c r="AL73" s="5"/>
      <c r="AM73" s="5"/>
      <c r="AN73" s="5"/>
    </row>
    <row r="74" spans="1:40" ht="21.9" customHeight="1" x14ac:dyDescent="0.25">
      <c r="A74" s="9"/>
      <c r="B74" s="680"/>
      <c r="C74" s="690"/>
      <c r="D74" s="693"/>
      <c r="E74" s="1339"/>
      <c r="F74" s="250" t="s">
        <v>321</v>
      </c>
      <c r="G74" s="250" t="s">
        <v>274</v>
      </c>
      <c r="H74" s="551">
        <f t="shared" ref="H74:AG74" si="12">H32 * (1-$F$15)</f>
        <v>77263.199999999997</v>
      </c>
      <c r="I74" s="551">
        <f t="shared" si="12"/>
        <v>146766.59927999997</v>
      </c>
      <c r="J74" s="551">
        <f t="shared" si="12"/>
        <v>216246.81960000002</v>
      </c>
      <c r="K74" s="551">
        <f t="shared" si="12"/>
        <v>470435.02127999993</v>
      </c>
      <c r="L74" s="551">
        <f t="shared" si="12"/>
        <v>724633.52471999999</v>
      </c>
      <c r="M74" s="551">
        <f t="shared" si="12"/>
        <v>979156.53360000008</v>
      </c>
      <c r="N74" s="551">
        <f t="shared" si="12"/>
        <v>1233344.7352800001</v>
      </c>
      <c r="O74" s="551">
        <f t="shared" si="12"/>
        <v>1487687.4633600002</v>
      </c>
      <c r="P74" s="551">
        <f t="shared" si="12"/>
        <v>1929702.5042400002</v>
      </c>
      <c r="Q74" s="551">
        <f t="shared" si="12"/>
        <v>2371537.2643200001</v>
      </c>
      <c r="R74" s="551">
        <f t="shared" si="12"/>
        <v>2813518.8244799995</v>
      </c>
      <c r="S74" s="551">
        <f t="shared" si="12"/>
        <v>3255533.8653600002</v>
      </c>
      <c r="T74" s="551">
        <f t="shared" si="12"/>
        <v>3697870.8362399996</v>
      </c>
      <c r="U74" s="551">
        <f t="shared" si="12"/>
        <v>3955000.1903999993</v>
      </c>
      <c r="V74" s="551">
        <f t="shared" si="12"/>
        <v>4024503.5896799997</v>
      </c>
      <c r="W74" s="551">
        <f t="shared" si="12"/>
        <v>4094006.9889599993</v>
      </c>
      <c r="X74" s="551">
        <f t="shared" si="12"/>
        <v>4163510.3882399993</v>
      </c>
      <c r="Y74" s="551">
        <f t="shared" si="12"/>
        <v>4232990.6085599996</v>
      </c>
      <c r="Z74" s="551">
        <f t="shared" si="12"/>
        <v>4302494.0078400001</v>
      </c>
      <c r="AA74" s="551">
        <f t="shared" si="12"/>
        <v>4371974.2281599995</v>
      </c>
      <c r="AB74" s="551">
        <f t="shared" si="12"/>
        <v>4441477.627439999</v>
      </c>
      <c r="AC74" s="551">
        <f t="shared" si="12"/>
        <v>4510981.0267200004</v>
      </c>
      <c r="AD74" s="551">
        <f t="shared" si="12"/>
        <v>4580461.2470399998</v>
      </c>
      <c r="AE74" s="551">
        <f t="shared" si="12"/>
        <v>4649964.6463200003</v>
      </c>
      <c r="AF74" s="551">
        <f t="shared" si="12"/>
        <v>4719468.0456000008</v>
      </c>
      <c r="AG74" s="689">
        <f t="shared" si="12"/>
        <v>4788948.2659200002</v>
      </c>
      <c r="AH74" s="5"/>
      <c r="AI74" s="5"/>
      <c r="AJ74" s="5"/>
      <c r="AK74" s="5"/>
      <c r="AL74" s="5"/>
      <c r="AM74" s="5"/>
      <c r="AN74" s="5"/>
    </row>
    <row r="75" spans="1:40" ht="21.9" customHeight="1" x14ac:dyDescent="0.25">
      <c r="A75" s="9"/>
      <c r="B75" s="680"/>
      <c r="C75" s="690"/>
      <c r="D75" s="693"/>
      <c r="E75" s="114" t="s">
        <v>282</v>
      </c>
      <c r="F75" s="114" t="s">
        <v>308</v>
      </c>
      <c r="G75" s="114" t="s">
        <v>324</v>
      </c>
      <c r="H75" s="551">
        <f t="shared" ref="H75:AG75" si="13">H33 * (1-$F$15)</f>
        <v>441503.99999999994</v>
      </c>
      <c r="I75" s="551">
        <f t="shared" si="13"/>
        <v>458055.49439999991</v>
      </c>
      <c r="J75" s="551">
        <f t="shared" si="13"/>
        <v>483373.29599999997</v>
      </c>
      <c r="K75" s="551">
        <f t="shared" si="13"/>
        <v>563812.87200000009</v>
      </c>
      <c r="L75" s="551">
        <f t="shared" si="13"/>
        <v>644264.71199999994</v>
      </c>
      <c r="M75" s="551">
        <f t="shared" si="13"/>
        <v>724802.39999999979</v>
      </c>
      <c r="N75" s="551">
        <f t="shared" si="13"/>
        <v>805241.97599999991</v>
      </c>
      <c r="O75" s="551">
        <f t="shared" si="13"/>
        <v>885760.0416</v>
      </c>
      <c r="P75" s="551">
        <f t="shared" si="13"/>
        <v>991850.99999999988</v>
      </c>
      <c r="Q75" s="551">
        <f t="shared" si="13"/>
        <v>1097914.9775999999</v>
      </c>
      <c r="R75" s="551">
        <f t="shared" si="13"/>
        <v>1204018.2</v>
      </c>
      <c r="S75" s="551">
        <f t="shared" si="13"/>
        <v>1310109.1584000003</v>
      </c>
      <c r="T75" s="551">
        <f t="shared" si="13"/>
        <v>1416320.3039999998</v>
      </c>
      <c r="U75" s="551">
        <f t="shared" si="13"/>
        <v>1467235.5263999996</v>
      </c>
      <c r="V75" s="551">
        <f t="shared" si="13"/>
        <v>1483787.0207999998</v>
      </c>
      <c r="W75" s="551">
        <f t="shared" si="13"/>
        <v>1500338.5151999996</v>
      </c>
      <c r="X75" s="551">
        <f t="shared" si="13"/>
        <v>1516890.0095999998</v>
      </c>
      <c r="Y75" s="551">
        <f t="shared" si="13"/>
        <v>1533458.6735999996</v>
      </c>
      <c r="Z75" s="551">
        <f t="shared" si="13"/>
        <v>1550010.1679999996</v>
      </c>
      <c r="AA75" s="551">
        <f t="shared" si="13"/>
        <v>1566578.8319999999</v>
      </c>
      <c r="AB75" s="551">
        <f t="shared" si="13"/>
        <v>1583130.3263999999</v>
      </c>
      <c r="AC75" s="551">
        <f t="shared" si="13"/>
        <v>1599681.8207999999</v>
      </c>
      <c r="AD75" s="551">
        <f t="shared" si="13"/>
        <v>1616250.4847999997</v>
      </c>
      <c r="AE75" s="551">
        <f t="shared" si="13"/>
        <v>1632801.9792000002</v>
      </c>
      <c r="AF75" s="551">
        <f t="shared" si="13"/>
        <v>1649353.4735999997</v>
      </c>
      <c r="AG75" s="689">
        <f t="shared" si="13"/>
        <v>1665922.1375999998</v>
      </c>
      <c r="AH75" s="5"/>
      <c r="AI75" s="5"/>
      <c r="AJ75" s="5"/>
      <c r="AK75" s="5"/>
      <c r="AL75" s="5"/>
      <c r="AM75" s="5"/>
      <c r="AN75" s="5"/>
    </row>
    <row r="76" spans="1:40" ht="21.9" customHeight="1" x14ac:dyDescent="0.25">
      <c r="A76" s="9"/>
      <c r="B76" s="680"/>
      <c r="C76" s="690"/>
      <c r="D76" s="693"/>
      <c r="E76" s="273" t="s">
        <v>321</v>
      </c>
      <c r="F76" s="273" t="s">
        <v>318</v>
      </c>
      <c r="G76" s="273" t="s">
        <v>308</v>
      </c>
      <c r="H76" s="551">
        <f t="shared" ref="H76:AG76" si="14">H34 * (1-$F$15)</f>
        <v>0</v>
      </c>
      <c r="I76" s="551">
        <f t="shared" si="14"/>
        <v>0</v>
      </c>
      <c r="J76" s="551">
        <f t="shared" si="14"/>
        <v>0</v>
      </c>
      <c r="K76" s="551">
        <f t="shared" si="14"/>
        <v>0</v>
      </c>
      <c r="L76" s="551">
        <f t="shared" si="14"/>
        <v>0</v>
      </c>
      <c r="M76" s="551">
        <f t="shared" si="14"/>
        <v>0</v>
      </c>
      <c r="N76" s="551">
        <f t="shared" si="14"/>
        <v>0</v>
      </c>
      <c r="O76" s="551">
        <f t="shared" si="14"/>
        <v>0</v>
      </c>
      <c r="P76" s="551">
        <f t="shared" si="14"/>
        <v>0</v>
      </c>
      <c r="Q76" s="551">
        <f t="shared" si="14"/>
        <v>0</v>
      </c>
      <c r="R76" s="551">
        <f t="shared" si="14"/>
        <v>0</v>
      </c>
      <c r="S76" s="551">
        <f t="shared" si="14"/>
        <v>0</v>
      </c>
      <c r="T76" s="551">
        <f t="shared" si="14"/>
        <v>0</v>
      </c>
      <c r="U76" s="551">
        <f t="shared" si="14"/>
        <v>0</v>
      </c>
      <c r="V76" s="551">
        <f t="shared" si="14"/>
        <v>0</v>
      </c>
      <c r="W76" s="551">
        <f t="shared" si="14"/>
        <v>0</v>
      </c>
      <c r="X76" s="551">
        <f t="shared" si="14"/>
        <v>0</v>
      </c>
      <c r="Y76" s="551">
        <f t="shared" si="14"/>
        <v>0</v>
      </c>
      <c r="Z76" s="551">
        <f t="shared" si="14"/>
        <v>0</v>
      </c>
      <c r="AA76" s="551">
        <f t="shared" si="14"/>
        <v>0</v>
      </c>
      <c r="AB76" s="551">
        <f t="shared" si="14"/>
        <v>0</v>
      </c>
      <c r="AC76" s="551">
        <f t="shared" si="14"/>
        <v>0</v>
      </c>
      <c r="AD76" s="551">
        <f t="shared" si="14"/>
        <v>0</v>
      </c>
      <c r="AE76" s="551">
        <f t="shared" si="14"/>
        <v>0</v>
      </c>
      <c r="AF76" s="551">
        <f t="shared" si="14"/>
        <v>0</v>
      </c>
      <c r="AG76" s="689">
        <f t="shared" si="14"/>
        <v>0</v>
      </c>
      <c r="AH76" s="5"/>
      <c r="AI76" s="5"/>
      <c r="AJ76" s="5"/>
      <c r="AK76" s="5"/>
      <c r="AL76" s="5"/>
      <c r="AM76" s="5"/>
      <c r="AN76" s="5"/>
    </row>
    <row r="77" spans="1:40" ht="21.9" customHeight="1" x14ac:dyDescent="0.25">
      <c r="A77" s="9"/>
      <c r="B77" s="680"/>
      <c r="C77" s="690"/>
      <c r="D77" s="693"/>
      <c r="E77" s="273" t="s">
        <v>333</v>
      </c>
      <c r="F77" s="273" t="s">
        <v>319</v>
      </c>
      <c r="G77" s="273" t="s">
        <v>308</v>
      </c>
      <c r="H77" s="551">
        <f t="shared" ref="H77:AG77" si="15">H35 * (1-$F$15)</f>
        <v>818789.23636363621</v>
      </c>
      <c r="I77" s="551">
        <f t="shared" si="15"/>
        <v>831444.07889454521</v>
      </c>
      <c r="J77" s="551">
        <f t="shared" si="15"/>
        <v>852236.77666909073</v>
      </c>
      <c r="K77" s="551">
        <f t="shared" si="15"/>
        <v>922905.11101090896</v>
      </c>
      <c r="L77" s="551">
        <f t="shared" si="15"/>
        <v>993582.54301090899</v>
      </c>
      <c r="M77" s="551">
        <f t="shared" si="15"/>
        <v>1064341.8539345451</v>
      </c>
      <c r="N77" s="551">
        <f t="shared" si="15"/>
        <v>1135010.1882763633</v>
      </c>
      <c r="O77" s="551">
        <f t="shared" si="15"/>
        <v>1205758.1271272725</v>
      </c>
      <c r="P77" s="551">
        <f t="shared" si="15"/>
        <v>1289579.4007854541</v>
      </c>
      <c r="Q77" s="551">
        <f t="shared" si="15"/>
        <v>1373382.4791272723</v>
      </c>
      <c r="R77" s="551">
        <f t="shared" si="15"/>
        <v>1457226.4969309086</v>
      </c>
      <c r="S77" s="551">
        <f t="shared" si="15"/>
        <v>1541047.7705890909</v>
      </c>
      <c r="T77" s="551">
        <f t="shared" si="15"/>
        <v>1624987.313803636</v>
      </c>
      <c r="U77" s="551">
        <f t="shared" si="15"/>
        <v>1658885.1881890907</v>
      </c>
      <c r="V77" s="551">
        <f t="shared" si="15"/>
        <v>1671540.0307199995</v>
      </c>
      <c r="W77" s="551">
        <f t="shared" si="15"/>
        <v>1684194.8732509091</v>
      </c>
      <c r="X77" s="551">
        <f t="shared" si="15"/>
        <v>1696849.7157818181</v>
      </c>
      <c r="Y77" s="551">
        <f t="shared" si="15"/>
        <v>1709529.5768727271</v>
      </c>
      <c r="Z77" s="551">
        <f t="shared" si="15"/>
        <v>1722184.4194036361</v>
      </c>
      <c r="AA77" s="551">
        <f t="shared" si="15"/>
        <v>1734864.2804945451</v>
      </c>
      <c r="AB77" s="551">
        <f t="shared" si="15"/>
        <v>1747519.1230254546</v>
      </c>
      <c r="AC77" s="551">
        <f t="shared" si="15"/>
        <v>1760173.9655563636</v>
      </c>
      <c r="AD77" s="551">
        <f t="shared" si="15"/>
        <v>1772853.8266472726</v>
      </c>
      <c r="AE77" s="551">
        <f t="shared" si="15"/>
        <v>1785508.6691781816</v>
      </c>
      <c r="AF77" s="551">
        <f t="shared" si="15"/>
        <v>1798163.511709091</v>
      </c>
      <c r="AG77" s="689">
        <f t="shared" si="15"/>
        <v>1810843.3727999998</v>
      </c>
      <c r="AH77" s="5"/>
      <c r="AI77" s="5"/>
      <c r="AJ77" s="5"/>
      <c r="AK77" s="5"/>
      <c r="AL77" s="5"/>
      <c r="AM77" s="5"/>
      <c r="AN77" s="5"/>
    </row>
    <row r="78" spans="1:40" ht="21.9" customHeight="1" x14ac:dyDescent="0.25">
      <c r="A78" s="9"/>
      <c r="B78" s="680"/>
      <c r="C78" s="690"/>
      <c r="D78" s="693"/>
      <c r="E78" s="114" t="s">
        <v>319</v>
      </c>
      <c r="F78" s="114" t="s">
        <v>276</v>
      </c>
      <c r="G78" s="114" t="s">
        <v>333</v>
      </c>
      <c r="H78" s="551">
        <f t="shared" ref="H78:AG78" si="16">H36 * (1-$F$15)</f>
        <v>2940572.7272727275</v>
      </c>
      <c r="I78" s="551">
        <f t="shared" si="16"/>
        <v>3049917.9241363634</v>
      </c>
      <c r="J78" s="551">
        <f t="shared" si="16"/>
        <v>3166314.6143999994</v>
      </c>
      <c r="K78" s="551">
        <f t="shared" si="16"/>
        <v>3424535.1272999994</v>
      </c>
      <c r="L78" s="551">
        <f t="shared" si="16"/>
        <v>3682820.3328000004</v>
      </c>
      <c r="M78" s="551">
        <f t="shared" si="16"/>
        <v>3941246.6857909095</v>
      </c>
      <c r="N78" s="551">
        <f t="shared" si="16"/>
        <v>4199467.1986909099</v>
      </c>
      <c r="O78" s="551">
        <f t="shared" si="16"/>
        <v>4457914.1356909098</v>
      </c>
      <c r="P78" s="551">
        <f t="shared" si="16"/>
        <v>4805372.2091454538</v>
      </c>
      <c r="Q78" s="551">
        <f t="shared" si="16"/>
        <v>5152844.9854636351</v>
      </c>
      <c r="R78" s="551">
        <f t="shared" si="16"/>
        <v>5500303.0589181799</v>
      </c>
      <c r="S78" s="551">
        <f t="shared" si="16"/>
        <v>5847761.1323727267</v>
      </c>
      <c r="T78" s="551">
        <f t="shared" si="16"/>
        <v>6195542.668827273</v>
      </c>
      <c r="U78" s="551">
        <f t="shared" si="16"/>
        <v>6401015.188145454</v>
      </c>
      <c r="V78" s="551">
        <f t="shared" si="16"/>
        <v>6510360.3850090904</v>
      </c>
      <c r="W78" s="551">
        <f t="shared" si="16"/>
        <v>6619705.5818727249</v>
      </c>
      <c r="X78" s="551">
        <f t="shared" si="16"/>
        <v>6729050.7787363622</v>
      </c>
      <c r="Y78" s="551">
        <f t="shared" si="16"/>
        <v>6838454.7870545443</v>
      </c>
      <c r="Z78" s="551">
        <f t="shared" si="16"/>
        <v>6947799.9839181807</v>
      </c>
      <c r="AA78" s="551">
        <f t="shared" si="16"/>
        <v>7057203.9922363628</v>
      </c>
      <c r="AB78" s="551">
        <f t="shared" si="16"/>
        <v>7166549.189100001</v>
      </c>
      <c r="AC78" s="551">
        <f t="shared" si="16"/>
        <v>7275894.3859636355</v>
      </c>
      <c r="AD78" s="551">
        <f t="shared" si="16"/>
        <v>7385298.3942818167</v>
      </c>
      <c r="AE78" s="551">
        <f t="shared" si="16"/>
        <v>7494643.591145454</v>
      </c>
      <c r="AF78" s="551">
        <f t="shared" si="16"/>
        <v>7603988.7880090903</v>
      </c>
      <c r="AG78" s="689">
        <f t="shared" si="16"/>
        <v>7713392.7963272724</v>
      </c>
      <c r="AH78" s="5"/>
      <c r="AI78" s="5"/>
      <c r="AJ78" s="5"/>
      <c r="AK78" s="5"/>
      <c r="AL78" s="5"/>
      <c r="AM78" s="5"/>
      <c r="AN78" s="5"/>
    </row>
    <row r="79" spans="1:40" ht="21.9" customHeight="1" x14ac:dyDescent="0.25">
      <c r="A79" s="9"/>
      <c r="B79" s="680"/>
      <c r="C79" s="690"/>
      <c r="D79" s="693"/>
      <c r="E79" s="114"/>
      <c r="F79" s="114" t="s">
        <v>333</v>
      </c>
      <c r="G79" s="114" t="s">
        <v>323</v>
      </c>
      <c r="H79" s="551">
        <f t="shared" ref="H79:AG79" si="17">H37 * (1-$F$15)</f>
        <v>428255.16363636364</v>
      </c>
      <c r="I79" s="551">
        <f t="shared" si="17"/>
        <v>443494.84903181816</v>
      </c>
      <c r="J79" s="551">
        <f t="shared" si="17"/>
        <v>460080.15723090898</v>
      </c>
      <c r="K79" s="551">
        <f t="shared" si="17"/>
        <v>491789.63463000004</v>
      </c>
      <c r="L79" s="551">
        <f t="shared" si="17"/>
        <v>523511.50888909091</v>
      </c>
      <c r="M79" s="551">
        <f t="shared" si="17"/>
        <v>555237.89109727275</v>
      </c>
      <c r="N79" s="551">
        <f t="shared" si="17"/>
        <v>586947.36849636352</v>
      </c>
      <c r="O79" s="551">
        <f t="shared" si="17"/>
        <v>618683.33009636356</v>
      </c>
      <c r="P79" s="551">
        <f t="shared" si="17"/>
        <v>662224.48337818158</v>
      </c>
      <c r="Q79" s="551">
        <f t="shared" si="17"/>
        <v>705774.08906454523</v>
      </c>
      <c r="R79" s="551">
        <f t="shared" si="17"/>
        <v>749309.60740999994</v>
      </c>
      <c r="S79" s="551">
        <f t="shared" si="17"/>
        <v>792850.76069181808</v>
      </c>
      <c r="T79" s="551">
        <f t="shared" si="17"/>
        <v>836425.72359181789</v>
      </c>
      <c r="U79" s="551">
        <f t="shared" si="17"/>
        <v>864822.98539636354</v>
      </c>
      <c r="V79" s="551">
        <f t="shared" si="17"/>
        <v>880062.67079181795</v>
      </c>
      <c r="W79" s="551">
        <f t="shared" si="17"/>
        <v>895302.35618727258</v>
      </c>
      <c r="X79" s="551">
        <f t="shared" si="17"/>
        <v>910542.04158272711</v>
      </c>
      <c r="Y79" s="551">
        <f t="shared" si="17"/>
        <v>925787.3619145453</v>
      </c>
      <c r="Z79" s="551">
        <f t="shared" si="17"/>
        <v>941027.04730999947</v>
      </c>
      <c r="AA79" s="551">
        <f t="shared" si="17"/>
        <v>956272.36764181813</v>
      </c>
      <c r="AB79" s="551">
        <f t="shared" si="17"/>
        <v>971512.05303727265</v>
      </c>
      <c r="AC79" s="551">
        <f t="shared" si="17"/>
        <v>986751.73843272706</v>
      </c>
      <c r="AD79" s="551">
        <f t="shared" si="17"/>
        <v>1001997.0587645454</v>
      </c>
      <c r="AE79" s="551">
        <f t="shared" si="17"/>
        <v>1017236.7441599999</v>
      </c>
      <c r="AF79" s="551">
        <f t="shared" si="17"/>
        <v>1032476.4295554544</v>
      </c>
      <c r="AG79" s="689">
        <f t="shared" si="17"/>
        <v>1047721.7498872725</v>
      </c>
      <c r="AH79" s="5"/>
      <c r="AI79" s="5"/>
      <c r="AJ79" s="5"/>
      <c r="AK79" s="5"/>
      <c r="AL79" s="5"/>
      <c r="AM79" s="5"/>
      <c r="AN79" s="5"/>
    </row>
    <row r="80" spans="1:40" ht="21.9" customHeight="1" x14ac:dyDescent="0.25">
      <c r="A80" s="9"/>
      <c r="B80" s="680"/>
      <c r="C80" s="690"/>
      <c r="D80" s="693"/>
      <c r="E80" s="114"/>
      <c r="F80" s="114" t="s">
        <v>323</v>
      </c>
      <c r="G80" s="114" t="s">
        <v>322</v>
      </c>
      <c r="H80" s="551">
        <f t="shared" ref="H80:AG80" si="18">H38 * (1-$F$15)</f>
        <v>105916.36363636362</v>
      </c>
      <c r="I80" s="551">
        <f t="shared" si="18"/>
        <v>109685.45318181817</v>
      </c>
      <c r="J80" s="551">
        <f t="shared" si="18"/>
        <v>113787.34309090907</v>
      </c>
      <c r="K80" s="551">
        <f t="shared" si="18"/>
        <v>121629.75300000001</v>
      </c>
      <c r="L80" s="551">
        <f t="shared" si="18"/>
        <v>129475.22890909092</v>
      </c>
      <c r="M80" s="551">
        <f t="shared" si="18"/>
        <v>137321.8197272727</v>
      </c>
      <c r="N80" s="551">
        <f t="shared" si="18"/>
        <v>145164.22963636363</v>
      </c>
      <c r="O80" s="551">
        <f t="shared" si="18"/>
        <v>153013.18963636362</v>
      </c>
      <c r="P80" s="551">
        <f t="shared" si="18"/>
        <v>163781.81781818176</v>
      </c>
      <c r="Q80" s="551">
        <f t="shared" si="18"/>
        <v>174552.53645454539</v>
      </c>
      <c r="R80" s="551">
        <f t="shared" si="18"/>
        <v>185319.77099999998</v>
      </c>
      <c r="S80" s="551">
        <f t="shared" si="18"/>
        <v>196088.39918181815</v>
      </c>
      <c r="T80" s="551">
        <f t="shared" si="18"/>
        <v>206865.38918181811</v>
      </c>
      <c r="U80" s="551">
        <f t="shared" si="18"/>
        <v>213888.61963636361</v>
      </c>
      <c r="V80" s="551">
        <f t="shared" si="18"/>
        <v>217657.70918181812</v>
      </c>
      <c r="W80" s="551">
        <f t="shared" si="18"/>
        <v>221426.79872727269</v>
      </c>
      <c r="X80" s="551">
        <f t="shared" si="18"/>
        <v>225195.88827272723</v>
      </c>
      <c r="Y80" s="551">
        <f t="shared" si="18"/>
        <v>228966.37145454541</v>
      </c>
      <c r="Z80" s="551">
        <f t="shared" si="18"/>
        <v>232735.46099999989</v>
      </c>
      <c r="AA80" s="551">
        <f t="shared" si="18"/>
        <v>236505.94418181817</v>
      </c>
      <c r="AB80" s="551">
        <f t="shared" si="18"/>
        <v>240275.03372727268</v>
      </c>
      <c r="AC80" s="551">
        <f t="shared" si="18"/>
        <v>244044.12327272724</v>
      </c>
      <c r="AD80" s="551">
        <f t="shared" si="18"/>
        <v>247814.60645454543</v>
      </c>
      <c r="AE80" s="551">
        <f t="shared" si="18"/>
        <v>251583.69599999997</v>
      </c>
      <c r="AF80" s="551">
        <f t="shared" si="18"/>
        <v>255352.78554545448</v>
      </c>
      <c r="AG80" s="689">
        <f t="shared" si="18"/>
        <v>259123.26872727263</v>
      </c>
      <c r="AH80" s="5"/>
      <c r="AI80" s="5"/>
      <c r="AJ80" s="5"/>
      <c r="AK80" s="5"/>
      <c r="AL80" s="5"/>
      <c r="AM80" s="5"/>
      <c r="AN80" s="5"/>
    </row>
    <row r="81" spans="2:40" ht="21.9" customHeight="1" x14ac:dyDescent="0.25">
      <c r="B81" s="680"/>
      <c r="C81" s="690"/>
      <c r="D81" s="690"/>
      <c r="E81" s="114"/>
      <c r="F81" s="114" t="s">
        <v>322</v>
      </c>
      <c r="G81" s="114" t="s">
        <v>326</v>
      </c>
      <c r="H81" s="551">
        <f t="shared" ref="H81:AG81" si="19">H39 * (1-$F$15)</f>
        <v>271759.09090909088</v>
      </c>
      <c r="I81" s="551">
        <f t="shared" si="19"/>
        <v>281118.02106818184</v>
      </c>
      <c r="J81" s="551">
        <f t="shared" si="19"/>
        <v>291559.45827272721</v>
      </c>
      <c r="K81" s="551">
        <f t="shared" si="19"/>
        <v>309799.47552272724</v>
      </c>
      <c r="L81" s="551">
        <f t="shared" si="19"/>
        <v>328050.36313636362</v>
      </c>
      <c r="M81" s="551">
        <f t="shared" si="19"/>
        <v>346294.90970454551</v>
      </c>
      <c r="N81" s="551">
        <f t="shared" si="19"/>
        <v>364534.92695454555</v>
      </c>
      <c r="O81" s="551">
        <f t="shared" si="19"/>
        <v>382793.51440909092</v>
      </c>
      <c r="P81" s="551">
        <f t="shared" si="19"/>
        <v>406308.82854545454</v>
      </c>
      <c r="Q81" s="551">
        <f t="shared" si="19"/>
        <v>429837.27770454553</v>
      </c>
      <c r="R81" s="551">
        <f t="shared" si="19"/>
        <v>453348.06252272706</v>
      </c>
      <c r="S81" s="551">
        <f t="shared" si="19"/>
        <v>476863.37665909086</v>
      </c>
      <c r="T81" s="551">
        <f t="shared" si="19"/>
        <v>500398.61979545455</v>
      </c>
      <c r="U81" s="551">
        <f t="shared" si="19"/>
        <v>516103.12472727266</v>
      </c>
      <c r="V81" s="551">
        <f t="shared" si="19"/>
        <v>525462.05488636368</v>
      </c>
      <c r="W81" s="551">
        <f t="shared" si="19"/>
        <v>534820.98504545458</v>
      </c>
      <c r="X81" s="551">
        <f t="shared" si="19"/>
        <v>544179.9152045456</v>
      </c>
      <c r="Y81" s="551">
        <f t="shared" si="19"/>
        <v>553544.28054545471</v>
      </c>
      <c r="Z81" s="551">
        <f t="shared" si="19"/>
        <v>562903.21070454549</v>
      </c>
      <c r="AA81" s="551">
        <f t="shared" si="19"/>
        <v>572267.57604545448</v>
      </c>
      <c r="AB81" s="551">
        <f t="shared" si="19"/>
        <v>581626.5062045455</v>
      </c>
      <c r="AC81" s="551">
        <f t="shared" si="19"/>
        <v>590985.43636363628</v>
      </c>
      <c r="AD81" s="551">
        <f t="shared" si="19"/>
        <v>600349.80170454539</v>
      </c>
      <c r="AE81" s="551">
        <f t="shared" si="19"/>
        <v>609708.73186363629</v>
      </c>
      <c r="AF81" s="551">
        <f t="shared" si="19"/>
        <v>619067.66202272731</v>
      </c>
      <c r="AG81" s="689">
        <f t="shared" si="19"/>
        <v>628432.02736363641</v>
      </c>
      <c r="AH81" s="5"/>
      <c r="AI81" s="5"/>
      <c r="AJ81" s="5"/>
      <c r="AK81" s="5"/>
      <c r="AL81" s="5"/>
      <c r="AM81" s="5"/>
      <c r="AN81" s="5"/>
    </row>
    <row r="82" spans="2:40" ht="21.9" customHeight="1" x14ac:dyDescent="0.25">
      <c r="B82" s="680"/>
      <c r="C82" s="690"/>
      <c r="D82" s="690"/>
      <c r="E82" s="114"/>
      <c r="F82" s="114" t="s">
        <v>326</v>
      </c>
      <c r="G82" s="114" t="s">
        <v>274</v>
      </c>
      <c r="H82" s="551">
        <f t="shared" ref="H82:AG82" si="20">H40 * (1-$F$15)</f>
        <v>2256297.2727272725</v>
      </c>
      <c r="I82" s="551">
        <f t="shared" si="20"/>
        <v>2334000.3903045454</v>
      </c>
      <c r="J82" s="551">
        <f t="shared" si="20"/>
        <v>2420691.092018181</v>
      </c>
      <c r="K82" s="551">
        <f t="shared" si="20"/>
        <v>2572130.0044681821</v>
      </c>
      <c r="L82" s="551">
        <f t="shared" si="20"/>
        <v>2723659.1688090907</v>
      </c>
      <c r="M82" s="551">
        <f t="shared" si="20"/>
        <v>2875135.6862136368</v>
      </c>
      <c r="N82" s="551">
        <f t="shared" si="20"/>
        <v>3026574.5986636365</v>
      </c>
      <c r="O82" s="551">
        <f t="shared" si="20"/>
        <v>3178167.6914272727</v>
      </c>
      <c r="P82" s="551">
        <f t="shared" si="20"/>
        <v>3373405.0944363642</v>
      </c>
      <c r="Q82" s="551">
        <f t="shared" si="20"/>
        <v>3568751.5518136369</v>
      </c>
      <c r="R82" s="551">
        <f t="shared" si="20"/>
        <v>3763951.3498681802</v>
      </c>
      <c r="S82" s="551">
        <f t="shared" si="20"/>
        <v>3959188.7528772722</v>
      </c>
      <c r="T82" s="551">
        <f t="shared" si="20"/>
        <v>4154591.6176863634</v>
      </c>
      <c r="U82" s="551">
        <f t="shared" si="20"/>
        <v>4284979.2765818182</v>
      </c>
      <c r="V82" s="551">
        <f t="shared" si="20"/>
        <v>4362682.3941590916</v>
      </c>
      <c r="W82" s="551">
        <f t="shared" si="20"/>
        <v>4440385.5117363641</v>
      </c>
      <c r="X82" s="551">
        <f t="shared" si="20"/>
        <v>4518088.6293136375</v>
      </c>
      <c r="Y82" s="551">
        <f t="shared" si="20"/>
        <v>4595836.8728363644</v>
      </c>
      <c r="Z82" s="551">
        <f t="shared" si="20"/>
        <v>4673539.990413636</v>
      </c>
      <c r="AA82" s="551">
        <f t="shared" si="20"/>
        <v>4751288.2339363629</v>
      </c>
      <c r="AB82" s="551">
        <f t="shared" si="20"/>
        <v>4828991.3515136363</v>
      </c>
      <c r="AC82" s="551">
        <f t="shared" si="20"/>
        <v>4906694.4690909088</v>
      </c>
      <c r="AD82" s="551">
        <f t="shared" si="20"/>
        <v>4984442.7126136366</v>
      </c>
      <c r="AE82" s="551">
        <f t="shared" si="20"/>
        <v>5062145.8301909091</v>
      </c>
      <c r="AF82" s="551">
        <f t="shared" si="20"/>
        <v>5139848.9477681816</v>
      </c>
      <c r="AG82" s="689">
        <f t="shared" si="20"/>
        <v>5217597.1912909085</v>
      </c>
      <c r="AH82" s="5"/>
      <c r="AI82" s="5"/>
      <c r="AJ82" s="5"/>
      <c r="AK82" s="5"/>
      <c r="AL82" s="5"/>
      <c r="AM82" s="5"/>
      <c r="AN82" s="5"/>
    </row>
    <row r="83" spans="2:40" ht="21.9" customHeight="1" thickBot="1" x14ac:dyDescent="0.3">
      <c r="B83" s="680"/>
      <c r="C83" s="690"/>
      <c r="D83" s="690"/>
      <c r="E83" s="274"/>
      <c r="F83" s="274" t="s">
        <v>274</v>
      </c>
      <c r="G83" s="274" t="s">
        <v>317</v>
      </c>
      <c r="H83" s="551">
        <f t="shared" ref="H83:AG83" si="21">H41 * (1-$F$15)</f>
        <v>55745.454545454544</v>
      </c>
      <c r="I83" s="551">
        <f t="shared" si="21"/>
        <v>57665.235090909082</v>
      </c>
      <c r="J83" s="551">
        <f t="shared" si="21"/>
        <v>59807.068363636346</v>
      </c>
      <c r="K83" s="551">
        <f t="shared" si="21"/>
        <v>63548.610363636362</v>
      </c>
      <c r="L83" s="551">
        <f t="shared" si="21"/>
        <v>67292.382181818175</v>
      </c>
      <c r="M83" s="551">
        <f t="shared" si="21"/>
        <v>71034.853272727269</v>
      </c>
      <c r="N83" s="551">
        <f t="shared" si="21"/>
        <v>74776.395272727284</v>
      </c>
      <c r="O83" s="551">
        <f t="shared" si="21"/>
        <v>78521.74654545456</v>
      </c>
      <c r="P83" s="551">
        <f t="shared" si="21"/>
        <v>83345.400727272732</v>
      </c>
      <c r="Q83" s="551">
        <f t="shared" si="21"/>
        <v>88171.749272727291</v>
      </c>
      <c r="R83" s="551">
        <f t="shared" si="21"/>
        <v>92994.474363636327</v>
      </c>
      <c r="S83" s="551">
        <f t="shared" si="21"/>
        <v>97818.128545454529</v>
      </c>
      <c r="T83" s="551">
        <f t="shared" si="21"/>
        <v>102645.87072727272</v>
      </c>
      <c r="U83" s="551">
        <f t="shared" si="21"/>
        <v>105867.30763636364</v>
      </c>
      <c r="V83" s="551">
        <f t="shared" si="21"/>
        <v>107787.08818181818</v>
      </c>
      <c r="W83" s="551">
        <f t="shared" si="21"/>
        <v>109706.86872727274</v>
      </c>
      <c r="X83" s="551">
        <f t="shared" si="21"/>
        <v>111626.6492727273</v>
      </c>
      <c r="Y83" s="551">
        <f t="shared" si="21"/>
        <v>113547.54472727276</v>
      </c>
      <c r="Z83" s="551">
        <f t="shared" si="21"/>
        <v>115467.32527272728</v>
      </c>
      <c r="AA83" s="551">
        <f t="shared" si="21"/>
        <v>117388.22072727271</v>
      </c>
      <c r="AB83" s="551">
        <f t="shared" si="21"/>
        <v>119308.00127272727</v>
      </c>
      <c r="AC83" s="551">
        <f t="shared" si="21"/>
        <v>121227.78181818181</v>
      </c>
      <c r="AD83" s="551">
        <f t="shared" si="21"/>
        <v>123148.67727272726</v>
      </c>
      <c r="AE83" s="551">
        <f t="shared" si="21"/>
        <v>125068.45781818181</v>
      </c>
      <c r="AF83" s="551">
        <f t="shared" si="21"/>
        <v>126988.23836363637</v>
      </c>
      <c r="AG83" s="689">
        <f t="shared" si="21"/>
        <v>128909.13381818181</v>
      </c>
      <c r="AH83" s="5"/>
      <c r="AI83" s="5"/>
      <c r="AJ83" s="5"/>
      <c r="AK83" s="5"/>
      <c r="AL83" s="5"/>
      <c r="AM83" s="5"/>
      <c r="AN83" s="5"/>
    </row>
    <row r="84" spans="2:40" ht="21.9" customHeight="1" x14ac:dyDescent="0.25">
      <c r="B84" s="182"/>
      <c r="C84" s="250"/>
      <c r="D84" s="250"/>
      <c r="E84" s="696" t="s">
        <v>25</v>
      </c>
      <c r="F84" s="696"/>
      <c r="G84" s="696"/>
      <c r="H84" s="697">
        <f t="shared" ref="H84:AG84" si="22">SUM(H64:H83)</f>
        <v>26929891.764363628</v>
      </c>
      <c r="I84" s="697">
        <f t="shared" si="22"/>
        <v>28470589.663937263</v>
      </c>
      <c r="J84" s="697">
        <f t="shared" si="22"/>
        <v>30560370.015781455</v>
      </c>
      <c r="K84" s="697">
        <f t="shared" si="22"/>
        <v>34891856.895691082</v>
      </c>
      <c r="L84" s="697">
        <f t="shared" si="22"/>
        <v>39225042.896126188</v>
      </c>
      <c r="M84" s="697">
        <f t="shared" si="22"/>
        <v>43559404.030068174</v>
      </c>
      <c r="N84" s="697">
        <f t="shared" si="22"/>
        <v>47890890.909977831</v>
      </c>
      <c r="O84" s="697">
        <f t="shared" si="22"/>
        <v>52226720.28451819</v>
      </c>
      <c r="P84" s="697">
        <f t="shared" si="22"/>
        <v>57484941.079236344</v>
      </c>
      <c r="Q84" s="697">
        <f t="shared" si="22"/>
        <v>62744169.298283443</v>
      </c>
      <c r="R84" s="697">
        <f t="shared" si="22"/>
        <v>68002186.33983472</v>
      </c>
      <c r="S84" s="697">
        <f t="shared" si="22"/>
        <v>73260407.134552896</v>
      </c>
      <c r="T84" s="697">
        <f t="shared" si="22"/>
        <v>78523912.395448536</v>
      </c>
      <c r="U84" s="697">
        <f t="shared" si="22"/>
        <v>81537716.891629085</v>
      </c>
      <c r="V84" s="697">
        <f t="shared" si="22"/>
        <v>83078346.112802744</v>
      </c>
      <c r="W84" s="697">
        <f t="shared" si="22"/>
        <v>84619044.012376338</v>
      </c>
      <c r="X84" s="697">
        <f t="shared" si="22"/>
        <v>86159741.911949992</v>
      </c>
      <c r="Y84" s="697">
        <f t="shared" si="22"/>
        <v>87701611.719412714</v>
      </c>
      <c r="Z84" s="697">
        <f t="shared" si="22"/>
        <v>89242309.618986338</v>
      </c>
      <c r="AA84" s="697">
        <f t="shared" si="22"/>
        <v>90784179.426449075</v>
      </c>
      <c r="AB84" s="697">
        <f t="shared" si="22"/>
        <v>92324877.326022714</v>
      </c>
      <c r="AC84" s="697">
        <f t="shared" si="22"/>
        <v>93865575.225596353</v>
      </c>
      <c r="AD84" s="697">
        <f t="shared" si="22"/>
        <v>95407376.354659081</v>
      </c>
      <c r="AE84" s="697">
        <f t="shared" si="22"/>
        <v>96948074.25423272</v>
      </c>
      <c r="AF84" s="697">
        <f t="shared" si="22"/>
        <v>98488772.153806373</v>
      </c>
      <c r="AG84" s="698">
        <f t="shared" si="22"/>
        <v>100030641.96126911</v>
      </c>
      <c r="AH84" s="47"/>
      <c r="AI84" s="47"/>
      <c r="AJ84" s="47"/>
      <c r="AK84" s="47"/>
      <c r="AL84" s="47"/>
      <c r="AM84" s="47"/>
      <c r="AN84" s="47"/>
    </row>
    <row r="85" spans="2:40" ht="21.9" customHeight="1" x14ac:dyDescent="0.25">
      <c r="C85" s="114"/>
      <c r="D85" s="114"/>
      <c r="E85" s="237"/>
      <c r="F85" s="237"/>
      <c r="G85" s="237"/>
      <c r="H85" s="699"/>
      <c r="I85" s="699"/>
      <c r="J85" s="699"/>
      <c r="K85" s="699"/>
      <c r="L85" s="699"/>
      <c r="M85" s="699"/>
      <c r="N85" s="699"/>
      <c r="O85" s="699"/>
      <c r="P85" s="699"/>
      <c r="Q85" s="699"/>
      <c r="R85" s="699"/>
      <c r="S85" s="699"/>
      <c r="T85" s="699"/>
      <c r="U85" s="699"/>
      <c r="V85" s="699"/>
      <c r="W85" s="699"/>
      <c r="X85" s="699"/>
      <c r="Y85" s="699"/>
      <c r="Z85" s="699"/>
      <c r="AA85" s="699"/>
      <c r="AB85" s="699"/>
      <c r="AC85" s="699"/>
      <c r="AD85" s="699"/>
      <c r="AE85" s="699"/>
      <c r="AF85" s="699"/>
      <c r="AG85" s="699"/>
      <c r="AH85" s="18"/>
      <c r="AI85" s="18"/>
      <c r="AJ85" s="18"/>
      <c r="AK85" s="18"/>
      <c r="AL85" s="18"/>
      <c r="AM85" s="18"/>
      <c r="AN85" s="18"/>
    </row>
    <row r="86" spans="2:40" ht="21.9" customHeight="1" x14ac:dyDescent="0.25">
      <c r="B86" s="468"/>
      <c r="C86" s="686" t="s">
        <v>2</v>
      </c>
      <c r="D86" s="686" t="s">
        <v>440</v>
      </c>
      <c r="E86" s="686" t="s">
        <v>312</v>
      </c>
      <c r="F86" s="686" t="s">
        <v>313</v>
      </c>
      <c r="G86" s="686" t="s">
        <v>314</v>
      </c>
      <c r="H86" s="687">
        <v>2023</v>
      </c>
      <c r="I86" s="687">
        <v>2024</v>
      </c>
      <c r="J86" s="687">
        <v>2025</v>
      </c>
      <c r="K86" s="687">
        <v>2026</v>
      </c>
      <c r="L86" s="687">
        <v>2027</v>
      </c>
      <c r="M86" s="687">
        <v>2028</v>
      </c>
      <c r="N86" s="687">
        <v>2029</v>
      </c>
      <c r="O86" s="687">
        <v>2030</v>
      </c>
      <c r="P86" s="687">
        <v>2031</v>
      </c>
      <c r="Q86" s="687">
        <v>2032</v>
      </c>
      <c r="R86" s="687">
        <v>2033</v>
      </c>
      <c r="S86" s="687">
        <v>2034</v>
      </c>
      <c r="T86" s="687">
        <v>2035</v>
      </c>
      <c r="U86" s="687">
        <v>2036</v>
      </c>
      <c r="V86" s="687">
        <v>2037</v>
      </c>
      <c r="W86" s="687">
        <v>2038</v>
      </c>
      <c r="X86" s="687">
        <v>2039</v>
      </c>
      <c r="Y86" s="687">
        <v>2040</v>
      </c>
      <c r="Z86" s="687">
        <v>2041</v>
      </c>
      <c r="AA86" s="687">
        <v>2042</v>
      </c>
      <c r="AB86" s="687">
        <v>2043</v>
      </c>
      <c r="AC86" s="687">
        <v>2044</v>
      </c>
      <c r="AD86" s="687">
        <v>2045</v>
      </c>
      <c r="AE86" s="687">
        <v>2046</v>
      </c>
      <c r="AF86" s="687">
        <v>2047</v>
      </c>
      <c r="AG86" s="688">
        <v>2048</v>
      </c>
      <c r="AH86" s="18"/>
      <c r="AI86" s="18"/>
      <c r="AJ86" s="18"/>
      <c r="AK86" s="18"/>
      <c r="AL86" s="18"/>
      <c r="AM86" s="18"/>
      <c r="AN86" s="18"/>
    </row>
    <row r="87" spans="2:40" ht="21.9" customHeight="1" x14ac:dyDescent="0.25">
      <c r="B87" s="179" t="s">
        <v>449</v>
      </c>
      <c r="C87" s="114" t="s">
        <v>127</v>
      </c>
      <c r="D87" s="237" t="s">
        <v>441</v>
      </c>
      <c r="E87" s="1325" t="s">
        <v>315</v>
      </c>
      <c r="F87" s="217" t="s">
        <v>316</v>
      </c>
      <c r="G87" s="217" t="s">
        <v>276</v>
      </c>
      <c r="H87" s="552">
        <f>Speed!X88</f>
        <v>71.779575441467983</v>
      </c>
      <c r="I87" s="552">
        <f>Speed!Y88</f>
        <v>71.779334299460473</v>
      </c>
      <c r="J87" s="552">
        <f>Speed!Z88</f>
        <v>71.778787878486114</v>
      </c>
      <c r="K87" s="552">
        <f>Speed!AA88</f>
        <v>71.777251043765986</v>
      </c>
      <c r="L87" s="552">
        <f>Speed!AB88</f>
        <v>71.774139096862498</v>
      </c>
      <c r="M87" s="552">
        <f>Speed!AC88</f>
        <v>71.768153206844218</v>
      </c>
      <c r="N87" s="552">
        <f>Speed!AD88</f>
        <v>71.757144515248598</v>
      </c>
      <c r="O87" s="552">
        <f>Speed!AE88</f>
        <v>71.737644035831721</v>
      </c>
      <c r="P87" s="552">
        <f>Speed!AF88</f>
        <v>71.704789610609467</v>
      </c>
      <c r="Q87" s="552">
        <f>Speed!AG88</f>
        <v>71.650582585878709</v>
      </c>
      <c r="R87" s="552">
        <f>Speed!AH88</f>
        <v>71.563581595553117</v>
      </c>
      <c r="S87" s="552">
        <f>Speed!AI88</f>
        <v>71.427366744949822</v>
      </c>
      <c r="T87" s="552">
        <f>Speed!AJ88</f>
        <v>71.21879507004229</v>
      </c>
      <c r="U87" s="552">
        <f>Speed!AK88</f>
        <v>71.021030182520875</v>
      </c>
      <c r="V87" s="552">
        <f>Speed!AL88</f>
        <v>70.841357698792024</v>
      </c>
      <c r="W87" s="552">
        <f>Speed!AM88</f>
        <v>70.625000035421792</v>
      </c>
      <c r="X87" s="552">
        <f>Speed!AN88</f>
        <v>70.365799481356788</v>
      </c>
      <c r="Y87" s="552">
        <f>Speed!AO88</f>
        <v>70.056734390169765</v>
      </c>
      <c r="Z87" s="552">
        <f>Speed!AP88</f>
        <v>69.690435805982844</v>
      </c>
      <c r="AA87" s="552">
        <f>Speed!AQ88</f>
        <v>69.25826657278931</v>
      </c>
      <c r="AB87" s="552">
        <f>Speed!AR88</f>
        <v>68.751587689021846</v>
      </c>
      <c r="AC87" s="552">
        <f>Speed!AS88</f>
        <v>68.160693295998897</v>
      </c>
      <c r="AD87" s="552">
        <f>Speed!AT88</f>
        <v>67.475339819335559</v>
      </c>
      <c r="AE87" s="552">
        <f>Speed!AU88</f>
        <v>66.685957113298798</v>
      </c>
      <c r="AF87" s="552">
        <f>Speed!AV88</f>
        <v>65.782268161745847</v>
      </c>
      <c r="AG87" s="700">
        <f>Speed!AW88</f>
        <v>64.754279024804021</v>
      </c>
      <c r="AH87" s="18"/>
      <c r="AI87" s="18"/>
      <c r="AJ87" s="18"/>
      <c r="AK87" s="18"/>
      <c r="AL87" s="18"/>
      <c r="AM87" s="18"/>
      <c r="AN87" s="18"/>
    </row>
    <row r="88" spans="2:40" ht="21.9" customHeight="1" x14ac:dyDescent="0.25">
      <c r="B88" s="680" t="s">
        <v>451</v>
      </c>
      <c r="C88" s="114"/>
      <c r="D88" s="237"/>
      <c r="E88" s="1327"/>
      <c r="F88" s="114" t="s">
        <v>276</v>
      </c>
      <c r="G88" s="114" t="s">
        <v>274</v>
      </c>
      <c r="H88" s="552">
        <f>Speed!X89</f>
        <v>71.779922361429513</v>
      </c>
      <c r="I88" s="552">
        <f>Speed!Y89</f>
        <v>71.779866883205102</v>
      </c>
      <c r="J88" s="552">
        <f>Speed!Z89</f>
        <v>71.779759647242699</v>
      </c>
      <c r="K88" s="552">
        <f>Speed!AA89</f>
        <v>71.779335392490808</v>
      </c>
      <c r="L88" s="552">
        <f>Speed!AB89</f>
        <v>71.778326554685776</v>
      </c>
      <c r="M88" s="552">
        <f>Speed!AC89</f>
        <v>71.776102456590195</v>
      </c>
      <c r="N88" s="552">
        <f>Speed!AD89</f>
        <v>71.771505557553269</v>
      </c>
      <c r="O88" s="552">
        <f>Speed!AE89</f>
        <v>71.762490509958596</v>
      </c>
      <c r="P88" s="552">
        <f>Speed!AF89</f>
        <v>71.741243527950729</v>
      </c>
      <c r="Q88" s="552">
        <f>Speed!AG89</f>
        <v>71.699100219370493</v>
      </c>
      <c r="R88" s="552">
        <f>Speed!AH89</f>
        <v>71.619568003512242</v>
      </c>
      <c r="S88" s="552">
        <f>Speed!AI89</f>
        <v>71.475824433778442</v>
      </c>
      <c r="T88" s="552">
        <f>Speed!AJ89</f>
        <v>71.225697387641787</v>
      </c>
      <c r="U88" s="552">
        <f>Speed!AK89</f>
        <v>70.996085113341579</v>
      </c>
      <c r="V88" s="552">
        <f>Speed!AL89</f>
        <v>70.808012315796518</v>
      </c>
      <c r="W88" s="552">
        <f>Speed!AM89</f>
        <v>70.581063979868489</v>
      </c>
      <c r="X88" s="552">
        <f>Speed!AN89</f>
        <v>70.30865108524344</v>
      </c>
      <c r="Y88" s="552">
        <f>Speed!AO89</f>
        <v>69.983170356830627</v>
      </c>
      <c r="Z88" s="552">
        <f>Speed!AP89</f>
        <v>69.596906083650012</v>
      </c>
      <c r="AA88" s="552">
        <f>Speed!AQ89</f>
        <v>69.140432544411851</v>
      </c>
      <c r="AB88" s="552">
        <f>Speed!AR89</f>
        <v>68.604778676433313</v>
      </c>
      <c r="AC88" s="552">
        <f>Speed!AS89</f>
        <v>67.97953153806732</v>
      </c>
      <c r="AD88" s="552">
        <f>Speed!AT89</f>
        <v>67.253666556062626</v>
      </c>
      <c r="AE88" s="552">
        <f>Speed!AU89</f>
        <v>66.417529330754277</v>
      </c>
      <c r="AF88" s="552">
        <f>Speed!AV89</f>
        <v>65.460271583763813</v>
      </c>
      <c r="AG88" s="700">
        <f>Speed!AW89</f>
        <v>64.371357524430437</v>
      </c>
      <c r="AH88" s="18"/>
      <c r="AI88" s="18"/>
      <c r="AJ88" s="18"/>
      <c r="AK88" s="18"/>
      <c r="AL88" s="18"/>
      <c r="AM88" s="18"/>
      <c r="AN88" s="18"/>
    </row>
    <row r="89" spans="2:40" ht="21.9" customHeight="1" x14ac:dyDescent="0.25">
      <c r="B89" s="680"/>
      <c r="C89" s="114"/>
      <c r="D89" s="237"/>
      <c r="E89" s="1327"/>
      <c r="F89" s="114" t="s">
        <v>274</v>
      </c>
      <c r="G89" s="114" t="s">
        <v>317</v>
      </c>
      <c r="H89" s="552">
        <f>Speed!X90</f>
        <v>71.77997609148342</v>
      </c>
      <c r="I89" s="552">
        <f>Speed!Y90</f>
        <v>71.779964006640029</v>
      </c>
      <c r="J89" s="552">
        <f>Speed!Z90</f>
        <v>71.779941587120831</v>
      </c>
      <c r="K89" s="552">
        <f>Speed!AA90</f>
        <v>71.779891746331302</v>
      </c>
      <c r="L89" s="552">
        <f>Speed!AB90</f>
        <v>71.779806406539308</v>
      </c>
      <c r="M89" s="552">
        <f>Speed!AC90</f>
        <v>71.779664695929995</v>
      </c>
      <c r="N89" s="552">
        <f>Speed!AD90</f>
        <v>71.779435699921265</v>
      </c>
      <c r="O89" s="552">
        <f>Speed!AE90</f>
        <v>71.779074144952205</v>
      </c>
      <c r="P89" s="552">
        <f>Speed!AF90</f>
        <v>71.778537161168515</v>
      </c>
      <c r="Q89" s="552">
        <f>Speed!AG90</f>
        <v>71.777734175406351</v>
      </c>
      <c r="R89" s="552">
        <f>Speed!AH90</f>
        <v>71.776554757167034</v>
      </c>
      <c r="S89" s="552">
        <f>Speed!AI90</f>
        <v>71.774849031981802</v>
      </c>
      <c r="T89" s="552">
        <f>Speed!AJ90</f>
        <v>71.772415612541664</v>
      </c>
      <c r="U89" s="552">
        <f>Speed!AK90</f>
        <v>71.770018300188895</v>
      </c>
      <c r="V89" s="552">
        <f>Speed!AL90</f>
        <v>71.767489898122705</v>
      </c>
      <c r="W89" s="552">
        <f>Speed!AM90</f>
        <v>71.764399160622403</v>
      </c>
      <c r="X89" s="552">
        <f>Speed!AN90</f>
        <v>71.760637617205063</v>
      </c>
      <c r="Y89" s="552">
        <f>Speed!AO90</f>
        <v>71.756076952093565</v>
      </c>
      <c r="Z89" s="552">
        <f>Speed!AP90</f>
        <v>71.750574141488244</v>
      </c>
      <c r="AA89" s="552">
        <f>Speed!AQ90</f>
        <v>71.743955026283516</v>
      </c>
      <c r="AB89" s="552">
        <f>Speed!AR90</f>
        <v>71.736029202085291</v>
      </c>
      <c r="AC89" s="552">
        <f>Speed!AS90</f>
        <v>71.726569339588096</v>
      </c>
      <c r="AD89" s="552">
        <f>Speed!AT90</f>
        <v>71.715312708256533</v>
      </c>
      <c r="AE89" s="552">
        <f>Speed!AU90</f>
        <v>71.70197345015616</v>
      </c>
      <c r="AF89" s="552">
        <f>Speed!AV90</f>
        <v>71.686211478832135</v>
      </c>
      <c r="AG89" s="700">
        <f>Speed!AW90</f>
        <v>71.667636866876236</v>
      </c>
      <c r="AH89" s="18"/>
      <c r="AI89" s="18"/>
      <c r="AJ89" s="18"/>
      <c r="AK89" s="18"/>
      <c r="AL89" s="18"/>
      <c r="AM89" s="18"/>
      <c r="AN89" s="18"/>
    </row>
    <row r="90" spans="2:40" ht="21.9" customHeight="1" x14ac:dyDescent="0.25">
      <c r="B90" s="680"/>
      <c r="C90" s="114"/>
      <c r="D90" s="237"/>
      <c r="E90" s="1325" t="s">
        <v>274</v>
      </c>
      <c r="F90" s="217" t="s">
        <v>275</v>
      </c>
      <c r="G90" s="217" t="s">
        <v>318</v>
      </c>
      <c r="H90" s="552">
        <f>Speed!X91</f>
        <v>59.482802914245177</v>
      </c>
      <c r="I90" s="552">
        <f>Speed!Y91</f>
        <v>59.451584673323097</v>
      </c>
      <c r="J90" s="552">
        <f>Speed!Z91</f>
        <v>59.370082037474731</v>
      </c>
      <c r="K90" s="552">
        <f>Speed!AA91</f>
        <v>57.867356676127315</v>
      </c>
      <c r="L90" s="552">
        <f>Speed!AB91</f>
        <v>48.932904278577311</v>
      </c>
      <c r="M90" s="552">
        <f>Speed!AC91</f>
        <v>27.405198644518649</v>
      </c>
      <c r="N90" s="552">
        <f>Speed!AD91</f>
        <v>10</v>
      </c>
      <c r="O90" s="552">
        <f>Speed!AE91</f>
        <v>10</v>
      </c>
      <c r="P90" s="552">
        <f>Speed!AF91</f>
        <v>10</v>
      </c>
      <c r="Q90" s="552">
        <f>Speed!AG91</f>
        <v>10</v>
      </c>
      <c r="R90" s="552">
        <f>Speed!AH91</f>
        <v>10</v>
      </c>
      <c r="S90" s="552">
        <f>Speed!AI91</f>
        <v>10</v>
      </c>
      <c r="T90" s="552">
        <f>Speed!AJ91</f>
        <v>10</v>
      </c>
      <c r="U90" s="552">
        <f>Speed!AK91</f>
        <v>10</v>
      </c>
      <c r="V90" s="552">
        <f>Speed!AL91</f>
        <v>10</v>
      </c>
      <c r="W90" s="552">
        <f>Speed!AM91</f>
        <v>10</v>
      </c>
      <c r="X90" s="552">
        <f>Speed!AN91</f>
        <v>10</v>
      </c>
      <c r="Y90" s="552">
        <f>Speed!AO91</f>
        <v>10</v>
      </c>
      <c r="Z90" s="552">
        <f>Speed!AP91</f>
        <v>10</v>
      </c>
      <c r="AA90" s="552">
        <f>Speed!AQ91</f>
        <v>10</v>
      </c>
      <c r="AB90" s="552">
        <f>Speed!AR91</f>
        <v>10</v>
      </c>
      <c r="AC90" s="552">
        <f>Speed!AS91</f>
        <v>10</v>
      </c>
      <c r="AD90" s="552">
        <f>Speed!AT91</f>
        <v>10</v>
      </c>
      <c r="AE90" s="552">
        <f>Speed!AU91</f>
        <v>10</v>
      </c>
      <c r="AF90" s="552">
        <f>Speed!AV91</f>
        <v>10</v>
      </c>
      <c r="AG90" s="700">
        <f>Speed!AW91</f>
        <v>10</v>
      </c>
      <c r="AH90" s="18"/>
      <c r="AI90" s="18"/>
      <c r="AJ90" s="18"/>
      <c r="AK90" s="18"/>
      <c r="AL90" s="18"/>
      <c r="AM90" s="18"/>
      <c r="AN90" s="18"/>
    </row>
    <row r="91" spans="2:40" ht="21.9" customHeight="1" x14ac:dyDescent="0.25">
      <c r="B91" s="680"/>
      <c r="C91" s="114"/>
      <c r="D91" s="237"/>
      <c r="E91" s="1327"/>
      <c r="F91" s="114" t="s">
        <v>318</v>
      </c>
      <c r="G91" s="114" t="s">
        <v>308</v>
      </c>
      <c r="H91" s="552">
        <f>Speed!X92</f>
        <v>49.499913467275938</v>
      </c>
      <c r="I91" s="552">
        <f>Speed!Y92</f>
        <v>49.499698678328905</v>
      </c>
      <c r="J91" s="552">
        <f>Speed!Z92</f>
        <v>49.499085896074206</v>
      </c>
      <c r="K91" s="552">
        <f>Speed!AA92</f>
        <v>49.480878972327758</v>
      </c>
      <c r="L91" s="552">
        <f>Speed!AB92</f>
        <v>49.304358526535687</v>
      </c>
      <c r="M91" s="552">
        <f>Speed!AC92</f>
        <v>48.233928748720977</v>
      </c>
      <c r="N91" s="552">
        <f>Speed!AD92</f>
        <v>43.870904494080158</v>
      </c>
      <c r="O91" s="552">
        <f>Speed!AE92</f>
        <v>32.887235062065436</v>
      </c>
      <c r="P91" s="552">
        <f>Speed!AF92</f>
        <v>12.249107915850917</v>
      </c>
      <c r="Q91" s="552">
        <f>Speed!AG92</f>
        <v>10</v>
      </c>
      <c r="R91" s="552">
        <f>Speed!AH92</f>
        <v>10</v>
      </c>
      <c r="S91" s="552">
        <f>Speed!AI92</f>
        <v>10</v>
      </c>
      <c r="T91" s="552">
        <f>Speed!AJ92</f>
        <v>10</v>
      </c>
      <c r="U91" s="552">
        <f>Speed!AK92</f>
        <v>10</v>
      </c>
      <c r="V91" s="552">
        <f>Speed!AL92</f>
        <v>10</v>
      </c>
      <c r="W91" s="552">
        <f>Speed!AM92</f>
        <v>10</v>
      </c>
      <c r="X91" s="552">
        <f>Speed!AN92</f>
        <v>10</v>
      </c>
      <c r="Y91" s="552">
        <f>Speed!AO92</f>
        <v>10</v>
      </c>
      <c r="Z91" s="552">
        <f>Speed!AP92</f>
        <v>10</v>
      </c>
      <c r="AA91" s="552">
        <f>Speed!AQ92</f>
        <v>10</v>
      </c>
      <c r="AB91" s="552">
        <f>Speed!AR92</f>
        <v>10</v>
      </c>
      <c r="AC91" s="552">
        <f>Speed!AS92</f>
        <v>10</v>
      </c>
      <c r="AD91" s="552">
        <f>Speed!AT92</f>
        <v>10</v>
      </c>
      <c r="AE91" s="552">
        <f>Speed!AU92</f>
        <v>10</v>
      </c>
      <c r="AF91" s="552">
        <f>Speed!AV92</f>
        <v>10</v>
      </c>
      <c r="AG91" s="700">
        <f>Speed!AW92</f>
        <v>10</v>
      </c>
      <c r="AH91" s="18"/>
      <c r="AI91" s="18"/>
      <c r="AJ91" s="18"/>
      <c r="AK91" s="18"/>
      <c r="AL91" s="18"/>
      <c r="AM91" s="18"/>
      <c r="AN91" s="18"/>
    </row>
    <row r="92" spans="2:40" ht="21.9" customHeight="1" x14ac:dyDescent="0.25">
      <c r="B92" s="680"/>
      <c r="C92" s="114"/>
      <c r="D92" s="237"/>
      <c r="E92" s="1339"/>
      <c r="F92" s="250" t="s">
        <v>308</v>
      </c>
      <c r="G92" s="250" t="s">
        <v>319</v>
      </c>
      <c r="H92" s="552">
        <f>Speed!X93</f>
        <v>46.22928606898175</v>
      </c>
      <c r="I92" s="552">
        <f>Speed!Y93</f>
        <v>45.898630025140719</v>
      </c>
      <c r="J92" s="552">
        <f>Speed!Z93</f>
        <v>45.449897519349484</v>
      </c>
      <c r="K92" s="552">
        <f>Speed!AA93</f>
        <v>44.119410951142108</v>
      </c>
      <c r="L92" s="552">
        <f>Speed!AB93</f>
        <v>41.957653868858038</v>
      </c>
      <c r="M92" s="552">
        <f>Speed!AC93</f>
        <v>38.729516810869946</v>
      </c>
      <c r="N92" s="552">
        <f>Speed!AD93</f>
        <v>34.364001943170187</v>
      </c>
      <c r="O92" s="552">
        <f>Speed!AE93</f>
        <v>29.083997757787802</v>
      </c>
      <c r="P92" s="552">
        <f>Speed!AF93</f>
        <v>21.27313861925975</v>
      </c>
      <c r="Q92" s="552">
        <f>Speed!AG93</f>
        <v>14.347395945200246</v>
      </c>
      <c r="R92" s="552">
        <f>Speed!AH93</f>
        <v>10</v>
      </c>
      <c r="S92" s="552">
        <f>Speed!AI93</f>
        <v>10</v>
      </c>
      <c r="T92" s="552">
        <f>Speed!AJ93</f>
        <v>10</v>
      </c>
      <c r="U92" s="552">
        <f>Speed!AK93</f>
        <v>10</v>
      </c>
      <c r="V92" s="552">
        <f>Speed!AL93</f>
        <v>10</v>
      </c>
      <c r="W92" s="552">
        <f>Speed!AM93</f>
        <v>10</v>
      </c>
      <c r="X92" s="552">
        <f>Speed!AN93</f>
        <v>10</v>
      </c>
      <c r="Y92" s="552">
        <f>Speed!AO93</f>
        <v>10</v>
      </c>
      <c r="Z92" s="552">
        <f>Speed!AP93</f>
        <v>10</v>
      </c>
      <c r="AA92" s="552">
        <f>Speed!AQ93</f>
        <v>10</v>
      </c>
      <c r="AB92" s="552">
        <f>Speed!AR93</f>
        <v>10</v>
      </c>
      <c r="AC92" s="552">
        <f>Speed!AS93</f>
        <v>10</v>
      </c>
      <c r="AD92" s="552">
        <f>Speed!AT93</f>
        <v>10</v>
      </c>
      <c r="AE92" s="552">
        <f>Speed!AU93</f>
        <v>10</v>
      </c>
      <c r="AF92" s="552">
        <f>Speed!AV93</f>
        <v>10</v>
      </c>
      <c r="AG92" s="700">
        <f>Speed!AW93</f>
        <v>10</v>
      </c>
      <c r="AH92" s="18"/>
      <c r="AI92" s="18"/>
      <c r="AJ92" s="18"/>
      <c r="AK92" s="18"/>
      <c r="AL92" s="18"/>
      <c r="AM92" s="18"/>
      <c r="AN92" s="18"/>
    </row>
    <row r="93" spans="2:40" ht="21.9" customHeight="1" x14ac:dyDescent="0.25">
      <c r="B93" s="680"/>
      <c r="C93" s="114"/>
      <c r="D93" s="237"/>
      <c r="E93" s="114" t="s">
        <v>320</v>
      </c>
      <c r="F93" s="114" t="s">
        <v>318</v>
      </c>
      <c r="G93" s="114" t="s">
        <v>308</v>
      </c>
      <c r="H93" s="552">
        <f>Speed!X94</f>
        <v>20.3</v>
      </c>
      <c r="I93" s="552">
        <f>Speed!Y94</f>
        <v>20.3</v>
      </c>
      <c r="J93" s="552">
        <f>Speed!Z94</f>
        <v>20.3</v>
      </c>
      <c r="K93" s="552">
        <f>Speed!AA94</f>
        <v>20.3</v>
      </c>
      <c r="L93" s="552">
        <f>Speed!AB94</f>
        <v>20.299999999999962</v>
      </c>
      <c r="M93" s="552">
        <f>Speed!AC94</f>
        <v>20.299999999999244</v>
      </c>
      <c r="N93" s="552">
        <f>Speed!AD94</f>
        <v>20.299999999992551</v>
      </c>
      <c r="O93" s="552">
        <f>Speed!AE94</f>
        <v>20.299999999952135</v>
      </c>
      <c r="P93" s="552">
        <f>Speed!AF94</f>
        <v>20.299999999885451</v>
      </c>
      <c r="Q93" s="552">
        <f>Speed!AG94</f>
        <v>20.299999999744138</v>
      </c>
      <c r="R93" s="552">
        <f>Speed!AH94</f>
        <v>20.299999999462074</v>
      </c>
      <c r="S93" s="552">
        <f>Speed!AI94</f>
        <v>20.299999998926015</v>
      </c>
      <c r="T93" s="552">
        <f>Speed!AJ94</f>
        <v>20.299999997946305</v>
      </c>
      <c r="U93" s="552">
        <f>Speed!AK94</f>
        <v>20.299999997640061</v>
      </c>
      <c r="V93" s="552">
        <f>Speed!AL94</f>
        <v>20.299999997293305</v>
      </c>
      <c r="W93" s="552">
        <f>Speed!AM94</f>
        <v>20.299999996901363</v>
      </c>
      <c r="X93" s="552">
        <f>Speed!AN94</f>
        <v>20.299999996459054</v>
      </c>
      <c r="Y93" s="552">
        <f>Speed!AO94</f>
        <v>20.299999995958146</v>
      </c>
      <c r="Z93" s="552">
        <f>Speed!AP94</f>
        <v>20.299999995397229</v>
      </c>
      <c r="AA93" s="552">
        <f>Speed!AQ94</f>
        <v>20.299999994763969</v>
      </c>
      <c r="AB93" s="552">
        <f>Speed!AR94</f>
        <v>20.299999994056968</v>
      </c>
      <c r="AC93" s="552">
        <f>Speed!AS94</f>
        <v>20.299999993265182</v>
      </c>
      <c r="AD93" s="552">
        <f>Speed!AT94</f>
        <v>20.29999999237516</v>
      </c>
      <c r="AE93" s="552">
        <f>Speed!AU94</f>
        <v>20.299999991385704</v>
      </c>
      <c r="AF93" s="552">
        <f>Speed!AV94</f>
        <v>20.299999990282153</v>
      </c>
      <c r="AG93" s="700">
        <f>Speed!AW94</f>
        <v>20.299999989046675</v>
      </c>
      <c r="AH93" s="18"/>
      <c r="AI93" s="18"/>
      <c r="AJ93" s="18"/>
      <c r="AK93" s="18"/>
      <c r="AL93" s="18"/>
      <c r="AM93" s="18"/>
      <c r="AN93" s="18"/>
    </row>
    <row r="94" spans="2:40" ht="21.9" customHeight="1" x14ac:dyDescent="0.25">
      <c r="B94" s="680"/>
      <c r="C94" s="114"/>
      <c r="D94" s="237"/>
      <c r="E94" s="1325" t="s">
        <v>308</v>
      </c>
      <c r="F94" s="217" t="s">
        <v>276</v>
      </c>
      <c r="G94" s="217" t="s">
        <v>320</v>
      </c>
      <c r="H94" s="552">
        <f>Speed!X95</f>
        <v>20.3</v>
      </c>
      <c r="I94" s="552">
        <f>Speed!Y95</f>
        <v>20.3</v>
      </c>
      <c r="J94" s="552">
        <f>Speed!Z95</f>
        <v>20.29999996628775</v>
      </c>
      <c r="K94" s="552">
        <f>Speed!AA95</f>
        <v>20.299977693810813</v>
      </c>
      <c r="L94" s="552">
        <f>Speed!AB95</f>
        <v>20.298889833004008</v>
      </c>
      <c r="M94" s="552">
        <f>Speed!AC95</f>
        <v>20.28175275549475</v>
      </c>
      <c r="N94" s="552">
        <f>Speed!AD95</f>
        <v>20.13886960198743</v>
      </c>
      <c r="O94" s="552">
        <f>Speed!AE95</f>
        <v>19.368399077816957</v>
      </c>
      <c r="P94" s="552">
        <f>Speed!AF95</f>
        <v>19.368399077816957</v>
      </c>
      <c r="Q94" s="552">
        <f>Speed!AG95</f>
        <v>19.368399077816957</v>
      </c>
      <c r="R94" s="552">
        <f>Speed!AH95</f>
        <v>19.368399077816957</v>
      </c>
      <c r="S94" s="552">
        <f>Speed!AI95</f>
        <v>19.368399077816957</v>
      </c>
      <c r="T94" s="552">
        <f>Speed!AJ95</f>
        <v>19.368399077816957</v>
      </c>
      <c r="U94" s="552">
        <f>Speed!AK95</f>
        <v>19.368399077816957</v>
      </c>
      <c r="V94" s="552">
        <f>Speed!AL95</f>
        <v>19.368399077816957</v>
      </c>
      <c r="W94" s="552">
        <f>Speed!AM95</f>
        <v>19.368399077816957</v>
      </c>
      <c r="X94" s="552">
        <f>Speed!AN95</f>
        <v>19.368399077816957</v>
      </c>
      <c r="Y94" s="552">
        <f>Speed!AO95</f>
        <v>19.368399077816957</v>
      </c>
      <c r="Z94" s="552">
        <f>Speed!AP95</f>
        <v>19.368399077816957</v>
      </c>
      <c r="AA94" s="552">
        <f>Speed!AQ95</f>
        <v>19.368399077816957</v>
      </c>
      <c r="AB94" s="552">
        <f>Speed!AR95</f>
        <v>19.368399077816957</v>
      </c>
      <c r="AC94" s="552">
        <f>Speed!AS95</f>
        <v>19.368399077816957</v>
      </c>
      <c r="AD94" s="552">
        <f>Speed!AT95</f>
        <v>19.368399077816957</v>
      </c>
      <c r="AE94" s="552">
        <f>Speed!AU95</f>
        <v>19.368399077816957</v>
      </c>
      <c r="AF94" s="552">
        <f>Speed!AV95</f>
        <v>19.368399077816957</v>
      </c>
      <c r="AG94" s="700">
        <f>Speed!AW95</f>
        <v>19.368399077816957</v>
      </c>
      <c r="AH94" s="18"/>
      <c r="AI94" s="18"/>
      <c r="AJ94" s="18"/>
      <c r="AK94" s="18"/>
      <c r="AL94" s="18"/>
      <c r="AM94" s="18"/>
      <c r="AN94" s="18"/>
    </row>
    <row r="95" spans="2:40" ht="21.9" customHeight="1" x14ac:dyDescent="0.25">
      <c r="B95" s="680"/>
      <c r="C95" s="114"/>
      <c r="D95" s="237"/>
      <c r="E95" s="1327"/>
      <c r="F95" s="114" t="s">
        <v>320</v>
      </c>
      <c r="G95" s="114" t="s">
        <v>282</v>
      </c>
      <c r="H95" s="552">
        <f>Speed!X96</f>
        <v>36.9</v>
      </c>
      <c r="I95" s="552">
        <f>Speed!Y96</f>
        <v>36.899999999997924</v>
      </c>
      <c r="J95" s="552">
        <f>Speed!Z96</f>
        <v>36.899999999899791</v>
      </c>
      <c r="K95" s="552">
        <f>Speed!AA96</f>
        <v>36.8999997622414</v>
      </c>
      <c r="L95" s="552">
        <f>Speed!AB96</f>
        <v>36.899982213916445</v>
      </c>
      <c r="M95" s="552">
        <f>Speed!AC96</f>
        <v>36.899638580402183</v>
      </c>
      <c r="N95" s="552">
        <f>Speed!AD96</f>
        <v>36.896364279094513</v>
      </c>
      <c r="O95" s="552">
        <f>Speed!AE96</f>
        <v>36.876320692947189</v>
      </c>
      <c r="P95" s="552">
        <f>Speed!AF96</f>
        <v>36.583029730418161</v>
      </c>
      <c r="Q95" s="552">
        <f>Speed!AG96</f>
        <v>34.547924031080704</v>
      </c>
      <c r="R95" s="552">
        <f>Speed!AH96</f>
        <v>26.821223847269618</v>
      </c>
      <c r="S95" s="552">
        <f>Speed!AI96</f>
        <v>14.097121445868714</v>
      </c>
      <c r="T95" s="552">
        <f>Speed!AJ96</f>
        <v>5.4424211466399983</v>
      </c>
      <c r="U95" s="552">
        <f>Speed!AK96</f>
        <v>5</v>
      </c>
      <c r="V95" s="552">
        <f>Speed!AL96</f>
        <v>5</v>
      </c>
      <c r="W95" s="552">
        <f>Speed!AM96</f>
        <v>5</v>
      </c>
      <c r="X95" s="552">
        <f>Speed!AN96</f>
        <v>5</v>
      </c>
      <c r="Y95" s="552">
        <f>Speed!AO96</f>
        <v>5</v>
      </c>
      <c r="Z95" s="552">
        <f>Speed!AP96</f>
        <v>5</v>
      </c>
      <c r="AA95" s="552">
        <f>Speed!AQ96</f>
        <v>5</v>
      </c>
      <c r="AB95" s="552">
        <f>Speed!AR96</f>
        <v>5</v>
      </c>
      <c r="AC95" s="552">
        <f>Speed!AS96</f>
        <v>5</v>
      </c>
      <c r="AD95" s="552">
        <f>Speed!AT96</f>
        <v>5</v>
      </c>
      <c r="AE95" s="552">
        <f>Speed!AU96</f>
        <v>5</v>
      </c>
      <c r="AF95" s="552">
        <f>Speed!AV96</f>
        <v>5</v>
      </c>
      <c r="AG95" s="700">
        <f>Speed!AW96</f>
        <v>5</v>
      </c>
      <c r="AH95" s="18"/>
      <c r="AI95" s="18"/>
      <c r="AJ95" s="18"/>
      <c r="AK95" s="18"/>
      <c r="AL95" s="18"/>
      <c r="AM95" s="18"/>
      <c r="AN95" s="18"/>
    </row>
    <row r="96" spans="2:40" ht="21.9" customHeight="1" x14ac:dyDescent="0.25">
      <c r="B96" s="680"/>
      <c r="C96" s="114"/>
      <c r="D96" s="237"/>
      <c r="E96" s="1327"/>
      <c r="F96" s="114" t="s">
        <v>282</v>
      </c>
      <c r="G96" s="114" t="s">
        <v>321</v>
      </c>
      <c r="H96" s="552">
        <f>Speed!X97</f>
        <v>41.1</v>
      </c>
      <c r="I96" s="552">
        <f>Speed!Y97</f>
        <v>41.1</v>
      </c>
      <c r="J96" s="552">
        <f>Speed!Z97</f>
        <v>41.1</v>
      </c>
      <c r="K96" s="552">
        <f>Speed!AA97</f>
        <v>41.099999999998687</v>
      </c>
      <c r="L96" s="552">
        <f>Speed!AB97</f>
        <v>41.099999999901492</v>
      </c>
      <c r="M96" s="552">
        <f>Speed!AC97</f>
        <v>41.099999998001088</v>
      </c>
      <c r="N96" s="552">
        <f>Speed!AD97</f>
        <v>41.099999979903664</v>
      </c>
      <c r="O96" s="552">
        <f>Speed!AE97</f>
        <v>41.099999868964495</v>
      </c>
      <c r="P96" s="552">
        <f>Speed!AF97</f>
        <v>41.099998233248122</v>
      </c>
      <c r="Q96" s="552">
        <f>Speed!AG97</f>
        <v>41.099986114185413</v>
      </c>
      <c r="R96" s="552">
        <f>Speed!AH97</f>
        <v>41.099923304581964</v>
      </c>
      <c r="S96" s="552">
        <f>Speed!AI97</f>
        <v>41.099670017685632</v>
      </c>
      <c r="T96" s="552">
        <f>Speed!AJ97</f>
        <v>41.098820285584843</v>
      </c>
      <c r="U96" s="552">
        <f>Speed!AK97</f>
        <v>41.097689464483068</v>
      </c>
      <c r="V96" s="552">
        <f>Speed!AL97</f>
        <v>41.097249788421735</v>
      </c>
      <c r="W96" s="552">
        <f>Speed!AM97</f>
        <v>41.096736201902331</v>
      </c>
      <c r="X96" s="552">
        <f>Speed!AN97</f>
        <v>41.096137862863728</v>
      </c>
      <c r="Y96" s="552">
        <f>Speed!AO97</f>
        <v>41.095442812800208</v>
      </c>
      <c r="Z96" s="552">
        <f>Speed!AP97</f>
        <v>41.094636873462768</v>
      </c>
      <c r="AA96" s="552">
        <f>Speed!AQ97</f>
        <v>41.093705207940218</v>
      </c>
      <c r="AB96" s="552">
        <f>Speed!AR97</f>
        <v>41.092629976360833</v>
      </c>
      <c r="AC96" s="552">
        <f>Speed!AS97</f>
        <v>41.09139222283779</v>
      </c>
      <c r="AD96" s="552">
        <f>Speed!AT97</f>
        <v>41.08997098868771</v>
      </c>
      <c r="AE96" s="552">
        <f>Speed!AU97</f>
        <v>41.088341430242401</v>
      </c>
      <c r="AF96" s="552">
        <f>Speed!AV97</f>
        <v>41.086477419898806</v>
      </c>
      <c r="AG96" s="700">
        <f>Speed!AW97</f>
        <v>41.084350227359607</v>
      </c>
      <c r="AH96" s="18"/>
      <c r="AI96" s="18"/>
      <c r="AJ96" s="18"/>
      <c r="AK96" s="18"/>
      <c r="AL96" s="18"/>
      <c r="AM96" s="18"/>
      <c r="AN96" s="18"/>
    </row>
    <row r="97" spans="2:40" ht="21.9" customHeight="1" x14ac:dyDescent="0.25">
      <c r="B97" s="680"/>
      <c r="C97" s="114"/>
      <c r="D97" s="237"/>
      <c r="E97" s="1339"/>
      <c r="F97" s="250" t="s">
        <v>321</v>
      </c>
      <c r="G97" s="250" t="s">
        <v>274</v>
      </c>
      <c r="H97" s="552">
        <f>Speed!X98</f>
        <v>41.1</v>
      </c>
      <c r="I97" s="552">
        <f>Speed!Y98</f>
        <v>41.1</v>
      </c>
      <c r="J97" s="552">
        <f>Speed!Z98</f>
        <v>41.1</v>
      </c>
      <c r="K97" s="552">
        <f>Speed!AA98</f>
        <v>41.099999999998687</v>
      </c>
      <c r="L97" s="552">
        <f>Speed!AB98</f>
        <v>41.099999999901492</v>
      </c>
      <c r="M97" s="552">
        <f>Speed!AC98</f>
        <v>41.099999998001088</v>
      </c>
      <c r="N97" s="552">
        <f>Speed!AD98</f>
        <v>41.099999979903664</v>
      </c>
      <c r="O97" s="552">
        <f>Speed!AE98</f>
        <v>41.099999868964495</v>
      </c>
      <c r="P97" s="552">
        <f>Speed!AF98</f>
        <v>41.099998233248122</v>
      </c>
      <c r="Q97" s="552">
        <f>Speed!AG98</f>
        <v>41.099986114185413</v>
      </c>
      <c r="R97" s="552">
        <f>Speed!AH98</f>
        <v>41.099923304581964</v>
      </c>
      <c r="S97" s="552">
        <f>Speed!AI98</f>
        <v>41.099670017685632</v>
      </c>
      <c r="T97" s="552">
        <f>Speed!AJ98</f>
        <v>41.098820285584843</v>
      </c>
      <c r="U97" s="552">
        <f>Speed!AK98</f>
        <v>41.097689464483068</v>
      </c>
      <c r="V97" s="552">
        <f>Speed!AL98</f>
        <v>41.097249788421735</v>
      </c>
      <c r="W97" s="552">
        <f>Speed!AM98</f>
        <v>41.096736201902331</v>
      </c>
      <c r="X97" s="552">
        <f>Speed!AN98</f>
        <v>41.096137862863728</v>
      </c>
      <c r="Y97" s="552">
        <f>Speed!AO98</f>
        <v>41.095442812800208</v>
      </c>
      <c r="Z97" s="552">
        <f>Speed!AP98</f>
        <v>41.094636873462768</v>
      </c>
      <c r="AA97" s="552">
        <f>Speed!AQ98</f>
        <v>41.093705207940218</v>
      </c>
      <c r="AB97" s="552">
        <f>Speed!AR98</f>
        <v>41.092629976360833</v>
      </c>
      <c r="AC97" s="552">
        <f>Speed!AS98</f>
        <v>41.09139222283779</v>
      </c>
      <c r="AD97" s="552">
        <f>Speed!AT98</f>
        <v>41.08997098868771</v>
      </c>
      <c r="AE97" s="552">
        <f>Speed!AU98</f>
        <v>41.088341430242401</v>
      </c>
      <c r="AF97" s="552">
        <f>Speed!AV98</f>
        <v>41.086477419898806</v>
      </c>
      <c r="AG97" s="700">
        <f>Speed!AW98</f>
        <v>41.084350227359607</v>
      </c>
      <c r="AH97" s="18"/>
      <c r="AI97" s="18"/>
      <c r="AJ97" s="18"/>
      <c r="AK97" s="18"/>
      <c r="AL97" s="18"/>
      <c r="AM97" s="18"/>
      <c r="AN97" s="18"/>
    </row>
    <row r="98" spans="2:40" ht="21.9" customHeight="1" x14ac:dyDescent="0.25">
      <c r="B98" s="680"/>
      <c r="C98" s="114"/>
      <c r="D98" s="237"/>
      <c r="E98" s="114" t="s">
        <v>282</v>
      </c>
      <c r="F98" s="114" t="s">
        <v>308</v>
      </c>
      <c r="G98" s="114" t="s">
        <v>324</v>
      </c>
      <c r="H98" s="552">
        <f>Speed!X99</f>
        <v>27.799996573650304</v>
      </c>
      <c r="I98" s="552">
        <f>Speed!Y99</f>
        <v>27.799995049304624</v>
      </c>
      <c r="J98" s="552">
        <f>Speed!Z99</f>
        <v>27.799991521642578</v>
      </c>
      <c r="K98" s="552">
        <f>Speed!AA99</f>
        <v>27.799960478396013</v>
      </c>
      <c r="L98" s="552">
        <f>Speed!AB99</f>
        <v>27.799849987857112</v>
      </c>
      <c r="M98" s="552">
        <f>Speed!AC99</f>
        <v>27.799512837411783</v>
      </c>
      <c r="N98" s="552">
        <f>Speed!AD99</f>
        <v>27.798604507295686</v>
      </c>
      <c r="O98" s="552">
        <f>Speed!AE99</f>
        <v>27.79638099138247</v>
      </c>
      <c r="P98" s="552">
        <f>Speed!AF99</f>
        <v>27.788785641371796</v>
      </c>
      <c r="Q98" s="552">
        <f>Speed!AG99</f>
        <v>27.76904800797</v>
      </c>
      <c r="R98" s="552">
        <f>Speed!AH99</f>
        <v>27.722268008909683</v>
      </c>
      <c r="S98" s="552">
        <f>Speed!AI99</f>
        <v>27.619807797087887</v>
      </c>
      <c r="T98" s="552">
        <f>Speed!AJ99</f>
        <v>27.41008874682602</v>
      </c>
      <c r="U98" s="552">
        <f>Speed!AK99</f>
        <v>27.248206252073437</v>
      </c>
      <c r="V98" s="552">
        <f>Speed!AL99</f>
        <v>27.184154150089018</v>
      </c>
      <c r="W98" s="552">
        <f>Speed!AM99</f>
        <v>27.113687845608009</v>
      </c>
      <c r="X98" s="552">
        <f>Speed!AN99</f>
        <v>27.0362899217501</v>
      </c>
      <c r="Y98" s="552">
        <f>Speed!AO99</f>
        <v>26.951325015374376</v>
      </c>
      <c r="Z98" s="552">
        <f>Speed!AP99</f>
        <v>26.858400679797352</v>
      </c>
      <c r="AA98" s="552">
        <f>Speed!AQ99</f>
        <v>26.756731449264507</v>
      </c>
      <c r="AB98" s="552">
        <f>Speed!AR99</f>
        <v>26.645914894605589</v>
      </c>
      <c r="AC98" s="552">
        <f>Speed!AS99</f>
        <v>26.525218980800844</v>
      </c>
      <c r="AD98" s="552">
        <f>Speed!AT99</f>
        <v>26.393855253156566</v>
      </c>
      <c r="AE98" s="552">
        <f>Speed!AU99</f>
        <v>26.251437332961135</v>
      </c>
      <c r="AF98" s="552">
        <f>Speed!AV99</f>
        <v>26.097169879604184</v>
      </c>
      <c r="AG98" s="700">
        <f>Speed!AW99</f>
        <v>25.930207143733867</v>
      </c>
      <c r="AH98" s="18"/>
      <c r="AI98" s="18"/>
      <c r="AJ98" s="18"/>
      <c r="AK98" s="18"/>
      <c r="AL98" s="18"/>
      <c r="AM98" s="18"/>
      <c r="AN98" s="18"/>
    </row>
    <row r="99" spans="2:40" ht="21.9" customHeight="1" x14ac:dyDescent="0.25">
      <c r="B99" s="680"/>
      <c r="C99" s="114"/>
      <c r="D99" s="237"/>
      <c r="E99" s="273" t="s">
        <v>321</v>
      </c>
      <c r="F99" s="273" t="s">
        <v>318</v>
      </c>
      <c r="G99" s="273" t="s">
        <v>308</v>
      </c>
      <c r="H99" s="552" t="e">
        <f>Speed!X100</f>
        <v>#DIV/0!</v>
      </c>
      <c r="I99" s="552" t="e">
        <f>Speed!Y100</f>
        <v>#DIV/0!</v>
      </c>
      <c r="J99" s="552" t="e">
        <f>Speed!Z100</f>
        <v>#DIV/0!</v>
      </c>
      <c r="K99" s="552" t="e">
        <f>Speed!AA100</f>
        <v>#DIV/0!</v>
      </c>
      <c r="L99" s="552" t="e">
        <f>Speed!AB100</f>
        <v>#DIV/0!</v>
      </c>
      <c r="M99" s="552" t="e">
        <f>Speed!AC100</f>
        <v>#DIV/0!</v>
      </c>
      <c r="N99" s="552" t="e">
        <f>Speed!AD100</f>
        <v>#DIV/0!</v>
      </c>
      <c r="O99" s="552" t="e">
        <f>Speed!AE100</f>
        <v>#DIV/0!</v>
      </c>
      <c r="P99" s="552" t="e">
        <f>Speed!AF100</f>
        <v>#DIV/0!</v>
      </c>
      <c r="Q99" s="552" t="e">
        <f>Speed!AG100</f>
        <v>#DIV/0!</v>
      </c>
      <c r="R99" s="552" t="e">
        <f>Speed!AH100</f>
        <v>#DIV/0!</v>
      </c>
      <c r="S99" s="552" t="e">
        <f>Speed!AI100</f>
        <v>#DIV/0!</v>
      </c>
      <c r="T99" s="552" t="e">
        <f>Speed!AJ100</f>
        <v>#DIV/0!</v>
      </c>
      <c r="U99" s="552" t="e">
        <f>Speed!AK100</f>
        <v>#DIV/0!</v>
      </c>
      <c r="V99" s="552" t="e">
        <f>Speed!AL100</f>
        <v>#DIV/0!</v>
      </c>
      <c r="W99" s="552" t="e">
        <f>Speed!AM100</f>
        <v>#DIV/0!</v>
      </c>
      <c r="X99" s="552" t="e">
        <f>Speed!AN100</f>
        <v>#DIV/0!</v>
      </c>
      <c r="Y99" s="552" t="e">
        <f>Speed!AO100</f>
        <v>#DIV/0!</v>
      </c>
      <c r="Z99" s="552" t="e">
        <f>Speed!AP100</f>
        <v>#DIV/0!</v>
      </c>
      <c r="AA99" s="552" t="e">
        <f>Speed!AQ100</f>
        <v>#DIV/0!</v>
      </c>
      <c r="AB99" s="552" t="e">
        <f>Speed!AR100</f>
        <v>#DIV/0!</v>
      </c>
      <c r="AC99" s="552" t="e">
        <f>Speed!AS100</f>
        <v>#DIV/0!</v>
      </c>
      <c r="AD99" s="552" t="e">
        <f>Speed!AT100</f>
        <v>#DIV/0!</v>
      </c>
      <c r="AE99" s="552" t="e">
        <f>Speed!AU100</f>
        <v>#DIV/0!</v>
      </c>
      <c r="AF99" s="552" t="e">
        <f>Speed!AV100</f>
        <v>#DIV/0!</v>
      </c>
      <c r="AG99" s="700" t="e">
        <f>Speed!AW100</f>
        <v>#DIV/0!</v>
      </c>
      <c r="AH99" s="18"/>
      <c r="AI99" s="18"/>
      <c r="AJ99" s="18"/>
      <c r="AK99" s="18"/>
      <c r="AL99" s="18"/>
      <c r="AM99" s="18"/>
      <c r="AN99" s="18"/>
    </row>
    <row r="100" spans="2:40" ht="21.9" customHeight="1" x14ac:dyDescent="0.25">
      <c r="B100" s="680"/>
      <c r="C100" s="114"/>
      <c r="D100" s="237"/>
      <c r="E100" s="273" t="s">
        <v>333</v>
      </c>
      <c r="F100" s="273" t="s">
        <v>319</v>
      </c>
      <c r="G100" s="273" t="s">
        <v>308</v>
      </c>
      <c r="H100" s="552">
        <f>Speed!X101</f>
        <v>31.89597447271742</v>
      </c>
      <c r="I100" s="552">
        <f>Speed!Y101</f>
        <v>31.895307298934267</v>
      </c>
      <c r="J100" s="552">
        <f>Speed!Z101</f>
        <v>31.893992728566314</v>
      </c>
      <c r="K100" s="552">
        <f>Speed!AA101</f>
        <v>31.886678735617878</v>
      </c>
      <c r="L100" s="552">
        <f>Speed!AB101</f>
        <v>31.872150555091675</v>
      </c>
      <c r="M100" s="552">
        <f>Speed!AC101</f>
        <v>31.844637796182958</v>
      </c>
      <c r="N100" s="552">
        <f>Speed!AD101</f>
        <v>31.794871534713295</v>
      </c>
      <c r="O100" s="552">
        <f>Speed!AE101</f>
        <v>31.708072383454706</v>
      </c>
      <c r="P100" s="552">
        <f>Speed!AF101</f>
        <v>31.526303036497104</v>
      </c>
      <c r="Q100" s="552">
        <f>Speed!AG101</f>
        <v>31.205750918031992</v>
      </c>
      <c r="R100" s="552">
        <f>Speed!AH101</f>
        <v>30.666059498764817</v>
      </c>
      <c r="S100" s="552">
        <f>Speed!AI101</f>
        <v>29.802150767879407</v>
      </c>
      <c r="T100" s="552">
        <f>Speed!AJ101</f>
        <v>28.491377926210241</v>
      </c>
      <c r="U100" s="552">
        <f>Speed!AK101</f>
        <v>27.809945600992162</v>
      </c>
      <c r="V100" s="552">
        <f>Speed!AL101</f>
        <v>27.531230859921973</v>
      </c>
      <c r="W100" s="552">
        <f>Speed!AM101</f>
        <v>27.238989760272183</v>
      </c>
      <c r="X100" s="552">
        <f>Speed!AN101</f>
        <v>26.933096349146528</v>
      </c>
      <c r="Y100" s="552">
        <f>Speed!AO101</f>
        <v>26.612833802275066</v>
      </c>
      <c r="Z100" s="552">
        <f>Speed!AP101</f>
        <v>26.279453570933779</v>
      </c>
      <c r="AA100" s="552">
        <f>Speed!AQ101</f>
        <v>25.931688299300308</v>
      </c>
      <c r="AB100" s="552">
        <f>Speed!AR101</f>
        <v>25.57102761410637</v>
      </c>
      <c r="AC100" s="552">
        <f>Speed!AS101</f>
        <v>25.196985391117437</v>
      </c>
      <c r="AD100" s="552">
        <f>Speed!AT101</f>
        <v>24.80904170870507</v>
      </c>
      <c r="AE100" s="552">
        <f>Speed!AU101</f>
        <v>24.40905975552349</v>
      </c>
      <c r="AF100" s="552">
        <f>Speed!AV101</f>
        <v>23.996692987019557</v>
      </c>
      <c r="AG100" s="700">
        <f>Speed!AW101</f>
        <v>23.571571402618002</v>
      </c>
      <c r="AH100" s="18"/>
      <c r="AI100" s="18"/>
      <c r="AJ100" s="18"/>
      <c r="AK100" s="18"/>
      <c r="AL100" s="18"/>
      <c r="AM100" s="18"/>
      <c r="AN100" s="18"/>
    </row>
    <row r="101" spans="2:40" ht="21.9" customHeight="1" x14ac:dyDescent="0.25">
      <c r="B101" s="680"/>
      <c r="C101" s="114"/>
      <c r="D101" s="237"/>
      <c r="E101" s="114" t="s">
        <v>319</v>
      </c>
      <c r="F101" s="114" t="s">
        <v>276</v>
      </c>
      <c r="G101" s="114" t="s">
        <v>333</v>
      </c>
      <c r="H101" s="552">
        <f>Speed!X102</f>
        <v>55.89999031092723</v>
      </c>
      <c r="I101" s="552">
        <f>Speed!Y102</f>
        <v>55.899986041316602</v>
      </c>
      <c r="J101" s="552">
        <f>Speed!Z102</f>
        <v>55.899979699649357</v>
      </c>
      <c r="K101" s="552">
        <f>Speed!AA102</f>
        <v>55.899955539028213</v>
      </c>
      <c r="L101" s="552">
        <f>Speed!AB102</f>
        <v>55.899908004274209</v>
      </c>
      <c r="M101" s="552">
        <f>Speed!AC102</f>
        <v>55.899818741734435</v>
      </c>
      <c r="N101" s="552">
        <f>Speed!AD102</f>
        <v>55.89965809746532</v>
      </c>
      <c r="O101" s="552">
        <f>Speed!AE102</f>
        <v>55.899378737402259</v>
      </c>
      <c r="P101" s="552">
        <f>Speed!AF102</f>
        <v>55.898684099223694</v>
      </c>
      <c r="Q101" s="552">
        <f>Speed!AG102</f>
        <v>55.8973550755587</v>
      </c>
      <c r="R101" s="552">
        <f>Speed!AH102</f>
        <v>55.894920864815575</v>
      </c>
      <c r="S101" s="552">
        <f>Speed!AI102</f>
        <v>55.890628988395591</v>
      </c>
      <c r="T101" s="552">
        <f>Speed!AJ102</f>
        <v>55.883303446680344</v>
      </c>
      <c r="U101" s="552">
        <f>Speed!AK102</f>
        <v>55.876864875425575</v>
      </c>
      <c r="V101" s="552">
        <f>Speed!AL102</f>
        <v>55.872596856149997</v>
      </c>
      <c r="W101" s="552">
        <f>Speed!AM102</f>
        <v>55.86763331281233</v>
      </c>
      <c r="X101" s="552">
        <f>Speed!AN102</f>
        <v>55.861875443285157</v>
      </c>
      <c r="Y101" s="552">
        <f>Speed!AO102</f>
        <v>55.855208592288065</v>
      </c>
      <c r="Z101" s="552">
        <f>Speed!AP102</f>
        <v>55.84751585001861</v>
      </c>
      <c r="AA101" s="552">
        <f>Speed!AQ102</f>
        <v>55.838650241457721</v>
      </c>
      <c r="AB101" s="552">
        <f>Speed!AR102</f>
        <v>55.828466776424733</v>
      </c>
      <c r="AC101" s="552">
        <f>Speed!AS102</f>
        <v>55.816789151831529</v>
      </c>
      <c r="AD101" s="552">
        <f>Speed!AT102</f>
        <v>55.803418818637169</v>
      </c>
      <c r="AE101" s="552">
        <f>Speed!AU102</f>
        <v>55.788158467847339</v>
      </c>
      <c r="AF101" s="552">
        <f>Speed!AV102</f>
        <v>55.770767265942659</v>
      </c>
      <c r="AG101" s="700">
        <f>Speed!AW102</f>
        <v>55.750975325021969</v>
      </c>
      <c r="AH101" s="18"/>
      <c r="AI101" s="18"/>
      <c r="AJ101" s="18"/>
      <c r="AK101" s="18"/>
      <c r="AL101" s="18"/>
      <c r="AM101" s="18"/>
      <c r="AN101" s="18"/>
    </row>
    <row r="102" spans="2:40" ht="21.9" customHeight="1" x14ac:dyDescent="0.25">
      <c r="B102" s="680"/>
      <c r="C102" s="114"/>
      <c r="D102" s="237"/>
      <c r="E102" s="114"/>
      <c r="F102" s="114" t="s">
        <v>333</v>
      </c>
      <c r="G102" s="114" t="s">
        <v>323</v>
      </c>
      <c r="H102" s="552">
        <f>Speed!X103</f>
        <v>55.899999377100173</v>
      </c>
      <c r="I102" s="552">
        <f>Speed!Y103</f>
        <v>55.899999116354792</v>
      </c>
      <c r="J102" s="552">
        <f>Speed!Z103</f>
        <v>55.899998724362867</v>
      </c>
      <c r="K102" s="552">
        <f>Speed!AA103</f>
        <v>55.899997515804188</v>
      </c>
      <c r="L102" s="552">
        <f>Speed!AB103</f>
        <v>55.899995358541901</v>
      </c>
      <c r="M102" s="552">
        <f>Speed!AC103</f>
        <v>55.899991640447503</v>
      </c>
      <c r="N102" s="552">
        <f>Speed!AD103</f>
        <v>55.899985432547204</v>
      </c>
      <c r="O102" s="552">
        <f>Speed!AE103</f>
        <v>55.899975335285816</v>
      </c>
      <c r="P102" s="552">
        <f>Speed!AF103</f>
        <v>55.899951309516432</v>
      </c>
      <c r="Q102" s="552">
        <f>Speed!AG103</f>
        <v>55.899907944758745</v>
      </c>
      <c r="R102" s="552">
        <f>Speed!AH103</f>
        <v>55.899832504230247</v>
      </c>
      <c r="S102" s="552">
        <f>Speed!AI103</f>
        <v>55.899705351444027</v>
      </c>
      <c r="T102" s="552">
        <f>Speed!AJ103</f>
        <v>55.89949689106227</v>
      </c>
      <c r="U102" s="552">
        <f>Speed!AK103</f>
        <v>55.899297479641056</v>
      </c>
      <c r="V102" s="552">
        <f>Speed!AL103</f>
        <v>55.899163392727473</v>
      </c>
      <c r="W102" s="552">
        <f>Speed!AM103</f>
        <v>55.89900669712766</v>
      </c>
      <c r="X102" s="552">
        <f>Speed!AN103</f>
        <v>55.898824065785504</v>
      </c>
      <c r="Y102" s="552">
        <f>Speed!AO103</f>
        <v>55.898611666425637</v>
      </c>
      <c r="Z102" s="552">
        <f>Speed!AP103</f>
        <v>55.898365441391256</v>
      </c>
      <c r="AA102" s="552">
        <f>Speed!AQ103</f>
        <v>55.898080477146628</v>
      </c>
      <c r="AB102" s="552">
        <f>Speed!AR103</f>
        <v>55.897751687905789</v>
      </c>
      <c r="AC102" s="552">
        <f>Speed!AS103</f>
        <v>55.897373056533787</v>
      </c>
      <c r="AD102" s="552">
        <f>Speed!AT103</f>
        <v>55.896937805232575</v>
      </c>
      <c r="AE102" s="552">
        <f>Speed!AU103</f>
        <v>55.896438894351022</v>
      </c>
      <c r="AF102" s="552">
        <f>Speed!AV103</f>
        <v>55.895867988800596</v>
      </c>
      <c r="AG102" s="700">
        <f>Speed!AW103</f>
        <v>55.895215742358523</v>
      </c>
      <c r="AH102" s="18"/>
      <c r="AI102" s="18"/>
      <c r="AJ102" s="18"/>
      <c r="AK102" s="18"/>
      <c r="AL102" s="18"/>
      <c r="AM102" s="18"/>
      <c r="AN102" s="18"/>
    </row>
    <row r="103" spans="2:40" ht="21.9" customHeight="1" x14ac:dyDescent="0.25">
      <c r="B103" s="680"/>
      <c r="C103" s="114"/>
      <c r="D103" s="237"/>
      <c r="E103" s="114"/>
      <c r="F103" s="114" t="s">
        <v>323</v>
      </c>
      <c r="G103" s="114" t="s">
        <v>322</v>
      </c>
      <c r="H103" s="552">
        <f>Speed!X104</f>
        <v>45.899998608523049</v>
      </c>
      <c r="I103" s="552">
        <f>Speed!Y104</f>
        <v>45.89999802605189</v>
      </c>
      <c r="J103" s="552">
        <f>Speed!Z104</f>
        <v>45.899997150393105</v>
      </c>
      <c r="K103" s="552">
        <f>Speed!AA104</f>
        <v>45.899994450630963</v>
      </c>
      <c r="L103" s="552">
        <f>Speed!AB104</f>
        <v>45.899989631589385</v>
      </c>
      <c r="M103" s="552">
        <f>Speed!AC104</f>
        <v>45.899981325854725</v>
      </c>
      <c r="N103" s="552">
        <f>Speed!AD104</f>
        <v>45.899967458224822</v>
      </c>
      <c r="O103" s="552">
        <f>Speed!AE104</f>
        <v>45.899944902286926</v>
      </c>
      <c r="P103" s="552">
        <f>Speed!AF104</f>
        <v>45.899891231972568</v>
      </c>
      <c r="Q103" s="552">
        <f>Speed!AG104</f>
        <v>45.899794361178913</v>
      </c>
      <c r="R103" s="552">
        <f>Speed!AH104</f>
        <v>45.899625838222953</v>
      </c>
      <c r="S103" s="552">
        <f>Speed!AI104</f>
        <v>45.899341799521196</v>
      </c>
      <c r="T103" s="552">
        <f>Speed!AJ104</f>
        <v>45.898876137648358</v>
      </c>
      <c r="U103" s="552">
        <f>Speed!AK104</f>
        <v>45.898430695068917</v>
      </c>
      <c r="V103" s="552">
        <f>Speed!AL104</f>
        <v>45.898131176579909</v>
      </c>
      <c r="W103" s="552">
        <f>Speed!AM104</f>
        <v>45.897781158759372</v>
      </c>
      <c r="X103" s="552">
        <f>Speed!AN104</f>
        <v>45.897373211396463</v>
      </c>
      <c r="Y103" s="552">
        <f>Speed!AO104</f>
        <v>45.896898776372069</v>
      </c>
      <c r="Z103" s="552">
        <f>Speed!AP104</f>
        <v>45.896348792928883</v>
      </c>
      <c r="AA103" s="552">
        <f>Speed!AQ104</f>
        <v>45.895712289599331</v>
      </c>
      <c r="AB103" s="552">
        <f>Speed!AR104</f>
        <v>45.894977911524315</v>
      </c>
      <c r="AC103" s="552">
        <f>Speed!AS104</f>
        <v>45.894132225322728</v>
      </c>
      <c r="AD103" s="552">
        <f>Speed!AT104</f>
        <v>45.893160100911004</v>
      </c>
      <c r="AE103" s="552">
        <f>Speed!AU104</f>
        <v>45.892045826232724</v>
      </c>
      <c r="AF103" s="552">
        <f>Speed!AV104</f>
        <v>45.890770799614316</v>
      </c>
      <c r="AG103" s="700">
        <f>Speed!AW104</f>
        <v>45.889314165902256</v>
      </c>
      <c r="AH103" s="18"/>
      <c r="AI103" s="18"/>
      <c r="AJ103" s="18"/>
      <c r="AK103" s="18"/>
      <c r="AL103" s="18"/>
      <c r="AM103" s="18"/>
      <c r="AN103" s="18"/>
    </row>
    <row r="104" spans="2:40" ht="21.9" customHeight="1" x14ac:dyDescent="0.25">
      <c r="B104" s="680"/>
      <c r="C104" s="114"/>
      <c r="D104" s="237"/>
      <c r="E104" s="114"/>
      <c r="F104" s="114" t="s">
        <v>322</v>
      </c>
      <c r="G104" s="114" t="s">
        <v>326</v>
      </c>
      <c r="H104" s="552">
        <f>Speed!X105</f>
        <v>45.899999869126233</v>
      </c>
      <c r="I104" s="552">
        <f>Speed!Y105</f>
        <v>45.899999816389006</v>
      </c>
      <c r="J104" s="552">
        <f>Speed!Z105</f>
        <v>45.899999735586789</v>
      </c>
      <c r="K104" s="552">
        <f>Speed!AA105</f>
        <v>45.899999514914178</v>
      </c>
      <c r="L104" s="552">
        <f>Speed!AB105</f>
        <v>45.899999140161235</v>
      </c>
      <c r="M104" s="552">
        <f>Speed!AC105</f>
        <v>45.899998522685827</v>
      </c>
      <c r="N104" s="552">
        <f>Speed!AD105</f>
        <v>45.899997531669932</v>
      </c>
      <c r="O104" s="552">
        <f>Speed!AE105</f>
        <v>45.899995976004625</v>
      </c>
      <c r="P104" s="552">
        <f>Speed!AF105</f>
        <v>45.899992695771978</v>
      </c>
      <c r="Q104" s="552">
        <f>Speed!AG105</f>
        <v>45.899987175145384</v>
      </c>
      <c r="R104" s="552">
        <f>Speed!AH105</f>
        <v>45.899978156147526</v>
      </c>
      <c r="S104" s="552">
        <f>Speed!AI105</f>
        <v>45.899963779774033</v>
      </c>
      <c r="T104" s="552">
        <f>Speed!AJ105</f>
        <v>45.899941362927734</v>
      </c>
      <c r="U104" s="552">
        <f>Speed!AK105</f>
        <v>45.899920131425979</v>
      </c>
      <c r="V104" s="552">
        <f>Speed!AL105</f>
        <v>45.899904407351293</v>
      </c>
      <c r="W104" s="552">
        <f>Speed!AM105</f>
        <v>45.899885950045132</v>
      </c>
      <c r="X104" s="552">
        <f>Speed!AN105</f>
        <v>45.899864345062973</v>
      </c>
      <c r="Y104" s="552">
        <f>Speed!AO105</f>
        <v>45.899839108182725</v>
      </c>
      <c r="Z104" s="552">
        <f>Speed!AP105</f>
        <v>45.899809740102185</v>
      </c>
      <c r="AA104" s="552">
        <f>Speed!AQ105</f>
        <v>45.899775611250405</v>
      </c>
      <c r="AB104" s="552">
        <f>Speed!AR105</f>
        <v>45.899736092819808</v>
      </c>
      <c r="AC104" s="552">
        <f>Speed!AS105</f>
        <v>45.899690417317423</v>
      </c>
      <c r="AD104" s="552">
        <f>Speed!AT105</f>
        <v>45.899637713552103</v>
      </c>
      <c r="AE104" s="552">
        <f>Speed!AU105</f>
        <v>45.899577105587056</v>
      </c>
      <c r="AF104" s="552">
        <f>Speed!AV105</f>
        <v>45.899507520307488</v>
      </c>
      <c r="AG104" s="700">
        <f>Speed!AW105</f>
        <v>45.899427745140208</v>
      </c>
      <c r="AH104" s="18"/>
      <c r="AI104" s="18"/>
      <c r="AJ104" s="18"/>
      <c r="AK104" s="18"/>
      <c r="AL104" s="18"/>
      <c r="AM104" s="18"/>
      <c r="AN104" s="18"/>
    </row>
    <row r="105" spans="2:40" ht="21.9" customHeight="1" x14ac:dyDescent="0.25">
      <c r="B105" s="680"/>
      <c r="C105" s="114"/>
      <c r="D105" s="237"/>
      <c r="E105" s="114"/>
      <c r="F105" s="114" t="s">
        <v>326</v>
      </c>
      <c r="G105" s="114" t="s">
        <v>274</v>
      </c>
      <c r="H105" s="552">
        <f>Speed!X106</f>
        <v>55.899999941413874</v>
      </c>
      <c r="I105" s="552">
        <f>Speed!Y106</f>
        <v>55.899999917805857</v>
      </c>
      <c r="J105" s="552">
        <f>Speed!Z106</f>
        <v>55.899999881634443</v>
      </c>
      <c r="K105" s="552">
        <f>Speed!AA106</f>
        <v>55.899999782849534</v>
      </c>
      <c r="L105" s="552">
        <f>Speed!AB106</f>
        <v>55.899999615089982</v>
      </c>
      <c r="M105" s="552">
        <f>Speed!AC106</f>
        <v>55.899999338674824</v>
      </c>
      <c r="N105" s="552">
        <f>Speed!AD106</f>
        <v>55.899998895042863</v>
      </c>
      <c r="O105" s="552">
        <f>Speed!AE106</f>
        <v>55.899998198643459</v>
      </c>
      <c r="P105" s="552">
        <f>Speed!AF106</f>
        <v>55.899996730234925</v>
      </c>
      <c r="Q105" s="552">
        <f>Speed!AG106</f>
        <v>55.899994258905288</v>
      </c>
      <c r="R105" s="552">
        <f>Speed!AH106</f>
        <v>55.89999022151553</v>
      </c>
      <c r="S105" s="552">
        <f>Speed!AI106</f>
        <v>55.899983785873516</v>
      </c>
      <c r="T105" s="552">
        <f>Speed!AJ106</f>
        <v>55.899973750876065</v>
      </c>
      <c r="U105" s="552">
        <f>Speed!AK106</f>
        <v>55.899964246497476</v>
      </c>
      <c r="V105" s="552">
        <f>Speed!AL106</f>
        <v>55.899957207540147</v>
      </c>
      <c r="W105" s="552">
        <f>Speed!AM106</f>
        <v>55.899948945034772</v>
      </c>
      <c r="X105" s="552">
        <f>Speed!AN106</f>
        <v>55.89993927345116</v>
      </c>
      <c r="Y105" s="552">
        <f>Speed!AO106</f>
        <v>55.899927976022013</v>
      </c>
      <c r="Z105" s="552">
        <f>Speed!AP106</f>
        <v>55.899914829228308</v>
      </c>
      <c r="AA105" s="552">
        <f>Speed!AQ106</f>
        <v>55.899899551234036</v>
      </c>
      <c r="AB105" s="552">
        <f>Speed!AR106</f>
        <v>55.89988186054309</v>
      </c>
      <c r="AC105" s="552">
        <f>Speed!AS106</f>
        <v>55.899861413573589</v>
      </c>
      <c r="AD105" s="552">
        <f>Speed!AT106</f>
        <v>55.899837820319298</v>
      </c>
      <c r="AE105" s="552">
        <f>Speed!AU106</f>
        <v>55.899810688645594</v>
      </c>
      <c r="AF105" s="552">
        <f>Speed!AV106</f>
        <v>55.899779538144408</v>
      </c>
      <c r="AG105" s="700">
        <f>Speed!AW106</f>
        <v>55.899743825971207</v>
      </c>
      <c r="AH105" s="18"/>
      <c r="AI105" s="18"/>
      <c r="AJ105" s="18"/>
      <c r="AK105" s="18"/>
      <c r="AL105" s="18"/>
      <c r="AM105" s="18"/>
      <c r="AN105" s="18"/>
    </row>
    <row r="106" spans="2:40" ht="21.9" customHeight="1" thickBot="1" x14ac:dyDescent="0.3">
      <c r="B106" s="680"/>
      <c r="C106" s="114"/>
      <c r="D106" s="237"/>
      <c r="E106" s="274"/>
      <c r="F106" s="274" t="s">
        <v>274</v>
      </c>
      <c r="G106" s="274" t="s">
        <v>317</v>
      </c>
      <c r="H106" s="552">
        <f>Speed!X107</f>
        <v>55.299903328088064</v>
      </c>
      <c r="I106" s="552">
        <f>Speed!Y107</f>
        <v>55.29986437302955</v>
      </c>
      <c r="J106" s="552">
        <f>Speed!Z107</f>
        <v>55.299804687486549</v>
      </c>
      <c r="K106" s="552">
        <f>Speed!AA107</f>
        <v>55.299641685631045</v>
      </c>
      <c r="L106" s="552">
        <f>Speed!AB107</f>
        <v>55.299364873114826</v>
      </c>
      <c r="M106" s="552">
        <f>Speed!AC107</f>
        <v>55.298908778876452</v>
      </c>
      <c r="N106" s="552">
        <f>Speed!AD107</f>
        <v>55.29817678706992</v>
      </c>
      <c r="O106" s="552">
        <f>Speed!AE107</f>
        <v>55.297027768559985</v>
      </c>
      <c r="P106" s="552">
        <f>Speed!AF107</f>
        <v>55.294605136297783</v>
      </c>
      <c r="Q106" s="552">
        <f>Speed!AG107</f>
        <v>55.290528328319198</v>
      </c>
      <c r="R106" s="552">
        <f>Speed!AH107</f>
        <v>55.283869374900981</v>
      </c>
      <c r="S106" s="552">
        <f>Speed!AI107</f>
        <v>55.273258246070228</v>
      </c>
      <c r="T106" s="552">
        <f>Speed!AJ107</f>
        <v>55.256720596808989</v>
      </c>
      <c r="U106" s="552">
        <f>Speed!AK107</f>
        <v>55.241066522952416</v>
      </c>
      <c r="V106" s="552">
        <f>Speed!AL107</f>
        <v>55.229478804071881</v>
      </c>
      <c r="W106" s="552">
        <f>Speed!AM107</f>
        <v>55.215883045019773</v>
      </c>
      <c r="X106" s="552">
        <f>Speed!AN107</f>
        <v>55.199977176523241</v>
      </c>
      <c r="Y106" s="552">
        <f>Speed!AO107</f>
        <v>55.181409038767711</v>
      </c>
      <c r="Z106" s="552">
        <f>Speed!AP107</f>
        <v>55.159817048254801</v>
      </c>
      <c r="AA106" s="552">
        <f>Speed!AQ107</f>
        <v>55.134746029102963</v>
      </c>
      <c r="AB106" s="552">
        <f>Speed!AR107</f>
        <v>55.105744242512358</v>
      </c>
      <c r="AC106" s="552">
        <f>Speed!AS107</f>
        <v>55.072261830409062</v>
      </c>
      <c r="AD106" s="552">
        <f>Speed!AT107</f>
        <v>55.03367779533442</v>
      </c>
      <c r="AE106" s="552">
        <f>Speed!AU107</f>
        <v>54.989373826227258</v>
      </c>
      <c r="AF106" s="552">
        <f>Speed!AV107</f>
        <v>54.938595245848475</v>
      </c>
      <c r="AG106" s="700">
        <f>Speed!AW107</f>
        <v>54.880495856513917</v>
      </c>
      <c r="AH106" s="18"/>
      <c r="AI106" s="18"/>
      <c r="AJ106" s="18"/>
      <c r="AK106" s="18"/>
      <c r="AL106" s="18"/>
      <c r="AM106" s="18"/>
      <c r="AN106" s="18"/>
    </row>
    <row r="107" spans="2:40" ht="21.9" customHeight="1" x14ac:dyDescent="0.25">
      <c r="B107" s="179"/>
      <c r="C107" s="114"/>
      <c r="D107" s="237" t="s">
        <v>443</v>
      </c>
      <c r="E107" s="1325" t="s">
        <v>315</v>
      </c>
      <c r="F107" s="217" t="s">
        <v>316</v>
      </c>
      <c r="G107" s="217" t="s">
        <v>276</v>
      </c>
      <c r="H107" s="701">
        <f>Speed!AX88</f>
        <v>71.779999996865541</v>
      </c>
      <c r="I107" s="701">
        <f>Speed!AY88</f>
        <v>71.779999996865541</v>
      </c>
      <c r="J107" s="701">
        <f>Speed!AZ88</f>
        <v>71.77999999508522</v>
      </c>
      <c r="K107" s="701">
        <f>Speed!BA88</f>
        <v>71.779999991051</v>
      </c>
      <c r="L107" s="701">
        <f>Speed!BB88</f>
        <v>71.779999979704201</v>
      </c>
      <c r="M107" s="701">
        <f>Speed!BC88</f>
        <v>71.779999956726542</v>
      </c>
      <c r="N107" s="701">
        <f>Speed!BD88</f>
        <v>71.779999912522939</v>
      </c>
      <c r="O107" s="701">
        <f>Speed!BE88</f>
        <v>71.779999831208556</v>
      </c>
      <c r="P107" s="701">
        <f>Speed!BF88</f>
        <v>71.779999687109338</v>
      </c>
      <c r="Q107" s="701">
        <f>Speed!BG88</f>
        <v>71.779999444153589</v>
      </c>
      <c r="R107" s="701">
        <f>Speed!BH88</f>
        <v>71.779999042810061</v>
      </c>
      <c r="S107" s="701">
        <f>Speed!BI88</f>
        <v>71.779998397392205</v>
      </c>
      <c r="T107" s="701">
        <f>Speed!BJ88</f>
        <v>71.779997383722829</v>
      </c>
      <c r="U107" s="701">
        <f>Speed!BK88</f>
        <v>71.779995824081922</v>
      </c>
      <c r="V107" s="701">
        <f>Speed!BL88</f>
        <v>71.779994336790281</v>
      </c>
      <c r="W107" s="701">
        <f>Speed!BM88</f>
        <v>71.779992978363467</v>
      </c>
      <c r="X107" s="701">
        <f>Speed!BN88</f>
        <v>71.779991333403089</v>
      </c>
      <c r="Y107" s="701">
        <f>Speed!BO88</f>
        <v>71.779989349390988</v>
      </c>
      <c r="Z107" s="701">
        <f>Speed!BP88</f>
        <v>71.779986964509021</v>
      </c>
      <c r="AA107" s="701">
        <f>Speed!BQ88</f>
        <v>71.779984110596928</v>
      </c>
      <c r="AB107" s="701">
        <f>Speed!BR88</f>
        <v>71.779980704653511</v>
      </c>
      <c r="AC107" s="701">
        <f>Speed!BS88</f>
        <v>71.779976656967719</v>
      </c>
      <c r="AD107" s="701">
        <f>Speed!BT88</f>
        <v>71.779971860501163</v>
      </c>
      <c r="AE107" s="701">
        <f>Speed!BU88</f>
        <v>71.779966192058453</v>
      </c>
      <c r="AF107" s="701">
        <f>Speed!BV88</f>
        <v>71.779959518825549</v>
      </c>
      <c r="AG107" s="702">
        <f>Speed!BW88</f>
        <v>71.779951682656474</v>
      </c>
      <c r="AH107" s="18"/>
      <c r="AI107" s="18"/>
      <c r="AJ107" s="18"/>
      <c r="AK107" s="18"/>
      <c r="AL107" s="18"/>
      <c r="AM107" s="18"/>
      <c r="AN107" s="18"/>
    </row>
    <row r="108" spans="2:40" ht="21.9" customHeight="1" x14ac:dyDescent="0.25">
      <c r="B108" s="179"/>
      <c r="C108" s="114"/>
      <c r="D108" s="237"/>
      <c r="E108" s="1327"/>
      <c r="F108" s="114" t="s">
        <v>276</v>
      </c>
      <c r="G108" s="114" t="s">
        <v>274</v>
      </c>
      <c r="H108" s="552">
        <f>Speed!AX89</f>
        <v>71.779999999426806</v>
      </c>
      <c r="I108" s="552">
        <f>Speed!AY89</f>
        <v>71.779999999426806</v>
      </c>
      <c r="J108" s="552">
        <f>Speed!AZ89</f>
        <v>71.779999999017221</v>
      </c>
      <c r="K108" s="552">
        <f>Speed!BA89</f>
        <v>71.77999999822552</v>
      </c>
      <c r="L108" s="552">
        <f>Speed!BB89</f>
        <v>71.779999995093277</v>
      </c>
      <c r="M108" s="552">
        <f>Speed!BC89</f>
        <v>71.779999987644985</v>
      </c>
      <c r="N108" s="552">
        <f>Speed!BD89</f>
        <v>71.779999971223617</v>
      </c>
      <c r="O108" s="552">
        <f>Speed!BE89</f>
        <v>71.779999937279726</v>
      </c>
      <c r="P108" s="552">
        <f>Speed!BF89</f>
        <v>71.779999870699228</v>
      </c>
      <c r="Q108" s="552">
        <f>Speed!BG89</f>
        <v>71.779999713713764</v>
      </c>
      <c r="R108" s="552">
        <f>Speed!BH89</f>
        <v>71.779999402058394</v>
      </c>
      <c r="S108" s="552">
        <f>Speed!BI89</f>
        <v>71.779998812907877</v>
      </c>
      <c r="T108" s="552">
        <f>Speed!BJ89</f>
        <v>71.779997744772913</v>
      </c>
      <c r="U108" s="552">
        <f>Speed!BK89</f>
        <v>71.779995875841664</v>
      </c>
      <c r="V108" s="552">
        <f>Speed!BL89</f>
        <v>71.779994148602313</v>
      </c>
      <c r="W108" s="552">
        <f>Speed!BM89</f>
        <v>71.77999272549485</v>
      </c>
      <c r="X108" s="552">
        <f>Speed!BN89</f>
        <v>71.779990998126749</v>
      </c>
      <c r="Y108" s="552">
        <f>Speed!BO89</f>
        <v>71.779988909988901</v>
      </c>
      <c r="Z108" s="552">
        <f>Speed!BP89</f>
        <v>71.779986393753035</v>
      </c>
      <c r="AA108" s="552">
        <f>Speed!BQ89</f>
        <v>71.779983377071929</v>
      </c>
      <c r="AB108" s="552">
        <f>Speed!BR89</f>
        <v>71.77997976861144</v>
      </c>
      <c r="AC108" s="552">
        <f>Speed!BS89</f>
        <v>71.779975472988923</v>
      </c>
      <c r="AD108" s="552">
        <f>Speed!BT89</f>
        <v>71.77997037325585</v>
      </c>
      <c r="AE108" s="552">
        <f>Speed!BU89</f>
        <v>71.779964333909859</v>
      </c>
      <c r="AF108" s="552">
        <f>Speed!BV89</f>
        <v>71.779957213467156</v>
      </c>
      <c r="AG108" s="700">
        <f>Speed!BW89</f>
        <v>71.779948838243811</v>
      </c>
      <c r="AH108" s="18"/>
      <c r="AI108" s="18"/>
      <c r="AJ108" s="18"/>
      <c r="AK108" s="18"/>
      <c r="AL108" s="18"/>
      <c r="AM108" s="18"/>
      <c r="AN108" s="18"/>
    </row>
    <row r="109" spans="2:40" ht="21.9" customHeight="1" x14ac:dyDescent="0.25">
      <c r="B109" s="179"/>
      <c r="C109" s="114"/>
      <c r="D109" s="237"/>
      <c r="E109" s="1327"/>
      <c r="F109" s="114" t="s">
        <v>274</v>
      </c>
      <c r="G109" s="114" t="s">
        <v>317</v>
      </c>
      <c r="H109" s="552">
        <f>Speed!AX90</f>
        <v>71.779999999823488</v>
      </c>
      <c r="I109" s="552">
        <f>Speed!AY90</f>
        <v>71.779999999823488</v>
      </c>
      <c r="J109" s="552">
        <f>Speed!AZ90</f>
        <v>71.779999999734272</v>
      </c>
      <c r="K109" s="552">
        <f>Speed!BA90</f>
        <v>71.779999999568759</v>
      </c>
      <c r="L109" s="552">
        <f>Speed!BB90</f>
        <v>71.779999999200783</v>
      </c>
      <c r="M109" s="552">
        <f>Speed!BC90</f>
        <v>71.77999999857073</v>
      </c>
      <c r="N109" s="552">
        <f>Speed!BD90</f>
        <v>71.779999997524499</v>
      </c>
      <c r="O109" s="552">
        <f>Speed!BE90</f>
        <v>71.779999995833847</v>
      </c>
      <c r="P109" s="552">
        <f>Speed!BF90</f>
        <v>71.779999993164495</v>
      </c>
      <c r="Q109" s="552">
        <f>Speed!BG90</f>
        <v>71.779999989199908</v>
      </c>
      <c r="R109" s="552">
        <f>Speed!BH90</f>
        <v>71.779999983271324</v>
      </c>
      <c r="S109" s="552">
        <f>Speed!BI90</f>
        <v>71.779999974563211</v>
      </c>
      <c r="T109" s="552">
        <f>Speed!BJ90</f>
        <v>71.779999961968642</v>
      </c>
      <c r="U109" s="552">
        <f>Speed!BK90</f>
        <v>71.779999943999997</v>
      </c>
      <c r="V109" s="552">
        <f>Speed!BL90</f>
        <v>71.779999926296767</v>
      </c>
      <c r="W109" s="552">
        <f>Speed!BM90</f>
        <v>71.779999907624202</v>
      </c>
      <c r="X109" s="552">
        <f>Speed!BN90</f>
        <v>71.779999884796936</v>
      </c>
      <c r="Y109" s="552">
        <f>Speed!BO90</f>
        <v>71.779999857012641</v>
      </c>
      <c r="Z109" s="552">
        <f>Speed!BP90</f>
        <v>71.779999823321802</v>
      </c>
      <c r="AA109" s="552">
        <f>Speed!BQ90</f>
        <v>71.779999782665399</v>
      </c>
      <c r="AB109" s="552">
        <f>Speed!BR90</f>
        <v>71.779999733753115</v>
      </c>
      <c r="AC109" s="552">
        <f>Speed!BS90</f>
        <v>71.779999675172974</v>
      </c>
      <c r="AD109" s="552">
        <f>Speed!BT90</f>
        <v>71.779999605237748</v>
      </c>
      <c r="AE109" s="552">
        <f>Speed!BU90</f>
        <v>71.779999521995265</v>
      </c>
      <c r="AF109" s="552">
        <f>Speed!BV90</f>
        <v>71.779999423317946</v>
      </c>
      <c r="AG109" s="700">
        <f>Speed!BW90</f>
        <v>71.779999306671286</v>
      </c>
      <c r="AH109" s="18"/>
      <c r="AI109" s="18"/>
      <c r="AJ109" s="18"/>
      <c r="AK109" s="18"/>
      <c r="AL109" s="18"/>
      <c r="AM109" s="18"/>
      <c r="AN109" s="18"/>
    </row>
    <row r="110" spans="2:40" ht="21.9" customHeight="1" x14ac:dyDescent="0.25">
      <c r="B110" s="179"/>
      <c r="C110" s="114"/>
      <c r="D110" s="237"/>
      <c r="E110" s="1325" t="s">
        <v>274</v>
      </c>
      <c r="F110" s="217" t="s">
        <v>275</v>
      </c>
      <c r="G110" s="217" t="s">
        <v>318</v>
      </c>
      <c r="H110" s="552">
        <f>Speed!AX91</f>
        <v>59.499999873000476</v>
      </c>
      <c r="I110" s="552">
        <f>Speed!AY91</f>
        <v>59.499999873000476</v>
      </c>
      <c r="J110" s="552">
        <f>Speed!AZ91</f>
        <v>59.49999964226776</v>
      </c>
      <c r="K110" s="552">
        <f>Speed!BA91</f>
        <v>59.499999038741485</v>
      </c>
      <c r="L110" s="552">
        <f>Speed!BB91</f>
        <v>59.499987606435418</v>
      </c>
      <c r="M110" s="552">
        <f>Speed!BC91</f>
        <v>59.49990513792752</v>
      </c>
      <c r="N110" s="552">
        <f>Speed!BD91</f>
        <v>59.49948555774278</v>
      </c>
      <c r="O110" s="552">
        <f>Speed!BE91</f>
        <v>59.497818518103678</v>
      </c>
      <c r="P110" s="552">
        <f>Speed!BF91</f>
        <v>59.492281341629493</v>
      </c>
      <c r="Q110" s="552">
        <f>Speed!BG91</f>
        <v>59.466168125491599</v>
      </c>
      <c r="R110" s="552">
        <f>Speed!BH91</f>
        <v>59.377511414125067</v>
      </c>
      <c r="S110" s="552">
        <f>Speed!BI91</f>
        <v>59.118493852078899</v>
      </c>
      <c r="T110" s="552">
        <f>Speed!BJ91</f>
        <v>58.450170986783746</v>
      </c>
      <c r="U110" s="552">
        <f>Speed!BK91</f>
        <v>56.910179693932385</v>
      </c>
      <c r="V110" s="552">
        <f>Speed!BL91</f>
        <v>55.609704730983857</v>
      </c>
      <c r="W110" s="552">
        <f>Speed!BM91</f>
        <v>54.852758976037464</v>
      </c>
      <c r="X110" s="552">
        <f>Speed!BN91</f>
        <v>53.981238415286349</v>
      </c>
      <c r="Y110" s="552">
        <f>Speed!BO91</f>
        <v>52.985877041502413</v>
      </c>
      <c r="Z110" s="552">
        <f>Speed!BP91</f>
        <v>51.856833281409628</v>
      </c>
      <c r="AA110" s="552">
        <f>Speed!BQ91</f>
        <v>50.59174927342967</v>
      </c>
      <c r="AB110" s="552">
        <f>Speed!BR91</f>
        <v>49.183187727463952</v>
      </c>
      <c r="AC110" s="552">
        <f>Speed!BS91</f>
        <v>47.635500619307336</v>
      </c>
      <c r="AD110" s="552">
        <f>Speed!BT91</f>
        <v>45.950114226766104</v>
      </c>
      <c r="AE110" s="552">
        <f>Speed!BU91</f>
        <v>44.131666528992497</v>
      </c>
      <c r="AF110" s="552">
        <f>Speed!BV91</f>
        <v>42.19785905879651</v>
      </c>
      <c r="AG110" s="700">
        <f>Speed!BW91</f>
        <v>40.161812588670877</v>
      </c>
      <c r="AH110" s="18"/>
      <c r="AI110" s="18"/>
      <c r="AJ110" s="18"/>
      <c r="AK110" s="18"/>
      <c r="AL110" s="18"/>
      <c r="AM110" s="18"/>
      <c r="AN110" s="18"/>
    </row>
    <row r="111" spans="2:40" ht="21.9" customHeight="1" x14ac:dyDescent="0.25">
      <c r="B111" s="179"/>
      <c r="C111" s="114"/>
      <c r="D111" s="237"/>
      <c r="E111" s="1327"/>
      <c r="F111" s="114" t="s">
        <v>318</v>
      </c>
      <c r="G111" s="114" t="s">
        <v>308</v>
      </c>
      <c r="H111" s="552">
        <f>Speed!AX92</f>
        <v>49.499999999361144</v>
      </c>
      <c r="I111" s="552">
        <f>Speed!AY92</f>
        <v>49.499999999361144</v>
      </c>
      <c r="J111" s="552">
        <f>Speed!AZ92</f>
        <v>49.49999999777539</v>
      </c>
      <c r="K111" s="552">
        <f>Speed!BA92</f>
        <v>49.499999993251222</v>
      </c>
      <c r="L111" s="552">
        <f>Speed!BB92</f>
        <v>49.49999985877853</v>
      </c>
      <c r="M111" s="552">
        <f>Speed!BC92</f>
        <v>49.499998549884872</v>
      </c>
      <c r="N111" s="552">
        <f>Speed!BD92</f>
        <v>49.499990407488873</v>
      </c>
      <c r="O111" s="552">
        <f>Speed!BE92</f>
        <v>49.499953109107075</v>
      </c>
      <c r="P111" s="552">
        <f>Speed!BF92</f>
        <v>49.499815396545571</v>
      </c>
      <c r="Q111" s="552">
        <f>Speed!BG92</f>
        <v>49.498888653843622</v>
      </c>
      <c r="R111" s="552">
        <f>Speed!BH92</f>
        <v>49.494912735808761</v>
      </c>
      <c r="S111" s="552">
        <f>Speed!BI92</f>
        <v>49.480957550393988</v>
      </c>
      <c r="T111" s="552">
        <f>Speed!BJ92</f>
        <v>49.438937168999267</v>
      </c>
      <c r="U111" s="552">
        <f>Speed!BK92</f>
        <v>49.326739540117337</v>
      </c>
      <c r="V111" s="552">
        <f>Speed!BL92</f>
        <v>49.208507225056294</v>
      </c>
      <c r="W111" s="552">
        <f>Speed!BM92</f>
        <v>49.151693417975473</v>
      </c>
      <c r="X111" s="552">
        <f>Speed!BN92</f>
        <v>49.08519986895972</v>
      </c>
      <c r="Y111" s="552">
        <f>Speed!BO92</f>
        <v>49.007627169302346</v>
      </c>
      <c r="Z111" s="552">
        <f>Speed!BP92</f>
        <v>48.91735589406246</v>
      </c>
      <c r="AA111" s="552">
        <f>Speed!BQ92</f>
        <v>48.812770425268134</v>
      </c>
      <c r="AB111" s="552">
        <f>Speed!BR92</f>
        <v>48.691830798739112</v>
      </c>
      <c r="AC111" s="552">
        <f>Speed!BS92</f>
        <v>48.552595703074807</v>
      </c>
      <c r="AD111" s="552">
        <f>Speed!BT92</f>
        <v>48.392712369543631</v>
      </c>
      <c r="AE111" s="552">
        <f>Speed!BU92</f>
        <v>48.209583889994498</v>
      </c>
      <c r="AF111" s="552">
        <f>Speed!BV92</f>
        <v>48.00077447414651</v>
      </c>
      <c r="AG111" s="700">
        <f>Speed!BW92</f>
        <v>47.763331045094297</v>
      </c>
      <c r="AH111" s="18"/>
      <c r="AI111" s="18"/>
      <c r="AJ111" s="18"/>
      <c r="AK111" s="18"/>
      <c r="AL111" s="18"/>
      <c r="AM111" s="18"/>
      <c r="AN111" s="18"/>
    </row>
    <row r="112" spans="2:40" ht="21.9" customHeight="1" x14ac:dyDescent="0.25">
      <c r="B112" s="179"/>
      <c r="C112" s="114"/>
      <c r="D112" s="237"/>
      <c r="E112" s="1339"/>
      <c r="F112" s="250" t="s">
        <v>308</v>
      </c>
      <c r="G112" s="250" t="s">
        <v>319</v>
      </c>
      <c r="H112" s="552">
        <f>Speed!AX93</f>
        <v>46.99999421510455</v>
      </c>
      <c r="I112" s="552">
        <f>Speed!AY93</f>
        <v>46.99999421510455</v>
      </c>
      <c r="J112" s="552">
        <f>Speed!AZ93</f>
        <v>46.99999167368231</v>
      </c>
      <c r="K112" s="552">
        <f>Speed!BA93</f>
        <v>46.999988165581087</v>
      </c>
      <c r="L112" s="552">
        <f>Speed!BB93</f>
        <v>46.9999773446417</v>
      </c>
      <c r="M112" s="552">
        <f>Speed!BC93</f>
        <v>46.999958299561882</v>
      </c>
      <c r="N112" s="552">
        <f>Speed!BD93</f>
        <v>46.999925901798946</v>
      </c>
      <c r="O112" s="552">
        <f>Speed!BE93</f>
        <v>46.999872407783734</v>
      </c>
      <c r="P112" s="552">
        <f>Speed!BF93</f>
        <v>46.999786250762021</v>
      </c>
      <c r="Q112" s="552">
        <f>Speed!BG93</f>
        <v>46.999580365773198</v>
      </c>
      <c r="R112" s="552">
        <f>Speed!BH93</f>
        <v>46.999210309368159</v>
      </c>
      <c r="S112" s="552">
        <f>Speed!BI93</f>
        <v>46.998569369612831</v>
      </c>
      <c r="T112" s="552">
        <f>Speed!BJ93</f>
        <v>46.997492980686296</v>
      </c>
      <c r="U112" s="552">
        <f>Speed!BK93</f>
        <v>46.995733865239238</v>
      </c>
      <c r="V112" s="552">
        <f>Speed!BL93</f>
        <v>46.994061003367463</v>
      </c>
      <c r="W112" s="552">
        <f>Speed!BM93</f>
        <v>46.99286359763483</v>
      </c>
      <c r="X112" s="552">
        <f>Speed!BN93</f>
        <v>46.99145318030326</v>
      </c>
      <c r="Y112" s="552">
        <f>Speed!BO93</f>
        <v>46.989796729191383</v>
      </c>
      <c r="Z112" s="552">
        <f>Speed!BP93</f>
        <v>46.987855515748649</v>
      </c>
      <c r="AA112" s="552">
        <f>Speed!BQ93</f>
        <v>46.985589670856733</v>
      </c>
      <c r="AB112" s="552">
        <f>Speed!BR93</f>
        <v>46.982948581088799</v>
      </c>
      <c r="AC112" s="552">
        <f>Speed!BS93</f>
        <v>46.979881854590012</v>
      </c>
      <c r="AD112" s="552">
        <f>Speed!BT93</f>
        <v>46.976327654265354</v>
      </c>
      <c r="AE112" s="552">
        <f>Speed!BU93</f>
        <v>46.972215614085755</v>
      </c>
      <c r="AF112" s="552">
        <f>Speed!BV93</f>
        <v>46.967475247116958</v>
      </c>
      <c r="AG112" s="700">
        <f>Speed!BW93</f>
        <v>46.962019713279702</v>
      </c>
      <c r="AH112" s="18"/>
      <c r="AI112" s="18"/>
      <c r="AJ112" s="18"/>
      <c r="AK112" s="18"/>
      <c r="AL112" s="18"/>
      <c r="AM112" s="18"/>
      <c r="AN112" s="18"/>
    </row>
    <row r="113" spans="2:40" ht="21.9" customHeight="1" x14ac:dyDescent="0.25">
      <c r="B113" s="179"/>
      <c r="C113" s="114"/>
      <c r="D113" s="237"/>
      <c r="E113" s="114" t="s">
        <v>320</v>
      </c>
      <c r="F113" s="114" t="s">
        <v>318</v>
      </c>
      <c r="G113" s="114" t="s">
        <v>308</v>
      </c>
      <c r="H113" s="552">
        <f>Speed!AX94</f>
        <v>20.3</v>
      </c>
      <c r="I113" s="552">
        <f>Speed!AY94</f>
        <v>20.3</v>
      </c>
      <c r="J113" s="552">
        <f>Speed!AZ94</f>
        <v>20.3</v>
      </c>
      <c r="K113" s="552">
        <f>Speed!BA94</f>
        <v>20.3</v>
      </c>
      <c r="L113" s="552">
        <f>Speed!BB94</f>
        <v>20.3</v>
      </c>
      <c r="M113" s="552">
        <f>Speed!BC94</f>
        <v>20.3</v>
      </c>
      <c r="N113" s="552">
        <f>Speed!BD94</f>
        <v>20.3</v>
      </c>
      <c r="O113" s="552">
        <f>Speed!BE94</f>
        <v>20.3</v>
      </c>
      <c r="P113" s="552">
        <f>Speed!BF94</f>
        <v>20.3</v>
      </c>
      <c r="Q113" s="552">
        <f>Speed!BG94</f>
        <v>20.3</v>
      </c>
      <c r="R113" s="552">
        <f>Speed!BH94</f>
        <v>20.3</v>
      </c>
      <c r="S113" s="552">
        <f>Speed!BI94</f>
        <v>20.299999999999997</v>
      </c>
      <c r="T113" s="552">
        <f>Speed!BJ94</f>
        <v>20.29999999999999</v>
      </c>
      <c r="U113" s="552">
        <f>Speed!BK94</f>
        <v>20.299999999999986</v>
      </c>
      <c r="V113" s="552">
        <f>Speed!BL94</f>
        <v>20.299999999999983</v>
      </c>
      <c r="W113" s="552">
        <f>Speed!BM94</f>
        <v>20.299999999999983</v>
      </c>
      <c r="X113" s="552">
        <f>Speed!BN94</f>
        <v>20.299999999999979</v>
      </c>
      <c r="Y113" s="552">
        <f>Speed!BO94</f>
        <v>20.299999999999972</v>
      </c>
      <c r="Z113" s="552">
        <f>Speed!BP94</f>
        <v>20.299999999999969</v>
      </c>
      <c r="AA113" s="552">
        <f>Speed!BQ94</f>
        <v>20.299999999999965</v>
      </c>
      <c r="AB113" s="552">
        <f>Speed!BR94</f>
        <v>20.299999999999962</v>
      </c>
      <c r="AC113" s="552">
        <f>Speed!BS94</f>
        <v>20.299999999999955</v>
      </c>
      <c r="AD113" s="552">
        <f>Speed!BT94</f>
        <v>20.299999999999951</v>
      </c>
      <c r="AE113" s="552">
        <f>Speed!BU94</f>
        <v>20.299999999999947</v>
      </c>
      <c r="AF113" s="552">
        <f>Speed!BV94</f>
        <v>20.299999999999937</v>
      </c>
      <c r="AG113" s="700">
        <f>Speed!BW94</f>
        <v>20.29999999999993</v>
      </c>
      <c r="AH113" s="18"/>
      <c r="AI113" s="18"/>
      <c r="AJ113" s="18"/>
      <c r="AK113" s="18"/>
      <c r="AL113" s="18"/>
      <c r="AM113" s="18"/>
      <c r="AN113" s="18"/>
    </row>
    <row r="114" spans="2:40" ht="21.9" customHeight="1" x14ac:dyDescent="0.25">
      <c r="B114" s="179"/>
      <c r="C114" s="114"/>
      <c r="D114" s="237"/>
      <c r="E114" s="1325" t="s">
        <v>308</v>
      </c>
      <c r="F114" s="217" t="s">
        <v>276</v>
      </c>
      <c r="G114" s="217" t="s">
        <v>320</v>
      </c>
      <c r="H114" s="552">
        <f>Speed!AX95</f>
        <v>20.3</v>
      </c>
      <c r="I114" s="552">
        <f>Speed!AY95</f>
        <v>20.3</v>
      </c>
      <c r="J114" s="552">
        <f>Speed!AZ95</f>
        <v>20.3</v>
      </c>
      <c r="K114" s="552">
        <f>Speed!BA95</f>
        <v>20.299999999999752</v>
      </c>
      <c r="L114" s="552">
        <f>Speed!BB95</f>
        <v>20.299999999835318</v>
      </c>
      <c r="M114" s="552">
        <f>Speed!BC95</f>
        <v>20.2999999918034</v>
      </c>
      <c r="N114" s="552">
        <f>Speed!BD95</f>
        <v>20.29999986516286</v>
      </c>
      <c r="O114" s="552">
        <f>Speed!BE95</f>
        <v>20.299998800887064</v>
      </c>
      <c r="P114" s="552">
        <f>Speed!BF95</f>
        <v>20.299992791353066</v>
      </c>
      <c r="Q114" s="552">
        <f>Speed!BG95</f>
        <v>20.299992791353066</v>
      </c>
      <c r="R114" s="552">
        <f>Speed!BH95</f>
        <v>20.299992791353066</v>
      </c>
      <c r="S114" s="552">
        <f>Speed!BI95</f>
        <v>20.299992791353066</v>
      </c>
      <c r="T114" s="552">
        <f>Speed!BJ95</f>
        <v>20.299992791353066</v>
      </c>
      <c r="U114" s="552">
        <f>Speed!BK95</f>
        <v>20.299992791353066</v>
      </c>
      <c r="V114" s="552">
        <f>Speed!BL95</f>
        <v>20.299992791353066</v>
      </c>
      <c r="W114" s="552">
        <f>Speed!BM95</f>
        <v>20.299992791353066</v>
      </c>
      <c r="X114" s="552">
        <f>Speed!BN95</f>
        <v>20.299992791353066</v>
      </c>
      <c r="Y114" s="552">
        <f>Speed!BO95</f>
        <v>20.299992791353066</v>
      </c>
      <c r="Z114" s="552">
        <f>Speed!BP95</f>
        <v>20.299992791353066</v>
      </c>
      <c r="AA114" s="552">
        <f>Speed!BQ95</f>
        <v>20.299992791353066</v>
      </c>
      <c r="AB114" s="552">
        <f>Speed!BR95</f>
        <v>20.299992791353066</v>
      </c>
      <c r="AC114" s="552">
        <f>Speed!BS95</f>
        <v>20.299992791353066</v>
      </c>
      <c r="AD114" s="552">
        <f>Speed!BT95</f>
        <v>20.299992791353066</v>
      </c>
      <c r="AE114" s="552">
        <f>Speed!BU95</f>
        <v>20.299992791353066</v>
      </c>
      <c r="AF114" s="552">
        <f>Speed!BV95</f>
        <v>20.299992791353066</v>
      </c>
      <c r="AG114" s="700">
        <f>Speed!BW95</f>
        <v>20.299992791353066</v>
      </c>
      <c r="AH114" s="18"/>
      <c r="AI114" s="18"/>
      <c r="AJ114" s="18"/>
      <c r="AK114" s="18"/>
      <c r="AL114" s="18"/>
      <c r="AM114" s="18"/>
      <c r="AN114" s="18"/>
    </row>
    <row r="115" spans="2:40" ht="21.9" customHeight="1" x14ac:dyDescent="0.25">
      <c r="B115" s="179"/>
      <c r="C115" s="114"/>
      <c r="D115" s="237"/>
      <c r="E115" s="1327"/>
      <c r="F115" s="114" t="s">
        <v>320</v>
      </c>
      <c r="G115" s="114" t="s">
        <v>282</v>
      </c>
      <c r="H115" s="552">
        <f>Speed!AX96</f>
        <v>36.9</v>
      </c>
      <c r="I115" s="552">
        <f>Speed!AY96</f>
        <v>36.9</v>
      </c>
      <c r="J115" s="552">
        <f>Speed!AZ96</f>
        <v>36.9</v>
      </c>
      <c r="K115" s="552">
        <f>Speed!BA96</f>
        <v>36.9</v>
      </c>
      <c r="L115" s="552">
        <f>Speed!BB96</f>
        <v>36.899999999998244</v>
      </c>
      <c r="M115" s="552">
        <f>Speed!BC96</f>
        <v>36.89999999986869</v>
      </c>
      <c r="N115" s="552">
        <f>Speed!BD96</f>
        <v>36.899999997331683</v>
      </c>
      <c r="O115" s="552">
        <f>Speed!BE96</f>
        <v>36.899999973155516</v>
      </c>
      <c r="P115" s="552">
        <f>Speed!BF96</f>
        <v>36.899999825067923</v>
      </c>
      <c r="Q115" s="552">
        <f>Speed!BG96</f>
        <v>36.899997639593053</v>
      </c>
      <c r="R115" s="552">
        <f>Speed!BH96</f>
        <v>36.89998145284833</v>
      </c>
      <c r="S115" s="552">
        <f>Speed!BI96</f>
        <v>36.899897629209484</v>
      </c>
      <c r="T115" s="552">
        <f>Speed!BJ96</f>
        <v>36.899559341552994</v>
      </c>
      <c r="U115" s="552">
        <f>Speed!BK96</f>
        <v>36.898425427475303</v>
      </c>
      <c r="V115" s="552">
        <f>Speed!BL96</f>
        <v>36.896913766013206</v>
      </c>
      <c r="W115" s="552">
        <f>Speed!BM96</f>
        <v>36.896329426407796</v>
      </c>
      <c r="X115" s="552">
        <f>Speed!BN96</f>
        <v>36.895643611191915</v>
      </c>
      <c r="Y115" s="552">
        <f>Speed!BO96</f>
        <v>36.894844570568239</v>
      </c>
      <c r="Z115" s="552">
        <f>Speed!BP96</f>
        <v>36.893915990291077</v>
      </c>
      <c r="AA115" s="552">
        <f>Speed!BQ96</f>
        <v>36.892839537743342</v>
      </c>
      <c r="AB115" s="552">
        <f>Speed!BR96</f>
        <v>36.89159465244569</v>
      </c>
      <c r="AC115" s="552">
        <f>Speed!BS96</f>
        <v>36.890158319025318</v>
      </c>
      <c r="AD115" s="552">
        <f>Speed!BT96</f>
        <v>36.888504821567807</v>
      </c>
      <c r="AE115" s="552">
        <f>Speed!BU96</f>
        <v>36.886615740492161</v>
      </c>
      <c r="AF115" s="552">
        <f>Speed!BV96</f>
        <v>36.884440106334743</v>
      </c>
      <c r="AG115" s="700">
        <f>Speed!BW96</f>
        <v>36.881951386831375</v>
      </c>
      <c r="AH115" s="18"/>
      <c r="AI115" s="18"/>
      <c r="AJ115" s="18"/>
      <c r="AK115" s="18"/>
      <c r="AL115" s="18"/>
      <c r="AM115" s="18"/>
      <c r="AN115" s="18"/>
    </row>
    <row r="116" spans="2:40" ht="21.9" customHeight="1" x14ac:dyDescent="0.25">
      <c r="B116" s="179"/>
      <c r="C116" s="114"/>
      <c r="D116" s="237"/>
      <c r="E116" s="1327"/>
      <c r="F116" s="114" t="s">
        <v>282</v>
      </c>
      <c r="G116" s="114" t="s">
        <v>321</v>
      </c>
      <c r="H116" s="552">
        <f>Speed!AX97</f>
        <v>41.1</v>
      </c>
      <c r="I116" s="552">
        <f>Speed!AY97</f>
        <v>41.1</v>
      </c>
      <c r="J116" s="552">
        <f>Speed!AZ97</f>
        <v>41.1</v>
      </c>
      <c r="K116" s="552">
        <f>Speed!BA97</f>
        <v>41.1</v>
      </c>
      <c r="L116" s="552">
        <f>Speed!BB97</f>
        <v>41.1</v>
      </c>
      <c r="M116" s="552">
        <f>Speed!BC97</f>
        <v>41.1</v>
      </c>
      <c r="N116" s="552">
        <f>Speed!BD97</f>
        <v>41.09999999999998</v>
      </c>
      <c r="O116" s="552">
        <f>Speed!BE97</f>
        <v>41.099999999999852</v>
      </c>
      <c r="P116" s="552">
        <f>Speed!BF97</f>
        <v>41.099999999999035</v>
      </c>
      <c r="Q116" s="552">
        <f>Speed!BG97</f>
        <v>41.099999999986963</v>
      </c>
      <c r="R116" s="552">
        <f>Speed!BH97</f>
        <v>41.099999999897491</v>
      </c>
      <c r="S116" s="552">
        <f>Speed!BI97</f>
        <v>41.099999999433777</v>
      </c>
      <c r="T116" s="552">
        <f>Speed!BJ97</f>
        <v>41.099999997563792</v>
      </c>
      <c r="U116" s="552">
        <f>Speed!BK97</f>
        <v>41.09999999129014</v>
      </c>
      <c r="V116" s="552">
        <f>Speed!BL97</f>
        <v>41.099999982940801</v>
      </c>
      <c r="W116" s="552">
        <f>Speed!BM97</f>
        <v>41.099999979694353</v>
      </c>
      <c r="X116" s="552">
        <f>Speed!BN97</f>
        <v>41.099999975902087</v>
      </c>
      <c r="Y116" s="552">
        <f>Speed!BO97</f>
        <v>41.099999971483896</v>
      </c>
      <c r="Z116" s="552">
        <f>Speed!BP97</f>
        <v>41.099999966351426</v>
      </c>
      <c r="AA116" s="552">
        <f>Speed!BQ97</f>
        <v>41.099999960399892</v>
      </c>
      <c r="AB116" s="552">
        <f>Speed!BR97</f>
        <v>41.099999953519628</v>
      </c>
      <c r="AC116" s="552">
        <f>Speed!BS97</f>
        <v>41.099999945578752</v>
      </c>
      <c r="AD116" s="552">
        <f>Speed!BT97</f>
        <v>41.099999936437108</v>
      </c>
      <c r="AE116" s="552">
        <f>Speed!BU97</f>
        <v>41.099999925939649</v>
      </c>
      <c r="AF116" s="552">
        <f>Speed!BV97</f>
        <v>41.099999913902579</v>
      </c>
      <c r="AG116" s="700">
        <f>Speed!BW97</f>
        <v>41.099999900132502</v>
      </c>
      <c r="AH116" s="18"/>
      <c r="AI116" s="18"/>
      <c r="AJ116" s="18"/>
      <c r="AK116" s="18"/>
      <c r="AL116" s="18"/>
      <c r="AM116" s="18"/>
      <c r="AN116" s="18"/>
    </row>
    <row r="117" spans="2:40" ht="21.9" customHeight="1" x14ac:dyDescent="0.25">
      <c r="B117" s="179"/>
      <c r="C117" s="114"/>
      <c r="D117" s="237"/>
      <c r="E117" s="1339"/>
      <c r="F117" s="250" t="s">
        <v>321</v>
      </c>
      <c r="G117" s="250" t="s">
        <v>274</v>
      </c>
      <c r="H117" s="552">
        <f>Speed!AX98</f>
        <v>41.1</v>
      </c>
      <c r="I117" s="552">
        <f>Speed!AY98</f>
        <v>41.1</v>
      </c>
      <c r="J117" s="552">
        <f>Speed!AZ98</f>
        <v>41.1</v>
      </c>
      <c r="K117" s="552">
        <f>Speed!BA98</f>
        <v>41.1</v>
      </c>
      <c r="L117" s="552">
        <f>Speed!BB98</f>
        <v>41.1</v>
      </c>
      <c r="M117" s="552">
        <f>Speed!BC98</f>
        <v>41.1</v>
      </c>
      <c r="N117" s="552">
        <f>Speed!BD98</f>
        <v>41.09999999999998</v>
      </c>
      <c r="O117" s="552">
        <f>Speed!BE98</f>
        <v>41.099999999999852</v>
      </c>
      <c r="P117" s="552">
        <f>Speed!BF98</f>
        <v>41.099999999999035</v>
      </c>
      <c r="Q117" s="552">
        <f>Speed!BG98</f>
        <v>41.099999999986963</v>
      </c>
      <c r="R117" s="552">
        <f>Speed!BH98</f>
        <v>41.099999999897491</v>
      </c>
      <c r="S117" s="552">
        <f>Speed!BI98</f>
        <v>41.099999999433777</v>
      </c>
      <c r="T117" s="552">
        <f>Speed!BJ98</f>
        <v>41.099999997563792</v>
      </c>
      <c r="U117" s="552">
        <f>Speed!BK98</f>
        <v>41.09999999129014</v>
      </c>
      <c r="V117" s="552">
        <f>Speed!BL98</f>
        <v>41.099999982940801</v>
      </c>
      <c r="W117" s="552">
        <f>Speed!BM98</f>
        <v>41.099999979694353</v>
      </c>
      <c r="X117" s="552">
        <f>Speed!BN98</f>
        <v>41.099999975902087</v>
      </c>
      <c r="Y117" s="552">
        <f>Speed!BO98</f>
        <v>41.099999971483896</v>
      </c>
      <c r="Z117" s="552">
        <f>Speed!BP98</f>
        <v>41.099999966351426</v>
      </c>
      <c r="AA117" s="552">
        <f>Speed!BQ98</f>
        <v>41.099999960399892</v>
      </c>
      <c r="AB117" s="552">
        <f>Speed!BR98</f>
        <v>41.099999953519628</v>
      </c>
      <c r="AC117" s="552">
        <f>Speed!BS98</f>
        <v>41.099999945578752</v>
      </c>
      <c r="AD117" s="552">
        <f>Speed!BT98</f>
        <v>41.099999936437108</v>
      </c>
      <c r="AE117" s="552">
        <f>Speed!BU98</f>
        <v>41.099999925939649</v>
      </c>
      <c r="AF117" s="552">
        <f>Speed!BV98</f>
        <v>41.099999913902579</v>
      </c>
      <c r="AG117" s="700">
        <f>Speed!BW98</f>
        <v>41.099999900132502</v>
      </c>
      <c r="AH117" s="18"/>
      <c r="AI117" s="18"/>
      <c r="AJ117" s="18"/>
      <c r="AK117" s="18"/>
      <c r="AL117" s="18"/>
      <c r="AM117" s="18"/>
      <c r="AN117" s="18"/>
    </row>
    <row r="118" spans="2:40" ht="21.9" customHeight="1" x14ac:dyDescent="0.25">
      <c r="B118" s="179"/>
      <c r="C118" s="114"/>
      <c r="D118" s="237"/>
      <c r="E118" s="114" t="s">
        <v>282</v>
      </c>
      <c r="F118" s="114" t="s">
        <v>308</v>
      </c>
      <c r="G118" s="114" t="s">
        <v>324</v>
      </c>
      <c r="H118" s="552">
        <f>Speed!AX99</f>
        <v>27.799999999974702</v>
      </c>
      <c r="I118" s="552">
        <f>Speed!AY99</f>
        <v>27.799999999974702</v>
      </c>
      <c r="J118" s="552">
        <f>Speed!AZ99</f>
        <v>27.799999999963447</v>
      </c>
      <c r="K118" s="552">
        <f>Speed!BA99</f>
        <v>27.799999999937405</v>
      </c>
      <c r="L118" s="552">
        <f>Speed!BB99</f>
        <v>27.799999999708213</v>
      </c>
      <c r="M118" s="552">
        <f>Speed!BC99</f>
        <v>27.799999998892478</v>
      </c>
      <c r="N118" s="552">
        <f>Speed!BD99</f>
        <v>27.799999996403304</v>
      </c>
      <c r="O118" s="552">
        <f>Speed!BE99</f>
        <v>27.799999989696822</v>
      </c>
      <c r="P118" s="552">
        <f>Speed!BF99</f>
        <v>27.799999973278062</v>
      </c>
      <c r="Q118" s="552">
        <f>Speed!BG99</f>
        <v>27.799999917173107</v>
      </c>
      <c r="R118" s="552">
        <f>Speed!BH99</f>
        <v>27.799999771232621</v>
      </c>
      <c r="S118" s="552">
        <f>Speed!BI99</f>
        <v>27.799999424510357</v>
      </c>
      <c r="T118" s="552">
        <f>Speed!BJ99</f>
        <v>27.799998660996209</v>
      </c>
      <c r="U118" s="552">
        <f>Speed!BK99</f>
        <v>27.799997080410687</v>
      </c>
      <c r="V118" s="552">
        <f>Speed!BL99</f>
        <v>27.799995843715422</v>
      </c>
      <c r="W118" s="552">
        <f>Speed!BM99</f>
        <v>27.79999535032492</v>
      </c>
      <c r="X118" s="552">
        <f>Speed!BN99</f>
        <v>27.799994804833148</v>
      </c>
      <c r="Y118" s="552">
        <f>Speed!BO99</f>
        <v>27.799994202405731</v>
      </c>
      <c r="Z118" s="552">
        <f>Speed!BP99</f>
        <v>27.799993537096643</v>
      </c>
      <c r="AA118" s="552">
        <f>Speed!BQ99</f>
        <v>27.799992804642809</v>
      </c>
      <c r="AB118" s="552">
        <f>Speed!BR99</f>
        <v>27.799991997431249</v>
      </c>
      <c r="AC118" s="552">
        <f>Speed!BS99</f>
        <v>27.79999111057759</v>
      </c>
      <c r="AD118" s="552">
        <f>Speed!BT99</f>
        <v>27.799990136229951</v>
      </c>
      <c r="AE118" s="552">
        <f>Speed!BU99</f>
        <v>27.799989065636435</v>
      </c>
      <c r="AF118" s="552">
        <f>Speed!BV99</f>
        <v>27.799987892848094</v>
      </c>
      <c r="AG118" s="700">
        <f>Speed!BW99</f>
        <v>27.799986608038736</v>
      </c>
      <c r="AH118" s="18"/>
      <c r="AI118" s="18"/>
      <c r="AJ118" s="18"/>
      <c r="AK118" s="18"/>
      <c r="AL118" s="18"/>
      <c r="AM118" s="18"/>
      <c r="AN118" s="18"/>
    </row>
    <row r="119" spans="2:40" ht="21.9" customHeight="1" x14ac:dyDescent="0.25">
      <c r="B119" s="179"/>
      <c r="C119" s="114"/>
      <c r="D119" s="237"/>
      <c r="E119" s="273" t="s">
        <v>321</v>
      </c>
      <c r="F119" s="273" t="s">
        <v>318</v>
      </c>
      <c r="G119" s="273" t="s">
        <v>308</v>
      </c>
      <c r="H119" s="552" t="e">
        <f>Speed!AX100</f>
        <v>#DIV/0!</v>
      </c>
      <c r="I119" s="552" t="e">
        <f>Speed!AY100</f>
        <v>#DIV/0!</v>
      </c>
      <c r="J119" s="552" t="e">
        <f>Speed!AZ100</f>
        <v>#DIV/0!</v>
      </c>
      <c r="K119" s="552" t="e">
        <f>Speed!BA100</f>
        <v>#DIV/0!</v>
      </c>
      <c r="L119" s="552" t="e">
        <f>Speed!BB100</f>
        <v>#DIV/0!</v>
      </c>
      <c r="M119" s="552" t="e">
        <f>Speed!BC100</f>
        <v>#DIV/0!</v>
      </c>
      <c r="N119" s="552" t="e">
        <f>Speed!BD100</f>
        <v>#DIV/0!</v>
      </c>
      <c r="O119" s="552" t="e">
        <f>Speed!BE100</f>
        <v>#DIV/0!</v>
      </c>
      <c r="P119" s="552" t="e">
        <f>Speed!BF100</f>
        <v>#DIV/0!</v>
      </c>
      <c r="Q119" s="552" t="e">
        <f>Speed!BG100</f>
        <v>#DIV/0!</v>
      </c>
      <c r="R119" s="552" t="e">
        <f>Speed!BH100</f>
        <v>#DIV/0!</v>
      </c>
      <c r="S119" s="552" t="e">
        <f>Speed!BI100</f>
        <v>#DIV/0!</v>
      </c>
      <c r="T119" s="552" t="e">
        <f>Speed!BJ100</f>
        <v>#DIV/0!</v>
      </c>
      <c r="U119" s="552" t="e">
        <f>Speed!BK100</f>
        <v>#DIV/0!</v>
      </c>
      <c r="V119" s="552" t="e">
        <f>Speed!BL100</f>
        <v>#DIV/0!</v>
      </c>
      <c r="W119" s="552" t="e">
        <f>Speed!BM100</f>
        <v>#DIV/0!</v>
      </c>
      <c r="X119" s="552" t="e">
        <f>Speed!BN100</f>
        <v>#DIV/0!</v>
      </c>
      <c r="Y119" s="552" t="e">
        <f>Speed!BO100</f>
        <v>#DIV/0!</v>
      </c>
      <c r="Z119" s="552" t="e">
        <f>Speed!BP100</f>
        <v>#DIV/0!</v>
      </c>
      <c r="AA119" s="552" t="e">
        <f>Speed!BQ100</f>
        <v>#DIV/0!</v>
      </c>
      <c r="AB119" s="552" t="e">
        <f>Speed!BR100</f>
        <v>#DIV/0!</v>
      </c>
      <c r="AC119" s="552" t="e">
        <f>Speed!BS100</f>
        <v>#DIV/0!</v>
      </c>
      <c r="AD119" s="552" t="e">
        <f>Speed!BT100</f>
        <v>#DIV/0!</v>
      </c>
      <c r="AE119" s="552" t="e">
        <f>Speed!BU100</f>
        <v>#DIV/0!</v>
      </c>
      <c r="AF119" s="552" t="e">
        <f>Speed!BV100</f>
        <v>#DIV/0!</v>
      </c>
      <c r="AG119" s="700" t="e">
        <f>Speed!BW100</f>
        <v>#DIV/0!</v>
      </c>
      <c r="AH119" s="18"/>
      <c r="AI119" s="18"/>
      <c r="AJ119" s="18"/>
      <c r="AK119" s="18"/>
      <c r="AL119" s="18"/>
      <c r="AM119" s="18"/>
      <c r="AN119" s="18"/>
    </row>
    <row r="120" spans="2:40" ht="21.9" customHeight="1" x14ac:dyDescent="0.25">
      <c r="B120" s="179"/>
      <c r="C120" s="114"/>
      <c r="D120" s="237"/>
      <c r="E120" s="273" t="s">
        <v>333</v>
      </c>
      <c r="F120" s="273" t="s">
        <v>319</v>
      </c>
      <c r="G120" s="273" t="s">
        <v>308</v>
      </c>
      <c r="H120" s="552">
        <f>Speed!AX101</f>
        <v>31.899999970276543</v>
      </c>
      <c r="I120" s="552">
        <f>Speed!AY101</f>
        <v>31.899999970276543</v>
      </c>
      <c r="J120" s="552">
        <f>Speed!AZ101</f>
        <v>31.899999965349579</v>
      </c>
      <c r="K120" s="552">
        <f>Speed!BA101</f>
        <v>31.899999955641103</v>
      </c>
      <c r="L120" s="552">
        <f>Speed!BB101</f>
        <v>31.899999901610549</v>
      </c>
      <c r="M120" s="552">
        <f>Speed!BC101</f>
        <v>31.899999794213187</v>
      </c>
      <c r="N120" s="552">
        <f>Speed!BD101</f>
        <v>31.8999995905608</v>
      </c>
      <c r="O120" s="552">
        <f>Speed!BE101</f>
        <v>31.899999221290255</v>
      </c>
      <c r="P120" s="552">
        <f>Speed!BF101</f>
        <v>31.89999857445812</v>
      </c>
      <c r="Q120" s="552">
        <f>Speed!BG101</f>
        <v>31.89999720836358</v>
      </c>
      <c r="R120" s="552">
        <f>Speed!BH101</f>
        <v>31.899994760462238</v>
      </c>
      <c r="S120" s="552">
        <f>Speed!BI101</f>
        <v>31.899990523488672</v>
      </c>
      <c r="T120" s="552">
        <f>Speed!BJ101</f>
        <v>31.899983421745223</v>
      </c>
      <c r="U120" s="552">
        <f>Speed!BK101</f>
        <v>31.899971824126762</v>
      </c>
      <c r="V120" s="552">
        <f>Speed!BL101</f>
        <v>31.899965362954259</v>
      </c>
      <c r="W120" s="552">
        <f>Speed!BM101</f>
        <v>31.899962628087053</v>
      </c>
      <c r="X120" s="552">
        <f>Speed!BN101</f>
        <v>31.899959700386432</v>
      </c>
      <c r="Y120" s="552">
        <f>Speed!BO101</f>
        <v>31.899956567859928</v>
      </c>
      <c r="Z120" s="552">
        <f>Speed!BP101</f>
        <v>31.899953211020478</v>
      </c>
      <c r="AA120" s="552">
        <f>Speed!BQ101</f>
        <v>31.899949629774749</v>
      </c>
      <c r="AB120" s="552">
        <f>Speed!BR101</f>
        <v>31.899945795875322</v>
      </c>
      <c r="AC120" s="552">
        <f>Speed!BS101</f>
        <v>31.899941709659025</v>
      </c>
      <c r="AD120" s="552">
        <f>Speed!BT101</f>
        <v>31.899937348265546</v>
      </c>
      <c r="AE120" s="552">
        <f>Speed!BU101</f>
        <v>31.899932685845538</v>
      </c>
      <c r="AF120" s="552">
        <f>Speed!BV101</f>
        <v>31.899927723574187</v>
      </c>
      <c r="AG120" s="700">
        <f>Speed!BW101</f>
        <v>31.899922434468724</v>
      </c>
      <c r="AH120" s="18"/>
      <c r="AI120" s="18"/>
      <c r="AJ120" s="18"/>
      <c r="AK120" s="18"/>
      <c r="AL120" s="18"/>
      <c r="AM120" s="18"/>
      <c r="AN120" s="18"/>
    </row>
    <row r="121" spans="2:40" ht="21.9" customHeight="1" x14ac:dyDescent="0.25">
      <c r="B121" s="179"/>
      <c r="C121" s="114"/>
      <c r="D121" s="237"/>
      <c r="E121" s="114" t="s">
        <v>319</v>
      </c>
      <c r="F121" s="114" t="s">
        <v>276</v>
      </c>
      <c r="G121" s="114" t="s">
        <v>333</v>
      </c>
      <c r="H121" s="552">
        <f>Speed!AX102</f>
        <v>55.899999999928468</v>
      </c>
      <c r="I121" s="552">
        <f>Speed!AY102</f>
        <v>55.899999999928468</v>
      </c>
      <c r="J121" s="552">
        <f>Speed!AZ102</f>
        <v>55.899999999896941</v>
      </c>
      <c r="K121" s="552">
        <f>Speed!BA102</f>
        <v>55.899999999850117</v>
      </c>
      <c r="L121" s="552">
        <f>Speed!BB102</f>
        <v>55.899999999671756</v>
      </c>
      <c r="M121" s="552">
        <f>Speed!BC102</f>
        <v>55.899999999320812</v>
      </c>
      <c r="N121" s="552">
        <f>Speed!BD102</f>
        <v>55.899999998661805</v>
      </c>
      <c r="O121" s="552">
        <f>Speed!BE102</f>
        <v>55.899999997475788</v>
      </c>
      <c r="P121" s="552">
        <f>Speed!BF102</f>
        <v>55.899999995413282</v>
      </c>
      <c r="Q121" s="552">
        <f>Speed!BG102</f>
        <v>55.899999990284719</v>
      </c>
      <c r="R121" s="552">
        <f>Speed!BH102</f>
        <v>55.899999980472096</v>
      </c>
      <c r="S121" s="552">
        <f>Speed!BI102</f>
        <v>55.899999962498299</v>
      </c>
      <c r="T121" s="552">
        <f>Speed!BJ102</f>
        <v>55.899999930804007</v>
      </c>
      <c r="U121" s="552">
        <f>Speed!BK102</f>
        <v>55.899999876695695</v>
      </c>
      <c r="V121" s="552">
        <f>Speed!BL102</f>
        <v>55.899999829127054</v>
      </c>
      <c r="W121" s="552">
        <f>Speed!BM102</f>
        <v>55.899999797588571</v>
      </c>
      <c r="X121" s="552">
        <f>Speed!BN102</f>
        <v>55.899999760904464</v>
      </c>
      <c r="Y121" s="552">
        <f>Speed!BO102</f>
        <v>55.899999718341554</v>
      </c>
      <c r="Z121" s="552">
        <f>Speed!BP102</f>
        <v>55.899999669048363</v>
      </c>
      <c r="AA121" s="552">
        <f>Speed!BQ102</f>
        <v>55.899999612155355</v>
      </c>
      <c r="AB121" s="552">
        <f>Speed!BR102</f>
        <v>55.899999546568758</v>
      </c>
      <c r="AC121" s="552">
        <f>Speed!BS102</f>
        <v>55.899999471207138</v>
      </c>
      <c r="AD121" s="552">
        <f>Speed!BT102</f>
        <v>55.899999384754295</v>
      </c>
      <c r="AE121" s="552">
        <f>Speed!BU102</f>
        <v>55.899999285725421</v>
      </c>
      <c r="AF121" s="552">
        <f>Speed!BV102</f>
        <v>55.899999172639902</v>
      </c>
      <c r="AG121" s="700">
        <f>Speed!BW102</f>
        <v>55.899999043688453</v>
      </c>
      <c r="AH121" s="18"/>
      <c r="AI121" s="18"/>
      <c r="AJ121" s="18"/>
      <c r="AK121" s="18"/>
      <c r="AL121" s="18"/>
      <c r="AM121" s="18"/>
      <c r="AN121" s="18"/>
    </row>
    <row r="122" spans="2:40" ht="21.9" customHeight="1" x14ac:dyDescent="0.25">
      <c r="B122" s="179"/>
      <c r="C122" s="114"/>
      <c r="D122" s="237"/>
      <c r="E122" s="114"/>
      <c r="F122" s="114" t="s">
        <v>333</v>
      </c>
      <c r="G122" s="114" t="s">
        <v>323</v>
      </c>
      <c r="H122" s="552">
        <f>Speed!AX103</f>
        <v>55.899999999995408</v>
      </c>
      <c r="I122" s="552">
        <f>Speed!AY103</f>
        <v>55.899999999995408</v>
      </c>
      <c r="J122" s="552">
        <f>Speed!AZ103</f>
        <v>55.899999999993469</v>
      </c>
      <c r="K122" s="552">
        <f>Speed!BA103</f>
        <v>55.899999999990577</v>
      </c>
      <c r="L122" s="552">
        <f>Speed!BB103</f>
        <v>55.899999999981652</v>
      </c>
      <c r="M122" s="552">
        <f>Speed!BC103</f>
        <v>55.899999999965729</v>
      </c>
      <c r="N122" s="552">
        <f>Speed!BD103</f>
        <v>55.899999999938288</v>
      </c>
      <c r="O122" s="552">
        <f>Speed!BE103</f>
        <v>55.899999999892444</v>
      </c>
      <c r="P122" s="552">
        <f>Speed!BF103</f>
        <v>55.899999999817901</v>
      </c>
      <c r="Q122" s="552">
        <f>Speed!BG103</f>
        <v>55.899999999640528</v>
      </c>
      <c r="R122" s="552">
        <f>Speed!BH103</f>
        <v>55.899999999320379</v>
      </c>
      <c r="S122" s="552">
        <f>Speed!BI103</f>
        <v>55.899999998763413</v>
      </c>
      <c r="T122" s="552">
        <f>Speed!BJ103</f>
        <v>55.899999997824658</v>
      </c>
      <c r="U122" s="552">
        <f>Speed!BK103</f>
        <v>55.899999996285608</v>
      </c>
      <c r="V122" s="552">
        <f>Speed!BL103</f>
        <v>55.899999994813363</v>
      </c>
      <c r="W122" s="552">
        <f>Speed!BM103</f>
        <v>55.899999993823393</v>
      </c>
      <c r="X122" s="552">
        <f>Speed!BN103</f>
        <v>55.899999992666508</v>
      </c>
      <c r="Y122" s="552">
        <f>Speed!BO103</f>
        <v>55.899999991318118</v>
      </c>
      <c r="Z122" s="552">
        <f>Speed!BP103</f>
        <v>55.899999989749936</v>
      </c>
      <c r="AA122" s="552">
        <f>Speed!BQ103</f>
        <v>55.899999987932013</v>
      </c>
      <c r="AB122" s="552">
        <f>Speed!BR103</f>
        <v>55.899999985828039</v>
      </c>
      <c r="AC122" s="552">
        <f>Speed!BS103</f>
        <v>55.89999998340047</v>
      </c>
      <c r="AD122" s="552">
        <f>Speed!BT103</f>
        <v>55.899999980604861</v>
      </c>
      <c r="AE122" s="552">
        <f>Speed!BU103</f>
        <v>55.899999977391154</v>
      </c>
      <c r="AF122" s="552">
        <f>Speed!BV103</f>
        <v>55.899999973707359</v>
      </c>
      <c r="AG122" s="700">
        <f>Speed!BW103</f>
        <v>55.899999969491887</v>
      </c>
      <c r="AH122" s="18"/>
      <c r="AI122" s="18"/>
      <c r="AJ122" s="18"/>
      <c r="AK122" s="18"/>
      <c r="AL122" s="18"/>
      <c r="AM122" s="18"/>
      <c r="AN122" s="18"/>
    </row>
    <row r="123" spans="2:40" ht="21.9" customHeight="1" x14ac:dyDescent="0.25">
      <c r="B123" s="179"/>
      <c r="C123" s="114"/>
      <c r="D123" s="237"/>
      <c r="E123" s="114"/>
      <c r="F123" s="114" t="s">
        <v>323</v>
      </c>
      <c r="G123" s="114" t="s">
        <v>322</v>
      </c>
      <c r="H123" s="552">
        <f>Speed!AX104</f>
        <v>45.899999999989724</v>
      </c>
      <c r="I123" s="552">
        <f>Speed!AY104</f>
        <v>45.899999999989724</v>
      </c>
      <c r="J123" s="552">
        <f>Speed!AZ104</f>
        <v>45.899999999985425</v>
      </c>
      <c r="K123" s="552">
        <f>Speed!BA104</f>
        <v>45.899999999978959</v>
      </c>
      <c r="L123" s="552">
        <f>Speed!BB104</f>
        <v>45.899999999959029</v>
      </c>
      <c r="M123" s="552">
        <f>Speed!BC104</f>
        <v>45.899999999923445</v>
      </c>
      <c r="N123" s="552">
        <f>Speed!BD104</f>
        <v>45.899999999862132</v>
      </c>
      <c r="O123" s="552">
        <f>Speed!BE104</f>
        <v>45.899999999759743</v>
      </c>
      <c r="P123" s="552">
        <f>Speed!BF104</f>
        <v>45.89999999959322</v>
      </c>
      <c r="Q123" s="552">
        <f>Speed!BG104</f>
        <v>45.899999999196986</v>
      </c>
      <c r="R123" s="552">
        <f>Speed!BH104</f>
        <v>45.899999998481803</v>
      </c>
      <c r="S123" s="552">
        <f>Speed!BI104</f>
        <v>45.899999997237607</v>
      </c>
      <c r="T123" s="552">
        <f>Speed!BJ104</f>
        <v>45.899999995140554</v>
      </c>
      <c r="U123" s="552">
        <f>Speed!BK104</f>
        <v>45.899999991702529</v>
      </c>
      <c r="V123" s="552">
        <f>Speed!BL104</f>
        <v>45.899999988413725</v>
      </c>
      <c r="W123" s="552">
        <f>Speed!BM104</f>
        <v>45.899999986202268</v>
      </c>
      <c r="X123" s="552">
        <f>Speed!BN104</f>
        <v>45.899999983617917</v>
      </c>
      <c r="Y123" s="552">
        <f>Speed!BO104</f>
        <v>45.899999980605813</v>
      </c>
      <c r="Z123" s="552">
        <f>Speed!BP104</f>
        <v>45.899999977102709</v>
      </c>
      <c r="AA123" s="552">
        <f>Speed!BQ104</f>
        <v>45.899999973041687</v>
      </c>
      <c r="AB123" s="552">
        <f>Speed!BR104</f>
        <v>45.899999968341696</v>
      </c>
      <c r="AC123" s="552">
        <f>Speed!BS104</f>
        <v>45.89999996291882</v>
      </c>
      <c r="AD123" s="552">
        <f>Speed!BT104</f>
        <v>45.899999956673796</v>
      </c>
      <c r="AE123" s="552">
        <f>Speed!BU104</f>
        <v>45.899999949494799</v>
      </c>
      <c r="AF123" s="552">
        <f>Speed!BV104</f>
        <v>45.899999941265669</v>
      </c>
      <c r="AG123" s="700">
        <f>Speed!BW104</f>
        <v>45.899999931848868</v>
      </c>
      <c r="AH123" s="18"/>
      <c r="AI123" s="18"/>
      <c r="AJ123" s="18"/>
      <c r="AK123" s="18"/>
      <c r="AL123" s="18"/>
      <c r="AM123" s="18"/>
      <c r="AN123" s="18"/>
    </row>
    <row r="124" spans="2:40" ht="21.9" customHeight="1" x14ac:dyDescent="0.25">
      <c r="B124" s="179"/>
      <c r="C124" s="114"/>
      <c r="D124" s="237"/>
      <c r="E124" s="114"/>
      <c r="F124" s="114" t="s">
        <v>322</v>
      </c>
      <c r="G124" s="114" t="s">
        <v>326</v>
      </c>
      <c r="H124" s="552">
        <f>Speed!AX105</f>
        <v>45.899999999999032</v>
      </c>
      <c r="I124" s="552">
        <f>Speed!AY105</f>
        <v>45.899999999999032</v>
      </c>
      <c r="J124" s="552">
        <f>Speed!AZ105</f>
        <v>45.899999999998641</v>
      </c>
      <c r="K124" s="552">
        <f>Speed!BA105</f>
        <v>45.899999999998045</v>
      </c>
      <c r="L124" s="552">
        <f>Speed!BB105</f>
        <v>45.899999999996425</v>
      </c>
      <c r="M124" s="552">
        <f>Speed!BC105</f>
        <v>45.899999999993646</v>
      </c>
      <c r="N124" s="552">
        <f>Speed!BD105</f>
        <v>45.899999999989092</v>
      </c>
      <c r="O124" s="552">
        <f>Speed!BE105</f>
        <v>45.899999999981773</v>
      </c>
      <c r="P124" s="552">
        <f>Speed!BF105</f>
        <v>45.899999999970291</v>
      </c>
      <c r="Q124" s="552">
        <f>Speed!BG105</f>
        <v>45.899999999946075</v>
      </c>
      <c r="R124" s="552">
        <f>Speed!BH105</f>
        <v>45.899999999905319</v>
      </c>
      <c r="S124" s="552">
        <f>Speed!BI105</f>
        <v>45.899999999838734</v>
      </c>
      <c r="T124" s="552">
        <f>Speed!BJ105</f>
        <v>45.899999999732593</v>
      </c>
      <c r="U124" s="552">
        <f>Speed!BK105</f>
        <v>45.899999999567086</v>
      </c>
      <c r="V124" s="552">
        <f>Speed!BL105</f>
        <v>45.89999999941034</v>
      </c>
      <c r="W124" s="552">
        <f>Speed!BM105</f>
        <v>45.899999999294252</v>
      </c>
      <c r="X124" s="552">
        <f>Speed!BN105</f>
        <v>45.899999999157991</v>
      </c>
      <c r="Y124" s="552">
        <f>Speed!BO105</f>
        <v>45.899999998998474</v>
      </c>
      <c r="Z124" s="552">
        <f>Speed!BP105</f>
        <v>45.899999998812156</v>
      </c>
      <c r="AA124" s="552">
        <f>Speed!BQ105</f>
        <v>45.899999998595341</v>
      </c>
      <c r="AB124" s="552">
        <f>Speed!BR105</f>
        <v>45.899999998343375</v>
      </c>
      <c r="AC124" s="552">
        <f>Speed!BS105</f>
        <v>45.899999998051612</v>
      </c>
      <c r="AD124" s="552">
        <f>Speed!BT105</f>
        <v>45.899999997714396</v>
      </c>
      <c r="AE124" s="552">
        <f>Speed!BU105</f>
        <v>45.899999997325281</v>
      </c>
      <c r="AF124" s="552">
        <f>Speed!BV105</f>
        <v>45.899999996877817</v>
      </c>
      <c r="AG124" s="700">
        <f>Speed!BW105</f>
        <v>45.89999999636408</v>
      </c>
      <c r="AH124" s="18"/>
      <c r="AI124" s="18"/>
      <c r="AJ124" s="18"/>
      <c r="AK124" s="18"/>
      <c r="AL124" s="18"/>
      <c r="AM124" s="18"/>
      <c r="AN124" s="18"/>
    </row>
    <row r="125" spans="2:40" ht="21.9" customHeight="1" x14ac:dyDescent="0.25">
      <c r="B125" s="179"/>
      <c r="C125" s="114"/>
      <c r="D125" s="237"/>
      <c r="E125" s="114"/>
      <c r="F125" s="114" t="s">
        <v>326</v>
      </c>
      <c r="G125" s="114" t="s">
        <v>274</v>
      </c>
      <c r="H125" s="552">
        <f>Speed!AX106</f>
        <v>55.899999999999565</v>
      </c>
      <c r="I125" s="552">
        <f>Speed!AY106</f>
        <v>55.899999999999565</v>
      </c>
      <c r="J125" s="552">
        <f>Speed!AZ106</f>
        <v>55.899999999999388</v>
      </c>
      <c r="K125" s="552">
        <f>Speed!BA106</f>
        <v>55.899999999999132</v>
      </c>
      <c r="L125" s="552">
        <f>Speed!BB106</f>
        <v>55.8999999999984</v>
      </c>
      <c r="M125" s="552">
        <f>Speed!BC106</f>
        <v>55.899999999997156</v>
      </c>
      <c r="N125" s="552">
        <f>Speed!BD106</f>
        <v>55.899999999995117</v>
      </c>
      <c r="O125" s="552">
        <f>Speed!BE106</f>
        <v>55.899999999991842</v>
      </c>
      <c r="P125" s="552">
        <f>Speed!BF106</f>
        <v>55.899999999986704</v>
      </c>
      <c r="Q125" s="552">
        <f>Speed!BG106</f>
        <v>55.899999999975854</v>
      </c>
      <c r="R125" s="552">
        <f>Speed!BH106</f>
        <v>55.899999999957608</v>
      </c>
      <c r="S125" s="552">
        <f>Speed!BI106</f>
        <v>55.899999999927807</v>
      </c>
      <c r="T125" s="552">
        <f>Speed!BJ106</f>
        <v>55.899999999880293</v>
      </c>
      <c r="U125" s="552">
        <f>Speed!BK106</f>
        <v>55.899999999806205</v>
      </c>
      <c r="V125" s="552">
        <f>Speed!BL106</f>
        <v>55.899999999736039</v>
      </c>
      <c r="W125" s="552">
        <f>Speed!BM106</f>
        <v>55.89999999968407</v>
      </c>
      <c r="X125" s="552">
        <f>Speed!BN106</f>
        <v>55.899999999623077</v>
      </c>
      <c r="Y125" s="552">
        <f>Speed!BO106</f>
        <v>55.899999999551667</v>
      </c>
      <c r="Z125" s="552">
        <f>Speed!BP106</f>
        <v>55.899999999468257</v>
      </c>
      <c r="AA125" s="552">
        <f>Speed!BQ106</f>
        <v>55.89999999937119</v>
      </c>
      <c r="AB125" s="552">
        <f>Speed!BR106</f>
        <v>55.899999999258398</v>
      </c>
      <c r="AC125" s="552">
        <f>Speed!BS106</f>
        <v>55.8999999991278</v>
      </c>
      <c r="AD125" s="552">
        <f>Speed!BT106</f>
        <v>55.899999998976838</v>
      </c>
      <c r="AE125" s="552">
        <f>Speed!BU106</f>
        <v>55.899999998802656</v>
      </c>
      <c r="AF125" s="552">
        <f>Speed!BV106</f>
        <v>55.899999998602347</v>
      </c>
      <c r="AG125" s="700">
        <f>Speed!BW106</f>
        <v>55.899999998372365</v>
      </c>
      <c r="AH125" s="18"/>
      <c r="AI125" s="18"/>
      <c r="AJ125" s="18"/>
      <c r="AK125" s="18"/>
      <c r="AL125" s="18"/>
      <c r="AM125" s="18"/>
      <c r="AN125" s="18"/>
    </row>
    <row r="126" spans="2:40" ht="21.9" customHeight="1" thickBot="1" x14ac:dyDescent="0.3">
      <c r="B126" s="681"/>
      <c r="C126" s="122"/>
      <c r="D126" s="122"/>
      <c r="E126" s="274"/>
      <c r="F126" s="274" t="s">
        <v>274</v>
      </c>
      <c r="G126" s="274" t="s">
        <v>317</v>
      </c>
      <c r="H126" s="552">
        <f>Speed!AX107</f>
        <v>55.299999999286285</v>
      </c>
      <c r="I126" s="552">
        <f>Speed!AY107</f>
        <v>55.299999999286285</v>
      </c>
      <c r="J126" s="552">
        <f>Speed!AZ107</f>
        <v>55.299999998998686</v>
      </c>
      <c r="K126" s="552">
        <f>Speed!BA107</f>
        <v>55.299999998558043</v>
      </c>
      <c r="L126" s="552">
        <f>Speed!BB107</f>
        <v>55.299999997354604</v>
      </c>
      <c r="M126" s="552">
        <f>Speed!BC107</f>
        <v>55.29999999531092</v>
      </c>
      <c r="N126" s="552">
        <f>Speed!BD107</f>
        <v>55.299999991943551</v>
      </c>
      <c r="O126" s="552">
        <f>Speed!BE107</f>
        <v>55.29999998653912</v>
      </c>
      <c r="P126" s="552">
        <f>Speed!BF107</f>
        <v>55.299999978055403</v>
      </c>
      <c r="Q126" s="552">
        <f>Speed!BG107</f>
        <v>55.299999960166851</v>
      </c>
      <c r="R126" s="552">
        <f>Speed!BH107</f>
        <v>55.299999930060473</v>
      </c>
      <c r="S126" s="552">
        <f>Speed!BI107</f>
        <v>55.299999880875909</v>
      </c>
      <c r="T126" s="552">
        <f>Speed!BJ107</f>
        <v>55.299999802475199</v>
      </c>
      <c r="U126" s="552">
        <f>Speed!BK107</f>
        <v>55.299999680226129</v>
      </c>
      <c r="V126" s="552">
        <f>Speed!BL107</f>
        <v>55.299999564441158</v>
      </c>
      <c r="W126" s="552">
        <f>Speed!BM107</f>
        <v>55.299999478690616</v>
      </c>
      <c r="X126" s="552">
        <f>Speed!BN107</f>
        <v>55.299999378034443</v>
      </c>
      <c r="Y126" s="552">
        <f>Speed!BO107</f>
        <v>55.299999260212431</v>
      </c>
      <c r="Z126" s="552">
        <f>Speed!BP107</f>
        <v>55.29999912258387</v>
      </c>
      <c r="AA126" s="552">
        <f>Speed!BQ107</f>
        <v>55.299998962425725</v>
      </c>
      <c r="AB126" s="552">
        <f>Speed!BR107</f>
        <v>55.299998776304577</v>
      </c>
      <c r="AC126" s="552">
        <f>Speed!BS107</f>
        <v>55.299998560791103</v>
      </c>
      <c r="AD126" s="552">
        <f>Speed!BT107</f>
        <v>55.299998311699625</v>
      </c>
      <c r="AE126" s="552">
        <f>Speed!BU107</f>
        <v>55.299998024278878</v>
      </c>
      <c r="AF126" s="552">
        <f>Speed!BV107</f>
        <v>55.299997693751649</v>
      </c>
      <c r="AG126" s="700">
        <f>Speed!BW107</f>
        <v>55.299997314265312</v>
      </c>
      <c r="AH126" s="18"/>
      <c r="AI126" s="18"/>
      <c r="AJ126" s="18"/>
      <c r="AK126" s="18"/>
      <c r="AL126" s="18"/>
      <c r="AM126" s="18"/>
      <c r="AN126" s="18"/>
    </row>
    <row r="127" spans="2:40" ht="21.9" customHeight="1" x14ac:dyDescent="0.25">
      <c r="B127" s="179" t="s">
        <v>210</v>
      </c>
      <c r="C127" s="114" t="s">
        <v>156</v>
      </c>
      <c r="D127" s="237" t="s">
        <v>441</v>
      </c>
      <c r="E127" s="1325" t="s">
        <v>315</v>
      </c>
      <c r="F127" s="217" t="s">
        <v>316</v>
      </c>
      <c r="G127" s="217" t="s">
        <v>276</v>
      </c>
      <c r="H127" s="701">
        <f t="shared" ref="H127:AG127" si="23">H43/H87</f>
        <v>2535.1835655309692</v>
      </c>
      <c r="I127" s="701">
        <f t="shared" si="23"/>
        <v>2651.826763200153</v>
      </c>
      <c r="J127" s="701">
        <f t="shared" si="23"/>
        <v>2815.6295282129604</v>
      </c>
      <c r="K127" s="701">
        <f t="shared" si="23"/>
        <v>3055.9616946914398</v>
      </c>
      <c r="L127" s="701">
        <f t="shared" si="23"/>
        <v>3296.4636452231953</v>
      </c>
      <c r="M127" s="701">
        <f t="shared" si="23"/>
        <v>3537.1360134956217</v>
      </c>
      <c r="N127" s="701">
        <f t="shared" si="23"/>
        <v>3778.0178719680021</v>
      </c>
      <c r="O127" s="701">
        <f t="shared" si="23"/>
        <v>4019.6317121310763</v>
      </c>
      <c r="P127" s="701">
        <f t="shared" si="23"/>
        <v>4259.3313671031374</v>
      </c>
      <c r="Q127" s="701">
        <f t="shared" si="23"/>
        <v>4500.6392213697764</v>
      </c>
      <c r="R127" s="701">
        <f t="shared" si="23"/>
        <v>4744.4379569886978</v>
      </c>
      <c r="S127" s="701">
        <f t="shared" si="23"/>
        <v>4992.2675264409336</v>
      </c>
      <c r="T127" s="701">
        <f t="shared" si="23"/>
        <v>5246.560572283187</v>
      </c>
      <c r="U127" s="701">
        <f t="shared" si="23"/>
        <v>5423.921726424147</v>
      </c>
      <c r="V127" s="701">
        <f t="shared" si="23"/>
        <v>5555.8572162530882</v>
      </c>
      <c r="W127" s="701">
        <f t="shared" si="23"/>
        <v>5691.4184484021198</v>
      </c>
      <c r="X127" s="701">
        <f t="shared" si="23"/>
        <v>5831.3611283378568</v>
      </c>
      <c r="Y127" s="701">
        <f t="shared" si="23"/>
        <v>5976.6382670379198</v>
      </c>
      <c r="Z127" s="701">
        <f t="shared" si="23"/>
        <v>6128.1826468838944</v>
      </c>
      <c r="AA127" s="701">
        <f t="shared" si="23"/>
        <v>6287.3518594686157</v>
      </c>
      <c r="AB127" s="701">
        <f t="shared" si="23"/>
        <v>6455.45893234505</v>
      </c>
      <c r="AC127" s="701">
        <f t="shared" si="23"/>
        <v>6634.248989168429</v>
      </c>
      <c r="AD127" s="701">
        <f t="shared" si="23"/>
        <v>6825.7586192699709</v>
      </c>
      <c r="AE127" s="701">
        <f t="shared" si="23"/>
        <v>7032.100346153411</v>
      </c>
      <c r="AF127" s="701">
        <f t="shared" si="23"/>
        <v>7255.9720906305129</v>
      </c>
      <c r="AG127" s="702">
        <f t="shared" si="23"/>
        <v>7500.5031468879042</v>
      </c>
      <c r="AH127" s="18"/>
      <c r="AI127" s="18"/>
      <c r="AJ127" s="18"/>
      <c r="AK127" s="18"/>
      <c r="AL127" s="18"/>
      <c r="AM127" s="18"/>
      <c r="AN127" s="18"/>
    </row>
    <row r="128" spans="2:40" ht="21.9" customHeight="1" x14ac:dyDescent="0.25">
      <c r="B128" s="680" t="s">
        <v>450</v>
      </c>
      <c r="C128" s="690"/>
      <c r="D128" s="690"/>
      <c r="E128" s="1327"/>
      <c r="F128" s="114" t="s">
        <v>276</v>
      </c>
      <c r="G128" s="114" t="s">
        <v>274</v>
      </c>
      <c r="H128" s="552">
        <f t="shared" ref="H128:AG128" si="24">H44/H88</f>
        <v>81519.328148490531</v>
      </c>
      <c r="I128" s="552">
        <f t="shared" si="24"/>
        <v>86035.26350056204</v>
      </c>
      <c r="J128" s="552">
        <f t="shared" si="24"/>
        <v>91272.265929796355</v>
      </c>
      <c r="K128" s="552">
        <f t="shared" si="24"/>
        <v>101044.63736343663</v>
      </c>
      <c r="L128" s="552">
        <f t="shared" si="24"/>
        <v>110821.65000567405</v>
      </c>
      <c r="M128" s="552">
        <f t="shared" si="24"/>
        <v>120602.79101154594</v>
      </c>
      <c r="N128" s="552">
        <f t="shared" si="24"/>
        <v>130383.41352215597</v>
      </c>
      <c r="O128" s="552">
        <f t="shared" si="24"/>
        <v>140183.28034634003</v>
      </c>
      <c r="P128" s="552">
        <f t="shared" si="24"/>
        <v>151825.51214429908</v>
      </c>
      <c r="Q128" s="552">
        <f t="shared" si="24"/>
        <v>163525.6106710993</v>
      </c>
      <c r="R128" s="552">
        <f t="shared" si="24"/>
        <v>175327.62641511642</v>
      </c>
      <c r="S128" s="552">
        <f t="shared" si="24"/>
        <v>187324.01737216217</v>
      </c>
      <c r="T128" s="552">
        <f t="shared" si="24"/>
        <v>199678.09866521356</v>
      </c>
      <c r="U128" s="552">
        <f t="shared" si="24"/>
        <v>207455.60404794052</v>
      </c>
      <c r="V128" s="552">
        <f t="shared" si="24"/>
        <v>212584.47943674948</v>
      </c>
      <c r="W128" s="552">
        <f t="shared" si="24"/>
        <v>217860.60292839562</v>
      </c>
      <c r="X128" s="552">
        <f t="shared" si="24"/>
        <v>223315.07755458064</v>
      </c>
      <c r="Y128" s="552">
        <f t="shared" si="24"/>
        <v>228988.58717653566</v>
      </c>
      <c r="Z128" s="552">
        <f t="shared" si="24"/>
        <v>234916.99476370285</v>
      </c>
      <c r="AA128" s="552">
        <f t="shared" si="24"/>
        <v>241159.3454755834</v>
      </c>
      <c r="AB128" s="552">
        <f t="shared" si="24"/>
        <v>247767.14541060696</v>
      </c>
      <c r="AC128" s="552">
        <f t="shared" si="24"/>
        <v>254814.3315810221</v>
      </c>
      <c r="AD128" s="552">
        <f t="shared" si="24"/>
        <v>262387.54301432573</v>
      </c>
      <c r="AE128" s="552">
        <f t="shared" si="24"/>
        <v>270571.23658928479</v>
      </c>
      <c r="AF128" s="552">
        <f t="shared" si="24"/>
        <v>279479.77170693915</v>
      </c>
      <c r="AG128" s="700">
        <f t="shared" si="24"/>
        <v>289246.45852504345</v>
      </c>
      <c r="AH128" s="18"/>
      <c r="AI128" s="18"/>
      <c r="AJ128" s="18"/>
      <c r="AK128" s="18"/>
      <c r="AL128" s="18"/>
      <c r="AM128" s="18"/>
      <c r="AN128" s="18"/>
    </row>
    <row r="129" spans="2:40" ht="21.9" customHeight="1" x14ac:dyDescent="0.25">
      <c r="B129" s="680"/>
      <c r="C129" s="690"/>
      <c r="D129" s="690"/>
      <c r="E129" s="1327"/>
      <c r="F129" s="114" t="s">
        <v>274</v>
      </c>
      <c r="G129" s="114" t="s">
        <v>317</v>
      </c>
      <c r="H129" s="552">
        <f t="shared" ref="H129:AG129" si="25">H45/H89</f>
        <v>1901.3770612859432</v>
      </c>
      <c r="I129" s="552">
        <f t="shared" si="25"/>
        <v>1980.7757318859558</v>
      </c>
      <c r="J129" s="552">
        <f t="shared" si="25"/>
        <v>2079.0459022437594</v>
      </c>
      <c r="K129" s="552">
        <f t="shared" si="25"/>
        <v>2211.3516551536568</v>
      </c>
      <c r="L129" s="552">
        <f t="shared" si="25"/>
        <v>2343.7062854027677</v>
      </c>
      <c r="M129" s="552">
        <f t="shared" si="25"/>
        <v>2476.04733001877</v>
      </c>
      <c r="N129" s="552">
        <f t="shared" si="25"/>
        <v>2608.3603791859482</v>
      </c>
      <c r="O129" s="552">
        <f t="shared" si="25"/>
        <v>2740.7744040097086</v>
      </c>
      <c r="P129" s="552">
        <f t="shared" si="25"/>
        <v>2869.0770520663455</v>
      </c>
      <c r="Q129" s="552">
        <f t="shared" si="25"/>
        <v>2997.4402637763669</v>
      </c>
      <c r="R129" s="552">
        <f t="shared" si="25"/>
        <v>3125.7752041602062</v>
      </c>
      <c r="S129" s="552">
        <f t="shared" si="25"/>
        <v>3254.1382237659154</v>
      </c>
      <c r="T129" s="552">
        <f t="shared" si="25"/>
        <v>3382.6367184104665</v>
      </c>
      <c r="U129" s="552">
        <f t="shared" si="25"/>
        <v>3476.9601656816526</v>
      </c>
      <c r="V129" s="552">
        <f t="shared" si="25"/>
        <v>3556.4948115410766</v>
      </c>
      <c r="W129" s="552">
        <f t="shared" si="25"/>
        <v>3636.0635531270418</v>
      </c>
      <c r="X129" s="552">
        <f t="shared" si="25"/>
        <v>3715.6738818618242</v>
      </c>
      <c r="Y129" s="552">
        <f t="shared" si="25"/>
        <v>3795.3665240342293</v>
      </c>
      <c r="Z129" s="552">
        <f t="shared" si="25"/>
        <v>3875.0884773649409</v>
      </c>
      <c r="AA129" s="552">
        <f t="shared" si="25"/>
        <v>3954.9159008037809</v>
      </c>
      <c r="AB129" s="552">
        <f t="shared" si="25"/>
        <v>4034.7998415778825</v>
      </c>
      <c r="AC129" s="552">
        <f t="shared" si="25"/>
        <v>4114.789438801492</v>
      </c>
      <c r="AD129" s="552">
        <f t="shared" si="25"/>
        <v>4194.9369536161057</v>
      </c>
      <c r="AE129" s="552">
        <f t="shared" si="25"/>
        <v>4275.2020817543125</v>
      </c>
      <c r="AF129" s="552">
        <f t="shared" si="25"/>
        <v>4355.6442788471195</v>
      </c>
      <c r="AG129" s="700">
        <f t="shared" si="25"/>
        <v>4436.3276957293938</v>
      </c>
      <c r="AH129" s="18"/>
      <c r="AI129" s="18"/>
      <c r="AJ129" s="18"/>
      <c r="AK129" s="18"/>
      <c r="AL129" s="18"/>
      <c r="AM129" s="18"/>
      <c r="AN129" s="18"/>
    </row>
    <row r="130" spans="2:40" ht="21.9" customHeight="1" x14ac:dyDescent="0.25">
      <c r="B130" s="680"/>
      <c r="C130" s="690"/>
      <c r="D130" s="690"/>
      <c r="E130" s="1325" t="s">
        <v>274</v>
      </c>
      <c r="F130" s="217" t="s">
        <v>275</v>
      </c>
      <c r="G130" s="217" t="s">
        <v>318</v>
      </c>
      <c r="H130" s="558">
        <f t="shared" ref="H130:AG130" si="26">H46/H90</f>
        <v>20851.391313689561</v>
      </c>
      <c r="I130" s="558">
        <f t="shared" si="26"/>
        <v>23138.682577072981</v>
      </c>
      <c r="J130" s="558">
        <f t="shared" si="26"/>
        <v>25577.766981448331</v>
      </c>
      <c r="K130" s="558">
        <f t="shared" si="26"/>
        <v>33886.93135584284</v>
      </c>
      <c r="L130" s="558">
        <f t="shared" si="26"/>
        <v>49119.574080549173</v>
      </c>
      <c r="M130" s="558">
        <f t="shared" si="26"/>
        <v>103859.76599886066</v>
      </c>
      <c r="N130" s="558">
        <f t="shared" si="26"/>
        <v>328869.0537776</v>
      </c>
      <c r="O130" s="558">
        <f t="shared" si="26"/>
        <v>373169.44045360002</v>
      </c>
      <c r="P130" s="558">
        <f t="shared" si="26"/>
        <v>432616.98110959993</v>
      </c>
      <c r="Q130" s="558">
        <f t="shared" si="26"/>
        <v>492090.87812359986</v>
      </c>
      <c r="R130" s="558">
        <f t="shared" si="26"/>
        <v>551538.41877960006</v>
      </c>
      <c r="S130" s="558">
        <f t="shared" si="26"/>
        <v>610985.95943560009</v>
      </c>
      <c r="T130" s="558">
        <f t="shared" si="26"/>
        <v>670511.01879160013</v>
      </c>
      <c r="U130" s="558">
        <f t="shared" si="26"/>
        <v>699972.77591359988</v>
      </c>
      <c r="V130" s="558">
        <f t="shared" si="26"/>
        <v>713505.99055960006</v>
      </c>
      <c r="W130" s="558">
        <f t="shared" si="26"/>
        <v>727039.20520560001</v>
      </c>
      <c r="X130" s="558">
        <f t="shared" si="26"/>
        <v>740572.41985160008</v>
      </c>
      <c r="Y130" s="558">
        <f t="shared" si="26"/>
        <v>754127.33973359992</v>
      </c>
      <c r="Z130" s="558">
        <f t="shared" si="26"/>
        <v>767660.55437959987</v>
      </c>
      <c r="AA130" s="558">
        <f t="shared" si="26"/>
        <v>781215.47426159994</v>
      </c>
      <c r="AB130" s="558">
        <f t="shared" si="26"/>
        <v>794748.68890760012</v>
      </c>
      <c r="AC130" s="558">
        <f t="shared" si="26"/>
        <v>808281.90355360007</v>
      </c>
      <c r="AD130" s="558">
        <f t="shared" si="26"/>
        <v>821836.82343560015</v>
      </c>
      <c r="AE130" s="558">
        <f t="shared" si="26"/>
        <v>835370.0380816001</v>
      </c>
      <c r="AF130" s="558">
        <f t="shared" si="26"/>
        <v>848903.25272759981</v>
      </c>
      <c r="AG130" s="703">
        <f t="shared" si="26"/>
        <v>862458.17260960001</v>
      </c>
      <c r="AH130" s="18"/>
      <c r="AI130" s="18"/>
      <c r="AJ130" s="18"/>
      <c r="AK130" s="18"/>
      <c r="AL130" s="18"/>
      <c r="AM130" s="18"/>
      <c r="AN130" s="18"/>
    </row>
    <row r="131" spans="2:40" ht="21.9" customHeight="1" x14ac:dyDescent="0.25">
      <c r="B131" s="680"/>
      <c r="C131" s="690"/>
      <c r="D131" s="690"/>
      <c r="E131" s="1327"/>
      <c r="F131" s="114" t="s">
        <v>318</v>
      </c>
      <c r="G131" s="114" t="s">
        <v>308</v>
      </c>
      <c r="H131" s="552">
        <f t="shared" ref="H131:AG131" si="27">H47/H91</f>
        <v>2902.3081039318445</v>
      </c>
      <c r="I131" s="552">
        <f t="shared" si="27"/>
        <v>3287.99074632053</v>
      </c>
      <c r="J131" s="552">
        <f t="shared" si="27"/>
        <v>3673.9481367760609</v>
      </c>
      <c r="K131" s="552">
        <f t="shared" si="27"/>
        <v>4981.5023241169456</v>
      </c>
      <c r="L131" s="552">
        <f t="shared" si="27"/>
        <v>6310.4831154541234</v>
      </c>
      <c r="M131" s="552">
        <f t="shared" si="27"/>
        <v>7791.9879833542727</v>
      </c>
      <c r="N131" s="552">
        <f t="shared" si="27"/>
        <v>10040.144772019372</v>
      </c>
      <c r="O131" s="552">
        <f t="shared" si="27"/>
        <v>15360.468213476928</v>
      </c>
      <c r="P131" s="552">
        <f t="shared" si="27"/>
        <v>49350.223228726216</v>
      </c>
      <c r="Q131" s="552">
        <f t="shared" si="27"/>
        <v>70381.831640000019</v>
      </c>
      <c r="R131" s="552">
        <f t="shared" si="27"/>
        <v>80315.000040000014</v>
      </c>
      <c r="S131" s="552">
        <f t="shared" si="27"/>
        <v>90248.288159999996</v>
      </c>
      <c r="T131" s="552">
        <f t="shared" si="27"/>
        <v>100191.27360000001</v>
      </c>
      <c r="U131" s="552">
        <f t="shared" si="27"/>
        <v>105566.70160000003</v>
      </c>
      <c r="V131" s="552">
        <f t="shared" si="27"/>
        <v>107475.75671999999</v>
      </c>
      <c r="W131" s="552">
        <f t="shared" si="27"/>
        <v>109384.81184000001</v>
      </c>
      <c r="X131" s="552">
        <f t="shared" si="27"/>
        <v>111293.86696000004</v>
      </c>
      <c r="Y131" s="552">
        <f t="shared" si="27"/>
        <v>113204.11928000003</v>
      </c>
      <c r="Z131" s="552">
        <f t="shared" si="27"/>
        <v>115113.17440000002</v>
      </c>
      <c r="AA131" s="552">
        <f t="shared" si="27"/>
        <v>117023.42672000002</v>
      </c>
      <c r="AB131" s="552">
        <f t="shared" si="27"/>
        <v>118932.48183999999</v>
      </c>
      <c r="AC131" s="552">
        <f t="shared" si="27"/>
        <v>120841.53696000001</v>
      </c>
      <c r="AD131" s="552">
        <f t="shared" si="27"/>
        <v>122751.78928000003</v>
      </c>
      <c r="AE131" s="552">
        <f t="shared" si="27"/>
        <v>124660.84440000002</v>
      </c>
      <c r="AF131" s="552">
        <f t="shared" si="27"/>
        <v>126569.89952000001</v>
      </c>
      <c r="AG131" s="700">
        <f t="shared" si="27"/>
        <v>128480.15183999999</v>
      </c>
      <c r="AH131" s="18"/>
      <c r="AI131" s="18"/>
      <c r="AJ131" s="18"/>
      <c r="AK131" s="18"/>
      <c r="AL131" s="18"/>
      <c r="AM131" s="18"/>
      <c r="AN131" s="18"/>
    </row>
    <row r="132" spans="2:40" ht="21.9" customHeight="1" x14ac:dyDescent="0.25">
      <c r="B132" s="680"/>
      <c r="C132" s="690"/>
      <c r="D132" s="690"/>
      <c r="E132" s="1339"/>
      <c r="F132" s="250" t="s">
        <v>308</v>
      </c>
      <c r="G132" s="250" t="s">
        <v>319</v>
      </c>
      <c r="H132" s="562">
        <f t="shared" ref="H132:AG132" si="28">H48/H92</f>
        <v>41642.382214759615</v>
      </c>
      <c r="I132" s="562">
        <f t="shared" si="28"/>
        <v>43497.948858047195</v>
      </c>
      <c r="J132" s="562">
        <f t="shared" si="28"/>
        <v>45499.329036762094</v>
      </c>
      <c r="K132" s="562">
        <f t="shared" si="28"/>
        <v>50016.189855564618</v>
      </c>
      <c r="L132" s="562">
        <f t="shared" si="28"/>
        <v>55901.839666895517</v>
      </c>
      <c r="M132" s="562">
        <f t="shared" si="28"/>
        <v>64144.873352789917</v>
      </c>
      <c r="N132" s="562">
        <f t="shared" si="28"/>
        <v>76331.183652994994</v>
      </c>
      <c r="O132" s="562">
        <f t="shared" si="28"/>
        <v>94964.163789362094</v>
      </c>
      <c r="P132" s="562">
        <f t="shared" si="28"/>
        <v>138892.59877491533</v>
      </c>
      <c r="Q132" s="562">
        <f t="shared" si="28"/>
        <v>219379.75163088529</v>
      </c>
      <c r="R132" s="562">
        <f t="shared" si="28"/>
        <v>334023.68457599997</v>
      </c>
      <c r="S132" s="562">
        <f t="shared" si="28"/>
        <v>353298.08259680012</v>
      </c>
      <c r="T132" s="562">
        <f t="shared" si="28"/>
        <v>372589.48564640008</v>
      </c>
      <c r="U132" s="562">
        <f t="shared" si="28"/>
        <v>385123.47527039994</v>
      </c>
      <c r="V132" s="562">
        <f t="shared" si="28"/>
        <v>392263.34141920012</v>
      </c>
      <c r="W132" s="562">
        <f t="shared" si="28"/>
        <v>399403.20756800001</v>
      </c>
      <c r="X132" s="562">
        <f t="shared" si="28"/>
        <v>406543.07371680008</v>
      </c>
      <c r="Y132" s="562">
        <f t="shared" si="28"/>
        <v>413687.43176000012</v>
      </c>
      <c r="Z132" s="562">
        <f t="shared" si="28"/>
        <v>420827.29790880001</v>
      </c>
      <c r="AA132" s="562">
        <f t="shared" si="28"/>
        <v>427971.65595200006</v>
      </c>
      <c r="AB132" s="562">
        <f t="shared" si="28"/>
        <v>435111.52210080001</v>
      </c>
      <c r="AC132" s="562">
        <f t="shared" si="28"/>
        <v>442251.38824960002</v>
      </c>
      <c r="AD132" s="562">
        <f t="shared" si="28"/>
        <v>449395.74629280006</v>
      </c>
      <c r="AE132" s="562">
        <f t="shared" si="28"/>
        <v>456535.61244160013</v>
      </c>
      <c r="AF132" s="562">
        <f t="shared" si="28"/>
        <v>463675.47859040013</v>
      </c>
      <c r="AG132" s="704">
        <f t="shared" si="28"/>
        <v>470819.83663360012</v>
      </c>
      <c r="AH132" s="18"/>
      <c r="AI132" s="18"/>
      <c r="AJ132" s="18"/>
      <c r="AK132" s="18"/>
      <c r="AL132" s="18"/>
      <c r="AM132" s="18"/>
      <c r="AN132" s="18"/>
    </row>
    <row r="133" spans="2:40" ht="21.9" customHeight="1" x14ac:dyDescent="0.25">
      <c r="B133" s="680"/>
      <c r="C133" s="690"/>
      <c r="D133" s="690"/>
      <c r="E133" s="114" t="s">
        <v>320</v>
      </c>
      <c r="F133" s="114" t="s">
        <v>318</v>
      </c>
      <c r="G133" s="114" t="s">
        <v>308</v>
      </c>
      <c r="H133" s="552">
        <f t="shared" ref="H133:AG133" si="29">H49/H93</f>
        <v>277.18423645320195</v>
      </c>
      <c r="I133" s="552">
        <f t="shared" si="29"/>
        <v>448.76127881773397</v>
      </c>
      <c r="J133" s="552">
        <f t="shared" si="29"/>
        <v>1280.3139881773398</v>
      </c>
      <c r="K133" s="552">
        <f t="shared" si="29"/>
        <v>2706.981253201971</v>
      </c>
      <c r="L133" s="552">
        <f t="shared" si="29"/>
        <v>4134.7572551724215</v>
      </c>
      <c r="M133" s="552">
        <f t="shared" si="29"/>
        <v>5561.978888670159</v>
      </c>
      <c r="N133" s="552">
        <f t="shared" si="29"/>
        <v>6988.6461536971474</v>
      </c>
      <c r="O133" s="552">
        <f t="shared" si="29"/>
        <v>8417.5308926306843</v>
      </c>
      <c r="P133" s="552">
        <f t="shared" si="29"/>
        <v>9185.0540434015838</v>
      </c>
      <c r="Q133" s="552">
        <f t="shared" si="29"/>
        <v>9953.6859311599383</v>
      </c>
      <c r="R133" s="552">
        <f t="shared" si="29"/>
        <v>10721.486266293959</v>
      </c>
      <c r="S133" s="552">
        <f t="shared" si="29"/>
        <v>11489.009417356603</v>
      </c>
      <c r="T133" s="552">
        <f t="shared" si="29"/>
        <v>12258.472858383013</v>
      </c>
      <c r="U133" s="552">
        <f t="shared" si="29"/>
        <v>12430.049900952421</v>
      </c>
      <c r="V133" s="552">
        <f t="shared" si="29"/>
        <v>12601.626943552159</v>
      </c>
      <c r="W133" s="552">
        <f t="shared" si="29"/>
        <v>12773.203986186183</v>
      </c>
      <c r="X133" s="552">
        <f t="shared" si="29"/>
        <v>12944.781028858954</v>
      </c>
      <c r="Y133" s="552">
        <f t="shared" si="29"/>
        <v>13117.18962428659</v>
      </c>
      <c r="Z133" s="552">
        <f t="shared" si="29"/>
        <v>13288.766667052472</v>
      </c>
      <c r="AA133" s="552">
        <f t="shared" si="29"/>
        <v>13461.175262585379</v>
      </c>
      <c r="AB133" s="552">
        <f t="shared" si="29"/>
        <v>13632.752305468959</v>
      </c>
      <c r="AC133" s="552">
        <f t="shared" si="29"/>
        <v>13804.32934842215</v>
      </c>
      <c r="AD133" s="552">
        <f t="shared" si="29"/>
        <v>13976.737944166031</v>
      </c>
      <c r="AE133" s="552">
        <f t="shared" si="29"/>
        <v>14148.314987284619</v>
      </c>
      <c r="AF133" s="552">
        <f t="shared" si="29"/>
        <v>14319.892030500419</v>
      </c>
      <c r="AG133" s="700">
        <f t="shared" si="29"/>
        <v>14492.300626538861</v>
      </c>
      <c r="AH133" s="18"/>
      <c r="AI133" s="18"/>
      <c r="AJ133" s="18"/>
      <c r="AK133" s="18"/>
      <c r="AL133" s="18"/>
      <c r="AM133" s="18"/>
      <c r="AN133" s="18"/>
    </row>
    <row r="134" spans="2:40" ht="21.9" customHeight="1" x14ac:dyDescent="0.25">
      <c r="B134" s="680"/>
      <c r="C134" s="690"/>
      <c r="D134" s="690"/>
      <c r="E134" s="1325" t="s">
        <v>308</v>
      </c>
      <c r="F134" s="217" t="s">
        <v>276</v>
      </c>
      <c r="G134" s="217" t="s">
        <v>320</v>
      </c>
      <c r="H134" s="558">
        <f t="shared" ref="H134:AG134" si="30">H50/H94</f>
        <v>796.16748768472905</v>
      </c>
      <c r="I134" s="558">
        <f t="shared" si="30"/>
        <v>796.16748768472905</v>
      </c>
      <c r="J134" s="558">
        <f t="shared" si="30"/>
        <v>9315.9557888700438</v>
      </c>
      <c r="K134" s="558">
        <f t="shared" si="30"/>
        <v>17835.763657532934</v>
      </c>
      <c r="L134" s="558">
        <f t="shared" si="30"/>
        <v>26364.13965506024</v>
      </c>
      <c r="M134" s="558">
        <f t="shared" si="30"/>
        <v>34913.869483403359</v>
      </c>
      <c r="N134" s="558">
        <f t="shared" si="30"/>
        <v>43749.534517719461</v>
      </c>
      <c r="O134" s="558">
        <f t="shared" si="30"/>
        <v>54426.972955516794</v>
      </c>
      <c r="P134" s="558">
        <f t="shared" si="30"/>
        <v>54426.972955516794</v>
      </c>
      <c r="Q134" s="558">
        <f t="shared" si="30"/>
        <v>54426.972955516794</v>
      </c>
      <c r="R134" s="558">
        <f t="shared" si="30"/>
        <v>54426.972955516794</v>
      </c>
      <c r="S134" s="558">
        <f t="shared" si="30"/>
        <v>54426.972955516794</v>
      </c>
      <c r="T134" s="558">
        <f t="shared" si="30"/>
        <v>54426.972955516794</v>
      </c>
      <c r="U134" s="558">
        <f t="shared" si="30"/>
        <v>54426.972955516794</v>
      </c>
      <c r="V134" s="558">
        <f t="shared" si="30"/>
        <v>54426.972955516794</v>
      </c>
      <c r="W134" s="558">
        <f t="shared" si="30"/>
        <v>54426.972955516794</v>
      </c>
      <c r="X134" s="558">
        <f t="shared" si="30"/>
        <v>54426.972955516794</v>
      </c>
      <c r="Y134" s="558">
        <f t="shared" si="30"/>
        <v>54426.972955516794</v>
      </c>
      <c r="Z134" s="558">
        <f t="shared" si="30"/>
        <v>54426.972955516794</v>
      </c>
      <c r="AA134" s="558">
        <f t="shared" si="30"/>
        <v>54426.972955516794</v>
      </c>
      <c r="AB134" s="558">
        <f t="shared" si="30"/>
        <v>54426.972955516794</v>
      </c>
      <c r="AC134" s="558">
        <f t="shared" si="30"/>
        <v>54426.972955516794</v>
      </c>
      <c r="AD134" s="558">
        <f t="shared" si="30"/>
        <v>54426.972955516794</v>
      </c>
      <c r="AE134" s="558">
        <f t="shared" si="30"/>
        <v>54426.972955516794</v>
      </c>
      <c r="AF134" s="558">
        <f t="shared" si="30"/>
        <v>54426.972955516794</v>
      </c>
      <c r="AG134" s="703">
        <f t="shared" si="30"/>
        <v>54426.972955516794</v>
      </c>
      <c r="AH134" s="18"/>
      <c r="AI134" s="18"/>
      <c r="AJ134" s="18"/>
      <c r="AK134" s="18"/>
      <c r="AL134" s="18"/>
      <c r="AM134" s="18"/>
      <c r="AN134" s="18"/>
    </row>
    <row r="135" spans="2:40" ht="21.9" customHeight="1" x14ac:dyDescent="0.25">
      <c r="B135" s="680"/>
      <c r="C135" s="690"/>
      <c r="D135" s="690"/>
      <c r="E135" s="1327"/>
      <c r="F135" s="114" t="s">
        <v>320</v>
      </c>
      <c r="G135" s="114" t="s">
        <v>282</v>
      </c>
      <c r="H135" s="552">
        <f t="shared" ref="H135:AG135" si="31">H51/H95</f>
        <v>199.85777777777781</v>
      </c>
      <c r="I135" s="552">
        <f t="shared" si="31"/>
        <v>379.7297777777992</v>
      </c>
      <c r="J135" s="552">
        <f t="shared" si="31"/>
        <v>559.60177777929755</v>
      </c>
      <c r="K135" s="552">
        <f t="shared" si="31"/>
        <v>1217.3155633991123</v>
      </c>
      <c r="L135" s="552">
        <f t="shared" si="31"/>
        <v>1874.1217922299945</v>
      </c>
      <c r="M135" s="552">
        <f t="shared" si="31"/>
        <v>2532.7679184813678</v>
      </c>
      <c r="N135" s="552">
        <f t="shared" si="31"/>
        <v>3190.7712724612443</v>
      </c>
      <c r="O135" s="552">
        <f t="shared" si="31"/>
        <v>3850.6416836525091</v>
      </c>
      <c r="P135" s="552">
        <f t="shared" si="31"/>
        <v>5035.1540962404179</v>
      </c>
      <c r="Q135" s="552">
        <f t="shared" si="31"/>
        <v>6552.3868987423739</v>
      </c>
      <c r="R135" s="552">
        <f t="shared" si="31"/>
        <v>10012.27755784669</v>
      </c>
      <c r="S135" s="552">
        <f t="shared" si="31"/>
        <v>22043.169110319803</v>
      </c>
      <c r="T135" s="552">
        <f t="shared" si="31"/>
        <v>64851.454323394479</v>
      </c>
      <c r="U135" s="552">
        <f t="shared" si="31"/>
        <v>75504.051840000015</v>
      </c>
      <c r="V135" s="552">
        <f t="shared" si="31"/>
        <v>76824.802880000003</v>
      </c>
      <c r="W135" s="552">
        <f t="shared" si="31"/>
        <v>78152.25824000001</v>
      </c>
      <c r="X135" s="552">
        <f t="shared" si="31"/>
        <v>79479.713600000003</v>
      </c>
      <c r="Y135" s="552">
        <f t="shared" si="31"/>
        <v>80807.16896000001</v>
      </c>
      <c r="Z135" s="552">
        <f t="shared" si="31"/>
        <v>82134.624320000017</v>
      </c>
      <c r="AA135" s="552">
        <f t="shared" si="31"/>
        <v>83462.079679999995</v>
      </c>
      <c r="AB135" s="552">
        <f t="shared" si="31"/>
        <v>84789.535040000017</v>
      </c>
      <c r="AC135" s="552">
        <f t="shared" si="31"/>
        <v>86116.990400000024</v>
      </c>
      <c r="AD135" s="552">
        <f t="shared" si="31"/>
        <v>87437.741440000013</v>
      </c>
      <c r="AE135" s="552">
        <f t="shared" si="31"/>
        <v>88765.19680000002</v>
      </c>
      <c r="AF135" s="552">
        <f t="shared" si="31"/>
        <v>90092.652160000012</v>
      </c>
      <c r="AG135" s="700">
        <f t="shared" si="31"/>
        <v>91420.10752000002</v>
      </c>
      <c r="AH135" s="18"/>
      <c r="AI135" s="18"/>
      <c r="AJ135" s="18"/>
      <c r="AK135" s="18"/>
      <c r="AL135" s="18"/>
      <c r="AM135" s="18"/>
      <c r="AN135" s="18"/>
    </row>
    <row r="136" spans="2:40" ht="21.9" customHeight="1" x14ac:dyDescent="0.25">
      <c r="B136" s="680"/>
      <c r="C136" s="690"/>
      <c r="D136" s="690"/>
      <c r="E136" s="1327"/>
      <c r="F136" s="114" t="s">
        <v>282</v>
      </c>
      <c r="G136" s="114" t="s">
        <v>321</v>
      </c>
      <c r="H136" s="552">
        <f t="shared" ref="H136:AG136" si="32">H52/H96</f>
        <v>637.92408759124089</v>
      </c>
      <c r="I136" s="552">
        <f t="shared" si="32"/>
        <v>1211.7793326520682</v>
      </c>
      <c r="J136" s="552">
        <f t="shared" si="32"/>
        <v>1785.4432004866185</v>
      </c>
      <c r="K136" s="552">
        <f t="shared" si="32"/>
        <v>3884.1496562531652</v>
      </c>
      <c r="L136" s="552">
        <f t="shared" si="32"/>
        <v>5982.9411685788173</v>
      </c>
      <c r="M136" s="552">
        <f t="shared" si="32"/>
        <v>8084.411962436985</v>
      </c>
      <c r="N136" s="552">
        <f t="shared" si="32"/>
        <v>10183.118422789375</v>
      </c>
      <c r="O136" s="552">
        <f t="shared" si="32"/>
        <v>12283.100760912954</v>
      </c>
      <c r="P136" s="552">
        <f t="shared" si="32"/>
        <v>15932.601319341931</v>
      </c>
      <c r="Q136" s="552">
        <f t="shared" si="32"/>
        <v>19580.618673013152</v>
      </c>
      <c r="R136" s="552">
        <f t="shared" si="32"/>
        <v>23229.87888509177</v>
      </c>
      <c r="S136" s="552">
        <f t="shared" si="32"/>
        <v>26879.551258893764</v>
      </c>
      <c r="T136" s="552">
        <f t="shared" si="32"/>
        <v>30532.369765273503</v>
      </c>
      <c r="U136" s="552">
        <f t="shared" si="32"/>
        <v>32656.319332011404</v>
      </c>
      <c r="V136" s="552">
        <f t="shared" si="32"/>
        <v>33230.562350591943</v>
      </c>
      <c r="W136" s="552">
        <f t="shared" si="32"/>
        <v>33804.87845260305</v>
      </c>
      <c r="X136" s="552">
        <f t="shared" si="32"/>
        <v>34379.279809471293</v>
      </c>
      <c r="Y136" s="552">
        <f t="shared" si="32"/>
        <v>34953.588751611809</v>
      </c>
      <c r="Z136" s="552">
        <f t="shared" si="32"/>
        <v>35528.204391041116</v>
      </c>
      <c r="AA136" s="552">
        <f t="shared" si="32"/>
        <v>36102.761619493394</v>
      </c>
      <c r="AB136" s="552">
        <f t="shared" si="32"/>
        <v>36677.664452799181</v>
      </c>
      <c r="AC136" s="552">
        <f t="shared" si="32"/>
        <v>37252.744711755709</v>
      </c>
      <c r="AD136" s="552">
        <f t="shared" si="32"/>
        <v>37827.837107111118</v>
      </c>
      <c r="AE136" s="552">
        <f t="shared" si="32"/>
        <v>38403.355427400886</v>
      </c>
      <c r="AF136" s="552">
        <f t="shared" si="32"/>
        <v>38979.141825002545</v>
      </c>
      <c r="AG136" s="700">
        <f t="shared" si="32"/>
        <v>39555.042404584252</v>
      </c>
      <c r="AH136" s="18"/>
      <c r="AI136" s="18"/>
      <c r="AJ136" s="18"/>
      <c r="AK136" s="18"/>
      <c r="AL136" s="18"/>
      <c r="AM136" s="18"/>
      <c r="AN136" s="18"/>
    </row>
    <row r="137" spans="2:40" ht="21.9" customHeight="1" x14ac:dyDescent="0.25">
      <c r="B137" s="680"/>
      <c r="C137" s="690"/>
      <c r="D137" s="690"/>
      <c r="E137" s="1339"/>
      <c r="F137" s="250" t="s">
        <v>321</v>
      </c>
      <c r="G137" s="250" t="s">
        <v>274</v>
      </c>
      <c r="H137" s="562">
        <f t="shared" ref="H137:AG137" si="33">H53/H97</f>
        <v>917.56204379562053</v>
      </c>
      <c r="I137" s="562">
        <f t="shared" si="33"/>
        <v>1742.9702729927005</v>
      </c>
      <c r="J137" s="562">
        <f t="shared" si="33"/>
        <v>2568.1032335766427</v>
      </c>
      <c r="K137" s="562">
        <f t="shared" si="33"/>
        <v>5586.790601460033</v>
      </c>
      <c r="L137" s="562">
        <f t="shared" si="33"/>
        <v>8605.6003109695321</v>
      </c>
      <c r="M137" s="562">
        <f t="shared" si="33"/>
        <v>11628.263781587446</v>
      </c>
      <c r="N137" s="562">
        <f t="shared" si="33"/>
        <v>14646.951156066913</v>
      </c>
      <c r="O137" s="562">
        <f t="shared" si="33"/>
        <v>17667.473697203564</v>
      </c>
      <c r="P137" s="562">
        <f t="shared" si="33"/>
        <v>22916.755322341134</v>
      </c>
      <c r="Q137" s="562">
        <f t="shared" si="33"/>
        <v>28163.903570772341</v>
      </c>
      <c r="R137" s="562">
        <f t="shared" si="33"/>
        <v>33412.839492255291</v>
      </c>
      <c r="S137" s="562">
        <f t="shared" si="33"/>
        <v>38662.368249093779</v>
      </c>
      <c r="T137" s="562">
        <f t="shared" si="33"/>
        <v>43916.422265119421</v>
      </c>
      <c r="U137" s="562">
        <f t="shared" si="33"/>
        <v>46971.418217276674</v>
      </c>
      <c r="V137" s="562">
        <f t="shared" si="33"/>
        <v>47797.384202906222</v>
      </c>
      <c r="W137" s="562">
        <f t="shared" si="33"/>
        <v>48623.455308538636</v>
      </c>
      <c r="X137" s="562">
        <f t="shared" si="33"/>
        <v>49449.64904102037</v>
      </c>
      <c r="Y137" s="562">
        <f t="shared" si="33"/>
        <v>50275.709848208775</v>
      </c>
      <c r="Z137" s="562">
        <f t="shared" si="33"/>
        <v>51102.211795333111</v>
      </c>
      <c r="AA137" s="562">
        <f t="shared" si="33"/>
        <v>51928.629726668594</v>
      </c>
      <c r="AB137" s="562">
        <f t="shared" si="33"/>
        <v>52755.544760875542</v>
      </c>
      <c r="AC137" s="562">
        <f t="shared" si="33"/>
        <v>53582.714996360955</v>
      </c>
      <c r="AD137" s="562">
        <f t="shared" si="33"/>
        <v>54409.902688310503</v>
      </c>
      <c r="AE137" s="562">
        <f t="shared" si="33"/>
        <v>55237.703012014979</v>
      </c>
      <c r="AF137" s="562">
        <f t="shared" si="33"/>
        <v>56065.888926373525</v>
      </c>
      <c r="AG137" s="704">
        <f t="shared" si="33"/>
        <v>56894.239075086945</v>
      </c>
      <c r="AH137" s="18"/>
      <c r="AI137" s="18"/>
      <c r="AJ137" s="18"/>
      <c r="AK137" s="18"/>
      <c r="AL137" s="18"/>
      <c r="AM137" s="18"/>
      <c r="AN137" s="18"/>
    </row>
    <row r="138" spans="2:40" ht="21.9" customHeight="1" x14ac:dyDescent="0.25">
      <c r="B138" s="680"/>
      <c r="C138" s="690"/>
      <c r="D138" s="690"/>
      <c r="E138" s="114" t="s">
        <v>282</v>
      </c>
      <c r="F138" s="114" t="s">
        <v>308</v>
      </c>
      <c r="G138" s="114" t="s">
        <v>324</v>
      </c>
      <c r="H138" s="568">
        <f t="shared" ref="H138:AG138" si="34">H54/H98</f>
        <v>7751.6556316504648</v>
      </c>
      <c r="I138" s="568">
        <f t="shared" si="34"/>
        <v>8042.2570293080817</v>
      </c>
      <c r="J138" s="568">
        <f t="shared" si="34"/>
        <v>8486.7725163270061</v>
      </c>
      <c r="K138" s="568">
        <f t="shared" si="34"/>
        <v>9899.0924182737581</v>
      </c>
      <c r="L138" s="568">
        <f t="shared" si="34"/>
        <v>11311.663125425363</v>
      </c>
      <c r="M138" s="568">
        <f t="shared" si="34"/>
        <v>12725.85609931635</v>
      </c>
      <c r="N138" s="568">
        <f t="shared" si="34"/>
        <v>14138.651236857911</v>
      </c>
      <c r="O138" s="568">
        <f t="shared" si="34"/>
        <v>15553.652777101959</v>
      </c>
      <c r="P138" s="568">
        <f t="shared" si="34"/>
        <v>17421.335219458029</v>
      </c>
      <c r="Q138" s="568">
        <f t="shared" si="34"/>
        <v>19297.999421737288</v>
      </c>
      <c r="R138" s="568">
        <f t="shared" si="34"/>
        <v>21198.682222216685</v>
      </c>
      <c r="S138" s="568">
        <f t="shared" si="34"/>
        <v>23152.153928725817</v>
      </c>
      <c r="T138" s="568">
        <f t="shared" si="34"/>
        <v>25220.611373615116</v>
      </c>
      <c r="U138" s="568">
        <f t="shared" si="34"/>
        <v>26282.488725124975</v>
      </c>
      <c r="V138" s="568">
        <f t="shared" si="34"/>
        <v>26641.600661966095</v>
      </c>
      <c r="W138" s="568">
        <f t="shared" si="34"/>
        <v>27008.796773420934</v>
      </c>
      <c r="X138" s="568">
        <f t="shared" si="34"/>
        <v>27384.925688504882</v>
      </c>
      <c r="Y138" s="568">
        <f t="shared" si="34"/>
        <v>27771.320184556167</v>
      </c>
      <c r="Z138" s="568">
        <f t="shared" si="34"/>
        <v>28168.19180782689</v>
      </c>
      <c r="AA138" s="568">
        <f t="shared" si="34"/>
        <v>28577.469166960549</v>
      </c>
      <c r="AB138" s="568">
        <f t="shared" si="34"/>
        <v>28999.506177828232</v>
      </c>
      <c r="AC138" s="568">
        <f t="shared" si="34"/>
        <v>29436.027644678332</v>
      </c>
      <c r="AD138" s="568">
        <f t="shared" si="34"/>
        <v>29888.932769897405</v>
      </c>
      <c r="AE138" s="568">
        <f t="shared" si="34"/>
        <v>30358.82800212767</v>
      </c>
      <c r="AF138" s="568">
        <f t="shared" si="34"/>
        <v>30847.849790377732</v>
      </c>
      <c r="AG138" s="705">
        <f t="shared" si="34"/>
        <v>31358.35583158832</v>
      </c>
      <c r="AH138" s="18"/>
      <c r="AI138" s="18"/>
      <c r="AJ138" s="18"/>
      <c r="AK138" s="18"/>
      <c r="AL138" s="18"/>
      <c r="AM138" s="18"/>
      <c r="AN138" s="18"/>
    </row>
    <row r="139" spans="2:40" ht="21.9" customHeight="1" x14ac:dyDescent="0.25">
      <c r="B139" s="680"/>
      <c r="C139" s="690"/>
      <c r="D139" s="690"/>
      <c r="E139" s="273" t="s">
        <v>321</v>
      </c>
      <c r="F139" s="273" t="s">
        <v>318</v>
      </c>
      <c r="G139" s="273" t="s">
        <v>308</v>
      </c>
      <c r="H139" s="552" t="e">
        <f t="shared" ref="H139:AG139" si="35">H55/H99</f>
        <v>#DIV/0!</v>
      </c>
      <c r="I139" s="552" t="e">
        <f t="shared" si="35"/>
        <v>#DIV/0!</v>
      </c>
      <c r="J139" s="552" t="e">
        <f t="shared" si="35"/>
        <v>#DIV/0!</v>
      </c>
      <c r="K139" s="552" t="e">
        <f t="shared" si="35"/>
        <v>#DIV/0!</v>
      </c>
      <c r="L139" s="552" t="e">
        <f t="shared" si="35"/>
        <v>#DIV/0!</v>
      </c>
      <c r="M139" s="552" t="e">
        <f t="shared" si="35"/>
        <v>#DIV/0!</v>
      </c>
      <c r="N139" s="552" t="e">
        <f t="shared" si="35"/>
        <v>#DIV/0!</v>
      </c>
      <c r="O139" s="552" t="e">
        <f t="shared" si="35"/>
        <v>#DIV/0!</v>
      </c>
      <c r="P139" s="552" t="e">
        <f t="shared" si="35"/>
        <v>#DIV/0!</v>
      </c>
      <c r="Q139" s="552" t="e">
        <f t="shared" si="35"/>
        <v>#DIV/0!</v>
      </c>
      <c r="R139" s="552" t="e">
        <f t="shared" si="35"/>
        <v>#DIV/0!</v>
      </c>
      <c r="S139" s="552" t="e">
        <f t="shared" si="35"/>
        <v>#DIV/0!</v>
      </c>
      <c r="T139" s="552" t="e">
        <f t="shared" si="35"/>
        <v>#DIV/0!</v>
      </c>
      <c r="U139" s="552" t="e">
        <f t="shared" si="35"/>
        <v>#DIV/0!</v>
      </c>
      <c r="V139" s="552" t="e">
        <f t="shared" si="35"/>
        <v>#DIV/0!</v>
      </c>
      <c r="W139" s="552" t="e">
        <f t="shared" si="35"/>
        <v>#DIV/0!</v>
      </c>
      <c r="X139" s="552" t="e">
        <f t="shared" si="35"/>
        <v>#DIV/0!</v>
      </c>
      <c r="Y139" s="552" t="e">
        <f t="shared" si="35"/>
        <v>#DIV/0!</v>
      </c>
      <c r="Z139" s="552" t="e">
        <f t="shared" si="35"/>
        <v>#DIV/0!</v>
      </c>
      <c r="AA139" s="552" t="e">
        <f t="shared" si="35"/>
        <v>#DIV/0!</v>
      </c>
      <c r="AB139" s="552" t="e">
        <f t="shared" si="35"/>
        <v>#DIV/0!</v>
      </c>
      <c r="AC139" s="552" t="e">
        <f t="shared" si="35"/>
        <v>#DIV/0!</v>
      </c>
      <c r="AD139" s="552" t="e">
        <f t="shared" si="35"/>
        <v>#DIV/0!</v>
      </c>
      <c r="AE139" s="552" t="e">
        <f t="shared" si="35"/>
        <v>#DIV/0!</v>
      </c>
      <c r="AF139" s="552" t="e">
        <f t="shared" si="35"/>
        <v>#DIV/0!</v>
      </c>
      <c r="AG139" s="700" t="e">
        <f t="shared" si="35"/>
        <v>#DIV/0!</v>
      </c>
      <c r="AH139" s="18"/>
      <c r="AI139" s="18"/>
      <c r="AJ139" s="18"/>
      <c r="AK139" s="18"/>
      <c r="AL139" s="18"/>
      <c r="AM139" s="18"/>
      <c r="AN139" s="18"/>
    </row>
    <row r="140" spans="2:40" ht="21.9" customHeight="1" x14ac:dyDescent="0.25">
      <c r="B140" s="680"/>
      <c r="C140" s="690"/>
      <c r="D140" s="690"/>
      <c r="E140" s="273" t="s">
        <v>333</v>
      </c>
      <c r="F140" s="273" t="s">
        <v>319</v>
      </c>
      <c r="G140" s="273" t="s">
        <v>308</v>
      </c>
      <c r="H140" s="568">
        <f t="shared" ref="H140:AG140" si="36">H56/H100</f>
        <v>12529.704261412986</v>
      </c>
      <c r="I140" s="568">
        <f t="shared" si="36"/>
        <v>12723.623944029818</v>
      </c>
      <c r="J140" s="568">
        <f t="shared" si="36"/>
        <v>13042.353021208481</v>
      </c>
      <c r="K140" s="568">
        <f t="shared" si="36"/>
        <v>14127.077756612052</v>
      </c>
      <c r="L140" s="568">
        <f t="shared" si="36"/>
        <v>15215.882814682158</v>
      </c>
      <c r="M140" s="568">
        <f t="shared" si="36"/>
        <v>16313.584533003501</v>
      </c>
      <c r="N140" s="568">
        <f t="shared" si="36"/>
        <v>17423.97567112133</v>
      </c>
      <c r="O140" s="568">
        <f t="shared" si="36"/>
        <v>18560.724632776702</v>
      </c>
      <c r="P140" s="568">
        <f t="shared" si="36"/>
        <v>19965.473399795999</v>
      </c>
      <c r="Q140" s="568">
        <f t="shared" si="36"/>
        <v>21481.343291697653</v>
      </c>
      <c r="R140" s="568">
        <f t="shared" si="36"/>
        <v>23193.89336627454</v>
      </c>
      <c r="S140" s="568">
        <f t="shared" si="36"/>
        <v>25239.053528730939</v>
      </c>
      <c r="T140" s="568">
        <f t="shared" si="36"/>
        <v>27838.19623911841</v>
      </c>
      <c r="U140" s="568">
        <f t="shared" si="36"/>
        <v>29115.265902315576</v>
      </c>
      <c r="V140" s="568">
        <f t="shared" si="36"/>
        <v>29634.371722467629</v>
      </c>
      <c r="W140" s="568">
        <f t="shared" si="36"/>
        <v>30179.074367035839</v>
      </c>
      <c r="X140" s="568">
        <f t="shared" si="36"/>
        <v>30751.171543728167</v>
      </c>
      <c r="Y140" s="568">
        <f t="shared" si="36"/>
        <v>31353.791635042395</v>
      </c>
      <c r="Z140" s="568">
        <f t="shared" si="36"/>
        <v>31986.586477675341</v>
      </c>
      <c r="AA140" s="568">
        <f t="shared" si="36"/>
        <v>32654.217661321996</v>
      </c>
      <c r="AB140" s="568">
        <f t="shared" si="36"/>
        <v>33356.334962406996</v>
      </c>
      <c r="AC140" s="568">
        <f t="shared" si="36"/>
        <v>34096.639636507403</v>
      </c>
      <c r="AD140" s="568">
        <f t="shared" si="36"/>
        <v>34879.279932921716</v>
      </c>
      <c r="AE140" s="568">
        <f t="shared" si="36"/>
        <v>35703.885677383638</v>
      </c>
      <c r="AF140" s="568">
        <f t="shared" si="36"/>
        <v>36574.833367938489</v>
      </c>
      <c r="AG140" s="705">
        <f t="shared" si="36"/>
        <v>37497.034546531453</v>
      </c>
      <c r="AH140" s="18"/>
      <c r="AI140" s="18"/>
      <c r="AJ140" s="18"/>
      <c r="AK140" s="18"/>
      <c r="AL140" s="18"/>
      <c r="AM140" s="18"/>
      <c r="AN140" s="18"/>
    </row>
    <row r="141" spans="2:40" ht="21.9" customHeight="1" x14ac:dyDescent="0.25">
      <c r="B141" s="680"/>
      <c r="C141" s="690"/>
      <c r="D141" s="690"/>
      <c r="E141" s="114" t="s">
        <v>319</v>
      </c>
      <c r="F141" s="114" t="s">
        <v>276</v>
      </c>
      <c r="G141" s="114" t="s">
        <v>333</v>
      </c>
      <c r="H141" s="552">
        <f t="shared" ref="H141:AG141" si="37">H57/H101</f>
        <v>25675.846050620508</v>
      </c>
      <c r="I141" s="552">
        <f t="shared" si="37"/>
        <v>26630.604420043805</v>
      </c>
      <c r="J141" s="552">
        <f t="shared" si="37"/>
        <v>27646.934648344675</v>
      </c>
      <c r="K141" s="552">
        <f t="shared" si="37"/>
        <v>29901.621069411998</v>
      </c>
      <c r="L141" s="552">
        <f t="shared" si="37"/>
        <v>32156.887754852032</v>
      </c>
      <c r="M141" s="552">
        <f t="shared" si="37"/>
        <v>34413.416408038509</v>
      </c>
      <c r="N141" s="552">
        <f t="shared" si="37"/>
        <v>36668.20177404851</v>
      </c>
      <c r="O141" s="552">
        <f t="shared" si="37"/>
        <v>38925.059823827651</v>
      </c>
      <c r="P141" s="552">
        <f t="shared" si="37"/>
        <v>41959.472398236016</v>
      </c>
      <c r="Q141" s="552">
        <f t="shared" si="37"/>
        <v>44994.599416161887</v>
      </c>
      <c r="R141" s="552">
        <f t="shared" si="37"/>
        <v>48030.69204859664</v>
      </c>
      <c r="S141" s="552">
        <f t="shared" si="37"/>
        <v>51068.746476661916</v>
      </c>
      <c r="T141" s="552">
        <f t="shared" si="37"/>
        <v>54113.029967094619</v>
      </c>
      <c r="U141" s="552">
        <f t="shared" si="37"/>
        <v>55914.107551927955</v>
      </c>
      <c r="V141" s="552">
        <f t="shared" si="37"/>
        <v>56873.603179535152</v>
      </c>
      <c r="W141" s="552">
        <f t="shared" si="37"/>
        <v>57833.965401995243</v>
      </c>
      <c r="X141" s="552">
        <f t="shared" si="37"/>
        <v>58795.334312340456</v>
      </c>
      <c r="Y141" s="552">
        <f t="shared" si="37"/>
        <v>59758.387831923021</v>
      </c>
      <c r="Z141" s="552">
        <f t="shared" si="37"/>
        <v>60722.272705841511</v>
      </c>
      <c r="AA141" s="552">
        <f t="shared" si="37"/>
        <v>61688.232935111657</v>
      </c>
      <c r="AB141" s="552">
        <f t="shared" si="37"/>
        <v>62655.464761072755</v>
      </c>
      <c r="AC141" s="552">
        <f t="shared" si="37"/>
        <v>63624.752635134282</v>
      </c>
      <c r="AD141" s="552">
        <f t="shared" si="37"/>
        <v>64596.919946371811</v>
      </c>
      <c r="AE141" s="552">
        <f t="shared" si="37"/>
        <v>65571.260076049686</v>
      </c>
      <c r="AF141" s="552">
        <f t="shared" si="37"/>
        <v>66548.675944490533</v>
      </c>
      <c r="AG141" s="700">
        <f t="shared" si="37"/>
        <v>67530.124298215072</v>
      </c>
      <c r="AH141" s="18"/>
      <c r="AI141" s="18"/>
      <c r="AJ141" s="18"/>
      <c r="AK141" s="18"/>
      <c r="AL141" s="18"/>
      <c r="AM141" s="18"/>
      <c r="AN141" s="18"/>
    </row>
    <row r="142" spans="2:40" ht="21.9" customHeight="1" x14ac:dyDescent="0.25">
      <c r="B142" s="680"/>
      <c r="C142" s="690"/>
      <c r="D142" s="690"/>
      <c r="E142" s="114"/>
      <c r="F142" s="114" t="s">
        <v>333</v>
      </c>
      <c r="G142" s="114" t="s">
        <v>323</v>
      </c>
      <c r="H142" s="552">
        <f t="shared" ref="H142:AG142" si="38">H58/H102</f>
        <v>3739.3436205696348</v>
      </c>
      <c r="I142" s="552">
        <f t="shared" si="38"/>
        <v>3872.4101494460406</v>
      </c>
      <c r="J142" s="552">
        <f t="shared" si="38"/>
        <v>4017.2261003763497</v>
      </c>
      <c r="K142" s="552">
        <f t="shared" si="38"/>
        <v>4294.0999906061761</v>
      </c>
      <c r="L142" s="552">
        <f t="shared" si="38"/>
        <v>4571.0822145492803</v>
      </c>
      <c r="M142" s="552">
        <f t="shared" si="38"/>
        <v>4848.1039567549333</v>
      </c>
      <c r="N142" s="552">
        <f t="shared" si="38"/>
        <v>5124.978358380793</v>
      </c>
      <c r="O142" s="552">
        <f t="shared" si="38"/>
        <v>5402.084446329307</v>
      </c>
      <c r="P142" s="552">
        <f t="shared" si="38"/>
        <v>5782.2700971108543</v>
      </c>
      <c r="Q142" s="552">
        <f t="shared" si="38"/>
        <v>6162.5320096025025</v>
      </c>
      <c r="R142" s="552">
        <f t="shared" si="38"/>
        <v>6542.6752612927103</v>
      </c>
      <c r="S142" s="552">
        <f t="shared" si="38"/>
        <v>6922.8751454209023</v>
      </c>
      <c r="T142" s="552">
        <f t="shared" si="38"/>
        <v>7303.3825957529489</v>
      </c>
      <c r="U142" s="552">
        <f t="shared" si="38"/>
        <v>7551.3646861306352</v>
      </c>
      <c r="V142" s="552">
        <f t="shared" si="38"/>
        <v>7684.4513006566558</v>
      </c>
      <c r="W142" s="552">
        <f t="shared" si="38"/>
        <v>7817.541715511542</v>
      </c>
      <c r="X142" s="552">
        <f t="shared" si="38"/>
        <v>7950.6365654313022</v>
      </c>
      <c r="Y142" s="552">
        <f t="shared" si="38"/>
        <v>8083.7857930316077</v>
      </c>
      <c r="Z142" s="552">
        <f t="shared" si="38"/>
        <v>8216.8918014680567</v>
      </c>
      <c r="AA142" s="552">
        <f t="shared" si="38"/>
        <v>8350.0539729420088</v>
      </c>
      <c r="AB142" s="552">
        <f t="shared" si="38"/>
        <v>8483.1749492747222</v>
      </c>
      <c r="AC142" s="552">
        <f t="shared" si="38"/>
        <v>8616.3051745580196</v>
      </c>
      <c r="AD142" s="552">
        <f t="shared" si="38"/>
        <v>8749.4952706090244</v>
      </c>
      <c r="AE142" s="552">
        <f t="shared" si="38"/>
        <v>8882.6483522222716</v>
      </c>
      <c r="AF142" s="552">
        <f t="shared" si="38"/>
        <v>9015.8154232896559</v>
      </c>
      <c r="AG142" s="700">
        <f t="shared" si="38"/>
        <v>9149.0477347106407</v>
      </c>
      <c r="AH142" s="18"/>
      <c r="AI142" s="18"/>
      <c r="AJ142" s="18"/>
      <c r="AK142" s="18"/>
      <c r="AL142" s="18"/>
      <c r="AM142" s="18"/>
      <c r="AN142" s="18"/>
    </row>
    <row r="143" spans="2:40" ht="21.9" customHeight="1" x14ac:dyDescent="0.25">
      <c r="B143" s="680"/>
      <c r="C143" s="690"/>
      <c r="D143" s="690"/>
      <c r="E143" s="114"/>
      <c r="F143" s="114" t="s">
        <v>323</v>
      </c>
      <c r="G143" s="114" t="s">
        <v>322</v>
      </c>
      <c r="H143" s="552">
        <f t="shared" ref="H143:AG143" si="39">H59/H103</f>
        <v>1126.3022722112501</v>
      </c>
      <c r="I143" s="552">
        <f t="shared" si="39"/>
        <v>1166.3823461599536</v>
      </c>
      <c r="J143" s="552">
        <f t="shared" si="39"/>
        <v>1210.0013892420504</v>
      </c>
      <c r="K143" s="552">
        <f t="shared" si="39"/>
        <v>1293.3967413406501</v>
      </c>
      <c r="L143" s="552">
        <f t="shared" si="39"/>
        <v>1376.8247703116069</v>
      </c>
      <c r="M143" s="552">
        <f t="shared" si="39"/>
        <v>1460.2647835436005</v>
      </c>
      <c r="N143" s="552">
        <f t="shared" si="39"/>
        <v>1543.6605546999444</v>
      </c>
      <c r="O143" s="552">
        <f t="shared" si="39"/>
        <v>1627.1263372159647</v>
      </c>
      <c r="P143" s="552">
        <f t="shared" si="39"/>
        <v>1741.6408452826922</v>
      </c>
      <c r="Q143" s="552">
        <f t="shared" si="39"/>
        <v>1856.1795978974576</v>
      </c>
      <c r="R143" s="552">
        <f t="shared" si="39"/>
        <v>1970.6848606742806</v>
      </c>
      <c r="S143" s="552">
        <f t="shared" si="39"/>
        <v>2085.2110320972415</v>
      </c>
      <c r="T143" s="552">
        <f t="shared" si="39"/>
        <v>2199.8362461764809</v>
      </c>
      <c r="U143" s="552">
        <f t="shared" si="39"/>
        <v>2274.5443612408449</v>
      </c>
      <c r="V143" s="552">
        <f t="shared" si="39"/>
        <v>2314.6408941497975</v>
      </c>
      <c r="W143" s="552">
        <f t="shared" si="39"/>
        <v>2354.7405411956061</v>
      </c>
      <c r="X143" s="552">
        <f t="shared" si="39"/>
        <v>2394.8438225055697</v>
      </c>
      <c r="Y143" s="552">
        <f t="shared" si="39"/>
        <v>2434.9661648259839</v>
      </c>
      <c r="Z143" s="552">
        <f t="shared" si="39"/>
        <v>2475.0785898572726</v>
      </c>
      <c r="AA143" s="552">
        <f t="shared" si="39"/>
        <v>2515.2115388897346</v>
      </c>
      <c r="AB143" s="552">
        <f t="shared" si="39"/>
        <v>2555.336229195701</v>
      </c>
      <c r="AC143" s="552">
        <f t="shared" si="39"/>
        <v>2595.4684984504643</v>
      </c>
      <c r="AD143" s="552">
        <f t="shared" si="39"/>
        <v>2635.6243299643256</v>
      </c>
      <c r="AE143" s="552">
        <f t="shared" si="39"/>
        <v>2675.77532858226</v>
      </c>
      <c r="AF143" s="552">
        <f t="shared" si="39"/>
        <v>2715.9377907014455</v>
      </c>
      <c r="AG143" s="700">
        <f t="shared" si="39"/>
        <v>2756.128215126655</v>
      </c>
      <c r="AH143" s="18"/>
      <c r="AI143" s="18"/>
      <c r="AJ143" s="18"/>
      <c r="AK143" s="18"/>
      <c r="AL143" s="18"/>
      <c r="AM143" s="18"/>
      <c r="AN143" s="18"/>
    </row>
    <row r="144" spans="2:40" ht="21.9" customHeight="1" x14ac:dyDescent="0.25">
      <c r="B144" s="680"/>
      <c r="C144" s="690"/>
      <c r="D144" s="690"/>
      <c r="E144" s="114"/>
      <c r="F144" s="114" t="s">
        <v>322</v>
      </c>
      <c r="G144" s="114" t="s">
        <v>326</v>
      </c>
      <c r="H144" s="552">
        <f t="shared" ref="H144:AG144" si="40">H60/H104</f>
        <v>2889.854434858918</v>
      </c>
      <c r="I144" s="552">
        <f t="shared" si="40"/>
        <v>2989.3762086060724</v>
      </c>
      <c r="J144" s="552">
        <f t="shared" si="40"/>
        <v>3100.4092380029324</v>
      </c>
      <c r="K144" s="552">
        <f t="shared" si="40"/>
        <v>3294.3714676492018</v>
      </c>
      <c r="L144" s="552">
        <f t="shared" si="40"/>
        <v>3488.4493050496008</v>
      </c>
      <c r="M144" s="552">
        <f t="shared" si="40"/>
        <v>3682.4597351537927</v>
      </c>
      <c r="N144" s="552">
        <f t="shared" si="40"/>
        <v>3876.4220377820966</v>
      </c>
      <c r="O144" s="552">
        <f t="shared" si="40"/>
        <v>4070.5818722618924</v>
      </c>
      <c r="P144" s="552">
        <f t="shared" si="40"/>
        <v>4320.6413064932512</v>
      </c>
      <c r="Q144" s="552">
        <f t="shared" si="40"/>
        <v>4570.8406758992651</v>
      </c>
      <c r="R144" s="552">
        <f t="shared" si="40"/>
        <v>4820.8526323102196</v>
      </c>
      <c r="S144" s="552">
        <f t="shared" si="40"/>
        <v>5070.9134431143566</v>
      </c>
      <c r="T144" s="552">
        <f t="shared" si="40"/>
        <v>5321.1872655867792</v>
      </c>
      <c r="U144" s="552">
        <f t="shared" si="40"/>
        <v>5488.1898884391048</v>
      </c>
      <c r="V144" s="552">
        <f t="shared" si="40"/>
        <v>5587.7137458416119</v>
      </c>
      <c r="W144" s="552">
        <f t="shared" si="40"/>
        <v>5687.238010094321</v>
      </c>
      <c r="X144" s="552">
        <f t="shared" si="40"/>
        <v>5786.7627512275776</v>
      </c>
      <c r="Y144" s="552">
        <f t="shared" si="40"/>
        <v>5886.3458491061392</v>
      </c>
      <c r="Z144" s="552">
        <f t="shared" si="40"/>
        <v>5985.8717979251796</v>
      </c>
      <c r="AA144" s="552">
        <f t="shared" si="40"/>
        <v>6085.4563026584183</v>
      </c>
      <c r="AB144" s="552">
        <f t="shared" si="40"/>
        <v>6184.9838843151547</v>
      </c>
      <c r="AC144" s="552">
        <f t="shared" si="40"/>
        <v>6284.5124803694916</v>
      </c>
      <c r="AD144" s="552">
        <f t="shared" si="40"/>
        <v>6384.100049593445</v>
      </c>
      <c r="AE144" s="552">
        <f t="shared" si="40"/>
        <v>6483.6311664296991</v>
      </c>
      <c r="AF144" s="552">
        <f t="shared" si="40"/>
        <v>6583.1638336938149</v>
      </c>
      <c r="AG144" s="700">
        <f t="shared" si="40"/>
        <v>6682.756084147567</v>
      </c>
      <c r="AH144" s="18"/>
      <c r="AI144" s="18"/>
      <c r="AJ144" s="18"/>
      <c r="AK144" s="18"/>
      <c r="AL144" s="18"/>
      <c r="AM144" s="18"/>
      <c r="AN144" s="18"/>
    </row>
    <row r="145" spans="2:40" ht="21.9" customHeight="1" x14ac:dyDescent="0.25">
      <c r="B145" s="680"/>
      <c r="C145" s="690"/>
      <c r="D145" s="690"/>
      <c r="E145" s="114"/>
      <c r="F145" s="114" t="s">
        <v>326</v>
      </c>
      <c r="G145" s="114" t="s">
        <v>274</v>
      </c>
      <c r="H145" s="552">
        <f t="shared" ref="H145:AG145" si="41">H61/H105</f>
        <v>19701.036774591448</v>
      </c>
      <c r="I145" s="552">
        <f t="shared" si="41"/>
        <v>20379.507654653884</v>
      </c>
      <c r="J145" s="552">
        <f t="shared" si="41"/>
        <v>21136.454336591494</v>
      </c>
      <c r="K145" s="552">
        <f t="shared" si="41"/>
        <v>22458.755130943337</v>
      </c>
      <c r="L145" s="552">
        <f t="shared" si="41"/>
        <v>23781.844000787507</v>
      </c>
      <c r="M145" s="552">
        <f t="shared" si="41"/>
        <v>25104.473236507714</v>
      </c>
      <c r="N145" s="552">
        <f t="shared" si="41"/>
        <v>26426.774213742046</v>
      </c>
      <c r="O145" s="552">
        <f t="shared" si="41"/>
        <v>27750.421574994481</v>
      </c>
      <c r="P145" s="552">
        <f t="shared" si="41"/>
        <v>29455.153113989938</v>
      </c>
      <c r="Q145" s="552">
        <f t="shared" si="41"/>
        <v>31160.837518471326</v>
      </c>
      <c r="R145" s="552">
        <f t="shared" si="41"/>
        <v>32865.24242692424</v>
      </c>
      <c r="S145" s="552">
        <f t="shared" si="41"/>
        <v>34569.977415413377</v>
      </c>
      <c r="T145" s="552">
        <f t="shared" si="41"/>
        <v>36276.159875501304</v>
      </c>
      <c r="U145" s="552">
        <f t="shared" si="41"/>
        <v>37414.656850472136</v>
      </c>
      <c r="V145" s="552">
        <f t="shared" si="41"/>
        <v>38093.132951875632</v>
      </c>
      <c r="W145" s="552">
        <f t="shared" si="41"/>
        <v>38771.610072787305</v>
      </c>
      <c r="X145" s="552">
        <f t="shared" si="41"/>
        <v>39450.088388693155</v>
      </c>
      <c r="Y145" s="552">
        <f t="shared" si="41"/>
        <v>40128.962127753584</v>
      </c>
      <c r="Z145" s="552">
        <f t="shared" si="41"/>
        <v>40807.443469946542</v>
      </c>
      <c r="AA145" s="552">
        <f t="shared" si="41"/>
        <v>41486.320734382738</v>
      </c>
      <c r="AB145" s="552">
        <f t="shared" si="41"/>
        <v>42164.806168232484</v>
      </c>
      <c r="AC145" s="552">
        <f t="shared" si="41"/>
        <v>42843.294144016938</v>
      </c>
      <c r="AD145" s="552">
        <f t="shared" si="41"/>
        <v>43522.179087626755</v>
      </c>
      <c r="AE145" s="552">
        <f t="shared" si="41"/>
        <v>44200.673380128661</v>
      </c>
      <c r="AF145" s="552">
        <f t="shared" si="41"/>
        <v>44879.171557780122</v>
      </c>
      <c r="AG145" s="700">
        <f t="shared" si="41"/>
        <v>45558.068231879515</v>
      </c>
      <c r="AH145" s="18"/>
      <c r="AI145" s="18"/>
      <c r="AJ145" s="18"/>
      <c r="AK145" s="18"/>
      <c r="AL145" s="18"/>
      <c r="AM145" s="18"/>
      <c r="AN145" s="18"/>
    </row>
    <row r="146" spans="2:40" ht="21.9" customHeight="1" thickBot="1" x14ac:dyDescent="0.3">
      <c r="B146" s="680"/>
      <c r="C146" s="690"/>
      <c r="D146" s="690"/>
      <c r="E146" s="114"/>
      <c r="F146" s="114" t="s">
        <v>274</v>
      </c>
      <c r="G146" s="114" t="s">
        <v>317</v>
      </c>
      <c r="H146" s="552">
        <f t="shared" ref="H146:AG146" si="42">H62/H106</f>
        <v>492.027820512858</v>
      </c>
      <c r="I146" s="552">
        <f t="shared" si="42"/>
        <v>508.97279714201932</v>
      </c>
      <c r="J146" s="552">
        <f t="shared" si="42"/>
        <v>527.87790911190757</v>
      </c>
      <c r="K146" s="552">
        <f t="shared" si="42"/>
        <v>560.90370860613029</v>
      </c>
      <c r="L146" s="552">
        <f t="shared" si="42"/>
        <v>593.95060645621936</v>
      </c>
      <c r="M146" s="552">
        <f t="shared" si="42"/>
        <v>626.98838705577396</v>
      </c>
      <c r="N146" s="552">
        <f t="shared" si="42"/>
        <v>660.02180496988103</v>
      </c>
      <c r="O146" s="552">
        <f t="shared" si="42"/>
        <v>693.09494781830756</v>
      </c>
      <c r="P146" s="552">
        <f t="shared" si="42"/>
        <v>735.70456126499721</v>
      </c>
      <c r="Q146" s="552">
        <f t="shared" si="42"/>
        <v>778.36497960361851</v>
      </c>
      <c r="R146" s="552">
        <f t="shared" si="42"/>
        <v>821.03804634680375</v>
      </c>
      <c r="S146" s="552">
        <f t="shared" si="42"/>
        <v>863.79135693197065</v>
      </c>
      <c r="T146" s="552">
        <f t="shared" si="42"/>
        <v>906.69442867759494</v>
      </c>
      <c r="U146" s="552">
        <f t="shared" si="42"/>
        <v>935.41511740731323</v>
      </c>
      <c r="V146" s="552">
        <f t="shared" si="42"/>
        <v>952.57760183350115</v>
      </c>
      <c r="W146" s="552">
        <f t="shared" si="42"/>
        <v>969.78255637896496</v>
      </c>
      <c r="X146" s="552">
        <f t="shared" si="42"/>
        <v>987.03729134362607</v>
      </c>
      <c r="Y146" s="552">
        <f t="shared" si="42"/>
        <v>1004.3602880791092</v>
      </c>
      <c r="Z146" s="552">
        <f t="shared" si="42"/>
        <v>1021.7410904736724</v>
      </c>
      <c r="AA146" s="552">
        <f t="shared" si="42"/>
        <v>1039.2109454029303</v>
      </c>
      <c r="AB146" s="552">
        <f t="shared" si="42"/>
        <v>1056.7621958175703</v>
      </c>
      <c r="AC146" s="552">
        <f t="shared" si="42"/>
        <v>1074.4193367709288</v>
      </c>
      <c r="AD146" s="552">
        <f t="shared" si="42"/>
        <v>1092.2090865539292</v>
      </c>
      <c r="AE146" s="552">
        <f t="shared" si="42"/>
        <v>1110.1293659003995</v>
      </c>
      <c r="AF146" s="552">
        <f t="shared" si="42"/>
        <v>1128.2114907020261</v>
      </c>
      <c r="AG146" s="700">
        <f t="shared" si="42"/>
        <v>1146.4899028635186</v>
      </c>
      <c r="AH146" s="18"/>
      <c r="AI146" s="18"/>
      <c r="AJ146" s="18"/>
      <c r="AK146" s="18"/>
      <c r="AL146" s="18"/>
      <c r="AM146" s="18"/>
      <c r="AN146" s="18"/>
    </row>
    <row r="147" spans="2:40" ht="21.9" customHeight="1" thickBot="1" x14ac:dyDescent="0.3">
      <c r="B147" s="682"/>
      <c r="C147" s="706"/>
      <c r="D147" s="706"/>
      <c r="E147" s="707" t="s">
        <v>25</v>
      </c>
      <c r="F147" s="707"/>
      <c r="G147" s="707"/>
      <c r="H147" s="708">
        <f t="shared" ref="H147:AG147" si="43">SUM(H127:H138,H140:H146)</f>
        <v>228086.43690741912</v>
      </c>
      <c r="I147" s="708">
        <f t="shared" si="43"/>
        <v>241485.03087640356</v>
      </c>
      <c r="J147" s="708">
        <f t="shared" si="43"/>
        <v>265595.43266333436</v>
      </c>
      <c r="K147" s="708">
        <f t="shared" si="43"/>
        <v>312256.89326409658</v>
      </c>
      <c r="L147" s="708">
        <f t="shared" si="43"/>
        <v>367251.86157332355</v>
      </c>
      <c r="M147" s="708">
        <f t="shared" si="43"/>
        <v>464309.04086401861</v>
      </c>
      <c r="N147" s="708">
        <f t="shared" si="43"/>
        <v>736631.88115026103</v>
      </c>
      <c r="O147" s="708">
        <f t="shared" si="43"/>
        <v>839666.22532116272</v>
      </c>
      <c r="P147" s="708">
        <f t="shared" si="43"/>
        <v>1008691.9523551837</v>
      </c>
      <c r="Q147" s="708">
        <f t="shared" si="43"/>
        <v>1201856.416491006</v>
      </c>
      <c r="R147" s="708">
        <f t="shared" si="43"/>
        <v>1420322.1589935054</v>
      </c>
      <c r="S147" s="708">
        <f t="shared" si="43"/>
        <v>1552576.5466330464</v>
      </c>
      <c r="T147" s="708">
        <f t="shared" si="43"/>
        <v>1716763.8641531183</v>
      </c>
      <c r="U147" s="708">
        <f t="shared" si="43"/>
        <v>1793984.2840528621</v>
      </c>
      <c r="V147" s="708">
        <f t="shared" si="43"/>
        <v>1827605.3615542371</v>
      </c>
      <c r="W147" s="708">
        <f t="shared" si="43"/>
        <v>1861418.8279247892</v>
      </c>
      <c r="X147" s="708">
        <f t="shared" si="43"/>
        <v>1895452.6698918219</v>
      </c>
      <c r="Y147" s="708">
        <f t="shared" si="43"/>
        <v>1929782.0327551493</v>
      </c>
      <c r="Z147" s="708">
        <f t="shared" si="43"/>
        <v>1964386.1504463092</v>
      </c>
      <c r="AA147" s="708">
        <f t="shared" si="43"/>
        <v>1999389.9626713903</v>
      </c>
      <c r="AB147" s="708">
        <f t="shared" si="43"/>
        <v>2034788.9358757341</v>
      </c>
      <c r="AC147" s="708">
        <f t="shared" si="43"/>
        <v>2070693.3707347335</v>
      </c>
      <c r="AD147" s="708">
        <f t="shared" si="43"/>
        <v>2107220.5302042551</v>
      </c>
      <c r="AE147" s="708">
        <f t="shared" si="43"/>
        <v>2144413.4084714344</v>
      </c>
      <c r="AF147" s="708">
        <f t="shared" si="43"/>
        <v>2182418.2260107836</v>
      </c>
      <c r="AG147" s="709">
        <f t="shared" si="43"/>
        <v>2221408.117877651</v>
      </c>
      <c r="AH147" s="18"/>
      <c r="AI147" s="18"/>
      <c r="AJ147" s="18"/>
      <c r="AK147" s="18"/>
      <c r="AL147" s="18"/>
      <c r="AM147" s="18"/>
      <c r="AN147" s="18"/>
    </row>
    <row r="148" spans="2:40" ht="21.9" customHeight="1" x14ac:dyDescent="0.25">
      <c r="B148" s="179" t="s">
        <v>210</v>
      </c>
      <c r="C148" s="114" t="s">
        <v>156</v>
      </c>
      <c r="D148" s="237" t="s">
        <v>443</v>
      </c>
      <c r="E148" s="1325" t="s">
        <v>315</v>
      </c>
      <c r="F148" s="217" t="s">
        <v>316</v>
      </c>
      <c r="G148" s="217" t="s">
        <v>276</v>
      </c>
      <c r="H148" s="701">
        <f t="shared" ref="H148:AG148" si="44">H64/H107</f>
        <v>5194.0039010348337</v>
      </c>
      <c r="I148" s="701">
        <f t="shared" si="44"/>
        <v>5432.9605430068168</v>
      </c>
      <c r="J148" s="701">
        <f t="shared" si="44"/>
        <v>5768.509426418932</v>
      </c>
      <c r="K148" s="701">
        <f t="shared" si="44"/>
        <v>6260.7549152413967</v>
      </c>
      <c r="L148" s="701">
        <f t="shared" si="44"/>
        <v>6753.1789486912949</v>
      </c>
      <c r="M148" s="701">
        <f t="shared" si="44"/>
        <v>7245.619214733113</v>
      </c>
      <c r="N148" s="701">
        <f t="shared" si="44"/>
        <v>7737.8647082318948</v>
      </c>
      <c r="O148" s="701">
        <f t="shared" si="44"/>
        <v>8230.4835256232236</v>
      </c>
      <c r="P148" s="701">
        <f t="shared" si="44"/>
        <v>8717.2915598712607</v>
      </c>
      <c r="Q148" s="701">
        <f t="shared" si="44"/>
        <v>9204.1969963237643</v>
      </c>
      <c r="R148" s="701">
        <f t="shared" si="44"/>
        <v>9691.0050698820341</v>
      </c>
      <c r="S148" s="701">
        <f t="shared" si="44"/>
        <v>10177.81318349182</v>
      </c>
      <c r="T148" s="701">
        <f t="shared" si="44"/>
        <v>10665.010910875239</v>
      </c>
      <c r="U148" s="701">
        <f t="shared" si="44"/>
        <v>10994.927797073247</v>
      </c>
      <c r="V148" s="701">
        <f t="shared" si="44"/>
        <v>11233.884685704161</v>
      </c>
      <c r="W148" s="701">
        <f t="shared" si="44"/>
        <v>11472.841563640613</v>
      </c>
      <c r="X148" s="701">
        <f t="shared" si="44"/>
        <v>11711.798497373038</v>
      </c>
      <c r="Y148" s="701">
        <f t="shared" si="44"/>
        <v>11950.852886094477</v>
      </c>
      <c r="Z148" s="701">
        <f t="shared" si="44"/>
        <v>12189.809968517106</v>
      </c>
      <c r="AA148" s="701">
        <f t="shared" si="44"/>
        <v>12428.864535626053</v>
      </c>
      <c r="AB148" s="701">
        <f t="shared" si="44"/>
        <v>12667.821831568843</v>
      </c>
      <c r="AC148" s="701">
        <f t="shared" si="44"/>
        <v>12906.779265580453</v>
      </c>
      <c r="AD148" s="701">
        <f t="shared" si="44"/>
        <v>13145.834251284306</v>
      </c>
      <c r="AE148" s="701">
        <f t="shared" si="44"/>
        <v>13384.792043915671</v>
      </c>
      <c r="AF148" s="701">
        <f t="shared" si="44"/>
        <v>13623.750064995862</v>
      </c>
      <c r="AG148" s="702">
        <f t="shared" si="44"/>
        <v>13862.805742740975</v>
      </c>
      <c r="AH148" s="18"/>
      <c r="AI148" s="18"/>
      <c r="AJ148" s="18"/>
      <c r="AK148" s="18"/>
      <c r="AL148" s="18"/>
      <c r="AM148" s="18"/>
      <c r="AN148" s="18"/>
    </row>
    <row r="149" spans="2:40" ht="21.9" customHeight="1" x14ac:dyDescent="0.25">
      <c r="B149" s="680" t="s">
        <v>450</v>
      </c>
      <c r="C149" s="690"/>
      <c r="D149" s="690"/>
      <c r="E149" s="1327"/>
      <c r="F149" s="114" t="s">
        <v>276</v>
      </c>
      <c r="G149" s="114" t="s">
        <v>274</v>
      </c>
      <c r="H149" s="552">
        <f t="shared" ref="H149:AG149" si="45">H65/H108</f>
        <v>167015.02824419696</v>
      </c>
      <c r="I149" s="552">
        <f t="shared" si="45"/>
        <v>176267.04223474677</v>
      </c>
      <c r="J149" s="552">
        <f t="shared" si="45"/>
        <v>186996.21136505678</v>
      </c>
      <c r="K149" s="552">
        <f t="shared" si="45"/>
        <v>207016.36466050404</v>
      </c>
      <c r="L149" s="552">
        <f t="shared" si="45"/>
        <v>227043.94085394067</v>
      </c>
      <c r="M149" s="552">
        <f t="shared" si="45"/>
        <v>247075.22850905397</v>
      </c>
      <c r="N149" s="552">
        <f t="shared" si="45"/>
        <v>267095.38186649414</v>
      </c>
      <c r="O149" s="552">
        <f t="shared" si="45"/>
        <v>287134.71110273921</v>
      </c>
      <c r="P149" s="552">
        <f t="shared" si="45"/>
        <v>310889.19702142949</v>
      </c>
      <c r="Q149" s="552">
        <f t="shared" si="45"/>
        <v>334650.4877216547</v>
      </c>
      <c r="R149" s="552">
        <f t="shared" si="45"/>
        <v>358404.97498208884</v>
      </c>
      <c r="S149" s="552">
        <f t="shared" si="45"/>
        <v>382159.46392619278</v>
      </c>
      <c r="T149" s="552">
        <f t="shared" si="45"/>
        <v>405937.46178840991</v>
      </c>
      <c r="U149" s="552">
        <f t="shared" si="45"/>
        <v>420389.22172454832</v>
      </c>
      <c r="V149" s="552">
        <f t="shared" si="45"/>
        <v>429641.24658504489</v>
      </c>
      <c r="W149" s="552">
        <f t="shared" si="45"/>
        <v>438893.27003121248</v>
      </c>
      <c r="X149" s="552">
        <f t="shared" si="45"/>
        <v>448145.29574383667</v>
      </c>
      <c r="Y149" s="552">
        <f t="shared" si="45"/>
        <v>457403.50994340028</v>
      </c>
      <c r="Z149" s="552">
        <f t="shared" si="45"/>
        <v>466655.54172184708</v>
      </c>
      <c r="AA149" s="552">
        <f t="shared" si="45"/>
        <v>475913.76321016578</v>
      </c>
      <c r="AB149" s="552">
        <f t="shared" si="45"/>
        <v>485165.8037330691</v>
      </c>
      <c r="AC149" s="552">
        <f t="shared" si="45"/>
        <v>494417.84991934046</v>
      </c>
      <c r="AD149" s="552">
        <f t="shared" si="45"/>
        <v>503676.08859964629</v>
      </c>
      <c r="AE149" s="552">
        <f t="shared" si="45"/>
        <v>512928.14956503181</v>
      </c>
      <c r="AF149" s="552">
        <f t="shared" si="45"/>
        <v>522180.21995199029</v>
      </c>
      <c r="AG149" s="700">
        <f t="shared" si="45"/>
        <v>531438.48721065558</v>
      </c>
      <c r="AH149" s="18"/>
      <c r="AI149" s="18"/>
      <c r="AJ149" s="18"/>
      <c r="AK149" s="18"/>
      <c r="AL149" s="18"/>
      <c r="AM149" s="18"/>
      <c r="AN149" s="18"/>
    </row>
    <row r="150" spans="2:40" ht="21.9" customHeight="1" x14ac:dyDescent="0.25">
      <c r="B150" s="680"/>
      <c r="C150" s="690"/>
      <c r="D150" s="690"/>
      <c r="E150" s="1327"/>
      <c r="F150" s="114" t="s">
        <v>274</v>
      </c>
      <c r="G150" s="114" t="s">
        <v>317</v>
      </c>
      <c r="H150" s="552">
        <f t="shared" ref="H150:AG150" si="46">H66/H109</f>
        <v>3895.5029256155972</v>
      </c>
      <c r="I150" s="552">
        <f t="shared" si="46"/>
        <v>4058.1726352844275</v>
      </c>
      <c r="J150" s="552">
        <f t="shared" si="46"/>
        <v>4259.5052114952878</v>
      </c>
      <c r="K150" s="552">
        <f t="shared" si="46"/>
        <v>4530.5672900801583</v>
      </c>
      <c r="L150" s="552">
        <f t="shared" si="46"/>
        <v>4801.7267562529623</v>
      </c>
      <c r="M150" s="552">
        <f t="shared" si="46"/>
        <v>5072.8537599226865</v>
      </c>
      <c r="N150" s="552">
        <f t="shared" si="46"/>
        <v>5343.9158385793935</v>
      </c>
      <c r="O150" s="552">
        <f t="shared" si="46"/>
        <v>5615.1726924407039</v>
      </c>
      <c r="P150" s="552">
        <f t="shared" si="46"/>
        <v>5877.9892900554332</v>
      </c>
      <c r="Q150" s="552">
        <f t="shared" si="46"/>
        <v>6140.9032753736719</v>
      </c>
      <c r="R150" s="552">
        <f t="shared" si="46"/>
        <v>6403.7198733230107</v>
      </c>
      <c r="S150" s="552">
        <f t="shared" si="46"/>
        <v>6666.5364715739097</v>
      </c>
      <c r="T150" s="552">
        <f t="shared" si="46"/>
        <v>6929.547845410144</v>
      </c>
      <c r="U150" s="552">
        <f t="shared" si="46"/>
        <v>7122.5375547347739</v>
      </c>
      <c r="V150" s="552">
        <f t="shared" si="46"/>
        <v>7285.2072663268782</v>
      </c>
      <c r="W150" s="552">
        <f t="shared" si="46"/>
        <v>7447.8769780997982</v>
      </c>
      <c r="X150" s="552">
        <f t="shared" si="46"/>
        <v>7610.5466903978568</v>
      </c>
      <c r="Y150" s="552">
        <f t="shared" si="46"/>
        <v>7773.2813283850783</v>
      </c>
      <c r="Z150" s="552">
        <f t="shared" si="46"/>
        <v>7935.9510421023888</v>
      </c>
      <c r="AA150" s="552">
        <f t="shared" si="46"/>
        <v>8098.6856818072511</v>
      </c>
      <c r="AB150" s="552">
        <f t="shared" si="46"/>
        <v>8261.3553975976629</v>
      </c>
      <c r="AC150" s="552">
        <f t="shared" si="46"/>
        <v>8424.0251147443705</v>
      </c>
      <c r="AD150" s="552">
        <f t="shared" si="46"/>
        <v>8586.7597585640651</v>
      </c>
      <c r="AE150" s="552">
        <f t="shared" si="46"/>
        <v>8749.4294792737346</v>
      </c>
      <c r="AF150" s="552">
        <f t="shared" si="46"/>
        <v>8912.0992022770606</v>
      </c>
      <c r="AG150" s="700">
        <f t="shared" si="46"/>
        <v>9074.8338530487999</v>
      </c>
      <c r="AH150" s="18"/>
      <c r="AI150" s="18"/>
      <c r="AJ150" s="18"/>
      <c r="AK150" s="18"/>
      <c r="AL150" s="18"/>
      <c r="AM150" s="18"/>
      <c r="AN150" s="18"/>
    </row>
    <row r="151" spans="2:40" ht="21.9" customHeight="1" x14ac:dyDescent="0.25">
      <c r="B151" s="680"/>
      <c r="C151" s="690"/>
      <c r="D151" s="690"/>
      <c r="E151" s="1325" t="s">
        <v>274</v>
      </c>
      <c r="F151" s="217" t="s">
        <v>275</v>
      </c>
      <c r="G151" s="217" t="s">
        <v>318</v>
      </c>
      <c r="H151" s="558">
        <f t="shared" ref="H151:AG151" si="47">H67/H110</f>
        <v>42707.576561745242</v>
      </c>
      <c r="I151" s="558">
        <f t="shared" si="47"/>
        <v>47367.507009338668</v>
      </c>
      <c r="J151" s="558">
        <f t="shared" si="47"/>
        <v>52288.808028258682</v>
      </c>
      <c r="K151" s="558">
        <f t="shared" si="47"/>
        <v>67521.853949209355</v>
      </c>
      <c r="L151" s="558">
        <f t="shared" si="47"/>
        <v>82762.602605641339</v>
      </c>
      <c r="M151" s="558">
        <f t="shared" si="47"/>
        <v>98007.5313500091</v>
      </c>
      <c r="N151" s="558">
        <f t="shared" si="47"/>
        <v>113241.39933420307</v>
      </c>
      <c r="O151" s="558">
        <f t="shared" si="47"/>
        <v>128499.21010360558</v>
      </c>
      <c r="P151" s="558">
        <f t="shared" si="47"/>
        <v>148983.56721280896</v>
      </c>
      <c r="Q151" s="558">
        <f t="shared" si="47"/>
        <v>169539.4576625186</v>
      </c>
      <c r="R151" s="558">
        <f t="shared" si="47"/>
        <v>190304.56544219423</v>
      </c>
      <c r="S151" s="558">
        <f t="shared" si="47"/>
        <v>211740.18998969835</v>
      </c>
      <c r="T151" s="558">
        <f t="shared" si="47"/>
        <v>235025.81240848999</v>
      </c>
      <c r="U151" s="558">
        <f t="shared" si="47"/>
        <v>251991.92358890033</v>
      </c>
      <c r="V151" s="558">
        <f t="shared" si="47"/>
        <v>262870.87091399799</v>
      </c>
      <c r="W151" s="558">
        <f t="shared" si="47"/>
        <v>271553.11151169444</v>
      </c>
      <c r="X151" s="558">
        <f t="shared" si="47"/>
        <v>281073.64116506465</v>
      </c>
      <c r="Y151" s="558">
        <f t="shared" si="47"/>
        <v>291594.94288566941</v>
      </c>
      <c r="Z151" s="558">
        <f t="shared" si="47"/>
        <v>303290.39888253791</v>
      </c>
      <c r="AA151" s="558">
        <f t="shared" si="47"/>
        <v>316363.64494694164</v>
      </c>
      <c r="AB151" s="558">
        <f t="shared" si="47"/>
        <v>331061.42195683147</v>
      </c>
      <c r="AC151" s="558">
        <f t="shared" si="47"/>
        <v>347638.24692023976</v>
      </c>
      <c r="AD151" s="558">
        <f t="shared" si="47"/>
        <v>366432.87537979661</v>
      </c>
      <c r="AE151" s="558">
        <f t="shared" si="47"/>
        <v>387814.45812702965</v>
      </c>
      <c r="AF151" s="558">
        <f t="shared" si="47"/>
        <v>412157.50254036754</v>
      </c>
      <c r="AG151" s="703">
        <f t="shared" si="47"/>
        <v>439967.06366008095</v>
      </c>
      <c r="AH151" s="18"/>
      <c r="AI151" s="18"/>
      <c r="AJ151" s="18"/>
      <c r="AK151" s="18"/>
      <c r="AL151" s="18"/>
      <c r="AM151" s="18"/>
      <c r="AN151" s="18"/>
    </row>
    <row r="152" spans="2:40" ht="21.9" customHeight="1" x14ac:dyDescent="0.25">
      <c r="B152" s="680"/>
      <c r="C152" s="690"/>
      <c r="D152" s="690"/>
      <c r="E152" s="1327"/>
      <c r="F152" s="114" t="s">
        <v>318</v>
      </c>
      <c r="G152" s="114" t="s">
        <v>308</v>
      </c>
      <c r="H152" s="552">
        <f t="shared" ref="H152:AG152" si="48">H68/H111</f>
        <v>5946.1818182585594</v>
      </c>
      <c r="I152" s="552">
        <f t="shared" si="48"/>
        <v>6736.3302788748188</v>
      </c>
      <c r="J152" s="552">
        <f t="shared" si="48"/>
        <v>7526.9742548837294</v>
      </c>
      <c r="K152" s="552">
        <f t="shared" si="48"/>
        <v>10202.062352906089</v>
      </c>
      <c r="L152" s="552">
        <f t="shared" si="48"/>
        <v>12877.695551891051</v>
      </c>
      <c r="M152" s="552">
        <f t="shared" si="48"/>
        <v>15555.757158740178</v>
      </c>
      <c r="N152" s="552">
        <f t="shared" si="48"/>
        <v>18230.848332921523</v>
      </c>
      <c r="O152" s="552">
        <f t="shared" si="48"/>
        <v>20908.479830652301</v>
      </c>
      <c r="P152" s="552">
        <f t="shared" si="48"/>
        <v>25019.89209613152</v>
      </c>
      <c r="Q152" s="552">
        <f t="shared" si="48"/>
        <v>29131.345628464536</v>
      </c>
      <c r="R152" s="552">
        <f t="shared" si="48"/>
        <v>33245.397529704576</v>
      </c>
      <c r="S152" s="552">
        <f t="shared" si="48"/>
        <v>37367.694764534266</v>
      </c>
      <c r="T152" s="552">
        <f t="shared" si="48"/>
        <v>41519.890627566871</v>
      </c>
      <c r="U152" s="552">
        <f t="shared" si="48"/>
        <v>43847.008826540725</v>
      </c>
      <c r="V152" s="552">
        <f t="shared" si="48"/>
        <v>44747.18817885215</v>
      </c>
      <c r="W152" s="552">
        <f t="shared" si="48"/>
        <v>45594.658612116385</v>
      </c>
      <c r="X152" s="552">
        <f t="shared" si="48"/>
        <v>46453.249380408895</v>
      </c>
      <c r="Y152" s="552">
        <f t="shared" si="48"/>
        <v>47325.366298345863</v>
      </c>
      <c r="Z152" s="552">
        <f t="shared" si="48"/>
        <v>48212.259491446923</v>
      </c>
      <c r="AA152" s="552">
        <f t="shared" si="48"/>
        <v>49117.333679526135</v>
      </c>
      <c r="AB152" s="552">
        <f t="shared" si="48"/>
        <v>50042.593215926019</v>
      </c>
      <c r="AC152" s="552">
        <f t="shared" si="48"/>
        <v>50991.667789312662</v>
      </c>
      <c r="AD152" s="552">
        <f t="shared" si="48"/>
        <v>51968.872668166114</v>
      </c>
      <c r="AE152" s="552">
        <f t="shared" si="48"/>
        <v>52977.579350774424</v>
      </c>
      <c r="AF152" s="552">
        <f t="shared" si="48"/>
        <v>54022.865947645892</v>
      </c>
      <c r="AG152" s="700">
        <f t="shared" si="48"/>
        <v>55110.81878093502</v>
      </c>
      <c r="AH152" s="18"/>
      <c r="AI152" s="18"/>
      <c r="AJ152" s="18"/>
      <c r="AK152" s="18"/>
      <c r="AL152" s="18"/>
      <c r="AM152" s="18"/>
      <c r="AN152" s="18"/>
    </row>
    <row r="153" spans="2:40" ht="21.9" customHeight="1" x14ac:dyDescent="0.25">
      <c r="B153" s="680"/>
      <c r="C153" s="690"/>
      <c r="D153" s="690"/>
      <c r="E153" s="1339"/>
      <c r="F153" s="250" t="s">
        <v>308</v>
      </c>
      <c r="G153" s="250" t="s">
        <v>319</v>
      </c>
      <c r="H153" s="562">
        <f t="shared" ref="H153:AG153" si="49">H69/H112</f>
        <v>83917.082669181895</v>
      </c>
      <c r="I153" s="562">
        <f t="shared" si="49"/>
        <v>87029.427403577414</v>
      </c>
      <c r="J153" s="562">
        <f t="shared" si="49"/>
        <v>90143.73507756117</v>
      </c>
      <c r="K153" s="562">
        <f t="shared" si="49"/>
        <v>96191.786594168065</v>
      </c>
      <c r="L153" s="562">
        <f t="shared" si="49"/>
        <v>102243.35146773962</v>
      </c>
      <c r="M153" s="562">
        <f t="shared" si="49"/>
        <v>108293.39959647252</v>
      </c>
      <c r="N153" s="562">
        <f t="shared" si="49"/>
        <v>114341.52704522257</v>
      </c>
      <c r="O153" s="562">
        <f t="shared" si="49"/>
        <v>120396.15052961014</v>
      </c>
      <c r="P153" s="562">
        <f t="shared" si="49"/>
        <v>128798.3265875779</v>
      </c>
      <c r="Q153" s="562">
        <f t="shared" si="49"/>
        <v>137205.35857567147</v>
      </c>
      <c r="R153" s="562">
        <f t="shared" si="49"/>
        <v>145606.9586955577</v>
      </c>
      <c r="S153" s="562">
        <f t="shared" si="49"/>
        <v>154011.11729822063</v>
      </c>
      <c r="T153" s="562">
        <f t="shared" si="49"/>
        <v>162424.42303620363</v>
      </c>
      <c r="U153" s="562">
        <f t="shared" si="49"/>
        <v>167894.69950446175</v>
      </c>
      <c r="V153" s="562">
        <f t="shared" si="49"/>
        <v>171013.4137850338</v>
      </c>
      <c r="W153" s="562">
        <f t="shared" si="49"/>
        <v>174130.58830345143</v>
      </c>
      <c r="X153" s="562">
        <f t="shared" si="49"/>
        <v>177248.72514313352</v>
      </c>
      <c r="Y153" s="562">
        <f t="shared" si="49"/>
        <v>180369.95203971062</v>
      </c>
      <c r="Z153" s="562">
        <f t="shared" si="49"/>
        <v>183490.55244758443</v>
      </c>
      <c r="AA153" s="562">
        <f t="shared" si="49"/>
        <v>186614.6587049978</v>
      </c>
      <c r="AB153" s="562">
        <f t="shared" si="49"/>
        <v>189738.62293053666</v>
      </c>
      <c r="AC153" s="562">
        <f t="shared" si="49"/>
        <v>192864.68572970133</v>
      </c>
      <c r="AD153" s="562">
        <f t="shared" si="49"/>
        <v>195995.14953221363</v>
      </c>
      <c r="AE153" s="562">
        <f t="shared" si="49"/>
        <v>199126.49265748396</v>
      </c>
      <c r="AF153" s="562">
        <f t="shared" si="49"/>
        <v>202261.08987365951</v>
      </c>
      <c r="AG153" s="704">
        <f t="shared" si="49"/>
        <v>205401.40744705519</v>
      </c>
      <c r="AH153" s="18"/>
      <c r="AI153" s="18"/>
      <c r="AJ153" s="18"/>
      <c r="AK153" s="18"/>
      <c r="AL153" s="18"/>
      <c r="AM153" s="18"/>
      <c r="AN153" s="18"/>
    </row>
    <row r="154" spans="2:40" ht="21.9" customHeight="1" x14ac:dyDescent="0.25">
      <c r="B154" s="680"/>
      <c r="C154" s="690"/>
      <c r="D154" s="690"/>
      <c r="E154" s="114" t="s">
        <v>320</v>
      </c>
      <c r="F154" s="114" t="s">
        <v>318</v>
      </c>
      <c r="G154" s="114" t="s">
        <v>308</v>
      </c>
      <c r="H154" s="552">
        <f t="shared" ref="H154:AG154" si="50">H70/H113</f>
        <v>567.88965517241365</v>
      </c>
      <c r="I154" s="552">
        <f t="shared" si="50"/>
        <v>919.4133517241379</v>
      </c>
      <c r="J154" s="552">
        <f t="shared" si="50"/>
        <v>2623.0823172413784</v>
      </c>
      <c r="K154" s="552">
        <f t="shared" si="50"/>
        <v>5546.0103724137925</v>
      </c>
      <c r="L154" s="552">
        <f t="shared" si="50"/>
        <v>8471.2099862068953</v>
      </c>
      <c r="M154" s="552">
        <f t="shared" si="50"/>
        <v>11395.273820689656</v>
      </c>
      <c r="N154" s="552">
        <f t="shared" si="50"/>
        <v>14318.201875862069</v>
      </c>
      <c r="O154" s="552">
        <f t="shared" si="50"/>
        <v>17245.673048275861</v>
      </c>
      <c r="P154" s="552">
        <f t="shared" si="50"/>
        <v>18818.159503448274</v>
      </c>
      <c r="Q154" s="552">
        <f t="shared" si="50"/>
        <v>20392.917517241374</v>
      </c>
      <c r="R154" s="552">
        <f t="shared" si="50"/>
        <v>21965.971862068964</v>
      </c>
      <c r="S154" s="552">
        <f t="shared" si="50"/>
        <v>23538.458317241384</v>
      </c>
      <c r="T154" s="552">
        <f t="shared" si="50"/>
        <v>25114.920000000009</v>
      </c>
      <c r="U154" s="552">
        <f t="shared" si="50"/>
        <v>25466.443696551738</v>
      </c>
      <c r="V154" s="552">
        <f t="shared" si="50"/>
        <v>25817.96739310347</v>
      </c>
      <c r="W154" s="552">
        <f t="shared" si="50"/>
        <v>26169.491089655192</v>
      </c>
      <c r="X154" s="552">
        <f t="shared" si="50"/>
        <v>26521.014786206921</v>
      </c>
      <c r="Y154" s="552">
        <f t="shared" si="50"/>
        <v>26874.242151724171</v>
      </c>
      <c r="Z154" s="552">
        <f t="shared" si="50"/>
        <v>27225.765848275903</v>
      </c>
      <c r="AA154" s="552">
        <f t="shared" si="50"/>
        <v>27578.99321379315</v>
      </c>
      <c r="AB154" s="552">
        <f t="shared" si="50"/>
        <v>27930.516910344879</v>
      </c>
      <c r="AC154" s="552">
        <f t="shared" si="50"/>
        <v>28282.040606896608</v>
      </c>
      <c r="AD154" s="552">
        <f t="shared" si="50"/>
        <v>28635.267972413862</v>
      </c>
      <c r="AE154" s="552">
        <f t="shared" si="50"/>
        <v>28986.79166896559</v>
      </c>
      <c r="AF154" s="552">
        <f t="shared" si="50"/>
        <v>29338.315365517326</v>
      </c>
      <c r="AG154" s="700">
        <f t="shared" si="50"/>
        <v>29691.54273103458</v>
      </c>
      <c r="AH154" s="18"/>
      <c r="AI154" s="18"/>
      <c r="AJ154" s="18"/>
      <c r="AK154" s="18"/>
      <c r="AL154" s="18"/>
      <c r="AM154" s="18"/>
      <c r="AN154" s="18"/>
    </row>
    <row r="155" spans="2:40" ht="21.9" customHeight="1" x14ac:dyDescent="0.25">
      <c r="B155" s="680"/>
      <c r="C155" s="690"/>
      <c r="D155" s="690"/>
      <c r="E155" s="1325" t="s">
        <v>308</v>
      </c>
      <c r="F155" s="217" t="s">
        <v>276</v>
      </c>
      <c r="G155" s="217" t="s">
        <v>320</v>
      </c>
      <c r="H155" s="558">
        <f t="shared" ref="H155:AG155" si="51">H71/H114</f>
        <v>1631.1724137931033</v>
      </c>
      <c r="I155" s="558">
        <f t="shared" si="51"/>
        <v>1631.1724137931033</v>
      </c>
      <c r="J155" s="558">
        <f t="shared" si="51"/>
        <v>19086.348413793105</v>
      </c>
      <c r="K155" s="558">
        <f t="shared" si="51"/>
        <v>36541.524413793552</v>
      </c>
      <c r="L155" s="558">
        <f t="shared" si="51"/>
        <v>54011.380965955403</v>
      </c>
      <c r="M155" s="558">
        <f t="shared" si="51"/>
        <v>71466.556994373532</v>
      </c>
      <c r="N155" s="558">
        <f t="shared" si="51"/>
        <v>88921.73355615529</v>
      </c>
      <c r="O155" s="558">
        <f t="shared" si="51"/>
        <v>106391.59580175066</v>
      </c>
      <c r="P155" s="558">
        <f t="shared" si="51"/>
        <v>106391.62729752106</v>
      </c>
      <c r="Q155" s="558">
        <f t="shared" si="51"/>
        <v>106391.62729752106</v>
      </c>
      <c r="R155" s="558">
        <f t="shared" si="51"/>
        <v>106391.62729752106</v>
      </c>
      <c r="S155" s="558">
        <f t="shared" si="51"/>
        <v>106391.62729752106</v>
      </c>
      <c r="T155" s="558">
        <f t="shared" si="51"/>
        <v>106391.62729752106</v>
      </c>
      <c r="U155" s="558">
        <f t="shared" si="51"/>
        <v>106391.62729752106</v>
      </c>
      <c r="V155" s="558">
        <f t="shared" si="51"/>
        <v>106391.62729752106</v>
      </c>
      <c r="W155" s="558">
        <f t="shared" si="51"/>
        <v>106391.62729752106</v>
      </c>
      <c r="X155" s="558">
        <f t="shared" si="51"/>
        <v>106391.62729752106</v>
      </c>
      <c r="Y155" s="558">
        <f t="shared" si="51"/>
        <v>106391.62729752106</v>
      </c>
      <c r="Z155" s="558">
        <f t="shared" si="51"/>
        <v>106391.62729752106</v>
      </c>
      <c r="AA155" s="558">
        <f t="shared" si="51"/>
        <v>106391.62729752106</v>
      </c>
      <c r="AB155" s="558">
        <f t="shared" si="51"/>
        <v>106391.62729752106</v>
      </c>
      <c r="AC155" s="558">
        <f t="shared" si="51"/>
        <v>106391.62729752106</v>
      </c>
      <c r="AD155" s="558">
        <f t="shared" si="51"/>
        <v>106391.62729752106</v>
      </c>
      <c r="AE155" s="558">
        <f t="shared" si="51"/>
        <v>106391.62729752106</v>
      </c>
      <c r="AF155" s="558">
        <f t="shared" si="51"/>
        <v>106391.62729752106</v>
      </c>
      <c r="AG155" s="703">
        <f t="shared" si="51"/>
        <v>106391.62729752106</v>
      </c>
      <c r="AH155" s="18"/>
      <c r="AI155" s="18"/>
      <c r="AJ155" s="18"/>
      <c r="AK155" s="18"/>
      <c r="AL155" s="18"/>
      <c r="AM155" s="18"/>
      <c r="AN155" s="18"/>
    </row>
    <row r="156" spans="2:40" ht="21.9" customHeight="1" x14ac:dyDescent="0.25">
      <c r="B156" s="680"/>
      <c r="C156" s="690"/>
      <c r="D156" s="690"/>
      <c r="E156" s="1327"/>
      <c r="F156" s="114" t="s">
        <v>320</v>
      </c>
      <c r="G156" s="114" t="s">
        <v>282</v>
      </c>
      <c r="H156" s="552">
        <f t="shared" ref="H156:AG156" si="52">H72/H115</f>
        <v>409.4647154471545</v>
      </c>
      <c r="I156" s="552">
        <f t="shared" si="52"/>
        <v>777.98295934959356</v>
      </c>
      <c r="J156" s="552">
        <f t="shared" si="52"/>
        <v>1146.5012032520324</v>
      </c>
      <c r="K156" s="552">
        <f t="shared" si="52"/>
        <v>2494.0123577235772</v>
      </c>
      <c r="L156" s="552">
        <f t="shared" si="52"/>
        <v>3839.6623089432724</v>
      </c>
      <c r="M156" s="552">
        <f t="shared" si="52"/>
        <v>5189.0346666851319</v>
      </c>
      <c r="N156" s="552">
        <f t="shared" si="52"/>
        <v>6536.5458216108827</v>
      </c>
      <c r="O156" s="552">
        <f t="shared" si="52"/>
        <v>7884.0569813453512</v>
      </c>
      <c r="P156" s="552">
        <f t="shared" si="52"/>
        <v>10227.311918403384</v>
      </c>
      <c r="Q156" s="552">
        <f t="shared" si="52"/>
        <v>12568.706364966445</v>
      </c>
      <c r="R156" s="552">
        <f t="shared" si="52"/>
        <v>14910.106746341769</v>
      </c>
      <c r="S156" s="552">
        <f t="shared" si="52"/>
        <v>17253.402012043443</v>
      </c>
      <c r="T156" s="552">
        <f t="shared" si="52"/>
        <v>19596.843065431745</v>
      </c>
      <c r="U156" s="552">
        <f t="shared" si="52"/>
        <v>20961.76549105722</v>
      </c>
      <c r="V156" s="552">
        <f t="shared" si="52"/>
        <v>21329.312001290331</v>
      </c>
      <c r="W156" s="552">
        <f t="shared" si="52"/>
        <v>21698.204706156983</v>
      </c>
      <c r="X156" s="552">
        <f t="shared" si="52"/>
        <v>22067.169787845251</v>
      </c>
      <c r="Y156" s="552">
        <f t="shared" si="52"/>
        <v>22436.217439992615</v>
      </c>
      <c r="Z156" s="552">
        <f t="shared" si="52"/>
        <v>22805.36115009899</v>
      </c>
      <c r="AA156" s="552">
        <f t="shared" si="52"/>
        <v>23174.616329689467</v>
      </c>
      <c r="AB156" s="552">
        <f t="shared" si="52"/>
        <v>23544.000550337249</v>
      </c>
      <c r="AC156" s="552">
        <f t="shared" si="52"/>
        <v>23913.533804083392</v>
      </c>
      <c r="AD156" s="552">
        <f t="shared" si="52"/>
        <v>24281.377007080642</v>
      </c>
      <c r="AE156" s="552">
        <f t="shared" si="52"/>
        <v>24651.272493990735</v>
      </c>
      <c r="AF156" s="552">
        <f t="shared" si="52"/>
        <v>25021.400258194397</v>
      </c>
      <c r="AG156" s="700">
        <f t="shared" si="52"/>
        <v>25391.787234294086</v>
      </c>
      <c r="AH156" s="18"/>
      <c r="AI156" s="18"/>
      <c r="AJ156" s="18"/>
      <c r="AK156" s="18"/>
      <c r="AL156" s="18"/>
      <c r="AM156" s="18"/>
      <c r="AN156" s="18"/>
    </row>
    <row r="157" spans="2:40" ht="21.9" customHeight="1" x14ac:dyDescent="0.25">
      <c r="B157" s="680"/>
      <c r="C157" s="690"/>
      <c r="D157" s="690"/>
      <c r="E157" s="1327"/>
      <c r="F157" s="114" t="s">
        <v>282</v>
      </c>
      <c r="G157" s="114" t="s">
        <v>321</v>
      </c>
      <c r="H157" s="552">
        <f t="shared" ref="H157:AG157" si="53">H73/H116</f>
        <v>1306.9664233576641</v>
      </c>
      <c r="I157" s="552">
        <f t="shared" si="53"/>
        <v>2482.6698522627735</v>
      </c>
      <c r="J157" s="552">
        <f t="shared" si="53"/>
        <v>3657.9811912408763</v>
      </c>
      <c r="K157" s="552">
        <f t="shared" si="53"/>
        <v>7957.7700274452536</v>
      </c>
      <c r="L157" s="552">
        <f t="shared" si="53"/>
        <v>12257.733125839415</v>
      </c>
      <c r="M157" s="552">
        <f t="shared" si="53"/>
        <v>16563.185483211677</v>
      </c>
      <c r="N157" s="552">
        <f t="shared" si="53"/>
        <v>20862.974319416066</v>
      </c>
      <c r="O157" s="552">
        <f t="shared" si="53"/>
        <v>25165.377088467241</v>
      </c>
      <c r="P157" s="552">
        <f t="shared" si="53"/>
        <v>32642.401299854781</v>
      </c>
      <c r="Q157" s="552">
        <f t="shared" si="53"/>
        <v>40116.375922932435</v>
      </c>
      <c r="R157" s="552">
        <f t="shared" si="53"/>
        <v>47592.833782308466</v>
      </c>
      <c r="S157" s="552">
        <f t="shared" si="53"/>
        <v>55069.857994335325</v>
      </c>
      <c r="T157" s="552">
        <f t="shared" si="53"/>
        <v>62552.327902101948</v>
      </c>
      <c r="U157" s="552">
        <f t="shared" si="53"/>
        <v>66901.868603958763</v>
      </c>
      <c r="V157" s="552">
        <f t="shared" si="53"/>
        <v>68077.572046942791</v>
      </c>
      <c r="W157" s="552">
        <f t="shared" si="53"/>
        <v>69253.275481806137</v>
      </c>
      <c r="X157" s="552">
        <f t="shared" si="53"/>
        <v>70428.978917790533</v>
      </c>
      <c r="Y157" s="552">
        <f t="shared" si="53"/>
        <v>71604.290265155098</v>
      </c>
      <c r="Z157" s="552">
        <f t="shared" si="53"/>
        <v>72779.993703964545</v>
      </c>
      <c r="AA157" s="552">
        <f t="shared" si="53"/>
        <v>73955.305054614058</v>
      </c>
      <c r="AB157" s="552">
        <f t="shared" si="53"/>
        <v>75131.008497229122</v>
      </c>
      <c r="AC157" s="552">
        <f t="shared" si="53"/>
        <v>76306.711942206966</v>
      </c>
      <c r="AD157" s="552">
        <f t="shared" si="53"/>
        <v>77482.023299975219</v>
      </c>
      <c r="AE157" s="552">
        <f t="shared" si="53"/>
        <v>78657.726750788788</v>
      </c>
      <c r="AF157" s="552">
        <f t="shared" si="53"/>
        <v>79833.430205193494</v>
      </c>
      <c r="AG157" s="700">
        <f t="shared" si="53"/>
        <v>81008.741573774692</v>
      </c>
      <c r="AH157" s="18"/>
      <c r="AI157" s="18"/>
      <c r="AJ157" s="18"/>
      <c r="AK157" s="18"/>
      <c r="AL157" s="18"/>
      <c r="AM157" s="18"/>
      <c r="AN157" s="18"/>
    </row>
    <row r="158" spans="2:40" ht="21.9" customHeight="1" x14ac:dyDescent="0.25">
      <c r="B158" s="680"/>
      <c r="C158" s="690"/>
      <c r="D158" s="690"/>
      <c r="E158" s="1339"/>
      <c r="F158" s="250" t="s">
        <v>321</v>
      </c>
      <c r="G158" s="250" t="s">
        <v>274</v>
      </c>
      <c r="H158" s="562">
        <f t="shared" ref="H158:AG158" si="54">H74/H117</f>
        <v>1879.8832116788319</v>
      </c>
      <c r="I158" s="562">
        <f t="shared" si="54"/>
        <v>3570.9634861313857</v>
      </c>
      <c r="J158" s="562">
        <f t="shared" si="54"/>
        <v>5261.4797956204384</v>
      </c>
      <c r="K158" s="562">
        <f t="shared" si="54"/>
        <v>11446.107573722626</v>
      </c>
      <c r="L158" s="562">
        <f t="shared" si="54"/>
        <v>17630.986002919708</v>
      </c>
      <c r="M158" s="562">
        <f t="shared" si="54"/>
        <v>23823.75994160584</v>
      </c>
      <c r="N158" s="562">
        <f t="shared" si="54"/>
        <v>30008.387719708047</v>
      </c>
      <c r="O158" s="562">
        <f t="shared" si="54"/>
        <v>36196.775264233707</v>
      </c>
      <c r="P158" s="562">
        <f t="shared" si="54"/>
        <v>46951.399129928112</v>
      </c>
      <c r="Q158" s="562">
        <f t="shared" si="54"/>
        <v>57701.63660147816</v>
      </c>
      <c r="R158" s="562">
        <f t="shared" si="54"/>
        <v>68455.445851265613</v>
      </c>
      <c r="S158" s="562">
        <f t="shared" si="54"/>
        <v>79210.069717879582</v>
      </c>
      <c r="T158" s="562">
        <f t="shared" si="54"/>
        <v>89972.526434530198</v>
      </c>
      <c r="U158" s="562">
        <f t="shared" si="54"/>
        <v>96228.715115283165</v>
      </c>
      <c r="V158" s="562">
        <f t="shared" si="54"/>
        <v>97919.795409986211</v>
      </c>
      <c r="W158" s="562">
        <f t="shared" si="54"/>
        <v>99610.875693008828</v>
      </c>
      <c r="X158" s="562">
        <f t="shared" si="54"/>
        <v>101301.95597764391</v>
      </c>
      <c r="Y158" s="562">
        <f t="shared" si="54"/>
        <v>102992.47229919571</v>
      </c>
      <c r="Z158" s="562">
        <f t="shared" si="54"/>
        <v>104683.55258789421</v>
      </c>
      <c r="AA158" s="562">
        <f t="shared" si="54"/>
        <v>106374.0689141709</v>
      </c>
      <c r="AB158" s="562">
        <f t="shared" si="54"/>
        <v>108065.14920834324</v>
      </c>
      <c r="AC158" s="562">
        <f t="shared" si="54"/>
        <v>109756.22950591415</v>
      </c>
      <c r="AD158" s="562">
        <f t="shared" si="54"/>
        <v>111446.7458424301</v>
      </c>
      <c r="AE158" s="562">
        <f t="shared" si="54"/>
        <v>113137.82614839483</v>
      </c>
      <c r="AF158" s="562">
        <f t="shared" si="54"/>
        <v>114828.90645952491</v>
      </c>
      <c r="AG158" s="704">
        <f t="shared" si="54"/>
        <v>116519.42281159376</v>
      </c>
      <c r="AH158" s="18"/>
      <c r="AI158" s="18"/>
      <c r="AJ158" s="18"/>
      <c r="AK158" s="18"/>
      <c r="AL158" s="18"/>
      <c r="AM158" s="18"/>
      <c r="AN158" s="18"/>
    </row>
    <row r="159" spans="2:40" ht="21.9" customHeight="1" x14ac:dyDescent="0.25">
      <c r="B159" s="680"/>
      <c r="C159" s="690"/>
      <c r="D159" s="690"/>
      <c r="E159" s="114" t="s">
        <v>282</v>
      </c>
      <c r="F159" s="114" t="s">
        <v>308</v>
      </c>
      <c r="G159" s="114" t="s">
        <v>324</v>
      </c>
      <c r="H159" s="568">
        <f t="shared" ref="H159:AG159" si="55">H75/H118</f>
        <v>15881.438848935313</v>
      </c>
      <c r="I159" s="568">
        <f t="shared" si="55"/>
        <v>16476.816345338731</v>
      </c>
      <c r="J159" s="568">
        <f t="shared" si="55"/>
        <v>17387.528633116388</v>
      </c>
      <c r="K159" s="568">
        <f t="shared" si="55"/>
        <v>20281.038561196747</v>
      </c>
      <c r="L159" s="568">
        <f t="shared" si="55"/>
        <v>23174.98964053101</v>
      </c>
      <c r="M159" s="568">
        <f t="shared" si="55"/>
        <v>26072.028778017091</v>
      </c>
      <c r="N159" s="568">
        <f t="shared" si="55"/>
        <v>28965.538708783457</v>
      </c>
      <c r="O159" s="568">
        <f t="shared" si="55"/>
        <v>31861.87201180858</v>
      </c>
      <c r="P159" s="568">
        <f t="shared" si="55"/>
        <v>35678.093559474379</v>
      </c>
      <c r="Q159" s="568">
        <f t="shared" si="55"/>
        <v>39493.344635651469</v>
      </c>
      <c r="R159" s="568">
        <f t="shared" si="55"/>
        <v>43310.007550644492</v>
      </c>
      <c r="S159" s="568">
        <f t="shared" si="55"/>
        <v>47126.229694987676</v>
      </c>
      <c r="T159" s="568">
        <f t="shared" si="55"/>
        <v>50946.775979062084</v>
      </c>
      <c r="U159" s="568">
        <f t="shared" si="55"/>
        <v>52778.261888160036</v>
      </c>
      <c r="V159" s="568">
        <f t="shared" si="55"/>
        <v>53373.64182144044</v>
      </c>
      <c r="W159" s="568">
        <f t="shared" si="55"/>
        <v>53969.020364690958</v>
      </c>
      <c r="X159" s="568">
        <f t="shared" si="55"/>
        <v>54564.399031336579</v>
      </c>
      <c r="Y159" s="568">
        <f t="shared" si="55"/>
        <v>55160.39544595655</v>
      </c>
      <c r="Z159" s="568">
        <f t="shared" si="55"/>
        <v>55755.774400869828</v>
      </c>
      <c r="AA159" s="568">
        <f t="shared" si="55"/>
        <v>56351.771132054731</v>
      </c>
      <c r="AB159" s="568">
        <f t="shared" si="55"/>
        <v>56947.150436096636</v>
      </c>
      <c r="AC159" s="568">
        <f t="shared" si="55"/>
        <v>57542.52993956313</v>
      </c>
      <c r="AD159" s="568">
        <f t="shared" si="55"/>
        <v>58138.527275721717</v>
      </c>
      <c r="AE159" s="568">
        <f t="shared" si="55"/>
        <v>58733.90724524804</v>
      </c>
      <c r="AF159" s="568">
        <f t="shared" si="55"/>
        <v>59329.287478730061</v>
      </c>
      <c r="AG159" s="705">
        <f t="shared" si="55"/>
        <v>59925.285615723144</v>
      </c>
      <c r="AH159" s="18"/>
      <c r="AI159" s="18"/>
      <c r="AJ159" s="18"/>
      <c r="AK159" s="18"/>
      <c r="AL159" s="18"/>
      <c r="AM159" s="18"/>
      <c r="AN159" s="18"/>
    </row>
    <row r="160" spans="2:40" ht="21.9" customHeight="1" x14ac:dyDescent="0.25">
      <c r="B160" s="680"/>
      <c r="C160" s="690"/>
      <c r="D160" s="690"/>
      <c r="E160" s="273" t="s">
        <v>321</v>
      </c>
      <c r="F160" s="273" t="s">
        <v>318</v>
      </c>
      <c r="G160" s="273" t="s">
        <v>308</v>
      </c>
      <c r="H160" s="552" t="e">
        <f t="shared" ref="H160:AG160" si="56">H76/H119</f>
        <v>#DIV/0!</v>
      </c>
      <c r="I160" s="552" t="e">
        <f t="shared" si="56"/>
        <v>#DIV/0!</v>
      </c>
      <c r="J160" s="552" t="e">
        <f t="shared" si="56"/>
        <v>#DIV/0!</v>
      </c>
      <c r="K160" s="552" t="e">
        <f t="shared" si="56"/>
        <v>#DIV/0!</v>
      </c>
      <c r="L160" s="552" t="e">
        <f t="shared" si="56"/>
        <v>#DIV/0!</v>
      </c>
      <c r="M160" s="552" t="e">
        <f t="shared" si="56"/>
        <v>#DIV/0!</v>
      </c>
      <c r="N160" s="552" t="e">
        <f t="shared" si="56"/>
        <v>#DIV/0!</v>
      </c>
      <c r="O160" s="552" t="e">
        <f t="shared" si="56"/>
        <v>#DIV/0!</v>
      </c>
      <c r="P160" s="552" t="e">
        <f t="shared" si="56"/>
        <v>#DIV/0!</v>
      </c>
      <c r="Q160" s="552" t="e">
        <f t="shared" si="56"/>
        <v>#DIV/0!</v>
      </c>
      <c r="R160" s="552" t="e">
        <f t="shared" si="56"/>
        <v>#DIV/0!</v>
      </c>
      <c r="S160" s="552" t="e">
        <f t="shared" si="56"/>
        <v>#DIV/0!</v>
      </c>
      <c r="T160" s="552" t="e">
        <f t="shared" si="56"/>
        <v>#DIV/0!</v>
      </c>
      <c r="U160" s="552" t="e">
        <f t="shared" si="56"/>
        <v>#DIV/0!</v>
      </c>
      <c r="V160" s="552" t="e">
        <f t="shared" si="56"/>
        <v>#DIV/0!</v>
      </c>
      <c r="W160" s="552" t="e">
        <f t="shared" si="56"/>
        <v>#DIV/0!</v>
      </c>
      <c r="X160" s="552" t="e">
        <f t="shared" si="56"/>
        <v>#DIV/0!</v>
      </c>
      <c r="Y160" s="552" t="e">
        <f t="shared" si="56"/>
        <v>#DIV/0!</v>
      </c>
      <c r="Z160" s="552" t="e">
        <f t="shared" si="56"/>
        <v>#DIV/0!</v>
      </c>
      <c r="AA160" s="552" t="e">
        <f t="shared" si="56"/>
        <v>#DIV/0!</v>
      </c>
      <c r="AB160" s="552" t="e">
        <f t="shared" si="56"/>
        <v>#DIV/0!</v>
      </c>
      <c r="AC160" s="552" t="e">
        <f t="shared" si="56"/>
        <v>#DIV/0!</v>
      </c>
      <c r="AD160" s="552" t="e">
        <f t="shared" si="56"/>
        <v>#DIV/0!</v>
      </c>
      <c r="AE160" s="552" t="e">
        <f t="shared" si="56"/>
        <v>#DIV/0!</v>
      </c>
      <c r="AF160" s="552" t="e">
        <f t="shared" si="56"/>
        <v>#DIV/0!</v>
      </c>
      <c r="AG160" s="700" t="e">
        <f t="shared" si="56"/>
        <v>#DIV/0!</v>
      </c>
      <c r="AH160" s="18"/>
      <c r="AI160" s="18"/>
      <c r="AJ160" s="18"/>
      <c r="AK160" s="18"/>
      <c r="AL160" s="18"/>
      <c r="AM160" s="18"/>
      <c r="AN160" s="18"/>
    </row>
    <row r="161" spans="2:40" ht="21.9" customHeight="1" x14ac:dyDescent="0.25">
      <c r="B161" s="680"/>
      <c r="C161" s="690"/>
      <c r="D161" s="690"/>
      <c r="E161" s="273" t="s">
        <v>333</v>
      </c>
      <c r="F161" s="273" t="s">
        <v>319</v>
      </c>
      <c r="G161" s="273" t="s">
        <v>308</v>
      </c>
      <c r="H161" s="568">
        <f t="shared" ref="H161:AG161" si="57">H77/H120</f>
        <v>25667.374204594336</v>
      </c>
      <c r="I161" s="568">
        <f t="shared" si="57"/>
        <v>26064.077732578673</v>
      </c>
      <c r="J161" s="568">
        <f t="shared" si="57"/>
        <v>26715.886444978289</v>
      </c>
      <c r="K161" s="568">
        <f t="shared" si="57"/>
        <v>28931.194742766922</v>
      </c>
      <c r="L161" s="568">
        <f t="shared" si="57"/>
        <v>31146.788278226471</v>
      </c>
      <c r="M161" s="568">
        <f t="shared" si="57"/>
        <v>33364.948614439236</v>
      </c>
      <c r="N161" s="568">
        <f t="shared" si="57"/>
        <v>35580.257142455026</v>
      </c>
      <c r="O161" s="568">
        <f t="shared" si="57"/>
        <v>37798.061334200356</v>
      </c>
      <c r="P161" s="568">
        <f t="shared" si="57"/>
        <v>40425.688351534976</v>
      </c>
      <c r="Q161" s="568">
        <f t="shared" si="57"/>
        <v>43052.746060027777</v>
      </c>
      <c r="R161" s="568">
        <f t="shared" si="57"/>
        <v>45681.088911557963</v>
      </c>
      <c r="S161" s="568">
        <f t="shared" si="57"/>
        <v>48308.721893016962</v>
      </c>
      <c r="T161" s="568">
        <f t="shared" si="57"/>
        <v>50940.067658340311</v>
      </c>
      <c r="U161" s="568">
        <f t="shared" si="57"/>
        <v>52002.716407869477</v>
      </c>
      <c r="V161" s="568">
        <f t="shared" si="57"/>
        <v>52399.43089910609</v>
      </c>
      <c r="W161" s="568">
        <f t="shared" si="57"/>
        <v>52796.139383812981</v>
      </c>
      <c r="X161" s="568">
        <f t="shared" si="57"/>
        <v>53192.848258089267</v>
      </c>
      <c r="Y161" s="568">
        <f t="shared" si="57"/>
        <v>53590.341831221318</v>
      </c>
      <c r="Z161" s="568">
        <f t="shared" si="57"/>
        <v>53987.051580021536</v>
      </c>
      <c r="AA161" s="568">
        <f t="shared" si="57"/>
        <v>54384.546077002546</v>
      </c>
      <c r="AB161" s="568">
        <f t="shared" si="57"/>
        <v>54781.256814906868</v>
      </c>
      <c r="AC161" s="568">
        <f t="shared" si="57"/>
        <v>55177.968084606189</v>
      </c>
      <c r="AD161" s="568">
        <f t="shared" si="57"/>
        <v>55575.464217758585</v>
      </c>
      <c r="AE161" s="568">
        <f t="shared" si="57"/>
        <v>55972.176705264261</v>
      </c>
      <c r="AF161" s="568">
        <f t="shared" si="57"/>
        <v>56368.889838588577</v>
      </c>
      <c r="AG161" s="705">
        <f t="shared" si="57"/>
        <v>56766.387959719141</v>
      </c>
      <c r="AH161" s="18"/>
      <c r="AI161" s="18"/>
      <c r="AJ161" s="18"/>
      <c r="AK161" s="18"/>
      <c r="AL161" s="18"/>
      <c r="AM161" s="18"/>
      <c r="AN161" s="18"/>
    </row>
    <row r="162" spans="2:40" ht="21.9" customHeight="1" x14ac:dyDescent="0.25">
      <c r="B162" s="680"/>
      <c r="C162" s="690"/>
      <c r="D162" s="690"/>
      <c r="E162" s="114" t="s">
        <v>319</v>
      </c>
      <c r="F162" s="114" t="s">
        <v>276</v>
      </c>
      <c r="G162" s="114" t="s">
        <v>333</v>
      </c>
      <c r="H162" s="552">
        <f t="shared" ref="H162:AG162" si="58">H78/H121</f>
        <v>52604.163278649205</v>
      </c>
      <c r="I162" s="552">
        <f t="shared" si="58"/>
        <v>54560.249090165766</v>
      </c>
      <c r="J162" s="552">
        <f t="shared" si="58"/>
        <v>56642.479685256476</v>
      </c>
      <c r="K162" s="552">
        <f t="shared" si="58"/>
        <v>61261.809075298414</v>
      </c>
      <c r="L162" s="552">
        <f t="shared" si="58"/>
        <v>65882.295757095271</v>
      </c>
      <c r="M162" s="552">
        <f t="shared" si="58"/>
        <v>70505.30743897667</v>
      </c>
      <c r="N162" s="552">
        <f t="shared" si="58"/>
        <v>75124.636829900555</v>
      </c>
      <c r="O162" s="552">
        <f t="shared" si="58"/>
        <v>79748.016742257794</v>
      </c>
      <c r="P162" s="552">
        <f t="shared" si="58"/>
        <v>85963.724678707425</v>
      </c>
      <c r="Q162" s="552">
        <f t="shared" si="58"/>
        <v>92179.695641488128</v>
      </c>
      <c r="R162" s="552">
        <f t="shared" si="58"/>
        <v>98395.403592837858</v>
      </c>
      <c r="S162" s="552">
        <f t="shared" si="58"/>
        <v>104611.1115616426</v>
      </c>
      <c r="T162" s="552">
        <f t="shared" si="58"/>
        <v>110832.60601961441</v>
      </c>
      <c r="U162" s="552">
        <f t="shared" si="58"/>
        <v>114508.32204409344</v>
      </c>
      <c r="V162" s="552">
        <f t="shared" si="58"/>
        <v>116464.40795902874</v>
      </c>
      <c r="W162" s="552">
        <f t="shared" si="58"/>
        <v>118420.49384333428</v>
      </c>
      <c r="X162" s="552">
        <f t="shared" si="58"/>
        <v>120376.57974092782</v>
      </c>
      <c r="Y162" s="552">
        <f t="shared" si="58"/>
        <v>122333.71773722486</v>
      </c>
      <c r="Z162" s="552">
        <f t="shared" si="58"/>
        <v>124289.8036681949</v>
      </c>
      <c r="AA162" s="552">
        <f t="shared" si="58"/>
        <v>126246.94170305121</v>
      </c>
      <c r="AB162" s="552">
        <f t="shared" si="58"/>
        <v>128203.02767855562</v>
      </c>
      <c r="AC162" s="552">
        <f t="shared" si="58"/>
        <v>130159.11368141048</v>
      </c>
      <c r="AD162" s="552">
        <f t="shared" si="58"/>
        <v>132116.25179902994</v>
      </c>
      <c r="AE162" s="552">
        <f t="shared" si="58"/>
        <v>134072.33786958706</v>
      </c>
      <c r="AF162" s="552">
        <f t="shared" si="58"/>
        <v>136028.4239812805</v>
      </c>
      <c r="AG162" s="700">
        <f t="shared" si="58"/>
        <v>137985.56222333558</v>
      </c>
      <c r="AH162" s="18"/>
      <c r="AI162" s="18"/>
      <c r="AJ162" s="18"/>
      <c r="AK162" s="18"/>
      <c r="AL162" s="18"/>
      <c r="AM162" s="18"/>
      <c r="AN162" s="18"/>
    </row>
    <row r="163" spans="2:40" ht="21.9" customHeight="1" x14ac:dyDescent="0.25">
      <c r="B163" s="680"/>
      <c r="C163" s="690"/>
      <c r="D163" s="690"/>
      <c r="E163" s="114"/>
      <c r="F163" s="114" t="s">
        <v>333</v>
      </c>
      <c r="G163" s="114" t="s">
        <v>323</v>
      </c>
      <c r="H163" s="552">
        <f t="shared" ref="H163:AG163" si="59">H79/H122</f>
        <v>7661.0941616529308</v>
      </c>
      <c r="I163" s="552">
        <f t="shared" si="59"/>
        <v>7933.7182295501716</v>
      </c>
      <c r="J163" s="552">
        <f t="shared" si="59"/>
        <v>8230.4142617345751</v>
      </c>
      <c r="K163" s="552">
        <f t="shared" si="59"/>
        <v>8797.6678824701776</v>
      </c>
      <c r="L163" s="552">
        <f t="shared" si="59"/>
        <v>9365.1432717220523</v>
      </c>
      <c r="M163" s="552">
        <f t="shared" si="59"/>
        <v>9932.6993040717916</v>
      </c>
      <c r="N163" s="552">
        <f t="shared" si="59"/>
        <v>10499.952924812371</v>
      </c>
      <c r="O163" s="552">
        <f t="shared" si="59"/>
        <v>11067.680323748729</v>
      </c>
      <c r="P163" s="552">
        <f t="shared" si="59"/>
        <v>11846.591831490856</v>
      </c>
      <c r="Q163" s="552">
        <f t="shared" si="59"/>
        <v>12625.654545064112</v>
      </c>
      <c r="R163" s="552">
        <f t="shared" si="59"/>
        <v>13404.465249000177</v>
      </c>
      <c r="S163" s="552">
        <f t="shared" si="59"/>
        <v>14183.376756875798</v>
      </c>
      <c r="T163" s="552">
        <f t="shared" si="59"/>
        <v>14962.893088092438</v>
      </c>
      <c r="U163" s="552">
        <f t="shared" si="59"/>
        <v>15470.89419416509</v>
      </c>
      <c r="V163" s="552">
        <f t="shared" si="59"/>
        <v>15743.518262495059</v>
      </c>
      <c r="W163" s="552">
        <f t="shared" si="59"/>
        <v>16016.142330701217</v>
      </c>
      <c r="X163" s="552">
        <f t="shared" si="59"/>
        <v>16288.766398965665</v>
      </c>
      <c r="Y163" s="552">
        <f t="shared" si="59"/>
        <v>16561.491271168699</v>
      </c>
      <c r="Z163" s="552">
        <f t="shared" si="59"/>
        <v>16834.115339580505</v>
      </c>
      <c r="AA163" s="552">
        <f t="shared" si="59"/>
        <v>17106.840211954619</v>
      </c>
      <c r="AB163" s="552">
        <f t="shared" si="59"/>
        <v>17379.464280564825</v>
      </c>
      <c r="AC163" s="552">
        <f t="shared" si="59"/>
        <v>17652.088349297737</v>
      </c>
      <c r="AD163" s="552">
        <f t="shared" si="59"/>
        <v>17924.813222042925</v>
      </c>
      <c r="AE163" s="552">
        <f t="shared" si="59"/>
        <v>18197.437291080911</v>
      </c>
      <c r="AF163" s="552">
        <f t="shared" si="59"/>
        <v>18470.061360305564</v>
      </c>
      <c r="AG163" s="700">
        <f t="shared" si="59"/>
        <v>18742.786233615017</v>
      </c>
      <c r="AH163" s="18"/>
      <c r="AI163" s="18"/>
      <c r="AJ163" s="18"/>
      <c r="AK163" s="18"/>
      <c r="AL163" s="18"/>
      <c r="AM163" s="18"/>
      <c r="AN163" s="18"/>
    </row>
    <row r="164" spans="2:40" ht="21.9" customHeight="1" x14ac:dyDescent="0.25">
      <c r="B164" s="680"/>
      <c r="C164" s="690"/>
      <c r="D164" s="690"/>
      <c r="E164" s="114"/>
      <c r="F164" s="114" t="s">
        <v>323</v>
      </c>
      <c r="G164" s="114" t="s">
        <v>322</v>
      </c>
      <c r="H164" s="552">
        <f t="shared" ref="H164:AG164" si="60">H80/H123</f>
        <v>2307.5460487230357</v>
      </c>
      <c r="I164" s="552">
        <f t="shared" si="60"/>
        <v>2389.6612893647653</v>
      </c>
      <c r="J164" s="552">
        <f t="shared" si="60"/>
        <v>2479.0270825913985</v>
      </c>
      <c r="K164" s="552">
        <f t="shared" si="60"/>
        <v>2649.8856862757248</v>
      </c>
      <c r="L164" s="552">
        <f t="shared" si="60"/>
        <v>2820.8110873465466</v>
      </c>
      <c r="M164" s="552">
        <f t="shared" si="60"/>
        <v>2991.760778376944</v>
      </c>
      <c r="N164" s="552">
        <f t="shared" si="60"/>
        <v>3162.6193820653521</v>
      </c>
      <c r="O164" s="552">
        <f t="shared" si="60"/>
        <v>3333.6206892628443</v>
      </c>
      <c r="P164" s="552">
        <f t="shared" si="60"/>
        <v>3568.2313250464758</v>
      </c>
      <c r="Q164" s="552">
        <f t="shared" si="60"/>
        <v>3802.8875045228574</v>
      </c>
      <c r="R164" s="552">
        <f t="shared" si="60"/>
        <v>4037.4677779113213</v>
      </c>
      <c r="S164" s="552">
        <f t="shared" si="60"/>
        <v>4272.0784138043418</v>
      </c>
      <c r="T164" s="552">
        <f t="shared" si="60"/>
        <v>4506.8712244818953</v>
      </c>
      <c r="U164" s="552">
        <f t="shared" si="60"/>
        <v>4659.8827815910427</v>
      </c>
      <c r="V164" s="552">
        <f t="shared" si="60"/>
        <v>4741.9980225873687</v>
      </c>
      <c r="W164" s="552">
        <f t="shared" si="60"/>
        <v>4824.1132634822334</v>
      </c>
      <c r="X164" s="552">
        <f t="shared" si="60"/>
        <v>4906.2285044248683</v>
      </c>
      <c r="Y164" s="552">
        <f t="shared" si="60"/>
        <v>4988.374107871261</v>
      </c>
      <c r="Z164" s="552">
        <f t="shared" si="60"/>
        <v>5070.4893489346487</v>
      </c>
      <c r="AA164" s="552">
        <f t="shared" si="60"/>
        <v>5152.6349525212308</v>
      </c>
      <c r="AB164" s="552">
        <f t="shared" si="60"/>
        <v>5234.7501937471889</v>
      </c>
      <c r="AC164" s="552">
        <f t="shared" si="60"/>
        <v>5316.8654350737015</v>
      </c>
      <c r="AD164" s="552">
        <f t="shared" si="60"/>
        <v>5399.0110389643587</v>
      </c>
      <c r="AE164" s="552">
        <f t="shared" si="60"/>
        <v>5481.1262805408578</v>
      </c>
      <c r="AF164" s="552">
        <f t="shared" si="60"/>
        <v>5563.2415222703212</v>
      </c>
      <c r="AG164" s="700">
        <f t="shared" si="60"/>
        <v>5645.3871266233582</v>
      </c>
      <c r="AH164" s="18"/>
      <c r="AI164" s="18"/>
      <c r="AJ164" s="18"/>
      <c r="AK164" s="18"/>
      <c r="AL164" s="18"/>
      <c r="AM164" s="18"/>
      <c r="AN164" s="18"/>
    </row>
    <row r="165" spans="2:40" ht="21.9" customHeight="1" x14ac:dyDescent="0.25">
      <c r="B165" s="680"/>
      <c r="C165" s="690"/>
      <c r="D165" s="690"/>
      <c r="E165" s="114"/>
      <c r="F165" s="114" t="s">
        <v>322</v>
      </c>
      <c r="G165" s="114" t="s">
        <v>326</v>
      </c>
      <c r="H165" s="552">
        <f t="shared" ref="H165:AG165" si="61">H81/H124</f>
        <v>5920.6773618539564</v>
      </c>
      <c r="I165" s="552">
        <f t="shared" si="61"/>
        <v>6124.5756224006054</v>
      </c>
      <c r="J165" s="552">
        <f t="shared" si="61"/>
        <v>6352.0579144386893</v>
      </c>
      <c r="K165" s="552">
        <f t="shared" si="61"/>
        <v>6749.4439111708152</v>
      </c>
      <c r="L165" s="552">
        <f t="shared" si="61"/>
        <v>7147.0667349975856</v>
      </c>
      <c r="M165" s="552">
        <f t="shared" si="61"/>
        <v>7544.5514096861316</v>
      </c>
      <c r="N165" s="552">
        <f t="shared" si="61"/>
        <v>7941.9374064190015</v>
      </c>
      <c r="O165" s="552">
        <f t="shared" si="61"/>
        <v>8339.7279827721777</v>
      </c>
      <c r="P165" s="552">
        <f t="shared" si="61"/>
        <v>8852.0441948958069</v>
      </c>
      <c r="Q165" s="552">
        <f t="shared" si="61"/>
        <v>9364.6465730947821</v>
      </c>
      <c r="R165" s="552">
        <f t="shared" si="61"/>
        <v>9876.8641072693299</v>
      </c>
      <c r="S165" s="552">
        <f t="shared" si="61"/>
        <v>10389.180319406672</v>
      </c>
      <c r="T165" s="552">
        <f t="shared" si="61"/>
        <v>10901.930714561433</v>
      </c>
      <c r="U165" s="552">
        <f t="shared" si="61"/>
        <v>11244.0767915499</v>
      </c>
      <c r="V165" s="552">
        <f t="shared" si="61"/>
        <v>11447.975052137563</v>
      </c>
      <c r="W165" s="552">
        <f t="shared" si="61"/>
        <v>11651.873312716294</v>
      </c>
      <c r="X165" s="552">
        <f t="shared" si="61"/>
        <v>11855.77157330127</v>
      </c>
      <c r="Y165" s="552">
        <f t="shared" si="61"/>
        <v>12059.788247440803</v>
      </c>
      <c r="Z165" s="552">
        <f t="shared" si="61"/>
        <v>12263.686508041674</v>
      </c>
      <c r="AA165" s="552">
        <f t="shared" si="61"/>
        <v>12467.703182199724</v>
      </c>
      <c r="AB165" s="552">
        <f t="shared" si="61"/>
        <v>12671.60144282217</v>
      </c>
      <c r="AC165" s="552">
        <f t="shared" si="61"/>
        <v>12875.499703458012</v>
      </c>
      <c r="AD165" s="552">
        <f t="shared" si="61"/>
        <v>13079.516377656644</v>
      </c>
      <c r="AE165" s="552">
        <f t="shared" si="61"/>
        <v>13283.41463832605</v>
      </c>
      <c r="AF165" s="552">
        <f t="shared" si="61"/>
        <v>13487.31289901606</v>
      </c>
      <c r="AG165" s="700">
        <f t="shared" si="61"/>
        <v>13691.329573277058</v>
      </c>
      <c r="AH165" s="18"/>
      <c r="AI165" s="18"/>
      <c r="AJ165" s="18"/>
      <c r="AK165" s="18"/>
      <c r="AL165" s="18"/>
      <c r="AM165" s="18"/>
      <c r="AN165" s="18"/>
    </row>
    <row r="166" spans="2:40" ht="21.9" customHeight="1" x14ac:dyDescent="0.25">
      <c r="B166" s="680"/>
      <c r="C166" s="690"/>
      <c r="D166" s="690"/>
      <c r="E166" s="114"/>
      <c r="F166" s="114" t="s">
        <v>326</v>
      </c>
      <c r="G166" s="114" t="s">
        <v>274</v>
      </c>
      <c r="H166" s="552">
        <f t="shared" ref="H166:AG166" si="62">H82/H125</f>
        <v>40363.099691006981</v>
      </c>
      <c r="I166" s="552">
        <f t="shared" si="62"/>
        <v>41753.13757253244</v>
      </c>
      <c r="J166" s="552">
        <f t="shared" si="62"/>
        <v>43303.955134493874</v>
      </c>
      <c r="K166" s="552">
        <f t="shared" si="62"/>
        <v>46013.059113921685</v>
      </c>
      <c r="L166" s="552">
        <f t="shared" si="62"/>
        <v>48723.777617337546</v>
      </c>
      <c r="M166" s="552">
        <f t="shared" si="62"/>
        <v>51433.554315094509</v>
      </c>
      <c r="N166" s="552">
        <f t="shared" si="62"/>
        <v>54142.658294524168</v>
      </c>
      <c r="O166" s="552">
        <f t="shared" si="62"/>
        <v>56854.520419100831</v>
      </c>
      <c r="P166" s="552">
        <f t="shared" si="62"/>
        <v>60347.139435369703</v>
      </c>
      <c r="Q166" s="552">
        <f t="shared" si="62"/>
        <v>63841.709334797466</v>
      </c>
      <c r="R166" s="552">
        <f t="shared" si="62"/>
        <v>67333.655632755545</v>
      </c>
      <c r="S166" s="552">
        <f t="shared" si="62"/>
        <v>70826.274649058774</v>
      </c>
      <c r="T166" s="552">
        <f t="shared" si="62"/>
        <v>74321.853626033277</v>
      </c>
      <c r="U166" s="552">
        <f t="shared" si="62"/>
        <v>76654.369885450331</v>
      </c>
      <c r="V166" s="552">
        <f t="shared" si="62"/>
        <v>78044.407767078577</v>
      </c>
      <c r="W166" s="552">
        <f t="shared" si="62"/>
        <v>79434.445648684428</v>
      </c>
      <c r="X166" s="552">
        <f t="shared" si="62"/>
        <v>80824.483530305937</v>
      </c>
      <c r="Y166" s="552">
        <f t="shared" si="62"/>
        <v>82215.328673939614</v>
      </c>
      <c r="Z166" s="552">
        <f t="shared" si="62"/>
        <v>83605.366555600936</v>
      </c>
      <c r="AA166" s="552">
        <f t="shared" si="62"/>
        <v>84996.211699281033</v>
      </c>
      <c r="AB166" s="552">
        <f t="shared" si="62"/>
        <v>86386.249580996431</v>
      </c>
      <c r="AC166" s="552">
        <f t="shared" si="62"/>
        <v>87776.287462745386</v>
      </c>
      <c r="AD166" s="552">
        <f t="shared" si="62"/>
        <v>89167.132606527171</v>
      </c>
      <c r="AE166" s="552">
        <f t="shared" si="62"/>
        <v>90557.170488360236</v>
      </c>
      <c r="AF166" s="552">
        <f t="shared" si="62"/>
        <v>91947.208370244931</v>
      </c>
      <c r="AG166" s="700">
        <f t="shared" si="62"/>
        <v>93338.05351418299</v>
      </c>
      <c r="AH166" s="18"/>
      <c r="AI166" s="18"/>
      <c r="AJ166" s="18"/>
      <c r="AK166" s="18"/>
      <c r="AL166" s="18"/>
      <c r="AM166" s="18"/>
      <c r="AN166" s="18"/>
    </row>
    <row r="167" spans="2:40" ht="21.9" customHeight="1" thickBot="1" x14ac:dyDescent="0.3">
      <c r="B167" s="680"/>
      <c r="C167" s="690"/>
      <c r="D167" s="690"/>
      <c r="E167" s="114"/>
      <c r="F167" s="114" t="s">
        <v>274</v>
      </c>
      <c r="G167" s="114" t="s">
        <v>317</v>
      </c>
      <c r="H167" s="710">
        <f t="shared" ref="H167:AG167" si="63">H83/H126</f>
        <v>1008.0552359163473</v>
      </c>
      <c r="I167" s="710">
        <f t="shared" si="63"/>
        <v>1042.7709781492463</v>
      </c>
      <c r="J167" s="710">
        <f t="shared" si="63"/>
        <v>1081.5021404108368</v>
      </c>
      <c r="K167" s="710">
        <f t="shared" si="63"/>
        <v>1149.1611277629911</v>
      </c>
      <c r="L167" s="710">
        <f t="shared" si="63"/>
        <v>1216.8604373424457</v>
      </c>
      <c r="M167" s="710">
        <f t="shared" si="63"/>
        <v>1284.5362256555256</v>
      </c>
      <c r="N167" s="710">
        <f t="shared" si="63"/>
        <v>1352.1952130853738</v>
      </c>
      <c r="O167" s="710">
        <f t="shared" si="63"/>
        <v>1419.9230843502346</v>
      </c>
      <c r="P167" s="710">
        <f t="shared" si="63"/>
        <v>1507.1501041653985</v>
      </c>
      <c r="Q167" s="710">
        <f t="shared" si="63"/>
        <v>1594.4258469482513</v>
      </c>
      <c r="R167" s="710">
        <f t="shared" si="63"/>
        <v>1681.6360665687009</v>
      </c>
      <c r="S167" s="710">
        <f t="shared" si="63"/>
        <v>1768.8630878149861</v>
      </c>
      <c r="T167" s="710">
        <f t="shared" si="63"/>
        <v>1856.1640342479413</v>
      </c>
      <c r="U167" s="710">
        <f t="shared" si="63"/>
        <v>1914.417870678923</v>
      </c>
      <c r="V167" s="710">
        <f t="shared" si="63"/>
        <v>1949.1336171931384</v>
      </c>
      <c r="W167" s="710">
        <f t="shared" si="63"/>
        <v>1983.8493627752628</v>
      </c>
      <c r="X167" s="710">
        <f t="shared" si="63"/>
        <v>2018.5651090091369</v>
      </c>
      <c r="Y167" s="710">
        <f t="shared" si="63"/>
        <v>2053.3010171117421</v>
      </c>
      <c r="Z167" s="710">
        <f t="shared" si="63"/>
        <v>2088.0167650051876</v>
      </c>
      <c r="AA167" s="710">
        <f t="shared" si="63"/>
        <v>2122.7526750413431</v>
      </c>
      <c r="AB167" s="710">
        <f t="shared" si="63"/>
        <v>2157.4684251864651</v>
      </c>
      <c r="AC167" s="710">
        <f t="shared" si="63"/>
        <v>2192.18417673043</v>
      </c>
      <c r="AD167" s="710">
        <f t="shared" si="63"/>
        <v>2226.9200910024824</v>
      </c>
      <c r="AE167" s="710">
        <f t="shared" si="63"/>
        <v>2261.6358460496117</v>
      </c>
      <c r="AF167" s="710">
        <f t="shared" si="63"/>
        <v>2296.3516032476214</v>
      </c>
      <c r="AG167" s="711">
        <f t="shared" si="63"/>
        <v>2331.0875240300984</v>
      </c>
      <c r="AH167" s="18"/>
      <c r="AI167" s="18"/>
      <c r="AJ167" s="18"/>
      <c r="AK167" s="18"/>
      <c r="AL167" s="18"/>
      <c r="AM167" s="18"/>
      <c r="AN167" s="18"/>
    </row>
    <row r="168" spans="2:40" ht="21.9" customHeight="1" thickBot="1" x14ac:dyDescent="0.3">
      <c r="B168" s="682"/>
      <c r="C168" s="706"/>
      <c r="D168" s="706"/>
      <c r="E168" s="707" t="s">
        <v>25</v>
      </c>
      <c r="F168" s="707"/>
      <c r="G168" s="707"/>
      <c r="H168" s="708">
        <f t="shared" ref="H168:AG168" si="64">SUM(H148:H159,H161:H167)</f>
        <v>465884.20137081441</v>
      </c>
      <c r="I168" s="708">
        <f t="shared" si="64"/>
        <v>492618.64902817033</v>
      </c>
      <c r="J168" s="708">
        <f t="shared" si="64"/>
        <v>540951.98758184293</v>
      </c>
      <c r="K168" s="708">
        <f t="shared" si="64"/>
        <v>631542.07460807136</v>
      </c>
      <c r="L168" s="708">
        <f t="shared" si="64"/>
        <v>722171.2013986205</v>
      </c>
      <c r="M168" s="708">
        <f t="shared" si="64"/>
        <v>812817.58735981549</v>
      </c>
      <c r="N168" s="708">
        <f t="shared" si="64"/>
        <v>903408.57632045017</v>
      </c>
      <c r="O168" s="708">
        <f t="shared" si="64"/>
        <v>994091.10855624545</v>
      </c>
      <c r="P168" s="708">
        <f t="shared" si="64"/>
        <v>1091505.8263977151</v>
      </c>
      <c r="Q168" s="708">
        <f t="shared" si="64"/>
        <v>1188998.1237057413</v>
      </c>
      <c r="R168" s="708">
        <f t="shared" si="64"/>
        <v>1286693.1960208018</v>
      </c>
      <c r="S168" s="708">
        <f t="shared" si="64"/>
        <v>1385072.0673493401</v>
      </c>
      <c r="T168" s="708">
        <f t="shared" si="64"/>
        <v>1485399.5536609744</v>
      </c>
      <c r="U168" s="708">
        <f t="shared" si="64"/>
        <v>1547423.6810641892</v>
      </c>
      <c r="V168" s="708">
        <f t="shared" si="64"/>
        <v>1580492.5989648711</v>
      </c>
      <c r="W168" s="708">
        <f t="shared" si="64"/>
        <v>1611311.898778561</v>
      </c>
      <c r="X168" s="708">
        <f t="shared" si="64"/>
        <v>1642981.6455335829</v>
      </c>
      <c r="Y168" s="708">
        <f t="shared" si="64"/>
        <v>1675679.4931671286</v>
      </c>
      <c r="Z168" s="708">
        <f t="shared" si="64"/>
        <v>1709555.1183080401</v>
      </c>
      <c r="AA168" s="708">
        <f t="shared" si="64"/>
        <v>1744840.9632019599</v>
      </c>
      <c r="AB168" s="708">
        <f t="shared" si="64"/>
        <v>1781760.8903821812</v>
      </c>
      <c r="AC168" s="708">
        <f t="shared" si="64"/>
        <v>1820585.9347284262</v>
      </c>
      <c r="AD168" s="708">
        <f t="shared" si="64"/>
        <v>1861670.2582377959</v>
      </c>
      <c r="AE168" s="708">
        <f t="shared" si="64"/>
        <v>1905365.3519476273</v>
      </c>
      <c r="AF168" s="708">
        <f t="shared" si="64"/>
        <v>1952061.9842205711</v>
      </c>
      <c r="AG168" s="709">
        <f t="shared" si="64"/>
        <v>2002284.4181132414</v>
      </c>
      <c r="AH168" s="18"/>
      <c r="AI168" s="18"/>
      <c r="AJ168" s="18"/>
      <c r="AK168" s="18"/>
      <c r="AL168" s="18"/>
      <c r="AM168" s="18"/>
      <c r="AN168" s="18"/>
    </row>
    <row r="169" spans="2:40" ht="21.9" customHeight="1" x14ac:dyDescent="0.25">
      <c r="B169" s="179" t="s">
        <v>210</v>
      </c>
      <c r="C169" s="114" t="s">
        <v>156</v>
      </c>
      <c r="D169" s="237" t="s">
        <v>23</v>
      </c>
      <c r="E169" s="1325" t="s">
        <v>315</v>
      </c>
      <c r="F169" s="217" t="s">
        <v>316</v>
      </c>
      <c r="G169" s="217" t="s">
        <v>276</v>
      </c>
      <c r="H169" s="701">
        <f t="shared" ref="H169:AG169" si="65">H127+H148</f>
        <v>7729.1874665658033</v>
      </c>
      <c r="I169" s="701">
        <f t="shared" si="65"/>
        <v>8084.7873062069702</v>
      </c>
      <c r="J169" s="701">
        <f t="shared" si="65"/>
        <v>8584.1389546318933</v>
      </c>
      <c r="K169" s="701">
        <f t="shared" si="65"/>
        <v>9316.7166099328369</v>
      </c>
      <c r="L169" s="701">
        <f t="shared" si="65"/>
        <v>10049.64259391449</v>
      </c>
      <c r="M169" s="701">
        <f t="shared" si="65"/>
        <v>10782.755228228734</v>
      </c>
      <c r="N169" s="701">
        <f t="shared" si="65"/>
        <v>11515.882580199897</v>
      </c>
      <c r="O169" s="701">
        <f t="shared" si="65"/>
        <v>12250.1152377543</v>
      </c>
      <c r="P169" s="701">
        <f t="shared" si="65"/>
        <v>12976.622926974398</v>
      </c>
      <c r="Q169" s="701">
        <f t="shared" si="65"/>
        <v>13704.836217693541</v>
      </c>
      <c r="R169" s="701">
        <f t="shared" si="65"/>
        <v>14435.443026870733</v>
      </c>
      <c r="S169" s="701">
        <f t="shared" si="65"/>
        <v>15170.080709932754</v>
      </c>
      <c r="T169" s="701">
        <f t="shared" si="65"/>
        <v>15911.571483158426</v>
      </c>
      <c r="U169" s="701">
        <f t="shared" si="65"/>
        <v>16418.849523497396</v>
      </c>
      <c r="V169" s="701">
        <f t="shared" si="65"/>
        <v>16789.741901957248</v>
      </c>
      <c r="W169" s="701">
        <f t="shared" si="65"/>
        <v>17164.260012042734</v>
      </c>
      <c r="X169" s="701">
        <f t="shared" si="65"/>
        <v>17543.159625710894</v>
      </c>
      <c r="Y169" s="701">
        <f t="shared" si="65"/>
        <v>17927.491153132396</v>
      </c>
      <c r="Z169" s="701">
        <f t="shared" si="65"/>
        <v>18317.992615400999</v>
      </c>
      <c r="AA169" s="701">
        <f t="shared" si="65"/>
        <v>18716.216395094671</v>
      </c>
      <c r="AB169" s="701">
        <f t="shared" si="65"/>
        <v>19123.280763913892</v>
      </c>
      <c r="AC169" s="701">
        <f t="shared" si="65"/>
        <v>19541.028254748882</v>
      </c>
      <c r="AD169" s="701">
        <f t="shared" si="65"/>
        <v>19971.592870554276</v>
      </c>
      <c r="AE169" s="701">
        <f t="shared" si="65"/>
        <v>20416.892390069082</v>
      </c>
      <c r="AF169" s="701">
        <f t="shared" si="65"/>
        <v>20879.722155626376</v>
      </c>
      <c r="AG169" s="702">
        <f t="shared" si="65"/>
        <v>21363.308889628879</v>
      </c>
      <c r="AH169" s="18"/>
      <c r="AI169" s="18"/>
      <c r="AJ169" s="18"/>
      <c r="AK169" s="18"/>
      <c r="AL169" s="18"/>
      <c r="AM169" s="18"/>
      <c r="AN169" s="18"/>
    </row>
    <row r="170" spans="2:40" ht="21.9" customHeight="1" x14ac:dyDescent="0.25">
      <c r="B170" s="680" t="s">
        <v>450</v>
      </c>
      <c r="C170" s="690"/>
      <c r="D170" s="690"/>
      <c r="E170" s="1327"/>
      <c r="F170" s="114" t="s">
        <v>276</v>
      </c>
      <c r="G170" s="114" t="s">
        <v>274</v>
      </c>
      <c r="H170" s="552">
        <f t="shared" ref="H170:AG170" si="66">H128+H149</f>
        <v>248534.35639268748</v>
      </c>
      <c r="I170" s="552">
        <f t="shared" si="66"/>
        <v>262302.30573530879</v>
      </c>
      <c r="J170" s="552">
        <f t="shared" si="66"/>
        <v>278268.47729485313</v>
      </c>
      <c r="K170" s="552">
        <f t="shared" si="66"/>
        <v>308061.00202394067</v>
      </c>
      <c r="L170" s="552">
        <f t="shared" si="66"/>
        <v>337865.59085961472</v>
      </c>
      <c r="M170" s="552">
        <f t="shared" si="66"/>
        <v>367678.01952059992</v>
      </c>
      <c r="N170" s="552">
        <f t="shared" si="66"/>
        <v>397478.79538865009</v>
      </c>
      <c r="O170" s="552">
        <f t="shared" si="66"/>
        <v>427317.99144907924</v>
      </c>
      <c r="P170" s="552">
        <f t="shared" si="66"/>
        <v>462714.70916572853</v>
      </c>
      <c r="Q170" s="552">
        <f t="shared" si="66"/>
        <v>498176.09839275398</v>
      </c>
      <c r="R170" s="552">
        <f t="shared" si="66"/>
        <v>533732.60139720526</v>
      </c>
      <c r="S170" s="552">
        <f t="shared" si="66"/>
        <v>569483.48129835492</v>
      </c>
      <c r="T170" s="552">
        <f t="shared" si="66"/>
        <v>605615.56045362353</v>
      </c>
      <c r="U170" s="552">
        <f t="shared" si="66"/>
        <v>627844.82577248884</v>
      </c>
      <c r="V170" s="552">
        <f t="shared" si="66"/>
        <v>642225.72602179437</v>
      </c>
      <c r="W170" s="552">
        <f t="shared" si="66"/>
        <v>656753.8729596081</v>
      </c>
      <c r="X170" s="552">
        <f t="shared" si="66"/>
        <v>671460.37329841731</v>
      </c>
      <c r="Y170" s="552">
        <f t="shared" si="66"/>
        <v>686392.0971199359</v>
      </c>
      <c r="Z170" s="552">
        <f t="shared" si="66"/>
        <v>701572.53648554999</v>
      </c>
      <c r="AA170" s="552">
        <f t="shared" si="66"/>
        <v>717073.10868574912</v>
      </c>
      <c r="AB170" s="552">
        <f t="shared" si="66"/>
        <v>732932.94914367609</v>
      </c>
      <c r="AC170" s="552">
        <f t="shared" si="66"/>
        <v>749232.18150036258</v>
      </c>
      <c r="AD170" s="552">
        <f t="shared" si="66"/>
        <v>766063.63161397201</v>
      </c>
      <c r="AE170" s="552">
        <f t="shared" si="66"/>
        <v>783499.3861543166</v>
      </c>
      <c r="AF170" s="552">
        <f t="shared" si="66"/>
        <v>801659.9916589295</v>
      </c>
      <c r="AG170" s="700">
        <f t="shared" si="66"/>
        <v>820684.94573569903</v>
      </c>
      <c r="AH170" s="18"/>
      <c r="AI170" s="18"/>
      <c r="AJ170" s="18"/>
      <c r="AK170" s="18"/>
      <c r="AL170" s="18"/>
      <c r="AM170" s="18"/>
      <c r="AN170" s="18"/>
    </row>
    <row r="171" spans="2:40" ht="21.9" customHeight="1" x14ac:dyDescent="0.25">
      <c r="B171" s="680"/>
      <c r="C171" s="690"/>
      <c r="D171" s="690"/>
      <c r="E171" s="1327"/>
      <c r="F171" s="114" t="s">
        <v>274</v>
      </c>
      <c r="G171" s="114" t="s">
        <v>317</v>
      </c>
      <c r="H171" s="552">
        <f t="shared" ref="H171:AG171" si="67">H129+H150</f>
        <v>5796.8799869015402</v>
      </c>
      <c r="I171" s="552">
        <f t="shared" si="67"/>
        <v>6038.9483671703838</v>
      </c>
      <c r="J171" s="552">
        <f t="shared" si="67"/>
        <v>6338.5511137390477</v>
      </c>
      <c r="K171" s="552">
        <f t="shared" si="67"/>
        <v>6741.9189452338151</v>
      </c>
      <c r="L171" s="552">
        <f t="shared" si="67"/>
        <v>7145.4330416557295</v>
      </c>
      <c r="M171" s="552">
        <f t="shared" si="67"/>
        <v>7548.901089941457</v>
      </c>
      <c r="N171" s="552">
        <f t="shared" si="67"/>
        <v>7952.2762177653422</v>
      </c>
      <c r="O171" s="552">
        <f t="shared" si="67"/>
        <v>8355.9470964504126</v>
      </c>
      <c r="P171" s="552">
        <f t="shared" si="67"/>
        <v>8747.0663421217796</v>
      </c>
      <c r="Q171" s="552">
        <f t="shared" si="67"/>
        <v>9138.3435391500389</v>
      </c>
      <c r="R171" s="552">
        <f t="shared" si="67"/>
        <v>9529.4950774832178</v>
      </c>
      <c r="S171" s="552">
        <f t="shared" si="67"/>
        <v>9920.6746953398251</v>
      </c>
      <c r="T171" s="552">
        <f t="shared" si="67"/>
        <v>10312.18456382061</v>
      </c>
      <c r="U171" s="552">
        <f t="shared" si="67"/>
        <v>10599.497720416426</v>
      </c>
      <c r="V171" s="552">
        <f t="shared" si="67"/>
        <v>10841.702077867954</v>
      </c>
      <c r="W171" s="552">
        <f t="shared" si="67"/>
        <v>11083.940531226839</v>
      </c>
      <c r="X171" s="552">
        <f t="shared" si="67"/>
        <v>11326.220572259681</v>
      </c>
      <c r="Y171" s="552">
        <f t="shared" si="67"/>
        <v>11568.647852419308</v>
      </c>
      <c r="Z171" s="552">
        <f t="shared" si="67"/>
        <v>11811.039519467329</v>
      </c>
      <c r="AA171" s="552">
        <f t="shared" si="67"/>
        <v>12053.601582611032</v>
      </c>
      <c r="AB171" s="552">
        <f t="shared" si="67"/>
        <v>12296.155239175545</v>
      </c>
      <c r="AC171" s="552">
        <f t="shared" si="67"/>
        <v>12538.814553545863</v>
      </c>
      <c r="AD171" s="552">
        <f t="shared" si="67"/>
        <v>12781.696712180172</v>
      </c>
      <c r="AE171" s="552">
        <f t="shared" si="67"/>
        <v>13024.631561028047</v>
      </c>
      <c r="AF171" s="552">
        <f t="shared" si="67"/>
        <v>13267.74348112418</v>
      </c>
      <c r="AG171" s="700">
        <f t="shared" si="67"/>
        <v>13511.161548778193</v>
      </c>
      <c r="AH171" s="18"/>
      <c r="AI171" s="18"/>
      <c r="AJ171" s="18"/>
      <c r="AK171" s="18"/>
      <c r="AL171" s="18"/>
      <c r="AM171" s="18"/>
      <c r="AN171" s="18"/>
    </row>
    <row r="172" spans="2:40" ht="21.9" customHeight="1" x14ac:dyDescent="0.25">
      <c r="B172" s="680"/>
      <c r="C172" s="690"/>
      <c r="D172" s="690"/>
      <c r="E172" s="1325" t="s">
        <v>274</v>
      </c>
      <c r="F172" s="217" t="s">
        <v>275</v>
      </c>
      <c r="G172" s="217" t="s">
        <v>318</v>
      </c>
      <c r="H172" s="558">
        <f t="shared" ref="H172:AG172" si="68">H130+H151</f>
        <v>63558.967875434799</v>
      </c>
      <c r="I172" s="558">
        <f t="shared" si="68"/>
        <v>70506.189586411652</v>
      </c>
      <c r="J172" s="558">
        <f t="shared" si="68"/>
        <v>77866.575009707012</v>
      </c>
      <c r="K172" s="558">
        <f t="shared" si="68"/>
        <v>101408.7853050522</v>
      </c>
      <c r="L172" s="558">
        <f t="shared" si="68"/>
        <v>131882.17668619051</v>
      </c>
      <c r="M172" s="558">
        <f t="shared" si="68"/>
        <v>201867.29734886976</v>
      </c>
      <c r="N172" s="558">
        <f t="shared" si="68"/>
        <v>442110.45311180304</v>
      </c>
      <c r="O172" s="558">
        <f t="shared" si="68"/>
        <v>501668.6505572056</v>
      </c>
      <c r="P172" s="558">
        <f t="shared" si="68"/>
        <v>581600.54832240893</v>
      </c>
      <c r="Q172" s="558">
        <f t="shared" si="68"/>
        <v>661630.3357861184</v>
      </c>
      <c r="R172" s="558">
        <f t="shared" si="68"/>
        <v>741842.98422179429</v>
      </c>
      <c r="S172" s="558">
        <f t="shared" si="68"/>
        <v>822726.14942529844</v>
      </c>
      <c r="T172" s="558">
        <f t="shared" si="68"/>
        <v>905536.83120009012</v>
      </c>
      <c r="U172" s="558">
        <f t="shared" si="68"/>
        <v>951964.69950250024</v>
      </c>
      <c r="V172" s="558">
        <f t="shared" si="68"/>
        <v>976376.86147359805</v>
      </c>
      <c r="W172" s="558">
        <f t="shared" si="68"/>
        <v>998592.31671729451</v>
      </c>
      <c r="X172" s="558">
        <f t="shared" si="68"/>
        <v>1021646.0610166647</v>
      </c>
      <c r="Y172" s="558">
        <f t="shared" si="68"/>
        <v>1045722.2826192693</v>
      </c>
      <c r="Z172" s="558">
        <f t="shared" si="68"/>
        <v>1070950.9532621377</v>
      </c>
      <c r="AA172" s="558">
        <f t="shared" si="68"/>
        <v>1097579.1192085417</v>
      </c>
      <c r="AB172" s="558">
        <f t="shared" si="68"/>
        <v>1125810.1108644316</v>
      </c>
      <c r="AC172" s="558">
        <f t="shared" si="68"/>
        <v>1155920.1504738398</v>
      </c>
      <c r="AD172" s="558">
        <f t="shared" si="68"/>
        <v>1188269.6988153968</v>
      </c>
      <c r="AE172" s="558">
        <f t="shared" si="68"/>
        <v>1223184.4962086298</v>
      </c>
      <c r="AF172" s="558">
        <f t="shared" si="68"/>
        <v>1261060.7552679675</v>
      </c>
      <c r="AG172" s="703">
        <f t="shared" si="68"/>
        <v>1302425.236269681</v>
      </c>
      <c r="AH172" s="18"/>
      <c r="AI172" s="18"/>
      <c r="AJ172" s="18"/>
      <c r="AK172" s="18"/>
      <c r="AL172" s="18"/>
      <c r="AM172" s="18"/>
      <c r="AN172" s="18"/>
    </row>
    <row r="173" spans="2:40" ht="21.9" customHeight="1" x14ac:dyDescent="0.25">
      <c r="B173" s="680"/>
      <c r="C173" s="690"/>
      <c r="D173" s="690"/>
      <c r="E173" s="1327"/>
      <c r="F173" s="114" t="s">
        <v>318</v>
      </c>
      <c r="G173" s="114" t="s">
        <v>308</v>
      </c>
      <c r="H173" s="552">
        <f t="shared" ref="H173:AG173" si="69">H131+H152</f>
        <v>8848.4899221904034</v>
      </c>
      <c r="I173" s="552">
        <f t="shared" si="69"/>
        <v>10024.32102519535</v>
      </c>
      <c r="J173" s="552">
        <f t="shared" si="69"/>
        <v>11200.922391659791</v>
      </c>
      <c r="K173" s="552">
        <f t="shared" si="69"/>
        <v>15183.564677023034</v>
      </c>
      <c r="L173" s="552">
        <f t="shared" si="69"/>
        <v>19188.178667345175</v>
      </c>
      <c r="M173" s="552">
        <f t="shared" si="69"/>
        <v>23347.745142094449</v>
      </c>
      <c r="N173" s="552">
        <f t="shared" si="69"/>
        <v>28270.993104940895</v>
      </c>
      <c r="O173" s="552">
        <f t="shared" si="69"/>
        <v>36268.948044129225</v>
      </c>
      <c r="P173" s="552">
        <f t="shared" si="69"/>
        <v>74370.115324857732</v>
      </c>
      <c r="Q173" s="552">
        <f t="shared" si="69"/>
        <v>99513.177268464555</v>
      </c>
      <c r="R173" s="552">
        <f t="shared" si="69"/>
        <v>113560.3975697046</v>
      </c>
      <c r="S173" s="552">
        <f t="shared" si="69"/>
        <v>127615.98292453427</v>
      </c>
      <c r="T173" s="552">
        <f t="shared" si="69"/>
        <v>141711.16422756689</v>
      </c>
      <c r="U173" s="552">
        <f t="shared" si="69"/>
        <v>149413.71042654075</v>
      </c>
      <c r="V173" s="552">
        <f t="shared" si="69"/>
        <v>152222.94489885215</v>
      </c>
      <c r="W173" s="552">
        <f t="shared" si="69"/>
        <v>154979.47045211639</v>
      </c>
      <c r="X173" s="552">
        <f t="shared" si="69"/>
        <v>157747.11634040895</v>
      </c>
      <c r="Y173" s="552">
        <f t="shared" si="69"/>
        <v>160529.48557834589</v>
      </c>
      <c r="Z173" s="552">
        <f t="shared" si="69"/>
        <v>163325.43389144694</v>
      </c>
      <c r="AA173" s="552">
        <f t="shared" si="69"/>
        <v>166140.76039952616</v>
      </c>
      <c r="AB173" s="552">
        <f t="shared" si="69"/>
        <v>168975.07505592602</v>
      </c>
      <c r="AC173" s="552">
        <f t="shared" si="69"/>
        <v>171833.20474931266</v>
      </c>
      <c r="AD173" s="552">
        <f t="shared" si="69"/>
        <v>174720.66194816615</v>
      </c>
      <c r="AE173" s="552">
        <f t="shared" si="69"/>
        <v>177638.42375077444</v>
      </c>
      <c r="AF173" s="552">
        <f t="shared" si="69"/>
        <v>180592.76546764589</v>
      </c>
      <c r="AG173" s="700">
        <f t="shared" si="69"/>
        <v>183590.97062093503</v>
      </c>
      <c r="AH173" s="18"/>
      <c r="AI173" s="18"/>
      <c r="AJ173" s="18"/>
      <c r="AK173" s="18"/>
      <c r="AL173" s="18"/>
      <c r="AM173" s="18"/>
      <c r="AN173" s="18"/>
    </row>
    <row r="174" spans="2:40" ht="21.9" customHeight="1" x14ac:dyDescent="0.25">
      <c r="B174" s="680"/>
      <c r="C174" s="690"/>
      <c r="D174" s="690"/>
      <c r="E174" s="1339"/>
      <c r="F174" s="250" t="s">
        <v>308</v>
      </c>
      <c r="G174" s="250" t="s">
        <v>319</v>
      </c>
      <c r="H174" s="562">
        <f t="shared" ref="H174:AG174" si="70">H132+H153</f>
        <v>125559.46488394152</v>
      </c>
      <c r="I174" s="562">
        <f t="shared" si="70"/>
        <v>130527.37626162461</v>
      </c>
      <c r="J174" s="562">
        <f t="shared" si="70"/>
        <v>135643.06411432326</v>
      </c>
      <c r="K174" s="562">
        <f t="shared" si="70"/>
        <v>146207.97644973267</v>
      </c>
      <c r="L174" s="562">
        <f t="shared" si="70"/>
        <v>158145.19113463513</v>
      </c>
      <c r="M174" s="562">
        <f t="shared" si="70"/>
        <v>172438.27294926243</v>
      </c>
      <c r="N174" s="562">
        <f t="shared" si="70"/>
        <v>190672.71069821756</v>
      </c>
      <c r="O174" s="562">
        <f t="shared" si="70"/>
        <v>215360.31431897223</v>
      </c>
      <c r="P174" s="562">
        <f t="shared" si="70"/>
        <v>267690.92536249326</v>
      </c>
      <c r="Q174" s="562">
        <f t="shared" si="70"/>
        <v>356585.11020655674</v>
      </c>
      <c r="R174" s="562">
        <f t="shared" si="70"/>
        <v>479630.64327155764</v>
      </c>
      <c r="S174" s="562">
        <f t="shared" si="70"/>
        <v>507309.19989502075</v>
      </c>
      <c r="T174" s="562">
        <f t="shared" si="70"/>
        <v>535013.90868260374</v>
      </c>
      <c r="U174" s="562">
        <f t="shared" si="70"/>
        <v>553018.17477486166</v>
      </c>
      <c r="V174" s="562">
        <f t="shared" si="70"/>
        <v>563276.75520423392</v>
      </c>
      <c r="W174" s="562">
        <f t="shared" si="70"/>
        <v>573533.7958714515</v>
      </c>
      <c r="X174" s="562">
        <f t="shared" si="70"/>
        <v>583791.79885993362</v>
      </c>
      <c r="Y174" s="562">
        <f t="shared" si="70"/>
        <v>594057.38379971078</v>
      </c>
      <c r="Z174" s="562">
        <f t="shared" si="70"/>
        <v>604317.85035638441</v>
      </c>
      <c r="AA174" s="562">
        <f t="shared" si="70"/>
        <v>614586.3146569978</v>
      </c>
      <c r="AB174" s="562">
        <f t="shared" si="70"/>
        <v>624850.14503133669</v>
      </c>
      <c r="AC174" s="562">
        <f t="shared" si="70"/>
        <v>635116.07397930138</v>
      </c>
      <c r="AD174" s="562">
        <f t="shared" si="70"/>
        <v>645390.89582501375</v>
      </c>
      <c r="AE174" s="562">
        <f t="shared" si="70"/>
        <v>655662.10509908409</v>
      </c>
      <c r="AF174" s="562">
        <f t="shared" si="70"/>
        <v>665936.56846405962</v>
      </c>
      <c r="AG174" s="704">
        <f t="shared" si="70"/>
        <v>676221.24408065528</v>
      </c>
      <c r="AH174" s="18"/>
      <c r="AI174" s="18"/>
      <c r="AJ174" s="18"/>
      <c r="AK174" s="18"/>
      <c r="AL174" s="18"/>
      <c r="AM174" s="18"/>
      <c r="AN174" s="18"/>
    </row>
    <row r="175" spans="2:40" ht="21.9" customHeight="1" x14ac:dyDescent="0.25">
      <c r="B175" s="680"/>
      <c r="C175" s="690"/>
      <c r="D175" s="690"/>
      <c r="E175" s="114" t="s">
        <v>320</v>
      </c>
      <c r="F175" s="114" t="s">
        <v>318</v>
      </c>
      <c r="G175" s="114" t="s">
        <v>308</v>
      </c>
      <c r="H175" s="552">
        <f t="shared" ref="H175:AG175" si="71">H133+H154</f>
        <v>845.0738916256156</v>
      </c>
      <c r="I175" s="552">
        <f t="shared" si="71"/>
        <v>1368.1746305418719</v>
      </c>
      <c r="J175" s="552">
        <f t="shared" si="71"/>
        <v>3903.3963054187179</v>
      </c>
      <c r="K175" s="552">
        <f t="shared" si="71"/>
        <v>8252.991625615763</v>
      </c>
      <c r="L175" s="552">
        <f t="shared" si="71"/>
        <v>12605.967241379316</v>
      </c>
      <c r="M175" s="552">
        <f t="shared" si="71"/>
        <v>16957.252709359815</v>
      </c>
      <c r="N175" s="552">
        <f t="shared" si="71"/>
        <v>21306.848029559216</v>
      </c>
      <c r="O175" s="552">
        <f t="shared" si="71"/>
        <v>25663.203940906547</v>
      </c>
      <c r="P175" s="552">
        <f t="shared" si="71"/>
        <v>28003.21354684986</v>
      </c>
      <c r="Q175" s="552">
        <f t="shared" si="71"/>
        <v>30346.603448401314</v>
      </c>
      <c r="R175" s="552">
        <f t="shared" si="71"/>
        <v>32687.458128362923</v>
      </c>
      <c r="S175" s="552">
        <f t="shared" si="71"/>
        <v>35027.467734597987</v>
      </c>
      <c r="T175" s="552">
        <f t="shared" si="71"/>
        <v>37373.39285838302</v>
      </c>
      <c r="U175" s="552">
        <f t="shared" si="71"/>
        <v>37896.493597504159</v>
      </c>
      <c r="V175" s="552">
        <f t="shared" si="71"/>
        <v>38419.594336655631</v>
      </c>
      <c r="W175" s="552">
        <f t="shared" si="71"/>
        <v>38942.695075841373</v>
      </c>
      <c r="X175" s="552">
        <f t="shared" si="71"/>
        <v>39465.795815065874</v>
      </c>
      <c r="Y175" s="552">
        <f t="shared" si="71"/>
        <v>39991.431776010759</v>
      </c>
      <c r="Z175" s="552">
        <f t="shared" si="71"/>
        <v>40514.532515328377</v>
      </c>
      <c r="AA175" s="552">
        <f t="shared" si="71"/>
        <v>41040.168476378531</v>
      </c>
      <c r="AB175" s="552">
        <f t="shared" si="71"/>
        <v>41563.269215813838</v>
      </c>
      <c r="AC175" s="552">
        <f t="shared" si="71"/>
        <v>42086.369955318762</v>
      </c>
      <c r="AD175" s="552">
        <f t="shared" si="71"/>
        <v>42612.005916579888</v>
      </c>
      <c r="AE175" s="552">
        <f t="shared" si="71"/>
        <v>43135.106656250209</v>
      </c>
      <c r="AF175" s="552">
        <f t="shared" si="71"/>
        <v>43658.207396017744</v>
      </c>
      <c r="AG175" s="700">
        <f t="shared" si="71"/>
        <v>44183.843357573438</v>
      </c>
      <c r="AH175" s="18"/>
      <c r="AI175" s="18"/>
      <c r="AJ175" s="18"/>
      <c r="AK175" s="18"/>
      <c r="AL175" s="18"/>
      <c r="AM175" s="18"/>
      <c r="AN175" s="18"/>
    </row>
    <row r="176" spans="2:40" ht="21.9" customHeight="1" x14ac:dyDescent="0.25">
      <c r="B176" s="680"/>
      <c r="C176" s="690"/>
      <c r="D176" s="690"/>
      <c r="E176" s="1325" t="s">
        <v>308</v>
      </c>
      <c r="F176" s="217" t="s">
        <v>276</v>
      </c>
      <c r="G176" s="217" t="s">
        <v>320</v>
      </c>
      <c r="H176" s="558">
        <f t="shared" ref="H176:AG176" si="72">H134+H155</f>
        <v>2427.3399014778324</v>
      </c>
      <c r="I176" s="558">
        <f t="shared" si="72"/>
        <v>2427.3399014778324</v>
      </c>
      <c r="J176" s="558">
        <f t="shared" si="72"/>
        <v>28402.304202663148</v>
      </c>
      <c r="K176" s="558">
        <f t="shared" si="72"/>
        <v>54377.288071326489</v>
      </c>
      <c r="L176" s="558">
        <f t="shared" si="72"/>
        <v>80375.520621015647</v>
      </c>
      <c r="M176" s="558">
        <f t="shared" si="72"/>
        <v>106380.4264777769</v>
      </c>
      <c r="N176" s="558">
        <f t="shared" si="72"/>
        <v>132671.26807387476</v>
      </c>
      <c r="O176" s="558">
        <f t="shared" si="72"/>
        <v>160818.56875726747</v>
      </c>
      <c r="P176" s="558">
        <f t="shared" si="72"/>
        <v>160818.60025303785</v>
      </c>
      <c r="Q176" s="558">
        <f t="shared" si="72"/>
        <v>160818.60025303785</v>
      </c>
      <c r="R176" s="558">
        <f t="shared" si="72"/>
        <v>160818.60025303785</v>
      </c>
      <c r="S176" s="558">
        <f t="shared" si="72"/>
        <v>160818.60025303785</v>
      </c>
      <c r="T176" s="558">
        <f t="shared" si="72"/>
        <v>160818.60025303785</v>
      </c>
      <c r="U176" s="558">
        <f t="shared" si="72"/>
        <v>160818.60025303785</v>
      </c>
      <c r="V176" s="558">
        <f t="shared" si="72"/>
        <v>160818.60025303785</v>
      </c>
      <c r="W176" s="558">
        <f t="shared" si="72"/>
        <v>160818.60025303785</v>
      </c>
      <c r="X176" s="558">
        <f t="shared" si="72"/>
        <v>160818.60025303785</v>
      </c>
      <c r="Y176" s="558">
        <f t="shared" si="72"/>
        <v>160818.60025303785</v>
      </c>
      <c r="Z176" s="558">
        <f t="shared" si="72"/>
        <v>160818.60025303785</v>
      </c>
      <c r="AA176" s="558">
        <f t="shared" si="72"/>
        <v>160818.60025303785</v>
      </c>
      <c r="AB176" s="558">
        <f t="shared" si="72"/>
        <v>160818.60025303785</v>
      </c>
      <c r="AC176" s="558">
        <f t="shared" si="72"/>
        <v>160818.60025303785</v>
      </c>
      <c r="AD176" s="558">
        <f t="shared" si="72"/>
        <v>160818.60025303785</v>
      </c>
      <c r="AE176" s="558">
        <f t="shared" si="72"/>
        <v>160818.60025303785</v>
      </c>
      <c r="AF176" s="558">
        <f t="shared" si="72"/>
        <v>160818.60025303785</v>
      </c>
      <c r="AG176" s="703">
        <f t="shared" si="72"/>
        <v>160818.60025303785</v>
      </c>
      <c r="AH176" s="18"/>
      <c r="AI176" s="18"/>
      <c r="AJ176" s="18"/>
      <c r="AK176" s="18"/>
      <c r="AL176" s="18"/>
      <c r="AM176" s="18"/>
      <c r="AN176" s="18"/>
    </row>
    <row r="177" spans="2:40" ht="21.9" customHeight="1" x14ac:dyDescent="0.25">
      <c r="B177" s="680"/>
      <c r="C177" s="690"/>
      <c r="D177" s="690"/>
      <c r="E177" s="1327"/>
      <c r="F177" s="114" t="s">
        <v>320</v>
      </c>
      <c r="G177" s="114" t="s">
        <v>282</v>
      </c>
      <c r="H177" s="552">
        <f t="shared" ref="H177:AG177" si="73">H135+H156</f>
        <v>609.32249322493226</v>
      </c>
      <c r="I177" s="552">
        <f t="shared" si="73"/>
        <v>1157.7127371273928</v>
      </c>
      <c r="J177" s="552">
        <f t="shared" si="73"/>
        <v>1706.1029810313298</v>
      </c>
      <c r="K177" s="552">
        <f t="shared" si="73"/>
        <v>3711.3279211226895</v>
      </c>
      <c r="L177" s="552">
        <f t="shared" si="73"/>
        <v>5713.7841011732671</v>
      </c>
      <c r="M177" s="552">
        <f t="shared" si="73"/>
        <v>7721.8025851664997</v>
      </c>
      <c r="N177" s="552">
        <f t="shared" si="73"/>
        <v>9727.3170940721266</v>
      </c>
      <c r="O177" s="552">
        <f t="shared" si="73"/>
        <v>11734.698664997861</v>
      </c>
      <c r="P177" s="552">
        <f t="shared" si="73"/>
        <v>15262.466014643802</v>
      </c>
      <c r="Q177" s="552">
        <f t="shared" si="73"/>
        <v>19121.093263708819</v>
      </c>
      <c r="R177" s="552">
        <f t="shared" si="73"/>
        <v>24922.384304188461</v>
      </c>
      <c r="S177" s="552">
        <f t="shared" si="73"/>
        <v>39296.571122363246</v>
      </c>
      <c r="T177" s="552">
        <f t="shared" si="73"/>
        <v>84448.29738882622</v>
      </c>
      <c r="U177" s="552">
        <f t="shared" si="73"/>
        <v>96465.817331057231</v>
      </c>
      <c r="V177" s="552">
        <f t="shared" si="73"/>
        <v>98154.114881290327</v>
      </c>
      <c r="W177" s="552">
        <f t="shared" si="73"/>
        <v>99850.462946157</v>
      </c>
      <c r="X177" s="552">
        <f t="shared" si="73"/>
        <v>101546.88338784526</v>
      </c>
      <c r="Y177" s="552">
        <f t="shared" si="73"/>
        <v>103243.38639999263</v>
      </c>
      <c r="Z177" s="552">
        <f t="shared" si="73"/>
        <v>104939.98547009901</v>
      </c>
      <c r="AA177" s="552">
        <f t="shared" si="73"/>
        <v>106636.69600968946</v>
      </c>
      <c r="AB177" s="552">
        <f t="shared" si="73"/>
        <v>108333.53559033727</v>
      </c>
      <c r="AC177" s="552">
        <f t="shared" si="73"/>
        <v>110030.52420408341</v>
      </c>
      <c r="AD177" s="552">
        <f t="shared" si="73"/>
        <v>111719.11844708066</v>
      </c>
      <c r="AE177" s="552">
        <f t="shared" si="73"/>
        <v>113416.46929399075</v>
      </c>
      <c r="AF177" s="552">
        <f t="shared" si="73"/>
        <v>115114.05241819441</v>
      </c>
      <c r="AG177" s="700">
        <f t="shared" si="73"/>
        <v>116811.8947542941</v>
      </c>
      <c r="AH177" s="18"/>
      <c r="AI177" s="18"/>
      <c r="AJ177" s="18"/>
      <c r="AK177" s="18"/>
      <c r="AL177" s="18"/>
      <c r="AM177" s="18"/>
      <c r="AN177" s="18"/>
    </row>
    <row r="178" spans="2:40" ht="21.9" customHeight="1" x14ac:dyDescent="0.25">
      <c r="B178" s="680"/>
      <c r="C178" s="690"/>
      <c r="D178" s="690"/>
      <c r="E178" s="1327"/>
      <c r="F178" s="114" t="s">
        <v>282</v>
      </c>
      <c r="G178" s="114" t="s">
        <v>321</v>
      </c>
      <c r="H178" s="552">
        <f t="shared" ref="H178:AG178" si="74">H136+H157</f>
        <v>1944.8905109489051</v>
      </c>
      <c r="I178" s="552">
        <f t="shared" si="74"/>
        <v>3694.4491849148417</v>
      </c>
      <c r="J178" s="552">
        <f t="shared" si="74"/>
        <v>5443.4243917274944</v>
      </c>
      <c r="K178" s="552">
        <f t="shared" si="74"/>
        <v>11841.919683698419</v>
      </c>
      <c r="L178" s="552">
        <f t="shared" si="74"/>
        <v>18240.674294418233</v>
      </c>
      <c r="M178" s="552">
        <f t="shared" si="74"/>
        <v>24647.597445648662</v>
      </c>
      <c r="N178" s="552">
        <f t="shared" si="74"/>
        <v>31046.092742205441</v>
      </c>
      <c r="O178" s="552">
        <f t="shared" si="74"/>
        <v>37448.477849380193</v>
      </c>
      <c r="P178" s="552">
        <f t="shared" si="74"/>
        <v>48575.002619196712</v>
      </c>
      <c r="Q178" s="552">
        <f t="shared" si="74"/>
        <v>59696.994595945587</v>
      </c>
      <c r="R178" s="552">
        <f t="shared" si="74"/>
        <v>70822.712667400236</v>
      </c>
      <c r="S178" s="552">
        <f t="shared" si="74"/>
        <v>81949.409253229096</v>
      </c>
      <c r="T178" s="552">
        <f t="shared" si="74"/>
        <v>93084.697667375454</v>
      </c>
      <c r="U178" s="552">
        <f t="shared" si="74"/>
        <v>99558.187935970171</v>
      </c>
      <c r="V178" s="552">
        <f t="shared" si="74"/>
        <v>101308.13439753474</v>
      </c>
      <c r="W178" s="552">
        <f t="shared" si="74"/>
        <v>103058.15393440919</v>
      </c>
      <c r="X178" s="552">
        <f t="shared" si="74"/>
        <v>104808.25872726183</v>
      </c>
      <c r="Y178" s="552">
        <f t="shared" si="74"/>
        <v>106557.87901676691</v>
      </c>
      <c r="Z178" s="552">
        <f t="shared" si="74"/>
        <v>108308.19809500566</v>
      </c>
      <c r="AA178" s="552">
        <f t="shared" si="74"/>
        <v>110058.06667410745</v>
      </c>
      <c r="AB178" s="552">
        <f t="shared" si="74"/>
        <v>111808.6729500283</v>
      </c>
      <c r="AC178" s="552">
        <f t="shared" si="74"/>
        <v>113559.45665396267</v>
      </c>
      <c r="AD178" s="552">
        <f t="shared" si="74"/>
        <v>115309.86040708634</v>
      </c>
      <c r="AE178" s="552">
        <f t="shared" si="74"/>
        <v>117061.08217818968</v>
      </c>
      <c r="AF178" s="552">
        <f t="shared" si="74"/>
        <v>118812.57203019604</v>
      </c>
      <c r="AG178" s="700">
        <f t="shared" si="74"/>
        <v>120563.78397835894</v>
      </c>
      <c r="AH178" s="18"/>
      <c r="AI178" s="18"/>
      <c r="AJ178" s="18"/>
      <c r="AK178" s="18"/>
      <c r="AL178" s="18"/>
      <c r="AM178" s="18"/>
      <c r="AN178" s="18"/>
    </row>
    <row r="179" spans="2:40" ht="21.9" customHeight="1" x14ac:dyDescent="0.25">
      <c r="B179" s="680"/>
      <c r="C179" s="690"/>
      <c r="D179" s="690"/>
      <c r="E179" s="1339"/>
      <c r="F179" s="250" t="s">
        <v>321</v>
      </c>
      <c r="G179" s="250" t="s">
        <v>274</v>
      </c>
      <c r="H179" s="562">
        <f t="shared" ref="H179:AG179" si="75">H137+H158</f>
        <v>2797.4452554744526</v>
      </c>
      <c r="I179" s="562">
        <f t="shared" si="75"/>
        <v>5313.9337591240865</v>
      </c>
      <c r="J179" s="562">
        <f t="shared" si="75"/>
        <v>7829.5830291970815</v>
      </c>
      <c r="K179" s="562">
        <f t="shared" si="75"/>
        <v>17032.898175182658</v>
      </c>
      <c r="L179" s="562">
        <f t="shared" si="75"/>
        <v>26236.586313889238</v>
      </c>
      <c r="M179" s="562">
        <f t="shared" si="75"/>
        <v>35452.023723193284</v>
      </c>
      <c r="N179" s="562">
        <f t="shared" si="75"/>
        <v>44655.338875774964</v>
      </c>
      <c r="O179" s="562">
        <f t="shared" si="75"/>
        <v>53864.248961437275</v>
      </c>
      <c r="P179" s="562">
        <f t="shared" si="75"/>
        <v>69868.154452269242</v>
      </c>
      <c r="Q179" s="562">
        <f t="shared" si="75"/>
        <v>85865.540172250505</v>
      </c>
      <c r="R179" s="562">
        <f t="shared" si="75"/>
        <v>101868.2853435209</v>
      </c>
      <c r="S179" s="562">
        <f t="shared" si="75"/>
        <v>117872.43796697336</v>
      </c>
      <c r="T179" s="562">
        <f t="shared" si="75"/>
        <v>133888.94869964963</v>
      </c>
      <c r="U179" s="562">
        <f t="shared" si="75"/>
        <v>143200.13333255984</v>
      </c>
      <c r="V179" s="562">
        <f t="shared" si="75"/>
        <v>145717.17961289245</v>
      </c>
      <c r="W179" s="562">
        <f t="shared" si="75"/>
        <v>148234.33100154746</v>
      </c>
      <c r="X179" s="562">
        <f t="shared" si="75"/>
        <v>150751.60501866427</v>
      </c>
      <c r="Y179" s="562">
        <f t="shared" si="75"/>
        <v>153268.18214740447</v>
      </c>
      <c r="Z179" s="562">
        <f t="shared" si="75"/>
        <v>155785.76438322733</v>
      </c>
      <c r="AA179" s="562">
        <f t="shared" si="75"/>
        <v>158302.69864083949</v>
      </c>
      <c r="AB179" s="562">
        <f t="shared" si="75"/>
        <v>160820.69396921879</v>
      </c>
      <c r="AC179" s="562">
        <f t="shared" si="75"/>
        <v>163338.94450227509</v>
      </c>
      <c r="AD179" s="562">
        <f t="shared" si="75"/>
        <v>165856.64853074061</v>
      </c>
      <c r="AE179" s="562">
        <f t="shared" si="75"/>
        <v>168375.52916040982</v>
      </c>
      <c r="AF179" s="562">
        <f t="shared" si="75"/>
        <v>170894.79538589844</v>
      </c>
      <c r="AG179" s="704">
        <f t="shared" si="75"/>
        <v>173413.6618866807</v>
      </c>
      <c r="AH179" s="18"/>
      <c r="AI179" s="18"/>
      <c r="AJ179" s="18"/>
      <c r="AK179" s="18"/>
      <c r="AL179" s="18"/>
      <c r="AM179" s="18"/>
      <c r="AN179" s="18"/>
    </row>
    <row r="180" spans="2:40" ht="21.9" customHeight="1" x14ac:dyDescent="0.25">
      <c r="B180" s="680"/>
      <c r="C180" s="690"/>
      <c r="D180" s="690"/>
      <c r="E180" s="250"/>
      <c r="F180" s="250" t="s">
        <v>324</v>
      </c>
      <c r="G180" s="250" t="s">
        <v>325</v>
      </c>
      <c r="H180" s="552" t="e">
        <f>#REF!+#REF!</f>
        <v>#REF!</v>
      </c>
      <c r="I180" s="552" t="e">
        <f>#REF!+#REF!</f>
        <v>#REF!</v>
      </c>
      <c r="J180" s="552" t="e">
        <f>#REF!+#REF!</f>
        <v>#REF!</v>
      </c>
      <c r="K180" s="552" t="e">
        <f>#REF!+#REF!</f>
        <v>#REF!</v>
      </c>
      <c r="L180" s="552" t="e">
        <f>#REF!+#REF!</f>
        <v>#REF!</v>
      </c>
      <c r="M180" s="552" t="e">
        <f>#REF!+#REF!</f>
        <v>#REF!</v>
      </c>
      <c r="N180" s="552" t="e">
        <f>#REF!+#REF!</f>
        <v>#REF!</v>
      </c>
      <c r="O180" s="552" t="e">
        <f>#REF!+#REF!</f>
        <v>#REF!</v>
      </c>
      <c r="P180" s="552" t="e">
        <f>#REF!+#REF!</f>
        <v>#REF!</v>
      </c>
      <c r="Q180" s="552" t="e">
        <f>#REF!+#REF!</f>
        <v>#REF!</v>
      </c>
      <c r="R180" s="552" t="e">
        <f>#REF!+#REF!</f>
        <v>#REF!</v>
      </c>
      <c r="S180" s="552" t="e">
        <f>#REF!+#REF!</f>
        <v>#REF!</v>
      </c>
      <c r="T180" s="552" t="e">
        <f>#REF!+#REF!</f>
        <v>#REF!</v>
      </c>
      <c r="U180" s="552" t="e">
        <f>#REF!+#REF!</f>
        <v>#REF!</v>
      </c>
      <c r="V180" s="552" t="e">
        <f>#REF!+#REF!</f>
        <v>#REF!</v>
      </c>
      <c r="W180" s="552" t="e">
        <f>#REF!+#REF!</f>
        <v>#REF!</v>
      </c>
      <c r="X180" s="552" t="e">
        <f>#REF!+#REF!</f>
        <v>#REF!</v>
      </c>
      <c r="Y180" s="552" t="e">
        <f>#REF!+#REF!</f>
        <v>#REF!</v>
      </c>
      <c r="Z180" s="552" t="e">
        <f>#REF!+#REF!</f>
        <v>#REF!</v>
      </c>
      <c r="AA180" s="552" t="e">
        <f>#REF!+#REF!</f>
        <v>#REF!</v>
      </c>
      <c r="AB180" s="552" t="e">
        <f>#REF!+#REF!</f>
        <v>#REF!</v>
      </c>
      <c r="AC180" s="552" t="e">
        <f>#REF!+#REF!</f>
        <v>#REF!</v>
      </c>
      <c r="AD180" s="552" t="e">
        <f>#REF!+#REF!</f>
        <v>#REF!</v>
      </c>
      <c r="AE180" s="552" t="e">
        <f>#REF!+#REF!</f>
        <v>#REF!</v>
      </c>
      <c r="AF180" s="552" t="e">
        <f>#REF!+#REF!</f>
        <v>#REF!</v>
      </c>
      <c r="AG180" s="700" t="e">
        <f>#REF!+#REF!</f>
        <v>#REF!</v>
      </c>
      <c r="AH180" s="18"/>
      <c r="AI180" s="18"/>
      <c r="AJ180" s="18"/>
      <c r="AK180" s="18"/>
      <c r="AL180" s="18"/>
      <c r="AM180" s="18"/>
      <c r="AN180" s="18"/>
    </row>
    <row r="181" spans="2:40" ht="21.9" customHeight="1" x14ac:dyDescent="0.25">
      <c r="B181" s="680"/>
      <c r="C181" s="690"/>
      <c r="D181" s="690"/>
      <c r="E181" s="114" t="s">
        <v>282</v>
      </c>
      <c r="F181" s="114" t="s">
        <v>308</v>
      </c>
      <c r="G181" s="114" t="s">
        <v>324</v>
      </c>
      <c r="H181" s="568">
        <f t="shared" ref="H181:AG181" si="76">H138+H159</f>
        <v>23633.09448058578</v>
      </c>
      <c r="I181" s="568">
        <f t="shared" si="76"/>
        <v>24519.073374646814</v>
      </c>
      <c r="J181" s="568">
        <f t="shared" si="76"/>
        <v>25874.301149443396</v>
      </c>
      <c r="K181" s="568">
        <f t="shared" si="76"/>
        <v>30180.130979470505</v>
      </c>
      <c r="L181" s="568">
        <f t="shared" si="76"/>
        <v>34486.652765956373</v>
      </c>
      <c r="M181" s="568">
        <f t="shared" si="76"/>
        <v>38797.884877333439</v>
      </c>
      <c r="N181" s="568">
        <f t="shared" si="76"/>
        <v>43104.189945641367</v>
      </c>
      <c r="O181" s="568">
        <f t="shared" si="76"/>
        <v>47415.524788910538</v>
      </c>
      <c r="P181" s="568">
        <f t="shared" si="76"/>
        <v>53099.428778932408</v>
      </c>
      <c r="Q181" s="568">
        <f t="shared" si="76"/>
        <v>58791.344057388756</v>
      </c>
      <c r="R181" s="568">
        <f t="shared" si="76"/>
        <v>64508.68977286118</v>
      </c>
      <c r="S181" s="568">
        <f t="shared" si="76"/>
        <v>70278.383623713496</v>
      </c>
      <c r="T181" s="568">
        <f t="shared" si="76"/>
        <v>76167.387352677208</v>
      </c>
      <c r="U181" s="568">
        <f t="shared" si="76"/>
        <v>79060.75061328501</v>
      </c>
      <c r="V181" s="568">
        <f t="shared" si="76"/>
        <v>80015.242483406531</v>
      </c>
      <c r="W181" s="568">
        <f t="shared" si="76"/>
        <v>80977.817138111888</v>
      </c>
      <c r="X181" s="568">
        <f t="shared" si="76"/>
        <v>81949.324719841461</v>
      </c>
      <c r="Y181" s="568">
        <f t="shared" si="76"/>
        <v>82931.715630512714</v>
      </c>
      <c r="Z181" s="568">
        <f t="shared" si="76"/>
        <v>83923.966208696715</v>
      </c>
      <c r="AA181" s="568">
        <f t="shared" si="76"/>
        <v>84929.240299015277</v>
      </c>
      <c r="AB181" s="568">
        <f t="shared" si="76"/>
        <v>85946.656613924861</v>
      </c>
      <c r="AC181" s="568">
        <f t="shared" si="76"/>
        <v>86978.557584241469</v>
      </c>
      <c r="AD181" s="568">
        <f t="shared" si="76"/>
        <v>88027.460045619126</v>
      </c>
      <c r="AE181" s="568">
        <f t="shared" si="76"/>
        <v>89092.735247375706</v>
      </c>
      <c r="AF181" s="568">
        <f t="shared" si="76"/>
        <v>90177.1372691078</v>
      </c>
      <c r="AG181" s="705">
        <f t="shared" si="76"/>
        <v>91283.641447311471</v>
      </c>
      <c r="AH181" s="18"/>
      <c r="AI181" s="18"/>
      <c r="AJ181" s="18"/>
      <c r="AK181" s="18"/>
      <c r="AL181" s="18"/>
      <c r="AM181" s="18"/>
      <c r="AN181" s="18"/>
    </row>
    <row r="182" spans="2:40" ht="21.9" customHeight="1" x14ac:dyDescent="0.25">
      <c r="B182" s="680"/>
      <c r="C182" s="690"/>
      <c r="D182" s="690"/>
      <c r="E182" s="273" t="s">
        <v>321</v>
      </c>
      <c r="F182" s="273" t="s">
        <v>318</v>
      </c>
      <c r="G182" s="273" t="s">
        <v>308</v>
      </c>
      <c r="H182" s="552" t="e">
        <f t="shared" ref="H182:AG182" si="77">H139+H160</f>
        <v>#DIV/0!</v>
      </c>
      <c r="I182" s="552" t="e">
        <f t="shared" si="77"/>
        <v>#DIV/0!</v>
      </c>
      <c r="J182" s="552" t="e">
        <f t="shared" si="77"/>
        <v>#DIV/0!</v>
      </c>
      <c r="K182" s="552" t="e">
        <f t="shared" si="77"/>
        <v>#DIV/0!</v>
      </c>
      <c r="L182" s="552" t="e">
        <f t="shared" si="77"/>
        <v>#DIV/0!</v>
      </c>
      <c r="M182" s="552" t="e">
        <f t="shared" si="77"/>
        <v>#DIV/0!</v>
      </c>
      <c r="N182" s="552" t="e">
        <f t="shared" si="77"/>
        <v>#DIV/0!</v>
      </c>
      <c r="O182" s="552" t="e">
        <f t="shared" si="77"/>
        <v>#DIV/0!</v>
      </c>
      <c r="P182" s="552" t="e">
        <f t="shared" si="77"/>
        <v>#DIV/0!</v>
      </c>
      <c r="Q182" s="552" t="e">
        <f t="shared" si="77"/>
        <v>#DIV/0!</v>
      </c>
      <c r="R182" s="552" t="e">
        <f t="shared" si="77"/>
        <v>#DIV/0!</v>
      </c>
      <c r="S182" s="552" t="e">
        <f t="shared" si="77"/>
        <v>#DIV/0!</v>
      </c>
      <c r="T182" s="552" t="e">
        <f t="shared" si="77"/>
        <v>#DIV/0!</v>
      </c>
      <c r="U182" s="552" t="e">
        <f t="shared" si="77"/>
        <v>#DIV/0!</v>
      </c>
      <c r="V182" s="552" t="e">
        <f t="shared" si="77"/>
        <v>#DIV/0!</v>
      </c>
      <c r="W182" s="552" t="e">
        <f t="shared" si="77"/>
        <v>#DIV/0!</v>
      </c>
      <c r="X182" s="552" t="e">
        <f t="shared" si="77"/>
        <v>#DIV/0!</v>
      </c>
      <c r="Y182" s="552" t="e">
        <f t="shared" si="77"/>
        <v>#DIV/0!</v>
      </c>
      <c r="Z182" s="552" t="e">
        <f t="shared" si="77"/>
        <v>#DIV/0!</v>
      </c>
      <c r="AA182" s="552" t="e">
        <f t="shared" si="77"/>
        <v>#DIV/0!</v>
      </c>
      <c r="AB182" s="552" t="e">
        <f t="shared" si="77"/>
        <v>#DIV/0!</v>
      </c>
      <c r="AC182" s="552" t="e">
        <f t="shared" si="77"/>
        <v>#DIV/0!</v>
      </c>
      <c r="AD182" s="552" t="e">
        <f t="shared" si="77"/>
        <v>#DIV/0!</v>
      </c>
      <c r="AE182" s="552" t="e">
        <f t="shared" si="77"/>
        <v>#DIV/0!</v>
      </c>
      <c r="AF182" s="552" t="e">
        <f t="shared" si="77"/>
        <v>#DIV/0!</v>
      </c>
      <c r="AG182" s="700" t="e">
        <f t="shared" si="77"/>
        <v>#DIV/0!</v>
      </c>
      <c r="AH182" s="18"/>
      <c r="AI182" s="18"/>
      <c r="AJ182" s="18"/>
      <c r="AK182" s="18"/>
      <c r="AL182" s="18"/>
      <c r="AM182" s="18"/>
      <c r="AN182" s="18"/>
    </row>
    <row r="183" spans="2:40" ht="21.9" customHeight="1" x14ac:dyDescent="0.25">
      <c r="B183" s="680"/>
      <c r="C183" s="690"/>
      <c r="D183" s="690"/>
      <c r="E183" s="273" t="s">
        <v>333</v>
      </c>
      <c r="F183" s="273" t="s">
        <v>319</v>
      </c>
      <c r="G183" s="273" t="s">
        <v>308</v>
      </c>
      <c r="H183" s="568">
        <f t="shared" ref="H183:AG183" si="78">H140+H161</f>
        <v>38197.078466007326</v>
      </c>
      <c r="I183" s="568">
        <f t="shared" si="78"/>
        <v>38787.701676608493</v>
      </c>
      <c r="J183" s="568">
        <f t="shared" si="78"/>
        <v>39758.239466186773</v>
      </c>
      <c r="K183" s="568">
        <f t="shared" si="78"/>
        <v>43058.272499378974</v>
      </c>
      <c r="L183" s="568">
        <f t="shared" si="78"/>
        <v>46362.671092908626</v>
      </c>
      <c r="M183" s="568">
        <f t="shared" si="78"/>
        <v>49678.533147442737</v>
      </c>
      <c r="N183" s="568">
        <f t="shared" si="78"/>
        <v>53004.232813576353</v>
      </c>
      <c r="O183" s="568">
        <f t="shared" si="78"/>
        <v>56358.785966977055</v>
      </c>
      <c r="P183" s="568">
        <f t="shared" si="78"/>
        <v>60391.161751330976</v>
      </c>
      <c r="Q183" s="568">
        <f t="shared" si="78"/>
        <v>64534.08935172543</v>
      </c>
      <c r="R183" s="568">
        <f t="shared" si="78"/>
        <v>68874.982277832503</v>
      </c>
      <c r="S183" s="568">
        <f t="shared" si="78"/>
        <v>73547.775421747909</v>
      </c>
      <c r="T183" s="568">
        <f t="shared" si="78"/>
        <v>78778.263897458717</v>
      </c>
      <c r="U183" s="568">
        <f t="shared" si="78"/>
        <v>81117.982310185049</v>
      </c>
      <c r="V183" s="568">
        <f t="shared" si="78"/>
        <v>82033.802621573719</v>
      </c>
      <c r="W183" s="568">
        <f t="shared" si="78"/>
        <v>82975.213750848823</v>
      </c>
      <c r="X183" s="568">
        <f t="shared" si="78"/>
        <v>83944.019801817427</v>
      </c>
      <c r="Y183" s="568">
        <f t="shared" si="78"/>
        <v>84944.133466263709</v>
      </c>
      <c r="Z183" s="568">
        <f t="shared" si="78"/>
        <v>85973.63805769688</v>
      </c>
      <c r="AA183" s="568">
        <f t="shared" si="78"/>
        <v>87038.763738324546</v>
      </c>
      <c r="AB183" s="568">
        <f t="shared" si="78"/>
        <v>88137.591777313864</v>
      </c>
      <c r="AC183" s="568">
        <f t="shared" si="78"/>
        <v>89274.6077211136</v>
      </c>
      <c r="AD183" s="568">
        <f t="shared" si="78"/>
        <v>90454.744150680301</v>
      </c>
      <c r="AE183" s="568">
        <f t="shared" si="78"/>
        <v>91676.062382647899</v>
      </c>
      <c r="AF183" s="568">
        <f t="shared" si="78"/>
        <v>92943.723206527065</v>
      </c>
      <c r="AG183" s="705">
        <f t="shared" si="78"/>
        <v>94263.422506250587</v>
      </c>
      <c r="AH183" s="18"/>
      <c r="AI183" s="18"/>
      <c r="AJ183" s="18"/>
      <c r="AK183" s="18"/>
      <c r="AL183" s="18"/>
      <c r="AM183" s="18"/>
      <c r="AN183" s="18"/>
    </row>
    <row r="184" spans="2:40" ht="21.9" customHeight="1" x14ac:dyDescent="0.25">
      <c r="B184" s="680"/>
      <c r="C184" s="690"/>
      <c r="D184" s="690"/>
      <c r="E184" s="114" t="s">
        <v>319</v>
      </c>
      <c r="F184" s="114" t="s">
        <v>276</v>
      </c>
      <c r="G184" s="114" t="s">
        <v>333</v>
      </c>
      <c r="H184" s="552">
        <f t="shared" ref="H184:AG184" si="79">H141+H162</f>
        <v>78280.009329269713</v>
      </c>
      <c r="I184" s="552">
        <f t="shared" si="79"/>
        <v>81190.853510209563</v>
      </c>
      <c r="J184" s="552">
        <f t="shared" si="79"/>
        <v>84289.414333601148</v>
      </c>
      <c r="K184" s="552">
        <f t="shared" si="79"/>
        <v>91163.430144710408</v>
      </c>
      <c r="L184" s="552">
        <f t="shared" si="79"/>
        <v>98039.183511947311</v>
      </c>
      <c r="M184" s="552">
        <f t="shared" si="79"/>
        <v>104918.72384701518</v>
      </c>
      <c r="N184" s="552">
        <f t="shared" si="79"/>
        <v>111792.83860394906</v>
      </c>
      <c r="O184" s="552">
        <f t="shared" si="79"/>
        <v>118673.07656608545</v>
      </c>
      <c r="P184" s="552">
        <f t="shared" si="79"/>
        <v>127923.19707694344</v>
      </c>
      <c r="Q184" s="552">
        <f t="shared" si="79"/>
        <v>137174.29505765002</v>
      </c>
      <c r="R184" s="552">
        <f t="shared" si="79"/>
        <v>146426.09564143448</v>
      </c>
      <c r="S184" s="552">
        <f t="shared" si="79"/>
        <v>155679.85803830452</v>
      </c>
      <c r="T184" s="552">
        <f t="shared" si="79"/>
        <v>164945.63598670904</v>
      </c>
      <c r="U184" s="552">
        <f t="shared" si="79"/>
        <v>170422.42959602139</v>
      </c>
      <c r="V184" s="552">
        <f t="shared" si="79"/>
        <v>173338.01113856389</v>
      </c>
      <c r="W184" s="552">
        <f t="shared" si="79"/>
        <v>176254.45924532952</v>
      </c>
      <c r="X184" s="552">
        <f t="shared" si="79"/>
        <v>179171.91405326826</v>
      </c>
      <c r="Y184" s="552">
        <f t="shared" si="79"/>
        <v>182092.10556914788</v>
      </c>
      <c r="Z184" s="552">
        <f t="shared" si="79"/>
        <v>185012.07637403641</v>
      </c>
      <c r="AA184" s="552">
        <f t="shared" si="79"/>
        <v>187935.17463816286</v>
      </c>
      <c r="AB184" s="552">
        <f t="shared" si="79"/>
        <v>190858.49243962837</v>
      </c>
      <c r="AC184" s="552">
        <f t="shared" si="79"/>
        <v>193783.86631654477</v>
      </c>
      <c r="AD184" s="552">
        <f t="shared" si="79"/>
        <v>196713.17174540175</v>
      </c>
      <c r="AE184" s="552">
        <f t="shared" si="79"/>
        <v>199643.59794563675</v>
      </c>
      <c r="AF184" s="552">
        <f t="shared" si="79"/>
        <v>202577.09992577104</v>
      </c>
      <c r="AG184" s="700">
        <f t="shared" si="79"/>
        <v>205515.68652155064</v>
      </c>
      <c r="AH184" s="18"/>
      <c r="AI184" s="18"/>
      <c r="AJ184" s="18"/>
      <c r="AK184" s="18"/>
      <c r="AL184" s="18"/>
      <c r="AM184" s="18"/>
      <c r="AN184" s="18"/>
    </row>
    <row r="185" spans="2:40" ht="21.9" customHeight="1" x14ac:dyDescent="0.25">
      <c r="B185" s="680"/>
      <c r="C185" s="690"/>
      <c r="D185" s="690"/>
      <c r="E185" s="114"/>
      <c r="F185" s="114" t="s">
        <v>333</v>
      </c>
      <c r="G185" s="114" t="s">
        <v>323</v>
      </c>
      <c r="H185" s="552">
        <f t="shared" ref="H185:AG185" si="80">H142+H163</f>
        <v>11400.437782222565</v>
      </c>
      <c r="I185" s="552">
        <f t="shared" si="80"/>
        <v>11806.128378996213</v>
      </c>
      <c r="J185" s="552">
        <f t="shared" si="80"/>
        <v>12247.640362110924</v>
      </c>
      <c r="K185" s="552">
        <f t="shared" si="80"/>
        <v>13091.767873076355</v>
      </c>
      <c r="L185" s="552">
        <f t="shared" si="80"/>
        <v>13936.225486271333</v>
      </c>
      <c r="M185" s="552">
        <f t="shared" si="80"/>
        <v>14780.803260826724</v>
      </c>
      <c r="N185" s="552">
        <f t="shared" si="80"/>
        <v>15624.931283193164</v>
      </c>
      <c r="O185" s="552">
        <f t="shared" si="80"/>
        <v>16469.764770078036</v>
      </c>
      <c r="P185" s="552">
        <f t="shared" si="80"/>
        <v>17628.861928601709</v>
      </c>
      <c r="Q185" s="552">
        <f t="shared" si="80"/>
        <v>18788.186554666616</v>
      </c>
      <c r="R185" s="552">
        <f t="shared" si="80"/>
        <v>19947.140510292887</v>
      </c>
      <c r="S185" s="552">
        <f t="shared" si="80"/>
        <v>21106.251902296699</v>
      </c>
      <c r="T185" s="552">
        <f t="shared" si="80"/>
        <v>22266.275683845386</v>
      </c>
      <c r="U185" s="552">
        <f t="shared" si="80"/>
        <v>23022.258880295725</v>
      </c>
      <c r="V185" s="552">
        <f t="shared" si="80"/>
        <v>23427.969563151717</v>
      </c>
      <c r="W185" s="552">
        <f t="shared" si="80"/>
        <v>23833.684046212758</v>
      </c>
      <c r="X185" s="552">
        <f t="shared" si="80"/>
        <v>24239.402964396966</v>
      </c>
      <c r="Y185" s="552">
        <f t="shared" si="80"/>
        <v>24645.277064200309</v>
      </c>
      <c r="Z185" s="552">
        <f t="shared" si="80"/>
        <v>25051.007141048562</v>
      </c>
      <c r="AA185" s="552">
        <f t="shared" si="80"/>
        <v>25456.894184896628</v>
      </c>
      <c r="AB185" s="552">
        <f t="shared" si="80"/>
        <v>25862.639229839548</v>
      </c>
      <c r="AC185" s="552">
        <f t="shared" si="80"/>
        <v>26268.393523855757</v>
      </c>
      <c r="AD185" s="552">
        <f t="shared" si="80"/>
        <v>26674.308492651951</v>
      </c>
      <c r="AE185" s="552">
        <f t="shared" si="80"/>
        <v>27080.08564330318</v>
      </c>
      <c r="AF185" s="552">
        <f t="shared" si="80"/>
        <v>27485.87678359522</v>
      </c>
      <c r="AG185" s="700">
        <f t="shared" si="80"/>
        <v>27891.833968325656</v>
      </c>
      <c r="AH185" s="18"/>
      <c r="AI185" s="18"/>
      <c r="AJ185" s="18"/>
      <c r="AK185" s="18"/>
      <c r="AL185" s="18"/>
      <c r="AM185" s="18"/>
      <c r="AN185" s="18"/>
    </row>
    <row r="186" spans="2:40" ht="21.9" customHeight="1" x14ac:dyDescent="0.25">
      <c r="B186" s="680"/>
      <c r="C186" s="690"/>
      <c r="D186" s="690"/>
      <c r="E186" s="114"/>
      <c r="F186" s="114" t="s">
        <v>323</v>
      </c>
      <c r="G186" s="114" t="s">
        <v>322</v>
      </c>
      <c r="H186" s="552">
        <f t="shared" ref="H186:AG186" si="81">H143+H164</f>
        <v>3433.8483209342858</v>
      </c>
      <c r="I186" s="552">
        <f t="shared" si="81"/>
        <v>3556.0436355247189</v>
      </c>
      <c r="J186" s="552">
        <f t="shared" si="81"/>
        <v>3689.0284718334487</v>
      </c>
      <c r="K186" s="552">
        <f t="shared" si="81"/>
        <v>3943.2824276163747</v>
      </c>
      <c r="L186" s="552">
        <f t="shared" si="81"/>
        <v>4197.6358576581533</v>
      </c>
      <c r="M186" s="552">
        <f t="shared" si="81"/>
        <v>4452.0255619205445</v>
      </c>
      <c r="N186" s="552">
        <f t="shared" si="81"/>
        <v>4706.279936765297</v>
      </c>
      <c r="O186" s="552">
        <f t="shared" si="81"/>
        <v>4960.7470264788089</v>
      </c>
      <c r="P186" s="552">
        <f t="shared" si="81"/>
        <v>5309.8721703291685</v>
      </c>
      <c r="Q186" s="552">
        <f t="shared" si="81"/>
        <v>5659.0671024203148</v>
      </c>
      <c r="R186" s="552">
        <f t="shared" si="81"/>
        <v>6008.1526385856014</v>
      </c>
      <c r="S186" s="552">
        <f t="shared" si="81"/>
        <v>6357.2894459015833</v>
      </c>
      <c r="T186" s="552">
        <f t="shared" si="81"/>
        <v>6706.7074706583762</v>
      </c>
      <c r="U186" s="552">
        <f t="shared" si="81"/>
        <v>6934.427142831888</v>
      </c>
      <c r="V186" s="552">
        <f t="shared" si="81"/>
        <v>7056.6389167371663</v>
      </c>
      <c r="W186" s="552">
        <f t="shared" si="81"/>
        <v>7178.8538046778394</v>
      </c>
      <c r="X186" s="552">
        <f t="shared" si="81"/>
        <v>7301.0723269304381</v>
      </c>
      <c r="Y186" s="552">
        <f t="shared" si="81"/>
        <v>7423.3402726972454</v>
      </c>
      <c r="Z186" s="552">
        <f t="shared" si="81"/>
        <v>7545.5679387919208</v>
      </c>
      <c r="AA186" s="552">
        <f t="shared" si="81"/>
        <v>7667.8464914109654</v>
      </c>
      <c r="AB186" s="552">
        <f t="shared" si="81"/>
        <v>7790.0864229428898</v>
      </c>
      <c r="AC186" s="552">
        <f t="shared" si="81"/>
        <v>7912.3339335241653</v>
      </c>
      <c r="AD186" s="552">
        <f t="shared" si="81"/>
        <v>8034.6353689286843</v>
      </c>
      <c r="AE186" s="552">
        <f t="shared" si="81"/>
        <v>8156.9016091231179</v>
      </c>
      <c r="AF186" s="552">
        <f t="shared" si="81"/>
        <v>8279.1793129717662</v>
      </c>
      <c r="AG186" s="700">
        <f t="shared" si="81"/>
        <v>8401.5153417500132</v>
      </c>
      <c r="AH186" s="18"/>
      <c r="AI186" s="18"/>
      <c r="AJ186" s="18"/>
      <c r="AK186" s="18"/>
      <c r="AL186" s="18"/>
      <c r="AM186" s="18"/>
      <c r="AN186" s="18"/>
    </row>
    <row r="187" spans="2:40" ht="21.9" customHeight="1" x14ac:dyDescent="0.25">
      <c r="B187" s="680"/>
      <c r="C187" s="690"/>
      <c r="D187" s="690"/>
      <c r="E187" s="114"/>
      <c r="F187" s="114" t="s">
        <v>322</v>
      </c>
      <c r="G187" s="114" t="s">
        <v>326</v>
      </c>
      <c r="H187" s="552">
        <f t="shared" ref="H187:AG187" si="82">H144+H165</f>
        <v>8810.531796712874</v>
      </c>
      <c r="I187" s="552">
        <f t="shared" si="82"/>
        <v>9113.9518310066778</v>
      </c>
      <c r="J187" s="552">
        <f t="shared" si="82"/>
        <v>9452.4671524416226</v>
      </c>
      <c r="K187" s="552">
        <f t="shared" si="82"/>
        <v>10043.815378820018</v>
      </c>
      <c r="L187" s="552">
        <f t="shared" si="82"/>
        <v>10635.516040047187</v>
      </c>
      <c r="M187" s="552">
        <f t="shared" si="82"/>
        <v>11227.011144839924</v>
      </c>
      <c r="N187" s="552">
        <f t="shared" si="82"/>
        <v>11818.359444201098</v>
      </c>
      <c r="O187" s="552">
        <f t="shared" si="82"/>
        <v>12410.309855034069</v>
      </c>
      <c r="P187" s="552">
        <f t="shared" si="82"/>
        <v>13172.685501389058</v>
      </c>
      <c r="Q187" s="552">
        <f t="shared" si="82"/>
        <v>13935.487248994046</v>
      </c>
      <c r="R187" s="552">
        <f t="shared" si="82"/>
        <v>14697.71673957955</v>
      </c>
      <c r="S187" s="552">
        <f t="shared" si="82"/>
        <v>15460.093762521028</v>
      </c>
      <c r="T187" s="552">
        <f t="shared" si="82"/>
        <v>16223.117980148212</v>
      </c>
      <c r="U187" s="552">
        <f t="shared" si="82"/>
        <v>16732.266679989007</v>
      </c>
      <c r="V187" s="552">
        <f t="shared" si="82"/>
        <v>17035.688797979175</v>
      </c>
      <c r="W187" s="552">
        <f t="shared" si="82"/>
        <v>17339.111322810615</v>
      </c>
      <c r="X187" s="552">
        <f t="shared" si="82"/>
        <v>17642.534324528846</v>
      </c>
      <c r="Y187" s="552">
        <f t="shared" si="82"/>
        <v>17946.134096546943</v>
      </c>
      <c r="Z187" s="552">
        <f t="shared" si="82"/>
        <v>18249.558305966853</v>
      </c>
      <c r="AA187" s="552">
        <f t="shared" si="82"/>
        <v>18553.159484858144</v>
      </c>
      <c r="AB187" s="552">
        <f t="shared" si="82"/>
        <v>18856.585327137323</v>
      </c>
      <c r="AC187" s="552">
        <f t="shared" si="82"/>
        <v>19160.012183827504</v>
      </c>
      <c r="AD187" s="552">
        <f t="shared" si="82"/>
        <v>19463.61642725009</v>
      </c>
      <c r="AE187" s="552">
        <f t="shared" si="82"/>
        <v>19767.045804755748</v>
      </c>
      <c r="AF187" s="552">
        <f t="shared" si="82"/>
        <v>20070.476732709874</v>
      </c>
      <c r="AG187" s="700">
        <f t="shared" si="82"/>
        <v>20374.085657424625</v>
      </c>
      <c r="AH187" s="18"/>
      <c r="AI187" s="18"/>
      <c r="AJ187" s="18"/>
      <c r="AK187" s="18"/>
      <c r="AL187" s="18"/>
      <c r="AM187" s="18"/>
      <c r="AN187" s="18"/>
    </row>
    <row r="188" spans="2:40" ht="21.9" customHeight="1" x14ac:dyDescent="0.25">
      <c r="B188" s="680"/>
      <c r="C188" s="690"/>
      <c r="D188" s="690"/>
      <c r="E188" s="114"/>
      <c r="F188" s="114" t="s">
        <v>326</v>
      </c>
      <c r="G188" s="114" t="s">
        <v>274</v>
      </c>
      <c r="H188" s="552">
        <f t="shared" ref="H188:AG188" si="83">H145+H166</f>
        <v>60064.136465598429</v>
      </c>
      <c r="I188" s="552">
        <f t="shared" si="83"/>
        <v>62132.645227186324</v>
      </c>
      <c r="J188" s="552">
        <f t="shared" si="83"/>
        <v>64440.409471085368</v>
      </c>
      <c r="K188" s="552">
        <f t="shared" si="83"/>
        <v>68471.814244865018</v>
      </c>
      <c r="L188" s="552">
        <f t="shared" si="83"/>
        <v>72505.621618125049</v>
      </c>
      <c r="M188" s="552">
        <f t="shared" si="83"/>
        <v>76538.027551602223</v>
      </c>
      <c r="N188" s="552">
        <f t="shared" si="83"/>
        <v>80569.432508266211</v>
      </c>
      <c r="O188" s="552">
        <f t="shared" si="83"/>
        <v>84604.941994095308</v>
      </c>
      <c r="P188" s="552">
        <f t="shared" si="83"/>
        <v>89802.292549359641</v>
      </c>
      <c r="Q188" s="552">
        <f t="shared" si="83"/>
        <v>95002.546853268796</v>
      </c>
      <c r="R188" s="552">
        <f t="shared" si="83"/>
        <v>100198.89805967978</v>
      </c>
      <c r="S188" s="552">
        <f t="shared" si="83"/>
        <v>105396.25206447215</v>
      </c>
      <c r="T188" s="552">
        <f t="shared" si="83"/>
        <v>110598.01350153459</v>
      </c>
      <c r="U188" s="552">
        <f t="shared" si="83"/>
        <v>114069.02673592247</v>
      </c>
      <c r="V188" s="552">
        <f t="shared" si="83"/>
        <v>116137.5407189542</v>
      </c>
      <c r="W188" s="552">
        <f t="shared" si="83"/>
        <v>118206.05572147173</v>
      </c>
      <c r="X188" s="552">
        <f t="shared" si="83"/>
        <v>120274.57191899909</v>
      </c>
      <c r="Y188" s="552">
        <f t="shared" si="83"/>
        <v>122344.29080169319</v>
      </c>
      <c r="Z188" s="552">
        <f t="shared" si="83"/>
        <v>124412.81002554749</v>
      </c>
      <c r="AA188" s="552">
        <f t="shared" si="83"/>
        <v>126482.53243366377</v>
      </c>
      <c r="AB188" s="552">
        <f t="shared" si="83"/>
        <v>128551.05574922892</v>
      </c>
      <c r="AC188" s="552">
        <f t="shared" si="83"/>
        <v>130619.58160676232</v>
      </c>
      <c r="AD188" s="552">
        <f t="shared" si="83"/>
        <v>132689.31169415393</v>
      </c>
      <c r="AE188" s="552">
        <f t="shared" si="83"/>
        <v>134757.84386848891</v>
      </c>
      <c r="AF188" s="552">
        <f t="shared" si="83"/>
        <v>136826.37992802507</v>
      </c>
      <c r="AG188" s="700">
        <f t="shared" si="83"/>
        <v>138896.1217460625</v>
      </c>
      <c r="AH188" s="18"/>
      <c r="AI188" s="18"/>
      <c r="AJ188" s="18"/>
      <c r="AK188" s="18"/>
      <c r="AL188" s="18"/>
      <c r="AM188" s="18"/>
      <c r="AN188" s="18"/>
    </row>
    <row r="189" spans="2:40" ht="21.9" customHeight="1" thickBot="1" x14ac:dyDescent="0.3">
      <c r="B189" s="680"/>
      <c r="C189" s="690"/>
      <c r="D189" s="690"/>
      <c r="E189" s="114"/>
      <c r="F189" s="114" t="s">
        <v>274</v>
      </c>
      <c r="G189" s="114" t="s">
        <v>317</v>
      </c>
      <c r="H189" s="552">
        <f t="shared" ref="H189:AG189" si="84">H146+H167</f>
        <v>1500.0830564292053</v>
      </c>
      <c r="I189" s="552">
        <f t="shared" si="84"/>
        <v>1551.7437752912656</v>
      </c>
      <c r="J189" s="552">
        <f t="shared" si="84"/>
        <v>1609.3800495227442</v>
      </c>
      <c r="K189" s="552">
        <f t="shared" si="84"/>
        <v>1710.0648363691214</v>
      </c>
      <c r="L189" s="552">
        <f t="shared" si="84"/>
        <v>1810.8110437986652</v>
      </c>
      <c r="M189" s="552">
        <f t="shared" si="84"/>
        <v>1911.5246127112996</v>
      </c>
      <c r="N189" s="552">
        <f t="shared" si="84"/>
        <v>2012.2170180552548</v>
      </c>
      <c r="O189" s="552">
        <f t="shared" si="84"/>
        <v>2113.018032168542</v>
      </c>
      <c r="P189" s="552">
        <f t="shared" si="84"/>
        <v>2242.8546654303955</v>
      </c>
      <c r="Q189" s="552">
        <f t="shared" si="84"/>
        <v>2372.7908265518699</v>
      </c>
      <c r="R189" s="552">
        <f t="shared" si="84"/>
        <v>2502.6741129155048</v>
      </c>
      <c r="S189" s="552">
        <f t="shared" si="84"/>
        <v>2632.6544447469569</v>
      </c>
      <c r="T189" s="552">
        <f t="shared" si="84"/>
        <v>2762.8584629255365</v>
      </c>
      <c r="U189" s="552">
        <f t="shared" si="84"/>
        <v>2849.8329880862361</v>
      </c>
      <c r="V189" s="552">
        <f t="shared" si="84"/>
        <v>2901.7112190266398</v>
      </c>
      <c r="W189" s="552">
        <f t="shared" si="84"/>
        <v>2953.6319191542279</v>
      </c>
      <c r="X189" s="552">
        <f t="shared" si="84"/>
        <v>3005.6024003527627</v>
      </c>
      <c r="Y189" s="552">
        <f t="shared" si="84"/>
        <v>3057.6613051908512</v>
      </c>
      <c r="Z189" s="552">
        <f t="shared" si="84"/>
        <v>3109.7578554788602</v>
      </c>
      <c r="AA189" s="552">
        <f t="shared" si="84"/>
        <v>3161.9636204442731</v>
      </c>
      <c r="AB189" s="552">
        <f t="shared" si="84"/>
        <v>3214.2306210040351</v>
      </c>
      <c r="AC189" s="552">
        <f t="shared" si="84"/>
        <v>3266.603513501359</v>
      </c>
      <c r="AD189" s="552">
        <f t="shared" si="84"/>
        <v>3319.1291775564114</v>
      </c>
      <c r="AE189" s="552">
        <f t="shared" si="84"/>
        <v>3371.7652119500112</v>
      </c>
      <c r="AF189" s="552">
        <f t="shared" si="84"/>
        <v>3424.5630939496477</v>
      </c>
      <c r="AG189" s="700">
        <f t="shared" si="84"/>
        <v>3477.577426893617</v>
      </c>
      <c r="AH189" s="18"/>
      <c r="AI189" s="18"/>
      <c r="AJ189" s="18"/>
      <c r="AK189" s="18"/>
      <c r="AL189" s="18"/>
      <c r="AM189" s="18"/>
      <c r="AN189" s="18"/>
    </row>
    <row r="190" spans="2:40" ht="21.9" customHeight="1" x14ac:dyDescent="0.25">
      <c r="B190" s="683"/>
      <c r="C190" s="712"/>
      <c r="D190" s="712"/>
      <c r="E190" s="713" t="s">
        <v>181</v>
      </c>
      <c r="F190" s="713"/>
      <c r="G190" s="713"/>
      <c r="H190" s="714" t="e">
        <f t="shared" ref="H190:AG190" si="85">SUM(H169:H181,H183:H189)</f>
        <v>#REF!</v>
      </c>
      <c r="I190" s="714" t="e">
        <f t="shared" si="85"/>
        <v>#REF!</v>
      </c>
      <c r="J190" s="714" t="e">
        <f t="shared" si="85"/>
        <v>#REF!</v>
      </c>
      <c r="K190" s="714" t="e">
        <f t="shared" si="85"/>
        <v>#REF!</v>
      </c>
      <c r="L190" s="714" t="e">
        <f t="shared" si="85"/>
        <v>#REF!</v>
      </c>
      <c r="M190" s="714" t="e">
        <f t="shared" si="85"/>
        <v>#REF!</v>
      </c>
      <c r="N190" s="714" t="e">
        <f t="shared" si="85"/>
        <v>#REF!</v>
      </c>
      <c r="O190" s="714" t="e">
        <f t="shared" si="85"/>
        <v>#REF!</v>
      </c>
      <c r="P190" s="714" t="e">
        <f t="shared" si="85"/>
        <v>#REF!</v>
      </c>
      <c r="Q190" s="714" t="e">
        <f t="shared" si="85"/>
        <v>#REF!</v>
      </c>
      <c r="R190" s="714" t="e">
        <f t="shared" si="85"/>
        <v>#REF!</v>
      </c>
      <c r="S190" s="714" t="e">
        <f t="shared" si="85"/>
        <v>#REF!</v>
      </c>
      <c r="T190" s="714" t="e">
        <f t="shared" si="85"/>
        <v>#REF!</v>
      </c>
      <c r="U190" s="714" t="e">
        <f t="shared" si="85"/>
        <v>#REF!</v>
      </c>
      <c r="V190" s="714" t="e">
        <f t="shared" si="85"/>
        <v>#REF!</v>
      </c>
      <c r="W190" s="714" t="e">
        <f t="shared" si="85"/>
        <v>#REF!</v>
      </c>
      <c r="X190" s="714" t="e">
        <f t="shared" si="85"/>
        <v>#REF!</v>
      </c>
      <c r="Y190" s="714" t="e">
        <f t="shared" si="85"/>
        <v>#REF!</v>
      </c>
      <c r="Z190" s="714" t="e">
        <f t="shared" si="85"/>
        <v>#REF!</v>
      </c>
      <c r="AA190" s="714" t="e">
        <f t="shared" si="85"/>
        <v>#REF!</v>
      </c>
      <c r="AB190" s="714" t="e">
        <f t="shared" si="85"/>
        <v>#REF!</v>
      </c>
      <c r="AC190" s="714" t="e">
        <f t="shared" si="85"/>
        <v>#REF!</v>
      </c>
      <c r="AD190" s="714" t="e">
        <f t="shared" si="85"/>
        <v>#REF!</v>
      </c>
      <c r="AE190" s="714" t="e">
        <f t="shared" si="85"/>
        <v>#REF!</v>
      </c>
      <c r="AF190" s="714" t="e">
        <f t="shared" si="85"/>
        <v>#REF!</v>
      </c>
      <c r="AG190" s="715" t="e">
        <f t="shared" si="85"/>
        <v>#REF!</v>
      </c>
      <c r="AH190" s="18"/>
      <c r="AI190" s="18"/>
      <c r="AJ190" s="18"/>
      <c r="AK190" s="18"/>
      <c r="AL190" s="18"/>
      <c r="AM190" s="18"/>
      <c r="AN190" s="18"/>
    </row>
    <row r="191" spans="2:40" ht="21.75" customHeight="1" x14ac:dyDescent="0.25">
      <c r="C191" s="114"/>
      <c r="D191" s="114"/>
      <c r="E191" s="237"/>
      <c r="F191" s="237"/>
      <c r="G191" s="237"/>
      <c r="H191" s="716"/>
      <c r="I191" s="716"/>
      <c r="J191" s="716"/>
      <c r="K191" s="716"/>
      <c r="L191" s="716"/>
      <c r="M191" s="716"/>
      <c r="N191" s="716"/>
      <c r="O191" s="716"/>
      <c r="P191" s="716"/>
      <c r="Q191" s="716"/>
      <c r="R191" s="716"/>
      <c r="S191" s="716"/>
      <c r="T191" s="716"/>
      <c r="U191" s="716"/>
      <c r="V191" s="716"/>
      <c r="W191" s="716"/>
      <c r="X191" s="716"/>
      <c r="Y191" s="716"/>
      <c r="Z191" s="716"/>
      <c r="AA191" s="716"/>
      <c r="AB191" s="716"/>
      <c r="AC191" s="716"/>
      <c r="AD191" s="716"/>
      <c r="AE191" s="716"/>
      <c r="AF191" s="716"/>
      <c r="AG191" s="716"/>
      <c r="AH191" s="18"/>
      <c r="AI191" s="18"/>
      <c r="AJ191" s="18"/>
      <c r="AK191" s="18"/>
      <c r="AL191" s="18"/>
      <c r="AM191" s="18"/>
      <c r="AN191" s="18"/>
    </row>
    <row r="192" spans="2:40" ht="21.75" customHeight="1" x14ac:dyDescent="0.25">
      <c r="C192" s="114"/>
      <c r="D192" s="114"/>
      <c r="E192" s="237"/>
      <c r="F192" s="237"/>
      <c r="G192" s="237"/>
      <c r="H192" s="716"/>
      <c r="I192" s="716"/>
      <c r="J192" s="716"/>
      <c r="K192" s="716"/>
      <c r="L192" s="716"/>
      <c r="M192" s="716"/>
      <c r="N192" s="716"/>
      <c r="O192" s="716"/>
      <c r="P192" s="716"/>
      <c r="Q192" s="716"/>
      <c r="R192" s="716"/>
      <c r="S192" s="716"/>
      <c r="T192" s="716"/>
      <c r="U192" s="716"/>
      <c r="V192" s="716"/>
      <c r="W192" s="716"/>
      <c r="X192" s="716"/>
      <c r="Y192" s="716"/>
      <c r="Z192" s="716"/>
      <c r="AA192" s="716"/>
      <c r="AB192" s="716"/>
      <c r="AC192" s="716"/>
      <c r="AD192" s="716"/>
      <c r="AE192" s="716"/>
      <c r="AF192" s="716"/>
      <c r="AG192" s="716"/>
      <c r="AH192" s="18"/>
      <c r="AI192" s="18"/>
      <c r="AJ192" s="18"/>
      <c r="AK192" s="18"/>
      <c r="AL192" s="18"/>
      <c r="AM192" s="18"/>
      <c r="AN192" s="18"/>
    </row>
    <row r="193" spans="1:40" ht="21.9" customHeight="1" x14ac:dyDescent="0.25">
      <c r="A193" s="526"/>
      <c r="B193" s="527" t="s">
        <v>452</v>
      </c>
      <c r="C193" s="114"/>
      <c r="D193" s="114"/>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c r="AA193" s="225"/>
      <c r="AB193" s="114"/>
      <c r="AC193" s="114"/>
      <c r="AD193" s="114"/>
      <c r="AE193" s="114"/>
      <c r="AF193" s="114"/>
      <c r="AG193" s="114"/>
    </row>
    <row r="194" spans="1:40" ht="21.75" customHeight="1" x14ac:dyDescent="0.25">
      <c r="C194" s="114"/>
      <c r="D194" s="114"/>
      <c r="E194" s="237"/>
      <c r="F194" s="237"/>
      <c r="G194" s="237"/>
      <c r="H194" s="716"/>
      <c r="I194" s="716"/>
      <c r="J194" s="716"/>
      <c r="K194" s="716"/>
      <c r="L194" s="716"/>
      <c r="M194" s="716"/>
      <c r="N194" s="716"/>
      <c r="O194" s="716"/>
      <c r="P194" s="716"/>
      <c r="Q194" s="716"/>
      <c r="R194" s="716"/>
      <c r="S194" s="716"/>
      <c r="T194" s="716"/>
      <c r="U194" s="716"/>
      <c r="V194" s="716"/>
      <c r="W194" s="716"/>
      <c r="X194" s="716"/>
      <c r="Y194" s="716"/>
      <c r="Z194" s="716"/>
      <c r="AA194" s="716"/>
      <c r="AB194" s="716"/>
      <c r="AC194" s="716"/>
      <c r="AD194" s="716"/>
      <c r="AE194" s="716"/>
      <c r="AF194" s="716"/>
      <c r="AG194" s="716"/>
      <c r="AH194" s="18"/>
      <c r="AI194" s="18"/>
      <c r="AJ194" s="18"/>
      <c r="AK194" s="18"/>
      <c r="AL194" s="18"/>
      <c r="AM194" s="18"/>
      <c r="AN194" s="18"/>
    </row>
    <row r="195" spans="1:40" ht="21.9" customHeight="1" x14ac:dyDescent="0.25">
      <c r="B195" s="50" t="s">
        <v>64</v>
      </c>
      <c r="C195" s="225"/>
      <c r="D195" s="225"/>
      <c r="E195" s="225"/>
      <c r="F195" s="225"/>
      <c r="G195" s="225"/>
      <c r="H195" s="717"/>
      <c r="I195" s="114"/>
      <c r="J195" s="225"/>
      <c r="K195" s="225"/>
      <c r="L195" s="225"/>
      <c r="M195" s="718"/>
      <c r="N195" s="225"/>
      <c r="O195" s="225"/>
      <c r="P195" s="114"/>
      <c r="Q195" s="225"/>
      <c r="R195" s="114"/>
      <c r="S195" s="114"/>
      <c r="T195" s="114"/>
      <c r="U195" s="225"/>
      <c r="V195" s="225"/>
      <c r="W195" s="225"/>
      <c r="X195" s="225"/>
      <c r="Y195" s="225"/>
      <c r="Z195" s="225"/>
      <c r="AA195" s="225"/>
      <c r="AB195" s="225"/>
      <c r="AC195" s="225"/>
      <c r="AD195" s="225"/>
      <c r="AE195" s="114"/>
      <c r="AF195" s="114"/>
      <c r="AG195" s="114"/>
    </row>
    <row r="196" spans="1:40" s="7" customFormat="1" ht="21.9" customHeight="1" x14ac:dyDescent="0.25">
      <c r="B196" s="468"/>
      <c r="C196" s="686" t="s">
        <v>2</v>
      </c>
      <c r="D196" s="686" t="s">
        <v>440</v>
      </c>
      <c r="E196" s="686" t="s">
        <v>312</v>
      </c>
      <c r="F196" s="686" t="s">
        <v>313</v>
      </c>
      <c r="G196" s="686" t="s">
        <v>314</v>
      </c>
      <c r="H196" s="687">
        <v>2023</v>
      </c>
      <c r="I196" s="687">
        <v>2024</v>
      </c>
      <c r="J196" s="687">
        <v>2025</v>
      </c>
      <c r="K196" s="687">
        <v>2026</v>
      </c>
      <c r="L196" s="687">
        <v>2027</v>
      </c>
      <c r="M196" s="687">
        <v>2028</v>
      </c>
      <c r="N196" s="687">
        <v>2029</v>
      </c>
      <c r="O196" s="687">
        <v>2030</v>
      </c>
      <c r="P196" s="687">
        <v>2031</v>
      </c>
      <c r="Q196" s="687">
        <v>2032</v>
      </c>
      <c r="R196" s="687">
        <v>2033</v>
      </c>
      <c r="S196" s="687">
        <v>2034</v>
      </c>
      <c r="T196" s="687">
        <v>2035</v>
      </c>
      <c r="U196" s="687">
        <v>2036</v>
      </c>
      <c r="V196" s="687">
        <v>2037</v>
      </c>
      <c r="W196" s="687">
        <v>2038</v>
      </c>
      <c r="X196" s="687">
        <v>2039</v>
      </c>
      <c r="Y196" s="687">
        <v>2040</v>
      </c>
      <c r="Z196" s="687">
        <v>2041</v>
      </c>
      <c r="AA196" s="687">
        <v>2042</v>
      </c>
      <c r="AB196" s="687">
        <v>2043</v>
      </c>
      <c r="AC196" s="687">
        <v>2044</v>
      </c>
      <c r="AD196" s="687">
        <v>2045</v>
      </c>
      <c r="AE196" s="687">
        <v>2046</v>
      </c>
      <c r="AF196" s="687">
        <v>2047</v>
      </c>
      <c r="AG196" s="688">
        <v>2048</v>
      </c>
      <c r="AH196" s="32"/>
      <c r="AI196" s="32"/>
      <c r="AJ196" s="32"/>
      <c r="AK196" s="32"/>
      <c r="AL196" s="32"/>
      <c r="AM196" s="32"/>
      <c r="AN196" s="32"/>
    </row>
    <row r="197" spans="1:40" ht="21.9" customHeight="1" x14ac:dyDescent="0.25">
      <c r="B197" s="678" t="s">
        <v>447</v>
      </c>
      <c r="C197" s="554" t="s">
        <v>105</v>
      </c>
      <c r="D197" s="554"/>
      <c r="E197" s="1325" t="s">
        <v>315</v>
      </c>
      <c r="F197" s="217" t="s">
        <v>316</v>
      </c>
      <c r="G197" s="217" t="s">
        <v>276</v>
      </c>
      <c r="H197" s="551">
        <f>'Traffic Data'!J27*annualizationFactor*'Traffic Data'!$H27</f>
        <v>554800</v>
      </c>
      <c r="I197" s="551">
        <f>'Traffic Data'!K27*annualizationFactor*'Traffic Data'!$H27</f>
        <v>580027.79625000001</v>
      </c>
      <c r="J197" s="551">
        <f>'Traffic Data'!L27*annualizationFactor*'Traffic Data'!$H27</f>
        <v>615571.40500000014</v>
      </c>
      <c r="K197" s="551">
        <f>'Traffic Data'!M27*annualizationFactor*'Traffic Data'!$H27</f>
        <v>667854.37000000011</v>
      </c>
      <c r="L197" s="551">
        <f>'Traffic Data'!N27*annualizationFactor*'Traffic Data'!$H27</f>
        <v>720156.40625</v>
      </c>
      <c r="M197" s="551">
        <f>'Traffic Data'!O27*annualizationFactor*'Traffic Data'!$H27</f>
        <v>772458.44249999989</v>
      </c>
      <c r="N197" s="551">
        <f>'Traffic Data'!P27*annualizationFactor*'Traffic Data'!$H27</f>
        <v>824741.40749999997</v>
      </c>
      <c r="O197" s="551">
        <f>'Traffic Data'!Q27*annualizationFactor*'Traffic Data'!$H27</f>
        <v>877062.51499999978</v>
      </c>
      <c r="P197" s="551">
        <f>'Traffic Data'!R27*annualizationFactor*'Traffic Data'!$H27</f>
        <v>928764.67374999996</v>
      </c>
      <c r="Q197" s="551">
        <f>'Traffic Data'!S27*annualizationFactor*'Traffic Data'!$H27</f>
        <v>980477.23499999999</v>
      </c>
      <c r="R197" s="551">
        <f>'Traffic Data'!T27*annualizationFactor*'Traffic Data'!$H27</f>
        <v>1032179.3937500002</v>
      </c>
      <c r="S197" s="551">
        <f>'Traffic Data'!U27*annualizationFactor*'Traffic Data'!$H27</f>
        <v>1083881.5525000002</v>
      </c>
      <c r="T197" s="551">
        <f>'Traffic Data'!V27*annualizationFactor*'Traffic Data'!$H27</f>
        <v>1135621.85375</v>
      </c>
      <c r="U197" s="551">
        <f>'Traffic Data'!W27*annualizationFactor*'Traffic Data'!$H27</f>
        <v>1170565.5850000002</v>
      </c>
      <c r="V197" s="551">
        <f>'Traffic Data'!X27*annualizationFactor*'Traffic Data'!$H27</f>
        <v>1195793.3812500001</v>
      </c>
      <c r="W197" s="551">
        <f>'Traffic Data'!Y27*annualizationFactor*'Traffic Data'!$H27</f>
        <v>1221021.1774999998</v>
      </c>
      <c r="X197" s="551">
        <f>'Traffic Data'!Z27*annualizationFactor*'Traffic Data'!$H27</f>
        <v>1246248.9737500001</v>
      </c>
      <c r="Y197" s="551">
        <f>'Traffic Data'!AA27*annualizationFactor*'Traffic Data'!$H27</f>
        <v>1271485.43875</v>
      </c>
      <c r="Z197" s="551">
        <f>'Traffic Data'!AB27*annualizationFactor*'Traffic Data'!$H27</f>
        <v>1296713.2350000001</v>
      </c>
      <c r="AA197" s="551">
        <f>'Traffic Data'!AC27*annualizationFactor*'Traffic Data'!$H27</f>
        <v>1321949.7</v>
      </c>
      <c r="AB197" s="551">
        <f>'Traffic Data'!AD27*annualizationFactor*'Traffic Data'!$H27</f>
        <v>1347177.4962500001</v>
      </c>
      <c r="AC197" s="551">
        <f>'Traffic Data'!AE27*annualizationFactor*'Traffic Data'!$H27</f>
        <v>1372405.2925</v>
      </c>
      <c r="AD197" s="551">
        <f>'Traffic Data'!AF27*annualizationFactor*'Traffic Data'!$H27</f>
        <v>1397641.7574999998</v>
      </c>
      <c r="AE197" s="551">
        <f>'Traffic Data'!AG27*annualizationFactor*'Traffic Data'!$H27</f>
        <v>1422869.5537499997</v>
      </c>
      <c r="AF197" s="551">
        <f>'Traffic Data'!AH27*annualizationFactor*'Traffic Data'!$H27</f>
        <v>1448097.35</v>
      </c>
      <c r="AG197" s="689">
        <f>'Traffic Data'!AI27*annualizationFactor*'Traffic Data'!$H27</f>
        <v>1473333.8149999999</v>
      </c>
      <c r="AH197" s="5"/>
      <c r="AI197" s="5"/>
      <c r="AJ197" s="5"/>
      <c r="AK197" s="5"/>
      <c r="AL197" s="5"/>
      <c r="AM197" s="5"/>
      <c r="AN197" s="5"/>
    </row>
    <row r="198" spans="1:40" ht="21.9" customHeight="1" x14ac:dyDescent="0.25">
      <c r="B198" s="679" t="s">
        <v>593</v>
      </c>
      <c r="C198" s="554"/>
      <c r="D198" s="554"/>
      <c r="E198" s="1327"/>
      <c r="F198" s="114" t="s">
        <v>276</v>
      </c>
      <c r="G198" s="114" t="s">
        <v>274</v>
      </c>
      <c r="H198" s="551">
        <f>'Traffic Data'!J28*annualizationFactor*'Traffic Data'!$H28</f>
        <v>17839789.772727273</v>
      </c>
      <c r="I198" s="551">
        <f>'Traffic Data'!K28*annualizationFactor*'Traffic Data'!$H28</f>
        <v>18781466.37954545</v>
      </c>
      <c r="J198" s="551">
        <f>'Traffic Data'!L28*annualizationFactor*'Traffic Data'!$H28</f>
        <v>20195038.462500002</v>
      </c>
      <c r="K198" s="551">
        <f>'Traffic Data'!M28*annualizationFactor*'Traffic Data'!$H28</f>
        <v>22530465.16363636</v>
      </c>
      <c r="L198" s="551">
        <f>'Traffic Data'!N28*annualizationFactor*'Traffic Data'!$H28</f>
        <v>24866949.037500001</v>
      </c>
      <c r="M198" s="551">
        <f>'Traffic Data'!O28*annualizationFactor*'Traffic Data'!$H28</f>
        <v>27203300.764772724</v>
      </c>
      <c r="N198" s="551">
        <f>'Traffic Data'!P28*annualizationFactor*'Traffic Data'!$H28</f>
        <v>29538727.465909094</v>
      </c>
      <c r="O198" s="551">
        <f>'Traffic Data'!Q28*annualizationFactor*'Traffic Data'!$H28</f>
        <v>31876268.512500003</v>
      </c>
      <c r="P198" s="551">
        <f>'Traffic Data'!R28*annualizationFactor*'Traffic Data'!$H28</f>
        <v>34234556.573863633</v>
      </c>
      <c r="Q198" s="551">
        <f>'Traffic Data'!S28*annualizationFactor*'Traffic Data'!$H28</f>
        <v>36593637.514772721</v>
      </c>
      <c r="R198" s="551">
        <f>'Traffic Data'!T28*annualizationFactor*'Traffic Data'!$H28</f>
        <v>38951925.576136358</v>
      </c>
      <c r="S198" s="551">
        <f>'Traffic Data'!U28*annualizationFactor*'Traffic Data'!$H28</f>
        <v>41310213.637500003</v>
      </c>
      <c r="T198" s="551">
        <f>'Traffic Data'!V28*annualizationFactor*'Traffic Data'!$H28</f>
        <v>43670616.044318184</v>
      </c>
      <c r="U198" s="551">
        <f>'Traffic Data'!W28*annualizationFactor*'Traffic Data'!$H28</f>
        <v>45105992.314772733</v>
      </c>
      <c r="V198" s="551">
        <f>'Traffic Data'!X28*annualizationFactor*'Traffic Data'!$H28</f>
        <v>46047668.921590902</v>
      </c>
      <c r="W198" s="551">
        <f>'Traffic Data'!Y28*annualizationFactor*'Traffic Data'!$H28</f>
        <v>46989345.528409094</v>
      </c>
      <c r="X198" s="551">
        <f>'Traffic Data'!Z28*annualizationFactor*'Traffic Data'!$H28</f>
        <v>47931022.135227278</v>
      </c>
      <c r="Y198" s="551">
        <f>'Traffic Data'!AA28*annualizationFactor*'Traffic Data'!$H28</f>
        <v>48873227.328409091</v>
      </c>
      <c r="Z198" s="551">
        <f>'Traffic Data'!AB28*annualizationFactor*'Traffic Data'!$H28</f>
        <v>49814903.935227267</v>
      </c>
      <c r="AA198" s="551">
        <f>'Traffic Data'!AC28*annualizationFactor*'Traffic Data'!$H28</f>
        <v>50757109.128409103</v>
      </c>
      <c r="AB198" s="551">
        <f>'Traffic Data'!AD28*annualizationFactor*'Traffic Data'!$H28</f>
        <v>51698785.735227279</v>
      </c>
      <c r="AC198" s="551">
        <f>'Traffic Data'!AE28*annualizationFactor*'Traffic Data'!$H28</f>
        <v>52640462.342045456</v>
      </c>
      <c r="AD198" s="551">
        <f>'Traffic Data'!AF28*annualizationFactor*'Traffic Data'!$H28</f>
        <v>53582667.535227291</v>
      </c>
      <c r="AE198" s="551">
        <f>'Traffic Data'!AG28*annualizationFactor*'Traffic Data'!$H28</f>
        <v>54524344.142045453</v>
      </c>
      <c r="AF198" s="551">
        <f>'Traffic Data'!AH28*annualizationFactor*'Traffic Data'!$H28</f>
        <v>55466020.748863637</v>
      </c>
      <c r="AG198" s="689">
        <f>'Traffic Data'!AI28*annualizationFactor*'Traffic Data'!$H28</f>
        <v>56408225.942045458</v>
      </c>
      <c r="AH198" s="5"/>
      <c r="AI198" s="5"/>
      <c r="AJ198" s="5"/>
      <c r="AK198" s="5"/>
      <c r="AL198" s="5"/>
      <c r="AM198" s="5"/>
      <c r="AN198" s="5"/>
    </row>
    <row r="199" spans="1:40" ht="21.9" customHeight="1" x14ac:dyDescent="0.25">
      <c r="B199" s="678"/>
      <c r="C199" s="554"/>
      <c r="D199" s="554"/>
      <c r="E199" s="1327"/>
      <c r="F199" s="114" t="s">
        <v>274</v>
      </c>
      <c r="G199" s="114" t="s">
        <v>317</v>
      </c>
      <c r="H199" s="551">
        <f>'Traffic Data'!J29*annualizationFactor*'Traffic Data'!$H29</f>
        <v>416100</v>
      </c>
      <c r="I199" s="551">
        <f>'Traffic Data'!K29*annualizationFactor*'Traffic Data'!$H29</f>
        <v>433475.6424999999</v>
      </c>
      <c r="J199" s="551">
        <f>'Traffic Data'!L29*annualizationFactor*'Traffic Data'!$H29</f>
        <v>454981.0774999999</v>
      </c>
      <c r="K199" s="551">
        <f>'Traffic Data'!M29*annualizationFactor*'Traffic Data'!$H29</f>
        <v>483934.70250000001</v>
      </c>
      <c r="L199" s="551">
        <f>'Traffic Data'!N29*annualizationFactor*'Traffic Data'!$H29</f>
        <v>512898.7300000001</v>
      </c>
      <c r="M199" s="551">
        <f>'Traffic Data'!O29*annualizationFactor*'Traffic Data'!$H29</f>
        <v>541859.29</v>
      </c>
      <c r="N199" s="551">
        <f>'Traffic Data'!P29*annualizationFactor*'Traffic Data'!$H29</f>
        <v>570812.91500000004</v>
      </c>
      <c r="O199" s="551">
        <f>'Traffic Data'!Q29*annualizationFactor*'Traffic Data'!$H29</f>
        <v>599787.3450000002</v>
      </c>
      <c r="P199" s="551">
        <f>'Traffic Data'!R29*annualizationFactor*'Traffic Data'!$H29</f>
        <v>627860.22499999998</v>
      </c>
      <c r="Q199" s="551">
        <f>'Traffic Data'!S29*annualizationFactor*'Traffic Data'!$H29</f>
        <v>655943.50749999983</v>
      </c>
      <c r="R199" s="551">
        <f>'Traffic Data'!T29*annualizationFactor*'Traffic Data'!$H29</f>
        <v>684016.38749999995</v>
      </c>
      <c r="S199" s="551">
        <f>'Traffic Data'!U29*annualizationFactor*'Traffic Data'!$H29</f>
        <v>712089.26749999996</v>
      </c>
      <c r="T199" s="551">
        <f>'Traffic Data'!V29*annualizationFactor*'Traffic Data'!$H29</f>
        <v>740182.95250000013</v>
      </c>
      <c r="U199" s="551">
        <f>'Traffic Data'!W29*annualizationFactor*'Traffic Data'!$H29</f>
        <v>760797.24</v>
      </c>
      <c r="V199" s="551">
        <f>'Traffic Data'!X29*annualizationFactor*'Traffic Data'!$H29</f>
        <v>778172.88250000007</v>
      </c>
      <c r="W199" s="551">
        <f>'Traffic Data'!Y29*annualizationFactor*'Traffic Data'!$H29</f>
        <v>795548.52499999991</v>
      </c>
      <c r="X199" s="551">
        <f>'Traffic Data'!Z29*annualizationFactor*'Traffic Data'!$H29</f>
        <v>812924.16749999998</v>
      </c>
      <c r="Y199" s="551">
        <f>'Traffic Data'!AA29*annualizationFactor*'Traffic Data'!$H29</f>
        <v>830306.745</v>
      </c>
      <c r="Z199" s="551">
        <f>'Traffic Data'!AB29*annualizationFactor*'Traffic Data'!$H29</f>
        <v>847682.38749999995</v>
      </c>
      <c r="AA199" s="551">
        <f>'Traffic Data'!AC29*annualizationFactor*'Traffic Data'!$H29</f>
        <v>865064.96499999997</v>
      </c>
      <c r="AB199" s="551">
        <f>'Traffic Data'!AD29*annualizationFactor*'Traffic Data'!$H29</f>
        <v>882440.60750000016</v>
      </c>
      <c r="AC199" s="551">
        <f>'Traffic Data'!AE29*annualizationFactor*'Traffic Data'!$H29</f>
        <v>899816.24999999988</v>
      </c>
      <c r="AD199" s="551">
        <f>'Traffic Data'!AF29*annualizationFactor*'Traffic Data'!$H29</f>
        <v>917198.82750000001</v>
      </c>
      <c r="AE199" s="551">
        <f>'Traffic Data'!AG29*annualizationFactor*'Traffic Data'!$H29</f>
        <v>934574.47</v>
      </c>
      <c r="AF199" s="551">
        <f>'Traffic Data'!AH29*annualizationFactor*'Traffic Data'!$H29</f>
        <v>951950.11249999981</v>
      </c>
      <c r="AG199" s="689">
        <f>'Traffic Data'!AI29*annualizationFactor*'Traffic Data'!$H29</f>
        <v>969332.69000000006</v>
      </c>
      <c r="AH199" s="5"/>
      <c r="AI199" s="5"/>
      <c r="AJ199" s="5"/>
      <c r="AK199" s="5"/>
      <c r="AL199" s="5"/>
      <c r="AM199" s="5"/>
      <c r="AN199" s="5"/>
    </row>
    <row r="200" spans="1:40" ht="21.9" customHeight="1" x14ac:dyDescent="0.25">
      <c r="B200" s="678"/>
      <c r="C200" s="554"/>
      <c r="D200" s="554"/>
      <c r="E200" s="1325" t="s">
        <v>274</v>
      </c>
      <c r="F200" s="217" t="s">
        <v>275</v>
      </c>
      <c r="G200" s="217" t="s">
        <v>318</v>
      </c>
      <c r="H200" s="551">
        <f>'Traffic Data'!J30*annualizationFactor*'Traffic Data'!$H30</f>
        <v>3781400</v>
      </c>
      <c r="I200" s="551">
        <f>'Traffic Data'!K30*annualizationFactor*'Traffic Data'!$H30</f>
        <v>4163907.517</v>
      </c>
      <c r="J200" s="551">
        <f>'Traffic Data'!L30*annualizationFactor*'Traffic Data'!$H30</f>
        <v>5019090.0339999991</v>
      </c>
      <c r="K200" s="551">
        <f>'Traffic Data'!M30*annualizationFactor*'Traffic Data'!$H30</f>
        <v>6736790.9840000002</v>
      </c>
      <c r="L200" s="551">
        <f>'Traffic Data'!N30*annualizationFactor*'Traffic Data'!$H30</f>
        <v>8455550.7259999979</v>
      </c>
      <c r="M200" s="551">
        <f>'Traffic Data'!O30*annualizationFactor*'Traffic Data'!$H30</f>
        <v>10174121.397999998</v>
      </c>
      <c r="N200" s="551">
        <f>'Traffic Data'!P30*annualizationFactor*'Traffic Data'!$H30</f>
        <v>11891822.347999997</v>
      </c>
      <c r="O200" s="551">
        <f>'Traffic Data'!Q30*annualizationFactor*'Traffic Data'!$H30</f>
        <v>13611640.881999999</v>
      </c>
      <c r="P200" s="551">
        <f>'Traffic Data'!R30*annualizationFactor*'Traffic Data'!$H30</f>
        <v>15299204.073999995</v>
      </c>
      <c r="Q200" s="551">
        <f>'Traffic Data'!S30*annualizationFactor*'Traffic Data'!$H30</f>
        <v>16987618.080999997</v>
      </c>
      <c r="R200" s="551">
        <f>'Traffic Data'!T30*annualizationFactor*'Traffic Data'!$H30</f>
        <v>18675181.272999998</v>
      </c>
      <c r="S200" s="551">
        <f>'Traffic Data'!U30*annualizationFactor*'Traffic Data'!$H30</f>
        <v>20362744.465</v>
      </c>
      <c r="T200" s="551">
        <f>'Traffic Data'!V30*annualizationFactor*'Traffic Data'!$H30</f>
        <v>22052425.241</v>
      </c>
      <c r="U200" s="551">
        <f>'Traffic Data'!W30*annualizationFactor*'Traffic Data'!$H30</f>
        <v>22876411.207999997</v>
      </c>
      <c r="V200" s="551">
        <f>'Traffic Data'!X30*annualizationFactor*'Traffic Data'!$H30</f>
        <v>23258918.724999994</v>
      </c>
      <c r="W200" s="551">
        <f>'Traffic Data'!Y30*annualizationFactor*'Traffic Data'!$H30</f>
        <v>23641426.241999995</v>
      </c>
      <c r="X200" s="551">
        <f>'Traffic Data'!Z30*annualizationFactor*'Traffic Data'!$H30</f>
        <v>24023933.758999996</v>
      </c>
      <c r="Y200" s="551">
        <f>'Traffic Data'!AA30*annualizationFactor*'Traffic Data'!$H30</f>
        <v>24407027.392999995</v>
      </c>
      <c r="Z200" s="551">
        <f>'Traffic Data'!AB30*annualizationFactor*'Traffic Data'!$H30</f>
        <v>24789534.91</v>
      </c>
      <c r="AA200" s="551">
        <f>'Traffic Data'!AC30*annualizationFactor*'Traffic Data'!$H30</f>
        <v>25172628.543999996</v>
      </c>
      <c r="AB200" s="551">
        <f>'Traffic Data'!AD30*annualizationFactor*'Traffic Data'!$H30</f>
        <v>25555136.060999993</v>
      </c>
      <c r="AC200" s="551">
        <f>'Traffic Data'!AE30*annualizationFactor*'Traffic Data'!$H30</f>
        <v>25937643.577999998</v>
      </c>
      <c r="AD200" s="551">
        <f>'Traffic Data'!AF30*annualizationFactor*'Traffic Data'!$H30</f>
        <v>26320737.212000001</v>
      </c>
      <c r="AE200" s="551">
        <f>'Traffic Data'!AG30*annualizationFactor*'Traffic Data'!$H30</f>
        <v>26703244.728999998</v>
      </c>
      <c r="AF200" s="551">
        <f>'Traffic Data'!AH30*annualizationFactor*'Traffic Data'!$H30</f>
        <v>27085752.245999996</v>
      </c>
      <c r="AG200" s="689">
        <f>'Traffic Data'!AI30*annualizationFactor*'Traffic Data'!$H30</f>
        <v>27468845.879999995</v>
      </c>
      <c r="AH200" s="5"/>
      <c r="AI200" s="5"/>
      <c r="AJ200" s="5"/>
      <c r="AK200" s="5"/>
      <c r="AL200" s="5"/>
      <c r="AM200" s="5"/>
      <c r="AN200" s="5"/>
    </row>
    <row r="201" spans="1:40" ht="21.9" customHeight="1" x14ac:dyDescent="0.25">
      <c r="B201" s="678"/>
      <c r="C201" s="554"/>
      <c r="D201" s="554"/>
      <c r="E201" s="1327"/>
      <c r="F201" s="114" t="s">
        <v>318</v>
      </c>
      <c r="G201" s="114" t="s">
        <v>308</v>
      </c>
      <c r="H201" s="551">
        <f>'Traffic Data'!J31*annualizationFactor*'Traffic Data'!$H31</f>
        <v>438000</v>
      </c>
      <c r="I201" s="551">
        <f>'Traffic Data'!K31*annualizationFactor*'Traffic Data'!$H31</f>
        <v>483712.60000000009</v>
      </c>
      <c r="J201" s="551">
        <f>'Traffic Data'!L31*annualizationFactor*'Traffic Data'!$H31</f>
        <v>546817.44999999995</v>
      </c>
      <c r="K201" s="551">
        <f>'Traffic Data'!M31*annualizationFactor*'Traffic Data'!$H31</f>
        <v>662704.94999999995</v>
      </c>
      <c r="L201" s="551">
        <f>'Traffic Data'!N31*annualizationFactor*'Traffic Data'!$H31</f>
        <v>778625.3</v>
      </c>
      <c r="M201" s="551">
        <f>'Traffic Data'!O31*annualizationFactor*'Traffic Data'!$H31</f>
        <v>894567.55000000016</v>
      </c>
      <c r="N201" s="551">
        <f>'Traffic Data'!P31*annualizationFactor*'Traffic Data'!$H31</f>
        <v>1010455.0499999999</v>
      </c>
      <c r="O201" s="551">
        <f>'Traffic Data'!Q31*annualizationFactor*'Traffic Data'!$H31</f>
        <v>1126448.4000000001</v>
      </c>
      <c r="P201" s="551">
        <f>'Traffic Data'!R31*annualizationFactor*'Traffic Data'!$H31</f>
        <v>1293231.5</v>
      </c>
      <c r="Q201" s="551">
        <f>'Traffic Data'!S31*annualizationFactor*'Traffic Data'!$H31</f>
        <v>1460051.0999999999</v>
      </c>
      <c r="R201" s="551">
        <f>'Traffic Data'!T31*annualizationFactor*'Traffic Data'!$H31</f>
        <v>1626801.3499999999</v>
      </c>
      <c r="S201" s="551">
        <f>'Traffic Data'!U31*annualizationFactor*'Traffic Data'!$H31</f>
        <v>1793584.4500000002</v>
      </c>
      <c r="T201" s="551">
        <f>'Traffic Data'!V31*annualizationFactor*'Traffic Data'!$H31</f>
        <v>1960473.4000000004</v>
      </c>
      <c r="U201" s="551">
        <f>'Traffic Data'!W31*annualizationFactor*'Traffic Data'!$H31</f>
        <v>2074368</v>
      </c>
      <c r="V201" s="551">
        <f>'Traffic Data'!X31*annualizationFactor*'Traffic Data'!$H31</f>
        <v>2120080.6</v>
      </c>
      <c r="W201" s="551">
        <f>'Traffic Data'!Y31*annualizationFactor*'Traffic Data'!$H31</f>
        <v>2165793.2000000002</v>
      </c>
      <c r="X201" s="551">
        <f>'Traffic Data'!Z31*annualizationFactor*'Traffic Data'!$H31</f>
        <v>2211505.7999999998</v>
      </c>
      <c r="Y201" s="551">
        <f>'Traffic Data'!AA31*annualizationFactor*'Traffic Data'!$H31</f>
        <v>2257251.2500000005</v>
      </c>
      <c r="Z201" s="551">
        <f>'Traffic Data'!AB31*annualizationFactor*'Traffic Data'!$H31</f>
        <v>2302963.85</v>
      </c>
      <c r="AA201" s="551">
        <f>'Traffic Data'!AC31*annualizationFactor*'Traffic Data'!$H31</f>
        <v>2348709.3000000003</v>
      </c>
      <c r="AB201" s="551">
        <f>'Traffic Data'!AD31*annualizationFactor*'Traffic Data'!$H31</f>
        <v>2394421.9000000004</v>
      </c>
      <c r="AC201" s="551">
        <f>'Traffic Data'!AE31*annualizationFactor*'Traffic Data'!$H31</f>
        <v>2440134.5</v>
      </c>
      <c r="AD201" s="551">
        <f>'Traffic Data'!AF31*annualizationFactor*'Traffic Data'!$H31</f>
        <v>2485879.9500000002</v>
      </c>
      <c r="AE201" s="551">
        <f>'Traffic Data'!AG31*annualizationFactor*'Traffic Data'!$H31</f>
        <v>2531592.5499999998</v>
      </c>
      <c r="AF201" s="551">
        <f>'Traffic Data'!AH31*annualizationFactor*'Traffic Data'!$H31</f>
        <v>2577305.1500000004</v>
      </c>
      <c r="AG201" s="689">
        <f>'Traffic Data'!AI31*annualizationFactor*'Traffic Data'!$H31</f>
        <v>2623050.5999999996</v>
      </c>
      <c r="AH201" s="5"/>
      <c r="AI201" s="5"/>
      <c r="AJ201" s="5"/>
      <c r="AK201" s="5"/>
      <c r="AL201" s="5"/>
      <c r="AM201" s="5"/>
      <c r="AN201" s="5"/>
    </row>
    <row r="202" spans="1:40" ht="21.9" customHeight="1" x14ac:dyDescent="0.25">
      <c r="B202" s="678"/>
      <c r="C202" s="554"/>
      <c r="D202" s="554"/>
      <c r="E202" s="1339"/>
      <c r="F202" s="250" t="s">
        <v>308</v>
      </c>
      <c r="G202" s="250" t="s">
        <v>319</v>
      </c>
      <c r="H202" s="551">
        <f>'Traffic Data'!J32*annualizationFactor*'Traffic Data'!$H32</f>
        <v>5869200</v>
      </c>
      <c r="I202" s="551">
        <f>'Traffic Data'!K32*annualizationFactor*'Traffic Data'!$H32</f>
        <v>6033557.1639999999</v>
      </c>
      <c r="J202" s="551">
        <f>'Traffic Data'!L32*annualizationFactor*'Traffic Data'!$H32</f>
        <v>6267777.3720000004</v>
      </c>
      <c r="K202" s="551">
        <f>'Traffic Data'!M32*annualizationFactor*'Traffic Data'!$H32</f>
        <v>6596511.2640000014</v>
      </c>
      <c r="L202" s="551">
        <f>'Traffic Data'!N32*annualizationFactor*'Traffic Data'!$H32</f>
        <v>6925382.1039999984</v>
      </c>
      <c r="M202" s="551">
        <f>'Traffic Data'!O32*annualizationFactor*'Traffic Data'!$H32</f>
        <v>7254223.5980000021</v>
      </c>
      <c r="N202" s="551">
        <f>'Traffic Data'!P32*annualizationFactor*'Traffic Data'!$H32</f>
        <v>7582957.4900000021</v>
      </c>
      <c r="O202" s="551">
        <f>'Traffic Data'!Q32*annualizationFactor*'Traffic Data'!$H32</f>
        <v>7911955.4960000012</v>
      </c>
      <c r="P202" s="551">
        <f>'Traffic Data'!R32*annualizationFactor*'Traffic Data'!$H32</f>
        <v>8244073.959999999</v>
      </c>
      <c r="Q202" s="551">
        <f>'Traffic Data'!S32*annualizationFactor*'Traffic Data'!$H32</f>
        <v>8576290.2440000009</v>
      </c>
      <c r="R202" s="551">
        <f>'Traffic Data'!T32*annualizationFactor*'Traffic Data'!$H32</f>
        <v>8908379.3619999997</v>
      </c>
      <c r="S202" s="551">
        <f>'Traffic Data'!U32*annualizationFactor*'Traffic Data'!$H32</f>
        <v>9240497.8260000013</v>
      </c>
      <c r="T202" s="551">
        <f>'Traffic Data'!V32*annualizationFactor*'Traffic Data'!$H32</f>
        <v>9572880.404000001</v>
      </c>
      <c r="U202" s="551">
        <f>'Traffic Data'!W32*annualizationFactor*'Traffic Data'!$H32</f>
        <v>9810328.6720000021</v>
      </c>
      <c r="V202" s="551">
        <f>'Traffic Data'!X32*annualizationFactor*'Traffic Data'!$H32</f>
        <v>9974685.8359999992</v>
      </c>
      <c r="W202" s="551">
        <f>'Traffic Data'!Y32*annualizationFactor*'Traffic Data'!$H32</f>
        <v>10139043</v>
      </c>
      <c r="X202" s="551">
        <f>'Traffic Data'!Z32*annualizationFactor*'Traffic Data'!$H32</f>
        <v>10303400.163999999</v>
      </c>
      <c r="Y202" s="551">
        <f>'Traffic Data'!AA32*annualizationFactor*'Traffic Data'!$H32</f>
        <v>10467835.584000001</v>
      </c>
      <c r="Z202" s="551">
        <f>'Traffic Data'!AB32*annualizationFactor*'Traffic Data'!$H32</f>
        <v>10632192.748000002</v>
      </c>
      <c r="AA202" s="551">
        <f>'Traffic Data'!AC32*annualizationFactor*'Traffic Data'!$H32</f>
        <v>10796628.168000001</v>
      </c>
      <c r="AB202" s="551">
        <f>'Traffic Data'!AD32*annualizationFactor*'Traffic Data'!$H32</f>
        <v>10960985.332</v>
      </c>
      <c r="AC202" s="551">
        <f>'Traffic Data'!AE32*annualizationFactor*'Traffic Data'!$H32</f>
        <v>11125342.496000001</v>
      </c>
      <c r="AD202" s="551">
        <f>'Traffic Data'!AF32*annualizationFactor*'Traffic Data'!$H32</f>
        <v>11289777.915999999</v>
      </c>
      <c r="AE202" s="551">
        <f>'Traffic Data'!AG32*annualizationFactor*'Traffic Data'!$H32</f>
        <v>11454135.079999998</v>
      </c>
      <c r="AF202" s="551">
        <f>'Traffic Data'!AH32*annualizationFactor*'Traffic Data'!$H32</f>
        <v>11618492.244000001</v>
      </c>
      <c r="AG202" s="689">
        <f>'Traffic Data'!AI32*annualizationFactor*'Traffic Data'!$H32</f>
        <v>11782927.664000001</v>
      </c>
      <c r="AH202" s="5"/>
      <c r="AI202" s="5"/>
      <c r="AJ202" s="5"/>
      <c r="AK202" s="5"/>
      <c r="AL202" s="5"/>
      <c r="AM202" s="5"/>
      <c r="AN202" s="5"/>
    </row>
    <row r="203" spans="1:40" ht="21.9" customHeight="1" x14ac:dyDescent="0.25">
      <c r="B203" s="678"/>
      <c r="C203" s="554"/>
      <c r="D203" s="554"/>
      <c r="E203" s="114" t="s">
        <v>320</v>
      </c>
      <c r="F203" s="114" t="s">
        <v>318</v>
      </c>
      <c r="G203" s="114" t="s">
        <v>308</v>
      </c>
      <c r="H203" s="551">
        <f>'Traffic Data'!J33*annualizationFactor*'Traffic Data'!$H33</f>
        <v>17155</v>
      </c>
      <c r="I203" s="551">
        <f>'Traffic Data'!K33*annualizationFactor*'Traffic Data'!$H33</f>
        <v>130017.74500000001</v>
      </c>
      <c r="J203" s="551">
        <f>'Traffic Data'!L33*annualizationFactor*'Traffic Data'!$H33</f>
        <v>753258.8949999999</v>
      </c>
      <c r="K203" s="551">
        <f>'Traffic Data'!M33*annualizationFactor*'Traffic Data'!$H33</f>
        <v>1734936.6149999998</v>
      </c>
      <c r="L203" s="551">
        <f>'Traffic Data'!N33*annualizationFactor*'Traffic Data'!$H33</f>
        <v>2717231.915</v>
      </c>
      <c r="M203" s="551">
        <f>'Traffic Data'!O33*annualizationFactor*'Traffic Data'!$H33</f>
        <v>3699578.6800000006</v>
      </c>
      <c r="N203" s="551">
        <f>'Traffic Data'!P33*annualizationFactor*'Traffic Data'!$H33</f>
        <v>4681256.4000000004</v>
      </c>
      <c r="O203" s="551">
        <f>'Traffic Data'!Q33*annualizationFactor*'Traffic Data'!$H33</f>
        <v>5664237.9000000004</v>
      </c>
      <c r="P203" s="551">
        <f>'Traffic Data'!R33*annualizationFactor*'Traffic Data'!$H33</f>
        <v>6216182.8699999992</v>
      </c>
      <c r="Q203" s="551">
        <f>'Traffic Data'!S33*annualizationFactor*'Traffic Data'!$H33</f>
        <v>6768333.7000000002</v>
      </c>
      <c r="R203" s="551">
        <f>'Traffic Data'!T33*annualizationFactor*'Traffic Data'!$H33</f>
        <v>7320433.0650000004</v>
      </c>
      <c r="S203" s="551">
        <f>'Traffic Data'!U33*annualizationFactor*'Traffic Data'!$H33</f>
        <v>7872378.0349999992</v>
      </c>
      <c r="T203" s="551">
        <f>'Traffic Data'!V33*annualizationFactor*'Traffic Data'!$H33</f>
        <v>8425626.785000002</v>
      </c>
      <c r="U203" s="551">
        <f>'Traffic Data'!W33*annualizationFactor*'Traffic Data'!$H33</f>
        <v>8618603.3800000027</v>
      </c>
      <c r="V203" s="551">
        <f>'Traffic Data'!X33*annualizationFactor*'Traffic Data'!$H33</f>
        <v>8731466.125</v>
      </c>
      <c r="W203" s="551">
        <f>'Traffic Data'!Y33*annualizationFactor*'Traffic Data'!$H33</f>
        <v>8844328.870000001</v>
      </c>
      <c r="X203" s="551">
        <f>'Traffic Data'!Z33*annualizationFactor*'Traffic Data'!$H33</f>
        <v>8957191.6150000021</v>
      </c>
      <c r="Y203" s="551">
        <f>'Traffic Data'!AA33*annualizationFactor*'Traffic Data'!$H33</f>
        <v>9070500.3900000006</v>
      </c>
      <c r="Z203" s="551">
        <f>'Traffic Data'!AB33*annualizationFactor*'Traffic Data'!$H33</f>
        <v>9183363.1350000016</v>
      </c>
      <c r="AA203" s="551">
        <f>'Traffic Data'!AC33*annualizationFactor*'Traffic Data'!$H33</f>
        <v>9296671.9100000039</v>
      </c>
      <c r="AB203" s="551">
        <f>'Traffic Data'!AD33*annualizationFactor*'Traffic Data'!$H33</f>
        <v>9409534.6550000012</v>
      </c>
      <c r="AC203" s="551">
        <f>'Traffic Data'!AE33*annualizationFactor*'Traffic Data'!$H33</f>
        <v>9522397.4000000022</v>
      </c>
      <c r="AD203" s="551">
        <f>'Traffic Data'!AF33*annualizationFactor*'Traffic Data'!$H33</f>
        <v>9635706.1750000045</v>
      </c>
      <c r="AE203" s="551">
        <f>'Traffic Data'!AG33*annualizationFactor*'Traffic Data'!$H33</f>
        <v>9748568.9199999999</v>
      </c>
      <c r="AF203" s="551">
        <f>'Traffic Data'!AH33*annualizationFactor*'Traffic Data'!$H33</f>
        <v>9861431.665000001</v>
      </c>
      <c r="AG203" s="689">
        <f>'Traffic Data'!AI33*annualizationFactor*'Traffic Data'!$H33</f>
        <v>9974740.4400000032</v>
      </c>
      <c r="AH203" s="5"/>
      <c r="AI203" s="5"/>
      <c r="AJ203" s="5"/>
      <c r="AK203" s="5"/>
      <c r="AL203" s="5"/>
      <c r="AM203" s="5"/>
      <c r="AN203" s="5"/>
    </row>
    <row r="204" spans="1:40" ht="21.9" customHeight="1" x14ac:dyDescent="0.25">
      <c r="B204" s="678"/>
      <c r="C204" s="554"/>
      <c r="D204" s="554"/>
      <c r="E204" s="1325" t="s">
        <v>308</v>
      </c>
      <c r="F204" s="217" t="s">
        <v>276</v>
      </c>
      <c r="G204" s="217" t="s">
        <v>320</v>
      </c>
      <c r="H204" s="551">
        <f>'Traffic Data'!J34*annualizationFactor*'Traffic Data'!$H34</f>
        <v>49275</v>
      </c>
      <c r="I204" s="551">
        <f>'Traffic Data'!K34*annualizationFactor*'Traffic Data'!$H34</f>
        <v>109513.68749999999</v>
      </c>
      <c r="J204" s="551">
        <f>'Traffic Data'!L34*annualizationFactor*'Traffic Data'!$H34</f>
        <v>462864.71250000002</v>
      </c>
      <c r="K204" s="551">
        <f>'Traffic Data'!M34*annualizationFactor*'Traffic Data'!$H34</f>
        <v>1040490.9</v>
      </c>
      <c r="L204" s="551">
        <f>'Traffic Data'!N34*annualizationFactor*'Traffic Data'!$H34</f>
        <v>1618437.3750000005</v>
      </c>
      <c r="M204" s="551">
        <f>'Traffic Data'!O34*annualizationFactor*'Traffic Data'!$H34</f>
        <v>2196408.4874999993</v>
      </c>
      <c r="N204" s="551">
        <f>'Traffic Data'!P34*annualizationFactor*'Traffic Data'!$H34</f>
        <v>2774034.6750000003</v>
      </c>
      <c r="O204" s="551">
        <f>'Traffic Data'!Q34*annualizationFactor*'Traffic Data'!$H34</f>
        <v>3352326.0750000002</v>
      </c>
      <c r="P204" s="551">
        <f>'Traffic Data'!R34*annualizationFactor*'Traffic Data'!$H34</f>
        <v>3798264.8250000007</v>
      </c>
      <c r="Q204" s="551">
        <f>'Traffic Data'!S34*annualizationFactor*'Traffic Data'!$H34</f>
        <v>4244277.4875000007</v>
      </c>
      <c r="R204" s="551">
        <f>'Traffic Data'!T34*annualizationFactor*'Traffic Data'!$H34</f>
        <v>4690216.2374999998</v>
      </c>
      <c r="S204" s="551">
        <f>'Traffic Data'!U34*annualizationFactor*'Traffic Data'!$H34</f>
        <v>5136154.9874999998</v>
      </c>
      <c r="T204" s="551">
        <f>'Traffic Data'!V34*annualizationFactor*'Traffic Data'!$H34</f>
        <v>5582685.0375000006</v>
      </c>
      <c r="U204" s="551">
        <f>'Traffic Data'!W34*annualizationFactor*'Traffic Data'!$H34</f>
        <v>5804003.7000000002</v>
      </c>
      <c r="V204" s="551">
        <f>'Traffic Data'!X34*annualizationFactor*'Traffic Data'!$H34</f>
        <v>5864242.3875000002</v>
      </c>
      <c r="W204" s="551">
        <f>'Traffic Data'!Y34*annualizationFactor*'Traffic Data'!$H34</f>
        <v>5924481.0750000002</v>
      </c>
      <c r="X204" s="551">
        <f>'Traffic Data'!Z34*annualizationFactor*'Traffic Data'!$H34</f>
        <v>5984719.7625000002</v>
      </c>
      <c r="Y204" s="551">
        <f>'Traffic Data'!AA34*annualizationFactor*'Traffic Data'!$H34</f>
        <v>6045130.9125000015</v>
      </c>
      <c r="Z204" s="551">
        <f>'Traffic Data'!AB34*annualizationFactor*'Traffic Data'!$H34</f>
        <v>6105369.6000000006</v>
      </c>
      <c r="AA204" s="551">
        <f>'Traffic Data'!AC34*annualizationFactor*'Traffic Data'!$H34</f>
        <v>6165780.7499999991</v>
      </c>
      <c r="AB204" s="551">
        <f>'Traffic Data'!AD34*annualizationFactor*'Traffic Data'!$H34</f>
        <v>6226019.4374999991</v>
      </c>
      <c r="AC204" s="551">
        <f>'Traffic Data'!AE34*annualizationFactor*'Traffic Data'!$H34</f>
        <v>6286258.1249999991</v>
      </c>
      <c r="AD204" s="551">
        <f>'Traffic Data'!AF34*annualizationFactor*'Traffic Data'!$H34</f>
        <v>6346669.2749999994</v>
      </c>
      <c r="AE204" s="551">
        <f>'Traffic Data'!AG34*annualizationFactor*'Traffic Data'!$H34</f>
        <v>6406907.9624999994</v>
      </c>
      <c r="AF204" s="551">
        <f>'Traffic Data'!AH34*annualizationFactor*'Traffic Data'!$H34</f>
        <v>6467146.6499999994</v>
      </c>
      <c r="AG204" s="689">
        <f>'Traffic Data'!AI34*annualizationFactor*'Traffic Data'!$H34</f>
        <v>6527557.8000000007</v>
      </c>
      <c r="AH204" s="5"/>
      <c r="AI204" s="5"/>
      <c r="AJ204" s="5"/>
      <c r="AK204" s="5"/>
      <c r="AL204" s="5"/>
      <c r="AM204" s="5"/>
      <c r="AN204" s="5"/>
    </row>
    <row r="205" spans="1:40" ht="21.9" customHeight="1" x14ac:dyDescent="0.25">
      <c r="B205" s="678"/>
      <c r="C205" s="554"/>
      <c r="D205" s="554"/>
      <c r="E205" s="1327"/>
      <c r="F205" s="114" t="s">
        <v>320</v>
      </c>
      <c r="G205" s="114" t="s">
        <v>282</v>
      </c>
      <c r="H205" s="551">
        <f>'Traffic Data'!J35*annualizationFactor*'Traffic Data'!$H35</f>
        <v>0</v>
      </c>
      <c r="I205" s="551">
        <f>'Traffic Data'!K35*annualizationFactor*'Traffic Data'!$H35</f>
        <v>33521.600000000006</v>
      </c>
      <c r="J205" s="551">
        <f>'Traffic Data'!L35*annualizationFactor*'Traffic Data'!$H35</f>
        <v>96001.57</v>
      </c>
      <c r="K205" s="551">
        <f>'Traffic Data'!M35*annualizationFactor*'Traffic Data'!$H35</f>
        <v>215805.52000000002</v>
      </c>
      <c r="L205" s="551">
        <f>'Traffic Data'!N35*annualizationFactor*'Traffic Data'!$H35</f>
        <v>335675.90000000008</v>
      </c>
      <c r="M205" s="551">
        <f>'Traffic Data'!O35*annualizationFactor*'Traffic Data'!$H35</f>
        <v>455551.3899999999</v>
      </c>
      <c r="N205" s="551">
        <f>'Traffic Data'!P35*annualizationFactor*'Traffic Data'!$H35</f>
        <v>575355.34000000008</v>
      </c>
      <c r="O205" s="551">
        <f>'Traffic Data'!Q35*annualizationFactor*'Traffic Data'!$H35</f>
        <v>695297.26</v>
      </c>
      <c r="P205" s="551">
        <f>'Traffic Data'!R35*annualizationFactor*'Traffic Data'!$H35</f>
        <v>787788.26000000024</v>
      </c>
      <c r="Q205" s="551">
        <f>'Traffic Data'!S35*annualizationFactor*'Traffic Data'!$H35</f>
        <v>880294.5900000002</v>
      </c>
      <c r="R205" s="551">
        <f>'Traffic Data'!T35*annualizationFactor*'Traffic Data'!$H35</f>
        <v>972785.59</v>
      </c>
      <c r="S205" s="551">
        <f>'Traffic Data'!U35*annualizationFactor*'Traffic Data'!$H35</f>
        <v>1065276.5900000001</v>
      </c>
      <c r="T205" s="551">
        <f>'Traffic Data'!V35*annualizationFactor*'Traffic Data'!$H35</f>
        <v>1157890.2300000002</v>
      </c>
      <c r="U205" s="551">
        <f>'Traffic Data'!W35*annualizationFactor*'Traffic Data'!$H35</f>
        <v>1203793.3600000001</v>
      </c>
      <c r="V205" s="551">
        <f>'Traffic Data'!X35*annualizationFactor*'Traffic Data'!$H35</f>
        <v>1216287.31</v>
      </c>
      <c r="W205" s="551">
        <f>'Traffic Data'!Y35*annualizationFactor*'Traffic Data'!$H35</f>
        <v>1228781.26</v>
      </c>
      <c r="X205" s="551">
        <f>'Traffic Data'!Z35*annualizationFactor*'Traffic Data'!$H35</f>
        <v>1241275.2100000002</v>
      </c>
      <c r="Y205" s="551">
        <f>'Traffic Data'!AA35*annualizationFactor*'Traffic Data'!$H35</f>
        <v>1253804.9300000004</v>
      </c>
      <c r="Z205" s="551">
        <f>'Traffic Data'!AB35*annualizationFactor*'Traffic Data'!$H35</f>
        <v>1266298.8800000001</v>
      </c>
      <c r="AA205" s="551">
        <f>'Traffic Data'!AC35*annualizationFactor*'Traffic Data'!$H35</f>
        <v>1278828.5999999999</v>
      </c>
      <c r="AB205" s="551">
        <f>'Traffic Data'!AD35*annualizationFactor*'Traffic Data'!$H35</f>
        <v>1291322.5499999998</v>
      </c>
      <c r="AC205" s="551">
        <f>'Traffic Data'!AE35*annualizationFactor*'Traffic Data'!$H35</f>
        <v>1303816.4999999998</v>
      </c>
      <c r="AD205" s="551">
        <f>'Traffic Data'!AF35*annualizationFactor*'Traffic Data'!$H35</f>
        <v>1316346.22</v>
      </c>
      <c r="AE205" s="551">
        <f>'Traffic Data'!AG35*annualizationFactor*'Traffic Data'!$H35</f>
        <v>1328840.17</v>
      </c>
      <c r="AF205" s="551">
        <f>'Traffic Data'!AH35*annualizationFactor*'Traffic Data'!$H35</f>
        <v>1341334.1199999999</v>
      </c>
      <c r="AG205" s="689">
        <f>'Traffic Data'!AI35*annualizationFactor*'Traffic Data'!$H35</f>
        <v>1353863.84</v>
      </c>
      <c r="AH205" s="5"/>
      <c r="AI205" s="5"/>
      <c r="AJ205" s="5"/>
      <c r="AK205" s="5"/>
      <c r="AL205" s="5"/>
      <c r="AM205" s="5"/>
      <c r="AN205" s="5"/>
    </row>
    <row r="206" spans="1:40" ht="21.9" customHeight="1" x14ac:dyDescent="0.25">
      <c r="B206" s="678"/>
      <c r="C206" s="554"/>
      <c r="D206" s="554"/>
      <c r="E206" s="1327"/>
      <c r="F206" s="114" t="s">
        <v>282</v>
      </c>
      <c r="G206" s="114" t="s">
        <v>321</v>
      </c>
      <c r="H206" s="551">
        <f>'Traffic Data'!J36*annualizationFactor*'Traffic Data'!$H36</f>
        <v>0</v>
      </c>
      <c r="I206" s="551">
        <f>'Traffic Data'!K36*annualizationFactor*'Traffic Data'!$H36</f>
        <v>87395.599999999991</v>
      </c>
      <c r="J206" s="551">
        <f>'Traffic Data'!L36*annualizationFactor*'Traffic Data'!$H36</f>
        <v>250289.8075</v>
      </c>
      <c r="K206" s="551">
        <f>'Traffic Data'!M36*annualizationFactor*'Traffic Data'!$H36</f>
        <v>562635.81999999995</v>
      </c>
      <c r="L206" s="551">
        <f>'Traffic Data'!N36*annualizationFactor*'Traffic Data'!$H36</f>
        <v>875155.02500000014</v>
      </c>
      <c r="M206" s="551">
        <f>'Traffic Data'!O36*annualizationFactor*'Traffic Data'!$H36</f>
        <v>1187687.5524999995</v>
      </c>
      <c r="N206" s="551">
        <f>'Traffic Data'!P36*annualizationFactor*'Traffic Data'!$H36</f>
        <v>1500033.5649999999</v>
      </c>
      <c r="O206" s="551">
        <f>'Traffic Data'!Q36*annualizationFactor*'Traffic Data'!$H36</f>
        <v>1812739.2849999999</v>
      </c>
      <c r="P206" s="551">
        <f>'Traffic Data'!R36*annualizationFactor*'Traffic Data'!$H36</f>
        <v>2053876.5350000004</v>
      </c>
      <c r="Q206" s="551">
        <f>'Traffic Data'!S36*annualizationFactor*'Traffic Data'!$H36</f>
        <v>2295053.7525000004</v>
      </c>
      <c r="R206" s="551">
        <f>'Traffic Data'!T36*annualizationFactor*'Traffic Data'!$H36</f>
        <v>2536191.0024999995</v>
      </c>
      <c r="S206" s="551">
        <f>'Traffic Data'!U36*annualizationFactor*'Traffic Data'!$H36</f>
        <v>2777328.2524999995</v>
      </c>
      <c r="T206" s="551">
        <f>'Traffic Data'!V36*annualizationFactor*'Traffic Data'!$H36</f>
        <v>3018785.2424999997</v>
      </c>
      <c r="U206" s="551">
        <f>'Traffic Data'!W36*annualizationFactor*'Traffic Data'!$H36</f>
        <v>3138461.26</v>
      </c>
      <c r="V206" s="551">
        <f>'Traffic Data'!X36*annualizationFactor*'Traffic Data'!$H36</f>
        <v>3171034.7725</v>
      </c>
      <c r="W206" s="551">
        <f>'Traffic Data'!Y36*annualizationFactor*'Traffic Data'!$H36</f>
        <v>3203608.2850000001</v>
      </c>
      <c r="X206" s="551">
        <f>'Traffic Data'!Z36*annualizationFactor*'Traffic Data'!$H36</f>
        <v>3236181.7974999999</v>
      </c>
      <c r="Y206" s="551">
        <f>'Traffic Data'!AA36*annualizationFactor*'Traffic Data'!$H36</f>
        <v>3268848.5675000008</v>
      </c>
      <c r="Z206" s="551">
        <f>'Traffic Data'!AB36*annualizationFactor*'Traffic Data'!$H36</f>
        <v>3301422.08</v>
      </c>
      <c r="AA206" s="551">
        <f>'Traffic Data'!AC36*annualizationFactor*'Traffic Data'!$H36</f>
        <v>3334088.8499999992</v>
      </c>
      <c r="AB206" s="551">
        <f>'Traffic Data'!AD36*annualizationFactor*'Traffic Data'!$H36</f>
        <v>3366662.3624999993</v>
      </c>
      <c r="AC206" s="551">
        <f>'Traffic Data'!AE36*annualizationFactor*'Traffic Data'!$H36</f>
        <v>3399235.8749999991</v>
      </c>
      <c r="AD206" s="551">
        <f>'Traffic Data'!AF36*annualizationFactor*'Traffic Data'!$H36</f>
        <v>3431902.6449999991</v>
      </c>
      <c r="AE206" s="551">
        <f>'Traffic Data'!AG36*annualizationFactor*'Traffic Data'!$H36</f>
        <v>3464476.1574999993</v>
      </c>
      <c r="AF206" s="551">
        <f>'Traffic Data'!AH36*annualizationFactor*'Traffic Data'!$H36</f>
        <v>3497049.6699999995</v>
      </c>
      <c r="AG206" s="689">
        <f>'Traffic Data'!AI36*annualizationFactor*'Traffic Data'!$H36</f>
        <v>3529716.44</v>
      </c>
      <c r="AH206" s="5"/>
      <c r="AI206" s="5"/>
      <c r="AJ206" s="5"/>
      <c r="AK206" s="5"/>
      <c r="AL206" s="5"/>
      <c r="AM206" s="5"/>
      <c r="AN206" s="5"/>
    </row>
    <row r="207" spans="1:40" ht="21.9" customHeight="1" x14ac:dyDescent="0.25">
      <c r="B207" s="678"/>
      <c r="C207" s="554"/>
      <c r="D207" s="554"/>
      <c r="E207" s="1339"/>
      <c r="F207" s="250" t="s">
        <v>321</v>
      </c>
      <c r="G207" s="250" t="s">
        <v>274</v>
      </c>
      <c r="H207" s="551">
        <f>'Traffic Data'!J37*annualizationFactor*'Traffic Data'!$H37</f>
        <v>114975</v>
      </c>
      <c r="I207" s="551">
        <f>'Traffic Data'!K37*annualizationFactor*'Traffic Data'!$H37</f>
        <v>171393.23250000001</v>
      </c>
      <c r="J207" s="551">
        <f>'Traffic Data'!L37*annualizationFactor*'Traffic Data'!$H37</f>
        <v>241309.53000000003</v>
      </c>
      <c r="K207" s="551">
        <f>'Traffic Data'!M37*annualizationFactor*'Traffic Data'!$H37</f>
        <v>418056.76500000001</v>
      </c>
      <c r="L207" s="551">
        <f>'Traffic Data'!N37*annualizationFactor*'Traffic Data'!$H37</f>
        <v>594823.16249999998</v>
      </c>
      <c r="M207" s="551">
        <f>'Traffic Data'!O37*annualizationFactor*'Traffic Data'!$H37</f>
        <v>771677.70750000002</v>
      </c>
      <c r="N207" s="551">
        <f>'Traffic Data'!P37*annualizationFactor*'Traffic Data'!$H37</f>
        <v>948424.9425</v>
      </c>
      <c r="O207" s="551">
        <f>'Traffic Data'!Q37*annualizationFactor*'Traffic Data'!$H37</f>
        <v>1125114.69</v>
      </c>
      <c r="P207" s="551">
        <f>'Traffic Data'!R37*annualizationFactor*'Traffic Data'!$H37</f>
        <v>1574862.3975</v>
      </c>
      <c r="Q207" s="551">
        <f>'Traffic Data'!S37*annualizationFactor*'Traffic Data'!$H37</f>
        <v>2024433.81</v>
      </c>
      <c r="R207" s="551">
        <f>'Traffic Data'!T37*annualizationFactor*'Traffic Data'!$H37</f>
        <v>2473970.73</v>
      </c>
      <c r="S207" s="551">
        <f>'Traffic Data'!U37*annualizationFactor*'Traffic Data'!$H37</f>
        <v>2923718.4375</v>
      </c>
      <c r="T207" s="551">
        <f>'Traffic Data'!V37*annualizationFactor*'Traffic Data'!$H37</f>
        <v>3373408.6575000007</v>
      </c>
      <c r="U207" s="551">
        <f>'Traffic Data'!W37*annualizationFactor*'Traffic Data'!$H37</f>
        <v>3716191.2900000005</v>
      </c>
      <c r="V207" s="551">
        <f>'Traffic Data'!X37*annualizationFactor*'Traffic Data'!$H37</f>
        <v>3772609.5225</v>
      </c>
      <c r="W207" s="551">
        <f>'Traffic Data'!Y37*annualizationFactor*'Traffic Data'!$H37</f>
        <v>3829027.7550000004</v>
      </c>
      <c r="X207" s="551">
        <f>'Traffic Data'!Z37*annualizationFactor*'Traffic Data'!$H37</f>
        <v>3885445.9875000003</v>
      </c>
      <c r="Y207" s="551">
        <f>'Traffic Data'!AA37*annualizationFactor*'Traffic Data'!$H37</f>
        <v>3941691.7575000003</v>
      </c>
      <c r="Z207" s="551">
        <f>'Traffic Data'!AB37*annualizationFactor*'Traffic Data'!$H37</f>
        <v>3998109.9900000007</v>
      </c>
      <c r="AA207" s="551">
        <f>'Traffic Data'!AC37*annualizationFactor*'Traffic Data'!$H37</f>
        <v>4054355.7600000002</v>
      </c>
      <c r="AB207" s="551">
        <f>'Traffic Data'!AD37*annualizationFactor*'Traffic Data'!$H37</f>
        <v>4110773.9925000002</v>
      </c>
      <c r="AC207" s="551">
        <f>'Traffic Data'!AE37*annualizationFactor*'Traffic Data'!$H37</f>
        <v>4167192.2250000006</v>
      </c>
      <c r="AD207" s="551">
        <f>'Traffic Data'!AF37*annualizationFactor*'Traffic Data'!$H37</f>
        <v>4223437.9950000001</v>
      </c>
      <c r="AE207" s="551">
        <f>'Traffic Data'!AG37*annualizationFactor*'Traffic Data'!$H37</f>
        <v>4279856.2275</v>
      </c>
      <c r="AF207" s="551">
        <f>'Traffic Data'!AH37*annualizationFactor*'Traffic Data'!$H37</f>
        <v>4336274.46</v>
      </c>
      <c r="AG207" s="689">
        <f>'Traffic Data'!AI37*annualizationFactor*'Traffic Data'!$H37</f>
        <v>4392520.2300000004</v>
      </c>
      <c r="AH207" s="5"/>
      <c r="AI207" s="5"/>
      <c r="AJ207" s="5"/>
      <c r="AK207" s="5"/>
      <c r="AL207" s="5"/>
      <c r="AM207" s="5"/>
      <c r="AN207" s="5"/>
    </row>
    <row r="208" spans="1:40" ht="21.9" customHeight="1" x14ac:dyDescent="0.25">
      <c r="B208" s="678"/>
      <c r="C208" s="554"/>
      <c r="D208" s="554"/>
      <c r="E208" s="114" t="s">
        <v>282</v>
      </c>
      <c r="F208" s="114" t="s">
        <v>308</v>
      </c>
      <c r="G208" s="114" t="s">
        <v>324</v>
      </c>
      <c r="H208" s="551">
        <f>'Traffic Data'!J38*annualizationFactor*'Traffic Data'!$H38</f>
        <v>657000</v>
      </c>
      <c r="I208" s="551">
        <f>'Traffic Data'!K38*annualizationFactor*'Traffic Data'!$H38</f>
        <v>697398.20000000007</v>
      </c>
      <c r="J208" s="551">
        <f>'Traffic Data'!L38*annualizationFactor*'Traffic Data'!$H38</f>
        <v>750859.75</v>
      </c>
      <c r="K208" s="551">
        <f>'Traffic Data'!M38*annualizationFactor*'Traffic Data'!$H38</f>
        <v>821906.99999999988</v>
      </c>
      <c r="L208" s="551">
        <f>'Traffic Data'!N38*annualizationFactor*'Traffic Data'!$H38</f>
        <v>892976.14999999991</v>
      </c>
      <c r="M208" s="551">
        <f>'Traffic Data'!O38*annualizationFactor*'Traffic Data'!$H38</f>
        <v>964198.60000000009</v>
      </c>
      <c r="N208" s="551">
        <f>'Traffic Data'!P38*annualizationFactor*'Traffic Data'!$H38</f>
        <v>1035245.8499999999</v>
      </c>
      <c r="O208" s="551">
        <f>'Traffic Data'!Q38*annualizationFactor*'Traffic Data'!$H38</f>
        <v>1106369.7499999998</v>
      </c>
      <c r="P208" s="551">
        <f>'Traffic Data'!R38*annualizationFactor*'Traffic Data'!$H38</f>
        <v>1171222.95</v>
      </c>
      <c r="Q208" s="551">
        <f>'Traffic Data'!S38*annualizationFactor*'Traffic Data'!$H38</f>
        <v>1236021.4000000001</v>
      </c>
      <c r="R208" s="551">
        <f>'Traffic Data'!T38*annualizationFactor*'Traffic Data'!$H38</f>
        <v>1300878.25</v>
      </c>
      <c r="S208" s="551">
        <f>'Traffic Data'!U38*annualizationFactor*'Traffic Data'!$H38</f>
        <v>1365731.45</v>
      </c>
      <c r="T208" s="551">
        <f>'Traffic Data'!V38*annualizationFactor*'Traffic Data'!$H38</f>
        <v>1430814.6</v>
      </c>
      <c r="U208" s="551">
        <f>'Traffic Data'!W38*annualizationFactor*'Traffic Data'!$H38</f>
        <v>1478031</v>
      </c>
      <c r="V208" s="551">
        <f>'Traffic Data'!X38*annualizationFactor*'Traffic Data'!$H38</f>
        <v>1518429.2</v>
      </c>
      <c r="W208" s="551">
        <f>'Traffic Data'!Y38*annualizationFactor*'Traffic Data'!$H38</f>
        <v>1558827.3999999997</v>
      </c>
      <c r="X208" s="551">
        <f>'Traffic Data'!Z38*annualizationFactor*'Traffic Data'!$H38</f>
        <v>1599225.5999999999</v>
      </c>
      <c r="Y208" s="551">
        <f>'Traffic Data'!AA38*annualizationFactor*'Traffic Data'!$H38</f>
        <v>1639667.5999999999</v>
      </c>
      <c r="Z208" s="551">
        <f>'Traffic Data'!AB38*annualizationFactor*'Traffic Data'!$H38</f>
        <v>1680065.7999999996</v>
      </c>
      <c r="AA208" s="551">
        <f>'Traffic Data'!AC38*annualizationFactor*'Traffic Data'!$H38</f>
        <v>1720562.55</v>
      </c>
      <c r="AB208" s="551">
        <f>'Traffic Data'!AD38*annualizationFactor*'Traffic Data'!$H38</f>
        <v>1760960.7499999998</v>
      </c>
      <c r="AC208" s="551">
        <f>'Traffic Data'!AE38*annualizationFactor*'Traffic Data'!$H38</f>
        <v>1801358.95</v>
      </c>
      <c r="AD208" s="551">
        <f>'Traffic Data'!AF38*annualizationFactor*'Traffic Data'!$H38</f>
        <v>1841800.9499999995</v>
      </c>
      <c r="AE208" s="551">
        <f>'Traffic Data'!AG38*annualizationFactor*'Traffic Data'!$H38</f>
        <v>1882199.15</v>
      </c>
      <c r="AF208" s="551">
        <f>'Traffic Data'!AH38*annualizationFactor*'Traffic Data'!$H38</f>
        <v>1922597.3499999999</v>
      </c>
      <c r="AG208" s="689">
        <f>'Traffic Data'!AI38*annualizationFactor*'Traffic Data'!$H38</f>
        <v>1963094.0999999996</v>
      </c>
      <c r="AH208" s="5"/>
      <c r="AI208" s="5"/>
      <c r="AJ208" s="5"/>
      <c r="AK208" s="5"/>
      <c r="AL208" s="5"/>
      <c r="AM208" s="5"/>
      <c r="AN208" s="5"/>
    </row>
    <row r="209" spans="2:40" ht="21.9" customHeight="1" x14ac:dyDescent="0.25">
      <c r="B209" s="678"/>
      <c r="C209" s="554"/>
      <c r="D209" s="554"/>
      <c r="E209" s="273" t="s">
        <v>321</v>
      </c>
      <c r="F209" s="273" t="s">
        <v>318</v>
      </c>
      <c r="G209" s="273" t="s">
        <v>308</v>
      </c>
      <c r="H209" s="551">
        <f>'Traffic Data'!J39*annualizationFactor*'Traffic Data'!$H39</f>
        <v>0</v>
      </c>
      <c r="I209" s="551">
        <f>'Traffic Data'!K39*annualizationFactor*'Traffic Data'!$H39</f>
        <v>0</v>
      </c>
      <c r="J209" s="551">
        <f>'Traffic Data'!L39*annualizationFactor*'Traffic Data'!$H39</f>
        <v>0</v>
      </c>
      <c r="K209" s="551">
        <f>'Traffic Data'!M39*annualizationFactor*'Traffic Data'!$H39</f>
        <v>0</v>
      </c>
      <c r="L209" s="551">
        <f>'Traffic Data'!N39*annualizationFactor*'Traffic Data'!$H39</f>
        <v>0</v>
      </c>
      <c r="M209" s="551">
        <f>'Traffic Data'!O39*annualizationFactor*'Traffic Data'!$H39</f>
        <v>0</v>
      </c>
      <c r="N209" s="551">
        <f>'Traffic Data'!P39*annualizationFactor*'Traffic Data'!$H39</f>
        <v>0</v>
      </c>
      <c r="O209" s="551">
        <f>'Traffic Data'!Q39*annualizationFactor*'Traffic Data'!$H39</f>
        <v>0</v>
      </c>
      <c r="P209" s="551">
        <f>'Traffic Data'!R39*annualizationFactor*'Traffic Data'!$H39</f>
        <v>0</v>
      </c>
      <c r="Q209" s="551">
        <f>'Traffic Data'!S39*annualizationFactor*'Traffic Data'!$H39</f>
        <v>0</v>
      </c>
      <c r="R209" s="551">
        <f>'Traffic Data'!T39*annualizationFactor*'Traffic Data'!$H39</f>
        <v>0</v>
      </c>
      <c r="S209" s="551">
        <f>'Traffic Data'!U39*annualizationFactor*'Traffic Data'!$H39</f>
        <v>0</v>
      </c>
      <c r="T209" s="551">
        <f>'Traffic Data'!V39*annualizationFactor*'Traffic Data'!$H39</f>
        <v>0</v>
      </c>
      <c r="U209" s="551">
        <f>'Traffic Data'!W39*annualizationFactor*'Traffic Data'!$H39</f>
        <v>0</v>
      </c>
      <c r="V209" s="551">
        <f>'Traffic Data'!X39*annualizationFactor*'Traffic Data'!$H39</f>
        <v>0</v>
      </c>
      <c r="W209" s="551">
        <f>'Traffic Data'!Y39*annualizationFactor*'Traffic Data'!$H39</f>
        <v>0</v>
      </c>
      <c r="X209" s="551">
        <f>'Traffic Data'!Z39*annualizationFactor*'Traffic Data'!$H39</f>
        <v>0</v>
      </c>
      <c r="Y209" s="551">
        <f>'Traffic Data'!AA39*annualizationFactor*'Traffic Data'!$H39</f>
        <v>0</v>
      </c>
      <c r="Z209" s="551">
        <f>'Traffic Data'!AB39*annualizationFactor*'Traffic Data'!$H39</f>
        <v>0</v>
      </c>
      <c r="AA209" s="551">
        <f>'Traffic Data'!AC39*annualizationFactor*'Traffic Data'!$H39</f>
        <v>0</v>
      </c>
      <c r="AB209" s="551">
        <f>'Traffic Data'!AD39*annualizationFactor*'Traffic Data'!$H39</f>
        <v>0</v>
      </c>
      <c r="AC209" s="551">
        <f>'Traffic Data'!AE39*annualizationFactor*'Traffic Data'!$H39</f>
        <v>0</v>
      </c>
      <c r="AD209" s="551">
        <f>'Traffic Data'!AF39*annualizationFactor*'Traffic Data'!$H39</f>
        <v>0</v>
      </c>
      <c r="AE209" s="551">
        <f>'Traffic Data'!AG39*annualizationFactor*'Traffic Data'!$H39</f>
        <v>0</v>
      </c>
      <c r="AF209" s="551">
        <f>'Traffic Data'!AH39*annualizationFactor*'Traffic Data'!$H39</f>
        <v>0</v>
      </c>
      <c r="AG209" s="689">
        <f>'Traffic Data'!AI39*annualizationFactor*'Traffic Data'!$H39</f>
        <v>0</v>
      </c>
      <c r="AH209" s="5"/>
      <c r="AI209" s="5"/>
      <c r="AJ209" s="5"/>
      <c r="AK209" s="5"/>
      <c r="AL209" s="5"/>
      <c r="AM209" s="5"/>
      <c r="AN209" s="5"/>
    </row>
    <row r="210" spans="2:40" ht="21.9" customHeight="1" x14ac:dyDescent="0.25">
      <c r="B210" s="678"/>
      <c r="C210" s="554"/>
      <c r="D210" s="554"/>
      <c r="E210" s="273" t="s">
        <v>333</v>
      </c>
      <c r="F210" s="273" t="s">
        <v>319</v>
      </c>
      <c r="G210" s="273" t="s">
        <v>308</v>
      </c>
      <c r="H210" s="551">
        <f>'Traffic Data'!J40*annualizationFactor*'Traffic Data'!$H40</f>
        <v>1218436.3636363635</v>
      </c>
      <c r="I210" s="551">
        <f>'Traffic Data'!K40*annualizationFactor*'Traffic Data'!$H40</f>
        <v>1235166.1718181816</v>
      </c>
      <c r="J210" s="551">
        <f>'Traffic Data'!L40*annualizationFactor*'Traffic Data'!$H40</f>
        <v>1264083.7281818183</v>
      </c>
      <c r="K210" s="551">
        <f>'Traffic Data'!M40*annualizationFactor*'Traffic Data'!$H40</f>
        <v>1303784.4463636365</v>
      </c>
      <c r="L210" s="551">
        <f>'Traffic Data'!N40*annualizationFactor*'Traffic Data'!$H40</f>
        <v>1343502.0872727274</v>
      </c>
      <c r="M210" s="551">
        <f>'Traffic Data'!O40*annualizationFactor*'Traffic Data'!$H40</f>
        <v>1383277.2654545454</v>
      </c>
      <c r="N210" s="551">
        <f>'Traffic Data'!P40*annualizationFactor*'Traffic Data'!$H40</f>
        <v>1422977.9836363636</v>
      </c>
      <c r="O210" s="551">
        <f>'Traffic Data'!Q40*annualizationFactor*'Traffic Data'!$H40</f>
        <v>1462817.4681818183</v>
      </c>
      <c r="P210" s="551">
        <f>'Traffic Data'!R40*annualizationFactor*'Traffic Data'!$H40</f>
        <v>1490445.5127272729</v>
      </c>
      <c r="Q210" s="551">
        <f>'Traffic Data'!S40*annualizationFactor*'Traffic Data'!$H40</f>
        <v>1518076.9418181817</v>
      </c>
      <c r="R210" s="551">
        <f>'Traffic Data'!T40*annualizationFactor*'Traffic Data'!$H40</f>
        <v>1545711.7554545454</v>
      </c>
      <c r="S210" s="551">
        <f>'Traffic Data'!U40*annualizationFactor*'Traffic Data'!$H40</f>
        <v>1573339.8000000003</v>
      </c>
      <c r="T210" s="551">
        <f>'Traffic Data'!V40*annualizationFactor*'Traffic Data'!$H40</f>
        <v>1601164.148181818</v>
      </c>
      <c r="U210" s="551">
        <f>'Traffic Data'!W40*annualizationFactor*'Traffic Data'!$H40</f>
        <v>1617893.9563636363</v>
      </c>
      <c r="V210" s="551">
        <f>'Traffic Data'!X40*annualizationFactor*'Traffic Data'!$H40</f>
        <v>1634623.7645454542</v>
      </c>
      <c r="W210" s="551">
        <f>'Traffic Data'!Y40*annualizationFactor*'Traffic Data'!$H40</f>
        <v>1651353.572727273</v>
      </c>
      <c r="X210" s="551">
        <f>'Traffic Data'!Z40*annualizationFactor*'Traffic Data'!$H40</f>
        <v>1668083.3809090904</v>
      </c>
      <c r="Y210" s="551">
        <f>'Traffic Data'!AA40*annualizationFactor*'Traffic Data'!$H40</f>
        <v>1684928.2636363637</v>
      </c>
      <c r="Z210" s="551">
        <f>'Traffic Data'!AB40*annualizationFactor*'Traffic Data'!$H40</f>
        <v>1701658.0718181818</v>
      </c>
      <c r="AA210" s="551">
        <f>'Traffic Data'!AC40*annualizationFactor*'Traffic Data'!$H40</f>
        <v>1718452.1863636365</v>
      </c>
      <c r="AB210" s="551">
        <f>'Traffic Data'!AD40*annualizationFactor*'Traffic Data'!$H40</f>
        <v>1735181.9945454544</v>
      </c>
      <c r="AC210" s="551">
        <f>'Traffic Data'!AE40*annualizationFactor*'Traffic Data'!$H40</f>
        <v>1751911.802727273</v>
      </c>
      <c r="AD210" s="551">
        <f>'Traffic Data'!AF40*annualizationFactor*'Traffic Data'!$H40</f>
        <v>1768756.6854545455</v>
      </c>
      <c r="AE210" s="551">
        <f>'Traffic Data'!AG40*annualizationFactor*'Traffic Data'!$H40</f>
        <v>1785486.4936363639</v>
      </c>
      <c r="AF210" s="551">
        <f>'Traffic Data'!AH40*annualizationFactor*'Traffic Data'!$H40</f>
        <v>1802216.3018181818</v>
      </c>
      <c r="AG210" s="689">
        <f>'Traffic Data'!AI40*annualizationFactor*'Traffic Data'!$H40</f>
        <v>1819010.4163636363</v>
      </c>
      <c r="AH210" s="5"/>
      <c r="AI210" s="5"/>
      <c r="AJ210" s="5"/>
      <c r="AK210" s="5"/>
      <c r="AL210" s="5"/>
      <c r="AM210" s="5"/>
      <c r="AN210" s="5"/>
    </row>
    <row r="211" spans="2:40" ht="21.9" customHeight="1" x14ac:dyDescent="0.25">
      <c r="B211" s="678"/>
      <c r="C211" s="554"/>
      <c r="D211" s="554"/>
      <c r="E211" s="114" t="s">
        <v>319</v>
      </c>
      <c r="F211" s="114" t="s">
        <v>276</v>
      </c>
      <c r="G211" s="114" t="s">
        <v>333</v>
      </c>
      <c r="H211" s="551">
        <f>'Traffic Data'!J41*annualizationFactor*'Traffic Data'!$H41</f>
        <v>4375852.2727272734</v>
      </c>
      <c r="I211" s="551">
        <f>'Traffic Data'!K41*annualizationFactor*'Traffic Data'!$H41</f>
        <v>4501994.9661931833</v>
      </c>
      <c r="J211" s="551">
        <f>'Traffic Data'!L41*annualizationFactor*'Traffic Data'!$H41</f>
        <v>4638530.3088068189</v>
      </c>
      <c r="K211" s="551">
        <f>'Traffic Data'!M41*annualizationFactor*'Traffic Data'!$H41</f>
        <v>4819668.7136363639</v>
      </c>
      <c r="L211" s="551">
        <f>'Traffic Data'!N41*annualizationFactor*'Traffic Data'!$H41</f>
        <v>5000837.7494318178</v>
      </c>
      <c r="M211" s="551">
        <f>'Traffic Data'!O41*annualizationFactor*'Traffic Data'!$H41</f>
        <v>5182081.1747159092</v>
      </c>
      <c r="N211" s="551">
        <f>'Traffic Data'!P41*annualizationFactor*'Traffic Data'!$H41</f>
        <v>5363219.579545456</v>
      </c>
      <c r="O211" s="551">
        <f>'Traffic Data'!Q41*annualizationFactor*'Traffic Data'!$H41</f>
        <v>5544406.1187500013</v>
      </c>
      <c r="P211" s="551">
        <f>'Traffic Data'!R41*annualizationFactor*'Traffic Data'!$H41</f>
        <v>5743778.7000000011</v>
      </c>
      <c r="Q211" s="551">
        <f>'Traffic Data'!S41*annualizationFactor*'Traffic Data'!$H41</f>
        <v>5943085.6434659092</v>
      </c>
      <c r="R211" s="551">
        <f>'Traffic Data'!T41*annualizationFactor*'Traffic Data'!$H41</f>
        <v>6142458.224715909</v>
      </c>
      <c r="S211" s="551">
        <f>'Traffic Data'!U41*annualizationFactor*'Traffic Data'!$H41</f>
        <v>6341830.8059659088</v>
      </c>
      <c r="T211" s="551">
        <f>'Traffic Data'!V41*annualizationFactor*'Traffic Data'!$H41</f>
        <v>6541317.1593750017</v>
      </c>
      <c r="U211" s="551">
        <f>'Traffic Data'!W41*annualizationFactor*'Traffic Data'!$H41</f>
        <v>6696069.1750000007</v>
      </c>
      <c r="V211" s="551">
        <f>'Traffic Data'!X41*annualizationFactor*'Traffic Data'!$H41</f>
        <v>6822211.8684659088</v>
      </c>
      <c r="W211" s="551">
        <f>'Traffic Data'!Y41*annualizationFactor*'Traffic Data'!$H41</f>
        <v>6948354.5619318197</v>
      </c>
      <c r="X211" s="551">
        <f>'Traffic Data'!Z41*annualizationFactor*'Traffic Data'!$H41</f>
        <v>7074497.2553977277</v>
      </c>
      <c r="Y211" s="551">
        <f>'Traffic Data'!AA41*annualizationFactor*'Traffic Data'!$H41</f>
        <v>7200626.8213068182</v>
      </c>
      <c r="Z211" s="551">
        <f>'Traffic Data'!AB41*annualizationFactor*'Traffic Data'!$H41</f>
        <v>7326769.5147727262</v>
      </c>
      <c r="AA211" s="551">
        <f>'Traffic Data'!AC41*annualizationFactor*'Traffic Data'!$H41</f>
        <v>7452899.0806818157</v>
      </c>
      <c r="AB211" s="551">
        <f>'Traffic Data'!AD41*annualizationFactor*'Traffic Data'!$H41</f>
        <v>7579041.7741477294</v>
      </c>
      <c r="AC211" s="551">
        <f>'Traffic Data'!AE41*annualizationFactor*'Traffic Data'!$H41</f>
        <v>7705184.4676136374</v>
      </c>
      <c r="AD211" s="551">
        <f>'Traffic Data'!AF41*annualizationFactor*'Traffic Data'!$H41</f>
        <v>7831314.0335227288</v>
      </c>
      <c r="AE211" s="551">
        <f>'Traffic Data'!AG41*annualizationFactor*'Traffic Data'!$H41</f>
        <v>7957456.7269886369</v>
      </c>
      <c r="AF211" s="551">
        <f>'Traffic Data'!AH41*annualizationFactor*'Traffic Data'!$H41</f>
        <v>8083599.4204545459</v>
      </c>
      <c r="AG211" s="689">
        <f>'Traffic Data'!AI41*annualizationFactor*'Traffic Data'!$H41</f>
        <v>8209728.9863636373</v>
      </c>
      <c r="AH211" s="5"/>
      <c r="AI211" s="5"/>
      <c r="AJ211" s="5"/>
      <c r="AK211" s="5"/>
      <c r="AL211" s="5"/>
      <c r="AM211" s="5"/>
      <c r="AN211" s="5"/>
    </row>
    <row r="212" spans="2:40" ht="21.9" customHeight="1" x14ac:dyDescent="0.25">
      <c r="B212" s="678"/>
      <c r="C212" s="554"/>
      <c r="D212" s="554"/>
      <c r="E212" s="114"/>
      <c r="F212" s="114" t="s">
        <v>333</v>
      </c>
      <c r="G212" s="114" t="s">
        <v>323</v>
      </c>
      <c r="H212" s="551">
        <f>'Traffic Data'!J42*annualizationFactor*'Traffic Data'!$H42</f>
        <v>637284.46969696973</v>
      </c>
      <c r="I212" s="551">
        <f>'Traffic Data'!K42*annualizationFactor*'Traffic Data'!$H42</f>
        <v>655371.60918560601</v>
      </c>
      <c r="J212" s="551">
        <f>'Traffic Data'!L42*annualizationFactor*'Traffic Data'!$H42</f>
        <v>675443.55438446964</v>
      </c>
      <c r="K212" s="551">
        <f>'Traffic Data'!M42*annualizationFactor*'Traffic Data'!$H42</f>
        <v>703616.55913825752</v>
      </c>
      <c r="L212" s="551">
        <f>'Traffic Data'!N42*annualizationFactor*'Traffic Data'!$H42</f>
        <v>731794.59508522728</v>
      </c>
      <c r="M212" s="551">
        <f>'Traffic Data'!O42*annualizationFactor*'Traffic Data'!$H42</f>
        <v>759978.50075757562</v>
      </c>
      <c r="N212" s="551">
        <f>'Traffic Data'!P42*annualizationFactor*'Traffic Data'!$H42</f>
        <v>788151.50551136374</v>
      </c>
      <c r="O212" s="551">
        <f>'Traffic Data'!Q42*annualizationFactor*'Traffic Data'!$H42</f>
        <v>816326.1873295455</v>
      </c>
      <c r="P212" s="551">
        <f>'Traffic Data'!R42*annualizationFactor*'Traffic Data'!$H42</f>
        <v>847993.35574810626</v>
      </c>
      <c r="Q212" s="551">
        <f>'Traffic Data'!S42*annualizationFactor*'Traffic Data'!$H42</f>
        <v>879649.62324810599</v>
      </c>
      <c r="R212" s="551">
        <f>'Traffic Data'!T42*annualizationFactor*'Traffic Data'!$H42</f>
        <v>911316.79166666651</v>
      </c>
      <c r="S212" s="551">
        <f>'Traffic Data'!U42*annualizationFactor*'Traffic Data'!$H42</f>
        <v>942983.96008522704</v>
      </c>
      <c r="T212" s="551">
        <f>'Traffic Data'!V42*annualizationFactor*'Traffic Data'!$H42</f>
        <v>974656.15969696979</v>
      </c>
      <c r="U212" s="551">
        <f>'Traffic Data'!W42*annualizationFactor*'Traffic Data'!$H42</f>
        <v>998225.62268939381</v>
      </c>
      <c r="V212" s="551">
        <f>'Traffic Data'!X42*annualizationFactor*'Traffic Data'!$H42</f>
        <v>1016312.7621780302</v>
      </c>
      <c r="W212" s="551">
        <f>'Traffic Data'!Y42*annualizationFactor*'Traffic Data'!$H42</f>
        <v>1034399.9016666666</v>
      </c>
      <c r="X212" s="551">
        <f>'Traffic Data'!Z42*annualizationFactor*'Traffic Data'!$H42</f>
        <v>1052487.0411553029</v>
      </c>
      <c r="Y212" s="551">
        <f>'Traffic Data'!AA42*annualizationFactor*'Traffic Data'!$H42</f>
        <v>1070564.9567897725</v>
      </c>
      <c r="Z212" s="551">
        <f>'Traffic Data'!AB42*annualizationFactor*'Traffic Data'!$H42</f>
        <v>1088652.096278409</v>
      </c>
      <c r="AA212" s="551">
        <f>'Traffic Data'!AC42*annualizationFactor*'Traffic Data'!$H42</f>
        <v>1106730.0119128788</v>
      </c>
      <c r="AB212" s="551">
        <f>'Traffic Data'!AD42*annualizationFactor*'Traffic Data'!$H42</f>
        <v>1124817.1514015151</v>
      </c>
      <c r="AC212" s="551">
        <f>'Traffic Data'!AE42*annualizationFactor*'Traffic Data'!$H42</f>
        <v>1142904.2908901514</v>
      </c>
      <c r="AD212" s="551">
        <f>'Traffic Data'!AF42*annualizationFactor*'Traffic Data'!$H42</f>
        <v>1160982.206524621</v>
      </c>
      <c r="AE212" s="551">
        <f>'Traffic Data'!AG42*annualizationFactor*'Traffic Data'!$H42</f>
        <v>1179069.3460132575</v>
      </c>
      <c r="AF212" s="551">
        <f>'Traffic Data'!AH42*annualizationFactor*'Traffic Data'!$H42</f>
        <v>1197156.4855018938</v>
      </c>
      <c r="AG212" s="689">
        <f>'Traffic Data'!AI42*annualizationFactor*'Traffic Data'!$H42</f>
        <v>1215234.4011363634</v>
      </c>
      <c r="AH212" s="5"/>
      <c r="AI212" s="5"/>
      <c r="AJ212" s="5"/>
      <c r="AK212" s="5"/>
      <c r="AL212" s="5"/>
      <c r="AM212" s="5"/>
      <c r="AN212" s="5"/>
    </row>
    <row r="213" spans="2:40" ht="21.9" customHeight="1" x14ac:dyDescent="0.25">
      <c r="B213" s="678"/>
      <c r="C213" s="554"/>
      <c r="D213" s="554"/>
      <c r="E213" s="114"/>
      <c r="F213" s="114" t="s">
        <v>323</v>
      </c>
      <c r="G213" s="114" t="s">
        <v>322</v>
      </c>
      <c r="H213" s="551">
        <f>'Traffic Data'!J43*annualizationFactor*'Traffic Data'!$H43</f>
        <v>157613.63636363635</v>
      </c>
      <c r="I213" s="551">
        <f>'Traffic Data'!K43*annualizationFactor*'Traffic Data'!$H43</f>
        <v>162086.96022727274</v>
      </c>
      <c r="J213" s="551">
        <f>'Traffic Data'!L43*annualizationFactor*'Traffic Data'!$H43</f>
        <v>167051.16761363635</v>
      </c>
      <c r="K213" s="551">
        <f>'Traffic Data'!M43*annualizationFactor*'Traffic Data'!$H43</f>
        <v>174018.93465909088</v>
      </c>
      <c r="L213" s="551">
        <f>'Traffic Data'!N43*annualizationFactor*'Traffic Data'!$H43</f>
        <v>180987.94602272726</v>
      </c>
      <c r="M213" s="551">
        <f>'Traffic Data'!O43*annualizationFactor*'Traffic Data'!$H43</f>
        <v>187958.40909090906</v>
      </c>
      <c r="N213" s="551">
        <f>'Traffic Data'!P43*annualizationFactor*'Traffic Data'!$H43</f>
        <v>194926.17613636365</v>
      </c>
      <c r="O213" s="551">
        <f>'Traffic Data'!Q43*annualizationFactor*'Traffic Data'!$H43</f>
        <v>201894.35795454547</v>
      </c>
      <c r="P213" s="551">
        <f>'Traffic Data'!R43*annualizationFactor*'Traffic Data'!$H43</f>
        <v>209726.30397727276</v>
      </c>
      <c r="Q213" s="551">
        <f>'Traffic Data'!S43*annualizationFactor*'Traffic Data'!$H43</f>
        <v>217555.55397727271</v>
      </c>
      <c r="R213" s="551">
        <f>'Traffic Data'!T43*annualizationFactor*'Traffic Data'!$H43</f>
        <v>225387.49999999997</v>
      </c>
      <c r="S213" s="551">
        <f>'Traffic Data'!U43*annualizationFactor*'Traffic Data'!$H43</f>
        <v>233219.44602272721</v>
      </c>
      <c r="T213" s="551">
        <f>'Traffic Data'!V43*annualizationFactor*'Traffic Data'!$H43</f>
        <v>241052.63636363638</v>
      </c>
      <c r="U213" s="551">
        <f>'Traffic Data'!W43*annualizationFactor*'Traffic Data'!$H43</f>
        <v>246881.85227272724</v>
      </c>
      <c r="V213" s="551">
        <f>'Traffic Data'!X43*annualizationFactor*'Traffic Data'!$H43</f>
        <v>251355.17613636362</v>
      </c>
      <c r="W213" s="551">
        <f>'Traffic Data'!Y43*annualizationFactor*'Traffic Data'!$H43</f>
        <v>255828.49999999997</v>
      </c>
      <c r="X213" s="551">
        <f>'Traffic Data'!Z43*annualizationFactor*'Traffic Data'!$H43</f>
        <v>260301.82386363632</v>
      </c>
      <c r="Y213" s="551">
        <f>'Traffic Data'!AA43*annualizationFactor*'Traffic Data'!$H43</f>
        <v>264772.86647727265</v>
      </c>
      <c r="Z213" s="551">
        <f>'Traffic Data'!AB43*annualizationFactor*'Traffic Data'!$H43</f>
        <v>269246.19034090906</v>
      </c>
      <c r="AA213" s="551">
        <f>'Traffic Data'!AC43*annualizationFactor*'Traffic Data'!$H43</f>
        <v>273717.23295454541</v>
      </c>
      <c r="AB213" s="551">
        <f>'Traffic Data'!AD43*annualizationFactor*'Traffic Data'!$H43</f>
        <v>278190.55681818182</v>
      </c>
      <c r="AC213" s="551">
        <f>'Traffic Data'!AE43*annualizationFactor*'Traffic Data'!$H43</f>
        <v>282663.88068181818</v>
      </c>
      <c r="AD213" s="551">
        <f>'Traffic Data'!AF43*annualizationFactor*'Traffic Data'!$H43</f>
        <v>287134.92329545453</v>
      </c>
      <c r="AE213" s="551">
        <f>'Traffic Data'!AG43*annualizationFactor*'Traffic Data'!$H43</f>
        <v>291608.24715909088</v>
      </c>
      <c r="AF213" s="551">
        <f>'Traffic Data'!AH43*annualizationFactor*'Traffic Data'!$H43</f>
        <v>296081.57102272724</v>
      </c>
      <c r="AG213" s="689">
        <f>'Traffic Data'!AI43*annualizationFactor*'Traffic Data'!$H43</f>
        <v>300552.61363636359</v>
      </c>
      <c r="AH213" s="5"/>
      <c r="AI213" s="5"/>
      <c r="AJ213" s="5"/>
      <c r="AK213" s="5"/>
      <c r="AL213" s="5"/>
      <c r="AM213" s="5"/>
      <c r="AN213" s="5"/>
    </row>
    <row r="214" spans="2:40" ht="21.9" customHeight="1" x14ac:dyDescent="0.25">
      <c r="B214" s="678"/>
      <c r="C214" s="554"/>
      <c r="D214" s="554"/>
      <c r="E214" s="114"/>
      <c r="F214" s="114" t="s">
        <v>322</v>
      </c>
      <c r="G214" s="114" t="s">
        <v>326</v>
      </c>
      <c r="H214" s="551">
        <f>'Traffic Data'!J44*annualizationFactor*'Traffic Data'!$H44</f>
        <v>404403.40909090912</v>
      </c>
      <c r="I214" s="551">
        <f>'Traffic Data'!K44*annualizationFactor*'Traffic Data'!$H44</f>
        <v>415870.94176136365</v>
      </c>
      <c r="J214" s="551">
        <f>'Traffic Data'!L44*annualizationFactor*'Traffic Data'!$H44</f>
        <v>428937.88991477271</v>
      </c>
      <c r="K214" s="551">
        <f>'Traffic Data'!M44*annualizationFactor*'Traffic Data'!$H44</f>
        <v>445634.35866477276</v>
      </c>
      <c r="L214" s="551">
        <f>'Traffic Data'!N44*annualizationFactor*'Traffic Data'!$H44</f>
        <v>462336.21946022724</v>
      </c>
      <c r="M214" s="551">
        <f>'Traffic Data'!O44*annualizationFactor*'Traffic Data'!$H44</f>
        <v>479035.38423295476</v>
      </c>
      <c r="N214" s="551">
        <f>'Traffic Data'!P44*annualizationFactor*'Traffic Data'!$H44</f>
        <v>495731.85298295465</v>
      </c>
      <c r="O214" s="551">
        <f>'Traffic Data'!Q44*annualizationFactor*'Traffic Data'!$H44</f>
        <v>512431.69176136376</v>
      </c>
      <c r="P214" s="551">
        <f>'Traffic Data'!R44*annualizationFactor*'Traffic Data'!$H44</f>
        <v>531306.546875</v>
      </c>
      <c r="Q214" s="551">
        <f>'Traffic Data'!S44*annualizationFactor*'Traffic Data'!$H44</f>
        <v>550180.72798295459</v>
      </c>
      <c r="R214" s="551">
        <f>'Traffic Data'!T44*annualizationFactor*'Traffic Data'!$H44</f>
        <v>569052.88707386365</v>
      </c>
      <c r="S214" s="551">
        <f>'Traffic Data'!U44*annualizationFactor*'Traffic Data'!$H44</f>
        <v>587927.74218750012</v>
      </c>
      <c r="T214" s="551">
        <f>'Traffic Data'!V44*annualizationFactor*'Traffic Data'!$H44</f>
        <v>606805.96732954541</v>
      </c>
      <c r="U214" s="551">
        <f>'Traffic Data'!W44*annualizationFactor*'Traffic Data'!$H44</f>
        <v>622050.62784090906</v>
      </c>
      <c r="V214" s="551">
        <f>'Traffic Data'!X44*annualizationFactor*'Traffic Data'!$H44</f>
        <v>633518.16051136376</v>
      </c>
      <c r="W214" s="551">
        <f>'Traffic Data'!Y44*annualizationFactor*'Traffic Data'!$H44</f>
        <v>644985.69318181835</v>
      </c>
      <c r="X214" s="551">
        <f>'Traffic Data'!Z44*annualizationFactor*'Traffic Data'!$H44</f>
        <v>656453.22585227282</v>
      </c>
      <c r="Y214" s="551">
        <f>'Traffic Data'!AA44*annualizationFactor*'Traffic Data'!$H44</f>
        <v>667917.38849431835</v>
      </c>
      <c r="Z214" s="551">
        <f>'Traffic Data'!AB44*annualizationFactor*'Traffic Data'!$H44</f>
        <v>679384.92116477259</v>
      </c>
      <c r="AA214" s="551">
        <f>'Traffic Data'!AC44*annualizationFactor*'Traffic Data'!$H44</f>
        <v>690849.083806818</v>
      </c>
      <c r="AB214" s="551">
        <f>'Traffic Data'!AD44*annualizationFactor*'Traffic Data'!$H44</f>
        <v>702316.61647727259</v>
      </c>
      <c r="AC214" s="551">
        <f>'Traffic Data'!AE44*annualizationFactor*'Traffic Data'!$H44</f>
        <v>713784.14914772718</v>
      </c>
      <c r="AD214" s="551">
        <f>'Traffic Data'!AF44*annualizationFactor*'Traffic Data'!$H44</f>
        <v>725248.31178977247</v>
      </c>
      <c r="AE214" s="551">
        <f>'Traffic Data'!AG44*annualizationFactor*'Traffic Data'!$H44</f>
        <v>736715.84446022718</v>
      </c>
      <c r="AF214" s="551">
        <f>'Traffic Data'!AH44*annualizationFactor*'Traffic Data'!$H44</f>
        <v>748183.37713068165</v>
      </c>
      <c r="AG214" s="689">
        <f>'Traffic Data'!AI44*annualizationFactor*'Traffic Data'!$H44</f>
        <v>759647.53977272718</v>
      </c>
      <c r="AH214" s="5"/>
      <c r="AI214" s="5"/>
      <c r="AJ214" s="5"/>
      <c r="AK214" s="5"/>
      <c r="AL214" s="5"/>
      <c r="AM214" s="5"/>
      <c r="AN214" s="5"/>
    </row>
    <row r="215" spans="2:40" ht="21.9" customHeight="1" x14ac:dyDescent="0.25">
      <c r="B215" s="678"/>
      <c r="C215" s="554"/>
      <c r="D215" s="554"/>
      <c r="E215" s="114"/>
      <c r="F215" s="114" t="s">
        <v>326</v>
      </c>
      <c r="G215" s="114" t="s">
        <v>274</v>
      </c>
      <c r="H215" s="551">
        <f>'Traffic Data'!J45*annualizationFactor*'Traffic Data'!$H45</f>
        <v>3357585.2272727275</v>
      </c>
      <c r="I215" s="551">
        <f>'Traffic Data'!K45*annualizationFactor*'Traffic Data'!$H45</f>
        <v>3452795.1523674247</v>
      </c>
      <c r="J215" s="551">
        <f>'Traffic Data'!L45*annualizationFactor*'Traffic Data'!$H45</f>
        <v>3561284.327035985</v>
      </c>
      <c r="K215" s="551">
        <f>'Traffic Data'!M45*annualizationFactor*'Traffic Data'!$H45</f>
        <v>3699907.8291193186</v>
      </c>
      <c r="L215" s="551">
        <f>'Traffic Data'!N45*annualizationFactor*'Traffic Data'!$H45</f>
        <v>3838576.0990056815</v>
      </c>
      <c r="M215" s="551">
        <f>'Traffic Data'!O45*annualizationFactor*'Traffic Data'!$H45</f>
        <v>3977221.984990532</v>
      </c>
      <c r="N215" s="551">
        <f>'Traffic Data'!P45*annualizationFactor*'Traffic Data'!$H45</f>
        <v>4115845.4870738643</v>
      </c>
      <c r="O215" s="551">
        <f>'Traffic Data'!Q45*annualizationFactor*'Traffic Data'!$H45</f>
        <v>4254496.9690340925</v>
      </c>
      <c r="P215" s="551">
        <f>'Traffic Data'!R45*annualizationFactor*'Traffic Data'!$H45</f>
        <v>4411206.6635416662</v>
      </c>
      <c r="Q215" s="551">
        <f>'Traffic Data'!S45*annualizationFactor*'Traffic Data'!$H45</f>
        <v>4567910.7620738642</v>
      </c>
      <c r="R215" s="551">
        <f>'Traffic Data'!T45*annualizationFactor*'Traffic Data'!$H45</f>
        <v>4724598.0726799248</v>
      </c>
      <c r="S215" s="551">
        <f>'Traffic Data'!U45*annualizationFactor*'Traffic Data'!$H45</f>
        <v>4881307.7671875013</v>
      </c>
      <c r="T215" s="551">
        <f>'Traffic Data'!V45*annualizationFactor*'Traffic Data'!$H45</f>
        <v>5038045.4415719695</v>
      </c>
      <c r="U215" s="551">
        <f>'Traffic Data'!W45*annualizationFactor*'Traffic Data'!$H45</f>
        <v>5164615.2126893941</v>
      </c>
      <c r="V215" s="551">
        <f>'Traffic Data'!X45*annualizationFactor*'Traffic Data'!$H45</f>
        <v>5259825.1377840918</v>
      </c>
      <c r="W215" s="551">
        <f>'Traffic Data'!Y45*annualizationFactor*'Traffic Data'!$H45</f>
        <v>5355035.0628787894</v>
      </c>
      <c r="X215" s="551">
        <f>'Traffic Data'!Z45*annualizationFactor*'Traffic Data'!$H45</f>
        <v>5450244.9879734861</v>
      </c>
      <c r="Y215" s="551">
        <f>'Traffic Data'!AA45*annualizationFactor*'Traffic Data'!$H45</f>
        <v>5545426.9331912892</v>
      </c>
      <c r="Z215" s="551">
        <f>'Traffic Data'!AB45*annualizationFactor*'Traffic Data'!$H45</f>
        <v>5640636.8582859831</v>
      </c>
      <c r="AA215" s="551">
        <f>'Traffic Data'!AC45*annualizationFactor*'Traffic Data'!$H45</f>
        <v>5735818.8035037862</v>
      </c>
      <c r="AB215" s="551">
        <f>'Traffic Data'!AD45*annualizationFactor*'Traffic Data'!$H45</f>
        <v>5831028.7285984838</v>
      </c>
      <c r="AC215" s="551">
        <f>'Traffic Data'!AE45*annualizationFactor*'Traffic Data'!$H45</f>
        <v>5926238.6536931805</v>
      </c>
      <c r="AD215" s="551">
        <f>'Traffic Data'!AF45*annualizationFactor*'Traffic Data'!$H45</f>
        <v>6021420.5989109837</v>
      </c>
      <c r="AE215" s="551">
        <f>'Traffic Data'!AG45*annualizationFactor*'Traffic Data'!$H45</f>
        <v>6116630.5240056813</v>
      </c>
      <c r="AF215" s="551">
        <f>'Traffic Data'!AH45*annualizationFactor*'Traffic Data'!$H45</f>
        <v>6211840.449100378</v>
      </c>
      <c r="AG215" s="689">
        <f>'Traffic Data'!AI45*annualizationFactor*'Traffic Data'!$H45</f>
        <v>6307022.3943181811</v>
      </c>
      <c r="AH215" s="5"/>
      <c r="AI215" s="5"/>
      <c r="AJ215" s="5"/>
      <c r="AK215" s="5"/>
      <c r="AL215" s="5"/>
      <c r="AM215" s="5"/>
      <c r="AN215" s="5"/>
    </row>
    <row r="216" spans="2:40" ht="21.9" customHeight="1" thickBot="1" x14ac:dyDescent="0.3">
      <c r="B216" s="680"/>
      <c r="C216" s="690"/>
      <c r="D216" s="554"/>
      <c r="E216" s="274"/>
      <c r="F216" s="274" t="s">
        <v>274</v>
      </c>
      <c r="G216" s="274" t="s">
        <v>317</v>
      </c>
      <c r="H216" s="551">
        <f>'Traffic Data'!J46*annualizationFactor*'Traffic Data'!$H46</f>
        <v>82954.545454545456</v>
      </c>
      <c r="I216" s="551">
        <f>'Traffic Data'!K46*annualizationFactor*'Traffic Data'!$H46</f>
        <v>85306.859848484863</v>
      </c>
      <c r="J216" s="551">
        <f>'Traffic Data'!L46*annualizationFactor*'Traffic Data'!$H46</f>
        <v>87987.259469696961</v>
      </c>
      <c r="K216" s="551">
        <f>'Traffic Data'!M46*annualizationFactor*'Traffic Data'!$H46</f>
        <v>91412.176136363647</v>
      </c>
      <c r="L216" s="551">
        <f>'Traffic Data'!N46*annualizationFactor*'Traffic Data'!$H46</f>
        <v>94838.198863636368</v>
      </c>
      <c r="M216" s="551">
        <f>'Traffic Data'!O46*annualizationFactor*'Traffic Data'!$H46</f>
        <v>98263.668560606107</v>
      </c>
      <c r="N216" s="551">
        <f>'Traffic Data'!P46*annualizationFactor*'Traffic Data'!$H46</f>
        <v>101688.58522727275</v>
      </c>
      <c r="O216" s="551">
        <f>'Traffic Data'!Q46*annualizationFactor*'Traffic Data'!$H46</f>
        <v>105114.19318181822</v>
      </c>
      <c r="P216" s="551">
        <f>'Traffic Data'!R46*annualizationFactor*'Traffic Data'!$H46</f>
        <v>108985.95833333333</v>
      </c>
      <c r="Q216" s="551">
        <f>'Traffic Data'!S46*annualizationFactor*'Traffic Data'!$H46</f>
        <v>112857.58522727274</v>
      </c>
      <c r="R216" s="551">
        <f>'Traffic Data'!T46*annualizationFactor*'Traffic Data'!$H46</f>
        <v>116728.79734848486</v>
      </c>
      <c r="S216" s="551">
        <f>'Traffic Data'!U46*annualizationFactor*'Traffic Data'!$H46</f>
        <v>120600.56250000004</v>
      </c>
      <c r="T216" s="551">
        <f>'Traffic Data'!V46*annualizationFactor*'Traffic Data'!$H46</f>
        <v>124473.01893939395</v>
      </c>
      <c r="U216" s="551">
        <f>'Traffic Data'!W46*annualizationFactor*'Traffic Data'!$H46</f>
        <v>127600.1287878788</v>
      </c>
      <c r="V216" s="551">
        <f>'Traffic Data'!X46*annualizationFactor*'Traffic Data'!$H46</f>
        <v>129952.44318181821</v>
      </c>
      <c r="W216" s="551">
        <f>'Traffic Data'!Y46*annualizationFactor*'Traffic Data'!$H46</f>
        <v>132304.75757575763</v>
      </c>
      <c r="X216" s="551">
        <f>'Traffic Data'!Z46*annualizationFactor*'Traffic Data'!$H46</f>
        <v>134657.07196969702</v>
      </c>
      <c r="Y216" s="551">
        <f>'Traffic Data'!AA46*annualizationFactor*'Traffic Data'!$H46</f>
        <v>137008.6950757576</v>
      </c>
      <c r="Z216" s="551">
        <f>'Traffic Data'!AB46*annualizationFactor*'Traffic Data'!$H46</f>
        <v>139361.00946969696</v>
      </c>
      <c r="AA216" s="551">
        <f>'Traffic Data'!AC46*annualizationFactor*'Traffic Data'!$H46</f>
        <v>141712.63257575754</v>
      </c>
      <c r="AB216" s="551">
        <f>'Traffic Data'!AD46*annualizationFactor*'Traffic Data'!$H46</f>
        <v>144064.94696969693</v>
      </c>
      <c r="AC216" s="551">
        <f>'Traffic Data'!AE46*annualizationFactor*'Traffic Data'!$H46</f>
        <v>146417.26136363635</v>
      </c>
      <c r="AD216" s="551">
        <f>'Traffic Data'!AF46*annualizationFactor*'Traffic Data'!$H46</f>
        <v>148768.88446969693</v>
      </c>
      <c r="AE216" s="551">
        <f>'Traffic Data'!AG46*annualizationFactor*'Traffic Data'!$H46</f>
        <v>151121.19886363635</v>
      </c>
      <c r="AF216" s="551">
        <f>'Traffic Data'!AH46*annualizationFactor*'Traffic Data'!$H46</f>
        <v>153473.51325757575</v>
      </c>
      <c r="AG216" s="689">
        <f>'Traffic Data'!AI46*annualizationFactor*'Traffic Data'!$H46</f>
        <v>155825.13636363632</v>
      </c>
      <c r="AH216" s="5"/>
      <c r="AI216" s="5"/>
      <c r="AJ216" s="5"/>
      <c r="AK216" s="5"/>
      <c r="AL216" s="5"/>
      <c r="AM216" s="5"/>
      <c r="AN216" s="5"/>
    </row>
    <row r="217" spans="2:40" ht="21.9" customHeight="1" x14ac:dyDescent="0.25">
      <c r="B217" s="181"/>
      <c r="C217" s="122"/>
      <c r="D217" s="122"/>
      <c r="E217" s="123" t="s">
        <v>25</v>
      </c>
      <c r="F217" s="123"/>
      <c r="G217" s="123"/>
      <c r="H217" s="691">
        <f t="shared" ref="H217:AG217" si="86">SUM(H197:H216)</f>
        <v>39971824.696969688</v>
      </c>
      <c r="I217" s="691">
        <f t="shared" si="86"/>
        <v>42213979.825696982</v>
      </c>
      <c r="J217" s="691">
        <f t="shared" si="86"/>
        <v>46477178.301407196</v>
      </c>
      <c r="K217" s="691">
        <f t="shared" si="86"/>
        <v>53710137.071854174</v>
      </c>
      <c r="L217" s="691">
        <f t="shared" si="86"/>
        <v>60946734.726392031</v>
      </c>
      <c r="M217" s="691">
        <f t="shared" si="86"/>
        <v>68183449.848575756</v>
      </c>
      <c r="N217" s="691">
        <f t="shared" si="86"/>
        <v>75416408.619022712</v>
      </c>
      <c r="O217" s="691">
        <f t="shared" si="86"/>
        <v>82656735.096693173</v>
      </c>
      <c r="P217" s="691">
        <f t="shared" si="86"/>
        <v>89573331.885316253</v>
      </c>
      <c r="Q217" s="691">
        <f t="shared" si="86"/>
        <v>96491749.260066256</v>
      </c>
      <c r="R217" s="691">
        <f t="shared" si="86"/>
        <v>103408212.24632573</v>
      </c>
      <c r="S217" s="691">
        <f t="shared" si="86"/>
        <v>110324809.03494889</v>
      </c>
      <c r="T217" s="691">
        <f t="shared" si="86"/>
        <v>117248924.97952649</v>
      </c>
      <c r="U217" s="691">
        <f t="shared" si="86"/>
        <v>121230883.58541669</v>
      </c>
      <c r="V217" s="691">
        <f t="shared" si="86"/>
        <v>123397188.97664392</v>
      </c>
      <c r="W217" s="691">
        <f t="shared" si="86"/>
        <v>125563494.36787122</v>
      </c>
      <c r="X217" s="691">
        <f t="shared" si="86"/>
        <v>127729799.75909847</v>
      </c>
      <c r="Y217" s="691">
        <f t="shared" si="86"/>
        <v>129898023.82163066</v>
      </c>
      <c r="Z217" s="691">
        <f t="shared" si="86"/>
        <v>132064329.21285793</v>
      </c>
      <c r="AA217" s="691">
        <f t="shared" si="86"/>
        <v>134232557.25720832</v>
      </c>
      <c r="AB217" s="691">
        <f t="shared" si="86"/>
        <v>136398862.64843562</v>
      </c>
      <c r="AC217" s="691">
        <f t="shared" si="86"/>
        <v>138565168.03966287</v>
      </c>
      <c r="AD217" s="691">
        <f t="shared" si="86"/>
        <v>140733392.10219511</v>
      </c>
      <c r="AE217" s="691">
        <f t="shared" si="86"/>
        <v>142899697.49342233</v>
      </c>
      <c r="AF217" s="691">
        <f t="shared" si="86"/>
        <v>145066002.8846496</v>
      </c>
      <c r="AG217" s="692">
        <f t="shared" si="86"/>
        <v>147234230.92899999</v>
      </c>
      <c r="AH217" s="47"/>
      <c r="AI217" s="47"/>
      <c r="AJ217" s="47"/>
      <c r="AK217" s="47"/>
      <c r="AL217" s="47"/>
      <c r="AM217" s="47"/>
      <c r="AN217" s="47"/>
    </row>
    <row r="218" spans="2:40" ht="21.9" customHeight="1" x14ac:dyDescent="0.25">
      <c r="B218" s="678" t="s">
        <v>448</v>
      </c>
      <c r="C218" s="554" t="s">
        <v>65</v>
      </c>
      <c r="D218" s="693" t="s">
        <v>441</v>
      </c>
      <c r="E218" s="1325" t="s">
        <v>315</v>
      </c>
      <c r="F218" s="217" t="s">
        <v>316</v>
      </c>
      <c r="G218" s="217" t="s">
        <v>276</v>
      </c>
      <c r="H218" s="551" cm="1">
        <f t="array" ref="H218">_xlfn.ANCHORARRAY(H197) * $F$15</f>
        <v>181974.39999999999</v>
      </c>
      <c r="I218" s="551" cm="1">
        <f t="array" ref="I218">_xlfn.ANCHORARRAY(I197) * $F$15</f>
        <v>190249.11717000001</v>
      </c>
      <c r="J218" s="551" cm="1">
        <f t="array" ref="J218">_xlfn.ANCHORARRAY(J197) * $F$15</f>
        <v>201907.42084000006</v>
      </c>
      <c r="K218" s="551" cm="1">
        <f t="array" ref="K218">_xlfn.ANCHORARRAY(K197) * $F$15</f>
        <v>219056.23336000004</v>
      </c>
      <c r="L218" s="551" cm="1">
        <f t="array" ref="L218">_xlfn.ANCHORARRAY(L197) * $F$15</f>
        <v>236211.30125000002</v>
      </c>
      <c r="M218" s="551" cm="1">
        <f t="array" ref="M218">_xlfn.ANCHORARRAY(M197) * $F$15</f>
        <v>253366.36913999997</v>
      </c>
      <c r="N218" s="551" cm="1">
        <f t="array" ref="N218">_xlfn.ANCHORARRAY(N197) * $F$15</f>
        <v>270515.18166</v>
      </c>
      <c r="O218" s="551" cm="1">
        <f t="array" ref="O218">_xlfn.ANCHORARRAY(O197) * $F$15</f>
        <v>287676.50491999992</v>
      </c>
      <c r="P218" s="551" cm="1">
        <f t="array" ref="P218">_xlfn.ANCHORARRAY(P197) * $F$15</f>
        <v>304634.81299000001</v>
      </c>
      <c r="Q218" s="551" cm="1">
        <f t="array" ref="Q218">_xlfn.ANCHORARRAY(Q197) * $F$15</f>
        <v>321596.53308000002</v>
      </c>
      <c r="R218" s="551" cm="1">
        <f t="array" ref="R218">_xlfn.ANCHORARRAY(R197) * $F$15</f>
        <v>338554.84115000005</v>
      </c>
      <c r="S218" s="551" cm="1">
        <f t="array" ref="S218">_xlfn.ANCHORARRAY(S197) * $F$15</f>
        <v>355513.14922000008</v>
      </c>
      <c r="T218" s="551" cm="1">
        <f t="array" ref="T218">_xlfn.ANCHORARRAY(T197) * $F$15</f>
        <v>372483.96803000005</v>
      </c>
      <c r="U218" s="551" cm="1">
        <f t="array" ref="U218">_xlfn.ANCHORARRAY(U197) * $F$15</f>
        <v>383945.51188000006</v>
      </c>
      <c r="V218" s="551" cm="1">
        <f t="array" ref="V218">_xlfn.ANCHORARRAY(V197) * $F$15</f>
        <v>392220.22905000002</v>
      </c>
      <c r="W218" s="551" cm="1">
        <f t="array" ref="W218">_xlfn.ANCHORARRAY(W197) * $F$15</f>
        <v>400494.94621999993</v>
      </c>
      <c r="X218" s="551" cm="1">
        <f t="array" ref="X218">_xlfn.ANCHORARRAY(X197) * $F$15</f>
        <v>408769.66339000006</v>
      </c>
      <c r="Y218" s="551" cm="1">
        <f t="array" ref="Y218">_xlfn.ANCHORARRAY(Y197) * $F$15</f>
        <v>417047.22391</v>
      </c>
      <c r="Z218" s="551" cm="1">
        <f t="array" ref="Z218">_xlfn.ANCHORARRAY(Z197) * $F$15</f>
        <v>425321.94108000008</v>
      </c>
      <c r="AA218" s="551" cm="1">
        <f t="array" ref="AA218">_xlfn.ANCHORARRAY(AA197) * $F$15</f>
        <v>433599.50160000002</v>
      </c>
      <c r="AB218" s="551" cm="1">
        <f t="array" ref="AB218">_xlfn.ANCHORARRAY(AB197) * $F$15</f>
        <v>441874.21877000004</v>
      </c>
      <c r="AC218" s="551" cm="1">
        <f t="array" ref="AC218">_xlfn.ANCHORARRAY(AC197) * $F$15</f>
        <v>450148.93594</v>
      </c>
      <c r="AD218" s="551" cm="1">
        <f t="array" ref="AD218">_xlfn.ANCHORARRAY(AD197) * $F$15</f>
        <v>458426.49645999994</v>
      </c>
      <c r="AE218" s="551" cm="1">
        <f t="array" ref="AE218">_xlfn.ANCHORARRAY(AE197) * $F$15</f>
        <v>466701.21362999995</v>
      </c>
      <c r="AF218" s="551" cm="1">
        <f t="array" ref="AF218">_xlfn.ANCHORARRAY(AF197) * $F$15</f>
        <v>474975.93080000003</v>
      </c>
      <c r="AG218" s="689" cm="1">
        <f t="array" ref="AG218">_xlfn.ANCHORARRAY(AG197) * $F$15</f>
        <v>483253.49132000003</v>
      </c>
      <c r="AH218" s="5"/>
      <c r="AI218" s="5"/>
      <c r="AJ218" s="5"/>
      <c r="AK218" s="5"/>
      <c r="AL218" s="5"/>
      <c r="AM218" s="5"/>
      <c r="AN218" s="5"/>
    </row>
    <row r="219" spans="2:40" ht="21.9" customHeight="1" x14ac:dyDescent="0.25">
      <c r="B219" s="679" t="s">
        <v>442</v>
      </c>
      <c r="C219" s="690"/>
      <c r="D219" s="694"/>
      <c r="E219" s="1327"/>
      <c r="F219" s="114" t="s">
        <v>276</v>
      </c>
      <c r="G219" s="114" t="s">
        <v>274</v>
      </c>
      <c r="H219" s="551" cm="1">
        <f t="array" ref="H219">_xlfn.ANCHORARRAY(H198) * $F$15</f>
        <v>5851451.0454545459</v>
      </c>
      <c r="I219" s="551" cm="1">
        <f t="array" ref="I219">_xlfn.ANCHORARRAY(I198) * $F$15</f>
        <v>6160320.9724909076</v>
      </c>
      <c r="J219" s="551" cm="1">
        <f t="array" ref="J219">_xlfn.ANCHORARRAY(J198) * $F$15</f>
        <v>6623972.6157000009</v>
      </c>
      <c r="K219" s="551" cm="1">
        <f t="array" ref="K219">_xlfn.ANCHORARRAY(K198) * $F$15</f>
        <v>7389992.5736727268</v>
      </c>
      <c r="L219" s="551" cm="1">
        <f t="array" ref="L219">_xlfn.ANCHORARRAY(L198) * $F$15</f>
        <v>8156359.2843000004</v>
      </c>
      <c r="M219" s="551" cm="1">
        <f t="array" ref="M219">_xlfn.ANCHORARRAY(M198) * $F$15</f>
        <v>8922682.6508454531</v>
      </c>
      <c r="N219" s="551" cm="1">
        <f t="array" ref="N219">_xlfn.ANCHORARRAY(N198) * $F$15</f>
        <v>9688702.6088181827</v>
      </c>
      <c r="O219" s="551" cm="1">
        <f t="array" ref="O219">_xlfn.ANCHORARRAY(O198) * $F$15</f>
        <v>10455416.072100002</v>
      </c>
      <c r="P219" s="551" cm="1">
        <f t="array" ref="P219">_xlfn.ANCHORARRAY(P198) * $F$15</f>
        <v>11228934.556227272</v>
      </c>
      <c r="Q219" s="551" cm="1">
        <f t="array" ref="Q219">_xlfn.ANCHORARRAY(Q198) * $F$15</f>
        <v>12002713.104845453</v>
      </c>
      <c r="R219" s="551" cm="1">
        <f t="array" ref="R219">_xlfn.ANCHORARRAY(R198) * $F$15</f>
        <v>12776231.588972727</v>
      </c>
      <c r="S219" s="551" cm="1">
        <f t="array" ref="S219">_xlfn.ANCHORARRAY(S198) * $F$15</f>
        <v>13549750.073100001</v>
      </c>
      <c r="T219" s="551" cm="1">
        <f t="array" ref="T219">_xlfn.ANCHORARRAY(T198) * $F$15</f>
        <v>14323962.062536364</v>
      </c>
      <c r="U219" s="551" cm="1">
        <f t="array" ref="U219">_xlfn.ANCHORARRAY(U198) * $F$15</f>
        <v>14794765.479245458</v>
      </c>
      <c r="V219" s="551" cm="1">
        <f t="array" ref="V219">_xlfn.ANCHORARRAY(V198) * $F$15</f>
        <v>15103635.406281816</v>
      </c>
      <c r="W219" s="551" cm="1">
        <f t="array" ref="W219">_xlfn.ANCHORARRAY(W198) * $F$15</f>
        <v>15412505.333318183</v>
      </c>
      <c r="X219" s="551" cm="1">
        <f t="array" ref="X219">_xlfn.ANCHORARRAY(X198) * $F$15</f>
        <v>15721375.260354549</v>
      </c>
      <c r="Y219" s="551" cm="1">
        <f t="array" ref="Y219">_xlfn.ANCHORARRAY(Y198) * $F$15</f>
        <v>16030418.563718183</v>
      </c>
      <c r="Z219" s="551" cm="1">
        <f t="array" ref="Z219">_xlfn.ANCHORARRAY(Z198) * $F$15</f>
        <v>16339288.490754545</v>
      </c>
      <c r="AA219" s="551" cm="1">
        <f t="array" ref="AA219">_xlfn.ANCHORARRAY(AA198) * $F$15</f>
        <v>16648331.794118186</v>
      </c>
      <c r="AB219" s="551" cm="1">
        <f t="array" ref="AB219">_xlfn.ANCHORARRAY(AB198) * $F$15</f>
        <v>16957201.721154548</v>
      </c>
      <c r="AC219" s="551" cm="1">
        <f t="array" ref="AC219">_xlfn.ANCHORARRAY(AC198) * $F$15</f>
        <v>17266071.648190912</v>
      </c>
      <c r="AD219" s="551" cm="1">
        <f t="array" ref="AD219">_xlfn.ANCHORARRAY(AD198) * $F$15</f>
        <v>17575114.951554552</v>
      </c>
      <c r="AE219" s="551" cm="1">
        <f t="array" ref="AE219">_xlfn.ANCHORARRAY(AE198) * $F$15</f>
        <v>17883984.878590908</v>
      </c>
      <c r="AF219" s="551" cm="1">
        <f t="array" ref="AF219">_xlfn.ANCHORARRAY(AF198) * $F$15</f>
        <v>18192854.805627275</v>
      </c>
      <c r="AG219" s="689" cm="1">
        <f t="array" ref="AG219">_xlfn.ANCHORARRAY(AG198) * $F$15</f>
        <v>18501898.108990911</v>
      </c>
      <c r="AH219" s="5"/>
      <c r="AI219" s="5"/>
      <c r="AJ219" s="5"/>
      <c r="AK219" s="5"/>
      <c r="AL219" s="5"/>
      <c r="AM219" s="5"/>
      <c r="AN219" s="5"/>
    </row>
    <row r="220" spans="2:40" ht="21.9" customHeight="1" x14ac:dyDescent="0.25">
      <c r="B220" s="679"/>
      <c r="C220" s="690"/>
      <c r="D220" s="694"/>
      <c r="E220" s="1327"/>
      <c r="F220" s="114" t="s">
        <v>274</v>
      </c>
      <c r="G220" s="114" t="s">
        <v>317</v>
      </c>
      <c r="H220" s="551" cm="1">
        <f t="array" ref="H220">_xlfn.ANCHORARRAY(H199) * $F$15</f>
        <v>136480.80000000002</v>
      </c>
      <c r="I220" s="551" cm="1">
        <f t="array" ref="I220">_xlfn.ANCHORARRAY(I199) * $F$15</f>
        <v>142180.01073999997</v>
      </c>
      <c r="J220" s="551" cm="1">
        <f t="array" ref="J220">_xlfn.ANCHORARRAY(J199) * $F$15</f>
        <v>149233.79341999997</v>
      </c>
      <c r="K220" s="551" cm="1">
        <f t="array" ref="K220">_xlfn.ANCHORARRAY(K199) * $F$15</f>
        <v>158730.58242000002</v>
      </c>
      <c r="L220" s="551" cm="1">
        <f t="array" ref="L220">_xlfn.ANCHORARRAY(L199) * $F$15</f>
        <v>168230.78344000003</v>
      </c>
      <c r="M220" s="551" cm="1">
        <f t="array" ref="M220">_xlfn.ANCHORARRAY(M199) * $F$15</f>
        <v>177729.84712000002</v>
      </c>
      <c r="N220" s="551" cm="1">
        <f t="array" ref="N220">_xlfn.ANCHORARRAY(N199) * $F$15</f>
        <v>187226.63612000001</v>
      </c>
      <c r="O220" s="551" cm="1">
        <f t="array" ref="O220">_xlfn.ANCHORARRAY(O199) * $F$15</f>
        <v>196730.24916000006</v>
      </c>
      <c r="P220" s="551" cm="1">
        <f t="array" ref="P220">_xlfn.ANCHORARRAY(P199) * $F$15</f>
        <v>205938.1538</v>
      </c>
      <c r="Q220" s="551" cm="1">
        <f t="array" ref="Q220">_xlfn.ANCHORARRAY(Q199) * $F$15</f>
        <v>215149.47045999995</v>
      </c>
      <c r="R220" s="551" cm="1">
        <f t="array" ref="R220">_xlfn.ANCHORARRAY(R199) * $F$15</f>
        <v>224357.3751</v>
      </c>
      <c r="S220" s="551" cm="1">
        <f t="array" ref="S220">_xlfn.ANCHORARRAY(S199) * $F$15</f>
        <v>233565.27974</v>
      </c>
      <c r="T220" s="551" cm="1">
        <f t="array" ref="T220">_xlfn.ANCHORARRAY(T199) * $F$15</f>
        <v>242780.00842000006</v>
      </c>
      <c r="U220" s="551" cm="1">
        <f t="array" ref="U220">_xlfn.ANCHORARRAY(U199) * $F$15</f>
        <v>249541.49472000002</v>
      </c>
      <c r="V220" s="551" cm="1">
        <f t="array" ref="V220">_xlfn.ANCHORARRAY(V199) * $F$15</f>
        <v>255240.70546000003</v>
      </c>
      <c r="W220" s="551" cm="1">
        <f t="array" ref="W220">_xlfn.ANCHORARRAY(W199) * $F$15</f>
        <v>260939.91619999998</v>
      </c>
      <c r="X220" s="551" cm="1">
        <f t="array" ref="X220">_xlfn.ANCHORARRAY(X199) * $F$15</f>
        <v>266639.12693999999</v>
      </c>
      <c r="Y220" s="551" cm="1">
        <f t="array" ref="Y220">_xlfn.ANCHORARRAY(Y199) * $F$15</f>
        <v>272340.61236000003</v>
      </c>
      <c r="Z220" s="551" cm="1">
        <f t="array" ref="Z220">_xlfn.ANCHORARRAY(Z199) * $F$15</f>
        <v>278039.82309999998</v>
      </c>
      <c r="AA220" s="551" cm="1">
        <f t="array" ref="AA220">_xlfn.ANCHORARRAY(AA199) * $F$15</f>
        <v>283741.30852000002</v>
      </c>
      <c r="AB220" s="551" cm="1">
        <f t="array" ref="AB220">_xlfn.ANCHORARRAY(AB199) * $F$15</f>
        <v>289440.51926000009</v>
      </c>
      <c r="AC220" s="551" cm="1">
        <f t="array" ref="AC220">_xlfn.ANCHORARRAY(AC199) * $F$15</f>
        <v>295139.73</v>
      </c>
      <c r="AD220" s="551" cm="1">
        <f t="array" ref="AD220">_xlfn.ANCHORARRAY(AD199) * $F$15</f>
        <v>300841.21542000002</v>
      </c>
      <c r="AE220" s="551" cm="1">
        <f t="array" ref="AE220">_xlfn.ANCHORARRAY(AE199) * $F$15</f>
        <v>306540.42616000003</v>
      </c>
      <c r="AF220" s="551" cm="1">
        <f t="array" ref="AF220">_xlfn.ANCHORARRAY(AF199) * $F$15</f>
        <v>312239.63689999992</v>
      </c>
      <c r="AG220" s="689" cm="1">
        <f t="array" ref="AG220">_xlfn.ANCHORARRAY(AG199) * $F$15</f>
        <v>317941.12232000002</v>
      </c>
      <c r="AH220" s="5"/>
      <c r="AI220" s="5"/>
      <c r="AJ220" s="5"/>
      <c r="AK220" s="5"/>
      <c r="AL220" s="5"/>
      <c r="AM220" s="5"/>
      <c r="AN220" s="5"/>
    </row>
    <row r="221" spans="2:40" ht="21.9" customHeight="1" x14ac:dyDescent="0.25">
      <c r="B221" s="679"/>
      <c r="C221" s="690"/>
      <c r="D221" s="694"/>
      <c r="E221" s="1325" t="s">
        <v>274</v>
      </c>
      <c r="F221" s="217" t="s">
        <v>275</v>
      </c>
      <c r="G221" s="217" t="s">
        <v>318</v>
      </c>
      <c r="H221" s="551" cm="1">
        <f t="array" ref="H221">_xlfn.ANCHORARRAY(H200) * $F$15</f>
        <v>1240299.2</v>
      </c>
      <c r="I221" s="551" cm="1">
        <f t="array" ref="I221">_xlfn.ANCHORARRAY(I200) * $F$15</f>
        <v>1365761.665576</v>
      </c>
      <c r="J221" s="551" cm="1">
        <f t="array" ref="J221">_xlfn.ANCHORARRAY(J200) * $F$15</f>
        <v>1646261.5311519997</v>
      </c>
      <c r="K221" s="551" cm="1">
        <f t="array" ref="K221">_xlfn.ANCHORARRAY(K200) * $F$15</f>
        <v>2209667.4427519999</v>
      </c>
      <c r="L221" s="551" cm="1">
        <f t="array" ref="L221">_xlfn.ANCHORARRAY(L200) * $F$15</f>
        <v>2773420.6381279994</v>
      </c>
      <c r="M221" s="551" cm="1">
        <f t="array" ref="M221">_xlfn.ANCHORARRAY(M200) * $F$15</f>
        <v>3337111.8185439995</v>
      </c>
      <c r="N221" s="551" cm="1">
        <f t="array" ref="N221">_xlfn.ANCHORARRAY(N200) * $F$15</f>
        <v>3900517.7301439992</v>
      </c>
      <c r="O221" s="551" cm="1">
        <f t="array" ref="O221">_xlfn.ANCHORARRAY(O200) * $F$15</f>
        <v>4464618.2092960002</v>
      </c>
      <c r="P221" s="551" cm="1">
        <f t="array" ref="P221">_xlfn.ANCHORARRAY(P200) * $F$15</f>
        <v>5018138.936271999</v>
      </c>
      <c r="Q221" s="551" cm="1">
        <f t="array" ref="Q221">_xlfn.ANCHORARRAY(Q200) * $F$15</f>
        <v>5571938.7305679992</v>
      </c>
      <c r="R221" s="551" cm="1">
        <f t="array" ref="R221">_xlfn.ANCHORARRAY(R200) * $F$15</f>
        <v>6125459.4575439999</v>
      </c>
      <c r="S221" s="551" cm="1">
        <f t="array" ref="S221">_xlfn.ANCHORARRAY(S200) * $F$15</f>
        <v>6678980.1845200006</v>
      </c>
      <c r="T221" s="551" cm="1">
        <f t="array" ref="T221">_xlfn.ANCHORARRAY(T200) * $F$15</f>
        <v>7233195.4790480006</v>
      </c>
      <c r="U221" s="551" cm="1">
        <f t="array" ref="U221">_xlfn.ANCHORARRAY(U200) * $F$15</f>
        <v>7503462.8762239991</v>
      </c>
      <c r="V221" s="551" cm="1">
        <f t="array" ref="V221">_xlfn.ANCHORARRAY(V200) * $F$15</f>
        <v>7628925.3417999987</v>
      </c>
      <c r="W221" s="551" cm="1">
        <f t="array" ref="W221">_xlfn.ANCHORARRAY(W200) * $F$15</f>
        <v>7754387.8073759982</v>
      </c>
      <c r="X221" s="551" cm="1">
        <f t="array" ref="X221">_xlfn.ANCHORARRAY(X200) * $F$15</f>
        <v>7879850.2729519987</v>
      </c>
      <c r="Y221" s="551" cm="1">
        <f t="array" ref="Y221">_xlfn.ANCHORARRAY(Y200) * $F$15</f>
        <v>8005504.9849039987</v>
      </c>
      <c r="Z221" s="551" cm="1">
        <f t="array" ref="Z221">_xlfn.ANCHORARRAY(Z200) * $F$15</f>
        <v>8130967.4504800001</v>
      </c>
      <c r="AA221" s="551" cm="1">
        <f t="array" ref="AA221">_xlfn.ANCHORARRAY(AA200) * $F$15</f>
        <v>8256622.1624319991</v>
      </c>
      <c r="AB221" s="551" cm="1">
        <f t="array" ref="AB221">_xlfn.ANCHORARRAY(AB200) * $F$15</f>
        <v>8382084.6280079978</v>
      </c>
      <c r="AC221" s="551" cm="1">
        <f t="array" ref="AC221">_xlfn.ANCHORARRAY(AC200) * $F$15</f>
        <v>8507547.0935839992</v>
      </c>
      <c r="AD221" s="551" cm="1">
        <f t="array" ref="AD221">_xlfn.ANCHORARRAY(AD200) * $F$15</f>
        <v>8633201.8055360001</v>
      </c>
      <c r="AE221" s="551" cm="1">
        <f t="array" ref="AE221">_xlfn.ANCHORARRAY(AE200) * $F$15</f>
        <v>8758664.2711120006</v>
      </c>
      <c r="AF221" s="551" cm="1">
        <f t="array" ref="AF221">_xlfn.ANCHORARRAY(AF200) * $F$15</f>
        <v>8884126.7366879992</v>
      </c>
      <c r="AG221" s="689" cm="1">
        <f t="array" ref="AG221">_xlfn.ANCHORARRAY(AG200) * $F$15</f>
        <v>9009781.4486399982</v>
      </c>
      <c r="AH221" s="5"/>
      <c r="AI221" s="5"/>
      <c r="AJ221" s="5"/>
      <c r="AK221" s="5"/>
      <c r="AL221" s="5"/>
      <c r="AM221" s="5"/>
      <c r="AN221" s="5"/>
    </row>
    <row r="222" spans="2:40" ht="21.9" customHeight="1" x14ac:dyDescent="0.25">
      <c r="B222" s="679"/>
      <c r="C222" s="690"/>
      <c r="D222" s="694"/>
      <c r="E222" s="1327"/>
      <c r="F222" s="114" t="s">
        <v>318</v>
      </c>
      <c r="G222" s="114" t="s">
        <v>308</v>
      </c>
      <c r="H222" s="551" cm="1">
        <f t="array" ref="H222">_xlfn.ANCHORARRAY(H201) * $F$15</f>
        <v>143664</v>
      </c>
      <c r="I222" s="551" cm="1">
        <f t="array" ref="I222">_xlfn.ANCHORARRAY(I201) * $F$15</f>
        <v>158657.73280000003</v>
      </c>
      <c r="J222" s="551" cm="1">
        <f t="array" ref="J222">_xlfn.ANCHORARRAY(J201) * $F$15</f>
        <v>179356.12359999999</v>
      </c>
      <c r="K222" s="551" cm="1">
        <f t="array" ref="K222">_xlfn.ANCHORARRAY(K201) * $F$15</f>
        <v>217367.2236</v>
      </c>
      <c r="L222" s="551" cm="1">
        <f t="array" ref="L222">_xlfn.ANCHORARRAY(L201) * $F$15</f>
        <v>255389.09840000002</v>
      </c>
      <c r="M222" s="551" cm="1">
        <f t="array" ref="M222">_xlfn.ANCHORARRAY(M201) * $F$15</f>
        <v>293418.15640000009</v>
      </c>
      <c r="N222" s="551" cm="1">
        <f t="array" ref="N222">_xlfn.ANCHORARRAY(N201) * $F$15</f>
        <v>331429.25640000001</v>
      </c>
      <c r="O222" s="551" cm="1">
        <f t="array" ref="O222">_xlfn.ANCHORARRAY(O201) * $F$15</f>
        <v>369475.07520000008</v>
      </c>
      <c r="P222" s="551" cm="1">
        <f t="array" ref="P222">_xlfn.ANCHORARRAY(P201) * $F$15</f>
        <v>424179.93200000003</v>
      </c>
      <c r="Q222" s="551" cm="1">
        <f t="array" ref="Q222">_xlfn.ANCHORARRAY(Q201) * $F$15</f>
        <v>478896.76079999999</v>
      </c>
      <c r="R222" s="551" cm="1">
        <f t="array" ref="R222">_xlfn.ANCHORARRAY(R201) * $F$15</f>
        <v>533590.84279999998</v>
      </c>
      <c r="S222" s="551" cm="1">
        <f t="array" ref="S222">_xlfn.ANCHORARRAY(S201) * $F$15</f>
        <v>588295.69960000005</v>
      </c>
      <c r="T222" s="551" cm="1">
        <f t="array" ref="T222">_xlfn.ANCHORARRAY(T201) * $F$15</f>
        <v>643035.27520000015</v>
      </c>
      <c r="U222" s="551" cm="1">
        <f t="array" ref="U222">_xlfn.ANCHORARRAY(U201) * $F$15</f>
        <v>680392.70400000003</v>
      </c>
      <c r="V222" s="551" cm="1">
        <f t="array" ref="V222">_xlfn.ANCHORARRAY(V201) * $F$15</f>
        <v>695386.43680000002</v>
      </c>
      <c r="W222" s="551" cm="1">
        <f t="array" ref="W222">_xlfn.ANCHORARRAY(W201) * $F$15</f>
        <v>710380.16960000014</v>
      </c>
      <c r="X222" s="551" cm="1">
        <f t="array" ref="X222">_xlfn.ANCHORARRAY(X201) * $F$15</f>
        <v>725373.90240000002</v>
      </c>
      <c r="Y222" s="551" cm="1">
        <f t="array" ref="Y222">_xlfn.ANCHORARRAY(Y201) * $F$15</f>
        <v>740378.41000000015</v>
      </c>
      <c r="Z222" s="551" cm="1">
        <f t="array" ref="Z222">_xlfn.ANCHORARRAY(Z201) * $F$15</f>
        <v>755372.14280000003</v>
      </c>
      <c r="AA222" s="551" cm="1">
        <f t="array" ref="AA222">_xlfn.ANCHORARRAY(AA201) * $F$15</f>
        <v>770376.65040000016</v>
      </c>
      <c r="AB222" s="551" cm="1">
        <f t="array" ref="AB222">_xlfn.ANCHORARRAY(AB201) * $F$15</f>
        <v>785370.38320000016</v>
      </c>
      <c r="AC222" s="551" cm="1">
        <f t="array" ref="AC222">_xlfn.ANCHORARRAY(AC201) * $F$15</f>
        <v>800364.11600000004</v>
      </c>
      <c r="AD222" s="551" cm="1">
        <f t="array" ref="AD222">_xlfn.ANCHORARRAY(AD201) * $F$15</f>
        <v>815368.62360000005</v>
      </c>
      <c r="AE222" s="551" cm="1">
        <f t="array" ref="AE222">_xlfn.ANCHORARRAY(AE201) * $F$15</f>
        <v>830362.35639999993</v>
      </c>
      <c r="AF222" s="551" cm="1">
        <f t="array" ref="AF222">_xlfn.ANCHORARRAY(AF201) * $F$15</f>
        <v>845356.08920000016</v>
      </c>
      <c r="AG222" s="689" cm="1">
        <f t="array" ref="AG222">_xlfn.ANCHORARRAY(AG201) * $F$15</f>
        <v>860360.59679999994</v>
      </c>
      <c r="AH222" s="5"/>
      <c r="AI222" s="5"/>
      <c r="AJ222" s="5"/>
      <c r="AK222" s="5"/>
      <c r="AL222" s="5"/>
      <c r="AM222" s="5"/>
      <c r="AN222" s="5"/>
    </row>
    <row r="223" spans="2:40" ht="21.9" customHeight="1" x14ac:dyDescent="0.25">
      <c r="B223" s="679"/>
      <c r="C223" s="690"/>
      <c r="D223" s="694"/>
      <c r="E223" s="1339"/>
      <c r="F223" s="250" t="s">
        <v>308</v>
      </c>
      <c r="G223" s="250" t="s">
        <v>319</v>
      </c>
      <c r="H223" s="551" cm="1">
        <f t="array" ref="H223">_xlfn.ANCHORARRAY(H202) * $F$15</f>
        <v>1925097.6</v>
      </c>
      <c r="I223" s="551" cm="1">
        <f t="array" ref="I223">_xlfn.ANCHORARRAY(I202) * $F$15</f>
        <v>1979006.749792</v>
      </c>
      <c r="J223" s="551" cm="1">
        <f t="array" ref="J223">_xlfn.ANCHORARRAY(J202) * $F$15</f>
        <v>2055830.9780160002</v>
      </c>
      <c r="K223" s="551" cm="1">
        <f t="array" ref="K223">_xlfn.ANCHORARRAY(K202) * $F$15</f>
        <v>2163655.6945920005</v>
      </c>
      <c r="L223" s="551" cm="1">
        <f t="array" ref="L223">_xlfn.ANCHORARRAY(L202) * $F$15</f>
        <v>2271525.3301119995</v>
      </c>
      <c r="M223" s="551" cm="1">
        <f t="array" ref="M223">_xlfn.ANCHORARRAY(M202) * $F$15</f>
        <v>2379385.3401440009</v>
      </c>
      <c r="N223" s="551" cm="1">
        <f t="array" ref="N223">_xlfn.ANCHORARRAY(N202) * $F$15</f>
        <v>2487210.0567200007</v>
      </c>
      <c r="O223" s="551" cm="1">
        <f t="array" ref="O223">_xlfn.ANCHORARRAY(O202) * $F$15</f>
        <v>2595121.4026880004</v>
      </c>
      <c r="P223" s="551" cm="1">
        <f t="array" ref="P223">_xlfn.ANCHORARRAY(P202) * $F$15</f>
        <v>2704056.2588799996</v>
      </c>
      <c r="Q223" s="551" cm="1">
        <f t="array" ref="Q223">_xlfn.ANCHORARRAY(Q202) * $F$15</f>
        <v>2813023.2000320004</v>
      </c>
      <c r="R223" s="551" cm="1">
        <f t="array" ref="R223">_xlfn.ANCHORARRAY(R202) * $F$15</f>
        <v>2921948.4307360002</v>
      </c>
      <c r="S223" s="551" cm="1">
        <f t="array" ref="S223">_xlfn.ANCHORARRAY(S202) * $F$15</f>
        <v>3030883.2869280004</v>
      </c>
      <c r="T223" s="551" cm="1">
        <f t="array" ref="T223">_xlfn.ANCHORARRAY(T202) * $F$15</f>
        <v>3139904.7725120005</v>
      </c>
      <c r="U223" s="551" cm="1">
        <f t="array" ref="U223">_xlfn.ANCHORARRAY(U202) * $F$15</f>
        <v>3217787.8044160008</v>
      </c>
      <c r="V223" s="551" cm="1">
        <f t="array" ref="V223">_xlfn.ANCHORARRAY(V202) * $F$15</f>
        <v>3271696.9542080001</v>
      </c>
      <c r="W223" s="551" cm="1">
        <f t="array" ref="W223">_xlfn.ANCHORARRAY(W202) * $F$15</f>
        <v>3325606.1040000003</v>
      </c>
      <c r="X223" s="551" cm="1">
        <f t="array" ref="X223">_xlfn.ANCHORARRAY(X202) * $F$15</f>
        <v>3379515.253792</v>
      </c>
      <c r="Y223" s="551" cm="1">
        <f t="array" ref="Y223">_xlfn.ANCHORARRAY(Y202) * $F$15</f>
        <v>3433450.0715520005</v>
      </c>
      <c r="Z223" s="551" cm="1">
        <f t="array" ref="Z223">_xlfn.ANCHORARRAY(Z202) * $F$15</f>
        <v>3487359.2213440007</v>
      </c>
      <c r="AA223" s="551" cm="1">
        <f t="array" ref="AA223">_xlfn.ANCHORARRAY(AA202) * $F$15</f>
        <v>3541294.0391040007</v>
      </c>
      <c r="AB223" s="551" cm="1">
        <f t="array" ref="AB223">_xlfn.ANCHORARRAY(AB202) * $F$15</f>
        <v>3595203.1888960004</v>
      </c>
      <c r="AC223" s="551" cm="1">
        <f t="array" ref="AC223">_xlfn.ANCHORARRAY(AC202) * $F$15</f>
        <v>3649112.3386880006</v>
      </c>
      <c r="AD223" s="551" cm="1">
        <f t="array" ref="AD223">_xlfn.ANCHORARRAY(AD202) * $F$15</f>
        <v>3703047.1564480001</v>
      </c>
      <c r="AE223" s="551" cm="1">
        <f t="array" ref="AE223">_xlfn.ANCHORARRAY(AE202) * $F$15</f>
        <v>3756956.3062399994</v>
      </c>
      <c r="AF223" s="551" cm="1">
        <f t="array" ref="AF223">_xlfn.ANCHORARRAY(AF202) * $F$15</f>
        <v>3810865.4560320005</v>
      </c>
      <c r="AG223" s="689" cm="1">
        <f t="array" ref="AG223">_xlfn.ANCHORARRAY(AG202) * $F$15</f>
        <v>3864800.2737920005</v>
      </c>
      <c r="AH223" s="5"/>
      <c r="AI223" s="5"/>
      <c r="AJ223" s="5"/>
      <c r="AK223" s="5"/>
      <c r="AL223" s="5"/>
      <c r="AM223" s="5"/>
      <c r="AN223" s="5"/>
    </row>
    <row r="224" spans="2:40" ht="21.9" customHeight="1" x14ac:dyDescent="0.25">
      <c r="B224" s="679"/>
      <c r="C224" s="690"/>
      <c r="D224" s="694"/>
      <c r="E224" s="114" t="s">
        <v>320</v>
      </c>
      <c r="F224" s="114" t="s">
        <v>318</v>
      </c>
      <c r="G224" s="114" t="s">
        <v>308</v>
      </c>
      <c r="H224" s="551" cm="1">
        <f t="array" ref="H224">_xlfn.ANCHORARRAY(H203) * $F$15</f>
        <v>5626.84</v>
      </c>
      <c r="I224" s="551" cm="1">
        <f t="array" ref="I224">_xlfn.ANCHORARRAY(I203) * $F$15</f>
        <v>42645.820360000005</v>
      </c>
      <c r="J224" s="551" cm="1">
        <f t="array" ref="J224">_xlfn.ANCHORARRAY(J203) * $F$15</f>
        <v>247068.91755999997</v>
      </c>
      <c r="K224" s="551" cm="1">
        <f t="array" ref="K224">_xlfn.ANCHORARRAY(K203) * $F$15</f>
        <v>569059.20971999993</v>
      </c>
      <c r="L224" s="551" cm="1">
        <f t="array" ref="L224">_xlfn.ANCHORARRAY(L203) * $F$15</f>
        <v>891252.06812000007</v>
      </c>
      <c r="M224" s="551" cm="1">
        <f t="array" ref="M224">_xlfn.ANCHORARRAY(M203) * $F$15</f>
        <v>1213461.8070400003</v>
      </c>
      <c r="N224" s="551" cm="1">
        <f t="array" ref="N224">_xlfn.ANCHORARRAY(N203) * $F$15</f>
        <v>1535452.0992000003</v>
      </c>
      <c r="O224" s="551" cm="1">
        <f t="array" ref="O224">_xlfn.ANCHORARRAY(O203) * $F$15</f>
        <v>1857870.0312000001</v>
      </c>
      <c r="P224" s="551" cm="1">
        <f t="array" ref="P224">_xlfn.ANCHORARRAY(P203) * $F$15</f>
        <v>2038907.9813599999</v>
      </c>
      <c r="Q224" s="551" cm="1">
        <f t="array" ref="Q224">_xlfn.ANCHORARRAY(Q203) * $F$15</f>
        <v>2220013.4536000001</v>
      </c>
      <c r="R224" s="551" cm="1">
        <f t="array" ref="R224">_xlfn.ANCHORARRAY(R203) * $F$15</f>
        <v>2401102.04532</v>
      </c>
      <c r="S224" s="551" cm="1">
        <f t="array" ref="S224">_xlfn.ANCHORARRAY(S203) * $F$15</f>
        <v>2582139.99548</v>
      </c>
      <c r="T224" s="551" cm="1">
        <f t="array" ref="T224">_xlfn.ANCHORARRAY(T203) * $F$15</f>
        <v>2763605.5854800008</v>
      </c>
      <c r="U224" s="551" cm="1">
        <f t="array" ref="U224">_xlfn.ANCHORARRAY(U203) * $F$15</f>
        <v>2826901.908640001</v>
      </c>
      <c r="V224" s="551" cm="1">
        <f t="array" ref="V224">_xlfn.ANCHORARRAY(V203) * $F$15</f>
        <v>2863920.889</v>
      </c>
      <c r="W224" s="551" cm="1">
        <f t="array" ref="W224">_xlfn.ANCHORARRAY(W203) * $F$15</f>
        <v>2900939.8693600004</v>
      </c>
      <c r="X224" s="551" cm="1">
        <f t="array" ref="X224">_xlfn.ANCHORARRAY(X203) * $F$15</f>
        <v>2937958.8497200008</v>
      </c>
      <c r="Y224" s="551" cm="1">
        <f t="array" ref="Y224">_xlfn.ANCHORARRAY(Y203) * $F$15</f>
        <v>2975124.1279200003</v>
      </c>
      <c r="Z224" s="551" cm="1">
        <f t="array" ref="Z224">_xlfn.ANCHORARRAY(Z203) * $F$15</f>
        <v>3012143.1082800007</v>
      </c>
      <c r="AA224" s="551" cm="1">
        <f t="array" ref="AA224">_xlfn.ANCHORARRAY(AA203) * $F$15</f>
        <v>3049308.3864800013</v>
      </c>
      <c r="AB224" s="551" cm="1">
        <f t="array" ref="AB224">_xlfn.ANCHORARRAY(AB203) * $F$15</f>
        <v>3086327.3668400007</v>
      </c>
      <c r="AC224" s="551" cm="1">
        <f t="array" ref="AC224">_xlfn.ANCHORARRAY(AC203) * $F$15</f>
        <v>3123346.3472000007</v>
      </c>
      <c r="AD224" s="551" cm="1">
        <f t="array" ref="AD224">_xlfn.ANCHORARRAY(AD203) * $F$15</f>
        <v>3160511.6254000016</v>
      </c>
      <c r="AE224" s="551" cm="1">
        <f t="array" ref="AE224">_xlfn.ANCHORARRAY(AE203) * $F$15</f>
        <v>3197530.6057600002</v>
      </c>
      <c r="AF224" s="551" cm="1">
        <f t="array" ref="AF224">_xlfn.ANCHORARRAY(AF203) * $F$15</f>
        <v>3234549.5861200006</v>
      </c>
      <c r="AG224" s="689" cm="1">
        <f t="array" ref="AG224">_xlfn.ANCHORARRAY(AG203) * $F$15</f>
        <v>3271714.8643200011</v>
      </c>
      <c r="AH224" s="5"/>
      <c r="AI224" s="5"/>
      <c r="AJ224" s="5"/>
      <c r="AK224" s="5"/>
      <c r="AL224" s="5"/>
      <c r="AM224" s="5"/>
      <c r="AN224" s="5"/>
    </row>
    <row r="225" spans="1:40" ht="21.9" customHeight="1" x14ac:dyDescent="0.25">
      <c r="B225" s="679"/>
      <c r="C225" s="690"/>
      <c r="D225" s="694"/>
      <c r="E225" s="1325" t="s">
        <v>308</v>
      </c>
      <c r="F225" s="217" t="s">
        <v>276</v>
      </c>
      <c r="G225" s="217" t="s">
        <v>320</v>
      </c>
      <c r="H225" s="551" cm="1">
        <f t="array" ref="H225">_xlfn.ANCHORARRAY(H204) * $F$15</f>
        <v>16162.2</v>
      </c>
      <c r="I225" s="551" cm="1">
        <f t="array" ref="I225">_xlfn.ANCHORARRAY(I204) * $F$15</f>
        <v>35920.489499999996</v>
      </c>
      <c r="J225" s="551" cm="1">
        <f t="array" ref="J225">_xlfn.ANCHORARRAY(J204) * $F$15</f>
        <v>151819.6257</v>
      </c>
      <c r="K225" s="551" cm="1">
        <f t="array" ref="K225">_xlfn.ANCHORARRAY(K204) * $F$15</f>
        <v>341281.01520000002</v>
      </c>
      <c r="L225" s="551" cm="1">
        <f t="array" ref="L225">_xlfn.ANCHORARRAY(L204) * $F$15</f>
        <v>530847.45900000015</v>
      </c>
      <c r="M225" s="551" cm="1">
        <f t="array" ref="M225">_xlfn.ANCHORARRAY(M204) * $F$15</f>
        <v>720421.98389999976</v>
      </c>
      <c r="N225" s="551" cm="1">
        <f t="array" ref="N225">_xlfn.ANCHORARRAY(N204) * $F$15</f>
        <v>909883.37340000016</v>
      </c>
      <c r="O225" s="551" cm="1">
        <f t="array" ref="O225">_xlfn.ANCHORARRAY(O204) * $F$15</f>
        <v>1099562.9526000002</v>
      </c>
      <c r="P225" s="551" cm="1">
        <f t="array" ref="P225">_xlfn.ANCHORARRAY(P204) * $F$15</f>
        <v>1245830.8626000003</v>
      </c>
      <c r="Q225" s="551" cm="1">
        <f t="array" ref="Q225">_xlfn.ANCHORARRAY(Q204) * $F$15</f>
        <v>1392123.0159000002</v>
      </c>
      <c r="R225" s="551" cm="1">
        <f t="array" ref="R225">_xlfn.ANCHORARRAY(R204) * $F$15</f>
        <v>1538390.9258999999</v>
      </c>
      <c r="S225" s="551" cm="1">
        <f t="array" ref="S225">_xlfn.ANCHORARRAY(S204) * $F$15</f>
        <v>1684658.8359000001</v>
      </c>
      <c r="T225" s="551" cm="1">
        <f t="array" ref="T225">_xlfn.ANCHORARRAY(T204) * $F$15</f>
        <v>1831120.6923000002</v>
      </c>
      <c r="U225" s="551" cm="1">
        <f t="array" ref="U225">_xlfn.ANCHORARRAY(U204) * $F$15</f>
        <v>1903713.2136000001</v>
      </c>
      <c r="V225" s="551" cm="1">
        <f t="array" ref="V225">_xlfn.ANCHORARRAY(V204) * $F$15</f>
        <v>1923471.5031000001</v>
      </c>
      <c r="W225" s="551" cm="1">
        <f t="array" ref="W225">_xlfn.ANCHORARRAY(W204) * $F$15</f>
        <v>1943229.7926</v>
      </c>
      <c r="X225" s="551" cm="1">
        <f t="array" ref="X225">_xlfn.ANCHORARRAY(X204) * $F$15</f>
        <v>1962988.0821000002</v>
      </c>
      <c r="Y225" s="551" cm="1">
        <f t="array" ref="Y225">_xlfn.ANCHORARRAY(Y204) * $F$15</f>
        <v>1982802.9393000007</v>
      </c>
      <c r="Z225" s="551" cm="1">
        <f t="array" ref="Z225">_xlfn.ANCHORARRAY(Z204) * $F$15</f>
        <v>2002561.2288000002</v>
      </c>
      <c r="AA225" s="551" cm="1">
        <f t="array" ref="AA225">_xlfn.ANCHORARRAY(AA204) * $F$15</f>
        <v>2022376.0859999999</v>
      </c>
      <c r="AB225" s="551" cm="1">
        <f t="array" ref="AB225">_xlfn.ANCHORARRAY(AB204) * $F$15</f>
        <v>2042134.3754999998</v>
      </c>
      <c r="AC225" s="551" cm="1">
        <f t="array" ref="AC225">_xlfn.ANCHORARRAY(AC204) * $F$15</f>
        <v>2061892.6649999998</v>
      </c>
      <c r="AD225" s="551" cm="1">
        <f t="array" ref="AD225">_xlfn.ANCHORARRAY(AD204) * $F$15</f>
        <v>2081707.5222</v>
      </c>
      <c r="AE225" s="551" cm="1">
        <f t="array" ref="AE225">_xlfn.ANCHORARRAY(AE204) * $F$15</f>
        <v>2101465.8117</v>
      </c>
      <c r="AF225" s="551" cm="1">
        <f t="array" ref="AF225">_xlfn.ANCHORARRAY(AF204) * $F$15</f>
        <v>2121224.1011999999</v>
      </c>
      <c r="AG225" s="689" cm="1">
        <f t="array" ref="AG225">_xlfn.ANCHORARRAY(AG204) * $F$15</f>
        <v>2141038.9584000004</v>
      </c>
      <c r="AH225" s="5"/>
      <c r="AI225" s="5"/>
      <c r="AJ225" s="5"/>
      <c r="AK225" s="5"/>
      <c r="AL225" s="5"/>
      <c r="AM225" s="5"/>
      <c r="AN225" s="5"/>
    </row>
    <row r="226" spans="1:40" ht="21.9" customHeight="1" x14ac:dyDescent="0.25">
      <c r="B226" s="679"/>
      <c r="C226" s="690"/>
      <c r="D226" s="694"/>
      <c r="E226" s="1327"/>
      <c r="F226" s="114" t="s">
        <v>320</v>
      </c>
      <c r="G226" s="114" t="s">
        <v>282</v>
      </c>
      <c r="H226" s="551" cm="1">
        <f t="array" ref="H226">_xlfn.ANCHORARRAY(H205) * $F$15</f>
        <v>0</v>
      </c>
      <c r="I226" s="551" cm="1">
        <f t="array" ref="I226">_xlfn.ANCHORARRAY(I205) * $F$15</f>
        <v>10995.084800000002</v>
      </c>
      <c r="J226" s="551" cm="1">
        <f t="array" ref="J226">_xlfn.ANCHORARRAY(J205) * $F$15</f>
        <v>31488.514960000004</v>
      </c>
      <c r="K226" s="551" cm="1">
        <f t="array" ref="K226">_xlfn.ANCHORARRAY(K205) * $F$15</f>
        <v>70784.210560000007</v>
      </c>
      <c r="L226" s="551" cm="1">
        <f t="array" ref="L226">_xlfn.ANCHORARRAY(L205) * $F$15</f>
        <v>110101.69520000003</v>
      </c>
      <c r="M226" s="551" cm="1">
        <f t="array" ref="M226">_xlfn.ANCHORARRAY(M205) * $F$15</f>
        <v>149420.85591999997</v>
      </c>
      <c r="N226" s="551" cm="1">
        <f t="array" ref="N226">_xlfn.ANCHORARRAY(N205) * $F$15</f>
        <v>188716.55152000004</v>
      </c>
      <c r="O226" s="551" cm="1">
        <f t="array" ref="O226">_xlfn.ANCHORARRAY(O205) * $F$15</f>
        <v>228057.50128000003</v>
      </c>
      <c r="P226" s="551" cm="1">
        <f t="array" ref="P226">_xlfn.ANCHORARRAY(P205) * $F$15</f>
        <v>258394.54928000009</v>
      </c>
      <c r="Q226" s="551" cm="1">
        <f t="array" ref="Q226">_xlfn.ANCHORARRAY(Q205) * $F$15</f>
        <v>288736.62552000006</v>
      </c>
      <c r="R226" s="551" cm="1">
        <f t="array" ref="R226">_xlfn.ANCHORARRAY(R205) * $F$15</f>
        <v>319073.67352000001</v>
      </c>
      <c r="S226" s="551" cm="1">
        <f t="array" ref="S226">_xlfn.ANCHORARRAY(S205) * $F$15</f>
        <v>349410.72152000002</v>
      </c>
      <c r="T226" s="551" cm="1">
        <f t="array" ref="T226">_xlfn.ANCHORARRAY(T205) * $F$15</f>
        <v>379787.99544000009</v>
      </c>
      <c r="U226" s="551" cm="1">
        <f t="array" ref="U226">_xlfn.ANCHORARRAY(U205) * $F$15</f>
        <v>394844.22208000004</v>
      </c>
      <c r="V226" s="551" cm="1">
        <f t="array" ref="V226">_xlfn.ANCHORARRAY(V205) * $F$15</f>
        <v>398942.23768000002</v>
      </c>
      <c r="W226" s="551" cm="1">
        <f t="array" ref="W226">_xlfn.ANCHORARRAY(W205) * $F$15</f>
        <v>403040.25328</v>
      </c>
      <c r="X226" s="551" cm="1">
        <f t="array" ref="X226">_xlfn.ANCHORARRAY(X205) * $F$15</f>
        <v>407138.26888000011</v>
      </c>
      <c r="Y226" s="551" cm="1">
        <f t="array" ref="Y226">_xlfn.ANCHORARRAY(Y205) * $F$15</f>
        <v>411248.01704000012</v>
      </c>
      <c r="Z226" s="551" cm="1">
        <f t="array" ref="Z226">_xlfn.ANCHORARRAY(Z205) * $F$15</f>
        <v>415346.03264000005</v>
      </c>
      <c r="AA226" s="551" cm="1">
        <f t="array" ref="AA226">_xlfn.ANCHORARRAY(AA205) * $F$15</f>
        <v>419455.78079999995</v>
      </c>
      <c r="AB226" s="551" cm="1">
        <f t="array" ref="AB226">_xlfn.ANCHORARRAY(AB205) * $F$15</f>
        <v>423553.79639999993</v>
      </c>
      <c r="AC226" s="551" cm="1">
        <f t="array" ref="AC226">_xlfn.ANCHORARRAY(AC205) * $F$15</f>
        <v>427651.81199999992</v>
      </c>
      <c r="AD226" s="551" cm="1">
        <f t="array" ref="AD226">_xlfn.ANCHORARRAY(AD205) * $F$15</f>
        <v>431761.56015999999</v>
      </c>
      <c r="AE226" s="551" cm="1">
        <f t="array" ref="AE226">_xlfn.ANCHORARRAY(AE205) * $F$15</f>
        <v>435859.57575999998</v>
      </c>
      <c r="AF226" s="551" cm="1">
        <f t="array" ref="AF226">_xlfn.ANCHORARRAY(AF205) * $F$15</f>
        <v>439957.59135999996</v>
      </c>
      <c r="AG226" s="689" cm="1">
        <f t="array" ref="AG226">_xlfn.ANCHORARRAY(AG205) * $F$15</f>
        <v>444067.33952000004</v>
      </c>
      <c r="AH226" s="5"/>
      <c r="AI226" s="5"/>
      <c r="AJ226" s="5"/>
      <c r="AK226" s="5"/>
      <c r="AL226" s="5"/>
      <c r="AM226" s="5"/>
      <c r="AN226" s="5"/>
    </row>
    <row r="227" spans="1:40" ht="21.9" customHeight="1" x14ac:dyDescent="0.25">
      <c r="B227" s="679"/>
      <c r="C227" s="690"/>
      <c r="D227" s="694"/>
      <c r="E227" s="1327"/>
      <c r="F227" s="114" t="s">
        <v>282</v>
      </c>
      <c r="G227" s="114" t="s">
        <v>321</v>
      </c>
      <c r="H227" s="551" cm="1">
        <f t="array" ref="H227">_xlfn.ANCHORARRAY(H206) * $F$15</f>
        <v>0</v>
      </c>
      <c r="I227" s="551" cm="1">
        <f t="array" ref="I227">_xlfn.ANCHORARRAY(I206) * $F$15</f>
        <v>28665.756799999999</v>
      </c>
      <c r="J227" s="551" cm="1">
        <f t="array" ref="J227">_xlfn.ANCHORARRAY(J206) * $F$15</f>
        <v>82095.056859999997</v>
      </c>
      <c r="K227" s="551" cm="1">
        <f t="array" ref="K227">_xlfn.ANCHORARRAY(K206) * $F$15</f>
        <v>184544.54895999999</v>
      </c>
      <c r="L227" s="551" cm="1">
        <f t="array" ref="L227">_xlfn.ANCHORARRAY(L206) * $F$15</f>
        <v>287050.84820000007</v>
      </c>
      <c r="M227" s="551" cm="1">
        <f t="array" ref="M227">_xlfn.ANCHORARRAY(M206) * $F$15</f>
        <v>389561.51721999986</v>
      </c>
      <c r="N227" s="551" cm="1">
        <f t="array" ref="N227">_xlfn.ANCHORARRAY(N206) * $F$15</f>
        <v>492011.00932000001</v>
      </c>
      <c r="O227" s="551" cm="1">
        <f t="array" ref="O227">_xlfn.ANCHORARRAY(O206) * $F$15</f>
        <v>594578.48548000003</v>
      </c>
      <c r="P227" s="551" cm="1">
        <f t="array" ref="P227">_xlfn.ANCHORARRAY(P206) * $F$15</f>
        <v>673671.50348000019</v>
      </c>
      <c r="Q227" s="551" cm="1">
        <f t="array" ref="Q227">_xlfn.ANCHORARRAY(Q206) * $F$15</f>
        <v>752777.63082000019</v>
      </c>
      <c r="R227" s="551" cm="1">
        <f t="array" ref="R227">_xlfn.ANCHORARRAY(R206) * $F$15</f>
        <v>831870.64881999989</v>
      </c>
      <c r="S227" s="551" cm="1">
        <f t="array" ref="S227">_xlfn.ANCHORARRAY(S206) * $F$15</f>
        <v>910963.66681999981</v>
      </c>
      <c r="T227" s="551" cm="1">
        <f t="array" ref="T227">_xlfn.ANCHORARRAY(T206) * $F$15</f>
        <v>990161.55953999993</v>
      </c>
      <c r="U227" s="551" cm="1">
        <f t="array" ref="U227">_xlfn.ANCHORARRAY(U206) * $F$15</f>
        <v>1029415.29328</v>
      </c>
      <c r="V227" s="551" cm="1">
        <f t="array" ref="V227">_xlfn.ANCHORARRAY(V206) * $F$15</f>
        <v>1040099.40538</v>
      </c>
      <c r="W227" s="551" cm="1">
        <f t="array" ref="W227">_xlfn.ANCHORARRAY(W206) * $F$15</f>
        <v>1050783.5174800002</v>
      </c>
      <c r="X227" s="551" cm="1">
        <f t="array" ref="X227">_xlfn.ANCHORARRAY(X206) * $F$15</f>
        <v>1061467.6295799999</v>
      </c>
      <c r="Y227" s="551" cm="1">
        <f t="array" ref="Y227">_xlfn.ANCHORARRAY(Y206) * $F$15</f>
        <v>1072182.3301400002</v>
      </c>
      <c r="Z227" s="551" cm="1">
        <f t="array" ref="Z227">_xlfn.ANCHORARRAY(Z206) * $F$15</f>
        <v>1082866.44224</v>
      </c>
      <c r="AA227" s="551" cm="1">
        <f t="array" ref="AA227">_xlfn.ANCHORARRAY(AA206) * $F$15</f>
        <v>1093581.1427999998</v>
      </c>
      <c r="AB227" s="551" cm="1">
        <f t="array" ref="AB227">_xlfn.ANCHORARRAY(AB206) * $F$15</f>
        <v>1104265.2548999998</v>
      </c>
      <c r="AC227" s="551" cm="1">
        <f t="array" ref="AC227">_xlfn.ANCHORARRAY(AC206) * $F$15</f>
        <v>1114949.3669999999</v>
      </c>
      <c r="AD227" s="551" cm="1">
        <f t="array" ref="AD227">_xlfn.ANCHORARRAY(AD206) * $F$15</f>
        <v>1125664.0675599996</v>
      </c>
      <c r="AE227" s="551" cm="1">
        <f t="array" ref="AE227">_xlfn.ANCHORARRAY(AE206) * $F$15</f>
        <v>1136348.1796599999</v>
      </c>
      <c r="AF227" s="551" cm="1">
        <f t="array" ref="AF227">_xlfn.ANCHORARRAY(AF206) * $F$15</f>
        <v>1147032.2917599999</v>
      </c>
      <c r="AG227" s="689" cm="1">
        <f t="array" ref="AG227">_xlfn.ANCHORARRAY(AG206) * $F$15</f>
        <v>1157746.99232</v>
      </c>
      <c r="AH227" s="5"/>
      <c r="AI227" s="5"/>
      <c r="AJ227" s="5"/>
      <c r="AK227" s="5"/>
      <c r="AL227" s="5"/>
      <c r="AM227" s="5"/>
      <c r="AN227" s="5"/>
    </row>
    <row r="228" spans="1:40" ht="21.9" customHeight="1" x14ac:dyDescent="0.25">
      <c r="B228" s="679"/>
      <c r="C228" s="690"/>
      <c r="D228" s="694"/>
      <c r="E228" s="1339"/>
      <c r="F228" s="250" t="s">
        <v>321</v>
      </c>
      <c r="G228" s="250" t="s">
        <v>274</v>
      </c>
      <c r="H228" s="551" cm="1">
        <f t="array" ref="H228">_xlfn.ANCHORARRAY(H207) * $F$15</f>
        <v>37711.800000000003</v>
      </c>
      <c r="I228" s="551" cm="1">
        <f t="array" ref="I228">_xlfn.ANCHORARRAY(I207) * $F$15</f>
        <v>56216.980260000004</v>
      </c>
      <c r="J228" s="551" cm="1">
        <f t="array" ref="J228">_xlfn.ANCHORARRAY(J207) * $F$15</f>
        <v>79149.525840000017</v>
      </c>
      <c r="K228" s="551" cm="1">
        <f t="array" ref="K228">_xlfn.ANCHORARRAY(K207) * $F$15</f>
        <v>137122.61892000001</v>
      </c>
      <c r="L228" s="551" cm="1">
        <f t="array" ref="L228">_xlfn.ANCHORARRAY(L207) * $F$15</f>
        <v>195101.99729999999</v>
      </c>
      <c r="M228" s="551" cm="1">
        <f t="array" ref="M228">_xlfn.ANCHORARRAY(M207) * $F$15</f>
        <v>253110.28806000002</v>
      </c>
      <c r="N228" s="551" cm="1">
        <f t="array" ref="N228">_xlfn.ANCHORARRAY(N207) * $F$15</f>
        <v>311083.38114000001</v>
      </c>
      <c r="O228" s="551" cm="1">
        <f t="array" ref="O228">_xlfn.ANCHORARRAY(O207) * $F$15</f>
        <v>369037.61832000001</v>
      </c>
      <c r="P228" s="551" cm="1">
        <f t="array" ref="P228">_xlfn.ANCHORARRAY(P207) * $F$15</f>
        <v>516554.86638000002</v>
      </c>
      <c r="Q228" s="551" cm="1">
        <f t="array" ref="Q228">_xlfn.ANCHORARRAY(Q207) * $F$15</f>
        <v>664014.28968000005</v>
      </c>
      <c r="R228" s="551" cm="1">
        <f t="array" ref="R228">_xlfn.ANCHORARRAY(R207) * $F$15</f>
        <v>811462.39944000007</v>
      </c>
      <c r="S228" s="551" cm="1">
        <f t="array" ref="S228">_xlfn.ANCHORARRAY(S207) * $F$15</f>
        <v>958979.64750000008</v>
      </c>
      <c r="T228" s="551" cm="1">
        <f t="array" ref="T228">_xlfn.ANCHORARRAY(T207) * $F$15</f>
        <v>1106478.0396600002</v>
      </c>
      <c r="U228" s="551" cm="1">
        <f t="array" ref="U228">_xlfn.ANCHORARRAY(U207) * $F$15</f>
        <v>1218910.7431200002</v>
      </c>
      <c r="V228" s="551" cm="1">
        <f t="array" ref="V228">_xlfn.ANCHORARRAY(V207) * $F$15</f>
        <v>1237415.9233800001</v>
      </c>
      <c r="W228" s="551" cm="1">
        <f t="array" ref="W228">_xlfn.ANCHORARRAY(W207) * $F$15</f>
        <v>1255921.1036400001</v>
      </c>
      <c r="X228" s="551" cm="1">
        <f t="array" ref="X228">_xlfn.ANCHORARRAY(X207) * $F$15</f>
        <v>1274426.2839000002</v>
      </c>
      <c r="Y228" s="551" cm="1">
        <f t="array" ref="Y228">_xlfn.ANCHORARRAY(Y207) * $F$15</f>
        <v>1292874.8964600002</v>
      </c>
      <c r="Z228" s="551" cm="1">
        <f t="array" ref="Z228">_xlfn.ANCHORARRAY(Z207) * $F$15</f>
        <v>1311380.0767200002</v>
      </c>
      <c r="AA228" s="551" cm="1">
        <f t="array" ref="AA228">_xlfn.ANCHORARRAY(AA207) * $F$15</f>
        <v>1329828.68928</v>
      </c>
      <c r="AB228" s="551" cm="1">
        <f t="array" ref="AB228">_xlfn.ANCHORARRAY(AB207) * $F$15</f>
        <v>1348333.8695400001</v>
      </c>
      <c r="AC228" s="551" cm="1">
        <f t="array" ref="AC228">_xlfn.ANCHORARRAY(AC207) * $F$15</f>
        <v>1366839.0498000002</v>
      </c>
      <c r="AD228" s="551" cm="1">
        <f t="array" ref="AD228">_xlfn.ANCHORARRAY(AD207) * $F$15</f>
        <v>1385287.6623600002</v>
      </c>
      <c r="AE228" s="551" cm="1">
        <f t="array" ref="AE228">_xlfn.ANCHORARRAY(AE207) * $F$15</f>
        <v>1403792.84262</v>
      </c>
      <c r="AF228" s="551" cm="1">
        <f t="array" ref="AF228">_xlfn.ANCHORARRAY(AF207) * $F$15</f>
        <v>1422298.0228800001</v>
      </c>
      <c r="AG228" s="689" cm="1">
        <f t="array" ref="AG228">_xlfn.ANCHORARRAY(AG207) * $F$15</f>
        <v>1440746.6354400001</v>
      </c>
      <c r="AH228" s="5"/>
      <c r="AI228" s="5"/>
      <c r="AJ228" s="5"/>
      <c r="AK228" s="5"/>
      <c r="AL228" s="5"/>
      <c r="AM228" s="5"/>
      <c r="AN228" s="5"/>
    </row>
    <row r="229" spans="1:40" ht="21.9" customHeight="1" x14ac:dyDescent="0.25">
      <c r="B229" s="679"/>
      <c r="C229" s="690"/>
      <c r="D229" s="694"/>
      <c r="E229" s="114" t="s">
        <v>282</v>
      </c>
      <c r="F229" s="114" t="s">
        <v>308</v>
      </c>
      <c r="G229" s="114" t="s">
        <v>324</v>
      </c>
      <c r="H229" s="551" cm="1">
        <f t="array" ref="H229">_xlfn.ANCHORARRAY(H208) * $F$15</f>
        <v>215496</v>
      </c>
      <c r="I229" s="551" cm="1">
        <f t="array" ref="I229">_xlfn.ANCHORARRAY(I208) * $F$15</f>
        <v>228746.60960000003</v>
      </c>
      <c r="J229" s="551" cm="1">
        <f t="array" ref="J229">_xlfn.ANCHORARRAY(J208) * $F$15</f>
        <v>246281.99800000002</v>
      </c>
      <c r="K229" s="551" cm="1">
        <f t="array" ref="K229">_xlfn.ANCHORARRAY(K208) * $F$15</f>
        <v>269585.49599999998</v>
      </c>
      <c r="L229" s="551" cm="1">
        <f t="array" ref="L229">_xlfn.ANCHORARRAY(L208) * $F$15</f>
        <v>292896.17719999998</v>
      </c>
      <c r="M229" s="551" cm="1">
        <f t="array" ref="M229">_xlfn.ANCHORARRAY(M208) * $F$15</f>
        <v>316257.14080000005</v>
      </c>
      <c r="N229" s="551" cm="1">
        <f t="array" ref="N229">_xlfn.ANCHORARRAY(N208) * $F$15</f>
        <v>339560.63879999996</v>
      </c>
      <c r="O229" s="551" cm="1">
        <f t="array" ref="O229">_xlfn.ANCHORARRAY(O208) * $F$15</f>
        <v>362889.27799999993</v>
      </c>
      <c r="P229" s="551" cm="1">
        <f t="array" ref="P229">_xlfn.ANCHORARRAY(P208) * $F$15</f>
        <v>384161.12760000001</v>
      </c>
      <c r="Q229" s="551" cm="1">
        <f t="array" ref="Q229">_xlfn.ANCHORARRAY(Q208) * $F$15</f>
        <v>405415.01920000004</v>
      </c>
      <c r="R229" s="551" cm="1">
        <f t="array" ref="R229">_xlfn.ANCHORARRAY(R208) * $F$15</f>
        <v>426688.06599999999</v>
      </c>
      <c r="S229" s="551" cm="1">
        <f t="array" ref="S229">_xlfn.ANCHORARRAY(S208) * $F$15</f>
        <v>447959.91560000001</v>
      </c>
      <c r="T229" s="551" cm="1">
        <f t="array" ref="T229">_xlfn.ANCHORARRAY(T208) * $F$15</f>
        <v>469307.18880000006</v>
      </c>
      <c r="U229" s="551" cm="1">
        <f t="array" ref="U229">_xlfn.ANCHORARRAY(U208) * $F$15</f>
        <v>484794.16800000001</v>
      </c>
      <c r="V229" s="551" cm="1">
        <f t="array" ref="V229">_xlfn.ANCHORARRAY(V208) * $F$15</f>
        <v>498044.77760000003</v>
      </c>
      <c r="W229" s="551" cm="1">
        <f t="array" ref="W229">_xlfn.ANCHORARRAY(W208) * $F$15</f>
        <v>511295.38719999994</v>
      </c>
      <c r="X229" s="551" cm="1">
        <f t="array" ref="X229">_xlfn.ANCHORARRAY(X208) * $F$15</f>
        <v>524545.99679999996</v>
      </c>
      <c r="Y229" s="551" cm="1">
        <f t="array" ref="Y229">_xlfn.ANCHORARRAY(Y208) * $F$15</f>
        <v>537810.97279999999</v>
      </c>
      <c r="Z229" s="551" cm="1">
        <f t="array" ref="Z229">_xlfn.ANCHORARRAY(Z208) * $F$15</f>
        <v>551061.58239999984</v>
      </c>
      <c r="AA229" s="551" cm="1">
        <f t="array" ref="AA229">_xlfn.ANCHORARRAY(AA208) * $F$15</f>
        <v>564344.51640000008</v>
      </c>
      <c r="AB229" s="551" cm="1">
        <f t="array" ref="AB229">_xlfn.ANCHORARRAY(AB208) * $F$15</f>
        <v>577595.12599999993</v>
      </c>
      <c r="AC229" s="551" cm="1">
        <f t="array" ref="AC229">_xlfn.ANCHORARRAY(AC208) * $F$15</f>
        <v>590845.73560000001</v>
      </c>
      <c r="AD229" s="551" cm="1">
        <f t="array" ref="AD229">_xlfn.ANCHORARRAY(AD208) * $F$15</f>
        <v>604110.71159999981</v>
      </c>
      <c r="AE229" s="551" cm="1">
        <f t="array" ref="AE229">_xlfn.ANCHORARRAY(AE208) * $F$15</f>
        <v>617361.32120000001</v>
      </c>
      <c r="AF229" s="551" cm="1">
        <f t="array" ref="AF229">_xlfn.ANCHORARRAY(AF208) * $F$15</f>
        <v>630611.93079999997</v>
      </c>
      <c r="AG229" s="689" cm="1">
        <f t="array" ref="AG229">_xlfn.ANCHORARRAY(AG208) * $F$15</f>
        <v>643894.86479999986</v>
      </c>
      <c r="AH229" s="5"/>
      <c r="AI229" s="5"/>
      <c r="AJ229" s="5"/>
      <c r="AK229" s="5"/>
      <c r="AL229" s="5"/>
      <c r="AM229" s="5"/>
      <c r="AN229" s="5"/>
    </row>
    <row r="230" spans="1:40" ht="21.9" customHeight="1" x14ac:dyDescent="0.25">
      <c r="B230" s="679"/>
      <c r="C230" s="690"/>
      <c r="D230" s="694"/>
      <c r="E230" s="273" t="s">
        <v>321</v>
      </c>
      <c r="F230" s="273" t="s">
        <v>318</v>
      </c>
      <c r="G230" s="273" t="s">
        <v>308</v>
      </c>
      <c r="H230" s="551" cm="1">
        <f t="array" ref="H230">_xlfn.ANCHORARRAY(H209) * $F$15</f>
        <v>0</v>
      </c>
      <c r="I230" s="551" cm="1">
        <f t="array" ref="I230">_xlfn.ANCHORARRAY(I209) * $F$15</f>
        <v>0</v>
      </c>
      <c r="J230" s="551" cm="1">
        <f t="array" ref="J230">_xlfn.ANCHORARRAY(J209) * $F$15</f>
        <v>0</v>
      </c>
      <c r="K230" s="551" cm="1">
        <f t="array" ref="K230">_xlfn.ANCHORARRAY(K209) * $F$15</f>
        <v>0</v>
      </c>
      <c r="L230" s="551" cm="1">
        <f t="array" ref="L230">_xlfn.ANCHORARRAY(L209) * $F$15</f>
        <v>0</v>
      </c>
      <c r="M230" s="551" cm="1">
        <f t="array" ref="M230">_xlfn.ANCHORARRAY(M209) * $F$15</f>
        <v>0</v>
      </c>
      <c r="N230" s="551" cm="1">
        <f t="array" ref="N230">_xlfn.ANCHORARRAY(N209) * $F$15</f>
        <v>0</v>
      </c>
      <c r="O230" s="551" cm="1">
        <f t="array" ref="O230">_xlfn.ANCHORARRAY(O209) * $F$15</f>
        <v>0</v>
      </c>
      <c r="P230" s="551" cm="1">
        <f t="array" ref="P230">_xlfn.ANCHORARRAY(P209) * $F$15</f>
        <v>0</v>
      </c>
      <c r="Q230" s="551" cm="1">
        <f t="array" ref="Q230">_xlfn.ANCHORARRAY(Q209) * $F$15</f>
        <v>0</v>
      </c>
      <c r="R230" s="551" cm="1">
        <f t="array" ref="R230">_xlfn.ANCHORARRAY(R209) * $F$15</f>
        <v>0</v>
      </c>
      <c r="S230" s="551" cm="1">
        <f t="array" ref="S230">_xlfn.ANCHORARRAY(S209) * $F$15</f>
        <v>0</v>
      </c>
      <c r="T230" s="551" cm="1">
        <f t="array" ref="T230">_xlfn.ANCHORARRAY(T209) * $F$15</f>
        <v>0</v>
      </c>
      <c r="U230" s="551" cm="1">
        <f t="array" ref="U230">_xlfn.ANCHORARRAY(U209) * $F$15</f>
        <v>0</v>
      </c>
      <c r="V230" s="551" cm="1">
        <f t="array" ref="V230">_xlfn.ANCHORARRAY(V209) * $F$15</f>
        <v>0</v>
      </c>
      <c r="W230" s="551" cm="1">
        <f t="array" ref="W230">_xlfn.ANCHORARRAY(W209) * $F$15</f>
        <v>0</v>
      </c>
      <c r="X230" s="551" cm="1">
        <f t="array" ref="X230">_xlfn.ANCHORARRAY(X209) * $F$15</f>
        <v>0</v>
      </c>
      <c r="Y230" s="551" cm="1">
        <f t="array" ref="Y230">_xlfn.ANCHORARRAY(Y209) * $F$15</f>
        <v>0</v>
      </c>
      <c r="Z230" s="551" cm="1">
        <f t="array" ref="Z230">_xlfn.ANCHORARRAY(Z209) * $F$15</f>
        <v>0</v>
      </c>
      <c r="AA230" s="551" cm="1">
        <f t="array" ref="AA230">_xlfn.ANCHORARRAY(AA209) * $F$15</f>
        <v>0</v>
      </c>
      <c r="AB230" s="551" cm="1">
        <f t="array" ref="AB230">_xlfn.ANCHORARRAY(AB209) * $F$15</f>
        <v>0</v>
      </c>
      <c r="AC230" s="551" cm="1">
        <f t="array" ref="AC230">_xlfn.ANCHORARRAY(AC209) * $F$15</f>
        <v>0</v>
      </c>
      <c r="AD230" s="551" cm="1">
        <f t="array" ref="AD230">_xlfn.ANCHORARRAY(AD209) * $F$15</f>
        <v>0</v>
      </c>
      <c r="AE230" s="551" cm="1">
        <f t="array" ref="AE230">_xlfn.ANCHORARRAY(AE209) * $F$15</f>
        <v>0</v>
      </c>
      <c r="AF230" s="551" cm="1">
        <f t="array" ref="AF230">_xlfn.ANCHORARRAY(AF209) * $F$15</f>
        <v>0</v>
      </c>
      <c r="AG230" s="689" cm="1">
        <f t="array" ref="AG230">_xlfn.ANCHORARRAY(AG209) * $F$15</f>
        <v>0</v>
      </c>
      <c r="AH230" s="5"/>
      <c r="AI230" s="5"/>
      <c r="AJ230" s="5"/>
      <c r="AK230" s="5"/>
      <c r="AL230" s="5"/>
      <c r="AM230" s="5"/>
      <c r="AN230" s="5"/>
    </row>
    <row r="231" spans="1:40" ht="21.9" customHeight="1" x14ac:dyDescent="0.25">
      <c r="B231" s="679"/>
      <c r="C231" s="690"/>
      <c r="D231" s="694"/>
      <c r="E231" s="273" t="s">
        <v>333</v>
      </c>
      <c r="F231" s="273" t="s">
        <v>319</v>
      </c>
      <c r="G231" s="273" t="s">
        <v>308</v>
      </c>
      <c r="H231" s="551" cm="1">
        <f t="array" ref="H231">_xlfn.ANCHORARRAY(H210) * $F$15</f>
        <v>399647.12727272726</v>
      </c>
      <c r="I231" s="551" cm="1">
        <f t="array" ref="I231">_xlfn.ANCHORARRAY(I210) * $F$15</f>
        <v>405134.50435636361</v>
      </c>
      <c r="J231" s="551" cm="1">
        <f t="array" ref="J231">_xlfn.ANCHORARRAY(J210) * $F$15</f>
        <v>414619.4628436364</v>
      </c>
      <c r="K231" s="551" cm="1">
        <f t="array" ref="K231">_xlfn.ANCHORARRAY(K210) * $F$15</f>
        <v>427641.29840727278</v>
      </c>
      <c r="L231" s="551" cm="1">
        <f t="array" ref="L231">_xlfn.ANCHORARRAY(L210) * $F$15</f>
        <v>440668.6846254546</v>
      </c>
      <c r="M231" s="551" cm="1">
        <f t="array" ref="M231">_xlfn.ANCHORARRAY(M210) * $F$15</f>
        <v>453714.94306909089</v>
      </c>
      <c r="N231" s="551" cm="1">
        <f t="array" ref="N231">_xlfn.ANCHORARRAY(N210) * $F$15</f>
        <v>466736.77863272728</v>
      </c>
      <c r="O231" s="551" cm="1">
        <f t="array" ref="O231">_xlfn.ANCHORARRAY(O210) * $F$15</f>
        <v>479804.12956363644</v>
      </c>
      <c r="P231" s="551" cm="1">
        <f t="array" ref="P231">_xlfn.ANCHORARRAY(P210) * $F$15</f>
        <v>488866.12817454553</v>
      </c>
      <c r="Q231" s="551" cm="1">
        <f t="array" ref="Q231">_xlfn.ANCHORARRAY(Q210) * $F$15</f>
        <v>497929.23691636359</v>
      </c>
      <c r="R231" s="551" cm="1">
        <f t="array" ref="R231">_xlfn.ANCHORARRAY(R210) * $F$15</f>
        <v>506993.45578909089</v>
      </c>
      <c r="S231" s="551" cm="1">
        <f t="array" ref="S231">_xlfn.ANCHORARRAY(S210) * $F$15</f>
        <v>516055.4544000001</v>
      </c>
      <c r="T231" s="551" cm="1">
        <f t="array" ref="T231">_xlfn.ANCHORARRAY(T210) * $F$15</f>
        <v>525181.84060363634</v>
      </c>
      <c r="U231" s="551" cm="1">
        <f t="array" ref="U231">_xlfn.ANCHORARRAY(U210) * $F$15</f>
        <v>530669.2176872727</v>
      </c>
      <c r="V231" s="551" cm="1">
        <f t="array" ref="V231">_xlfn.ANCHORARRAY(V210) * $F$15</f>
        <v>536156.59477090894</v>
      </c>
      <c r="W231" s="551" cm="1">
        <f t="array" ref="W231">_xlfn.ANCHORARRAY(W210) * $F$15</f>
        <v>541643.97185454553</v>
      </c>
      <c r="X231" s="551" cm="1">
        <f t="array" ref="X231">_xlfn.ANCHORARRAY(X210) * $F$15</f>
        <v>547131.34893818165</v>
      </c>
      <c r="Y231" s="551" cm="1">
        <f t="array" ref="Y231">_xlfn.ANCHORARRAY(Y210) * $F$15</f>
        <v>552656.47047272732</v>
      </c>
      <c r="Z231" s="551" cm="1">
        <f t="array" ref="Z231">_xlfn.ANCHORARRAY(Z210) * $F$15</f>
        <v>558143.84755636367</v>
      </c>
      <c r="AA231" s="551" cm="1">
        <f t="array" ref="AA231">_xlfn.ANCHORARRAY(AA210) * $F$15</f>
        <v>563652.31712727284</v>
      </c>
      <c r="AB231" s="551" cm="1">
        <f t="array" ref="AB231">_xlfn.ANCHORARRAY(AB210) * $F$15</f>
        <v>569139.69421090907</v>
      </c>
      <c r="AC231" s="551" cm="1">
        <f t="array" ref="AC231">_xlfn.ANCHORARRAY(AC210) * $F$15</f>
        <v>574627.07129454555</v>
      </c>
      <c r="AD231" s="551" cm="1">
        <f t="array" ref="AD231">_xlfn.ANCHORARRAY(AD210) * $F$15</f>
        <v>580152.19282909099</v>
      </c>
      <c r="AE231" s="551" cm="1">
        <f t="array" ref="AE231">_xlfn.ANCHORARRAY(AE210) * $F$15</f>
        <v>585639.56991272734</v>
      </c>
      <c r="AF231" s="551" cm="1">
        <f t="array" ref="AF231">_xlfn.ANCHORARRAY(AF210) * $F$15</f>
        <v>591126.94699636369</v>
      </c>
      <c r="AG231" s="689" cm="1">
        <f t="array" ref="AG231">_xlfn.ANCHORARRAY(AG210) * $F$15</f>
        <v>596635.41656727274</v>
      </c>
      <c r="AH231" s="5"/>
      <c r="AI231" s="5"/>
      <c r="AJ231" s="5"/>
      <c r="AK231" s="5"/>
      <c r="AL231" s="5"/>
      <c r="AM231" s="5"/>
      <c r="AN231" s="5"/>
    </row>
    <row r="232" spans="1:40" ht="21.9" customHeight="1" x14ac:dyDescent="0.25">
      <c r="B232" s="679"/>
      <c r="C232" s="690"/>
      <c r="D232" s="694"/>
      <c r="E232" s="114" t="s">
        <v>319</v>
      </c>
      <c r="F232" s="114" t="s">
        <v>276</v>
      </c>
      <c r="G232" s="114" t="s">
        <v>333</v>
      </c>
      <c r="H232" s="551" cm="1">
        <f t="array" ref="H232">_xlfn.ANCHORARRAY(H211) * $F$15</f>
        <v>1435279.5454545456</v>
      </c>
      <c r="I232" s="551" cm="1">
        <f t="array" ref="I232">_xlfn.ANCHORARRAY(I211) * $F$15</f>
        <v>1476654.3489113641</v>
      </c>
      <c r="J232" s="551" cm="1">
        <f t="array" ref="J232">_xlfn.ANCHORARRAY(J211) * $F$15</f>
        <v>1521437.9412886368</v>
      </c>
      <c r="K232" s="551" cm="1">
        <f t="array" ref="K232">_xlfn.ANCHORARRAY(K211) * $F$15</f>
        <v>1580851.3380727274</v>
      </c>
      <c r="L232" s="551" cm="1">
        <f t="array" ref="L232">_xlfn.ANCHORARRAY(L211) * $F$15</f>
        <v>1640274.7818136362</v>
      </c>
      <c r="M232" s="551" cm="1">
        <f t="array" ref="M232">_xlfn.ANCHORARRAY(M211) * $F$15</f>
        <v>1699722.6253068182</v>
      </c>
      <c r="N232" s="551" cm="1">
        <f t="array" ref="N232">_xlfn.ANCHORARRAY(N211) * $F$15</f>
        <v>1759136.0220909095</v>
      </c>
      <c r="O232" s="551" cm="1">
        <f t="array" ref="O232">_xlfn.ANCHORARRAY(O211) * $F$15</f>
        <v>1818565.2069500005</v>
      </c>
      <c r="P232" s="551" cm="1">
        <f t="array" ref="P232">_xlfn.ANCHORARRAY(P211) * $F$15</f>
        <v>1883959.4136000006</v>
      </c>
      <c r="Q232" s="551" cm="1">
        <f t="array" ref="Q232">_xlfn.ANCHORARRAY(Q211) * $F$15</f>
        <v>1949332.0910568184</v>
      </c>
      <c r="R232" s="551" cm="1">
        <f t="array" ref="R232">_xlfn.ANCHORARRAY(R211) * $F$15</f>
        <v>2014726.2977068182</v>
      </c>
      <c r="S232" s="551" cm="1">
        <f t="array" ref="S232">_xlfn.ANCHORARRAY(S211) * $F$15</f>
        <v>2080120.5043568183</v>
      </c>
      <c r="T232" s="551" cm="1">
        <f t="array" ref="T232">_xlfn.ANCHORARRAY(T211) * $F$15</f>
        <v>2145552.0282750009</v>
      </c>
      <c r="U232" s="551" cm="1">
        <f t="array" ref="U232">_xlfn.ANCHORARRAY(U211) * $F$15</f>
        <v>2196310.6894000005</v>
      </c>
      <c r="V232" s="551" cm="1">
        <f t="array" ref="V232">_xlfn.ANCHORARRAY(V211) * $F$15</f>
        <v>2237685.4928568183</v>
      </c>
      <c r="W232" s="551" cm="1">
        <f t="array" ref="W232">_xlfn.ANCHORARRAY(W211) * $F$15</f>
        <v>2279060.2963136369</v>
      </c>
      <c r="X232" s="551" cm="1">
        <f t="array" ref="X232">_xlfn.ANCHORARRAY(X211) * $F$15</f>
        <v>2320435.0997704547</v>
      </c>
      <c r="Y232" s="551" cm="1">
        <f t="array" ref="Y232">_xlfn.ANCHORARRAY(Y211) * $F$15</f>
        <v>2361805.5973886363</v>
      </c>
      <c r="Z232" s="551" cm="1">
        <f t="array" ref="Z232">_xlfn.ANCHORARRAY(Z211) * $F$15</f>
        <v>2403180.4008454541</v>
      </c>
      <c r="AA232" s="551" cm="1">
        <f t="array" ref="AA232">_xlfn.ANCHORARRAY(AA211) * $F$15</f>
        <v>2444550.8984636357</v>
      </c>
      <c r="AB232" s="551" cm="1">
        <f t="array" ref="AB232">_xlfn.ANCHORARRAY(AB211) * $F$15</f>
        <v>2485925.7019204553</v>
      </c>
      <c r="AC232" s="551" cm="1">
        <f t="array" ref="AC232">_xlfn.ANCHORARRAY(AC211) * $F$15</f>
        <v>2527300.5053772731</v>
      </c>
      <c r="AD232" s="551" cm="1">
        <f t="array" ref="AD232">_xlfn.ANCHORARRAY(AD211) * $F$15</f>
        <v>2568671.0029954552</v>
      </c>
      <c r="AE232" s="551" cm="1">
        <f t="array" ref="AE232">_xlfn.ANCHORARRAY(AE211) * $F$15</f>
        <v>2610045.8064522729</v>
      </c>
      <c r="AF232" s="551" cm="1">
        <f t="array" ref="AF232">_xlfn.ANCHORARRAY(AF211) * $F$15</f>
        <v>2651420.6099090911</v>
      </c>
      <c r="AG232" s="689" cm="1">
        <f t="array" ref="AG232">_xlfn.ANCHORARRAY(AG211) * $F$15</f>
        <v>2692791.1075272732</v>
      </c>
      <c r="AH232" s="5"/>
      <c r="AI232" s="5"/>
      <c r="AJ232" s="5"/>
      <c r="AK232" s="5"/>
      <c r="AL232" s="5"/>
      <c r="AM232" s="5"/>
      <c r="AN232" s="5"/>
    </row>
    <row r="233" spans="1:40" ht="21.9" customHeight="1" x14ac:dyDescent="0.25">
      <c r="B233" s="679"/>
      <c r="C233" s="690"/>
      <c r="D233" s="694"/>
      <c r="E233" s="114"/>
      <c r="F233" s="114" t="s">
        <v>333</v>
      </c>
      <c r="G233" s="114" t="s">
        <v>323</v>
      </c>
      <c r="H233" s="551" cm="1">
        <f t="array" ref="H233">_xlfn.ANCHORARRAY(H212) * $F$15</f>
        <v>209029.30606060609</v>
      </c>
      <c r="I233" s="551" cm="1">
        <f t="array" ref="I233">_xlfn.ANCHORARRAY(I212) * $F$15</f>
        <v>214961.88781287879</v>
      </c>
      <c r="J233" s="551" cm="1">
        <f t="array" ref="J233">_xlfn.ANCHORARRAY(J212) * $F$15</f>
        <v>221545.48583810605</v>
      </c>
      <c r="K233" s="551" cm="1">
        <f t="array" ref="K233">_xlfn.ANCHORARRAY(K212) * $F$15</f>
        <v>230786.23139734849</v>
      </c>
      <c r="L233" s="551" cm="1">
        <f t="array" ref="L233">_xlfn.ANCHORARRAY(L212) * $F$15</f>
        <v>240028.62718795455</v>
      </c>
      <c r="M233" s="551" cm="1">
        <f t="array" ref="M233">_xlfn.ANCHORARRAY(M212) * $F$15</f>
        <v>249272.94824848481</v>
      </c>
      <c r="N233" s="551" cm="1">
        <f t="array" ref="N233">_xlfn.ANCHORARRAY(N212) * $F$15</f>
        <v>258513.69380772731</v>
      </c>
      <c r="O233" s="551" cm="1">
        <f t="array" ref="O233">_xlfn.ANCHORARRAY(O212) * $F$15</f>
        <v>267754.98944409093</v>
      </c>
      <c r="P233" s="551" cm="1">
        <f t="array" ref="P233">_xlfn.ANCHORARRAY(P212) * $F$15</f>
        <v>278141.82068537886</v>
      </c>
      <c r="Q233" s="551" cm="1">
        <f t="array" ref="Q233">_xlfn.ANCHORARRAY(Q212) * $F$15</f>
        <v>288525.07642537879</v>
      </c>
      <c r="R233" s="551" cm="1">
        <f t="array" ref="R233">_xlfn.ANCHORARRAY(R212) * $F$15</f>
        <v>298911.90766666661</v>
      </c>
      <c r="S233" s="551" cm="1">
        <f t="array" ref="S233">_xlfn.ANCHORARRAY(S212) * $F$15</f>
        <v>309298.73890795448</v>
      </c>
      <c r="T233" s="551" cm="1">
        <f t="array" ref="T233">_xlfn.ANCHORARRAY(T212) * $F$15</f>
        <v>319687.22038060613</v>
      </c>
      <c r="U233" s="551" cm="1">
        <f t="array" ref="U233">_xlfn.ANCHORARRAY(U212) * $F$15</f>
        <v>327418.00424212118</v>
      </c>
      <c r="V233" s="551" cm="1">
        <f t="array" ref="V233">_xlfn.ANCHORARRAY(V212) * $F$15</f>
        <v>333350.58599439391</v>
      </c>
      <c r="W233" s="551" cm="1">
        <f t="array" ref="W233">_xlfn.ANCHORARRAY(W212) * $F$15</f>
        <v>339283.16774666664</v>
      </c>
      <c r="X233" s="551" cm="1">
        <f t="array" ref="X233">_xlfn.ANCHORARRAY(X212) * $F$15</f>
        <v>345215.74949893937</v>
      </c>
      <c r="Y233" s="551" cm="1">
        <f t="array" ref="Y233">_xlfn.ANCHORARRAY(Y212) * $F$15</f>
        <v>351145.30582704541</v>
      </c>
      <c r="Z233" s="551" cm="1">
        <f t="array" ref="Z233">_xlfn.ANCHORARRAY(Z212) * $F$15</f>
        <v>357077.88757931819</v>
      </c>
      <c r="AA233" s="551" cm="1">
        <f t="array" ref="AA233">_xlfn.ANCHORARRAY(AA212) * $F$15</f>
        <v>363007.44390742428</v>
      </c>
      <c r="AB233" s="551" cm="1">
        <f t="array" ref="AB233">_xlfn.ANCHORARRAY(AB212) * $F$15</f>
        <v>368940.02565969696</v>
      </c>
      <c r="AC233" s="551" cm="1">
        <f t="array" ref="AC233">_xlfn.ANCHORARRAY(AC212) * $F$15</f>
        <v>374872.60741196969</v>
      </c>
      <c r="AD233" s="551" cm="1">
        <f t="array" ref="AD233">_xlfn.ANCHORARRAY(AD212) * $F$15</f>
        <v>380802.16374007572</v>
      </c>
      <c r="AE233" s="551" cm="1">
        <f t="array" ref="AE233">_xlfn.ANCHORARRAY(AE212) * $F$15</f>
        <v>386734.74549234851</v>
      </c>
      <c r="AF233" s="551" cm="1">
        <f t="array" ref="AF233">_xlfn.ANCHORARRAY(AF212) * $F$15</f>
        <v>392667.32724462118</v>
      </c>
      <c r="AG233" s="689" cm="1">
        <f t="array" ref="AG233">_xlfn.ANCHORARRAY(AG212) * $F$15</f>
        <v>398596.88357272721</v>
      </c>
      <c r="AH233" s="5"/>
      <c r="AI233" s="5"/>
      <c r="AJ233" s="5"/>
      <c r="AK233" s="5"/>
      <c r="AL233" s="5"/>
      <c r="AM233" s="5"/>
      <c r="AN233" s="5"/>
    </row>
    <row r="234" spans="1:40" ht="21.9" customHeight="1" x14ac:dyDescent="0.25">
      <c r="B234" s="679"/>
      <c r="C234" s="690"/>
      <c r="D234" s="694"/>
      <c r="E234" s="114"/>
      <c r="F234" s="114" t="s">
        <v>323</v>
      </c>
      <c r="G234" s="114" t="s">
        <v>322</v>
      </c>
      <c r="H234" s="551" cm="1">
        <f t="array" ref="H234">_xlfn.ANCHORARRAY(H213) * $F$15</f>
        <v>51697.272727272728</v>
      </c>
      <c r="I234" s="551" cm="1">
        <f t="array" ref="I234">_xlfn.ANCHORARRAY(I213) * $F$15</f>
        <v>53164.522954545457</v>
      </c>
      <c r="J234" s="551" cm="1">
        <f t="array" ref="J234">_xlfn.ANCHORARRAY(J213) * $F$15</f>
        <v>54792.782977272727</v>
      </c>
      <c r="K234" s="551" cm="1">
        <f t="array" ref="K234">_xlfn.ANCHORARRAY(K213) * $F$15</f>
        <v>57078.210568181814</v>
      </c>
      <c r="L234" s="551" cm="1">
        <f t="array" ref="L234">_xlfn.ANCHORARRAY(L213) * $F$15</f>
        <v>59364.046295454544</v>
      </c>
      <c r="M234" s="551" cm="1">
        <f t="array" ref="M234">_xlfn.ANCHORARRAY(M213) * $F$15</f>
        <v>61650.358181818177</v>
      </c>
      <c r="N234" s="551" cm="1">
        <f t="array" ref="N234">_xlfn.ANCHORARRAY(N213) * $F$15</f>
        <v>63935.785772727279</v>
      </c>
      <c r="O234" s="551" cm="1">
        <f t="array" ref="O234">_xlfn.ANCHORARRAY(O213) * $F$15</f>
        <v>66221.349409090923</v>
      </c>
      <c r="P234" s="551" cm="1">
        <f t="array" ref="P234">_xlfn.ANCHORARRAY(P213) * $F$15</f>
        <v>68790.227704545468</v>
      </c>
      <c r="Q234" s="551" cm="1">
        <f t="array" ref="Q234">_xlfn.ANCHORARRAY(Q213) * $F$15</f>
        <v>71358.221704545445</v>
      </c>
      <c r="R234" s="551" cm="1">
        <f t="array" ref="R234">_xlfn.ANCHORARRAY(R213) * $F$15</f>
        <v>73927.099999999991</v>
      </c>
      <c r="S234" s="551" cm="1">
        <f t="array" ref="S234">_xlfn.ANCHORARRAY(S213) * $F$15</f>
        <v>76495.978295454523</v>
      </c>
      <c r="T234" s="551" cm="1">
        <f t="array" ref="T234">_xlfn.ANCHORARRAY(T213) * $F$15</f>
        <v>79065.264727272734</v>
      </c>
      <c r="U234" s="551" cm="1">
        <f t="array" ref="U234">_xlfn.ANCHORARRAY(U213) * $F$15</f>
        <v>80977.247545454535</v>
      </c>
      <c r="V234" s="551" cm="1">
        <f t="array" ref="V234">_xlfn.ANCHORARRAY(V213) * $F$15</f>
        <v>82444.497772727264</v>
      </c>
      <c r="W234" s="551" cm="1">
        <f t="array" ref="W234">_xlfn.ANCHORARRAY(W213) * $F$15</f>
        <v>83911.747999999992</v>
      </c>
      <c r="X234" s="551" cm="1">
        <f t="array" ref="X234">_xlfn.ANCHORARRAY(X213) * $F$15</f>
        <v>85378.998227272721</v>
      </c>
      <c r="Y234" s="551" cm="1">
        <f t="array" ref="Y234">_xlfn.ANCHORARRAY(Y213) * $F$15</f>
        <v>86845.500204545431</v>
      </c>
      <c r="Z234" s="551" cm="1">
        <f t="array" ref="Z234">_xlfn.ANCHORARRAY(Z213) * $F$15</f>
        <v>88312.750431818175</v>
      </c>
      <c r="AA234" s="551" cm="1">
        <f t="array" ref="AA234">_xlfn.ANCHORARRAY(AA213) * $F$15</f>
        <v>89779.252409090899</v>
      </c>
      <c r="AB234" s="551" cm="1">
        <f t="array" ref="AB234">_xlfn.ANCHORARRAY(AB213) * $F$15</f>
        <v>91246.502636363643</v>
      </c>
      <c r="AC234" s="551" cm="1">
        <f t="array" ref="AC234">_xlfn.ANCHORARRAY(AC213) * $F$15</f>
        <v>92713.752863636371</v>
      </c>
      <c r="AD234" s="551" cm="1">
        <f t="array" ref="AD234">_xlfn.ANCHORARRAY(AD213) * $F$15</f>
        <v>94180.254840909096</v>
      </c>
      <c r="AE234" s="551" cm="1">
        <f t="array" ref="AE234">_xlfn.ANCHORARRAY(AE213) * $F$15</f>
        <v>95647.50506818181</v>
      </c>
      <c r="AF234" s="551" cm="1">
        <f t="array" ref="AF234">_xlfn.ANCHORARRAY(AF213) * $F$15</f>
        <v>97114.755295454539</v>
      </c>
      <c r="AG234" s="689" cm="1">
        <f t="array" ref="AG234">_xlfn.ANCHORARRAY(AG213) * $F$15</f>
        <v>98581.257272727264</v>
      </c>
      <c r="AH234" s="5"/>
      <c r="AI234" s="5"/>
      <c r="AJ234" s="5"/>
      <c r="AK234" s="5"/>
      <c r="AL234" s="5"/>
      <c r="AM234" s="5"/>
      <c r="AN234" s="5"/>
    </row>
    <row r="235" spans="1:40" ht="21.9" customHeight="1" x14ac:dyDescent="0.25">
      <c r="B235" s="679"/>
      <c r="C235" s="690"/>
      <c r="D235" s="694"/>
      <c r="E235" s="114"/>
      <c r="F235" s="114" t="s">
        <v>322</v>
      </c>
      <c r="G235" s="114" t="s">
        <v>326</v>
      </c>
      <c r="H235" s="551" cm="1">
        <f t="array" ref="H235">_xlfn.ANCHORARRAY(H214) * $F$15</f>
        <v>132644.31818181821</v>
      </c>
      <c r="I235" s="551" cm="1">
        <f t="array" ref="I235">_xlfn.ANCHORARRAY(I214) * $F$15</f>
        <v>136405.66889772727</v>
      </c>
      <c r="J235" s="551" cm="1">
        <f t="array" ref="J235">_xlfn.ANCHORARRAY(J214) * $F$15</f>
        <v>140691.62789204545</v>
      </c>
      <c r="K235" s="551" cm="1">
        <f t="array" ref="K235">_xlfn.ANCHORARRAY(K214) * $F$15</f>
        <v>146168.06964204548</v>
      </c>
      <c r="L235" s="551" cm="1">
        <f t="array" ref="L235">_xlfn.ANCHORARRAY(L214) * $F$15</f>
        <v>151646.27998295453</v>
      </c>
      <c r="M235" s="551" cm="1">
        <f t="array" ref="M235">_xlfn.ANCHORARRAY(M214) * $F$15</f>
        <v>157123.60602840918</v>
      </c>
      <c r="N235" s="551" cm="1">
        <f t="array" ref="N235">_xlfn.ANCHORARRAY(N214) * $F$15</f>
        <v>162600.04777840912</v>
      </c>
      <c r="O235" s="551" cm="1">
        <f t="array" ref="O235">_xlfn.ANCHORARRAY(O214) * $F$15</f>
        <v>168077.59489772731</v>
      </c>
      <c r="P235" s="551" cm="1">
        <f t="array" ref="P235">_xlfn.ANCHORARRAY(P214) * $F$15</f>
        <v>174268.54737499999</v>
      </c>
      <c r="Q235" s="551" cm="1">
        <f t="array" ref="Q235">_xlfn.ANCHORARRAY(Q214) * $F$15</f>
        <v>180459.27877840912</v>
      </c>
      <c r="R235" s="551" cm="1">
        <f t="array" ref="R235">_xlfn.ANCHORARRAY(R214) * $F$15</f>
        <v>186649.3469602273</v>
      </c>
      <c r="S235" s="551" cm="1">
        <f t="array" ref="S235">_xlfn.ANCHORARRAY(S214) * $F$15</f>
        <v>192840.29943750004</v>
      </c>
      <c r="T235" s="551" cm="1">
        <f t="array" ref="T235">_xlfn.ANCHORARRAY(T214) * $F$15</f>
        <v>199032.35728409089</v>
      </c>
      <c r="U235" s="551" cm="1">
        <f t="array" ref="U235">_xlfn.ANCHORARRAY(U214) * $F$15</f>
        <v>204032.60593181819</v>
      </c>
      <c r="V235" s="551" cm="1">
        <f t="array" ref="V235">_xlfn.ANCHORARRAY(V214) * $F$15</f>
        <v>207793.95664772732</v>
      </c>
      <c r="W235" s="551" cm="1">
        <f t="array" ref="W235">_xlfn.ANCHORARRAY(W214) * $F$15</f>
        <v>211555.30736363644</v>
      </c>
      <c r="X235" s="551" cm="1">
        <f t="array" ref="X235">_xlfn.ANCHORARRAY(X214) * $F$15</f>
        <v>215316.65807954551</v>
      </c>
      <c r="Y235" s="551" cm="1">
        <f t="array" ref="Y235">_xlfn.ANCHORARRAY(Y214) * $F$15</f>
        <v>219076.90342613641</v>
      </c>
      <c r="Z235" s="551" cm="1">
        <f t="array" ref="Z235">_xlfn.ANCHORARRAY(Z214) * $F$15</f>
        <v>222838.25414204542</v>
      </c>
      <c r="AA235" s="551" cm="1">
        <f t="array" ref="AA235">_xlfn.ANCHORARRAY(AA214) * $F$15</f>
        <v>226598.49948863633</v>
      </c>
      <c r="AB235" s="551" cm="1">
        <f t="array" ref="AB235">_xlfn.ANCHORARRAY(AB214) * $F$15</f>
        <v>230359.85020454542</v>
      </c>
      <c r="AC235" s="551" cm="1">
        <f t="array" ref="AC235">_xlfn.ANCHORARRAY(AC214) * $F$15</f>
        <v>234121.20092045452</v>
      </c>
      <c r="AD235" s="551" cm="1">
        <f t="array" ref="AD235">_xlfn.ANCHORARRAY(AD214) * $F$15</f>
        <v>237881.44626704539</v>
      </c>
      <c r="AE235" s="551" cm="1">
        <f t="array" ref="AE235">_xlfn.ANCHORARRAY(AE214) * $F$15</f>
        <v>241642.79698295452</v>
      </c>
      <c r="AF235" s="551" cm="1">
        <f t="array" ref="AF235">_xlfn.ANCHORARRAY(AF214) * $F$15</f>
        <v>245404.14769886358</v>
      </c>
      <c r="AG235" s="689" cm="1">
        <f t="array" ref="AG235">_xlfn.ANCHORARRAY(AG214) * $F$15</f>
        <v>249164.39304545452</v>
      </c>
      <c r="AH235" s="5"/>
      <c r="AI235" s="5"/>
      <c r="AJ235" s="5"/>
      <c r="AK235" s="5"/>
      <c r="AL235" s="5"/>
      <c r="AM235" s="5"/>
      <c r="AN235" s="5"/>
    </row>
    <row r="236" spans="1:40" ht="21.9" customHeight="1" x14ac:dyDescent="0.25">
      <c r="B236" s="680"/>
      <c r="C236" s="690"/>
      <c r="D236" s="694"/>
      <c r="E236" s="114"/>
      <c r="F236" s="114" t="s">
        <v>326</v>
      </c>
      <c r="G236" s="114" t="s">
        <v>274</v>
      </c>
      <c r="H236" s="551" cm="1">
        <f t="array" ref="H236">_xlfn.ANCHORARRAY(H215) * $F$15</f>
        <v>1101287.9545454546</v>
      </c>
      <c r="I236" s="551" cm="1">
        <f t="array" ref="I236">_xlfn.ANCHORARRAY(I215) * $F$15</f>
        <v>1132516.8099765154</v>
      </c>
      <c r="J236" s="551" cm="1">
        <f t="array" ref="J236">_xlfn.ANCHORARRAY(J215) * $F$15</f>
        <v>1168101.259267803</v>
      </c>
      <c r="K236" s="551" cm="1">
        <f t="array" ref="K236">_xlfn.ANCHORARRAY(K215) * $F$15</f>
        <v>1213569.7679511365</v>
      </c>
      <c r="L236" s="551" cm="1">
        <f t="array" ref="L236">_xlfn.ANCHORARRAY(L215) * $F$15</f>
        <v>1259052.9604738636</v>
      </c>
      <c r="M236" s="551" cm="1">
        <f t="array" ref="M236">_xlfn.ANCHORARRAY(M215) * $F$15</f>
        <v>1304528.8110768946</v>
      </c>
      <c r="N236" s="551" cm="1">
        <f t="array" ref="N236">_xlfn.ANCHORARRAY(N215) * $F$15</f>
        <v>1349997.3197602276</v>
      </c>
      <c r="O236" s="551" cm="1">
        <f t="array" ref="O236">_xlfn.ANCHORARRAY(O215) * $F$15</f>
        <v>1395475.0058431823</v>
      </c>
      <c r="P236" s="551" cm="1">
        <f t="array" ref="P236">_xlfn.ANCHORARRAY(P215) * $F$15</f>
        <v>1446875.7856416665</v>
      </c>
      <c r="Q236" s="551" cm="1">
        <f t="array" ref="Q236">_xlfn.ANCHORARRAY(Q215) * $F$15</f>
        <v>1498274.7299602276</v>
      </c>
      <c r="R236" s="551" cm="1">
        <f t="array" ref="R236">_xlfn.ANCHORARRAY(R215) * $F$15</f>
        <v>1549668.1678390154</v>
      </c>
      <c r="S236" s="551" cm="1">
        <f t="array" ref="S236">_xlfn.ANCHORARRAY(S215) * $F$15</f>
        <v>1601068.9476375005</v>
      </c>
      <c r="T236" s="551" cm="1">
        <f t="array" ref="T236">_xlfn.ANCHORARRAY(T215) * $F$15</f>
        <v>1652478.904835606</v>
      </c>
      <c r="U236" s="551" cm="1">
        <f t="array" ref="U236">_xlfn.ANCHORARRAY(U215) * $F$15</f>
        <v>1693993.7897621214</v>
      </c>
      <c r="V236" s="551" cm="1">
        <f t="array" ref="V236">_xlfn.ANCHORARRAY(V215) * $F$15</f>
        <v>1725222.6451931822</v>
      </c>
      <c r="W236" s="551" cm="1">
        <f t="array" ref="W236">_xlfn.ANCHORARRAY(W215) * $F$15</f>
        <v>1756451.5006242429</v>
      </c>
      <c r="X236" s="551" cm="1">
        <f t="array" ref="X236">_xlfn.ANCHORARRAY(X215) * $F$15</f>
        <v>1787680.3560553035</v>
      </c>
      <c r="Y236" s="551" cm="1">
        <f t="array" ref="Y236">_xlfn.ANCHORARRAY(Y215) * $F$15</f>
        <v>1818900.0340867429</v>
      </c>
      <c r="Z236" s="551" cm="1">
        <f t="array" ref="Z236">_xlfn.ANCHORARRAY(Z215) * $F$15</f>
        <v>1850128.8895178025</v>
      </c>
      <c r="AA236" s="551" cm="1">
        <f t="array" ref="AA236">_xlfn.ANCHORARRAY(AA215) * $F$15</f>
        <v>1881348.5675492419</v>
      </c>
      <c r="AB236" s="551" cm="1">
        <f t="array" ref="AB236">_xlfn.ANCHORARRAY(AB215) * $F$15</f>
        <v>1912577.4229803027</v>
      </c>
      <c r="AC236" s="551" cm="1">
        <f t="array" ref="AC236">_xlfn.ANCHORARRAY(AC215) * $F$15</f>
        <v>1943806.2784113633</v>
      </c>
      <c r="AD236" s="551" cm="1">
        <f t="array" ref="AD236">_xlfn.ANCHORARRAY(AD215) * $F$15</f>
        <v>1975025.9564428027</v>
      </c>
      <c r="AE236" s="551" cm="1">
        <f t="array" ref="AE236">_xlfn.ANCHORARRAY(AE215) * $F$15</f>
        <v>2006254.8118738635</v>
      </c>
      <c r="AF236" s="551" cm="1">
        <f t="array" ref="AF236">_xlfn.ANCHORARRAY(AF215) * $F$15</f>
        <v>2037483.667304924</v>
      </c>
      <c r="AG236" s="689" cm="1">
        <f t="array" ref="AG236">_xlfn.ANCHORARRAY(AG215) * $F$15</f>
        <v>2068703.3453363634</v>
      </c>
      <c r="AH236" s="5"/>
      <c r="AI236" s="5"/>
      <c r="AJ236" s="5"/>
      <c r="AK236" s="5"/>
      <c r="AL236" s="5"/>
      <c r="AM236" s="5"/>
      <c r="AN236" s="5"/>
    </row>
    <row r="237" spans="1:40" ht="21.9" customHeight="1" thickBot="1" x14ac:dyDescent="0.3">
      <c r="B237" s="180"/>
      <c r="C237" s="114"/>
      <c r="D237" s="694"/>
      <c r="E237" s="274"/>
      <c r="F237" s="274" t="s">
        <v>274</v>
      </c>
      <c r="G237" s="274" t="s">
        <v>317</v>
      </c>
      <c r="H237" s="551" cm="1">
        <f t="array" ref="H237">_xlfn.ANCHORARRAY(H216) * $F$15</f>
        <v>27209.090909090912</v>
      </c>
      <c r="I237" s="551" cm="1">
        <f t="array" ref="I237">_xlfn.ANCHORARRAY(I216) * $F$15</f>
        <v>27980.650030303037</v>
      </c>
      <c r="J237" s="551" cm="1">
        <f t="array" ref="J237">_xlfn.ANCHORARRAY(J216) * $F$15</f>
        <v>28859.821106060605</v>
      </c>
      <c r="K237" s="551" cm="1">
        <f t="array" ref="K237">_xlfn.ANCHORARRAY(K216) * $F$15</f>
        <v>29983.193772727278</v>
      </c>
      <c r="L237" s="551" cm="1">
        <f t="array" ref="L237">_xlfn.ANCHORARRAY(L216) * $F$15</f>
        <v>31106.929227272729</v>
      </c>
      <c r="M237" s="551" cm="1">
        <f t="array" ref="M237">_xlfn.ANCHORARRAY(M216) * $F$15</f>
        <v>32230.483287878804</v>
      </c>
      <c r="N237" s="551" cm="1">
        <f t="array" ref="N237">_xlfn.ANCHORARRAY(N216) * $F$15</f>
        <v>33353.855954545463</v>
      </c>
      <c r="O237" s="551" cm="1">
        <f t="array" ref="O237">_xlfn.ANCHORARRAY(O216) * $F$15</f>
        <v>34477.455363636378</v>
      </c>
      <c r="P237" s="551" cm="1">
        <f t="array" ref="P237">_xlfn.ANCHORARRAY(P216) * $F$15</f>
        <v>35747.39433333333</v>
      </c>
      <c r="Q237" s="551" cm="1">
        <f t="array" ref="Q237">_xlfn.ANCHORARRAY(Q216) * $F$15</f>
        <v>37017.287954545456</v>
      </c>
      <c r="R237" s="551" cm="1">
        <f t="array" ref="R237">_xlfn.ANCHORARRAY(R216) * $F$15</f>
        <v>38287.045530303039</v>
      </c>
      <c r="S237" s="551" cm="1">
        <f t="array" ref="S237">_xlfn.ANCHORARRAY(S216) * $F$15</f>
        <v>39556.984500000013</v>
      </c>
      <c r="T237" s="551" cm="1">
        <f t="array" ref="T237">_xlfn.ANCHORARRAY(T216) * $F$15</f>
        <v>40827.150212121218</v>
      </c>
      <c r="U237" s="551" cm="1">
        <f t="array" ref="U237">_xlfn.ANCHORARRAY(U216) * $F$15</f>
        <v>41852.842242424245</v>
      </c>
      <c r="V237" s="551" cm="1">
        <f t="array" ref="V237">_xlfn.ANCHORARRAY(V216) * $F$15</f>
        <v>42624.401363636374</v>
      </c>
      <c r="W237" s="551" cm="1">
        <f t="array" ref="W237">_xlfn.ANCHORARRAY(W216) * $F$15</f>
        <v>43395.960484848503</v>
      </c>
      <c r="X237" s="551" cm="1">
        <f t="array" ref="X237">_xlfn.ANCHORARRAY(X216) * $F$15</f>
        <v>44167.519606060625</v>
      </c>
      <c r="Y237" s="551" cm="1">
        <f t="array" ref="Y237">_xlfn.ANCHORARRAY(Y216) * $F$15</f>
        <v>44938.851984848494</v>
      </c>
      <c r="Z237" s="551" cm="1">
        <f t="array" ref="Z237">_xlfn.ANCHORARRAY(Z216) * $F$15</f>
        <v>45710.411106060608</v>
      </c>
      <c r="AA237" s="551" cm="1">
        <f t="array" ref="AA237">_xlfn.ANCHORARRAY(AA216) * $F$15</f>
        <v>46481.743484848477</v>
      </c>
      <c r="AB237" s="551" cm="1">
        <f t="array" ref="AB237">_xlfn.ANCHORARRAY(AB216) * $F$15</f>
        <v>47253.302606060599</v>
      </c>
      <c r="AC237" s="551" cm="1">
        <f t="array" ref="AC237">_xlfn.ANCHORARRAY(AC216) * $F$15</f>
        <v>48024.861727272728</v>
      </c>
      <c r="AD237" s="551" cm="1">
        <f t="array" ref="AD237">_xlfn.ANCHORARRAY(AD216) * $F$15</f>
        <v>48796.194106060597</v>
      </c>
      <c r="AE237" s="551" cm="1">
        <f t="array" ref="AE237">_xlfn.ANCHORARRAY(AE216) * $F$15</f>
        <v>49567.753227272726</v>
      </c>
      <c r="AF237" s="551" cm="1">
        <f t="array" ref="AF237">_xlfn.ANCHORARRAY(AF216) * $F$15</f>
        <v>50339.312348484847</v>
      </c>
      <c r="AG237" s="689" cm="1">
        <f t="array" ref="AG237">_xlfn.ANCHORARRAY(AG216) * $F$15</f>
        <v>51110.644727272716</v>
      </c>
      <c r="AH237" s="5"/>
      <c r="AI237" s="5"/>
      <c r="AJ237" s="5"/>
      <c r="AK237" s="5"/>
      <c r="AL237" s="5"/>
      <c r="AM237" s="5"/>
      <c r="AN237" s="5"/>
    </row>
    <row r="238" spans="1:40" ht="21.9" customHeight="1" x14ac:dyDescent="0.25">
      <c r="B238" s="180"/>
      <c r="C238" s="114"/>
      <c r="D238" s="695"/>
      <c r="E238" s="123" t="s">
        <v>25</v>
      </c>
      <c r="F238" s="123"/>
      <c r="G238" s="123"/>
      <c r="H238" s="691">
        <f t="shared" ref="H238:AG238" si="87">SUM(H218:H237)</f>
        <v>13110758.500606064</v>
      </c>
      <c r="I238" s="691">
        <f t="shared" si="87"/>
        <v>13846185.382828604</v>
      </c>
      <c r="J238" s="691">
        <f t="shared" si="87"/>
        <v>15244514.482861562</v>
      </c>
      <c r="K238" s="691">
        <f t="shared" si="87"/>
        <v>17616924.959568165</v>
      </c>
      <c r="L238" s="691">
        <f t="shared" si="87"/>
        <v>19990528.990256596</v>
      </c>
      <c r="M238" s="691">
        <f t="shared" si="87"/>
        <v>22364171.550332841</v>
      </c>
      <c r="N238" s="691">
        <f t="shared" si="87"/>
        <v>24736582.027039457</v>
      </c>
      <c r="O238" s="691">
        <f t="shared" si="87"/>
        <v>27111409.111715365</v>
      </c>
      <c r="P238" s="691">
        <f t="shared" si="87"/>
        <v>29380052.858383738</v>
      </c>
      <c r="Q238" s="691">
        <f t="shared" si="87"/>
        <v>31649293.75730174</v>
      </c>
      <c r="R238" s="691">
        <f t="shared" si="87"/>
        <v>33917893.616794854</v>
      </c>
      <c r="S238" s="691">
        <f t="shared" si="87"/>
        <v>36186537.36346323</v>
      </c>
      <c r="T238" s="691">
        <f t="shared" si="87"/>
        <v>38457647.393284693</v>
      </c>
      <c r="U238" s="691">
        <f t="shared" si="87"/>
        <v>39763729.816016674</v>
      </c>
      <c r="V238" s="691">
        <f t="shared" si="87"/>
        <v>40474277.9843392</v>
      </c>
      <c r="W238" s="691">
        <f t="shared" si="87"/>
        <v>41184826.152661748</v>
      </c>
      <c r="X238" s="691">
        <f t="shared" si="87"/>
        <v>41895374.320984311</v>
      </c>
      <c r="Y238" s="691">
        <f t="shared" si="87"/>
        <v>42606551.813494876</v>
      </c>
      <c r="Z238" s="691">
        <f t="shared" si="87"/>
        <v>43317099.981817409</v>
      </c>
      <c r="AA238" s="691">
        <f t="shared" si="87"/>
        <v>44028278.780364349</v>
      </c>
      <c r="AB238" s="691">
        <f t="shared" si="87"/>
        <v>44738826.948686883</v>
      </c>
      <c r="AC238" s="691">
        <f t="shared" si="87"/>
        <v>45449375.117009439</v>
      </c>
      <c r="AD238" s="691">
        <f t="shared" si="87"/>
        <v>46160552.609519988</v>
      </c>
      <c r="AE238" s="691">
        <f t="shared" si="87"/>
        <v>46871100.777842514</v>
      </c>
      <c r="AF238" s="691">
        <f t="shared" si="87"/>
        <v>47581648.946165077</v>
      </c>
      <c r="AG238" s="692">
        <f t="shared" si="87"/>
        <v>48292827.744712003</v>
      </c>
      <c r="AH238" s="47"/>
      <c r="AI238" s="47"/>
      <c r="AJ238" s="47"/>
      <c r="AK238" s="47"/>
      <c r="AL238" s="47"/>
      <c r="AM238" s="47"/>
      <c r="AN238" s="47"/>
    </row>
    <row r="239" spans="1:40" ht="21.9" customHeight="1" x14ac:dyDescent="0.25">
      <c r="A239" s="9"/>
      <c r="B239" s="680"/>
      <c r="C239" s="690"/>
      <c r="D239" s="693" t="s">
        <v>443</v>
      </c>
      <c r="E239" s="1325" t="s">
        <v>315</v>
      </c>
      <c r="F239" s="217" t="s">
        <v>316</v>
      </c>
      <c r="G239" s="217" t="s">
        <v>276</v>
      </c>
      <c r="H239" s="551">
        <f t="shared" ref="H239:AG239" si="88">H197 * (1-$F$15)</f>
        <v>372825.59999999998</v>
      </c>
      <c r="I239" s="551">
        <f t="shared" si="88"/>
        <v>389778.67907999997</v>
      </c>
      <c r="J239" s="551">
        <f t="shared" si="88"/>
        <v>413663.98416000005</v>
      </c>
      <c r="K239" s="551">
        <f t="shared" si="88"/>
        <v>448798.13664000004</v>
      </c>
      <c r="L239" s="551">
        <f t="shared" si="88"/>
        <v>483945.10499999992</v>
      </c>
      <c r="M239" s="551">
        <f t="shared" si="88"/>
        <v>519092.07335999986</v>
      </c>
      <c r="N239" s="551">
        <f t="shared" si="88"/>
        <v>554226.22583999997</v>
      </c>
      <c r="O239" s="551">
        <f t="shared" si="88"/>
        <v>589386.0100799998</v>
      </c>
      <c r="P239" s="551">
        <f t="shared" si="88"/>
        <v>624129.86075999995</v>
      </c>
      <c r="Q239" s="551">
        <f t="shared" si="88"/>
        <v>658880.7019199999</v>
      </c>
      <c r="R239" s="551">
        <f t="shared" si="88"/>
        <v>693624.55260000005</v>
      </c>
      <c r="S239" s="551">
        <f t="shared" si="88"/>
        <v>728368.40328000009</v>
      </c>
      <c r="T239" s="551">
        <f t="shared" si="88"/>
        <v>763137.8857199999</v>
      </c>
      <c r="U239" s="551">
        <f t="shared" si="88"/>
        <v>786620.07312000007</v>
      </c>
      <c r="V239" s="551">
        <f t="shared" si="88"/>
        <v>803573.15220000001</v>
      </c>
      <c r="W239" s="551">
        <f t="shared" si="88"/>
        <v>820526.23127999972</v>
      </c>
      <c r="X239" s="551">
        <f t="shared" si="88"/>
        <v>837479.31036</v>
      </c>
      <c r="Y239" s="551">
        <f t="shared" si="88"/>
        <v>854438.21483999991</v>
      </c>
      <c r="Z239" s="551">
        <f t="shared" si="88"/>
        <v>871391.29391999997</v>
      </c>
      <c r="AA239" s="551">
        <f t="shared" si="88"/>
        <v>888350.19839999988</v>
      </c>
      <c r="AB239" s="551">
        <f t="shared" si="88"/>
        <v>905303.27747999993</v>
      </c>
      <c r="AC239" s="551">
        <f t="shared" si="88"/>
        <v>922256.35655999987</v>
      </c>
      <c r="AD239" s="551">
        <f t="shared" si="88"/>
        <v>939215.26103999978</v>
      </c>
      <c r="AE239" s="551">
        <f t="shared" si="88"/>
        <v>956168.34011999972</v>
      </c>
      <c r="AF239" s="551">
        <f t="shared" si="88"/>
        <v>973121.4192</v>
      </c>
      <c r="AG239" s="689">
        <f t="shared" si="88"/>
        <v>990080.32367999991</v>
      </c>
      <c r="AH239" s="5"/>
      <c r="AI239" s="5"/>
      <c r="AJ239" s="5"/>
      <c r="AK239" s="5"/>
      <c r="AL239" s="5"/>
      <c r="AM239" s="5"/>
      <c r="AN239" s="5"/>
    </row>
    <row r="240" spans="1:40" ht="21.9" customHeight="1" x14ac:dyDescent="0.25">
      <c r="A240" s="9"/>
      <c r="B240" s="680"/>
      <c r="C240" s="690"/>
      <c r="D240" s="693"/>
      <c r="E240" s="1327"/>
      <c r="F240" s="114" t="s">
        <v>276</v>
      </c>
      <c r="G240" s="114" t="s">
        <v>274</v>
      </c>
      <c r="H240" s="551">
        <f t="shared" ref="H240:AG240" si="89">H198 * (1-$F$15)</f>
        <v>11988338.727272727</v>
      </c>
      <c r="I240" s="551">
        <f t="shared" si="89"/>
        <v>12621145.407054542</v>
      </c>
      <c r="J240" s="551">
        <f t="shared" si="89"/>
        <v>13571065.846799999</v>
      </c>
      <c r="K240" s="551">
        <f t="shared" si="89"/>
        <v>15140472.589963632</v>
      </c>
      <c r="L240" s="551">
        <f t="shared" si="89"/>
        <v>16710589.7532</v>
      </c>
      <c r="M240" s="551">
        <f t="shared" si="89"/>
        <v>18280618.113927267</v>
      </c>
      <c r="N240" s="551">
        <f t="shared" si="89"/>
        <v>19850024.857090909</v>
      </c>
      <c r="O240" s="551">
        <f t="shared" si="89"/>
        <v>21420852.440400001</v>
      </c>
      <c r="P240" s="551">
        <f t="shared" si="89"/>
        <v>23005622.017636359</v>
      </c>
      <c r="Q240" s="551">
        <f t="shared" si="89"/>
        <v>24590924.409927268</v>
      </c>
      <c r="R240" s="551">
        <f t="shared" si="89"/>
        <v>26175693.987163629</v>
      </c>
      <c r="S240" s="551">
        <f t="shared" si="89"/>
        <v>27760463.564399999</v>
      </c>
      <c r="T240" s="551">
        <f t="shared" si="89"/>
        <v>29346653.981781818</v>
      </c>
      <c r="U240" s="551">
        <f t="shared" si="89"/>
        <v>30311226.835527275</v>
      </c>
      <c r="V240" s="551">
        <f t="shared" si="89"/>
        <v>30944033.515309084</v>
      </c>
      <c r="W240" s="551">
        <f t="shared" si="89"/>
        <v>31576840.195090909</v>
      </c>
      <c r="X240" s="551">
        <f t="shared" si="89"/>
        <v>32209646.874872729</v>
      </c>
      <c r="Y240" s="551">
        <f t="shared" si="89"/>
        <v>32842808.764690906</v>
      </c>
      <c r="Z240" s="551">
        <f t="shared" si="89"/>
        <v>33475615.444472719</v>
      </c>
      <c r="AA240" s="551">
        <f t="shared" si="89"/>
        <v>34108777.334290914</v>
      </c>
      <c r="AB240" s="551">
        <f t="shared" si="89"/>
        <v>34741584.014072731</v>
      </c>
      <c r="AC240" s="551">
        <f t="shared" si="89"/>
        <v>35374390.693854541</v>
      </c>
      <c r="AD240" s="551">
        <f t="shared" si="89"/>
        <v>36007552.58367274</v>
      </c>
      <c r="AE240" s="551">
        <f t="shared" si="89"/>
        <v>36640359.263454542</v>
      </c>
      <c r="AF240" s="551">
        <f t="shared" si="89"/>
        <v>37273165.943236358</v>
      </c>
      <c r="AG240" s="689">
        <f t="shared" si="89"/>
        <v>37906327.833054543</v>
      </c>
      <c r="AH240" s="5"/>
      <c r="AI240" s="5"/>
      <c r="AJ240" s="5"/>
      <c r="AK240" s="5"/>
      <c r="AL240" s="5"/>
      <c r="AM240" s="5"/>
      <c r="AN240" s="5"/>
    </row>
    <row r="241" spans="1:40" ht="21.9" customHeight="1" x14ac:dyDescent="0.25">
      <c r="A241" s="9"/>
      <c r="B241" s="680"/>
      <c r="C241" s="690"/>
      <c r="D241" s="693"/>
      <c r="E241" s="1327"/>
      <c r="F241" s="114" t="s">
        <v>274</v>
      </c>
      <c r="G241" s="114" t="s">
        <v>317</v>
      </c>
      <c r="H241" s="551">
        <f t="shared" ref="H241:AG241" si="90">H199 * (1-$F$15)</f>
        <v>279619.19999999995</v>
      </c>
      <c r="I241" s="551">
        <f t="shared" si="90"/>
        <v>291295.6317599999</v>
      </c>
      <c r="J241" s="551">
        <f t="shared" si="90"/>
        <v>305747.2840799999</v>
      </c>
      <c r="K241" s="551">
        <f t="shared" si="90"/>
        <v>325204.12007999996</v>
      </c>
      <c r="L241" s="551">
        <f t="shared" si="90"/>
        <v>344667.94656000001</v>
      </c>
      <c r="M241" s="551">
        <f t="shared" si="90"/>
        <v>364129.44287999999</v>
      </c>
      <c r="N241" s="551">
        <f t="shared" si="90"/>
        <v>383586.27888</v>
      </c>
      <c r="O241" s="551">
        <f t="shared" si="90"/>
        <v>403057.09584000008</v>
      </c>
      <c r="P241" s="551">
        <f t="shared" si="90"/>
        <v>421922.07119999995</v>
      </c>
      <c r="Q241" s="551">
        <f t="shared" si="90"/>
        <v>440794.03703999985</v>
      </c>
      <c r="R241" s="551">
        <f t="shared" si="90"/>
        <v>459659.01239999995</v>
      </c>
      <c r="S241" s="551">
        <f t="shared" si="90"/>
        <v>478523.98775999993</v>
      </c>
      <c r="T241" s="551">
        <f t="shared" si="90"/>
        <v>497402.94408000004</v>
      </c>
      <c r="U241" s="551">
        <f t="shared" si="90"/>
        <v>511255.74527999992</v>
      </c>
      <c r="V241" s="551">
        <f t="shared" si="90"/>
        <v>522932.17703999998</v>
      </c>
      <c r="W241" s="551">
        <f t="shared" si="90"/>
        <v>534608.60879999993</v>
      </c>
      <c r="X241" s="551">
        <f t="shared" si="90"/>
        <v>546285.04055999988</v>
      </c>
      <c r="Y241" s="551">
        <f t="shared" si="90"/>
        <v>557966.13263999997</v>
      </c>
      <c r="Z241" s="551">
        <f t="shared" si="90"/>
        <v>569642.56439999992</v>
      </c>
      <c r="AA241" s="551">
        <f t="shared" si="90"/>
        <v>581323.65647999989</v>
      </c>
      <c r="AB241" s="551">
        <f t="shared" si="90"/>
        <v>593000.08824000007</v>
      </c>
      <c r="AC241" s="551">
        <f t="shared" si="90"/>
        <v>604676.5199999999</v>
      </c>
      <c r="AD241" s="551">
        <f t="shared" si="90"/>
        <v>616357.61207999999</v>
      </c>
      <c r="AE241" s="551">
        <f t="shared" si="90"/>
        <v>628034.04383999994</v>
      </c>
      <c r="AF241" s="551">
        <f t="shared" si="90"/>
        <v>639710.47559999977</v>
      </c>
      <c r="AG241" s="689">
        <f t="shared" si="90"/>
        <v>651391.56767999998</v>
      </c>
      <c r="AH241" s="5"/>
      <c r="AI241" s="5"/>
      <c r="AJ241" s="5"/>
      <c r="AK241" s="5"/>
      <c r="AL241" s="5"/>
      <c r="AM241" s="5"/>
      <c r="AN241" s="5"/>
    </row>
    <row r="242" spans="1:40" ht="21.9" customHeight="1" x14ac:dyDescent="0.25">
      <c r="A242" s="9"/>
      <c r="B242" s="680"/>
      <c r="C242" s="690"/>
      <c r="D242" s="693"/>
      <c r="E242" s="1325" t="s">
        <v>274</v>
      </c>
      <c r="F242" s="217" t="s">
        <v>275</v>
      </c>
      <c r="G242" s="217" t="s">
        <v>318</v>
      </c>
      <c r="H242" s="551">
        <f t="shared" ref="H242:AG242" si="91">H200 * (1-$F$15)</f>
        <v>2541100.7999999998</v>
      </c>
      <c r="I242" s="551">
        <f t="shared" si="91"/>
        <v>2798145.8514239998</v>
      </c>
      <c r="J242" s="551">
        <f t="shared" si="91"/>
        <v>3372828.5028479989</v>
      </c>
      <c r="K242" s="551">
        <f t="shared" si="91"/>
        <v>4527123.5412479993</v>
      </c>
      <c r="L242" s="551">
        <f t="shared" si="91"/>
        <v>5682130.0878719976</v>
      </c>
      <c r="M242" s="551">
        <f t="shared" si="91"/>
        <v>6837009.5794559978</v>
      </c>
      <c r="N242" s="551">
        <f t="shared" si="91"/>
        <v>7991304.6178559978</v>
      </c>
      <c r="O242" s="551">
        <f t="shared" si="91"/>
        <v>9147022.6727039982</v>
      </c>
      <c r="P242" s="551">
        <f t="shared" si="91"/>
        <v>10281065.137727996</v>
      </c>
      <c r="Q242" s="551">
        <f t="shared" si="91"/>
        <v>11415679.350431997</v>
      </c>
      <c r="R242" s="551">
        <f t="shared" si="91"/>
        <v>12549721.815455997</v>
      </c>
      <c r="S242" s="551">
        <f t="shared" si="91"/>
        <v>13683764.280479999</v>
      </c>
      <c r="T242" s="551">
        <f t="shared" si="91"/>
        <v>14819229.761951998</v>
      </c>
      <c r="U242" s="551">
        <f t="shared" si="91"/>
        <v>15372948.331775997</v>
      </c>
      <c r="V242" s="551">
        <f t="shared" si="91"/>
        <v>15629993.383199994</v>
      </c>
      <c r="W242" s="551">
        <f t="shared" si="91"/>
        <v>15887038.434623996</v>
      </c>
      <c r="X242" s="551">
        <f t="shared" si="91"/>
        <v>16144083.486047996</v>
      </c>
      <c r="Y242" s="551">
        <f t="shared" si="91"/>
        <v>16401522.408095995</v>
      </c>
      <c r="Z242" s="551">
        <f t="shared" si="91"/>
        <v>16658567.459519999</v>
      </c>
      <c r="AA242" s="551">
        <f t="shared" si="91"/>
        <v>16916006.381567996</v>
      </c>
      <c r="AB242" s="551">
        <f t="shared" si="91"/>
        <v>17173051.432991993</v>
      </c>
      <c r="AC242" s="551">
        <f t="shared" si="91"/>
        <v>17430096.484415997</v>
      </c>
      <c r="AD242" s="551">
        <f t="shared" si="91"/>
        <v>17687535.406463999</v>
      </c>
      <c r="AE242" s="551">
        <f t="shared" si="91"/>
        <v>17944580.457887996</v>
      </c>
      <c r="AF242" s="551">
        <f t="shared" si="91"/>
        <v>18201625.509311996</v>
      </c>
      <c r="AG242" s="689">
        <f t="shared" si="91"/>
        <v>18459064.431359995</v>
      </c>
      <c r="AH242" s="5"/>
      <c r="AI242" s="5"/>
      <c r="AJ242" s="5"/>
      <c r="AK242" s="5"/>
      <c r="AL242" s="5"/>
      <c r="AM242" s="5"/>
      <c r="AN242" s="5"/>
    </row>
    <row r="243" spans="1:40" ht="21.9" customHeight="1" x14ac:dyDescent="0.25">
      <c r="A243" s="9"/>
      <c r="B243" s="680"/>
      <c r="C243" s="690"/>
      <c r="D243" s="693"/>
      <c r="E243" s="1327"/>
      <c r="F243" s="114" t="s">
        <v>318</v>
      </c>
      <c r="G243" s="114" t="s">
        <v>308</v>
      </c>
      <c r="H243" s="551">
        <f t="shared" ref="H243:AG243" si="92">H201 * (1-$F$15)</f>
        <v>294335.99999999994</v>
      </c>
      <c r="I243" s="551">
        <f t="shared" si="92"/>
        <v>325054.86720000004</v>
      </c>
      <c r="J243" s="551">
        <f t="shared" si="92"/>
        <v>367461.3263999999</v>
      </c>
      <c r="K243" s="551">
        <f t="shared" si="92"/>
        <v>445337.72639999993</v>
      </c>
      <c r="L243" s="551">
        <f t="shared" si="92"/>
        <v>523236.20159999997</v>
      </c>
      <c r="M243" s="551">
        <f t="shared" si="92"/>
        <v>601149.39360000007</v>
      </c>
      <c r="N243" s="551">
        <f t="shared" si="92"/>
        <v>679025.79359999986</v>
      </c>
      <c r="O243" s="551">
        <f t="shared" si="92"/>
        <v>756973.32480000006</v>
      </c>
      <c r="P243" s="551">
        <f t="shared" si="92"/>
        <v>869051.56799999985</v>
      </c>
      <c r="Q243" s="551">
        <f t="shared" si="92"/>
        <v>981154.33919999981</v>
      </c>
      <c r="R243" s="551">
        <f t="shared" si="92"/>
        <v>1093210.5071999999</v>
      </c>
      <c r="S243" s="551">
        <f t="shared" si="92"/>
        <v>1205288.7504</v>
      </c>
      <c r="T243" s="551">
        <f t="shared" si="92"/>
        <v>1317438.1248000001</v>
      </c>
      <c r="U243" s="551">
        <f t="shared" si="92"/>
        <v>1393975.2959999999</v>
      </c>
      <c r="V243" s="551">
        <f t="shared" si="92"/>
        <v>1424694.1631999998</v>
      </c>
      <c r="W243" s="551">
        <f t="shared" si="92"/>
        <v>1455413.0304</v>
      </c>
      <c r="X243" s="551">
        <f t="shared" si="92"/>
        <v>1486131.8975999998</v>
      </c>
      <c r="Y243" s="551">
        <f t="shared" si="92"/>
        <v>1516872.84</v>
      </c>
      <c r="Z243" s="551">
        <f t="shared" si="92"/>
        <v>1547591.7071999998</v>
      </c>
      <c r="AA243" s="551">
        <f t="shared" si="92"/>
        <v>1578332.6496000001</v>
      </c>
      <c r="AB243" s="551">
        <f t="shared" si="92"/>
        <v>1609051.5168000001</v>
      </c>
      <c r="AC243" s="551">
        <f t="shared" si="92"/>
        <v>1639770.3839999998</v>
      </c>
      <c r="AD243" s="551">
        <f t="shared" si="92"/>
        <v>1670511.3263999999</v>
      </c>
      <c r="AE243" s="551">
        <f t="shared" si="92"/>
        <v>1701230.1935999996</v>
      </c>
      <c r="AF243" s="551">
        <f t="shared" si="92"/>
        <v>1731949.0608000001</v>
      </c>
      <c r="AG243" s="689">
        <f t="shared" si="92"/>
        <v>1762690.0031999995</v>
      </c>
      <c r="AH243" s="5"/>
      <c r="AI243" s="5"/>
      <c r="AJ243" s="5"/>
      <c r="AK243" s="5"/>
      <c r="AL243" s="5"/>
      <c r="AM243" s="5"/>
      <c r="AN243" s="5"/>
    </row>
    <row r="244" spans="1:40" ht="21.9" customHeight="1" x14ac:dyDescent="0.25">
      <c r="A244" s="9"/>
      <c r="B244" s="680"/>
      <c r="C244" s="690"/>
      <c r="D244" s="693"/>
      <c r="E244" s="1339"/>
      <c r="F244" s="250" t="s">
        <v>308</v>
      </c>
      <c r="G244" s="250" t="s">
        <v>319</v>
      </c>
      <c r="H244" s="551">
        <f t="shared" ref="H244:AG244" si="93">H202 * (1-$F$15)</f>
        <v>3944102.3999999994</v>
      </c>
      <c r="I244" s="551">
        <f t="shared" si="93"/>
        <v>4054550.4142079996</v>
      </c>
      <c r="J244" s="551">
        <f t="shared" si="93"/>
        <v>4211946.3939840002</v>
      </c>
      <c r="K244" s="551">
        <f t="shared" si="93"/>
        <v>4432855.5694080004</v>
      </c>
      <c r="L244" s="551">
        <f t="shared" si="93"/>
        <v>4653856.7738879984</v>
      </c>
      <c r="M244" s="551">
        <f t="shared" si="93"/>
        <v>4874838.2578560011</v>
      </c>
      <c r="N244" s="551">
        <f t="shared" si="93"/>
        <v>5095747.4332800005</v>
      </c>
      <c r="O244" s="551">
        <f t="shared" si="93"/>
        <v>5316834.0933119999</v>
      </c>
      <c r="P244" s="551">
        <f t="shared" si="93"/>
        <v>5540017.7011199985</v>
      </c>
      <c r="Q244" s="551">
        <f t="shared" si="93"/>
        <v>5763267.0439680004</v>
      </c>
      <c r="R244" s="551">
        <f t="shared" si="93"/>
        <v>5986430.9312639991</v>
      </c>
      <c r="S244" s="551">
        <f t="shared" si="93"/>
        <v>6209614.5390720004</v>
      </c>
      <c r="T244" s="551">
        <f t="shared" si="93"/>
        <v>6432975.631488</v>
      </c>
      <c r="U244" s="551">
        <f t="shared" si="93"/>
        <v>6592540.8675840003</v>
      </c>
      <c r="V244" s="551">
        <f t="shared" si="93"/>
        <v>6702988.8817919986</v>
      </c>
      <c r="W244" s="551">
        <f t="shared" si="93"/>
        <v>6813436.8959999997</v>
      </c>
      <c r="X244" s="551">
        <f t="shared" si="93"/>
        <v>6923884.9102079989</v>
      </c>
      <c r="Y244" s="551">
        <f t="shared" si="93"/>
        <v>7034385.5124479998</v>
      </c>
      <c r="Z244" s="551">
        <f t="shared" si="93"/>
        <v>7144833.5266559999</v>
      </c>
      <c r="AA244" s="551">
        <f t="shared" si="93"/>
        <v>7255334.1288959999</v>
      </c>
      <c r="AB244" s="551">
        <f t="shared" si="93"/>
        <v>7365782.1431039991</v>
      </c>
      <c r="AC244" s="551">
        <f t="shared" si="93"/>
        <v>7476230.1573120002</v>
      </c>
      <c r="AD244" s="551">
        <f t="shared" si="93"/>
        <v>7586730.7595519992</v>
      </c>
      <c r="AE244" s="551">
        <f t="shared" si="93"/>
        <v>7697178.7737599984</v>
      </c>
      <c r="AF244" s="551">
        <f t="shared" si="93"/>
        <v>7807626.7879679995</v>
      </c>
      <c r="AG244" s="689">
        <f t="shared" si="93"/>
        <v>7918127.3902079994</v>
      </c>
      <c r="AH244" s="5"/>
      <c r="AI244" s="5"/>
      <c r="AJ244" s="5"/>
      <c r="AK244" s="5"/>
      <c r="AL244" s="5"/>
      <c r="AM244" s="5"/>
      <c r="AN244" s="5"/>
    </row>
    <row r="245" spans="1:40" ht="21.9" customHeight="1" x14ac:dyDescent="0.25">
      <c r="A245" s="9"/>
      <c r="B245" s="680"/>
      <c r="C245" s="690"/>
      <c r="D245" s="693"/>
      <c r="E245" s="114" t="s">
        <v>320</v>
      </c>
      <c r="F245" s="114" t="s">
        <v>318</v>
      </c>
      <c r="G245" s="114" t="s">
        <v>308</v>
      </c>
      <c r="H245" s="551">
        <f t="shared" ref="H245:AG245" si="94">H203 * (1-$F$15)</f>
        <v>11528.159999999998</v>
      </c>
      <c r="I245" s="551">
        <f t="shared" si="94"/>
        <v>87371.924639999997</v>
      </c>
      <c r="J245" s="551">
        <f t="shared" si="94"/>
        <v>506189.97743999987</v>
      </c>
      <c r="K245" s="551">
        <f t="shared" si="94"/>
        <v>1165877.4052799998</v>
      </c>
      <c r="L245" s="551">
        <f t="shared" si="94"/>
        <v>1825979.8468799999</v>
      </c>
      <c r="M245" s="551">
        <f t="shared" si="94"/>
        <v>2486116.8729600003</v>
      </c>
      <c r="N245" s="551">
        <f t="shared" si="94"/>
        <v>3145804.3007999999</v>
      </c>
      <c r="O245" s="551">
        <f t="shared" si="94"/>
        <v>3806367.8687999998</v>
      </c>
      <c r="P245" s="551">
        <f t="shared" si="94"/>
        <v>4177274.8886399991</v>
      </c>
      <c r="Q245" s="551">
        <f t="shared" si="94"/>
        <v>4548320.2463999996</v>
      </c>
      <c r="R245" s="551">
        <f t="shared" si="94"/>
        <v>4919331.0196799999</v>
      </c>
      <c r="S245" s="551">
        <f t="shared" si="94"/>
        <v>5290238.0395199992</v>
      </c>
      <c r="T245" s="551">
        <f t="shared" si="94"/>
        <v>5662021.1995200012</v>
      </c>
      <c r="U245" s="551">
        <f t="shared" si="94"/>
        <v>5791701.4713600008</v>
      </c>
      <c r="V245" s="551">
        <f t="shared" si="94"/>
        <v>5867545.2359999996</v>
      </c>
      <c r="W245" s="551">
        <f t="shared" si="94"/>
        <v>5943389.0006400002</v>
      </c>
      <c r="X245" s="551">
        <f t="shared" si="94"/>
        <v>6019232.7652800009</v>
      </c>
      <c r="Y245" s="551">
        <f t="shared" si="94"/>
        <v>6095376.2620799998</v>
      </c>
      <c r="Z245" s="551">
        <f t="shared" si="94"/>
        <v>6171220.0267200004</v>
      </c>
      <c r="AA245" s="551">
        <f t="shared" si="94"/>
        <v>6247363.5235200021</v>
      </c>
      <c r="AB245" s="551">
        <f t="shared" si="94"/>
        <v>6323207.28816</v>
      </c>
      <c r="AC245" s="551">
        <f t="shared" si="94"/>
        <v>6399051.0528000006</v>
      </c>
      <c r="AD245" s="551">
        <f t="shared" si="94"/>
        <v>6475194.5496000024</v>
      </c>
      <c r="AE245" s="551">
        <f t="shared" si="94"/>
        <v>6551038.3142399993</v>
      </c>
      <c r="AF245" s="551">
        <f t="shared" si="94"/>
        <v>6626882.0788799999</v>
      </c>
      <c r="AG245" s="689">
        <f t="shared" si="94"/>
        <v>6703025.5756800016</v>
      </c>
      <c r="AH245" s="5"/>
      <c r="AI245" s="5"/>
      <c r="AJ245" s="5"/>
      <c r="AK245" s="5"/>
      <c r="AL245" s="5"/>
      <c r="AM245" s="5"/>
      <c r="AN245" s="5"/>
    </row>
    <row r="246" spans="1:40" ht="21.9" customHeight="1" x14ac:dyDescent="0.25">
      <c r="A246" s="9"/>
      <c r="B246" s="680"/>
      <c r="C246" s="690"/>
      <c r="D246" s="693"/>
      <c r="E246" s="1325" t="s">
        <v>308</v>
      </c>
      <c r="F246" s="217" t="s">
        <v>276</v>
      </c>
      <c r="G246" s="217" t="s">
        <v>320</v>
      </c>
      <c r="H246" s="551">
        <f t="shared" ref="H246:AG246" si="95">H204 * (1-$F$15)</f>
        <v>33112.799999999996</v>
      </c>
      <c r="I246" s="551">
        <f t="shared" si="95"/>
        <v>73593.197999999989</v>
      </c>
      <c r="J246" s="551">
        <f t="shared" si="95"/>
        <v>311045.08679999999</v>
      </c>
      <c r="K246" s="551">
        <f t="shared" si="95"/>
        <v>699209.8848</v>
      </c>
      <c r="L246" s="551">
        <f t="shared" si="95"/>
        <v>1087589.9160000002</v>
      </c>
      <c r="M246" s="551">
        <f t="shared" si="95"/>
        <v>1475986.5035999995</v>
      </c>
      <c r="N246" s="551">
        <f t="shared" si="95"/>
        <v>1864151.3015999999</v>
      </c>
      <c r="O246" s="551">
        <f t="shared" si="95"/>
        <v>2252763.1223999998</v>
      </c>
      <c r="P246" s="551">
        <f t="shared" si="95"/>
        <v>2552433.9624000001</v>
      </c>
      <c r="Q246" s="551">
        <f t="shared" si="95"/>
        <v>2852154.4716000003</v>
      </c>
      <c r="R246" s="551">
        <f t="shared" si="95"/>
        <v>3151825.3115999997</v>
      </c>
      <c r="S246" s="551">
        <f t="shared" si="95"/>
        <v>3451496.1515999995</v>
      </c>
      <c r="T246" s="551">
        <f t="shared" si="95"/>
        <v>3751564.3451999999</v>
      </c>
      <c r="U246" s="551">
        <f t="shared" si="95"/>
        <v>3900290.4863999998</v>
      </c>
      <c r="V246" s="551">
        <f t="shared" si="95"/>
        <v>3940770.8843999999</v>
      </c>
      <c r="W246" s="551">
        <f t="shared" si="95"/>
        <v>3981251.2823999999</v>
      </c>
      <c r="X246" s="551">
        <f t="shared" si="95"/>
        <v>4021731.6803999995</v>
      </c>
      <c r="Y246" s="551">
        <f t="shared" si="95"/>
        <v>4062327.9732000004</v>
      </c>
      <c r="Z246" s="551">
        <f t="shared" si="95"/>
        <v>4102808.3711999999</v>
      </c>
      <c r="AA246" s="551">
        <f t="shared" si="95"/>
        <v>4143404.6639999989</v>
      </c>
      <c r="AB246" s="551">
        <f t="shared" si="95"/>
        <v>4183885.061999999</v>
      </c>
      <c r="AC246" s="551">
        <f t="shared" si="95"/>
        <v>4224365.459999999</v>
      </c>
      <c r="AD246" s="551">
        <f t="shared" si="95"/>
        <v>4264961.752799999</v>
      </c>
      <c r="AE246" s="551">
        <f t="shared" si="95"/>
        <v>4305442.150799999</v>
      </c>
      <c r="AF246" s="551">
        <f t="shared" si="95"/>
        <v>4345922.5487999991</v>
      </c>
      <c r="AG246" s="689">
        <f t="shared" si="95"/>
        <v>4386518.8415999999</v>
      </c>
      <c r="AH246" s="5"/>
      <c r="AI246" s="5"/>
      <c r="AJ246" s="5"/>
      <c r="AK246" s="5"/>
      <c r="AL246" s="5"/>
      <c r="AM246" s="5"/>
      <c r="AN246" s="5"/>
    </row>
    <row r="247" spans="1:40" ht="21.9" customHeight="1" x14ac:dyDescent="0.25">
      <c r="A247" s="9"/>
      <c r="B247" s="680"/>
      <c r="C247" s="690"/>
      <c r="D247" s="693"/>
      <c r="E247" s="1327"/>
      <c r="F247" s="114" t="s">
        <v>320</v>
      </c>
      <c r="G247" s="114" t="s">
        <v>282</v>
      </c>
      <c r="H247" s="551">
        <f t="shared" ref="H247:AG247" si="96">H205 * (1-$F$15)</f>
        <v>0</v>
      </c>
      <c r="I247" s="551">
        <f t="shared" si="96"/>
        <v>22526.515200000002</v>
      </c>
      <c r="J247" s="551">
        <f t="shared" si="96"/>
        <v>64513.055039999999</v>
      </c>
      <c r="K247" s="551">
        <f t="shared" si="96"/>
        <v>145021.30944000001</v>
      </c>
      <c r="L247" s="551">
        <f t="shared" si="96"/>
        <v>225574.20480000004</v>
      </c>
      <c r="M247" s="551">
        <f t="shared" si="96"/>
        <v>306130.5340799999</v>
      </c>
      <c r="N247" s="551">
        <f t="shared" si="96"/>
        <v>386638.78847999999</v>
      </c>
      <c r="O247" s="551">
        <f t="shared" si="96"/>
        <v>467239.75871999998</v>
      </c>
      <c r="P247" s="551">
        <f t="shared" si="96"/>
        <v>529393.71072000009</v>
      </c>
      <c r="Q247" s="551">
        <f t="shared" si="96"/>
        <v>591557.96448000008</v>
      </c>
      <c r="R247" s="551">
        <f t="shared" si="96"/>
        <v>653711.9164799999</v>
      </c>
      <c r="S247" s="551">
        <f t="shared" si="96"/>
        <v>715865.86847999995</v>
      </c>
      <c r="T247" s="551">
        <f t="shared" si="96"/>
        <v>778102.23456000001</v>
      </c>
      <c r="U247" s="551">
        <f t="shared" si="96"/>
        <v>808949.13792000001</v>
      </c>
      <c r="V247" s="551">
        <f t="shared" si="96"/>
        <v>817345.07231999992</v>
      </c>
      <c r="W247" s="551">
        <f t="shared" si="96"/>
        <v>825741.00671999995</v>
      </c>
      <c r="X247" s="551">
        <f t="shared" si="96"/>
        <v>834136.94112000009</v>
      </c>
      <c r="Y247" s="551">
        <f t="shared" si="96"/>
        <v>842556.91296000022</v>
      </c>
      <c r="Z247" s="551">
        <f t="shared" si="96"/>
        <v>850952.84736000001</v>
      </c>
      <c r="AA247" s="551">
        <f t="shared" si="96"/>
        <v>859372.81919999979</v>
      </c>
      <c r="AB247" s="551">
        <f t="shared" si="96"/>
        <v>867768.75359999982</v>
      </c>
      <c r="AC247" s="551">
        <f t="shared" si="96"/>
        <v>876164.68799999973</v>
      </c>
      <c r="AD247" s="551">
        <f t="shared" si="96"/>
        <v>884584.65983999986</v>
      </c>
      <c r="AE247" s="551">
        <f t="shared" si="96"/>
        <v>892980.59423999989</v>
      </c>
      <c r="AF247" s="551">
        <f t="shared" si="96"/>
        <v>901376.5286399998</v>
      </c>
      <c r="AG247" s="689">
        <f t="shared" si="96"/>
        <v>909796.50047999993</v>
      </c>
      <c r="AH247" s="5"/>
      <c r="AI247" s="5"/>
      <c r="AJ247" s="5"/>
      <c r="AK247" s="5"/>
      <c r="AL247" s="5"/>
      <c r="AM247" s="5"/>
      <c r="AN247" s="5"/>
    </row>
    <row r="248" spans="1:40" ht="21.9" customHeight="1" x14ac:dyDescent="0.25">
      <c r="A248" s="9"/>
      <c r="B248" s="680"/>
      <c r="C248" s="690"/>
      <c r="D248" s="693"/>
      <c r="E248" s="1327"/>
      <c r="F248" s="114" t="s">
        <v>282</v>
      </c>
      <c r="G248" s="114" t="s">
        <v>321</v>
      </c>
      <c r="H248" s="551">
        <f t="shared" ref="H248:AG248" si="97">H206 * (1-$F$15)</f>
        <v>0</v>
      </c>
      <c r="I248" s="551">
        <f t="shared" si="97"/>
        <v>58729.843199999988</v>
      </c>
      <c r="J248" s="551">
        <f t="shared" si="97"/>
        <v>168194.75063999998</v>
      </c>
      <c r="K248" s="551">
        <f t="shared" si="97"/>
        <v>378091.27103999991</v>
      </c>
      <c r="L248" s="551">
        <f t="shared" si="97"/>
        <v>588104.17680000002</v>
      </c>
      <c r="M248" s="551">
        <f t="shared" si="97"/>
        <v>798126.0352799996</v>
      </c>
      <c r="N248" s="551">
        <f t="shared" si="97"/>
        <v>1008022.5556799999</v>
      </c>
      <c r="O248" s="551">
        <f t="shared" si="97"/>
        <v>1218160.7995199999</v>
      </c>
      <c r="P248" s="551">
        <f t="shared" si="97"/>
        <v>1380205.0315200002</v>
      </c>
      <c r="Q248" s="551">
        <f t="shared" si="97"/>
        <v>1542276.1216800001</v>
      </c>
      <c r="R248" s="551">
        <f t="shared" si="97"/>
        <v>1704320.3536799995</v>
      </c>
      <c r="S248" s="551">
        <f t="shared" si="97"/>
        <v>1866364.5856799996</v>
      </c>
      <c r="T248" s="551">
        <f t="shared" si="97"/>
        <v>2028623.6829599997</v>
      </c>
      <c r="U248" s="551">
        <f t="shared" si="97"/>
        <v>2109045.9667199994</v>
      </c>
      <c r="V248" s="551">
        <f t="shared" si="97"/>
        <v>2130935.3671199996</v>
      </c>
      <c r="W248" s="551">
        <f t="shared" si="97"/>
        <v>2152824.7675199998</v>
      </c>
      <c r="X248" s="551">
        <f t="shared" si="97"/>
        <v>2174714.1679199999</v>
      </c>
      <c r="Y248" s="551">
        <f t="shared" si="97"/>
        <v>2196666.2373600001</v>
      </c>
      <c r="Z248" s="551">
        <f t="shared" si="97"/>
        <v>2218555.6377599998</v>
      </c>
      <c r="AA248" s="551">
        <f t="shared" si="97"/>
        <v>2240507.7071999991</v>
      </c>
      <c r="AB248" s="551">
        <f t="shared" si="97"/>
        <v>2262397.1075999993</v>
      </c>
      <c r="AC248" s="551">
        <f t="shared" si="97"/>
        <v>2284286.507999999</v>
      </c>
      <c r="AD248" s="551">
        <f t="shared" si="97"/>
        <v>2306238.5774399992</v>
      </c>
      <c r="AE248" s="551">
        <f t="shared" si="97"/>
        <v>2328127.9778399994</v>
      </c>
      <c r="AF248" s="551">
        <f t="shared" si="97"/>
        <v>2350017.3782399995</v>
      </c>
      <c r="AG248" s="689">
        <f t="shared" si="97"/>
        <v>2371969.4476799998</v>
      </c>
      <c r="AH248" s="5"/>
      <c r="AI248" s="5"/>
      <c r="AJ248" s="5"/>
      <c r="AK248" s="5"/>
      <c r="AL248" s="5"/>
      <c r="AM248" s="5"/>
      <c r="AN248" s="5"/>
    </row>
    <row r="249" spans="1:40" ht="21.9" customHeight="1" x14ac:dyDescent="0.25">
      <c r="A249" s="9"/>
      <c r="B249" s="680"/>
      <c r="C249" s="690"/>
      <c r="D249" s="693"/>
      <c r="E249" s="1339"/>
      <c r="F249" s="250" t="s">
        <v>321</v>
      </c>
      <c r="G249" s="250" t="s">
        <v>274</v>
      </c>
      <c r="H249" s="551">
        <f t="shared" ref="H249:AG249" si="98">H207 * (1-$F$15)</f>
        <v>77263.199999999997</v>
      </c>
      <c r="I249" s="551">
        <f t="shared" si="98"/>
        <v>115176.25224</v>
      </c>
      <c r="J249" s="551">
        <f t="shared" si="98"/>
        <v>162160.00416000001</v>
      </c>
      <c r="K249" s="551">
        <f t="shared" si="98"/>
        <v>280934.14607999998</v>
      </c>
      <c r="L249" s="551">
        <f t="shared" si="98"/>
        <v>399721.16519999993</v>
      </c>
      <c r="M249" s="551">
        <f t="shared" si="98"/>
        <v>518567.41943999997</v>
      </c>
      <c r="N249" s="551">
        <f t="shared" si="98"/>
        <v>637341.56135999993</v>
      </c>
      <c r="O249" s="551">
        <f t="shared" si="98"/>
        <v>756077.07167999994</v>
      </c>
      <c r="P249" s="551">
        <f t="shared" si="98"/>
        <v>1058307.5311199999</v>
      </c>
      <c r="Q249" s="551">
        <f t="shared" si="98"/>
        <v>1360419.5203199999</v>
      </c>
      <c r="R249" s="551">
        <f t="shared" si="98"/>
        <v>1662508.3305599999</v>
      </c>
      <c r="S249" s="551">
        <f t="shared" si="98"/>
        <v>1964738.7899999998</v>
      </c>
      <c r="T249" s="551">
        <f t="shared" si="98"/>
        <v>2266930.6178400004</v>
      </c>
      <c r="U249" s="551">
        <f t="shared" si="98"/>
        <v>2497280.5468800003</v>
      </c>
      <c r="V249" s="551">
        <f t="shared" si="98"/>
        <v>2535193.5991199999</v>
      </c>
      <c r="W249" s="551">
        <f t="shared" si="98"/>
        <v>2573106.65136</v>
      </c>
      <c r="X249" s="551">
        <f t="shared" si="98"/>
        <v>2611019.7036000001</v>
      </c>
      <c r="Y249" s="551">
        <f t="shared" si="98"/>
        <v>2648816.8610399999</v>
      </c>
      <c r="Z249" s="551">
        <f t="shared" si="98"/>
        <v>2686729.91328</v>
      </c>
      <c r="AA249" s="551">
        <f t="shared" si="98"/>
        <v>2724527.0707199997</v>
      </c>
      <c r="AB249" s="551">
        <f t="shared" si="98"/>
        <v>2762440.1229599998</v>
      </c>
      <c r="AC249" s="551">
        <f t="shared" si="98"/>
        <v>2800353.1751999999</v>
      </c>
      <c r="AD249" s="551">
        <f t="shared" si="98"/>
        <v>2838150.3326399997</v>
      </c>
      <c r="AE249" s="551">
        <f t="shared" si="98"/>
        <v>2876063.3848799998</v>
      </c>
      <c r="AF249" s="551">
        <f t="shared" si="98"/>
        <v>2913976.4371199999</v>
      </c>
      <c r="AG249" s="689">
        <f t="shared" si="98"/>
        <v>2951773.5945600001</v>
      </c>
      <c r="AH249" s="5"/>
      <c r="AI249" s="5"/>
      <c r="AJ249" s="5"/>
      <c r="AK249" s="5"/>
      <c r="AL249" s="5"/>
      <c r="AM249" s="5"/>
      <c r="AN249" s="5"/>
    </row>
    <row r="250" spans="1:40" ht="21.9" customHeight="1" x14ac:dyDescent="0.25">
      <c r="A250" s="9"/>
      <c r="B250" s="680"/>
      <c r="C250" s="690"/>
      <c r="D250" s="693"/>
      <c r="E250" s="114" t="s">
        <v>282</v>
      </c>
      <c r="F250" s="114" t="s">
        <v>308</v>
      </c>
      <c r="G250" s="114" t="s">
        <v>324</v>
      </c>
      <c r="H250" s="551">
        <f t="shared" ref="H250:AG250" si="99">H208 * (1-$F$15)</f>
        <v>441503.99999999994</v>
      </c>
      <c r="I250" s="551">
        <f t="shared" si="99"/>
        <v>468651.59039999999</v>
      </c>
      <c r="J250" s="551">
        <f t="shared" si="99"/>
        <v>504577.75199999992</v>
      </c>
      <c r="K250" s="551">
        <f t="shared" si="99"/>
        <v>552321.50399999984</v>
      </c>
      <c r="L250" s="551">
        <f t="shared" si="99"/>
        <v>600079.97279999987</v>
      </c>
      <c r="M250" s="551">
        <f t="shared" si="99"/>
        <v>647941.45920000004</v>
      </c>
      <c r="N250" s="551">
        <f t="shared" si="99"/>
        <v>695685.21119999979</v>
      </c>
      <c r="O250" s="551">
        <f t="shared" si="99"/>
        <v>743480.47199999972</v>
      </c>
      <c r="P250" s="551">
        <f t="shared" si="99"/>
        <v>787061.82239999983</v>
      </c>
      <c r="Q250" s="551">
        <f t="shared" si="99"/>
        <v>830606.38080000004</v>
      </c>
      <c r="R250" s="551">
        <f t="shared" si="99"/>
        <v>874190.18399999989</v>
      </c>
      <c r="S250" s="551">
        <f t="shared" si="99"/>
        <v>917771.53439999989</v>
      </c>
      <c r="T250" s="551">
        <f t="shared" si="99"/>
        <v>961507.41119999997</v>
      </c>
      <c r="U250" s="551">
        <f t="shared" si="99"/>
        <v>993236.83199999994</v>
      </c>
      <c r="V250" s="551">
        <f t="shared" si="99"/>
        <v>1020384.4223999998</v>
      </c>
      <c r="W250" s="551">
        <f t="shared" si="99"/>
        <v>1047532.0127999997</v>
      </c>
      <c r="X250" s="551">
        <f t="shared" si="99"/>
        <v>1074679.6031999998</v>
      </c>
      <c r="Y250" s="551">
        <f t="shared" si="99"/>
        <v>1101856.6271999998</v>
      </c>
      <c r="Z250" s="551">
        <f t="shared" si="99"/>
        <v>1129004.2175999996</v>
      </c>
      <c r="AA250" s="551">
        <f t="shared" si="99"/>
        <v>1156218.0336</v>
      </c>
      <c r="AB250" s="551">
        <f t="shared" si="99"/>
        <v>1183365.6239999998</v>
      </c>
      <c r="AC250" s="551">
        <f t="shared" si="99"/>
        <v>1210513.2143999999</v>
      </c>
      <c r="AD250" s="551">
        <f t="shared" si="99"/>
        <v>1237690.2383999994</v>
      </c>
      <c r="AE250" s="551">
        <f t="shared" si="99"/>
        <v>1264837.8287999998</v>
      </c>
      <c r="AF250" s="551">
        <f t="shared" si="99"/>
        <v>1291985.4191999999</v>
      </c>
      <c r="AG250" s="689">
        <f t="shared" si="99"/>
        <v>1319199.2351999995</v>
      </c>
      <c r="AH250" s="5"/>
      <c r="AI250" s="5"/>
      <c r="AJ250" s="5"/>
      <c r="AK250" s="5"/>
      <c r="AL250" s="5"/>
      <c r="AM250" s="5"/>
      <c r="AN250" s="5"/>
    </row>
    <row r="251" spans="1:40" ht="21.9" customHeight="1" x14ac:dyDescent="0.25">
      <c r="A251" s="9"/>
      <c r="B251" s="680"/>
      <c r="C251" s="690"/>
      <c r="D251" s="693"/>
      <c r="E251" s="273" t="s">
        <v>321</v>
      </c>
      <c r="F251" s="273" t="s">
        <v>318</v>
      </c>
      <c r="G251" s="273" t="s">
        <v>308</v>
      </c>
      <c r="H251" s="551">
        <f t="shared" ref="H251:AG251" si="100">H209 * (1-$F$15)</f>
        <v>0</v>
      </c>
      <c r="I251" s="551">
        <f t="shared" si="100"/>
        <v>0</v>
      </c>
      <c r="J251" s="551">
        <f t="shared" si="100"/>
        <v>0</v>
      </c>
      <c r="K251" s="551">
        <f t="shared" si="100"/>
        <v>0</v>
      </c>
      <c r="L251" s="551">
        <f t="shared" si="100"/>
        <v>0</v>
      </c>
      <c r="M251" s="551">
        <f t="shared" si="100"/>
        <v>0</v>
      </c>
      <c r="N251" s="551">
        <f t="shared" si="100"/>
        <v>0</v>
      </c>
      <c r="O251" s="551">
        <f t="shared" si="100"/>
        <v>0</v>
      </c>
      <c r="P251" s="551">
        <f t="shared" si="100"/>
        <v>0</v>
      </c>
      <c r="Q251" s="551">
        <f t="shared" si="100"/>
        <v>0</v>
      </c>
      <c r="R251" s="551">
        <f t="shared" si="100"/>
        <v>0</v>
      </c>
      <c r="S251" s="551">
        <f t="shared" si="100"/>
        <v>0</v>
      </c>
      <c r="T251" s="551">
        <f t="shared" si="100"/>
        <v>0</v>
      </c>
      <c r="U251" s="551">
        <f t="shared" si="100"/>
        <v>0</v>
      </c>
      <c r="V251" s="551">
        <f t="shared" si="100"/>
        <v>0</v>
      </c>
      <c r="W251" s="551">
        <f t="shared" si="100"/>
        <v>0</v>
      </c>
      <c r="X251" s="551">
        <f t="shared" si="100"/>
        <v>0</v>
      </c>
      <c r="Y251" s="551">
        <f t="shared" si="100"/>
        <v>0</v>
      </c>
      <c r="Z251" s="551">
        <f t="shared" si="100"/>
        <v>0</v>
      </c>
      <c r="AA251" s="551">
        <f t="shared" si="100"/>
        <v>0</v>
      </c>
      <c r="AB251" s="551">
        <f t="shared" si="100"/>
        <v>0</v>
      </c>
      <c r="AC251" s="551">
        <f t="shared" si="100"/>
        <v>0</v>
      </c>
      <c r="AD251" s="551">
        <f t="shared" si="100"/>
        <v>0</v>
      </c>
      <c r="AE251" s="551">
        <f t="shared" si="100"/>
        <v>0</v>
      </c>
      <c r="AF251" s="551">
        <f t="shared" si="100"/>
        <v>0</v>
      </c>
      <c r="AG251" s="689">
        <f t="shared" si="100"/>
        <v>0</v>
      </c>
      <c r="AH251" s="5"/>
      <c r="AI251" s="5"/>
      <c r="AJ251" s="5"/>
      <c r="AK251" s="5"/>
      <c r="AL251" s="5"/>
      <c r="AM251" s="5"/>
      <c r="AN251" s="5"/>
    </row>
    <row r="252" spans="1:40" ht="21.9" customHeight="1" x14ac:dyDescent="0.25">
      <c r="A252" s="9"/>
      <c r="B252" s="680"/>
      <c r="C252" s="690"/>
      <c r="D252" s="693"/>
      <c r="E252" s="273" t="s">
        <v>333</v>
      </c>
      <c r="F252" s="273" t="s">
        <v>319</v>
      </c>
      <c r="G252" s="273" t="s">
        <v>308</v>
      </c>
      <c r="H252" s="551">
        <f t="shared" ref="H252:AG252" si="101">H210 * (1-$F$15)</f>
        <v>818789.23636363621</v>
      </c>
      <c r="I252" s="551">
        <f t="shared" si="101"/>
        <v>830031.66746181797</v>
      </c>
      <c r="J252" s="551">
        <f t="shared" si="101"/>
        <v>849464.26533818175</v>
      </c>
      <c r="K252" s="551">
        <f t="shared" si="101"/>
        <v>876143.14795636362</v>
      </c>
      <c r="L252" s="551">
        <f t="shared" si="101"/>
        <v>902833.40264727268</v>
      </c>
      <c r="M252" s="551">
        <f t="shared" si="101"/>
        <v>929562.32238545443</v>
      </c>
      <c r="N252" s="551">
        <f t="shared" si="101"/>
        <v>956241.20500363631</v>
      </c>
      <c r="O252" s="551">
        <f t="shared" si="101"/>
        <v>983013.33861818176</v>
      </c>
      <c r="P252" s="551">
        <f t="shared" si="101"/>
        <v>1001579.3845527273</v>
      </c>
      <c r="Q252" s="551">
        <f t="shared" si="101"/>
        <v>1020147.704901818</v>
      </c>
      <c r="R252" s="551">
        <f t="shared" si="101"/>
        <v>1038718.2996654544</v>
      </c>
      <c r="S252" s="551">
        <f t="shared" si="101"/>
        <v>1057284.3456000001</v>
      </c>
      <c r="T252" s="551">
        <f t="shared" si="101"/>
        <v>1075982.3075781816</v>
      </c>
      <c r="U252" s="551">
        <f t="shared" si="101"/>
        <v>1087224.7386763634</v>
      </c>
      <c r="V252" s="551">
        <f t="shared" si="101"/>
        <v>1098467.1697745451</v>
      </c>
      <c r="W252" s="551">
        <f t="shared" si="101"/>
        <v>1109709.6008727273</v>
      </c>
      <c r="X252" s="551">
        <f t="shared" si="101"/>
        <v>1120952.0319709086</v>
      </c>
      <c r="Y252" s="551">
        <f t="shared" si="101"/>
        <v>1132271.7931636362</v>
      </c>
      <c r="Z252" s="551">
        <f t="shared" si="101"/>
        <v>1143514.224261818</v>
      </c>
      <c r="AA252" s="551">
        <f t="shared" si="101"/>
        <v>1154799.8692363636</v>
      </c>
      <c r="AB252" s="551">
        <f t="shared" si="101"/>
        <v>1166042.3003345453</v>
      </c>
      <c r="AC252" s="551">
        <f t="shared" si="101"/>
        <v>1177284.7314327273</v>
      </c>
      <c r="AD252" s="551">
        <f t="shared" si="101"/>
        <v>1188604.4926254544</v>
      </c>
      <c r="AE252" s="551">
        <f t="shared" si="101"/>
        <v>1199846.9237236364</v>
      </c>
      <c r="AF252" s="551">
        <f t="shared" si="101"/>
        <v>1211089.3548218179</v>
      </c>
      <c r="AG252" s="689">
        <f t="shared" si="101"/>
        <v>1222374.9997963635</v>
      </c>
      <c r="AH252" s="5"/>
      <c r="AI252" s="5"/>
      <c r="AJ252" s="5"/>
      <c r="AK252" s="5"/>
      <c r="AL252" s="5"/>
      <c r="AM252" s="5"/>
      <c r="AN252" s="5"/>
    </row>
    <row r="253" spans="1:40" ht="21.9" customHeight="1" x14ac:dyDescent="0.25">
      <c r="A253" s="9"/>
      <c r="B253" s="680"/>
      <c r="C253" s="690"/>
      <c r="D253" s="693"/>
      <c r="E253" s="114" t="s">
        <v>319</v>
      </c>
      <c r="F253" s="114" t="s">
        <v>276</v>
      </c>
      <c r="G253" s="114" t="s">
        <v>333</v>
      </c>
      <c r="H253" s="551">
        <f t="shared" ref="H253:AG253" si="102">H211 * (1-$F$15)</f>
        <v>2940572.7272727275</v>
      </c>
      <c r="I253" s="551">
        <f t="shared" si="102"/>
        <v>3025340.6172818188</v>
      </c>
      <c r="J253" s="551">
        <f t="shared" si="102"/>
        <v>3117092.3675181819</v>
      </c>
      <c r="K253" s="551">
        <f t="shared" si="102"/>
        <v>3238817.375563636</v>
      </c>
      <c r="L253" s="551">
        <f t="shared" si="102"/>
        <v>3360562.9676181814</v>
      </c>
      <c r="M253" s="551">
        <f t="shared" si="102"/>
        <v>3482358.5494090905</v>
      </c>
      <c r="N253" s="551">
        <f t="shared" si="102"/>
        <v>3604083.557454546</v>
      </c>
      <c r="O253" s="551">
        <f t="shared" si="102"/>
        <v>3725840.9118000004</v>
      </c>
      <c r="P253" s="551">
        <f t="shared" si="102"/>
        <v>3859819.2864000006</v>
      </c>
      <c r="Q253" s="551">
        <f t="shared" si="102"/>
        <v>3993753.5524090906</v>
      </c>
      <c r="R253" s="551">
        <f t="shared" si="102"/>
        <v>4127731.9270090903</v>
      </c>
      <c r="S253" s="551">
        <f t="shared" si="102"/>
        <v>4261710.3016090905</v>
      </c>
      <c r="T253" s="551">
        <f t="shared" si="102"/>
        <v>4395765.1311000008</v>
      </c>
      <c r="U253" s="551">
        <f t="shared" si="102"/>
        <v>4499758.4856000002</v>
      </c>
      <c r="V253" s="551">
        <f t="shared" si="102"/>
        <v>4584526.3756090906</v>
      </c>
      <c r="W253" s="551">
        <f t="shared" si="102"/>
        <v>4669294.2656181827</v>
      </c>
      <c r="X253" s="551">
        <f t="shared" si="102"/>
        <v>4754062.1556272721</v>
      </c>
      <c r="Y253" s="551">
        <f t="shared" si="102"/>
        <v>4838821.2239181809</v>
      </c>
      <c r="Z253" s="551">
        <f t="shared" si="102"/>
        <v>4923589.1139272712</v>
      </c>
      <c r="AA253" s="551">
        <f t="shared" si="102"/>
        <v>5008348.18221818</v>
      </c>
      <c r="AB253" s="551">
        <f t="shared" si="102"/>
        <v>5093116.0722272741</v>
      </c>
      <c r="AC253" s="551">
        <f t="shared" si="102"/>
        <v>5177883.9622363634</v>
      </c>
      <c r="AD253" s="551">
        <f t="shared" si="102"/>
        <v>5262643.0305272732</v>
      </c>
      <c r="AE253" s="551">
        <f t="shared" si="102"/>
        <v>5347410.9205363635</v>
      </c>
      <c r="AF253" s="551">
        <f t="shared" si="102"/>
        <v>5432178.8105454547</v>
      </c>
      <c r="AG253" s="689">
        <f t="shared" si="102"/>
        <v>5516937.8788363636</v>
      </c>
      <c r="AH253" s="5"/>
      <c r="AI253" s="5"/>
      <c r="AJ253" s="5"/>
      <c r="AK253" s="5"/>
      <c r="AL253" s="5"/>
      <c r="AM253" s="5"/>
      <c r="AN253" s="5"/>
    </row>
    <row r="254" spans="1:40" ht="21.9" customHeight="1" x14ac:dyDescent="0.25">
      <c r="A254" s="9"/>
      <c r="B254" s="680"/>
      <c r="C254" s="690"/>
      <c r="D254" s="693"/>
      <c r="E254" s="114"/>
      <c r="F254" s="114" t="s">
        <v>333</v>
      </c>
      <c r="G254" s="114" t="s">
        <v>323</v>
      </c>
      <c r="H254" s="551">
        <f t="shared" ref="H254:AG254" si="103">H212 * (1-$F$15)</f>
        <v>428255.16363636364</v>
      </c>
      <c r="I254" s="551">
        <f t="shared" si="103"/>
        <v>440409.72137272719</v>
      </c>
      <c r="J254" s="551">
        <f t="shared" si="103"/>
        <v>453898.06854636356</v>
      </c>
      <c r="K254" s="551">
        <f t="shared" si="103"/>
        <v>472830.32774090901</v>
      </c>
      <c r="L254" s="551">
        <f t="shared" si="103"/>
        <v>491765.96789727267</v>
      </c>
      <c r="M254" s="551">
        <f t="shared" si="103"/>
        <v>510705.55250909075</v>
      </c>
      <c r="N254" s="551">
        <f t="shared" si="103"/>
        <v>529637.81170363643</v>
      </c>
      <c r="O254" s="551">
        <f t="shared" si="103"/>
        <v>548571.19788545452</v>
      </c>
      <c r="P254" s="551">
        <f t="shared" si="103"/>
        <v>569851.5350627274</v>
      </c>
      <c r="Q254" s="551">
        <f t="shared" si="103"/>
        <v>591124.54682272719</v>
      </c>
      <c r="R254" s="551">
        <f t="shared" si="103"/>
        <v>612404.88399999985</v>
      </c>
      <c r="S254" s="551">
        <f t="shared" si="103"/>
        <v>633685.2211772725</v>
      </c>
      <c r="T254" s="551">
        <f t="shared" si="103"/>
        <v>654968.93931636366</v>
      </c>
      <c r="U254" s="551">
        <f t="shared" si="103"/>
        <v>670807.61844727257</v>
      </c>
      <c r="V254" s="551">
        <f t="shared" si="103"/>
        <v>682962.17618363618</v>
      </c>
      <c r="W254" s="551">
        <f t="shared" si="103"/>
        <v>695116.73391999991</v>
      </c>
      <c r="X254" s="551">
        <f t="shared" si="103"/>
        <v>707271.29165636352</v>
      </c>
      <c r="Y254" s="551">
        <f t="shared" si="103"/>
        <v>719419.65096272703</v>
      </c>
      <c r="Z254" s="551">
        <f t="shared" si="103"/>
        <v>731574.20869909076</v>
      </c>
      <c r="AA254" s="551">
        <f t="shared" si="103"/>
        <v>743722.56800545449</v>
      </c>
      <c r="AB254" s="551">
        <f t="shared" si="103"/>
        <v>755877.1257418181</v>
      </c>
      <c r="AC254" s="551">
        <f t="shared" si="103"/>
        <v>768031.68347818172</v>
      </c>
      <c r="AD254" s="551">
        <f t="shared" si="103"/>
        <v>780180.04278454522</v>
      </c>
      <c r="AE254" s="551">
        <f t="shared" si="103"/>
        <v>792334.60052090895</v>
      </c>
      <c r="AF254" s="551">
        <f t="shared" si="103"/>
        <v>804489.15825727256</v>
      </c>
      <c r="AG254" s="689">
        <f t="shared" si="103"/>
        <v>816637.51756363607</v>
      </c>
      <c r="AH254" s="5"/>
      <c r="AI254" s="5"/>
      <c r="AJ254" s="5"/>
      <c r="AK254" s="5"/>
      <c r="AL254" s="5"/>
      <c r="AM254" s="5"/>
      <c r="AN254" s="5"/>
    </row>
    <row r="255" spans="1:40" ht="21.9" customHeight="1" x14ac:dyDescent="0.25">
      <c r="A255" s="9"/>
      <c r="B255" s="680"/>
      <c r="C255" s="690"/>
      <c r="D255" s="693"/>
      <c r="E255" s="114"/>
      <c r="F255" s="114" t="s">
        <v>323</v>
      </c>
      <c r="G255" s="114" t="s">
        <v>322</v>
      </c>
      <c r="H255" s="551">
        <f t="shared" ref="H255:AG255" si="104">H213 * (1-$F$15)</f>
        <v>105916.36363636362</v>
      </c>
      <c r="I255" s="551">
        <f t="shared" si="104"/>
        <v>108922.43727272727</v>
      </c>
      <c r="J255" s="551">
        <f t="shared" si="104"/>
        <v>112258.38463636361</v>
      </c>
      <c r="K255" s="551">
        <f t="shared" si="104"/>
        <v>116940.72409090906</v>
      </c>
      <c r="L255" s="551">
        <f t="shared" si="104"/>
        <v>121623.89972727271</v>
      </c>
      <c r="M255" s="551">
        <f t="shared" si="104"/>
        <v>126308.05090909087</v>
      </c>
      <c r="N255" s="551">
        <f t="shared" si="104"/>
        <v>130990.39036363635</v>
      </c>
      <c r="O255" s="551">
        <f t="shared" si="104"/>
        <v>135673.00854545453</v>
      </c>
      <c r="P255" s="551">
        <f t="shared" si="104"/>
        <v>140936.07627272728</v>
      </c>
      <c r="Q255" s="551">
        <f t="shared" si="104"/>
        <v>146197.33227272725</v>
      </c>
      <c r="R255" s="551">
        <f t="shared" si="104"/>
        <v>151460.39999999997</v>
      </c>
      <c r="S255" s="551">
        <f t="shared" si="104"/>
        <v>156723.46772727265</v>
      </c>
      <c r="T255" s="551">
        <f t="shared" si="104"/>
        <v>161987.37163636362</v>
      </c>
      <c r="U255" s="551">
        <f t="shared" si="104"/>
        <v>165904.60472727267</v>
      </c>
      <c r="V255" s="551">
        <f t="shared" si="104"/>
        <v>168910.67836363634</v>
      </c>
      <c r="W255" s="551">
        <f t="shared" si="104"/>
        <v>171916.75199999995</v>
      </c>
      <c r="X255" s="551">
        <f t="shared" si="104"/>
        <v>174922.82563636359</v>
      </c>
      <c r="Y255" s="551">
        <f t="shared" si="104"/>
        <v>177927.3662727272</v>
      </c>
      <c r="Z255" s="551">
        <f t="shared" si="104"/>
        <v>180933.43990909087</v>
      </c>
      <c r="AA255" s="551">
        <f t="shared" si="104"/>
        <v>183937.98054545448</v>
      </c>
      <c r="AB255" s="551">
        <f t="shared" si="104"/>
        <v>186944.05418181815</v>
      </c>
      <c r="AC255" s="551">
        <f t="shared" si="104"/>
        <v>189950.12781818179</v>
      </c>
      <c r="AD255" s="551">
        <f t="shared" si="104"/>
        <v>192954.66845454543</v>
      </c>
      <c r="AE255" s="551">
        <f t="shared" si="104"/>
        <v>195960.74209090904</v>
      </c>
      <c r="AF255" s="551">
        <f t="shared" si="104"/>
        <v>198966.81572727268</v>
      </c>
      <c r="AG255" s="689">
        <f t="shared" si="104"/>
        <v>201971.35636363633</v>
      </c>
      <c r="AH255" s="5"/>
      <c r="AI255" s="5"/>
      <c r="AJ255" s="5"/>
      <c r="AK255" s="5"/>
      <c r="AL255" s="5"/>
      <c r="AM255" s="5"/>
      <c r="AN255" s="5"/>
    </row>
    <row r="256" spans="1:40" ht="21.9" customHeight="1" x14ac:dyDescent="0.25">
      <c r="B256" s="680"/>
      <c r="C256" s="690"/>
      <c r="D256" s="690"/>
      <c r="E256" s="114"/>
      <c r="F256" s="114" t="s">
        <v>322</v>
      </c>
      <c r="G256" s="114" t="s">
        <v>326</v>
      </c>
      <c r="H256" s="551">
        <f t="shared" ref="H256:AG256" si="105">H214 * (1-$F$15)</f>
        <v>271759.09090909088</v>
      </c>
      <c r="I256" s="551">
        <f t="shared" si="105"/>
        <v>279465.27286363632</v>
      </c>
      <c r="J256" s="551">
        <f t="shared" si="105"/>
        <v>288246.26202272723</v>
      </c>
      <c r="K256" s="551">
        <f t="shared" si="105"/>
        <v>299466.28902272729</v>
      </c>
      <c r="L256" s="551">
        <f t="shared" si="105"/>
        <v>310689.93947727268</v>
      </c>
      <c r="M256" s="551">
        <f t="shared" si="105"/>
        <v>321911.77820454555</v>
      </c>
      <c r="N256" s="551">
        <f t="shared" si="105"/>
        <v>333131.8052045455</v>
      </c>
      <c r="O256" s="551">
        <f t="shared" si="105"/>
        <v>344354.0968636364</v>
      </c>
      <c r="P256" s="551">
        <f t="shared" si="105"/>
        <v>357037.99949999998</v>
      </c>
      <c r="Q256" s="551">
        <f t="shared" si="105"/>
        <v>369721.44920454547</v>
      </c>
      <c r="R256" s="551">
        <f t="shared" si="105"/>
        <v>382403.54011363635</v>
      </c>
      <c r="S256" s="551">
        <f t="shared" si="105"/>
        <v>395087.44275000005</v>
      </c>
      <c r="T256" s="551">
        <f t="shared" si="105"/>
        <v>407773.61004545446</v>
      </c>
      <c r="U256" s="551">
        <f t="shared" si="105"/>
        <v>418018.02190909086</v>
      </c>
      <c r="V256" s="551">
        <f t="shared" si="105"/>
        <v>425724.20386363642</v>
      </c>
      <c r="W256" s="551">
        <f t="shared" si="105"/>
        <v>433430.38581818191</v>
      </c>
      <c r="X256" s="551">
        <f t="shared" si="105"/>
        <v>441136.56777272729</v>
      </c>
      <c r="Y256" s="551">
        <f t="shared" si="105"/>
        <v>448840.48506818188</v>
      </c>
      <c r="Z256" s="551">
        <f t="shared" si="105"/>
        <v>456546.66702272714</v>
      </c>
      <c r="AA256" s="551">
        <f t="shared" si="105"/>
        <v>464250.58431818167</v>
      </c>
      <c r="AB256" s="551">
        <f t="shared" si="105"/>
        <v>471956.76627272711</v>
      </c>
      <c r="AC256" s="551">
        <f t="shared" si="105"/>
        <v>479662.9482272726</v>
      </c>
      <c r="AD256" s="551">
        <f t="shared" si="105"/>
        <v>487366.86552272708</v>
      </c>
      <c r="AE256" s="551">
        <f t="shared" si="105"/>
        <v>495073.04747727263</v>
      </c>
      <c r="AF256" s="551">
        <f t="shared" si="105"/>
        <v>502779.22943181801</v>
      </c>
      <c r="AG256" s="689">
        <f t="shared" si="105"/>
        <v>510483.1467272726</v>
      </c>
      <c r="AH256" s="5"/>
      <c r="AI256" s="5"/>
      <c r="AJ256" s="5"/>
      <c r="AK256" s="5"/>
      <c r="AL256" s="5"/>
      <c r="AM256" s="5"/>
      <c r="AN256" s="5"/>
    </row>
    <row r="257" spans="2:40" ht="21.9" customHeight="1" x14ac:dyDescent="0.25">
      <c r="B257" s="680"/>
      <c r="C257" s="690"/>
      <c r="D257" s="690"/>
      <c r="E257" s="114"/>
      <c r="F257" s="114" t="s">
        <v>326</v>
      </c>
      <c r="G257" s="114" t="s">
        <v>274</v>
      </c>
      <c r="H257" s="551">
        <f t="shared" ref="H257:AG257" si="106">H215 * (1-$F$15)</f>
        <v>2256297.2727272725</v>
      </c>
      <c r="I257" s="551">
        <f t="shared" si="106"/>
        <v>2320278.3423909093</v>
      </c>
      <c r="J257" s="551">
        <f t="shared" si="106"/>
        <v>2393183.0677681817</v>
      </c>
      <c r="K257" s="551">
        <f t="shared" si="106"/>
        <v>2486338.0611681817</v>
      </c>
      <c r="L257" s="551">
        <f t="shared" si="106"/>
        <v>2579523.1385318176</v>
      </c>
      <c r="M257" s="551">
        <f t="shared" si="106"/>
        <v>2672693.1739136372</v>
      </c>
      <c r="N257" s="551">
        <f t="shared" si="106"/>
        <v>2765848.1673136367</v>
      </c>
      <c r="O257" s="551">
        <f t="shared" si="106"/>
        <v>2859021.9631909099</v>
      </c>
      <c r="P257" s="551">
        <f t="shared" si="106"/>
        <v>2964330.8778999993</v>
      </c>
      <c r="Q257" s="551">
        <f t="shared" si="106"/>
        <v>3069636.0321136364</v>
      </c>
      <c r="R257" s="551">
        <f t="shared" si="106"/>
        <v>3174929.9048409089</v>
      </c>
      <c r="S257" s="551">
        <f t="shared" si="106"/>
        <v>3280238.8195500006</v>
      </c>
      <c r="T257" s="551">
        <f t="shared" si="106"/>
        <v>3385566.5367363631</v>
      </c>
      <c r="U257" s="551">
        <f t="shared" si="106"/>
        <v>3470621.4229272725</v>
      </c>
      <c r="V257" s="551">
        <f t="shared" si="106"/>
        <v>3534602.4925909094</v>
      </c>
      <c r="W257" s="551">
        <f t="shared" si="106"/>
        <v>3598583.5622545462</v>
      </c>
      <c r="X257" s="551">
        <f t="shared" si="106"/>
        <v>3662564.6319181821</v>
      </c>
      <c r="Y257" s="551">
        <f t="shared" si="106"/>
        <v>3726526.8991045458</v>
      </c>
      <c r="Z257" s="551">
        <f t="shared" si="106"/>
        <v>3790507.9687681803</v>
      </c>
      <c r="AA257" s="551">
        <f t="shared" si="106"/>
        <v>3854470.235954544</v>
      </c>
      <c r="AB257" s="551">
        <f t="shared" si="106"/>
        <v>3918451.3056181809</v>
      </c>
      <c r="AC257" s="551">
        <f t="shared" si="106"/>
        <v>3982432.3752818168</v>
      </c>
      <c r="AD257" s="551">
        <f t="shared" si="106"/>
        <v>4046394.6424681805</v>
      </c>
      <c r="AE257" s="551">
        <f t="shared" si="106"/>
        <v>4110375.7121318174</v>
      </c>
      <c r="AF257" s="551">
        <f t="shared" si="106"/>
        <v>4174356.7817954537</v>
      </c>
      <c r="AG257" s="689">
        <f t="shared" si="106"/>
        <v>4238319.0489818174</v>
      </c>
      <c r="AH257" s="5"/>
      <c r="AI257" s="5"/>
      <c r="AJ257" s="5"/>
      <c r="AK257" s="5"/>
      <c r="AL257" s="5"/>
      <c r="AM257" s="5"/>
      <c r="AN257" s="5"/>
    </row>
    <row r="258" spans="2:40" ht="21.9" customHeight="1" thickBot="1" x14ac:dyDescent="0.3">
      <c r="B258" s="680"/>
      <c r="C258" s="690"/>
      <c r="D258" s="690"/>
      <c r="E258" s="274"/>
      <c r="F258" s="274" t="s">
        <v>274</v>
      </c>
      <c r="G258" s="274" t="s">
        <v>317</v>
      </c>
      <c r="H258" s="551">
        <f t="shared" ref="H258:AG258" si="107">H216 * (1-$F$15)</f>
        <v>55745.454545454544</v>
      </c>
      <c r="I258" s="551">
        <f t="shared" si="107"/>
        <v>57326.209818181822</v>
      </c>
      <c r="J258" s="551">
        <f t="shared" si="107"/>
        <v>59127.438363636349</v>
      </c>
      <c r="K258" s="551">
        <f t="shared" si="107"/>
        <v>61428.982363636365</v>
      </c>
      <c r="L258" s="551">
        <f t="shared" si="107"/>
        <v>63731.269636363635</v>
      </c>
      <c r="M258" s="551">
        <f t="shared" si="107"/>
        <v>66033.185272727293</v>
      </c>
      <c r="N258" s="551">
        <f t="shared" si="107"/>
        <v>68334.729272727287</v>
      </c>
      <c r="O258" s="551">
        <f t="shared" si="107"/>
        <v>70636.737818181835</v>
      </c>
      <c r="P258" s="551">
        <f t="shared" si="107"/>
        <v>73238.563999999984</v>
      </c>
      <c r="Q258" s="551">
        <f t="shared" si="107"/>
        <v>75840.297272727272</v>
      </c>
      <c r="R258" s="551">
        <f t="shared" si="107"/>
        <v>78441.751818181816</v>
      </c>
      <c r="S258" s="551">
        <f t="shared" si="107"/>
        <v>81043.578000000023</v>
      </c>
      <c r="T258" s="551">
        <f t="shared" si="107"/>
        <v>83645.868727272726</v>
      </c>
      <c r="U258" s="551">
        <f t="shared" si="107"/>
        <v>85747.286545454539</v>
      </c>
      <c r="V258" s="551">
        <f t="shared" si="107"/>
        <v>87328.041818181824</v>
      </c>
      <c r="W258" s="551">
        <f t="shared" si="107"/>
        <v>88908.797090909109</v>
      </c>
      <c r="X258" s="551">
        <f t="shared" si="107"/>
        <v>90489.552363636394</v>
      </c>
      <c r="Y258" s="551">
        <f t="shared" si="107"/>
        <v>92069.843090909097</v>
      </c>
      <c r="Z258" s="551">
        <f t="shared" si="107"/>
        <v>93650.598363636353</v>
      </c>
      <c r="AA258" s="551">
        <f t="shared" si="107"/>
        <v>95230.889090909055</v>
      </c>
      <c r="AB258" s="551">
        <f t="shared" si="107"/>
        <v>96811.644363636326</v>
      </c>
      <c r="AC258" s="551">
        <f t="shared" si="107"/>
        <v>98392.399636363625</v>
      </c>
      <c r="AD258" s="551">
        <f t="shared" si="107"/>
        <v>99972.690363636328</v>
      </c>
      <c r="AE258" s="551">
        <f t="shared" si="107"/>
        <v>101553.44563636361</v>
      </c>
      <c r="AF258" s="551">
        <f t="shared" si="107"/>
        <v>103134.20090909088</v>
      </c>
      <c r="AG258" s="689">
        <f t="shared" si="107"/>
        <v>104714.4916363636</v>
      </c>
      <c r="AH258" s="5"/>
      <c r="AI258" s="5"/>
      <c r="AJ258" s="5"/>
      <c r="AK258" s="5"/>
      <c r="AL258" s="5"/>
      <c r="AM258" s="5"/>
      <c r="AN258" s="5"/>
    </row>
    <row r="259" spans="2:40" ht="21.9" customHeight="1" x14ac:dyDescent="0.25">
      <c r="B259" s="182"/>
      <c r="C259" s="250"/>
      <c r="D259" s="250"/>
      <c r="E259" s="696" t="s">
        <v>25</v>
      </c>
      <c r="F259" s="696"/>
      <c r="G259" s="696"/>
      <c r="H259" s="697">
        <f t="shared" ref="H259:AG259" si="108">SUM(H239:H258)</f>
        <v>26861066.196363628</v>
      </c>
      <c r="I259" s="697">
        <f t="shared" si="108"/>
        <v>28367794.442868356</v>
      </c>
      <c r="J259" s="697">
        <f t="shared" si="108"/>
        <v>31232663.81854564</v>
      </c>
      <c r="K259" s="697">
        <f t="shared" si="108"/>
        <v>36093212.112285987</v>
      </c>
      <c r="L259" s="697">
        <f t="shared" si="108"/>
        <v>40956205.736135453</v>
      </c>
      <c r="M259" s="697">
        <f t="shared" si="108"/>
        <v>45819278.298242904</v>
      </c>
      <c r="N259" s="697">
        <f t="shared" si="108"/>
        <v>50679826.591983274</v>
      </c>
      <c r="O259" s="697">
        <f t="shared" si="108"/>
        <v>55545325.984977819</v>
      </c>
      <c r="P259" s="697">
        <f t="shared" si="108"/>
        <v>60193279.026932523</v>
      </c>
      <c r="Q259" s="697">
        <f t="shared" si="108"/>
        <v>64842455.50276453</v>
      </c>
      <c r="R259" s="697">
        <f t="shared" si="108"/>
        <v>69490318.629530892</v>
      </c>
      <c r="S259" s="697">
        <f t="shared" si="108"/>
        <v>74138271.671485648</v>
      </c>
      <c r="T259" s="697">
        <f t="shared" si="108"/>
        <v>78791277.586241797</v>
      </c>
      <c r="U259" s="697">
        <f t="shared" si="108"/>
        <v>81467153.769400001</v>
      </c>
      <c r="V259" s="697">
        <f t="shared" si="108"/>
        <v>82922910.992304727</v>
      </c>
      <c r="W259" s="697">
        <f t="shared" si="108"/>
        <v>84378668.215209424</v>
      </c>
      <c r="X259" s="697">
        <f t="shared" si="108"/>
        <v>85834425.438114166</v>
      </c>
      <c r="Y259" s="697">
        <f t="shared" si="108"/>
        <v>87291472.00813581</v>
      </c>
      <c r="Z259" s="697">
        <f t="shared" si="108"/>
        <v>88747229.231040522</v>
      </c>
      <c r="AA259" s="697">
        <f t="shared" si="108"/>
        <v>90204278.476844013</v>
      </c>
      <c r="AB259" s="697">
        <f t="shared" si="108"/>
        <v>91660035.69974871</v>
      </c>
      <c r="AC259" s="697">
        <f t="shared" si="108"/>
        <v>93115792.922653407</v>
      </c>
      <c r="AD259" s="697">
        <f t="shared" si="108"/>
        <v>94572839.492675096</v>
      </c>
      <c r="AE259" s="697">
        <f t="shared" si="108"/>
        <v>96028596.715579823</v>
      </c>
      <c r="AF259" s="697">
        <f t="shared" si="108"/>
        <v>97484353.938484579</v>
      </c>
      <c r="AG259" s="698">
        <f t="shared" si="108"/>
        <v>98941403.184287995</v>
      </c>
      <c r="AH259" s="47"/>
      <c r="AI259" s="47"/>
      <c r="AJ259" s="47"/>
      <c r="AK259" s="47"/>
      <c r="AL259" s="47"/>
      <c r="AM259" s="47"/>
      <c r="AN259" s="47"/>
    </row>
    <row r="260" spans="2:40" ht="21.9" customHeight="1" x14ac:dyDescent="0.25">
      <c r="C260" s="114"/>
      <c r="D260" s="114"/>
      <c r="E260" s="237"/>
      <c r="F260" s="237"/>
      <c r="G260" s="237"/>
      <c r="H260" s="699"/>
      <c r="I260" s="699"/>
      <c r="J260" s="699"/>
      <c r="K260" s="699"/>
      <c r="L260" s="699"/>
      <c r="M260" s="699"/>
      <c r="N260" s="699"/>
      <c r="O260" s="699"/>
      <c r="P260" s="699"/>
      <c r="Q260" s="699"/>
      <c r="R260" s="699"/>
      <c r="S260" s="699"/>
      <c r="T260" s="699"/>
      <c r="U260" s="699"/>
      <c r="V260" s="699"/>
      <c r="W260" s="699"/>
      <c r="X260" s="699"/>
      <c r="Y260" s="699"/>
      <c r="Z260" s="699"/>
      <c r="AA260" s="699"/>
      <c r="AB260" s="699"/>
      <c r="AC260" s="699"/>
      <c r="AD260" s="699"/>
      <c r="AE260" s="699"/>
      <c r="AF260" s="699"/>
      <c r="AG260" s="699"/>
      <c r="AH260" s="18"/>
      <c r="AI260" s="18"/>
      <c r="AJ260" s="18"/>
      <c r="AK260" s="18"/>
      <c r="AL260" s="18"/>
      <c r="AM260" s="18"/>
      <c r="AN260" s="18"/>
    </row>
    <row r="261" spans="2:40" ht="21.9" customHeight="1" x14ac:dyDescent="0.25">
      <c r="B261" s="468"/>
      <c r="C261" s="686" t="s">
        <v>2</v>
      </c>
      <c r="D261" s="686" t="s">
        <v>440</v>
      </c>
      <c r="E261" s="686" t="s">
        <v>312</v>
      </c>
      <c r="F261" s="686" t="s">
        <v>313</v>
      </c>
      <c r="G261" s="686" t="s">
        <v>314</v>
      </c>
      <c r="H261" s="687">
        <v>2023</v>
      </c>
      <c r="I261" s="687">
        <v>2024</v>
      </c>
      <c r="J261" s="687">
        <v>2025</v>
      </c>
      <c r="K261" s="687">
        <v>2026</v>
      </c>
      <c r="L261" s="687">
        <v>2027</v>
      </c>
      <c r="M261" s="687">
        <v>2028</v>
      </c>
      <c r="N261" s="687">
        <v>2029</v>
      </c>
      <c r="O261" s="687">
        <v>2030</v>
      </c>
      <c r="P261" s="687">
        <v>2031</v>
      </c>
      <c r="Q261" s="687">
        <v>2032</v>
      </c>
      <c r="R261" s="687">
        <v>2033</v>
      </c>
      <c r="S261" s="687">
        <v>2034</v>
      </c>
      <c r="T261" s="687">
        <v>2035</v>
      </c>
      <c r="U261" s="687">
        <v>2036</v>
      </c>
      <c r="V261" s="687">
        <v>2037</v>
      </c>
      <c r="W261" s="687">
        <v>2038</v>
      </c>
      <c r="X261" s="687">
        <v>2039</v>
      </c>
      <c r="Y261" s="687">
        <v>2040</v>
      </c>
      <c r="Z261" s="687">
        <v>2041</v>
      </c>
      <c r="AA261" s="687">
        <v>2042</v>
      </c>
      <c r="AB261" s="687">
        <v>2043</v>
      </c>
      <c r="AC261" s="687">
        <v>2044</v>
      </c>
      <c r="AD261" s="687">
        <v>2045</v>
      </c>
      <c r="AE261" s="687">
        <v>2046</v>
      </c>
      <c r="AF261" s="687">
        <v>2047</v>
      </c>
      <c r="AG261" s="688">
        <v>2048</v>
      </c>
      <c r="AH261" s="18"/>
      <c r="AI261" s="18"/>
      <c r="AJ261" s="18"/>
      <c r="AK261" s="18"/>
      <c r="AL261" s="18"/>
      <c r="AM261" s="18"/>
      <c r="AN261" s="18"/>
    </row>
    <row r="262" spans="2:40" ht="21.9" customHeight="1" x14ac:dyDescent="0.25">
      <c r="B262" s="179" t="s">
        <v>449</v>
      </c>
      <c r="C262" s="114" t="s">
        <v>127</v>
      </c>
      <c r="D262" s="237" t="s">
        <v>441</v>
      </c>
      <c r="E262" s="1325" t="s">
        <v>315</v>
      </c>
      <c r="F262" s="217" t="s">
        <v>316</v>
      </c>
      <c r="G262" s="217" t="s">
        <v>276</v>
      </c>
      <c r="H262" s="552">
        <f>Speed!X108</f>
        <v>71.779575441467983</v>
      </c>
      <c r="I262" s="552">
        <f>Speed!Y108</f>
        <v>71.779337692497165</v>
      </c>
      <c r="J262" s="552">
        <f>Speed!Z108</f>
        <v>71.778799526082096</v>
      </c>
      <c r="K262" s="552">
        <f>Speed!AA108</f>
        <v>71.777287455159794</v>
      </c>
      <c r="L262" s="552">
        <f>Speed!AB108</f>
        <v>71.774234871140152</v>
      </c>
      <c r="M262" s="552">
        <f>Speed!AC108</f>
        <v>71.768378651101727</v>
      </c>
      <c r="N262" s="552">
        <f>Speed!AD108</f>
        <v>71.757632458033441</v>
      </c>
      <c r="O262" s="552">
        <f>Speed!AE108</f>
        <v>71.73863521477162</v>
      </c>
      <c r="P262" s="552">
        <f>Speed!AF108</f>
        <v>71.706685699239998</v>
      </c>
      <c r="Q262" s="552">
        <f>Speed!AG108</f>
        <v>71.65405292978302</v>
      </c>
      <c r="R262" s="552">
        <f>Speed!AH108</f>
        <v>71.56969327224563</v>
      </c>
      <c r="S262" s="552">
        <f>Speed!AI108</f>
        <v>71.437769825234398</v>
      </c>
      <c r="T262" s="552">
        <f>Speed!AJ108</f>
        <v>71.235987315589725</v>
      </c>
      <c r="U262" s="552">
        <f>Speed!AK108</f>
        <v>71.045375357220195</v>
      </c>
      <c r="V262" s="552">
        <f>Speed!AL108</f>
        <v>70.872985264960491</v>
      </c>
      <c r="W262" s="552">
        <f>Speed!AM108</f>
        <v>70.665673065412804</v>
      </c>
      <c r="X262" s="552">
        <f>Speed!AN108</f>
        <v>70.417609586805895</v>
      </c>
      <c r="Y262" s="552">
        <f>Speed!AO108</f>
        <v>70.122164682268675</v>
      </c>
      <c r="Z262" s="552">
        <f>Speed!AP108</f>
        <v>69.772318785628528</v>
      </c>
      <c r="AA262" s="552">
        <f>Speed!AQ108</f>
        <v>69.359918218350188</v>
      </c>
      <c r="AB262" s="552">
        <f>Speed!AR108</f>
        <v>68.876695017192887</v>
      </c>
      <c r="AC262" s="552">
        <f>Speed!AS108</f>
        <v>68.313413872388836</v>
      </c>
      <c r="AD262" s="552">
        <f>Speed!AT108</f>
        <v>67.660307442602388</v>
      </c>
      <c r="AE262" s="552">
        <f>Speed!AU108</f>
        <v>66.908064856115161</v>
      </c>
      <c r="AF262" s="552">
        <f>Speed!AV108</f>
        <v>66.046746067464582</v>
      </c>
      <c r="AG262" s="700">
        <f>Speed!AW108</f>
        <v>65.066609539338799</v>
      </c>
      <c r="AH262" s="18"/>
      <c r="AI262" s="18"/>
      <c r="AJ262" s="18"/>
      <c r="AK262" s="18"/>
      <c r="AL262" s="18"/>
      <c r="AM262" s="18"/>
      <c r="AN262" s="18"/>
    </row>
    <row r="263" spans="2:40" ht="21.9" customHeight="1" x14ac:dyDescent="0.25">
      <c r="B263" s="680" t="s">
        <v>451</v>
      </c>
      <c r="C263" s="114"/>
      <c r="D263" s="695"/>
      <c r="E263" s="1327"/>
      <c r="F263" s="114" t="s">
        <v>276</v>
      </c>
      <c r="G263" s="114" t="s">
        <v>274</v>
      </c>
      <c r="H263" s="552">
        <f>Speed!X109</f>
        <v>71.779922361429513</v>
      </c>
      <c r="I263" s="552">
        <f>Speed!Y109</f>
        <v>71.779870140159986</v>
      </c>
      <c r="J263" s="552">
        <f>Speed!Z109</f>
        <v>71.779731696770284</v>
      </c>
      <c r="K263" s="552">
        <f>Speed!AA109</f>
        <v>71.779198548195836</v>
      </c>
      <c r="L263" s="552">
        <f>Speed!AB109</f>
        <v>71.777850226458511</v>
      </c>
      <c r="M263" s="552">
        <f>Speed!AC109</f>
        <v>71.774723271101763</v>
      </c>
      <c r="N263" s="552">
        <f>Speed!AD109</f>
        <v>71.767976642938976</v>
      </c>
      <c r="O263" s="552">
        <f>Speed!AE109</f>
        <v>71.754254599892576</v>
      </c>
      <c r="P263" s="552">
        <f>Speed!AF109</f>
        <v>71.727457621211542</v>
      </c>
      <c r="Q263" s="552">
        <f>Speed!AG109</f>
        <v>71.677760793362395</v>
      </c>
      <c r="R263" s="552">
        <f>Speed!AH109</f>
        <v>71.58931578090673</v>
      </c>
      <c r="S263" s="552">
        <f>Speed!AI109</f>
        <v>71.437486417586626</v>
      </c>
      <c r="T263" s="552">
        <f>Speed!AJ109</f>
        <v>71.185078892135678</v>
      </c>
      <c r="U263" s="552">
        <f>Speed!AK109</f>
        <v>70.960523600555177</v>
      </c>
      <c r="V263" s="552">
        <f>Speed!AL109</f>
        <v>70.775074067968333</v>
      </c>
      <c r="W263" s="552">
        <f>Speed!AM109</f>
        <v>70.553438386344823</v>
      </c>
      <c r="X263" s="552">
        <f>Speed!AN109</f>
        <v>70.289827294499659</v>
      </c>
      <c r="Y263" s="552">
        <f>Speed!AO109</f>
        <v>69.977619125023239</v>
      </c>
      <c r="Z263" s="552">
        <f>Speed!AP109</f>
        <v>69.610086758821055</v>
      </c>
      <c r="AA263" s="552">
        <f>Speed!AQ109</f>
        <v>69.179115784248154</v>
      </c>
      <c r="AB263" s="552">
        <f>Speed!AR109</f>
        <v>68.676930328298084</v>
      </c>
      <c r="AC263" s="552">
        <f>Speed!AS109</f>
        <v>68.09458216520747</v>
      </c>
      <c r="AD263" s="552">
        <f>Speed!AT109</f>
        <v>67.422613233705889</v>
      </c>
      <c r="AE263" s="552">
        <f>Speed!AU109</f>
        <v>66.652582214756762</v>
      </c>
      <c r="AF263" s="552">
        <f>Speed!AV109</f>
        <v>65.775061244386137</v>
      </c>
      <c r="AG263" s="700">
        <f>Speed!AW109</f>
        <v>64.780806702343909</v>
      </c>
      <c r="AH263" s="18"/>
      <c r="AI263" s="18"/>
      <c r="AJ263" s="18"/>
      <c r="AK263" s="18"/>
      <c r="AL263" s="18"/>
      <c r="AM263" s="18"/>
      <c r="AN263" s="18"/>
    </row>
    <row r="264" spans="2:40" ht="21.9" customHeight="1" x14ac:dyDescent="0.25">
      <c r="B264" s="680"/>
      <c r="C264" s="114"/>
      <c r="D264" s="237"/>
      <c r="E264" s="1327"/>
      <c r="F264" s="114" t="s">
        <v>274</v>
      </c>
      <c r="G264" s="114" t="s">
        <v>317</v>
      </c>
      <c r="H264" s="552">
        <f>Speed!X110</f>
        <v>71.77997609148342</v>
      </c>
      <c r="I264" s="552">
        <f>Speed!Y110</f>
        <v>71.779964006640029</v>
      </c>
      <c r="J264" s="552">
        <f>Speed!Z110</f>
        <v>71.779941587120831</v>
      </c>
      <c r="K264" s="552">
        <f>Speed!AA110</f>
        <v>71.779891746331302</v>
      </c>
      <c r="L264" s="552">
        <f>Speed!AB110</f>
        <v>71.779806406539308</v>
      </c>
      <c r="M264" s="552">
        <f>Speed!AC110</f>
        <v>71.779664695929995</v>
      </c>
      <c r="N264" s="552">
        <f>Speed!AD110</f>
        <v>71.779435699921265</v>
      </c>
      <c r="O264" s="552">
        <f>Speed!AE110</f>
        <v>71.779074144952205</v>
      </c>
      <c r="P264" s="552">
        <f>Speed!AF110</f>
        <v>71.778537161168515</v>
      </c>
      <c r="Q264" s="552">
        <f>Speed!AG110</f>
        <v>71.777734175406351</v>
      </c>
      <c r="R264" s="552">
        <f>Speed!AH110</f>
        <v>71.776554757167034</v>
      </c>
      <c r="S264" s="552">
        <f>Speed!AI110</f>
        <v>71.774849031981802</v>
      </c>
      <c r="T264" s="552">
        <f>Speed!AJ110</f>
        <v>71.772415612541664</v>
      </c>
      <c r="U264" s="552">
        <f>Speed!AK110</f>
        <v>71.770018300188895</v>
      </c>
      <c r="V264" s="552">
        <f>Speed!AL110</f>
        <v>71.767489898122705</v>
      </c>
      <c r="W264" s="552">
        <f>Speed!AM110</f>
        <v>71.764399160622403</v>
      </c>
      <c r="X264" s="552">
        <f>Speed!AN110</f>
        <v>71.760637617205063</v>
      </c>
      <c r="Y264" s="552">
        <f>Speed!AO110</f>
        <v>71.756076952093565</v>
      </c>
      <c r="Z264" s="552">
        <f>Speed!AP110</f>
        <v>71.750574141488244</v>
      </c>
      <c r="AA264" s="552">
        <f>Speed!AQ110</f>
        <v>71.743955026283516</v>
      </c>
      <c r="AB264" s="552">
        <f>Speed!AR110</f>
        <v>71.736029202085291</v>
      </c>
      <c r="AC264" s="552">
        <f>Speed!AS110</f>
        <v>71.726569339588096</v>
      </c>
      <c r="AD264" s="552">
        <f>Speed!AT110</f>
        <v>71.715312708256533</v>
      </c>
      <c r="AE264" s="552">
        <f>Speed!AU110</f>
        <v>71.70197345015616</v>
      </c>
      <c r="AF264" s="552">
        <f>Speed!AV110</f>
        <v>71.686211478832135</v>
      </c>
      <c r="AG264" s="700">
        <f>Speed!AW110</f>
        <v>71.667636866876236</v>
      </c>
      <c r="AH264" s="18"/>
      <c r="AI264" s="18"/>
      <c r="AJ264" s="18"/>
      <c r="AK264" s="18"/>
      <c r="AL264" s="18"/>
      <c r="AM264" s="18"/>
      <c r="AN264" s="18"/>
    </row>
    <row r="265" spans="2:40" ht="21.9" customHeight="1" x14ac:dyDescent="0.25">
      <c r="B265" s="680"/>
      <c r="C265" s="114"/>
      <c r="D265" s="237"/>
      <c r="E265" s="1325" t="s">
        <v>274</v>
      </c>
      <c r="F265" s="217" t="s">
        <v>275</v>
      </c>
      <c r="G265" s="217" t="s">
        <v>318</v>
      </c>
      <c r="H265" s="552">
        <f>Speed!X111</f>
        <v>57.499999999343693</v>
      </c>
      <c r="I265" s="552">
        <f>Speed!Y111</f>
        <v>57.499999998279762</v>
      </c>
      <c r="J265" s="552">
        <f>Speed!Z111</f>
        <v>57.499999988861461</v>
      </c>
      <c r="K265" s="552">
        <f>Speed!AA111</f>
        <v>57.499999788598082</v>
      </c>
      <c r="L265" s="552">
        <f>Speed!AB111</f>
        <v>57.499997948851238</v>
      </c>
      <c r="M265" s="552">
        <f>Speed!AC111</f>
        <v>57.49998695190115</v>
      </c>
      <c r="N265" s="552">
        <f>Speed!AD111</f>
        <v>57.499937904255184</v>
      </c>
      <c r="O265" s="552">
        <f>Speed!AE111</f>
        <v>57.499760292734429</v>
      </c>
      <c r="P265" s="552">
        <f>Speed!AF111</f>
        <v>57.499228633571356</v>
      </c>
      <c r="Q265" s="552">
        <f>Speed!AG111</f>
        <v>57.497802714589298</v>
      </c>
      <c r="R265" s="552">
        <f>Speed!AH111</f>
        <v>57.49433521207596</v>
      </c>
      <c r="S265" s="552">
        <f>Speed!AI111</f>
        <v>57.486546364122681</v>
      </c>
      <c r="T265" s="552">
        <f>Speed!AJ111</f>
        <v>57.47015192905161</v>
      </c>
      <c r="U265" s="552">
        <f>Speed!AK111</f>
        <v>57.456934277976345</v>
      </c>
      <c r="V265" s="552">
        <f>Speed!AL111</f>
        <v>57.449173601717405</v>
      </c>
      <c r="W265" s="552">
        <f>Speed!AM111</f>
        <v>57.440177736006902</v>
      </c>
      <c r="X265" s="552">
        <f>Speed!AN111</f>
        <v>57.429775497020707</v>
      </c>
      <c r="Y265" s="552">
        <f>Speed!AO111</f>
        <v>57.417755770208458</v>
      </c>
      <c r="Z265" s="552">
        <f>Speed!AP111</f>
        <v>57.40394149137952</v>
      </c>
      <c r="AA265" s="552">
        <f>Speed!AQ111</f>
        <v>57.388051702847108</v>
      </c>
      <c r="AB265" s="552">
        <f>Speed!AR111</f>
        <v>57.369870373654464</v>
      </c>
      <c r="AC265" s="552">
        <f>Speed!AS111</f>
        <v>57.349081671195407</v>
      </c>
      <c r="AD265" s="552">
        <f>Speed!AT111</f>
        <v>57.32532235195962</v>
      </c>
      <c r="AE265" s="552">
        <f>Speed!AU111</f>
        <v>57.298306230626139</v>
      </c>
      <c r="AF265" s="552">
        <f>Speed!AV111</f>
        <v>57.267604149569159</v>
      </c>
      <c r="AG265" s="700">
        <f>Speed!AW111</f>
        <v>57.232724662412764</v>
      </c>
      <c r="AH265" s="18"/>
      <c r="AI265" s="18"/>
      <c r="AJ265" s="18"/>
      <c r="AK265" s="18"/>
      <c r="AL265" s="18"/>
      <c r="AM265" s="18"/>
      <c r="AN265" s="18"/>
    </row>
    <row r="266" spans="2:40" ht="21.9" customHeight="1" x14ac:dyDescent="0.25">
      <c r="B266" s="680"/>
      <c r="C266" s="114"/>
      <c r="D266" s="237"/>
      <c r="E266" s="1327"/>
      <c r="F266" s="114" t="s">
        <v>318</v>
      </c>
      <c r="G266" s="114" t="s">
        <v>308</v>
      </c>
      <c r="H266" s="552">
        <f>Speed!X112</f>
        <v>49.499913467275938</v>
      </c>
      <c r="I266" s="552">
        <f>Speed!Y112</f>
        <v>49.499766486505173</v>
      </c>
      <c r="J266" s="552">
        <f>Speed!Z112</f>
        <v>49.499204103307889</v>
      </c>
      <c r="K266" s="552">
        <f>Speed!AA112</f>
        <v>49.494560055808904</v>
      </c>
      <c r="L266" s="552">
        <f>Speed!AB112</f>
        <v>49.472742505762085</v>
      </c>
      <c r="M266" s="552">
        <f>Speed!AC112</f>
        <v>49.390953020636744</v>
      </c>
      <c r="N266" s="552">
        <f>Speed!AD112</f>
        <v>49.133241460310884</v>
      </c>
      <c r="O266" s="552">
        <f>Speed!AE112</f>
        <v>48.42836313319205</v>
      </c>
      <c r="P266" s="552">
        <f>Speed!AF112</f>
        <v>45.49534982912197</v>
      </c>
      <c r="Q266" s="552">
        <f>Speed!AG112</f>
        <v>38.189950925094934</v>
      </c>
      <c r="R266" s="552">
        <f>Speed!AH112</f>
        <v>26.423486536869405</v>
      </c>
      <c r="S266" s="552">
        <f>Speed!AI112</f>
        <v>14.920072832695437</v>
      </c>
      <c r="T266" s="552">
        <f>Speed!AJ112</f>
        <v>10</v>
      </c>
      <c r="U266" s="552">
        <f>Speed!AK112</f>
        <v>10</v>
      </c>
      <c r="V266" s="552">
        <f>Speed!AL112</f>
        <v>10</v>
      </c>
      <c r="W266" s="552">
        <f>Speed!AM112</f>
        <v>10</v>
      </c>
      <c r="X266" s="552">
        <f>Speed!AN112</f>
        <v>10</v>
      </c>
      <c r="Y266" s="552">
        <f>Speed!AO112</f>
        <v>10</v>
      </c>
      <c r="Z266" s="552">
        <f>Speed!AP112</f>
        <v>10</v>
      </c>
      <c r="AA266" s="552">
        <f>Speed!AQ112</f>
        <v>10</v>
      </c>
      <c r="AB266" s="552">
        <f>Speed!AR112</f>
        <v>10</v>
      </c>
      <c r="AC266" s="552">
        <f>Speed!AS112</f>
        <v>10</v>
      </c>
      <c r="AD266" s="552">
        <f>Speed!AT112</f>
        <v>10</v>
      </c>
      <c r="AE266" s="552">
        <f>Speed!AU112</f>
        <v>10</v>
      </c>
      <c r="AF266" s="552">
        <f>Speed!AV112</f>
        <v>10</v>
      </c>
      <c r="AG266" s="700">
        <f>Speed!AW112</f>
        <v>10</v>
      </c>
      <c r="AH266" s="18"/>
      <c r="AI266" s="18"/>
      <c r="AJ266" s="18"/>
      <c r="AK266" s="18"/>
      <c r="AL266" s="18"/>
      <c r="AM266" s="18"/>
      <c r="AN266" s="18"/>
    </row>
    <row r="267" spans="2:40" ht="21.9" customHeight="1" x14ac:dyDescent="0.25">
      <c r="B267" s="680"/>
      <c r="C267" s="114"/>
      <c r="D267" s="237"/>
      <c r="E267" s="1339"/>
      <c r="F267" s="250" t="s">
        <v>308</v>
      </c>
      <c r="G267" s="250" t="s">
        <v>319</v>
      </c>
      <c r="H267" s="552">
        <f>Speed!X113</f>
        <v>46.22928606898175</v>
      </c>
      <c r="I267" s="552">
        <f>Speed!Y113</f>
        <v>45.989400680781124</v>
      </c>
      <c r="J267" s="552">
        <f>Speed!Z113</f>
        <v>45.535554594085283</v>
      </c>
      <c r="K267" s="552">
        <f>Speed!AA113</f>
        <v>44.608096213610324</v>
      </c>
      <c r="L267" s="552">
        <f>Speed!AB113</f>
        <v>43.229455244226074</v>
      </c>
      <c r="M267" s="552">
        <f>Speed!AC113</f>
        <v>41.274908515000931</v>
      </c>
      <c r="N267" s="552">
        <f>Speed!AD113</f>
        <v>38.649428106960258</v>
      </c>
      <c r="O267" s="552">
        <f>Speed!AE113</f>
        <v>35.328018908242882</v>
      </c>
      <c r="P267" s="552">
        <f>Speed!AF113</f>
        <v>31.366125947155084</v>
      </c>
      <c r="Q267" s="552">
        <f>Speed!AG113</f>
        <v>27.012819009421765</v>
      </c>
      <c r="R267" s="552">
        <f>Speed!AH113</f>
        <v>22.575887347812159</v>
      </c>
      <c r="S267" s="552">
        <f>Speed!AI113</f>
        <v>18.358962122918228</v>
      </c>
      <c r="T267" s="552">
        <f>Speed!AJ113</f>
        <v>14.590242621737195</v>
      </c>
      <c r="U267" s="552">
        <f>Speed!AK113</f>
        <v>12.245750450281898</v>
      </c>
      <c r="V267" s="552">
        <f>Speed!AL113</f>
        <v>10.802023161382403</v>
      </c>
      <c r="W267" s="552">
        <f>Speed!AM113</f>
        <v>10</v>
      </c>
      <c r="X267" s="552">
        <f>Speed!AN113</f>
        <v>10</v>
      </c>
      <c r="Y267" s="552">
        <f>Speed!AO113</f>
        <v>10</v>
      </c>
      <c r="Z267" s="552">
        <f>Speed!AP113</f>
        <v>10</v>
      </c>
      <c r="AA267" s="552">
        <f>Speed!AQ113</f>
        <v>10</v>
      </c>
      <c r="AB267" s="552">
        <f>Speed!AR113</f>
        <v>10</v>
      </c>
      <c r="AC267" s="552">
        <f>Speed!AS113</f>
        <v>10</v>
      </c>
      <c r="AD267" s="552">
        <f>Speed!AT113</f>
        <v>10</v>
      </c>
      <c r="AE267" s="552">
        <f>Speed!AU113</f>
        <v>10</v>
      </c>
      <c r="AF267" s="552">
        <f>Speed!AV113</f>
        <v>10</v>
      </c>
      <c r="AG267" s="700">
        <f>Speed!AW113</f>
        <v>10</v>
      </c>
      <c r="AH267" s="18"/>
      <c r="AI267" s="18"/>
      <c r="AJ267" s="18"/>
      <c r="AK267" s="18"/>
      <c r="AL267" s="18"/>
      <c r="AM267" s="18"/>
      <c r="AN267" s="18"/>
    </row>
    <row r="268" spans="2:40" ht="21.9" customHeight="1" x14ac:dyDescent="0.25">
      <c r="B268" s="680"/>
      <c r="C268" s="114"/>
      <c r="D268" s="237"/>
      <c r="E268" s="114" t="s">
        <v>320</v>
      </c>
      <c r="F268" s="114" t="s">
        <v>318</v>
      </c>
      <c r="G268" s="114" t="s">
        <v>308</v>
      </c>
      <c r="H268" s="552">
        <f>Speed!X114</f>
        <v>43.2</v>
      </c>
      <c r="I268" s="552">
        <f>Speed!Y114</f>
        <v>43.2</v>
      </c>
      <c r="J268" s="552">
        <f>Speed!Z114</f>
        <v>43.199999995932004</v>
      </c>
      <c r="K268" s="552">
        <f>Speed!AA114</f>
        <v>43.199982908730348</v>
      </c>
      <c r="L268" s="552">
        <f>Speed!AB114</f>
        <v>43.198482285154206</v>
      </c>
      <c r="M268" s="552">
        <f>Speed!AC114</f>
        <v>43.166800834442341</v>
      </c>
      <c r="N268" s="552">
        <f>Speed!AD114</f>
        <v>42.853213401542973</v>
      </c>
      <c r="O268" s="552">
        <f>Speed!AE114</f>
        <v>40.96985107424139</v>
      </c>
      <c r="P268" s="552">
        <f>Speed!AF114</f>
        <v>37.963313683225586</v>
      </c>
      <c r="Q268" s="552">
        <f>Speed!AG114</f>
        <v>32.651781225904607</v>
      </c>
      <c r="R268" s="552">
        <f>Speed!AH114</f>
        <v>25.297831036856934</v>
      </c>
      <c r="S268" s="552">
        <f>Speed!AI114</f>
        <v>17.533116192788139</v>
      </c>
      <c r="T268" s="552">
        <f>Speed!AJ114</f>
        <v>11.113399039482667</v>
      </c>
      <c r="U268" s="552">
        <f>Speed!AK114</f>
        <v>10</v>
      </c>
      <c r="V268" s="552">
        <f>Speed!AL114</f>
        <v>10</v>
      </c>
      <c r="W268" s="552">
        <f>Speed!AM114</f>
        <v>10</v>
      </c>
      <c r="X268" s="552">
        <f>Speed!AN114</f>
        <v>10</v>
      </c>
      <c r="Y268" s="552">
        <f>Speed!AO114</f>
        <v>10</v>
      </c>
      <c r="Z268" s="552">
        <f>Speed!AP114</f>
        <v>10</v>
      </c>
      <c r="AA268" s="552">
        <f>Speed!AQ114</f>
        <v>10</v>
      </c>
      <c r="AB268" s="552">
        <f>Speed!AR114</f>
        <v>10</v>
      </c>
      <c r="AC268" s="552">
        <f>Speed!AS114</f>
        <v>10</v>
      </c>
      <c r="AD268" s="552">
        <f>Speed!AT114</f>
        <v>10</v>
      </c>
      <c r="AE268" s="552">
        <f>Speed!AU114</f>
        <v>10</v>
      </c>
      <c r="AF268" s="552">
        <f>Speed!AV114</f>
        <v>10</v>
      </c>
      <c r="AG268" s="700">
        <f>Speed!AW114</f>
        <v>10</v>
      </c>
      <c r="AH268" s="18"/>
      <c r="AI268" s="18"/>
      <c r="AJ268" s="18"/>
      <c r="AK268" s="18"/>
      <c r="AL268" s="18"/>
      <c r="AM268" s="18"/>
      <c r="AN268" s="18"/>
    </row>
    <row r="269" spans="2:40" ht="21.9" customHeight="1" x14ac:dyDescent="0.25">
      <c r="B269" s="680"/>
      <c r="C269" s="114"/>
      <c r="D269" s="237"/>
      <c r="E269" s="1325" t="s">
        <v>308</v>
      </c>
      <c r="F269" s="217" t="s">
        <v>276</v>
      </c>
      <c r="G269" s="217" t="s">
        <v>320</v>
      </c>
      <c r="H269" s="552">
        <f>Speed!X115</f>
        <v>41.1</v>
      </c>
      <c r="I269" s="552">
        <f>Speed!Y115</f>
        <v>41.1</v>
      </c>
      <c r="J269" s="552">
        <f>Speed!Z115</f>
        <v>41.1</v>
      </c>
      <c r="K269" s="552">
        <f>Speed!AA115</f>
        <v>41.099999999994417</v>
      </c>
      <c r="L269" s="552">
        <f>Speed!AB115</f>
        <v>41.099999999537111</v>
      </c>
      <c r="M269" s="552">
        <f>Speed!AC115</f>
        <v>41.099999990190398</v>
      </c>
      <c r="N269" s="552">
        <f>Speed!AD115</f>
        <v>41.099999898693142</v>
      </c>
      <c r="O269" s="552">
        <f>Speed!AE115</f>
        <v>41.099999327050369</v>
      </c>
      <c r="P269" s="552">
        <f>Speed!AF115</f>
        <v>41.099997653760163</v>
      </c>
      <c r="Q269" s="552">
        <f>Speed!AG115</f>
        <v>41.099992878726958</v>
      </c>
      <c r="R269" s="552">
        <f>Speed!AH115</f>
        <v>41.099980660356351</v>
      </c>
      <c r="S269" s="552">
        <f>Speed!AI115</f>
        <v>41.099952037621648</v>
      </c>
      <c r="T269" s="552">
        <f>Speed!AJ115</f>
        <v>41.099889604819737</v>
      </c>
      <c r="U269" s="552">
        <f>Speed!AK115</f>
        <v>41.099837147249247</v>
      </c>
      <c r="V269" s="552">
        <f>Speed!AL115</f>
        <v>41.099819433478061</v>
      </c>
      <c r="W269" s="552">
        <f>Speed!AM115</f>
        <v>41.099800004112645</v>
      </c>
      <c r="X269" s="552">
        <f>Speed!AN115</f>
        <v>41.099778713017592</v>
      </c>
      <c r="Y269" s="552">
        <f>Speed!AO115</f>
        <v>41.099755333487764</v>
      </c>
      <c r="Z269" s="552">
        <f>Speed!AP115</f>
        <v>41.099729830227254</v>
      </c>
      <c r="AA269" s="552">
        <f>Speed!AQ115</f>
        <v>41.099701875520481</v>
      </c>
      <c r="AB269" s="552">
        <f>Speed!AR115</f>
        <v>41.099671435026814</v>
      </c>
      <c r="AC269" s="552">
        <f>Speed!AS115</f>
        <v>41.099638225218428</v>
      </c>
      <c r="AD269" s="552">
        <f>Speed!AT115</f>
        <v>41.099601916217836</v>
      </c>
      <c r="AE269" s="552">
        <f>Speed!AU115</f>
        <v>41.099562477650608</v>
      </c>
      <c r="AF269" s="552">
        <f>Speed!AV115</f>
        <v>41.099519556825001</v>
      </c>
      <c r="AG269" s="700">
        <f>Speed!AW115</f>
        <v>41.099472743791047</v>
      </c>
      <c r="AH269" s="18"/>
      <c r="AI269" s="18"/>
      <c r="AJ269" s="18"/>
      <c r="AK269" s="18"/>
      <c r="AL269" s="18"/>
      <c r="AM269" s="18"/>
      <c r="AN269" s="18"/>
    </row>
    <row r="270" spans="2:40" ht="21.9" customHeight="1" x14ac:dyDescent="0.25">
      <c r="B270" s="680"/>
      <c r="C270" s="114"/>
      <c r="D270" s="237"/>
      <c r="E270" s="1327"/>
      <c r="F270" s="114" t="s">
        <v>320</v>
      </c>
      <c r="G270" s="114" t="s">
        <v>282</v>
      </c>
      <c r="H270" s="552">
        <f>Speed!X116</f>
        <v>41.1</v>
      </c>
      <c r="I270" s="552">
        <f>Speed!Y116</f>
        <v>41.1</v>
      </c>
      <c r="J270" s="552">
        <f>Speed!Z116</f>
        <v>41.1</v>
      </c>
      <c r="K270" s="552">
        <f>Speed!AA116</f>
        <v>41.099999999994417</v>
      </c>
      <c r="L270" s="552">
        <f>Speed!AB116</f>
        <v>41.099999999537111</v>
      </c>
      <c r="M270" s="552">
        <f>Speed!AC116</f>
        <v>41.099999990190398</v>
      </c>
      <c r="N270" s="552">
        <f>Speed!AD116</f>
        <v>41.099999898693142</v>
      </c>
      <c r="O270" s="552">
        <f>Speed!AE116</f>
        <v>41.099999327050369</v>
      </c>
      <c r="P270" s="552">
        <f>Speed!AF116</f>
        <v>41.099997653760163</v>
      </c>
      <c r="Q270" s="552">
        <f>Speed!AG116</f>
        <v>41.099992878726958</v>
      </c>
      <c r="R270" s="552">
        <f>Speed!AH116</f>
        <v>41.099980660356351</v>
      </c>
      <c r="S270" s="552">
        <f>Speed!AI116</f>
        <v>41.099952037621648</v>
      </c>
      <c r="T270" s="552">
        <f>Speed!AJ116</f>
        <v>41.099889604819737</v>
      </c>
      <c r="U270" s="552">
        <f>Speed!AK116</f>
        <v>41.099837147249247</v>
      </c>
      <c r="V270" s="552">
        <f>Speed!AL116</f>
        <v>41.099819433478061</v>
      </c>
      <c r="W270" s="552">
        <f>Speed!AM116</f>
        <v>41.099800004112645</v>
      </c>
      <c r="X270" s="552">
        <f>Speed!AN116</f>
        <v>41.099778713017592</v>
      </c>
      <c r="Y270" s="552">
        <f>Speed!AO116</f>
        <v>41.099755333487764</v>
      </c>
      <c r="Z270" s="552">
        <f>Speed!AP116</f>
        <v>41.099729830227254</v>
      </c>
      <c r="AA270" s="552">
        <f>Speed!AQ116</f>
        <v>41.099701875520481</v>
      </c>
      <c r="AB270" s="552">
        <f>Speed!AR116</f>
        <v>41.099671435026814</v>
      </c>
      <c r="AC270" s="552">
        <f>Speed!AS116</f>
        <v>41.099638225218428</v>
      </c>
      <c r="AD270" s="552">
        <f>Speed!AT116</f>
        <v>41.099601916217836</v>
      </c>
      <c r="AE270" s="552">
        <f>Speed!AU116</f>
        <v>41.099562477650608</v>
      </c>
      <c r="AF270" s="552">
        <f>Speed!AV116</f>
        <v>41.099519556825001</v>
      </c>
      <c r="AG270" s="700">
        <f>Speed!AW116</f>
        <v>41.099472743791047</v>
      </c>
      <c r="AH270" s="18"/>
      <c r="AI270" s="18"/>
      <c r="AJ270" s="18"/>
      <c r="AK270" s="18"/>
      <c r="AL270" s="18"/>
      <c r="AM270" s="18"/>
      <c r="AN270" s="18"/>
    </row>
    <row r="271" spans="2:40" ht="21.9" customHeight="1" x14ac:dyDescent="0.25">
      <c r="B271" s="680"/>
      <c r="C271" s="114"/>
      <c r="D271" s="237"/>
      <c r="E271" s="1327"/>
      <c r="F271" s="114" t="s">
        <v>282</v>
      </c>
      <c r="G271" s="114" t="s">
        <v>321</v>
      </c>
      <c r="H271" s="552">
        <f>Speed!X117</f>
        <v>41.1</v>
      </c>
      <c r="I271" s="552">
        <f>Speed!Y117</f>
        <v>41.1</v>
      </c>
      <c r="J271" s="552">
        <f>Speed!Z117</f>
        <v>41.1</v>
      </c>
      <c r="K271" s="552">
        <f>Speed!AA117</f>
        <v>41.099999999994417</v>
      </c>
      <c r="L271" s="552">
        <f>Speed!AB117</f>
        <v>41.099999999537111</v>
      </c>
      <c r="M271" s="552">
        <f>Speed!AC117</f>
        <v>41.099999990190398</v>
      </c>
      <c r="N271" s="552">
        <f>Speed!AD117</f>
        <v>41.099999898693142</v>
      </c>
      <c r="O271" s="552">
        <f>Speed!AE117</f>
        <v>41.099999327050369</v>
      </c>
      <c r="P271" s="552">
        <f>Speed!AF117</f>
        <v>41.099997653760163</v>
      </c>
      <c r="Q271" s="552">
        <f>Speed!AG117</f>
        <v>41.099992878726958</v>
      </c>
      <c r="R271" s="552">
        <f>Speed!AH117</f>
        <v>41.099980660356351</v>
      </c>
      <c r="S271" s="552">
        <f>Speed!AI117</f>
        <v>41.099952037621648</v>
      </c>
      <c r="T271" s="552">
        <f>Speed!AJ117</f>
        <v>41.099889604819737</v>
      </c>
      <c r="U271" s="552">
        <f>Speed!AK117</f>
        <v>41.099837147249247</v>
      </c>
      <c r="V271" s="552">
        <f>Speed!AL117</f>
        <v>41.099819433478061</v>
      </c>
      <c r="W271" s="552">
        <f>Speed!AM117</f>
        <v>41.099800004112645</v>
      </c>
      <c r="X271" s="552">
        <f>Speed!AN117</f>
        <v>41.099778713017592</v>
      </c>
      <c r="Y271" s="552">
        <f>Speed!AO117</f>
        <v>41.099755333487764</v>
      </c>
      <c r="Z271" s="552">
        <f>Speed!AP117</f>
        <v>41.099729830227254</v>
      </c>
      <c r="AA271" s="552">
        <f>Speed!AQ117</f>
        <v>41.099701875520481</v>
      </c>
      <c r="AB271" s="552">
        <f>Speed!AR117</f>
        <v>41.099671435026814</v>
      </c>
      <c r="AC271" s="552">
        <f>Speed!AS117</f>
        <v>41.099638225218428</v>
      </c>
      <c r="AD271" s="552">
        <f>Speed!AT117</f>
        <v>41.099601916217836</v>
      </c>
      <c r="AE271" s="552">
        <f>Speed!AU117</f>
        <v>41.099562477650608</v>
      </c>
      <c r="AF271" s="552">
        <f>Speed!AV117</f>
        <v>41.099519556825001</v>
      </c>
      <c r="AG271" s="700">
        <f>Speed!AW117</f>
        <v>41.099472743791047</v>
      </c>
      <c r="AH271" s="18"/>
      <c r="AI271" s="18"/>
      <c r="AJ271" s="18"/>
      <c r="AK271" s="18"/>
      <c r="AL271" s="18"/>
      <c r="AM271" s="18"/>
      <c r="AN271" s="18"/>
    </row>
    <row r="272" spans="2:40" ht="21.9" customHeight="1" x14ac:dyDescent="0.25">
      <c r="B272" s="680"/>
      <c r="C272" s="114"/>
      <c r="D272" s="237"/>
      <c r="E272" s="1339"/>
      <c r="F272" s="250" t="s">
        <v>321</v>
      </c>
      <c r="G272" s="250" t="s">
        <v>274</v>
      </c>
      <c r="H272" s="552">
        <f>Speed!X118</f>
        <v>41.1</v>
      </c>
      <c r="I272" s="552">
        <f>Speed!Y118</f>
        <v>41.1</v>
      </c>
      <c r="J272" s="552">
        <f>Speed!Z118</f>
        <v>41.1</v>
      </c>
      <c r="K272" s="552">
        <f>Speed!AA118</f>
        <v>41.099999999999994</v>
      </c>
      <c r="L272" s="552">
        <f>Speed!AB118</f>
        <v>41.099999999999746</v>
      </c>
      <c r="M272" s="552">
        <f>Speed!AC118</f>
        <v>41.099999999996534</v>
      </c>
      <c r="N272" s="552">
        <f>Speed!AD118</f>
        <v>41.099999999972717</v>
      </c>
      <c r="O272" s="552">
        <f>Speed!AE118</f>
        <v>41.099999999849366</v>
      </c>
      <c r="P272" s="552">
        <f>Speed!AF118</f>
        <v>41.09999999565099</v>
      </c>
      <c r="Q272" s="552">
        <f>Speed!AG118</f>
        <v>41.099999946420276</v>
      </c>
      <c r="R272" s="552">
        <f>Speed!AH118</f>
        <v>41.099999601975071</v>
      </c>
      <c r="S272" s="552">
        <f>Speed!AI118</f>
        <v>41.099997884952387</v>
      </c>
      <c r="T272" s="552">
        <f>Speed!AJ118</f>
        <v>41.099991155889384</v>
      </c>
      <c r="U272" s="552">
        <f>Speed!AK118</f>
        <v>41.099976722031698</v>
      </c>
      <c r="V272" s="552">
        <f>Speed!AL118</f>
        <v>41.099972936560661</v>
      </c>
      <c r="W272" s="552">
        <f>Speed!AM118</f>
        <v>41.099968605792853</v>
      </c>
      <c r="X272" s="552">
        <f>Speed!AN118</f>
        <v>41.099963660990575</v>
      </c>
      <c r="Y272" s="552">
        <f>Speed!AO118</f>
        <v>41.09995804431113</v>
      </c>
      <c r="Z272" s="552">
        <f>Speed!AP118</f>
        <v>41.09995163718488</v>
      </c>
      <c r="AA272" s="552">
        <f>Speed!AQ118</f>
        <v>41.09994438618817</v>
      </c>
      <c r="AB272" s="552">
        <f>Speed!AR118</f>
        <v>41.099936144246342</v>
      </c>
      <c r="AC272" s="552">
        <f>Speed!AS118</f>
        <v>41.099926818842306</v>
      </c>
      <c r="AD272" s="552">
        <f>Speed!AT118</f>
        <v>41.099916319349141</v>
      </c>
      <c r="AE272" s="552">
        <f>Speed!AU118</f>
        <v>41.099904444541977</v>
      </c>
      <c r="AF272" s="552">
        <f>Speed!AV118</f>
        <v>41.099891074093556</v>
      </c>
      <c r="AG272" s="700">
        <f>Speed!AW118</f>
        <v>41.099876091499425</v>
      </c>
      <c r="AH272" s="18"/>
      <c r="AI272" s="18"/>
      <c r="AJ272" s="18"/>
      <c r="AK272" s="18"/>
      <c r="AL272" s="18"/>
      <c r="AM272" s="18"/>
      <c r="AN272" s="18"/>
    </row>
    <row r="273" spans="2:40" ht="21.9" customHeight="1" x14ac:dyDescent="0.25">
      <c r="B273" s="680"/>
      <c r="C273" s="114"/>
      <c r="D273" s="237"/>
      <c r="E273" s="114" t="s">
        <v>282</v>
      </c>
      <c r="F273" s="114" t="s">
        <v>308</v>
      </c>
      <c r="G273" s="114" t="s">
        <v>324</v>
      </c>
      <c r="H273" s="552">
        <f>Speed!X119</f>
        <v>27.799996573650304</v>
      </c>
      <c r="I273" s="552">
        <f>Speed!Y119</f>
        <v>27.799993777195358</v>
      </c>
      <c r="J273" s="552">
        <f>Speed!Z119</f>
        <v>27.799986975349313</v>
      </c>
      <c r="K273" s="552">
        <f>Speed!AA119</f>
        <v>27.799967833461142</v>
      </c>
      <c r="L273" s="552">
        <f>Speed!AB119</f>
        <v>27.799926281669954</v>
      </c>
      <c r="M273" s="552">
        <f>Speed!AC119</f>
        <v>27.799841203645585</v>
      </c>
      <c r="N273" s="552">
        <f>Speed!AD119</f>
        <v>27.79967669831025</v>
      </c>
      <c r="O273" s="552">
        <f>Speed!AE119</f>
        <v>27.799371694072853</v>
      </c>
      <c r="P273" s="552">
        <f>Speed!AF119</f>
        <v>27.798889403167927</v>
      </c>
      <c r="Q273" s="552">
        <f>Speed!AG119</f>
        <v>27.798097133959946</v>
      </c>
      <c r="R273" s="552">
        <f>Speed!AH119</f>
        <v>27.796826817912002</v>
      </c>
      <c r="S273" s="552">
        <f>Speed!AI119</f>
        <v>27.794838802109531</v>
      </c>
      <c r="T273" s="552">
        <f>Speed!AJ119</f>
        <v>27.791779783853919</v>
      </c>
      <c r="U273" s="552">
        <f>Speed!AK119</f>
        <v>27.788628027983805</v>
      </c>
      <c r="V273" s="552">
        <f>Speed!AL119</f>
        <v>27.785110132339646</v>
      </c>
      <c r="W273" s="552">
        <f>Speed!AM119</f>
        <v>27.780642207182566</v>
      </c>
      <c r="X273" s="552">
        <f>Speed!AN119</f>
        <v>27.775003183800138</v>
      </c>
      <c r="Y273" s="552">
        <f>Speed!AO119</f>
        <v>27.76791997141747</v>
      </c>
      <c r="Z273" s="552">
        <f>Speed!AP119</f>
        <v>27.759092642523797</v>
      </c>
      <c r="AA273" s="552">
        <f>Speed!AQ119</f>
        <v>27.748111473844421</v>
      </c>
      <c r="AB273" s="552">
        <f>Speed!AR119</f>
        <v>27.734588856677664</v>
      </c>
      <c r="AC273" s="552">
        <f>Speed!AS119</f>
        <v>27.717984203552998</v>
      </c>
      <c r="AD273" s="552">
        <f>Speed!AT119</f>
        <v>27.697669897651004</v>
      </c>
      <c r="AE273" s="552">
        <f>Speed!AU119</f>
        <v>27.672987919462162</v>
      </c>
      <c r="AF273" s="552">
        <f>Speed!AV119</f>
        <v>27.643107025794087</v>
      </c>
      <c r="AG273" s="700">
        <f>Speed!AW119</f>
        <v>27.606997205878951</v>
      </c>
      <c r="AH273" s="18"/>
      <c r="AI273" s="18"/>
      <c r="AJ273" s="18"/>
      <c r="AK273" s="18"/>
      <c r="AL273" s="18"/>
      <c r="AM273" s="18"/>
      <c r="AN273" s="18"/>
    </row>
    <row r="274" spans="2:40" ht="21.9" customHeight="1" x14ac:dyDescent="0.25">
      <c r="B274" s="680"/>
      <c r="C274" s="114"/>
      <c r="D274" s="237"/>
      <c r="E274" s="273" t="s">
        <v>321</v>
      </c>
      <c r="F274" s="273" t="s">
        <v>318</v>
      </c>
      <c r="G274" s="273" t="s">
        <v>308</v>
      </c>
      <c r="H274" s="552" t="e">
        <f>Speed!X120</f>
        <v>#DIV/0!</v>
      </c>
      <c r="I274" s="552" t="e">
        <f>Speed!Y120</f>
        <v>#DIV/0!</v>
      </c>
      <c r="J274" s="552" t="e">
        <f>Speed!Z120</f>
        <v>#DIV/0!</v>
      </c>
      <c r="K274" s="552" t="e">
        <f>Speed!AA120</f>
        <v>#DIV/0!</v>
      </c>
      <c r="L274" s="552" t="e">
        <f>Speed!AB120</f>
        <v>#DIV/0!</v>
      </c>
      <c r="M274" s="552" t="e">
        <f>Speed!AC120</f>
        <v>#DIV/0!</v>
      </c>
      <c r="N274" s="552" t="e">
        <f>Speed!AD120</f>
        <v>#DIV/0!</v>
      </c>
      <c r="O274" s="552" t="e">
        <f>Speed!AE120</f>
        <v>#DIV/0!</v>
      </c>
      <c r="P274" s="552" t="e">
        <f>Speed!AF120</f>
        <v>#DIV/0!</v>
      </c>
      <c r="Q274" s="552" t="e">
        <f>Speed!AG120</f>
        <v>#DIV/0!</v>
      </c>
      <c r="R274" s="552" t="e">
        <f>Speed!AH120</f>
        <v>#DIV/0!</v>
      </c>
      <c r="S274" s="552" t="e">
        <f>Speed!AI120</f>
        <v>#DIV/0!</v>
      </c>
      <c r="T274" s="552" t="e">
        <f>Speed!AJ120</f>
        <v>#DIV/0!</v>
      </c>
      <c r="U274" s="552" t="e">
        <f>Speed!AK120</f>
        <v>#DIV/0!</v>
      </c>
      <c r="V274" s="552" t="e">
        <f>Speed!AL120</f>
        <v>#DIV/0!</v>
      </c>
      <c r="W274" s="552" t="e">
        <f>Speed!AM120</f>
        <v>#DIV/0!</v>
      </c>
      <c r="X274" s="552" t="e">
        <f>Speed!AN120</f>
        <v>#DIV/0!</v>
      </c>
      <c r="Y274" s="552" t="e">
        <f>Speed!AO120</f>
        <v>#DIV/0!</v>
      </c>
      <c r="Z274" s="552" t="e">
        <f>Speed!AP120</f>
        <v>#DIV/0!</v>
      </c>
      <c r="AA274" s="552" t="e">
        <f>Speed!AQ120</f>
        <v>#DIV/0!</v>
      </c>
      <c r="AB274" s="552" t="e">
        <f>Speed!AR120</f>
        <v>#DIV/0!</v>
      </c>
      <c r="AC274" s="552" t="e">
        <f>Speed!AS120</f>
        <v>#DIV/0!</v>
      </c>
      <c r="AD274" s="552" t="e">
        <f>Speed!AT120</f>
        <v>#DIV/0!</v>
      </c>
      <c r="AE274" s="552" t="e">
        <f>Speed!AU120</f>
        <v>#DIV/0!</v>
      </c>
      <c r="AF274" s="552" t="e">
        <f>Speed!AV120</f>
        <v>#DIV/0!</v>
      </c>
      <c r="AG274" s="700" t="e">
        <f>Speed!AW120</f>
        <v>#DIV/0!</v>
      </c>
      <c r="AH274" s="18"/>
      <c r="AI274" s="18"/>
      <c r="AJ274" s="18"/>
      <c r="AK274" s="18"/>
      <c r="AL274" s="18"/>
      <c r="AM274" s="18"/>
      <c r="AN274" s="18"/>
    </row>
    <row r="275" spans="2:40" ht="21.9" customHeight="1" x14ac:dyDescent="0.25">
      <c r="B275" s="680"/>
      <c r="C275" s="114"/>
      <c r="D275" s="237"/>
      <c r="E275" s="273" t="s">
        <v>333</v>
      </c>
      <c r="F275" s="273" t="s">
        <v>319</v>
      </c>
      <c r="G275" s="273" t="s">
        <v>308</v>
      </c>
      <c r="H275" s="552">
        <f>Speed!X121</f>
        <v>31.89597447271742</v>
      </c>
      <c r="I275" s="552">
        <f>Speed!Y121</f>
        <v>31.895386397882593</v>
      </c>
      <c r="J275" s="552">
        <f>Speed!Z121</f>
        <v>31.894185286739393</v>
      </c>
      <c r="K275" s="552">
        <f>Speed!AA121</f>
        <v>31.892078650684784</v>
      </c>
      <c r="L275" s="552">
        <f>Speed!AB121</f>
        <v>31.88930731133809</v>
      </c>
      <c r="M275" s="552">
        <f>Speed!AC121</f>
        <v>31.885686476842388</v>
      </c>
      <c r="N275" s="552">
        <f>Speed!AD121</f>
        <v>31.881007933094075</v>
      </c>
      <c r="O275" s="552">
        <f>Speed!AE121</f>
        <v>31.874972954449184</v>
      </c>
      <c r="P275" s="552">
        <f>Speed!AF121</f>
        <v>31.869828344256412</v>
      </c>
      <c r="Q275" s="552">
        <f>Speed!AG121</f>
        <v>31.863751242752929</v>
      </c>
      <c r="R275" s="552">
        <f>Speed!AH121</f>
        <v>31.856594693279405</v>
      </c>
      <c r="S275" s="552">
        <f>Speed!AI121</f>
        <v>31.848195379185306</v>
      </c>
      <c r="T275" s="552">
        <f>Speed!AJ121</f>
        <v>31.838288419997181</v>
      </c>
      <c r="U275" s="552">
        <f>Speed!AK121</f>
        <v>31.831543198799192</v>
      </c>
      <c r="V275" s="552">
        <f>Speed!AL121</f>
        <v>31.824143432118834</v>
      </c>
      <c r="W275" s="552">
        <f>Speed!AM121</f>
        <v>31.816033679455259</v>
      </c>
      <c r="X275" s="552">
        <f>Speed!AN121</f>
        <v>31.807154522338521</v>
      </c>
      <c r="Y275" s="552">
        <f>Speed!AO121</f>
        <v>31.797372495361824</v>
      </c>
      <c r="Z275" s="552">
        <f>Speed!AP121</f>
        <v>31.786752785984007</v>
      </c>
      <c r="AA275" s="552">
        <f>Speed!AQ121</f>
        <v>31.775112203344161</v>
      </c>
      <c r="AB275" s="552">
        <f>Speed!AR121</f>
        <v>31.762461949675718</v>
      </c>
      <c r="AC275" s="552">
        <f>Speed!AS121</f>
        <v>31.748676495119984</v>
      </c>
      <c r="AD275" s="552">
        <f>Speed!AT121</f>
        <v>31.733559842314076</v>
      </c>
      <c r="AE275" s="552">
        <f>Speed!AU121</f>
        <v>31.717223968705103</v>
      </c>
      <c r="AF275" s="552">
        <f>Speed!AV121</f>
        <v>31.699469923924529</v>
      </c>
      <c r="AG275" s="700">
        <f>Speed!AW121</f>
        <v>31.68011430277004</v>
      </c>
      <c r="AH275" s="18"/>
      <c r="AI275" s="18"/>
      <c r="AJ275" s="18"/>
      <c r="AK275" s="18"/>
      <c r="AL275" s="18"/>
      <c r="AM275" s="18"/>
      <c r="AN275" s="18"/>
    </row>
    <row r="276" spans="2:40" ht="21.9" customHeight="1" x14ac:dyDescent="0.25">
      <c r="B276" s="680"/>
      <c r="C276" s="114"/>
      <c r="D276" s="237"/>
      <c r="E276" s="114" t="s">
        <v>319</v>
      </c>
      <c r="F276" s="114" t="s">
        <v>276</v>
      </c>
      <c r="G276" s="114" t="s">
        <v>333</v>
      </c>
      <c r="H276" s="552">
        <f>Speed!X122</f>
        <v>55.89999031092723</v>
      </c>
      <c r="I276" s="552">
        <f>Speed!Y122</f>
        <v>55.899987126230656</v>
      </c>
      <c r="J276" s="552">
        <f>Speed!Z122</f>
        <v>55.899982643601014</v>
      </c>
      <c r="K276" s="552">
        <f>Speed!AA122</f>
        <v>55.899974541814309</v>
      </c>
      <c r="L276" s="552">
        <f>Speed!AB122</f>
        <v>55.899963180055515</v>
      </c>
      <c r="M276" s="552">
        <f>Speed!AC122</f>
        <v>55.899947434901584</v>
      </c>
      <c r="N276" s="552">
        <f>Speed!AD122</f>
        <v>55.899925884169683</v>
      </c>
      <c r="O276" s="552">
        <f>Speed!AE122</f>
        <v>55.899896675024308</v>
      </c>
      <c r="P276" s="552">
        <f>Speed!AF122</f>
        <v>55.899852893582882</v>
      </c>
      <c r="Q276" s="552">
        <f>Speed!AG122</f>
        <v>55.899793093538648</v>
      </c>
      <c r="R276" s="552">
        <f>Speed!AH122</f>
        <v>55.899712210031119</v>
      </c>
      <c r="S276" s="552">
        <f>Speed!AI122</f>
        <v>55.899603905138264</v>
      </c>
      <c r="T276" s="552">
        <f>Speed!AJ122</f>
        <v>55.89946011203655</v>
      </c>
      <c r="U276" s="552">
        <f>Speed!AK122</f>
        <v>55.899317897267252</v>
      </c>
      <c r="V276" s="552">
        <f>Speed!AL122</f>
        <v>55.89917794398319</v>
      </c>
      <c r="W276" s="552">
        <f>Speed!AM122</f>
        <v>55.899012657530136</v>
      </c>
      <c r="X276" s="552">
        <f>Speed!AN122</f>
        <v>55.898818040992687</v>
      </c>
      <c r="Y276" s="552">
        <f>Speed!AO122</f>
        <v>55.898589581962291</v>
      </c>
      <c r="Z276" s="552">
        <f>Speed!AP122</f>
        <v>55.898322092426035</v>
      </c>
      <c r="AA276" s="552">
        <f>Speed!AQ122</f>
        <v>55.898009818357338</v>
      </c>
      <c r="AB276" s="552">
        <f>Speed!AR122</f>
        <v>55.897646140733599</v>
      </c>
      <c r="AC276" s="552">
        <f>Speed!AS122</f>
        <v>55.897223711409815</v>
      </c>
      <c r="AD276" s="552">
        <f>Speed!AT122</f>
        <v>55.896734296175971</v>
      </c>
      <c r="AE276" s="552">
        <f>Speed!AU122</f>
        <v>55.896168499729342</v>
      </c>
      <c r="AF276" s="552">
        <f>Speed!AV122</f>
        <v>55.895515967253118</v>
      </c>
      <c r="AG276" s="700">
        <f>Speed!AW122</f>
        <v>55.894765161250419</v>
      </c>
      <c r="AH276" s="18"/>
      <c r="AI276" s="18"/>
      <c r="AJ276" s="18"/>
      <c r="AK276" s="18"/>
      <c r="AL276" s="18"/>
      <c r="AM276" s="18"/>
      <c r="AN276" s="18"/>
    </row>
    <row r="277" spans="2:40" ht="21.9" customHeight="1" x14ac:dyDescent="0.25">
      <c r="B277" s="680"/>
      <c r="C277" s="114"/>
      <c r="D277" s="237"/>
      <c r="E277" s="114"/>
      <c r="F277" s="114" t="s">
        <v>333</v>
      </c>
      <c r="G277" s="114" t="s">
        <v>323</v>
      </c>
      <c r="H277" s="552">
        <f>Speed!X123</f>
        <v>55.899999377100173</v>
      </c>
      <c r="I277" s="552">
        <f>Speed!Y123</f>
        <v>55.899999175935712</v>
      </c>
      <c r="J277" s="552">
        <f>Speed!Z123</f>
        <v>55.899998885768397</v>
      </c>
      <c r="K277" s="552">
        <f>Speed!AA123</f>
        <v>55.899998323338593</v>
      </c>
      <c r="L277" s="552">
        <f>Speed!AB123</f>
        <v>55.89999751699942</v>
      </c>
      <c r="M277" s="552">
        <f>Speed!AC123</f>
        <v>55.899996376753322</v>
      </c>
      <c r="N277" s="552">
        <f>Speed!AD123</f>
        <v>55.899994785869225</v>
      </c>
      <c r="O277" s="552">
        <f>Speed!AE123</f>
        <v>55.899992591639737</v>
      </c>
      <c r="P277" s="552">
        <f>Speed!AF123</f>
        <v>55.899989160499366</v>
      </c>
      <c r="Q277" s="552">
        <f>Speed!AG123</f>
        <v>55.899984361973189</v>
      </c>
      <c r="R277" s="552">
        <f>Speed!AH123</f>
        <v>55.89997772701539</v>
      </c>
      <c r="S277" s="552">
        <f>Speed!AI123</f>
        <v>55.899968657929954</v>
      </c>
      <c r="T277" s="552">
        <f>Speed!AJ123</f>
        <v>55.899956388718934</v>
      </c>
      <c r="U277" s="552">
        <f>Speed!AK123</f>
        <v>55.899944617626161</v>
      </c>
      <c r="V277" s="552">
        <f>Speed!AL123</f>
        <v>55.899933723717304</v>
      </c>
      <c r="W277" s="552">
        <f>Speed!AM123</f>
        <v>55.899920937788821</v>
      </c>
      <c r="X277" s="552">
        <f>Speed!AN123</f>
        <v>55.89990597318905</v>
      </c>
      <c r="Y277" s="552">
        <f>Speed!AO123</f>
        <v>55.899888515566317</v>
      </c>
      <c r="Z277" s="552">
        <f>Speed!AP123</f>
        <v>55.899868181922834</v>
      </c>
      <c r="AA277" s="552">
        <f>Speed!AQ123</f>
        <v>55.899844582281716</v>
      </c>
      <c r="AB277" s="552">
        <f>Speed!AR123</f>
        <v>55.899817230912355</v>
      </c>
      <c r="AC277" s="552">
        <f>Speed!AS123</f>
        <v>55.899785621202099</v>
      </c>
      <c r="AD277" s="552">
        <f>Speed!AT123</f>
        <v>55.899749193635479</v>
      </c>
      <c r="AE277" s="552">
        <f>Speed!AU123</f>
        <v>55.89970726403952</v>
      </c>
      <c r="AF277" s="552">
        <f>Speed!AV123</f>
        <v>55.899659127910603</v>
      </c>
      <c r="AG277" s="700">
        <f>Speed!AW123</f>
        <v>55.899604011713457</v>
      </c>
      <c r="AH277" s="18"/>
      <c r="AI277" s="18"/>
      <c r="AJ277" s="18"/>
      <c r="AK277" s="18"/>
      <c r="AL277" s="18"/>
      <c r="AM277" s="18"/>
      <c r="AN277" s="18"/>
    </row>
    <row r="278" spans="2:40" ht="21.9" customHeight="1" x14ac:dyDescent="0.25">
      <c r="B278" s="680"/>
      <c r="C278" s="114"/>
      <c r="D278" s="237"/>
      <c r="E278" s="114"/>
      <c r="F278" s="114" t="s">
        <v>323</v>
      </c>
      <c r="G278" s="114" t="s">
        <v>322</v>
      </c>
      <c r="H278" s="552">
        <f>Speed!X124</f>
        <v>45.899998608523049</v>
      </c>
      <c r="I278" s="552">
        <f>Speed!Y124</f>
        <v>45.899998159147884</v>
      </c>
      <c r="J278" s="552">
        <f>Speed!Z124</f>
        <v>45.899997510951991</v>
      </c>
      <c r="K278" s="552">
        <f>Speed!AA124</f>
        <v>45.899996254557266</v>
      </c>
      <c r="L278" s="552">
        <f>Speed!AB124</f>
        <v>45.899994453300941</v>
      </c>
      <c r="M278" s="552">
        <f>Speed!AC124</f>
        <v>45.899991906140343</v>
      </c>
      <c r="N278" s="552">
        <f>Speed!AD124</f>
        <v>45.89998835231372</v>
      </c>
      <c r="O278" s="552">
        <f>Speed!AE124</f>
        <v>45.899983450693085</v>
      </c>
      <c r="P278" s="552">
        <f>Speed!AF124</f>
        <v>45.899975785977276</v>
      </c>
      <c r="Q278" s="552">
        <f>Speed!AG124</f>
        <v>45.899965066704318</v>
      </c>
      <c r="R278" s="552">
        <f>Speed!AH124</f>
        <v>45.899950245091176</v>
      </c>
      <c r="S278" s="552">
        <f>Speed!AI124</f>
        <v>45.899929985970488</v>
      </c>
      <c r="T278" s="552">
        <f>Speed!AJ124</f>
        <v>45.899902578216363</v>
      </c>
      <c r="U278" s="552">
        <f>Speed!AK124</f>
        <v>45.899876283210311</v>
      </c>
      <c r="V278" s="552">
        <f>Speed!AL124</f>
        <v>45.899851947729779</v>
      </c>
      <c r="W278" s="552">
        <f>Speed!AM124</f>
        <v>45.899823385760769</v>
      </c>
      <c r="X278" s="552">
        <f>Speed!AN124</f>
        <v>45.899789956974537</v>
      </c>
      <c r="Y278" s="552">
        <f>Speed!AO124</f>
        <v>45.899750959168742</v>
      </c>
      <c r="Z278" s="552">
        <f>Speed!AP124</f>
        <v>45.899705536801093</v>
      </c>
      <c r="AA278" s="552">
        <f>Speed!AQ124</f>
        <v>45.899652818746638</v>
      </c>
      <c r="AB278" s="552">
        <f>Speed!AR124</f>
        <v>45.899591719990426</v>
      </c>
      <c r="AC278" s="552">
        <f>Speed!AS124</f>
        <v>45.899521108883178</v>
      </c>
      <c r="AD278" s="552">
        <f>Speed!AT124</f>
        <v>45.89943973561509</v>
      </c>
      <c r="AE278" s="552">
        <f>Speed!AU124</f>
        <v>45.899346071932868</v>
      </c>
      <c r="AF278" s="552">
        <f>Speed!AV124</f>
        <v>45.899238544195455</v>
      </c>
      <c r="AG278" s="700">
        <f>Speed!AW124</f>
        <v>45.899115424591251</v>
      </c>
      <c r="AH278" s="18"/>
      <c r="AI278" s="18"/>
      <c r="AJ278" s="18"/>
      <c r="AK278" s="18"/>
      <c r="AL278" s="18"/>
      <c r="AM278" s="18"/>
      <c r="AN278" s="18"/>
    </row>
    <row r="279" spans="2:40" ht="21.9" customHeight="1" x14ac:dyDescent="0.25">
      <c r="B279" s="680"/>
      <c r="C279" s="114"/>
      <c r="D279" s="237"/>
      <c r="E279" s="114"/>
      <c r="F279" s="114" t="s">
        <v>322</v>
      </c>
      <c r="G279" s="114" t="s">
        <v>326</v>
      </c>
      <c r="H279" s="552">
        <f>Speed!X125</f>
        <v>45.899999869126233</v>
      </c>
      <c r="I279" s="552">
        <f>Speed!Y125</f>
        <v>45.8999998269027</v>
      </c>
      <c r="J279" s="552">
        <f>Speed!Z125</f>
        <v>45.899999764143068</v>
      </c>
      <c r="K279" s="552">
        <f>Speed!AA125</f>
        <v>45.899999654465667</v>
      </c>
      <c r="L279" s="552">
        <f>Speed!AB125</f>
        <v>45.899999500789512</v>
      </c>
      <c r="M279" s="552">
        <f>Speed!AC125</f>
        <v>45.899999288163151</v>
      </c>
      <c r="N279" s="552">
        <f>Speed!AD125</f>
        <v>45.899998997295938</v>
      </c>
      <c r="O279" s="552">
        <f>Speed!AE125</f>
        <v>45.899998603424784</v>
      </c>
      <c r="P279" s="552">
        <f>Speed!AF125</f>
        <v>45.899997994806959</v>
      </c>
      <c r="Q279" s="552">
        <f>Speed!AG125</f>
        <v>45.899997157121881</v>
      </c>
      <c r="R279" s="552">
        <f>Speed!AH125</f>
        <v>45.899996016811997</v>
      </c>
      <c r="S279" s="552">
        <f>Speed!AI125</f>
        <v>45.899994479937256</v>
      </c>
      <c r="T279" s="552">
        <f>Speed!AJ125</f>
        <v>45.899992428134517</v>
      </c>
      <c r="U279" s="552">
        <f>Speed!AK125</f>
        <v>45.899990295754669</v>
      </c>
      <c r="V279" s="552">
        <f>Speed!AL125</f>
        <v>45.899988350826568</v>
      </c>
      <c r="W279" s="552">
        <f>Speed!AM125</f>
        <v>45.899986061847436</v>
      </c>
      <c r="X279" s="552">
        <f>Speed!AN125</f>
        <v>45.899983375743055</v>
      </c>
      <c r="Y279" s="552">
        <f>Speed!AO125</f>
        <v>45.899980233405877</v>
      </c>
      <c r="Z279" s="552">
        <f>Speed!AP125</f>
        <v>45.899976565087002</v>
      </c>
      <c r="AA279" s="552">
        <f>Speed!AQ125</f>
        <v>45.899972296405011</v>
      </c>
      <c r="AB279" s="552">
        <f>Speed!AR125</f>
        <v>45.899967338685457</v>
      </c>
      <c r="AC279" s="552">
        <f>Speed!AS125</f>
        <v>45.899961596291647</v>
      </c>
      <c r="AD279" s="552">
        <f>Speed!AT125</f>
        <v>45.899954962801154</v>
      </c>
      <c r="AE279" s="552">
        <f>Speed!AU125</f>
        <v>45.899947312919259</v>
      </c>
      <c r="AF279" s="552">
        <f>Speed!AV125</f>
        <v>45.899938512830701</v>
      </c>
      <c r="AG279" s="700">
        <f>Speed!AW125</f>
        <v>45.899928414475553</v>
      </c>
      <c r="AH279" s="18"/>
      <c r="AI279" s="18"/>
      <c r="AJ279" s="18"/>
      <c r="AK279" s="18"/>
      <c r="AL279" s="18"/>
      <c r="AM279" s="18"/>
      <c r="AN279" s="18"/>
    </row>
    <row r="280" spans="2:40" ht="21.9" customHeight="1" x14ac:dyDescent="0.25">
      <c r="B280" s="680"/>
      <c r="C280" s="114"/>
      <c r="D280" s="237"/>
      <c r="E280" s="114"/>
      <c r="F280" s="114" t="s">
        <v>326</v>
      </c>
      <c r="G280" s="114" t="s">
        <v>274</v>
      </c>
      <c r="H280" s="552">
        <f>Speed!X126</f>
        <v>55.899999941413874</v>
      </c>
      <c r="I280" s="552">
        <f>Speed!Y126</f>
        <v>55.89999992251235</v>
      </c>
      <c r="J280" s="552">
        <f>Speed!Z126</f>
        <v>55.899999894417768</v>
      </c>
      <c r="K280" s="552">
        <f>Speed!AA126</f>
        <v>55.899999845320266</v>
      </c>
      <c r="L280" s="552">
        <f>Speed!AB126</f>
        <v>55.899999776526577</v>
      </c>
      <c r="M280" s="552">
        <f>Speed!AC126</f>
        <v>55.899999681343601</v>
      </c>
      <c r="N280" s="552">
        <f>Speed!AD126</f>
        <v>55.899999551135799</v>
      </c>
      <c r="O280" s="552">
        <f>Speed!AE126</f>
        <v>55.899999374817924</v>
      </c>
      <c r="P280" s="552">
        <f>Speed!AF126</f>
        <v>55.899999102367879</v>
      </c>
      <c r="Q280" s="552">
        <f>Speed!AG126</f>
        <v>55.899998727375021</v>
      </c>
      <c r="R280" s="552">
        <f>Speed!AH126</f>
        <v>55.89999821691103</v>
      </c>
      <c r="S280" s="552">
        <f>Speed!AI126</f>
        <v>55.899997528923265</v>
      </c>
      <c r="T280" s="552">
        <f>Speed!AJ126</f>
        <v>55.899996610425994</v>
      </c>
      <c r="U280" s="552">
        <f>Speed!AK126</f>
        <v>55.899995655858021</v>
      </c>
      <c r="V280" s="552">
        <f>Speed!AL126</f>
        <v>55.899994785203496</v>
      </c>
      <c r="W280" s="552">
        <f>Speed!AM126</f>
        <v>55.89999376053315</v>
      </c>
      <c r="X280" s="552">
        <f>Speed!AN126</f>
        <v>55.899992558088066</v>
      </c>
      <c r="Y280" s="552">
        <f>Speed!AO126</f>
        <v>55.899991151408472</v>
      </c>
      <c r="Z280" s="552">
        <f>Speed!AP126</f>
        <v>55.899989509270952</v>
      </c>
      <c r="AA280" s="552">
        <f>Speed!AQ126</f>
        <v>55.899987598378296</v>
      </c>
      <c r="AB280" s="552">
        <f>Speed!AR126</f>
        <v>55.899985379034909</v>
      </c>
      <c r="AC280" s="552">
        <f>Speed!AS126</f>
        <v>55.899982808428518</v>
      </c>
      <c r="AD280" s="552">
        <f>Speed!AT126</f>
        <v>55.899979838918505</v>
      </c>
      <c r="AE280" s="552">
        <f>Speed!AU126</f>
        <v>55.899976414415917</v>
      </c>
      <c r="AF280" s="552">
        <f>Speed!AV126</f>
        <v>55.899972475017449</v>
      </c>
      <c r="AG280" s="700">
        <f>Speed!AW126</f>
        <v>55.899967954443063</v>
      </c>
      <c r="AH280" s="18"/>
      <c r="AI280" s="18"/>
      <c r="AJ280" s="18"/>
      <c r="AK280" s="18"/>
      <c r="AL280" s="18"/>
      <c r="AM280" s="18"/>
      <c r="AN280" s="18"/>
    </row>
    <row r="281" spans="2:40" ht="21.9" customHeight="1" thickBot="1" x14ac:dyDescent="0.3">
      <c r="B281" s="680"/>
      <c r="C281" s="114"/>
      <c r="D281" s="237"/>
      <c r="E281" s="274"/>
      <c r="F281" s="274" t="s">
        <v>274</v>
      </c>
      <c r="G281" s="274" t="s">
        <v>317</v>
      </c>
      <c r="H281" s="552">
        <f>Speed!X127</f>
        <v>55.299903328088064</v>
      </c>
      <c r="I281" s="552">
        <f>Speed!Y127</f>
        <v>55.299872139104522</v>
      </c>
      <c r="J281" s="552">
        <f>Speed!Z127</f>
        <v>55.299825780914766</v>
      </c>
      <c r="K281" s="552">
        <f>Speed!AA127</f>
        <v>55.299744766508944</v>
      </c>
      <c r="L281" s="552">
        <f>Speed!AB127</f>
        <v>55.299631252346366</v>
      </c>
      <c r="M281" s="552">
        <f>Speed!AC127</f>
        <v>55.299474194895502</v>
      </c>
      <c r="N281" s="552">
        <f>Speed!AD127</f>
        <v>55.299259345915843</v>
      </c>
      <c r="O281" s="552">
        <f>Speed!AE127</f>
        <v>55.29896841576236</v>
      </c>
      <c r="P281" s="552">
        <f>Speed!AF127</f>
        <v>55.298518870509625</v>
      </c>
      <c r="Q281" s="552">
        <f>Speed!AG127</f>
        <v>55.297900140526224</v>
      </c>
      <c r="R281" s="552">
        <f>Speed!AH127</f>
        <v>55.297057908389334</v>
      </c>
      <c r="S281" s="552">
        <f>Speed!AI127</f>
        <v>55.295922814221832</v>
      </c>
      <c r="T281" s="552">
        <f>Speed!AJ127</f>
        <v>55.294407480664205</v>
      </c>
      <c r="U281" s="552">
        <f>Speed!AK127</f>
        <v>55.292832725739309</v>
      </c>
      <c r="V281" s="552">
        <f>Speed!AL127</f>
        <v>55.291396481356756</v>
      </c>
      <c r="W281" s="552">
        <f>Speed!AM127</f>
        <v>55.289706265740314</v>
      </c>
      <c r="X281" s="552">
        <f>Speed!AN127</f>
        <v>55.287722938607139</v>
      </c>
      <c r="Y281" s="552">
        <f>Speed!AO127</f>
        <v>55.285402925155033</v>
      </c>
      <c r="Z281" s="552">
        <f>Speed!AP127</f>
        <v>55.282694820980794</v>
      </c>
      <c r="AA281" s="552">
        <f>Speed!AQ127</f>
        <v>55.279543837445445</v>
      </c>
      <c r="AB281" s="552">
        <f>Speed!AR127</f>
        <v>55.275884681881749</v>
      </c>
      <c r="AC281" s="552">
        <f>Speed!AS127</f>
        <v>55.271646984448161</v>
      </c>
      <c r="AD281" s="552">
        <f>Speed!AT127</f>
        <v>55.26675249445433</v>
      </c>
      <c r="AE281" s="552">
        <f>Speed!AU127</f>
        <v>55.26110913919279</v>
      </c>
      <c r="AF281" s="552">
        <f>Speed!AV127</f>
        <v>55.254618693819353</v>
      </c>
      <c r="AG281" s="700">
        <f>Speed!AW127</f>
        <v>55.24717259603203</v>
      </c>
      <c r="AH281" s="18"/>
      <c r="AI281" s="18"/>
      <c r="AJ281" s="18"/>
      <c r="AK281" s="18"/>
      <c r="AL281" s="18"/>
      <c r="AM281" s="18"/>
      <c r="AN281" s="18"/>
    </row>
    <row r="282" spans="2:40" ht="21.9" customHeight="1" x14ac:dyDescent="0.25">
      <c r="B282" s="179"/>
      <c r="C282" s="114"/>
      <c r="D282" s="237" t="s">
        <v>443</v>
      </c>
      <c r="E282" s="1325" t="s">
        <v>315</v>
      </c>
      <c r="F282" s="217" t="s">
        <v>316</v>
      </c>
      <c r="G282" s="217" t="s">
        <v>276</v>
      </c>
      <c r="H282" s="701">
        <f>Speed!AX108</f>
        <v>71.779999996865541</v>
      </c>
      <c r="I282" s="701">
        <f>Speed!AY108</f>
        <v>71.779999996865541</v>
      </c>
      <c r="J282" s="701">
        <f>Speed!AZ108</f>
        <v>71.779999995110273</v>
      </c>
      <c r="K282" s="701">
        <f>Speed!BA108</f>
        <v>71.779999991136975</v>
      </c>
      <c r="L282" s="701">
        <f>Speed!BB108</f>
        <v>71.779999979973041</v>
      </c>
      <c r="M282" s="701">
        <f>Speed!BC108</f>
        <v>71.779999957433731</v>
      </c>
      <c r="N282" s="701">
        <f>Speed!BD108</f>
        <v>71.779999914187897</v>
      </c>
      <c r="O282" s="701">
        <f>Speed!BE108</f>
        <v>71.779999834813211</v>
      </c>
      <c r="P282" s="701">
        <f>Speed!BF108</f>
        <v>71.77999969443556</v>
      </c>
      <c r="Q282" s="701">
        <f>Speed!BG108</f>
        <v>71.779999458181052</v>
      </c>
      <c r="R282" s="701">
        <f>Speed!BH108</f>
        <v>71.779999068522343</v>
      </c>
      <c r="S282" s="701">
        <f>Speed!BI108</f>
        <v>71.779998442782983</v>
      </c>
      <c r="T282" s="701">
        <f>Speed!BJ108</f>
        <v>71.779997461275727</v>
      </c>
      <c r="U282" s="701">
        <f>Speed!BK108</f>
        <v>71.779995952986113</v>
      </c>
      <c r="V282" s="701">
        <f>Speed!BL108</f>
        <v>71.779994520325175</v>
      </c>
      <c r="W282" s="701">
        <f>Speed!BM108</f>
        <v>71.779993217985478</v>
      </c>
      <c r="X282" s="701">
        <f>Speed!BN108</f>
        <v>71.779991643407612</v>
      </c>
      <c r="Y282" s="701">
        <f>Speed!BO108</f>
        <v>71.779989747131694</v>
      </c>
      <c r="Z282" s="701">
        <f>Speed!BP108</f>
        <v>71.779987471152083</v>
      </c>
      <c r="AA282" s="701">
        <f>Speed!BQ108</f>
        <v>71.779984751165628</v>
      </c>
      <c r="AB282" s="701">
        <f>Speed!BR108</f>
        <v>71.779981509591806</v>
      </c>
      <c r="AC282" s="701">
        <f>Speed!BS108</f>
        <v>71.779977661944514</v>
      </c>
      <c r="AD282" s="701">
        <f>Speed!BT108</f>
        <v>71.779973108131216</v>
      </c>
      <c r="AE282" s="701">
        <f>Speed!BU108</f>
        <v>71.779967733208309</v>
      </c>
      <c r="AF282" s="701">
        <f>Speed!BV108</f>
        <v>71.779961412385049</v>
      </c>
      <c r="AG282" s="702">
        <f>Speed!BW108</f>
        <v>71.77995399822241</v>
      </c>
      <c r="AH282" s="18"/>
      <c r="AI282" s="18"/>
      <c r="AJ282" s="18"/>
      <c r="AK282" s="18"/>
      <c r="AL282" s="18"/>
      <c r="AM282" s="18"/>
      <c r="AN282" s="18"/>
    </row>
    <row r="283" spans="2:40" ht="21.9" customHeight="1" x14ac:dyDescent="0.25">
      <c r="B283" s="179"/>
      <c r="C283" s="114"/>
      <c r="D283" s="237"/>
      <c r="E283" s="1327"/>
      <c r="F283" s="114" t="s">
        <v>276</v>
      </c>
      <c r="G283" s="114" t="s">
        <v>274</v>
      </c>
      <c r="H283" s="552">
        <f>Speed!AX109</f>
        <v>71.779999999426806</v>
      </c>
      <c r="I283" s="552">
        <f>Speed!AY109</f>
        <v>71.779999999426806</v>
      </c>
      <c r="J283" s="552">
        <f>Speed!AZ109</f>
        <v>71.77999999904128</v>
      </c>
      <c r="K283" s="552">
        <f>Speed!BA109</f>
        <v>71.779999998019164</v>
      </c>
      <c r="L283" s="552">
        <f>Speed!BB109</f>
        <v>71.779999994082971</v>
      </c>
      <c r="M283" s="552">
        <f>Speed!BC109</f>
        <v>71.779999984128153</v>
      </c>
      <c r="N283" s="552">
        <f>Speed!BD109</f>
        <v>71.779999961040048</v>
      </c>
      <c r="O283" s="552">
        <f>Speed!BE109</f>
        <v>71.779999911218979</v>
      </c>
      <c r="P283" s="552">
        <f>Speed!BF109</f>
        <v>71.77999980985841</v>
      </c>
      <c r="Q283" s="552">
        <f>Speed!BG109</f>
        <v>71.779999611805451</v>
      </c>
      <c r="R283" s="552">
        <f>Speed!BH109</f>
        <v>71.779999244110741</v>
      </c>
      <c r="S283" s="552">
        <f>Speed!BI109</f>
        <v>71.77999858846492</v>
      </c>
      <c r="T283" s="552">
        <f>Speed!BJ109</f>
        <v>71.779997459163283</v>
      </c>
      <c r="U283" s="552">
        <f>Speed!BK109</f>
        <v>71.779995571103598</v>
      </c>
      <c r="V283" s="552">
        <f>Speed!BL109</f>
        <v>71.779993880094111</v>
      </c>
      <c r="W283" s="552">
        <f>Speed!BM109</f>
        <v>71.779992475479744</v>
      </c>
      <c r="X283" s="552">
        <f>Speed!BN109</f>
        <v>71.779990787101838</v>
      </c>
      <c r="Y283" s="552">
        <f>Speed!BO109</f>
        <v>71.779988765100271</v>
      </c>
      <c r="Z283" s="552">
        <f>Speed!BP109</f>
        <v>71.779986350634417</v>
      </c>
      <c r="AA283" s="552">
        <f>Speed!BQ109</f>
        <v>71.779983480563246</v>
      </c>
      <c r="AB283" s="552">
        <f>Speed!BR109</f>
        <v>71.779980076252357</v>
      </c>
      <c r="AC283" s="552">
        <f>Speed!BS109</f>
        <v>71.779976055506907</v>
      </c>
      <c r="AD283" s="552">
        <f>Speed!BT109</f>
        <v>71.779971318679614</v>
      </c>
      <c r="AE283" s="552">
        <f>Speed!BU109</f>
        <v>71.779965751191895</v>
      </c>
      <c r="AF283" s="552">
        <f>Speed!BV109</f>
        <v>71.779959233200245</v>
      </c>
      <c r="AG283" s="700">
        <f>Speed!BW109</f>
        <v>71.779951619297606</v>
      </c>
      <c r="AH283" s="18"/>
      <c r="AI283" s="18"/>
      <c r="AJ283" s="18"/>
      <c r="AK283" s="18"/>
      <c r="AL283" s="18"/>
      <c r="AM283" s="18"/>
      <c r="AN283" s="18"/>
    </row>
    <row r="284" spans="2:40" ht="21.9" customHeight="1" x14ac:dyDescent="0.25">
      <c r="B284" s="179"/>
      <c r="C284" s="114"/>
      <c r="D284" s="237"/>
      <c r="E284" s="1327"/>
      <c r="F284" s="114" t="s">
        <v>274</v>
      </c>
      <c r="G284" s="114" t="s">
        <v>317</v>
      </c>
      <c r="H284" s="552">
        <f>Speed!AX110</f>
        <v>71.779999999823488</v>
      </c>
      <c r="I284" s="552">
        <f>Speed!AY110</f>
        <v>71.779999999823488</v>
      </c>
      <c r="J284" s="552">
        <f>Speed!AZ110</f>
        <v>71.779999999734272</v>
      </c>
      <c r="K284" s="552">
        <f>Speed!BA110</f>
        <v>71.779999999568759</v>
      </c>
      <c r="L284" s="552">
        <f>Speed!BB110</f>
        <v>71.779999999200783</v>
      </c>
      <c r="M284" s="552">
        <f>Speed!BC110</f>
        <v>71.77999999857073</v>
      </c>
      <c r="N284" s="552">
        <f>Speed!BD110</f>
        <v>71.779999997524499</v>
      </c>
      <c r="O284" s="552">
        <f>Speed!BE110</f>
        <v>71.779999995833847</v>
      </c>
      <c r="P284" s="552">
        <f>Speed!BF110</f>
        <v>71.779999993164495</v>
      </c>
      <c r="Q284" s="552">
        <f>Speed!BG110</f>
        <v>71.779999989199908</v>
      </c>
      <c r="R284" s="552">
        <f>Speed!BH110</f>
        <v>71.779999983271324</v>
      </c>
      <c r="S284" s="552">
        <f>Speed!BI110</f>
        <v>71.779999974563211</v>
      </c>
      <c r="T284" s="552">
        <f>Speed!BJ110</f>
        <v>71.779999961968642</v>
      </c>
      <c r="U284" s="552">
        <f>Speed!BK110</f>
        <v>71.779999943999997</v>
      </c>
      <c r="V284" s="552">
        <f>Speed!BL110</f>
        <v>71.779999926296767</v>
      </c>
      <c r="W284" s="552">
        <f>Speed!BM110</f>
        <v>71.779999907624202</v>
      </c>
      <c r="X284" s="552">
        <f>Speed!BN110</f>
        <v>71.779999884796936</v>
      </c>
      <c r="Y284" s="552">
        <f>Speed!BO110</f>
        <v>71.779999857012641</v>
      </c>
      <c r="Z284" s="552">
        <f>Speed!BP110</f>
        <v>71.779999823321802</v>
      </c>
      <c r="AA284" s="552">
        <f>Speed!BQ110</f>
        <v>71.779999782665399</v>
      </c>
      <c r="AB284" s="552">
        <f>Speed!BR110</f>
        <v>71.779999733753115</v>
      </c>
      <c r="AC284" s="552">
        <f>Speed!BS110</f>
        <v>71.779999675172974</v>
      </c>
      <c r="AD284" s="552">
        <f>Speed!BT110</f>
        <v>71.779999605237748</v>
      </c>
      <c r="AE284" s="552">
        <f>Speed!BU110</f>
        <v>71.779999521995265</v>
      </c>
      <c r="AF284" s="552">
        <f>Speed!BV110</f>
        <v>71.779999423317946</v>
      </c>
      <c r="AG284" s="700">
        <f>Speed!BW110</f>
        <v>71.779999306671286</v>
      </c>
      <c r="AH284" s="18"/>
      <c r="AI284" s="18"/>
      <c r="AJ284" s="18"/>
      <c r="AK284" s="18"/>
      <c r="AL284" s="18"/>
      <c r="AM284" s="18"/>
      <c r="AN284" s="18"/>
    </row>
    <row r="285" spans="2:40" ht="21.9" customHeight="1" x14ac:dyDescent="0.25">
      <c r="B285" s="179"/>
      <c r="C285" s="114"/>
      <c r="D285" s="237"/>
      <c r="E285" s="1325" t="s">
        <v>274</v>
      </c>
      <c r="F285" s="217" t="s">
        <v>275</v>
      </c>
      <c r="G285" s="217" t="s">
        <v>318</v>
      </c>
      <c r="H285" s="552">
        <f>Speed!AX111</f>
        <v>57.5</v>
      </c>
      <c r="I285" s="552">
        <f>Speed!AY111</f>
        <v>57.5</v>
      </c>
      <c r="J285" s="552">
        <f>Speed!AZ111</f>
        <v>57.499999999999986</v>
      </c>
      <c r="K285" s="552">
        <f>Speed!BA111</f>
        <v>57.499999999999922</v>
      </c>
      <c r="L285" s="552">
        <f>Speed!BB111</f>
        <v>57.499999999998444</v>
      </c>
      <c r="M285" s="552">
        <f>Speed!BC111</f>
        <v>57.499999999984858</v>
      </c>
      <c r="N285" s="552">
        <f>Speed!BD111</f>
        <v>57.499999999903672</v>
      </c>
      <c r="O285" s="552">
        <f>Speed!BE111</f>
        <v>57.499999999541558</v>
      </c>
      <c r="P285" s="552">
        <f>Speed!BF111</f>
        <v>57.499999998230273</v>
      </c>
      <c r="Q285" s="552">
        <f>Speed!BG111</f>
        <v>57.499999994305064</v>
      </c>
      <c r="R285" s="552">
        <f>Speed!BH111</f>
        <v>57.499999983777236</v>
      </c>
      <c r="S285" s="552">
        <f>Speed!BI111</f>
        <v>57.499999958173831</v>
      </c>
      <c r="T285" s="552">
        <f>Speed!BJ111</f>
        <v>57.499999900651126</v>
      </c>
      <c r="U285" s="552">
        <f>Speed!BK111</f>
        <v>57.499999779522909</v>
      </c>
      <c r="V285" s="552">
        <f>Speed!BL111</f>
        <v>57.499999681815652</v>
      </c>
      <c r="W285" s="552">
        <f>Speed!BM111</f>
        <v>57.49999962442638</v>
      </c>
      <c r="X285" s="552">
        <f>Speed!BN111</f>
        <v>57.499999557883633</v>
      </c>
      <c r="Y285" s="552">
        <f>Speed!BO111</f>
        <v>57.499999480911896</v>
      </c>
      <c r="Z285" s="552">
        <f>Speed!BP111</f>
        <v>57.499999391936754</v>
      </c>
      <c r="AA285" s="552">
        <f>Speed!BQ111</f>
        <v>57.499999289631575</v>
      </c>
      <c r="AB285" s="552">
        <f>Speed!BR111</f>
        <v>57.49999917189475</v>
      </c>
      <c r="AC285" s="552">
        <f>Speed!BS111</f>
        <v>57.499999037098561</v>
      </c>
      <c r="AD285" s="552">
        <f>Speed!BT111</f>
        <v>57.499998882866585</v>
      </c>
      <c r="AE285" s="552">
        <f>Speed!BU111</f>
        <v>57.499998706458541</v>
      </c>
      <c r="AF285" s="552">
        <f>Speed!BV111</f>
        <v>57.499998505691664</v>
      </c>
      <c r="AG285" s="700">
        <f>Speed!BW111</f>
        <v>57.499998277303099</v>
      </c>
      <c r="AH285" s="18"/>
      <c r="AI285" s="18"/>
      <c r="AJ285" s="18"/>
      <c r="AK285" s="18"/>
      <c r="AL285" s="18"/>
      <c r="AM285" s="18"/>
      <c r="AN285" s="18"/>
    </row>
    <row r="286" spans="2:40" ht="21.9" customHeight="1" x14ac:dyDescent="0.25">
      <c r="B286" s="179"/>
      <c r="C286" s="114"/>
      <c r="D286" s="237"/>
      <c r="E286" s="1327"/>
      <c r="F286" s="114" t="s">
        <v>318</v>
      </c>
      <c r="G286" s="114" t="s">
        <v>308</v>
      </c>
      <c r="H286" s="552">
        <f>Speed!AX112</f>
        <v>49.499999999361144</v>
      </c>
      <c r="I286" s="552">
        <f>Speed!AY112</f>
        <v>49.499999999361144</v>
      </c>
      <c r="J286" s="552">
        <f>Speed!AZ112</f>
        <v>49.49999999827601</v>
      </c>
      <c r="K286" s="552">
        <f>Speed!BA112</f>
        <v>49.499999994123947</v>
      </c>
      <c r="L286" s="552">
        <f>Speed!BB112</f>
        <v>49.499999959833509</v>
      </c>
      <c r="M286" s="552">
        <f>Speed!BC112</f>
        <v>49.499999798652226</v>
      </c>
      <c r="N286" s="552">
        <f>Speed!BD112</f>
        <v>49.499999193149428</v>
      </c>
      <c r="O286" s="552">
        <f>Speed!BE112</f>
        <v>49.499997272079689</v>
      </c>
      <c r="P286" s="552">
        <f>Speed!BF112</f>
        <v>49.499991913237835</v>
      </c>
      <c r="Q286" s="552">
        <f>Speed!BG112</f>
        <v>49.499967831991228</v>
      </c>
      <c r="R286" s="552">
        <f>Speed!BH112</f>
        <v>49.499891771578312</v>
      </c>
      <c r="S286" s="552">
        <f>Speed!BI112</f>
        <v>49.499680843159169</v>
      </c>
      <c r="T286" s="552">
        <f>Speed!BJ112</f>
        <v>49.499153021111219</v>
      </c>
      <c r="U286" s="552">
        <f>Speed!BK112</f>
        <v>49.497938168514317</v>
      </c>
      <c r="V286" s="552">
        <f>Speed!BL112</f>
        <v>49.496373497844985</v>
      </c>
      <c r="W286" s="552">
        <f>Speed!BM112</f>
        <v>49.495490318522812</v>
      </c>
      <c r="X286" s="552">
        <f>Speed!BN112</f>
        <v>49.494418092977028</v>
      </c>
      <c r="Y286" s="552">
        <f>Speed!BO112</f>
        <v>49.493121682931609</v>
      </c>
      <c r="Z286" s="552">
        <f>Speed!BP112</f>
        <v>49.491559140427853</v>
      </c>
      <c r="AA286" s="552">
        <f>Speed!BQ112</f>
        <v>49.489685636782767</v>
      </c>
      <c r="AB286" s="552">
        <f>Speed!BR112</f>
        <v>49.487444204982957</v>
      </c>
      <c r="AC286" s="552">
        <f>Speed!BS112</f>
        <v>49.484775785841983</v>
      </c>
      <c r="AD286" s="552">
        <f>Speed!BT112</f>
        <v>49.481607618302299</v>
      </c>
      <c r="AE286" s="552">
        <f>Speed!BU112</f>
        <v>49.477855345982036</v>
      </c>
      <c r="AF286" s="552">
        <f>Speed!BV112</f>
        <v>49.473431524117252</v>
      </c>
      <c r="AG286" s="700">
        <f>Speed!BW112</f>
        <v>49.468228238845782</v>
      </c>
      <c r="AH286" s="18"/>
      <c r="AI286" s="18"/>
      <c r="AJ286" s="18"/>
      <c r="AK286" s="18"/>
      <c r="AL286" s="18"/>
      <c r="AM286" s="18"/>
      <c r="AN286" s="18"/>
    </row>
    <row r="287" spans="2:40" ht="21.9" customHeight="1" x14ac:dyDescent="0.25">
      <c r="B287" s="179"/>
      <c r="C287" s="114"/>
      <c r="D287" s="237"/>
      <c r="E287" s="1339"/>
      <c r="F287" s="250" t="s">
        <v>308</v>
      </c>
      <c r="G287" s="250" t="s">
        <v>319</v>
      </c>
      <c r="H287" s="552">
        <f>Speed!AX113</f>
        <v>46.99999421510455</v>
      </c>
      <c r="I287" s="552">
        <f>Speed!AY113</f>
        <v>46.99999421510455</v>
      </c>
      <c r="J287" s="552">
        <f>Speed!AZ113</f>
        <v>46.9999923749846</v>
      </c>
      <c r="K287" s="552">
        <f>Speed!BA113</f>
        <v>46.999988840570389</v>
      </c>
      <c r="L287" s="552">
        <f>Speed!BB113</f>
        <v>46.999981394155355</v>
      </c>
      <c r="M287" s="552">
        <f>Speed!BC113</f>
        <v>46.999969734796231</v>
      </c>
      <c r="N287" s="552">
        <f>Speed!BD113</f>
        <v>46.999951870049891</v>
      </c>
      <c r="O287" s="552">
        <f>Speed!BE113</f>
        <v>46.999925029225203</v>
      </c>
      <c r="P287" s="552">
        <f>Speed!BF113</f>
        <v>46.999885357994067</v>
      </c>
      <c r="Q287" s="552">
        <f>Speed!BG113</f>
        <v>46.999827048762654</v>
      </c>
      <c r="R287" s="552">
        <f>Speed!BH113</f>
        <v>46.999743256883484</v>
      </c>
      <c r="S287" s="552">
        <f>Speed!BI113</f>
        <v>46.999624603654084</v>
      </c>
      <c r="T287" s="552">
        <f>Speed!BJ113</f>
        <v>46.999458678634817</v>
      </c>
      <c r="U287" s="552">
        <f>Speed!BK113</f>
        <v>46.999229228427964</v>
      </c>
      <c r="V287" s="552">
        <f>Speed!BL113</f>
        <v>46.999015234205181</v>
      </c>
      <c r="W287" s="552">
        <f>Speed!BM113</f>
        <v>46.998837245593748</v>
      </c>
      <c r="X287" s="552">
        <f>Speed!BN113</f>
        <v>46.998630810765583</v>
      </c>
      <c r="Y287" s="552">
        <f>Speed!BO113</f>
        <v>46.998391958352798</v>
      </c>
      <c r="Z287" s="552">
        <f>Speed!BP113</f>
        <v>46.998116099346127</v>
      </c>
      <c r="AA287" s="552">
        <f>Speed!BQ113</f>
        <v>46.997798520996518</v>
      </c>
      <c r="AB287" s="552">
        <f>Speed!BR113</f>
        <v>46.997433364432972</v>
      </c>
      <c r="AC287" s="552">
        <f>Speed!BS113</f>
        <v>46.997014790196872</v>
      </c>
      <c r="AD287" s="552">
        <f>Speed!BT113</f>
        <v>46.99653575687546</v>
      </c>
      <c r="AE287" s="552">
        <f>Speed!BU113</f>
        <v>46.99598834666201</v>
      </c>
      <c r="AF287" s="552">
        <f>Speed!BV113</f>
        <v>46.995364606057848</v>
      </c>
      <c r="AG287" s="700">
        <f>Speed!BW113</f>
        <v>46.99465491261757</v>
      </c>
      <c r="AH287" s="18"/>
      <c r="AI287" s="18"/>
      <c r="AJ287" s="18"/>
      <c r="AK287" s="18"/>
      <c r="AL287" s="18"/>
      <c r="AM287" s="18"/>
      <c r="AN287" s="18"/>
    </row>
    <row r="288" spans="2:40" ht="21.9" customHeight="1" x14ac:dyDescent="0.25">
      <c r="B288" s="179"/>
      <c r="C288" s="114"/>
      <c r="D288" s="237"/>
      <c r="E288" s="114" t="s">
        <v>320</v>
      </c>
      <c r="F288" s="114" t="s">
        <v>318</v>
      </c>
      <c r="G288" s="114" t="s">
        <v>308</v>
      </c>
      <c r="H288" s="552">
        <f>Speed!AX114</f>
        <v>43.2</v>
      </c>
      <c r="I288" s="552">
        <f>Speed!AY114</f>
        <v>43.2</v>
      </c>
      <c r="J288" s="552">
        <f>Speed!AZ114</f>
        <v>43.2</v>
      </c>
      <c r="K288" s="552">
        <f>Speed!BA114</f>
        <v>43.199999999999974</v>
      </c>
      <c r="L288" s="552">
        <f>Speed!BB114</f>
        <v>43.199999999873825</v>
      </c>
      <c r="M288" s="552">
        <f>Speed!BC114</f>
        <v>43.199999988794609</v>
      </c>
      <c r="N288" s="552">
        <f>Speed!BD114</f>
        <v>43.199999754708365</v>
      </c>
      <c r="O288" s="552">
        <f>Speed!BE114</f>
        <v>43.199997419021898</v>
      </c>
      <c r="P288" s="552">
        <f>Speed!BF114</f>
        <v>43.19998263899992</v>
      </c>
      <c r="Q288" s="552">
        <f>Speed!BG114</f>
        <v>43.199956005596093</v>
      </c>
      <c r="R288" s="552">
        <f>Speed!BH114</f>
        <v>43.199896966928101</v>
      </c>
      <c r="S288" s="552">
        <f>Speed!BI114</f>
        <v>43.19977430313395</v>
      </c>
      <c r="T288" s="552">
        <f>Speed!BJ114</f>
        <v>43.19953310978363</v>
      </c>
      <c r="U288" s="552">
        <f>Speed!BK114</f>
        <v>43.199079183736671</v>
      </c>
      <c r="V288" s="552">
        <f>Speed!BL114</f>
        <v>43.198845171743933</v>
      </c>
      <c r="W288" s="552">
        <f>Speed!BM114</f>
        <v>43.198684718930977</v>
      </c>
      <c r="X288" s="552">
        <f>Speed!BN114</f>
        <v>43.198504474390809</v>
      </c>
      <c r="Y288" s="552">
        <f>Speed!BO114</f>
        <v>43.198302297301147</v>
      </c>
      <c r="Z288" s="552">
        <f>Speed!BP114</f>
        <v>43.198074900560734</v>
      </c>
      <c r="AA288" s="552">
        <f>Speed!BQ114</f>
        <v>43.197821509175874</v>
      </c>
      <c r="AB288" s="552">
        <f>Speed!BR114</f>
        <v>43.197537306612446</v>
      </c>
      <c r="AC288" s="552">
        <f>Speed!BS114</f>
        <v>43.197221479630073</v>
      </c>
      <c r="AD288" s="552">
        <f>Speed!BT114</f>
        <v>43.196869659305271</v>
      </c>
      <c r="AE288" s="552">
        <f>Speed!BU114</f>
        <v>43.196476614848827</v>
      </c>
      <c r="AF288" s="552">
        <f>Speed!BV114</f>
        <v>43.196041515718015</v>
      </c>
      <c r="AG288" s="700">
        <f>Speed!BW114</f>
        <v>43.195558648944235</v>
      </c>
      <c r="AH288" s="18"/>
      <c r="AI288" s="18"/>
      <c r="AJ288" s="18"/>
      <c r="AK288" s="18"/>
      <c r="AL288" s="18"/>
      <c r="AM288" s="18"/>
      <c r="AN288" s="18"/>
    </row>
    <row r="289" spans="2:40" ht="21.9" customHeight="1" x14ac:dyDescent="0.25">
      <c r="B289" s="179"/>
      <c r="C289" s="114"/>
      <c r="D289" s="237"/>
      <c r="E289" s="1325" t="s">
        <v>308</v>
      </c>
      <c r="F289" s="217" t="s">
        <v>276</v>
      </c>
      <c r="G289" s="217" t="s">
        <v>320</v>
      </c>
      <c r="H289" s="552">
        <f>Speed!AX115</f>
        <v>41.1</v>
      </c>
      <c r="I289" s="552">
        <f>Speed!AY115</f>
        <v>41.1</v>
      </c>
      <c r="J289" s="552">
        <f>Speed!AZ115</f>
        <v>41.1</v>
      </c>
      <c r="K289" s="552">
        <f>Speed!BA115</f>
        <v>41.1</v>
      </c>
      <c r="L289" s="552">
        <f>Speed!BB115</f>
        <v>41.1</v>
      </c>
      <c r="M289" s="552">
        <f>Speed!BC115</f>
        <v>41.1</v>
      </c>
      <c r="N289" s="552">
        <f>Speed!BD115</f>
        <v>41.09999999999993</v>
      </c>
      <c r="O289" s="552">
        <f>Speed!BE115</f>
        <v>41.099999999999255</v>
      </c>
      <c r="P289" s="552">
        <f>Speed!BF115</f>
        <v>41.099999999995035</v>
      </c>
      <c r="Q289" s="552">
        <f>Speed!BG115</f>
        <v>41.099999999982678</v>
      </c>
      <c r="R289" s="552">
        <f>Speed!BH115</f>
        <v>41.099999999947428</v>
      </c>
      <c r="S289" s="552">
        <f>Speed!BI115</f>
        <v>41.099999999857225</v>
      </c>
      <c r="T289" s="552">
        <f>Speed!BJ115</f>
        <v>41.099999999645902</v>
      </c>
      <c r="U289" s="552">
        <f>Speed!BK115</f>
        <v>41.099999999184973</v>
      </c>
      <c r="V289" s="552">
        <f>Speed!BL115</f>
        <v>41.099999998797685</v>
      </c>
      <c r="W289" s="552">
        <f>Speed!BM115</f>
        <v>41.09999999866691</v>
      </c>
      <c r="X289" s="552">
        <f>Speed!BN115</f>
        <v>41.099999998523465</v>
      </c>
      <c r="Y289" s="552">
        <f>Speed!BO115</f>
        <v>41.099999998366279</v>
      </c>
      <c r="Z289" s="552">
        <f>Speed!BP115</f>
        <v>41.099999998193667</v>
      </c>
      <c r="AA289" s="552">
        <f>Speed!BQ115</f>
        <v>41.09999999800538</v>
      </c>
      <c r="AB289" s="552">
        <f>Speed!BR115</f>
        <v>41.099999997798982</v>
      </c>
      <c r="AC289" s="552">
        <f>Speed!BS115</f>
        <v>41.099999997574244</v>
      </c>
      <c r="AD289" s="552">
        <f>Speed!BT115</f>
        <v>41.099999997329064</v>
      </c>
      <c r="AE289" s="552">
        <f>Speed!BU115</f>
        <v>41.099999997060998</v>
      </c>
      <c r="AF289" s="552">
        <f>Speed!BV115</f>
        <v>41.099999996769824</v>
      </c>
      <c r="AG289" s="700">
        <f>Speed!BW115</f>
        <v>41.099999996452944</v>
      </c>
      <c r="AH289" s="18"/>
      <c r="AI289" s="18"/>
      <c r="AJ289" s="18"/>
      <c r="AK289" s="18"/>
      <c r="AL289" s="18"/>
      <c r="AM289" s="18"/>
      <c r="AN289" s="18"/>
    </row>
    <row r="290" spans="2:40" ht="21.9" customHeight="1" x14ac:dyDescent="0.25">
      <c r="B290" s="179"/>
      <c r="C290" s="114"/>
      <c r="D290" s="237"/>
      <c r="E290" s="1327"/>
      <c r="F290" s="114" t="s">
        <v>320</v>
      </c>
      <c r="G290" s="114" t="s">
        <v>282</v>
      </c>
      <c r="H290" s="552">
        <f>Speed!AX116</f>
        <v>41.1</v>
      </c>
      <c r="I290" s="552">
        <f>Speed!AY116</f>
        <v>41.1</v>
      </c>
      <c r="J290" s="552">
        <f>Speed!AZ116</f>
        <v>41.1</v>
      </c>
      <c r="K290" s="552">
        <f>Speed!BA116</f>
        <v>41.1</v>
      </c>
      <c r="L290" s="552">
        <f>Speed!BB116</f>
        <v>41.1</v>
      </c>
      <c r="M290" s="552">
        <f>Speed!BC116</f>
        <v>41.1</v>
      </c>
      <c r="N290" s="552">
        <f>Speed!BD116</f>
        <v>41.09999999999993</v>
      </c>
      <c r="O290" s="552">
        <f>Speed!BE116</f>
        <v>41.099999999999255</v>
      </c>
      <c r="P290" s="552">
        <f>Speed!BF116</f>
        <v>41.099999999995035</v>
      </c>
      <c r="Q290" s="552">
        <f>Speed!BG116</f>
        <v>41.099999999982678</v>
      </c>
      <c r="R290" s="552">
        <f>Speed!BH116</f>
        <v>41.099999999947428</v>
      </c>
      <c r="S290" s="552">
        <f>Speed!BI116</f>
        <v>41.099999999857225</v>
      </c>
      <c r="T290" s="552">
        <f>Speed!BJ116</f>
        <v>41.099999999645902</v>
      </c>
      <c r="U290" s="552">
        <f>Speed!BK116</f>
        <v>41.099999999184973</v>
      </c>
      <c r="V290" s="552">
        <f>Speed!BL116</f>
        <v>41.099999998797685</v>
      </c>
      <c r="W290" s="552">
        <f>Speed!BM116</f>
        <v>41.09999999866691</v>
      </c>
      <c r="X290" s="552">
        <f>Speed!BN116</f>
        <v>41.099999998523465</v>
      </c>
      <c r="Y290" s="552">
        <f>Speed!BO116</f>
        <v>41.099999998366279</v>
      </c>
      <c r="Z290" s="552">
        <f>Speed!BP116</f>
        <v>41.099999998193667</v>
      </c>
      <c r="AA290" s="552">
        <f>Speed!BQ116</f>
        <v>41.09999999800538</v>
      </c>
      <c r="AB290" s="552">
        <f>Speed!BR116</f>
        <v>41.099999997798982</v>
      </c>
      <c r="AC290" s="552">
        <f>Speed!BS116</f>
        <v>41.099999997574244</v>
      </c>
      <c r="AD290" s="552">
        <f>Speed!BT116</f>
        <v>41.099999997329064</v>
      </c>
      <c r="AE290" s="552">
        <f>Speed!BU116</f>
        <v>41.099999997060998</v>
      </c>
      <c r="AF290" s="552">
        <f>Speed!BV116</f>
        <v>41.099999996769824</v>
      </c>
      <c r="AG290" s="700">
        <f>Speed!BW116</f>
        <v>41.099999996452944</v>
      </c>
      <c r="AH290" s="18"/>
      <c r="AI290" s="18"/>
      <c r="AJ290" s="18"/>
      <c r="AK290" s="18"/>
      <c r="AL290" s="18"/>
      <c r="AM290" s="18"/>
      <c r="AN290" s="18"/>
    </row>
    <row r="291" spans="2:40" ht="21.9" customHeight="1" x14ac:dyDescent="0.25">
      <c r="B291" s="179"/>
      <c r="C291" s="114"/>
      <c r="D291" s="237"/>
      <c r="E291" s="1327"/>
      <c r="F291" s="114" t="s">
        <v>282</v>
      </c>
      <c r="G291" s="114" t="s">
        <v>321</v>
      </c>
      <c r="H291" s="552">
        <f>Speed!AX117</f>
        <v>41.1</v>
      </c>
      <c r="I291" s="552">
        <f>Speed!AY117</f>
        <v>41.1</v>
      </c>
      <c r="J291" s="552">
        <f>Speed!AZ117</f>
        <v>41.1</v>
      </c>
      <c r="K291" s="552">
        <f>Speed!BA117</f>
        <v>41.1</v>
      </c>
      <c r="L291" s="552">
        <f>Speed!BB117</f>
        <v>41.1</v>
      </c>
      <c r="M291" s="552">
        <f>Speed!BC117</f>
        <v>41.1</v>
      </c>
      <c r="N291" s="552">
        <f>Speed!BD117</f>
        <v>41.09999999999993</v>
      </c>
      <c r="O291" s="552">
        <f>Speed!BE117</f>
        <v>41.099999999999255</v>
      </c>
      <c r="P291" s="552">
        <f>Speed!BF117</f>
        <v>41.099999999995035</v>
      </c>
      <c r="Q291" s="552">
        <f>Speed!BG117</f>
        <v>41.099999999982678</v>
      </c>
      <c r="R291" s="552">
        <f>Speed!BH117</f>
        <v>41.099999999947428</v>
      </c>
      <c r="S291" s="552">
        <f>Speed!BI117</f>
        <v>41.099999999857225</v>
      </c>
      <c r="T291" s="552">
        <f>Speed!BJ117</f>
        <v>41.099999999645902</v>
      </c>
      <c r="U291" s="552">
        <f>Speed!BK117</f>
        <v>41.099999999184973</v>
      </c>
      <c r="V291" s="552">
        <f>Speed!BL117</f>
        <v>41.099999998797685</v>
      </c>
      <c r="W291" s="552">
        <f>Speed!BM117</f>
        <v>41.09999999866691</v>
      </c>
      <c r="X291" s="552">
        <f>Speed!BN117</f>
        <v>41.099999998523465</v>
      </c>
      <c r="Y291" s="552">
        <f>Speed!BO117</f>
        <v>41.099999998366279</v>
      </c>
      <c r="Z291" s="552">
        <f>Speed!BP117</f>
        <v>41.099999998193667</v>
      </c>
      <c r="AA291" s="552">
        <f>Speed!BQ117</f>
        <v>41.09999999800538</v>
      </c>
      <c r="AB291" s="552">
        <f>Speed!BR117</f>
        <v>41.099999997798982</v>
      </c>
      <c r="AC291" s="552">
        <f>Speed!BS117</f>
        <v>41.099999997574244</v>
      </c>
      <c r="AD291" s="552">
        <f>Speed!BT117</f>
        <v>41.099999997329064</v>
      </c>
      <c r="AE291" s="552">
        <f>Speed!BU117</f>
        <v>41.099999997060998</v>
      </c>
      <c r="AF291" s="552">
        <f>Speed!BV117</f>
        <v>41.099999996769824</v>
      </c>
      <c r="AG291" s="700">
        <f>Speed!BW117</f>
        <v>41.099999996452944</v>
      </c>
      <c r="AH291" s="18"/>
      <c r="AI291" s="18"/>
      <c r="AJ291" s="18"/>
      <c r="AK291" s="18"/>
      <c r="AL291" s="18"/>
      <c r="AM291" s="18"/>
      <c r="AN291" s="18"/>
    </row>
    <row r="292" spans="2:40" ht="21.9" customHeight="1" x14ac:dyDescent="0.25">
      <c r="B292" s="179"/>
      <c r="C292" s="114"/>
      <c r="D292" s="237"/>
      <c r="E292" s="1339"/>
      <c r="F292" s="250" t="s">
        <v>321</v>
      </c>
      <c r="G292" s="250" t="s">
        <v>274</v>
      </c>
      <c r="H292" s="552">
        <f>Speed!AX118</f>
        <v>41.1</v>
      </c>
      <c r="I292" s="552">
        <f>Speed!AY118</f>
        <v>41.1</v>
      </c>
      <c r="J292" s="552">
        <f>Speed!AZ118</f>
        <v>41.1</v>
      </c>
      <c r="K292" s="552">
        <f>Speed!BA118</f>
        <v>41.1</v>
      </c>
      <c r="L292" s="552">
        <f>Speed!BB118</f>
        <v>41.1</v>
      </c>
      <c r="M292" s="552">
        <f>Speed!BC118</f>
        <v>41.1</v>
      </c>
      <c r="N292" s="552">
        <f>Speed!BD118</f>
        <v>41.1</v>
      </c>
      <c r="O292" s="552">
        <f>Speed!BE118</f>
        <v>41.1</v>
      </c>
      <c r="P292" s="552">
        <f>Speed!BF118</f>
        <v>41.1</v>
      </c>
      <c r="Q292" s="552">
        <f>Speed!BG118</f>
        <v>41.099999999999966</v>
      </c>
      <c r="R292" s="552">
        <f>Speed!BH118</f>
        <v>41.099999999999611</v>
      </c>
      <c r="S292" s="552">
        <f>Speed!BI118</f>
        <v>41.09999999999706</v>
      </c>
      <c r="T292" s="552">
        <f>Speed!BJ118</f>
        <v>41.099999999984384</v>
      </c>
      <c r="U292" s="552">
        <f>Speed!BK118</f>
        <v>41.099999999934703</v>
      </c>
      <c r="V292" s="552">
        <f>Speed!BL118</f>
        <v>41.099999999828142</v>
      </c>
      <c r="W292" s="552">
        <f>Speed!BM118</f>
        <v>41.099999999800197</v>
      </c>
      <c r="X292" s="552">
        <f>Speed!BN118</f>
        <v>41.099999999768229</v>
      </c>
      <c r="Y292" s="552">
        <f>Speed!BO118</f>
        <v>41.099999999731715</v>
      </c>
      <c r="Z292" s="552">
        <f>Speed!BP118</f>
        <v>41.099999999690255</v>
      </c>
      <c r="AA292" s="552">
        <f>Speed!BQ118</f>
        <v>41.099999999642947</v>
      </c>
      <c r="AB292" s="552">
        <f>Speed!BR118</f>
        <v>41.099999999589414</v>
      </c>
      <c r="AC292" s="552">
        <f>Speed!BS118</f>
        <v>41.099999999528571</v>
      </c>
      <c r="AD292" s="552">
        <f>Speed!BT118</f>
        <v>41.099999999459719</v>
      </c>
      <c r="AE292" s="552">
        <f>Speed!BU118</f>
        <v>41.099999999382206</v>
      </c>
      <c r="AF292" s="552">
        <f>Speed!BV118</f>
        <v>41.099999999294532</v>
      </c>
      <c r="AG292" s="700">
        <f>Speed!BW118</f>
        <v>41.099999999195823</v>
      </c>
      <c r="AH292" s="18"/>
      <c r="AI292" s="18"/>
      <c r="AJ292" s="18"/>
      <c r="AK292" s="18"/>
      <c r="AL292" s="18"/>
      <c r="AM292" s="18"/>
      <c r="AN292" s="18"/>
    </row>
    <row r="293" spans="2:40" ht="21.9" customHeight="1" x14ac:dyDescent="0.25">
      <c r="B293" s="179"/>
      <c r="C293" s="114"/>
      <c r="D293" s="237"/>
      <c r="E293" s="114" t="s">
        <v>282</v>
      </c>
      <c r="F293" s="114" t="s">
        <v>308</v>
      </c>
      <c r="G293" s="114" t="s">
        <v>324</v>
      </c>
      <c r="H293" s="552">
        <f>Speed!AX119</f>
        <v>27.799999999974702</v>
      </c>
      <c r="I293" s="552">
        <f>Speed!AY119</f>
        <v>27.799999999974702</v>
      </c>
      <c r="J293" s="552">
        <f>Speed!AZ119</f>
        <v>27.799999999954053</v>
      </c>
      <c r="K293" s="552">
        <f>Speed!BA119</f>
        <v>27.799999999903836</v>
      </c>
      <c r="L293" s="552">
        <f>Speed!BB119</f>
        <v>27.799999999762516</v>
      </c>
      <c r="M293" s="552">
        <f>Speed!BC119</f>
        <v>27.79999999945575</v>
      </c>
      <c r="N293" s="552">
        <f>Speed!BD119</f>
        <v>27.799999998827627</v>
      </c>
      <c r="O293" s="552">
        <f>Speed!BE119</f>
        <v>27.799999997613096</v>
      </c>
      <c r="P293" s="552">
        <f>Speed!BF119</f>
        <v>27.799999995361233</v>
      </c>
      <c r="Q293" s="552">
        <f>Speed!BG119</f>
        <v>27.799999991800341</v>
      </c>
      <c r="R293" s="552">
        <f>Speed!BH119</f>
        <v>27.799999985950539</v>
      </c>
      <c r="S293" s="552">
        <f>Speed!BI119</f>
        <v>27.799999976570323</v>
      </c>
      <c r="T293" s="552">
        <f>Speed!BJ119</f>
        <v>27.799999961888776</v>
      </c>
      <c r="U293" s="552">
        <f>Speed!BK119</f>
        <v>27.799999939293752</v>
      </c>
      <c r="V293" s="552">
        <f>Speed!BL119</f>
        <v>27.799999916008534</v>
      </c>
      <c r="W293" s="552">
        <f>Speed!BM119</f>
        <v>27.799999890012025</v>
      </c>
      <c r="X293" s="552">
        <f>Speed!BN119</f>
        <v>27.799999856985512</v>
      </c>
      <c r="Y293" s="552">
        <f>Speed!BO119</f>
        <v>27.799999815287169</v>
      </c>
      <c r="Z293" s="552">
        <f>Speed!BP119</f>
        <v>27.799999762885626</v>
      </c>
      <c r="AA293" s="552">
        <f>Speed!BQ119</f>
        <v>27.799999697543697</v>
      </c>
      <c r="AB293" s="552">
        <f>Speed!BR119</f>
        <v>27.79999961620052</v>
      </c>
      <c r="AC293" s="552">
        <f>Speed!BS119</f>
        <v>27.799999515943021</v>
      </c>
      <c r="AD293" s="552">
        <f>Speed!BT119</f>
        <v>27.799999392701316</v>
      </c>
      <c r="AE293" s="552">
        <f>Speed!BU119</f>
        <v>27.79999924172516</v>
      </c>
      <c r="AF293" s="552">
        <f>Speed!BV119</f>
        <v>27.799999057990149</v>
      </c>
      <c r="AG293" s="700">
        <f>Speed!BW119</f>
        <v>27.799998835114856</v>
      </c>
      <c r="AH293" s="18"/>
      <c r="AI293" s="18"/>
      <c r="AJ293" s="18"/>
      <c r="AK293" s="18"/>
      <c r="AL293" s="18"/>
      <c r="AM293" s="18"/>
      <c r="AN293" s="18"/>
    </row>
    <row r="294" spans="2:40" ht="21.9" customHeight="1" x14ac:dyDescent="0.25">
      <c r="B294" s="179"/>
      <c r="C294" s="114"/>
      <c r="D294" s="237"/>
      <c r="E294" s="273" t="s">
        <v>321</v>
      </c>
      <c r="F294" s="273" t="s">
        <v>318</v>
      </c>
      <c r="G294" s="273" t="s">
        <v>308</v>
      </c>
      <c r="H294" s="552" t="e">
        <f>Speed!AX120</f>
        <v>#DIV/0!</v>
      </c>
      <c r="I294" s="552" t="e">
        <f>Speed!AY120</f>
        <v>#DIV/0!</v>
      </c>
      <c r="J294" s="552" t="e">
        <f>Speed!AZ120</f>
        <v>#DIV/0!</v>
      </c>
      <c r="K294" s="552" t="e">
        <f>Speed!BA120</f>
        <v>#DIV/0!</v>
      </c>
      <c r="L294" s="552" t="e">
        <f>Speed!BB120</f>
        <v>#DIV/0!</v>
      </c>
      <c r="M294" s="552" t="e">
        <f>Speed!BC120</f>
        <v>#DIV/0!</v>
      </c>
      <c r="N294" s="552" t="e">
        <f>Speed!BD120</f>
        <v>#DIV/0!</v>
      </c>
      <c r="O294" s="552" t="e">
        <f>Speed!BE120</f>
        <v>#DIV/0!</v>
      </c>
      <c r="P294" s="552" t="e">
        <f>Speed!BF120</f>
        <v>#DIV/0!</v>
      </c>
      <c r="Q294" s="552" t="e">
        <f>Speed!BG120</f>
        <v>#DIV/0!</v>
      </c>
      <c r="R294" s="552" t="e">
        <f>Speed!BH120</f>
        <v>#DIV/0!</v>
      </c>
      <c r="S294" s="552" t="e">
        <f>Speed!BI120</f>
        <v>#DIV/0!</v>
      </c>
      <c r="T294" s="552" t="e">
        <f>Speed!BJ120</f>
        <v>#DIV/0!</v>
      </c>
      <c r="U294" s="552" t="e">
        <f>Speed!BK120</f>
        <v>#DIV/0!</v>
      </c>
      <c r="V294" s="552" t="e">
        <f>Speed!BL120</f>
        <v>#DIV/0!</v>
      </c>
      <c r="W294" s="552" t="e">
        <f>Speed!BM120</f>
        <v>#DIV/0!</v>
      </c>
      <c r="X294" s="552" t="e">
        <f>Speed!BN120</f>
        <v>#DIV/0!</v>
      </c>
      <c r="Y294" s="552" t="e">
        <f>Speed!BO120</f>
        <v>#DIV/0!</v>
      </c>
      <c r="Z294" s="552" t="e">
        <f>Speed!BP120</f>
        <v>#DIV/0!</v>
      </c>
      <c r="AA294" s="552" t="e">
        <f>Speed!BQ120</f>
        <v>#DIV/0!</v>
      </c>
      <c r="AB294" s="552" t="e">
        <f>Speed!BR120</f>
        <v>#DIV/0!</v>
      </c>
      <c r="AC294" s="552" t="e">
        <f>Speed!BS120</f>
        <v>#DIV/0!</v>
      </c>
      <c r="AD294" s="552" t="e">
        <f>Speed!BT120</f>
        <v>#DIV/0!</v>
      </c>
      <c r="AE294" s="552" t="e">
        <f>Speed!BU120</f>
        <v>#DIV/0!</v>
      </c>
      <c r="AF294" s="552" t="e">
        <f>Speed!BV120</f>
        <v>#DIV/0!</v>
      </c>
      <c r="AG294" s="700" t="e">
        <f>Speed!BW120</f>
        <v>#DIV/0!</v>
      </c>
      <c r="AH294" s="18"/>
      <c r="AI294" s="18"/>
      <c r="AJ294" s="18"/>
      <c r="AK294" s="18"/>
      <c r="AL294" s="18"/>
      <c r="AM294" s="18"/>
      <c r="AN294" s="18"/>
    </row>
    <row r="295" spans="2:40" ht="21.9" customHeight="1" x14ac:dyDescent="0.25">
      <c r="B295" s="179"/>
      <c r="C295" s="114"/>
      <c r="D295" s="237"/>
      <c r="E295" s="273" t="s">
        <v>333</v>
      </c>
      <c r="F295" s="273" t="s">
        <v>319</v>
      </c>
      <c r="G295" s="273" t="s">
        <v>308</v>
      </c>
      <c r="H295" s="552">
        <f>Speed!AX121</f>
        <v>31.899999970276543</v>
      </c>
      <c r="I295" s="552">
        <f>Speed!AY121</f>
        <v>31.899999970276543</v>
      </c>
      <c r="J295" s="552">
        <f>Speed!AZ121</f>
        <v>31.899999965933727</v>
      </c>
      <c r="K295" s="552">
        <f>Speed!BA121</f>
        <v>31.899999957063251</v>
      </c>
      <c r="L295" s="552">
        <f>Speed!BB121</f>
        <v>31.899999941503655</v>
      </c>
      <c r="M295" s="552">
        <f>Speed!BC121</f>
        <v>31.899999921031441</v>
      </c>
      <c r="N295" s="552">
        <f>Speed!BD121</f>
        <v>31.89999989427854</v>
      </c>
      <c r="O295" s="552">
        <f>Speed!BE121</f>
        <v>31.899999859701655</v>
      </c>
      <c r="P295" s="552">
        <f>Speed!BF121</f>
        <v>31.899999815085007</v>
      </c>
      <c r="Q295" s="552">
        <f>Speed!BG121</f>
        <v>31.899999777037518</v>
      </c>
      <c r="R295" s="552">
        <f>Speed!BH121</f>
        <v>31.899999732077866</v>
      </c>
      <c r="S295" s="552">
        <f>Speed!BI121</f>
        <v>31.899999679110248</v>
      </c>
      <c r="T295" s="552">
        <f>Speed!BJ121</f>
        <v>31.899999616914211</v>
      </c>
      <c r="U295" s="552">
        <f>Speed!BK121</f>
        <v>31.899999543512052</v>
      </c>
      <c r="V295" s="552">
        <f>Speed!BL121</f>
        <v>31.899999493509537</v>
      </c>
      <c r="W295" s="552">
        <f>Speed!BM121</f>
        <v>31.899999438630484</v>
      </c>
      <c r="X295" s="552">
        <f>Speed!BN121</f>
        <v>31.899999378456616</v>
      </c>
      <c r="Y295" s="552">
        <f>Speed!BO121</f>
        <v>31.899999312538629</v>
      </c>
      <c r="Z295" s="552">
        <f>Speed!BP121</f>
        <v>31.899999239875214</v>
      </c>
      <c r="AA295" s="552">
        <f>Speed!BQ121</f>
        <v>31.899999160938641</v>
      </c>
      <c r="AB295" s="552">
        <f>Speed!BR121</f>
        <v>31.899999074353271</v>
      </c>
      <c r="AC295" s="552">
        <f>Speed!BS121</f>
        <v>31.899998980185782</v>
      </c>
      <c r="AD295" s="552">
        <f>Speed!BT121</f>
        <v>31.899998877482499</v>
      </c>
      <c r="AE295" s="552">
        <f>Speed!BU121</f>
        <v>31.899998764759058</v>
      </c>
      <c r="AF295" s="552">
        <f>Speed!BV121</f>
        <v>31.899998642823206</v>
      </c>
      <c r="AG295" s="700">
        <f>Speed!BW121</f>
        <v>31.899998510159186</v>
      </c>
      <c r="AH295" s="18"/>
      <c r="AI295" s="18"/>
      <c r="AJ295" s="18"/>
      <c r="AK295" s="18"/>
      <c r="AL295" s="18"/>
      <c r="AM295" s="18"/>
      <c r="AN295" s="18"/>
    </row>
    <row r="296" spans="2:40" ht="21.9" customHeight="1" x14ac:dyDescent="0.25">
      <c r="B296" s="179"/>
      <c r="C296" s="114"/>
      <c r="D296" s="237"/>
      <c r="E296" s="114" t="s">
        <v>319</v>
      </c>
      <c r="F296" s="114" t="s">
        <v>276</v>
      </c>
      <c r="G296" s="114" t="s">
        <v>333</v>
      </c>
      <c r="H296" s="552">
        <f>Speed!AX122</f>
        <v>55.899999999928468</v>
      </c>
      <c r="I296" s="552">
        <f>Speed!AY122</f>
        <v>55.899999999928468</v>
      </c>
      <c r="J296" s="552">
        <f>Speed!AZ122</f>
        <v>55.899999999904956</v>
      </c>
      <c r="K296" s="552">
        <f>Speed!BA122</f>
        <v>55.899999999871852</v>
      </c>
      <c r="L296" s="552">
        <f>Speed!BB122</f>
        <v>55.899999999812053</v>
      </c>
      <c r="M296" s="552">
        <f>Speed!BC122</f>
        <v>55.899999999728166</v>
      </c>
      <c r="N296" s="552">
        <f>Speed!BD122</f>
        <v>55.899999999611914</v>
      </c>
      <c r="O296" s="552">
        <f>Speed!BE122</f>
        <v>55.899999999452817</v>
      </c>
      <c r="P296" s="552">
        <f>Speed!BF122</f>
        <v>55.899999999237167</v>
      </c>
      <c r="Q296" s="552">
        <f>Speed!BG122</f>
        <v>55.899999998913934</v>
      </c>
      <c r="R296" s="552">
        <f>Speed!BH122</f>
        <v>55.899999998472445</v>
      </c>
      <c r="S296" s="552">
        <f>Speed!BI122</f>
        <v>55.899999997875284</v>
      </c>
      <c r="T296" s="552">
        <f>Speed!BJ122</f>
        <v>55.899999997075689</v>
      </c>
      <c r="U296" s="552">
        <f>Speed!BK122</f>
        <v>55.899999996014074</v>
      </c>
      <c r="V296" s="552">
        <f>Speed!BL122</f>
        <v>55.899999994964105</v>
      </c>
      <c r="W296" s="552">
        <f>Speed!BM122</f>
        <v>55.89999999393082</v>
      </c>
      <c r="X296" s="552">
        <f>Speed!BN122</f>
        <v>55.899999992710505</v>
      </c>
      <c r="Y296" s="552">
        <f>Speed!BO122</f>
        <v>55.899999991273638</v>
      </c>
      <c r="Z296" s="552">
        <f>Speed!BP122</f>
        <v>55.899999989586888</v>
      </c>
      <c r="AA296" s="552">
        <f>Speed!BQ122</f>
        <v>55.899999987611956</v>
      </c>
      <c r="AB296" s="552">
        <f>Speed!BR122</f>
        <v>55.899999985306337</v>
      </c>
      <c r="AC296" s="552">
        <f>Speed!BS122</f>
        <v>55.899999982621175</v>
      </c>
      <c r="AD296" s="552">
        <f>Speed!BT122</f>
        <v>55.899999979502162</v>
      </c>
      <c r="AE296" s="552">
        <f>Speed!BU122</f>
        <v>55.89999997588852</v>
      </c>
      <c r="AF296" s="552">
        <f>Speed!BV122</f>
        <v>55.89999997171082</v>
      </c>
      <c r="AG296" s="700">
        <f>Speed!BW122</f>
        <v>55.89999996689258</v>
      </c>
      <c r="AH296" s="18"/>
      <c r="AI296" s="18"/>
      <c r="AJ296" s="18"/>
      <c r="AK296" s="18"/>
      <c r="AL296" s="18"/>
      <c r="AM296" s="18"/>
      <c r="AN296" s="18"/>
    </row>
    <row r="297" spans="2:40" ht="21.9" customHeight="1" x14ac:dyDescent="0.25">
      <c r="B297" s="179"/>
      <c r="C297" s="114"/>
      <c r="D297" s="237"/>
      <c r="E297" s="114"/>
      <c r="F297" s="114" t="s">
        <v>333</v>
      </c>
      <c r="G297" s="114" t="s">
        <v>323</v>
      </c>
      <c r="H297" s="552">
        <f>Speed!AX123</f>
        <v>55.899999999995408</v>
      </c>
      <c r="I297" s="552">
        <f>Speed!AY123</f>
        <v>55.899999999995408</v>
      </c>
      <c r="J297" s="552">
        <f>Speed!AZ123</f>
        <v>55.899999999993916</v>
      </c>
      <c r="K297" s="552">
        <f>Speed!BA123</f>
        <v>55.89999999999177</v>
      </c>
      <c r="L297" s="552">
        <f>Speed!BB123</f>
        <v>55.899999999987621</v>
      </c>
      <c r="M297" s="552">
        <f>Speed!BC123</f>
        <v>55.899999999981667</v>
      </c>
      <c r="N297" s="552">
        <f>Speed!BD123</f>
        <v>55.899999999973247</v>
      </c>
      <c r="O297" s="552">
        <f>Speed!BE123</f>
        <v>55.899999999961508</v>
      </c>
      <c r="P297" s="552">
        <f>Speed!BF123</f>
        <v>55.899999999945308</v>
      </c>
      <c r="Q297" s="552">
        <f>Speed!BG123</f>
        <v>55.899999999919977</v>
      </c>
      <c r="R297" s="552">
        <f>Speed!BH123</f>
        <v>55.89999999988455</v>
      </c>
      <c r="S297" s="552">
        <f>Speed!BI123</f>
        <v>55.899999999835558</v>
      </c>
      <c r="T297" s="552">
        <f>Speed!BJ123</f>
        <v>55.89999999976861</v>
      </c>
      <c r="U297" s="552">
        <f>Speed!BK123</f>
        <v>55.899999999678023</v>
      </c>
      <c r="V297" s="552">
        <f>Speed!BL123</f>
        <v>55.899999999591124</v>
      </c>
      <c r="W297" s="552">
        <f>Speed!BM123</f>
        <v>55.89999999951069</v>
      </c>
      <c r="X297" s="552">
        <f>Speed!BN123</f>
        <v>55.899999999416295</v>
      </c>
      <c r="Y297" s="552">
        <f>Speed!BO123</f>
        <v>55.89999999930582</v>
      </c>
      <c r="Z297" s="552">
        <f>Speed!BP123</f>
        <v>55.899999999176927</v>
      </c>
      <c r="AA297" s="552">
        <f>Speed!BQ123</f>
        <v>55.899999999026811</v>
      </c>
      <c r="AB297" s="552">
        <f>Speed!BR123</f>
        <v>55.899999998852579</v>
      </c>
      <c r="AC297" s="552">
        <f>Speed!BS123</f>
        <v>55.899999998650642</v>
      </c>
      <c r="AD297" s="552">
        <f>Speed!BT123</f>
        <v>55.899999998417272</v>
      </c>
      <c r="AE297" s="552">
        <f>Speed!BU123</f>
        <v>55.899999998148331</v>
      </c>
      <c r="AF297" s="552">
        <f>Speed!BV123</f>
        <v>55.899999997838769</v>
      </c>
      <c r="AG297" s="700">
        <f>Speed!BW123</f>
        <v>55.899999997483391</v>
      </c>
      <c r="AH297" s="18"/>
      <c r="AI297" s="18"/>
      <c r="AJ297" s="18"/>
      <c r="AK297" s="18"/>
      <c r="AL297" s="18"/>
      <c r="AM297" s="18"/>
      <c r="AN297" s="18"/>
    </row>
    <row r="298" spans="2:40" ht="21.9" customHeight="1" x14ac:dyDescent="0.25">
      <c r="B298" s="179"/>
      <c r="C298" s="114"/>
      <c r="D298" s="237"/>
      <c r="E298" s="114"/>
      <c r="F298" s="114" t="s">
        <v>323</v>
      </c>
      <c r="G298" s="114" t="s">
        <v>322</v>
      </c>
      <c r="H298" s="552">
        <f>Speed!AX124</f>
        <v>45.899999999989724</v>
      </c>
      <c r="I298" s="552">
        <f>Speed!AY124</f>
        <v>45.899999999989724</v>
      </c>
      <c r="J298" s="552">
        <f>Speed!AZ124</f>
        <v>45.899999999986413</v>
      </c>
      <c r="K298" s="552">
        <f>Speed!BA124</f>
        <v>45.899999999981624</v>
      </c>
      <c r="L298" s="552">
        <f>Speed!BB124</f>
        <v>45.899999999972351</v>
      </c>
      <c r="M298" s="552">
        <f>Speed!BC124</f>
        <v>45.89999999995905</v>
      </c>
      <c r="N298" s="552">
        <f>Speed!BD124</f>
        <v>45.899999999940242</v>
      </c>
      <c r="O298" s="552">
        <f>Speed!BE124</f>
        <v>45.899999999914009</v>
      </c>
      <c r="P298" s="552">
        <f>Speed!BF124</f>
        <v>45.899999999877821</v>
      </c>
      <c r="Q298" s="552">
        <f>Speed!BG124</f>
        <v>45.899999999821233</v>
      </c>
      <c r="R298" s="552">
        <f>Speed!BH124</f>
        <v>45.899999999742093</v>
      </c>
      <c r="S298" s="552">
        <f>Speed!BI124</f>
        <v>45.899999999632662</v>
      </c>
      <c r="T298" s="552">
        <f>Speed!BJ124</f>
        <v>45.8999999994831</v>
      </c>
      <c r="U298" s="552">
        <f>Speed!BK124</f>
        <v>45.899999999280752</v>
      </c>
      <c r="V298" s="552">
        <f>Speed!BL124</f>
        <v>45.899999999086617</v>
      </c>
      <c r="W298" s="552">
        <f>Speed!BM124</f>
        <v>45.899999998906956</v>
      </c>
      <c r="X298" s="552">
        <f>Speed!BN124</f>
        <v>45.899999998696082</v>
      </c>
      <c r="Y298" s="552">
        <f>Speed!BO124</f>
        <v>45.899999998449289</v>
      </c>
      <c r="Z298" s="552">
        <f>Speed!BP124</f>
        <v>45.89999999816137</v>
      </c>
      <c r="AA298" s="552">
        <f>Speed!BQ124</f>
        <v>45.899999997826015</v>
      </c>
      <c r="AB298" s="552">
        <f>Speed!BR124</f>
        <v>45.899999997436808</v>
      </c>
      <c r="AC298" s="552">
        <f>Speed!BS124</f>
        <v>45.89999999698572</v>
      </c>
      <c r="AD298" s="552">
        <f>Speed!BT124</f>
        <v>45.899999996464395</v>
      </c>
      <c r="AE298" s="552">
        <f>Speed!BU124</f>
        <v>45.899999995863624</v>
      </c>
      <c r="AF298" s="552">
        <f>Speed!BV124</f>
        <v>45.899999995172102</v>
      </c>
      <c r="AG298" s="700">
        <f>Speed!BW124</f>
        <v>45.899999994378227</v>
      </c>
      <c r="AH298" s="18"/>
      <c r="AI298" s="18"/>
      <c r="AJ298" s="18"/>
      <c r="AK298" s="18"/>
      <c r="AL298" s="18"/>
      <c r="AM298" s="18"/>
      <c r="AN298" s="18"/>
    </row>
    <row r="299" spans="2:40" ht="21.9" customHeight="1" x14ac:dyDescent="0.25">
      <c r="B299" s="179"/>
      <c r="C299" s="114"/>
      <c r="D299" s="237"/>
      <c r="E299" s="114"/>
      <c r="F299" s="114" t="s">
        <v>322</v>
      </c>
      <c r="G299" s="114" t="s">
        <v>326</v>
      </c>
      <c r="H299" s="552">
        <f>Speed!AX125</f>
        <v>45.899999999999032</v>
      </c>
      <c r="I299" s="552">
        <f>Speed!AY125</f>
        <v>45.899999999999032</v>
      </c>
      <c r="J299" s="552">
        <f>Speed!AZ125</f>
        <v>45.899999999998727</v>
      </c>
      <c r="K299" s="552">
        <f>Speed!BA125</f>
        <v>45.899999999998258</v>
      </c>
      <c r="L299" s="552">
        <f>Speed!BB125</f>
        <v>45.899999999997448</v>
      </c>
      <c r="M299" s="552">
        <f>Speed!BC125</f>
        <v>45.899999999996311</v>
      </c>
      <c r="N299" s="552">
        <f>Speed!BD125</f>
        <v>45.899999999994741</v>
      </c>
      <c r="O299" s="552">
        <f>Speed!BE125</f>
        <v>45.899999999992602</v>
      </c>
      <c r="P299" s="552">
        <f>Speed!BF125</f>
        <v>45.899999999989681</v>
      </c>
      <c r="Q299" s="552">
        <f>Speed!BG125</f>
        <v>45.899999999985191</v>
      </c>
      <c r="R299" s="552">
        <f>Speed!BH125</f>
        <v>45.899999999979016</v>
      </c>
      <c r="S299" s="552">
        <f>Speed!BI125</f>
        <v>45.899999999970596</v>
      </c>
      <c r="T299" s="552">
        <f>Speed!BJ125</f>
        <v>45.899999999959242</v>
      </c>
      <c r="U299" s="552">
        <f>Speed!BK125</f>
        <v>45.899999999944093</v>
      </c>
      <c r="V299" s="552">
        <f>Speed!BL125</f>
        <v>45.899999999928347</v>
      </c>
      <c r="W299" s="552">
        <f>Speed!BM125</f>
        <v>45.899999999914002</v>
      </c>
      <c r="X299" s="552">
        <f>Speed!BN125</f>
        <v>45.899999999897091</v>
      </c>
      <c r="Y299" s="552">
        <f>Speed!BO125</f>
        <v>45.899999999877267</v>
      </c>
      <c r="Z299" s="552">
        <f>Speed!BP125</f>
        <v>45.89999999985406</v>
      </c>
      <c r="AA299" s="552">
        <f>Speed!BQ125</f>
        <v>45.899999999826981</v>
      </c>
      <c r="AB299" s="552">
        <f>Speed!BR125</f>
        <v>45.899999999795469</v>
      </c>
      <c r="AC299" s="552">
        <f>Speed!BS125</f>
        <v>45.899999999758869</v>
      </c>
      <c r="AD299" s="552">
        <f>Speed!BT125</f>
        <v>45.899999999716471</v>
      </c>
      <c r="AE299" s="552">
        <f>Speed!BU125</f>
        <v>45.8999999996675</v>
      </c>
      <c r="AF299" s="552">
        <f>Speed!BV125</f>
        <v>45.899999999611019</v>
      </c>
      <c r="AG299" s="700">
        <f>Speed!BW125</f>
        <v>45.899999999546054</v>
      </c>
      <c r="AH299" s="18"/>
      <c r="AI299" s="18"/>
      <c r="AJ299" s="18"/>
      <c r="AK299" s="18"/>
      <c r="AL299" s="18"/>
      <c r="AM299" s="18"/>
      <c r="AN299" s="18"/>
    </row>
    <row r="300" spans="2:40" ht="21.9" customHeight="1" x14ac:dyDescent="0.25">
      <c r="B300" s="179"/>
      <c r="C300" s="114"/>
      <c r="D300" s="237"/>
      <c r="E300" s="114"/>
      <c r="F300" s="114" t="s">
        <v>326</v>
      </c>
      <c r="G300" s="114" t="s">
        <v>274</v>
      </c>
      <c r="H300" s="552">
        <f>Speed!AX126</f>
        <v>55.899999999999565</v>
      </c>
      <c r="I300" s="552">
        <f>Speed!AY126</f>
        <v>55.899999999999565</v>
      </c>
      <c r="J300" s="552">
        <f>Speed!AZ126</f>
        <v>55.89999999999943</v>
      </c>
      <c r="K300" s="552">
        <f>Speed!BA126</f>
        <v>55.899999999999217</v>
      </c>
      <c r="L300" s="552">
        <f>Speed!BB126</f>
        <v>55.899999999998855</v>
      </c>
      <c r="M300" s="552">
        <f>Speed!BC126</f>
        <v>55.89999999999835</v>
      </c>
      <c r="N300" s="552">
        <f>Speed!BD126</f>
        <v>55.89999999999764</v>
      </c>
      <c r="O300" s="552">
        <f>Speed!BE126</f>
        <v>55.899999999996687</v>
      </c>
      <c r="P300" s="552">
        <f>Speed!BF126</f>
        <v>55.89999999999538</v>
      </c>
      <c r="Q300" s="552">
        <f>Speed!BG126</f>
        <v>55.899999999993369</v>
      </c>
      <c r="R300" s="552">
        <f>Speed!BH126</f>
        <v>55.899999999990605</v>
      </c>
      <c r="S300" s="552">
        <f>Speed!BI126</f>
        <v>55.899999999986832</v>
      </c>
      <c r="T300" s="552">
        <f>Speed!BJ126</f>
        <v>55.899999999981752</v>
      </c>
      <c r="U300" s="552">
        <f>Speed!BK126</f>
        <v>55.899999999974973</v>
      </c>
      <c r="V300" s="552">
        <f>Speed!BL126</f>
        <v>55.899999999967925</v>
      </c>
      <c r="W300" s="552">
        <f>Speed!BM126</f>
        <v>55.899999999961494</v>
      </c>
      <c r="X300" s="552">
        <f>Speed!BN126</f>
        <v>55.899999999953934</v>
      </c>
      <c r="Y300" s="552">
        <f>Speed!BO126</f>
        <v>55.899999999945059</v>
      </c>
      <c r="Z300" s="552">
        <f>Speed!BP126</f>
        <v>55.899999999934671</v>
      </c>
      <c r="AA300" s="552">
        <f>Speed!BQ126</f>
        <v>55.899999999922549</v>
      </c>
      <c r="AB300" s="552">
        <f>Speed!BR126</f>
        <v>55.899999999908445</v>
      </c>
      <c r="AC300" s="552">
        <f>Speed!BS126</f>
        <v>55.899999999892046</v>
      </c>
      <c r="AD300" s="552">
        <f>Speed!BT126</f>
        <v>55.899999999873067</v>
      </c>
      <c r="AE300" s="552">
        <f>Speed!BU126</f>
        <v>55.899999999851147</v>
      </c>
      <c r="AF300" s="552">
        <f>Speed!BV126</f>
        <v>55.899999999825866</v>
      </c>
      <c r="AG300" s="700">
        <f>Speed!BW126</f>
        <v>55.899999999796783</v>
      </c>
      <c r="AH300" s="18"/>
      <c r="AI300" s="18"/>
      <c r="AJ300" s="18"/>
      <c r="AK300" s="18"/>
      <c r="AL300" s="18"/>
      <c r="AM300" s="18"/>
      <c r="AN300" s="18"/>
    </row>
    <row r="301" spans="2:40" ht="21.9" customHeight="1" thickBot="1" x14ac:dyDescent="0.3">
      <c r="B301" s="681"/>
      <c r="C301" s="122"/>
      <c r="D301" s="122"/>
      <c r="E301" s="274"/>
      <c r="F301" s="274" t="s">
        <v>274</v>
      </c>
      <c r="G301" s="274" t="s">
        <v>317</v>
      </c>
      <c r="H301" s="710">
        <f>Speed!AX127</f>
        <v>55.299999999286285</v>
      </c>
      <c r="I301" s="710">
        <f>Speed!AY127</f>
        <v>55.299999999286285</v>
      </c>
      <c r="J301" s="710">
        <f>Speed!AZ127</f>
        <v>55.29999999905602</v>
      </c>
      <c r="K301" s="710">
        <f>Speed!BA127</f>
        <v>55.299999998713766</v>
      </c>
      <c r="L301" s="710">
        <f>Speed!BB127</f>
        <v>55.299999998115652</v>
      </c>
      <c r="M301" s="710">
        <f>Speed!BC127</f>
        <v>55.299999997277581</v>
      </c>
      <c r="N301" s="710">
        <f>Speed!BD127</f>
        <v>55.299999996118046</v>
      </c>
      <c r="O301" s="710">
        <f>Speed!BE127</f>
        <v>55.299999994531809</v>
      </c>
      <c r="P301" s="710">
        <f>Speed!BF127</f>
        <v>55.299999992383867</v>
      </c>
      <c r="Q301" s="710">
        <f>Speed!BG127</f>
        <v>55.299999989064801</v>
      </c>
      <c r="R301" s="710">
        <f>Speed!BH127</f>
        <v>55.299999984496544</v>
      </c>
      <c r="S301" s="710">
        <f>Speed!BI127</f>
        <v>55.299999978277938</v>
      </c>
      <c r="T301" s="710">
        <f>Speed!BJ127</f>
        <v>55.299999969896689</v>
      </c>
      <c r="U301" s="710">
        <f>Speed!BK127</f>
        <v>55.299999958707311</v>
      </c>
      <c r="V301" s="710">
        <f>Speed!BL127</f>
        <v>55.299999947078511</v>
      </c>
      <c r="W301" s="710">
        <f>Speed!BM127</f>
        <v>55.299999936471977</v>
      </c>
      <c r="X301" s="710">
        <f>Speed!BN127</f>
        <v>55.299999923989162</v>
      </c>
      <c r="Y301" s="710">
        <f>Speed!BO127</f>
        <v>55.299999909340663</v>
      </c>
      <c r="Z301" s="710">
        <f>Speed!BP127</f>
        <v>55.299999892204113</v>
      </c>
      <c r="AA301" s="710">
        <f>Speed!BQ127</f>
        <v>55.299999872199152</v>
      </c>
      <c r="AB301" s="710">
        <f>Speed!BR127</f>
        <v>55.299999848920152</v>
      </c>
      <c r="AC301" s="710">
        <f>Speed!BS127</f>
        <v>55.299999821883517</v>
      </c>
      <c r="AD301" s="710">
        <f>Speed!BT127</f>
        <v>55.299999790567696</v>
      </c>
      <c r="AE301" s="710">
        <f>Speed!BU127</f>
        <v>55.299999754392317</v>
      </c>
      <c r="AF301" s="710">
        <f>Speed!BV127</f>
        <v>55.299999712674101</v>
      </c>
      <c r="AG301" s="711">
        <f>Speed!BW127</f>
        <v>55.29999966468327</v>
      </c>
      <c r="AH301" s="18"/>
      <c r="AI301" s="18"/>
      <c r="AJ301" s="18"/>
      <c r="AK301" s="18"/>
      <c r="AL301" s="18"/>
      <c r="AM301" s="18"/>
      <c r="AN301" s="18"/>
    </row>
    <row r="302" spans="2:40" ht="21.9" customHeight="1" x14ac:dyDescent="0.25">
      <c r="B302" s="179" t="s">
        <v>210</v>
      </c>
      <c r="C302" s="114" t="s">
        <v>156</v>
      </c>
      <c r="D302" s="237" t="s">
        <v>441</v>
      </c>
      <c r="E302" s="1325" t="s">
        <v>315</v>
      </c>
      <c r="F302" s="217" t="s">
        <v>316</v>
      </c>
      <c r="G302" s="217" t="s">
        <v>276</v>
      </c>
      <c r="H302" s="701">
        <f t="shared" ref="H302:AG302" si="109">H218/H262</f>
        <v>2535.1835655309692</v>
      </c>
      <c r="I302" s="701">
        <f t="shared" si="109"/>
        <v>2650.4718946422663</v>
      </c>
      <c r="J302" s="701">
        <f t="shared" si="109"/>
        <v>2812.9116420599016</v>
      </c>
      <c r="K302" s="701">
        <f t="shared" si="109"/>
        <v>3051.8878760478001</v>
      </c>
      <c r="L302" s="701">
        <f t="shared" si="109"/>
        <v>3291.0319653575116</v>
      </c>
      <c r="M302" s="701">
        <f t="shared" si="109"/>
        <v>3530.3343046347404</v>
      </c>
      <c r="N302" s="701">
        <f t="shared" si="109"/>
        <v>3769.8454142589981</v>
      </c>
      <c r="O302" s="701">
        <f t="shared" si="109"/>
        <v>4010.0638109263164</v>
      </c>
      <c r="P302" s="701">
        <f t="shared" si="109"/>
        <v>4248.3460226809611</v>
      </c>
      <c r="Q302" s="701">
        <f t="shared" si="109"/>
        <v>4488.1834303936266</v>
      </c>
      <c r="R302" s="701">
        <f t="shared" si="109"/>
        <v>4730.421854152195</v>
      </c>
      <c r="S302" s="701">
        <f t="shared" si="109"/>
        <v>4976.5432220200692</v>
      </c>
      <c r="T302" s="701">
        <f t="shared" si="109"/>
        <v>5228.8735239931648</v>
      </c>
      <c r="U302" s="701">
        <f t="shared" si="109"/>
        <v>5404.2294793925739</v>
      </c>
      <c r="V302" s="701">
        <f t="shared" si="109"/>
        <v>5534.1288021617056</v>
      </c>
      <c r="W302" s="701">
        <f t="shared" si="109"/>
        <v>5667.4610011748618</v>
      </c>
      <c r="X302" s="701">
        <f t="shared" si="109"/>
        <v>5804.9352397584225</v>
      </c>
      <c r="Y302" s="701">
        <f t="shared" si="109"/>
        <v>5947.4379577368627</v>
      </c>
      <c r="Z302" s="701">
        <f t="shared" si="109"/>
        <v>6095.8550394000449</v>
      </c>
      <c r="AA302" s="701">
        <f t="shared" si="109"/>
        <v>6251.4419384837865</v>
      </c>
      <c r="AB302" s="701">
        <f t="shared" si="109"/>
        <v>6415.4387584900833</v>
      </c>
      <c r="AC302" s="701">
        <f t="shared" si="109"/>
        <v>6589.4662617928807</v>
      </c>
      <c r="AD302" s="701">
        <f t="shared" si="109"/>
        <v>6775.4125540870837</v>
      </c>
      <c r="AE302" s="701">
        <f t="shared" si="109"/>
        <v>6975.2609738995479</v>
      </c>
      <c r="AF302" s="701">
        <f t="shared" si="109"/>
        <v>7191.5114533398464</v>
      </c>
      <c r="AG302" s="702">
        <f t="shared" si="109"/>
        <v>7427.0581292210791</v>
      </c>
      <c r="AH302" s="18"/>
      <c r="AI302" s="18"/>
      <c r="AJ302" s="18"/>
      <c r="AK302" s="18"/>
      <c r="AL302" s="18"/>
      <c r="AM302" s="18"/>
      <c r="AN302" s="18"/>
    </row>
    <row r="303" spans="2:40" ht="21.9" customHeight="1" x14ac:dyDescent="0.25">
      <c r="B303" s="680" t="s">
        <v>450</v>
      </c>
      <c r="C303" s="690"/>
      <c r="D303" s="690"/>
      <c r="E303" s="1327"/>
      <c r="F303" s="114" t="s">
        <v>276</v>
      </c>
      <c r="G303" s="114" t="s">
        <v>274</v>
      </c>
      <c r="H303" s="552">
        <f t="shared" ref="H303:AG303" si="110">H219/H263</f>
        <v>81519.328148490531</v>
      </c>
      <c r="I303" s="552">
        <f t="shared" si="110"/>
        <v>85822.403418424146</v>
      </c>
      <c r="J303" s="552">
        <f t="shared" si="110"/>
        <v>92281.936127633162</v>
      </c>
      <c r="K303" s="552">
        <f t="shared" si="110"/>
        <v>102954.51500075955</v>
      </c>
      <c r="L303" s="552">
        <f t="shared" si="110"/>
        <v>113633.37378546105</v>
      </c>
      <c r="M303" s="552">
        <f t="shared" si="110"/>
        <v>124315.11044833162</v>
      </c>
      <c r="N303" s="552">
        <f t="shared" si="110"/>
        <v>135000.35896262687</v>
      </c>
      <c r="O303" s="552">
        <f t="shared" si="110"/>
        <v>145711.44429553667</v>
      </c>
      <c r="P303" s="552">
        <f t="shared" si="110"/>
        <v>156550.0148566064</v>
      </c>
      <c r="Q303" s="552">
        <f t="shared" si="110"/>
        <v>167453.79559843818</v>
      </c>
      <c r="R303" s="552">
        <f t="shared" si="110"/>
        <v>178465.61947977464</v>
      </c>
      <c r="S303" s="552">
        <f t="shared" si="110"/>
        <v>189672.82798690823</v>
      </c>
      <c r="T303" s="552">
        <f t="shared" si="110"/>
        <v>201221.41164219225</v>
      </c>
      <c r="U303" s="552">
        <f t="shared" si="110"/>
        <v>208492.90180730441</v>
      </c>
      <c r="V303" s="552">
        <f t="shared" si="110"/>
        <v>213403.31472881467</v>
      </c>
      <c r="W303" s="552">
        <f t="shared" si="110"/>
        <v>218451.51258143611</v>
      </c>
      <c r="X303" s="552">
        <f t="shared" si="110"/>
        <v>223665.01477497275</v>
      </c>
      <c r="Y303" s="552">
        <f t="shared" si="110"/>
        <v>229079.22224501459</v>
      </c>
      <c r="Z303" s="552">
        <f t="shared" si="110"/>
        <v>234725.87453260162</v>
      </c>
      <c r="AA303" s="552">
        <f t="shared" si="110"/>
        <v>240655.45801481543</v>
      </c>
      <c r="AB303" s="552">
        <f t="shared" si="110"/>
        <v>246912.633399507</v>
      </c>
      <c r="AC303" s="552">
        <f t="shared" si="110"/>
        <v>253560.1379607688</v>
      </c>
      <c r="AD303" s="552">
        <f t="shared" si="110"/>
        <v>260670.92491111581</v>
      </c>
      <c r="AE303" s="552">
        <f t="shared" si="110"/>
        <v>268316.45953292755</v>
      </c>
      <c r="AF303" s="552">
        <f t="shared" si="110"/>
        <v>276591.98579887336</v>
      </c>
      <c r="AG303" s="700">
        <f t="shared" si="110"/>
        <v>285607.71393298305</v>
      </c>
      <c r="AH303" s="18"/>
      <c r="AI303" s="18"/>
      <c r="AJ303" s="18"/>
      <c r="AK303" s="18"/>
      <c r="AL303" s="18"/>
      <c r="AM303" s="18"/>
      <c r="AN303" s="18"/>
    </row>
    <row r="304" spans="2:40" ht="21.9" customHeight="1" x14ac:dyDescent="0.25">
      <c r="B304" s="680"/>
      <c r="C304" s="690"/>
      <c r="D304" s="690"/>
      <c r="E304" s="1327"/>
      <c r="F304" s="114" t="s">
        <v>274</v>
      </c>
      <c r="G304" s="114" t="s">
        <v>317</v>
      </c>
      <c r="H304" s="552">
        <f t="shared" ref="H304:AG304" si="111">H220/H264</f>
        <v>1901.3770612859432</v>
      </c>
      <c r="I304" s="552">
        <f t="shared" si="111"/>
        <v>1980.7757318859558</v>
      </c>
      <c r="J304" s="552">
        <f t="shared" si="111"/>
        <v>2079.0459022437594</v>
      </c>
      <c r="K304" s="552">
        <f t="shared" si="111"/>
        <v>2211.3516551536568</v>
      </c>
      <c r="L304" s="552">
        <f t="shared" si="111"/>
        <v>2343.7062854027677</v>
      </c>
      <c r="M304" s="552">
        <f t="shared" si="111"/>
        <v>2476.04733001877</v>
      </c>
      <c r="N304" s="552">
        <f t="shared" si="111"/>
        <v>2608.3603791859482</v>
      </c>
      <c r="O304" s="552">
        <f t="shared" si="111"/>
        <v>2740.7744040097086</v>
      </c>
      <c r="P304" s="552">
        <f t="shared" si="111"/>
        <v>2869.0770520663455</v>
      </c>
      <c r="Q304" s="552">
        <f t="shared" si="111"/>
        <v>2997.4402637763669</v>
      </c>
      <c r="R304" s="552">
        <f t="shared" si="111"/>
        <v>3125.7752041602062</v>
      </c>
      <c r="S304" s="552">
        <f t="shared" si="111"/>
        <v>3254.1382237659154</v>
      </c>
      <c r="T304" s="552">
        <f t="shared" si="111"/>
        <v>3382.6367184104665</v>
      </c>
      <c r="U304" s="552">
        <f t="shared" si="111"/>
        <v>3476.9601656816526</v>
      </c>
      <c r="V304" s="552">
        <f t="shared" si="111"/>
        <v>3556.4948115410766</v>
      </c>
      <c r="W304" s="552">
        <f t="shared" si="111"/>
        <v>3636.0635531270418</v>
      </c>
      <c r="X304" s="552">
        <f t="shared" si="111"/>
        <v>3715.6738818618242</v>
      </c>
      <c r="Y304" s="552">
        <f t="shared" si="111"/>
        <v>3795.3665240342293</v>
      </c>
      <c r="Z304" s="552">
        <f t="shared" si="111"/>
        <v>3875.0884773649409</v>
      </c>
      <c r="AA304" s="552">
        <f t="shared" si="111"/>
        <v>3954.9159008037809</v>
      </c>
      <c r="AB304" s="552">
        <f t="shared" si="111"/>
        <v>4034.7998415778825</v>
      </c>
      <c r="AC304" s="552">
        <f t="shared" si="111"/>
        <v>4114.789438801492</v>
      </c>
      <c r="AD304" s="552">
        <f t="shared" si="111"/>
        <v>4194.9369536161057</v>
      </c>
      <c r="AE304" s="552">
        <f t="shared" si="111"/>
        <v>4275.2020817543125</v>
      </c>
      <c r="AF304" s="552">
        <f t="shared" si="111"/>
        <v>4355.6442788471195</v>
      </c>
      <c r="AG304" s="700">
        <f t="shared" si="111"/>
        <v>4436.3276957293938</v>
      </c>
      <c r="AH304" s="18"/>
      <c r="AI304" s="18"/>
      <c r="AJ304" s="18"/>
      <c r="AK304" s="18"/>
      <c r="AL304" s="18"/>
      <c r="AM304" s="18"/>
      <c r="AN304" s="18"/>
    </row>
    <row r="305" spans="2:40" ht="21.9" customHeight="1" x14ac:dyDescent="0.25">
      <c r="B305" s="680"/>
      <c r="C305" s="690"/>
      <c r="D305" s="690"/>
      <c r="E305" s="1325" t="s">
        <v>274</v>
      </c>
      <c r="F305" s="217" t="s">
        <v>275</v>
      </c>
      <c r="G305" s="217" t="s">
        <v>318</v>
      </c>
      <c r="H305" s="558">
        <f t="shared" ref="H305:AG305" si="112">H221/H265</f>
        <v>21570.420869811423</v>
      </c>
      <c r="I305" s="558">
        <f t="shared" si="112"/>
        <v>23752.376793336691</v>
      </c>
      <c r="J305" s="558">
        <f t="shared" si="112"/>
        <v>28630.635329928751</v>
      </c>
      <c r="K305" s="558">
        <f t="shared" si="112"/>
        <v>38428.999145668939</v>
      </c>
      <c r="L305" s="558">
        <f t="shared" si="112"/>
        <v>48233.404122815416</v>
      </c>
      <c r="M305" s="558">
        <f t="shared" si="112"/>
        <v>58036.740448923927</v>
      </c>
      <c r="N305" s="558">
        <f t="shared" si="112"/>
        <v>67835.164215983401</v>
      </c>
      <c r="O305" s="558">
        <f t="shared" si="112"/>
        <v>77645.857766473884</v>
      </c>
      <c r="P305" s="558">
        <f t="shared" si="112"/>
        <v>87273.152275683242</v>
      </c>
      <c r="Q305" s="558">
        <f t="shared" si="112"/>
        <v>96906.985441274854</v>
      </c>
      <c r="R305" s="558">
        <f t="shared" si="112"/>
        <v>106540.22583180376</v>
      </c>
      <c r="S305" s="558">
        <f t="shared" si="112"/>
        <v>116183.36127230541</v>
      </c>
      <c r="T305" s="558">
        <f t="shared" si="112"/>
        <v>125860.03753700822</v>
      </c>
      <c r="U305" s="558">
        <f t="shared" si="112"/>
        <v>130592.81652449965</v>
      </c>
      <c r="V305" s="558">
        <f t="shared" si="112"/>
        <v>132794.34434844399</v>
      </c>
      <c r="W305" s="558">
        <f t="shared" si="112"/>
        <v>134999.37000569358</v>
      </c>
      <c r="X305" s="558">
        <f t="shared" si="112"/>
        <v>137208.44639834581</v>
      </c>
      <c r="Y305" s="558">
        <f t="shared" si="112"/>
        <v>139425.59888517452</v>
      </c>
      <c r="Z305" s="558">
        <f t="shared" si="112"/>
        <v>141644.75886557452</v>
      </c>
      <c r="AA305" s="558">
        <f t="shared" si="112"/>
        <v>143873.5401784406</v>
      </c>
      <c r="AB305" s="558">
        <f t="shared" si="112"/>
        <v>146106.04091337183</v>
      </c>
      <c r="AC305" s="558">
        <f t="shared" si="112"/>
        <v>148346.70138854318</v>
      </c>
      <c r="AD305" s="558">
        <f t="shared" si="112"/>
        <v>150600.1440782283</v>
      </c>
      <c r="AE305" s="558">
        <f t="shared" si="112"/>
        <v>152860.78851717373</v>
      </c>
      <c r="AF305" s="558">
        <f t="shared" si="112"/>
        <v>155133.55008679611</v>
      </c>
      <c r="AG305" s="703">
        <f t="shared" si="112"/>
        <v>157423.59815619816</v>
      </c>
      <c r="AH305" s="18"/>
      <c r="AI305" s="18"/>
      <c r="AJ305" s="18"/>
      <c r="AK305" s="18"/>
      <c r="AL305" s="18"/>
      <c r="AM305" s="18"/>
      <c r="AN305" s="18"/>
    </row>
    <row r="306" spans="2:40" ht="21.9" customHeight="1" x14ac:dyDescent="0.25">
      <c r="B306" s="680"/>
      <c r="C306" s="690"/>
      <c r="D306" s="690"/>
      <c r="E306" s="1327"/>
      <c r="F306" s="114" t="s">
        <v>318</v>
      </c>
      <c r="G306" s="114" t="s">
        <v>308</v>
      </c>
      <c r="H306" s="552">
        <f t="shared" ref="H306:AG306" si="113">H222/H266</f>
        <v>2902.3081039318445</v>
      </c>
      <c r="I306" s="552">
        <f t="shared" si="113"/>
        <v>3205.2218436879684</v>
      </c>
      <c r="J306" s="552">
        <f t="shared" si="113"/>
        <v>3623.4142921908947</v>
      </c>
      <c r="K306" s="552">
        <f t="shared" si="113"/>
        <v>4391.7396852280699</v>
      </c>
      <c r="L306" s="552">
        <f t="shared" si="113"/>
        <v>5162.2183340706224</v>
      </c>
      <c r="M306" s="552">
        <f t="shared" si="113"/>
        <v>5940.7267617898124</v>
      </c>
      <c r="N306" s="552">
        <f t="shared" si="113"/>
        <v>6745.5198669870733</v>
      </c>
      <c r="O306" s="552">
        <f t="shared" si="113"/>
        <v>7629.3116532523809</v>
      </c>
      <c r="P306" s="552">
        <f t="shared" si="113"/>
        <v>9323.5887534263729</v>
      </c>
      <c r="Q306" s="552">
        <f t="shared" si="113"/>
        <v>12539.863215307589</v>
      </c>
      <c r="R306" s="552">
        <f t="shared" si="113"/>
        <v>20193.809096898181</v>
      </c>
      <c r="S306" s="552">
        <f t="shared" si="113"/>
        <v>39429.814197074498</v>
      </c>
      <c r="T306" s="552">
        <f t="shared" si="113"/>
        <v>64303.527520000018</v>
      </c>
      <c r="U306" s="552">
        <f t="shared" si="113"/>
        <v>68039.270400000009</v>
      </c>
      <c r="V306" s="552">
        <f t="shared" si="113"/>
        <v>69538.643680000008</v>
      </c>
      <c r="W306" s="552">
        <f t="shared" si="113"/>
        <v>71038.016960000008</v>
      </c>
      <c r="X306" s="552">
        <f t="shared" si="113"/>
        <v>72537.390240000008</v>
      </c>
      <c r="Y306" s="552">
        <f t="shared" si="113"/>
        <v>74037.841000000015</v>
      </c>
      <c r="Z306" s="552">
        <f t="shared" si="113"/>
        <v>75537.21428</v>
      </c>
      <c r="AA306" s="552">
        <f t="shared" si="113"/>
        <v>77037.665040000022</v>
      </c>
      <c r="AB306" s="552">
        <f t="shared" si="113"/>
        <v>78537.038320000021</v>
      </c>
      <c r="AC306" s="552">
        <f t="shared" si="113"/>
        <v>80036.411600000007</v>
      </c>
      <c r="AD306" s="552">
        <f t="shared" si="113"/>
        <v>81536.862359999999</v>
      </c>
      <c r="AE306" s="552">
        <f t="shared" si="113"/>
        <v>83036.235639999999</v>
      </c>
      <c r="AF306" s="552">
        <f t="shared" si="113"/>
        <v>84535.608920000013</v>
      </c>
      <c r="AG306" s="700">
        <f t="shared" si="113"/>
        <v>86036.059679999991</v>
      </c>
      <c r="AH306" s="18"/>
      <c r="AI306" s="18"/>
      <c r="AJ306" s="18"/>
      <c r="AK306" s="18"/>
      <c r="AL306" s="18"/>
      <c r="AM306" s="18"/>
      <c r="AN306" s="18"/>
    </row>
    <row r="307" spans="2:40" ht="21.9" customHeight="1" x14ac:dyDescent="0.25">
      <c r="B307" s="680"/>
      <c r="C307" s="690"/>
      <c r="D307" s="690"/>
      <c r="E307" s="1339"/>
      <c r="F307" s="250" t="s">
        <v>308</v>
      </c>
      <c r="G307" s="250" t="s">
        <v>319</v>
      </c>
      <c r="H307" s="562">
        <f t="shared" ref="H307:AG307" si="114">H223/H267</f>
        <v>41642.382214759615</v>
      </c>
      <c r="I307" s="562">
        <f t="shared" si="114"/>
        <v>43031.801251957237</v>
      </c>
      <c r="J307" s="562">
        <f t="shared" si="114"/>
        <v>45147.819024983102</v>
      </c>
      <c r="K307" s="562">
        <f t="shared" si="114"/>
        <v>48503.654678090701</v>
      </c>
      <c r="L307" s="562">
        <f t="shared" si="114"/>
        <v>52545.777347388503</v>
      </c>
      <c r="M307" s="562">
        <f t="shared" si="114"/>
        <v>57647.258970404218</v>
      </c>
      <c r="N307" s="562">
        <f t="shared" si="114"/>
        <v>64353.088222593564</v>
      </c>
      <c r="O307" s="562">
        <f t="shared" si="114"/>
        <v>73457.880823385087</v>
      </c>
      <c r="P307" s="562">
        <f t="shared" si="114"/>
        <v>86209.443379642442</v>
      </c>
      <c r="Q307" s="562">
        <f t="shared" si="114"/>
        <v>104136.60266449235</v>
      </c>
      <c r="R307" s="562">
        <f t="shared" si="114"/>
        <v>129427.84421801112</v>
      </c>
      <c r="S307" s="562">
        <f t="shared" si="114"/>
        <v>165090.12146958063</v>
      </c>
      <c r="T307" s="562">
        <f t="shared" si="114"/>
        <v>215205.79567566823</v>
      </c>
      <c r="U307" s="562">
        <f t="shared" si="114"/>
        <v>262767.71011138213</v>
      </c>
      <c r="V307" s="562">
        <f t="shared" si="114"/>
        <v>302878.1650741527</v>
      </c>
      <c r="W307" s="562">
        <f t="shared" si="114"/>
        <v>332560.61040000001</v>
      </c>
      <c r="X307" s="562">
        <f t="shared" si="114"/>
        <v>337951.5253792</v>
      </c>
      <c r="Y307" s="562">
        <f t="shared" si="114"/>
        <v>343345.00715520006</v>
      </c>
      <c r="Z307" s="562">
        <f t="shared" si="114"/>
        <v>348735.92213440005</v>
      </c>
      <c r="AA307" s="562">
        <f t="shared" si="114"/>
        <v>354129.40391040005</v>
      </c>
      <c r="AB307" s="562">
        <f t="shared" si="114"/>
        <v>359520.31888960005</v>
      </c>
      <c r="AC307" s="562">
        <f t="shared" si="114"/>
        <v>364911.23386880005</v>
      </c>
      <c r="AD307" s="562">
        <f t="shared" si="114"/>
        <v>370304.71564479999</v>
      </c>
      <c r="AE307" s="562">
        <f t="shared" si="114"/>
        <v>375695.63062399992</v>
      </c>
      <c r="AF307" s="562">
        <f t="shared" si="114"/>
        <v>381086.54560320004</v>
      </c>
      <c r="AG307" s="704">
        <f t="shared" si="114"/>
        <v>386480.02737920004</v>
      </c>
      <c r="AH307" s="18"/>
      <c r="AI307" s="18"/>
      <c r="AJ307" s="18"/>
      <c r="AK307" s="18"/>
      <c r="AL307" s="18"/>
      <c r="AM307" s="18"/>
      <c r="AN307" s="18"/>
    </row>
    <row r="308" spans="2:40" ht="21.9" customHeight="1" x14ac:dyDescent="0.25">
      <c r="B308" s="680"/>
      <c r="C308" s="690"/>
      <c r="D308" s="690"/>
      <c r="E308" s="114" t="s">
        <v>320</v>
      </c>
      <c r="F308" s="114" t="s">
        <v>318</v>
      </c>
      <c r="G308" s="114" t="s">
        <v>308</v>
      </c>
      <c r="H308" s="552">
        <f t="shared" ref="H308:AG308" si="115">H224/H268</f>
        <v>130.25092592592591</v>
      </c>
      <c r="I308" s="552">
        <f t="shared" si="115"/>
        <v>987.17176759259269</v>
      </c>
      <c r="J308" s="552">
        <f t="shared" si="115"/>
        <v>5719.1879070200375</v>
      </c>
      <c r="K308" s="552">
        <f t="shared" si="115"/>
        <v>13172.672103187289</v>
      </c>
      <c r="L308" s="552">
        <f t="shared" si="115"/>
        <v>20631.559744086007</v>
      </c>
      <c r="M308" s="552">
        <f t="shared" si="115"/>
        <v>28110.996960233195</v>
      </c>
      <c r="N308" s="552">
        <f t="shared" si="115"/>
        <v>35830.500849784927</v>
      </c>
      <c r="O308" s="552">
        <f t="shared" si="115"/>
        <v>45347.248830203389</v>
      </c>
      <c r="P308" s="552">
        <f t="shared" si="115"/>
        <v>53707.323822496262</v>
      </c>
      <c r="Q308" s="552">
        <f t="shared" si="115"/>
        <v>67990.577244182045</v>
      </c>
      <c r="R308" s="552">
        <f t="shared" si="115"/>
        <v>94913.356082653278</v>
      </c>
      <c r="S308" s="552">
        <f t="shared" si="115"/>
        <v>147272.16583108634</v>
      </c>
      <c r="T308" s="552">
        <f t="shared" si="115"/>
        <v>248673.29749086808</v>
      </c>
      <c r="U308" s="552">
        <f t="shared" si="115"/>
        <v>282690.19086400012</v>
      </c>
      <c r="V308" s="552">
        <f t="shared" si="115"/>
        <v>286392.08889999997</v>
      </c>
      <c r="W308" s="552">
        <f t="shared" si="115"/>
        <v>290093.98693600006</v>
      </c>
      <c r="X308" s="552">
        <f t="shared" si="115"/>
        <v>293795.88497200009</v>
      </c>
      <c r="Y308" s="552">
        <f t="shared" si="115"/>
        <v>297512.41279200005</v>
      </c>
      <c r="Z308" s="552">
        <f t="shared" si="115"/>
        <v>301214.31082800007</v>
      </c>
      <c r="AA308" s="552">
        <f t="shared" si="115"/>
        <v>304930.83864800015</v>
      </c>
      <c r="AB308" s="552">
        <f t="shared" si="115"/>
        <v>308632.73668400006</v>
      </c>
      <c r="AC308" s="552">
        <f t="shared" si="115"/>
        <v>312334.63472000009</v>
      </c>
      <c r="AD308" s="552">
        <f t="shared" si="115"/>
        <v>316051.16254000016</v>
      </c>
      <c r="AE308" s="552">
        <f t="shared" si="115"/>
        <v>319753.06057600002</v>
      </c>
      <c r="AF308" s="552">
        <f t="shared" si="115"/>
        <v>323454.95861200005</v>
      </c>
      <c r="AG308" s="700">
        <f t="shared" si="115"/>
        <v>327171.48643200012</v>
      </c>
      <c r="AH308" s="18"/>
      <c r="AI308" s="18"/>
      <c r="AJ308" s="18"/>
      <c r="AK308" s="18"/>
      <c r="AL308" s="18"/>
      <c r="AM308" s="18"/>
      <c r="AN308" s="18"/>
    </row>
    <row r="309" spans="2:40" ht="21.9" customHeight="1" x14ac:dyDescent="0.25">
      <c r="B309" s="680"/>
      <c r="C309" s="690"/>
      <c r="D309" s="690"/>
      <c r="E309" s="1325" t="s">
        <v>308</v>
      </c>
      <c r="F309" s="217" t="s">
        <v>276</v>
      </c>
      <c r="G309" s="217" t="s">
        <v>320</v>
      </c>
      <c r="H309" s="558">
        <f t="shared" ref="H309:AG309" si="116">H225/H269</f>
        <v>393.24087591240874</v>
      </c>
      <c r="I309" s="558">
        <f t="shared" si="116"/>
        <v>873.97784671532838</v>
      </c>
      <c r="J309" s="558">
        <f t="shared" si="116"/>
        <v>3693.9081678832117</v>
      </c>
      <c r="K309" s="558">
        <f t="shared" si="116"/>
        <v>8303.6743357675514</v>
      </c>
      <c r="L309" s="558">
        <f t="shared" si="116"/>
        <v>12915.996569488536</v>
      </c>
      <c r="M309" s="558">
        <f t="shared" si="116"/>
        <v>17528.515427541301</v>
      </c>
      <c r="N309" s="558">
        <f t="shared" si="116"/>
        <v>22138.281645809242</v>
      </c>
      <c r="O309" s="558">
        <f t="shared" si="116"/>
        <v>26753.356948994206</v>
      </c>
      <c r="P309" s="558">
        <f t="shared" si="116"/>
        <v>30312.188168361648</v>
      </c>
      <c r="Q309" s="558">
        <f t="shared" si="116"/>
        <v>33871.612095109449</v>
      </c>
      <c r="R309" s="558">
        <f t="shared" si="116"/>
        <v>37430.453766219885</v>
      </c>
      <c r="S309" s="558">
        <f t="shared" si="116"/>
        <v>40989.313913503218</v>
      </c>
      <c r="T309" s="558">
        <f t="shared" si="116"/>
        <v>44552.934567621487</v>
      </c>
      <c r="U309" s="558">
        <f t="shared" si="116"/>
        <v>46319.239825197532</v>
      </c>
      <c r="V309" s="558">
        <f t="shared" si="116"/>
        <v>46799.998871363088</v>
      </c>
      <c r="W309" s="558">
        <f t="shared" si="116"/>
        <v>47280.76030553801</v>
      </c>
      <c r="X309" s="558">
        <f t="shared" si="116"/>
        <v>47761.524357751841</v>
      </c>
      <c r="Y309" s="558">
        <f t="shared" si="116"/>
        <v>48243.667710703572</v>
      </c>
      <c r="Z309" s="558">
        <f t="shared" si="116"/>
        <v>48724.437777865736</v>
      </c>
      <c r="AA309" s="558">
        <f t="shared" si="116"/>
        <v>49206.587729643688</v>
      </c>
      <c r="AB309" s="558">
        <f t="shared" si="116"/>
        <v>49687.364988509609</v>
      </c>
      <c r="AC309" s="558">
        <f t="shared" si="116"/>
        <v>50168.146339907151</v>
      </c>
      <c r="AD309" s="558">
        <f t="shared" si="116"/>
        <v>50650.308643952136</v>
      </c>
      <c r="AE309" s="558">
        <f t="shared" si="116"/>
        <v>51131.099335734994</v>
      </c>
      <c r="AF309" s="558">
        <f t="shared" si="116"/>
        <v>51611.89532318386</v>
      </c>
      <c r="AG309" s="703">
        <f t="shared" si="116"/>
        <v>52094.073608850616</v>
      </c>
      <c r="AH309" s="18"/>
      <c r="AI309" s="18"/>
      <c r="AJ309" s="18"/>
      <c r="AK309" s="18"/>
      <c r="AL309" s="18"/>
      <c r="AM309" s="18"/>
      <c r="AN309" s="18"/>
    </row>
    <row r="310" spans="2:40" ht="21.9" customHeight="1" x14ac:dyDescent="0.25">
      <c r="B310" s="680"/>
      <c r="C310" s="690"/>
      <c r="D310" s="690"/>
      <c r="E310" s="1327"/>
      <c r="F310" s="114" t="s">
        <v>320</v>
      </c>
      <c r="G310" s="114" t="s">
        <v>282</v>
      </c>
      <c r="H310" s="552">
        <f t="shared" ref="H310:AG310" si="117">H226/H270</f>
        <v>0</v>
      </c>
      <c r="I310" s="552">
        <f t="shared" si="117"/>
        <v>267.52031143552318</v>
      </c>
      <c r="J310" s="552">
        <f t="shared" si="117"/>
        <v>766.14391630170326</v>
      </c>
      <c r="K310" s="552">
        <f t="shared" si="117"/>
        <v>1722.2435659369737</v>
      </c>
      <c r="L310" s="552">
        <f t="shared" si="117"/>
        <v>2678.8733625605851</v>
      </c>
      <c r="M310" s="552">
        <f t="shared" si="117"/>
        <v>3635.5439405270854</v>
      </c>
      <c r="N310" s="552">
        <f t="shared" si="117"/>
        <v>4591.6436006122876</v>
      </c>
      <c r="O310" s="552">
        <f t="shared" si="117"/>
        <v>5548.8444042358351</v>
      </c>
      <c r="P310" s="552">
        <f t="shared" si="117"/>
        <v>6286.9723608453796</v>
      </c>
      <c r="Q310" s="552">
        <f t="shared" si="117"/>
        <v>7025.2232493560341</v>
      </c>
      <c r="R310" s="552">
        <f t="shared" si="117"/>
        <v>7763.353373734496</v>
      </c>
      <c r="S310" s="552">
        <f t="shared" si="117"/>
        <v>8501.4873302080759</v>
      </c>
      <c r="T310" s="552">
        <f t="shared" si="117"/>
        <v>9240.6086510622354</v>
      </c>
      <c r="U310" s="552">
        <f t="shared" si="117"/>
        <v>9606.9534452261541</v>
      </c>
      <c r="V310" s="552">
        <f t="shared" si="117"/>
        <v>9706.6664325790116</v>
      </c>
      <c r="W310" s="552">
        <f t="shared" si="117"/>
        <v>9806.3799152226984</v>
      </c>
      <c r="X310" s="552">
        <f t="shared" si="117"/>
        <v>9906.0939408670492</v>
      </c>
      <c r="Y310" s="552">
        <f t="shared" si="117"/>
        <v>10006.094043701481</v>
      </c>
      <c r="Z310" s="552">
        <f t="shared" si="117"/>
        <v>10105.809316890673</v>
      </c>
      <c r="AA310" s="552">
        <f t="shared" si="117"/>
        <v>10205.810788370543</v>
      </c>
      <c r="AB310" s="552">
        <f t="shared" si="117"/>
        <v>10305.527553172364</v>
      </c>
      <c r="AC310" s="552">
        <f t="shared" si="117"/>
        <v>10405.245166795556</v>
      </c>
      <c r="AD310" s="552">
        <f t="shared" si="117"/>
        <v>10505.24920022711</v>
      </c>
      <c r="AE310" s="552">
        <f t="shared" si="117"/>
        <v>10604.968751115406</v>
      </c>
      <c r="AF310" s="552">
        <f t="shared" si="117"/>
        <v>10704.689400364059</v>
      </c>
      <c r="AG310" s="700">
        <f t="shared" si="117"/>
        <v>10804.696748502349</v>
      </c>
      <c r="AH310" s="18"/>
      <c r="AI310" s="18"/>
      <c r="AJ310" s="18"/>
      <c r="AK310" s="18"/>
      <c r="AL310" s="18"/>
      <c r="AM310" s="18"/>
      <c r="AN310" s="18"/>
    </row>
    <row r="311" spans="2:40" ht="21.9" customHeight="1" x14ac:dyDescent="0.25">
      <c r="B311" s="680"/>
      <c r="C311" s="690"/>
      <c r="D311" s="690"/>
      <c r="E311" s="1327"/>
      <c r="F311" s="114" t="s">
        <v>282</v>
      </c>
      <c r="G311" s="114" t="s">
        <v>321</v>
      </c>
      <c r="H311" s="552">
        <f t="shared" ref="H311:AG311" si="118">H227/H271</f>
        <v>0</v>
      </c>
      <c r="I311" s="552">
        <f t="shared" si="118"/>
        <v>697.46366909975666</v>
      </c>
      <c r="J311" s="552">
        <f t="shared" si="118"/>
        <v>1997.4466389294403</v>
      </c>
      <c r="K311" s="552">
        <f t="shared" si="118"/>
        <v>4490.1350111928241</v>
      </c>
      <c r="L311" s="552">
        <f t="shared" si="118"/>
        <v>6984.2055523900972</v>
      </c>
      <c r="M311" s="552">
        <f t="shared" si="118"/>
        <v>9478.3824163741847</v>
      </c>
      <c r="N311" s="552">
        <f t="shared" si="118"/>
        <v>11971.070815882034</v>
      </c>
      <c r="O311" s="552">
        <f t="shared" si="118"/>
        <v>14466.63005390057</v>
      </c>
      <c r="P311" s="552">
        <f t="shared" si="118"/>
        <v>16391.035083632596</v>
      </c>
      <c r="Q311" s="552">
        <f t="shared" si="118"/>
        <v>18315.760614392519</v>
      </c>
      <c r="R311" s="552">
        <f t="shared" si="118"/>
        <v>20240.171295807788</v>
      </c>
      <c r="S311" s="552">
        <f t="shared" si="118"/>
        <v>22164.591968042478</v>
      </c>
      <c r="T311" s="552">
        <f t="shared" si="118"/>
        <v>24091.586840269392</v>
      </c>
      <c r="U311" s="552">
        <f t="shared" si="118"/>
        <v>25046.700053625329</v>
      </c>
      <c r="V311" s="552">
        <f t="shared" si="118"/>
        <v>25306.666056366706</v>
      </c>
      <c r="W311" s="552">
        <f t="shared" si="118"/>
        <v>25566.633350402037</v>
      </c>
      <c r="X311" s="552">
        <f t="shared" si="118"/>
        <v>25826.602060117657</v>
      </c>
      <c r="Y311" s="552">
        <f t="shared" si="118"/>
        <v>26087.316613936004</v>
      </c>
      <c r="Z311" s="552">
        <f t="shared" si="118"/>
        <v>26347.28857617925</v>
      </c>
      <c r="AA311" s="552">
        <f t="shared" si="118"/>
        <v>26608.006698251771</v>
      </c>
      <c r="AB311" s="552">
        <f t="shared" si="118"/>
        <v>26867.982549342232</v>
      </c>
      <c r="AC311" s="552">
        <f t="shared" si="118"/>
        <v>27127.960613431271</v>
      </c>
      <c r="AD311" s="552">
        <f t="shared" si="118"/>
        <v>27388.685414877811</v>
      </c>
      <c r="AE311" s="552">
        <f t="shared" si="118"/>
        <v>27648.668529693736</v>
      </c>
      <c r="AF311" s="552">
        <f t="shared" si="118"/>
        <v>27908.654508092015</v>
      </c>
      <c r="AG311" s="700">
        <f t="shared" si="118"/>
        <v>28169.387951452551</v>
      </c>
      <c r="AH311" s="18"/>
      <c r="AI311" s="18"/>
      <c r="AJ311" s="18"/>
      <c r="AK311" s="18"/>
      <c r="AL311" s="18"/>
      <c r="AM311" s="18"/>
      <c r="AN311" s="18"/>
    </row>
    <row r="312" spans="2:40" ht="21.9" customHeight="1" x14ac:dyDescent="0.25">
      <c r="B312" s="680"/>
      <c r="C312" s="690"/>
      <c r="D312" s="690"/>
      <c r="E312" s="1339"/>
      <c r="F312" s="250" t="s">
        <v>321</v>
      </c>
      <c r="G312" s="250" t="s">
        <v>274</v>
      </c>
      <c r="H312" s="562">
        <f t="shared" ref="H312:AG312" si="119">H228/H272</f>
        <v>917.56204379562053</v>
      </c>
      <c r="I312" s="562">
        <f t="shared" si="119"/>
        <v>1367.8097386861314</v>
      </c>
      <c r="J312" s="562">
        <f t="shared" si="119"/>
        <v>1925.7792175182485</v>
      </c>
      <c r="K312" s="562">
        <f t="shared" si="119"/>
        <v>3336.3167620437962</v>
      </c>
      <c r="L312" s="562">
        <f t="shared" si="119"/>
        <v>4747.0072335766718</v>
      </c>
      <c r="M312" s="562">
        <f t="shared" si="119"/>
        <v>6158.4011693435859</v>
      </c>
      <c r="N312" s="562">
        <f t="shared" si="119"/>
        <v>7568.9387138736383</v>
      </c>
      <c r="O312" s="562">
        <f t="shared" si="119"/>
        <v>8979.017477405172</v>
      </c>
      <c r="P312" s="562">
        <f t="shared" si="119"/>
        <v>12568.244925417504</v>
      </c>
      <c r="Q312" s="562">
        <f t="shared" si="119"/>
        <v>16156.065463397508</v>
      </c>
      <c r="R312" s="562">
        <f t="shared" si="119"/>
        <v>19743.610883173951</v>
      </c>
      <c r="S312" s="562">
        <f t="shared" si="119"/>
        <v>23332.839339417671</v>
      </c>
      <c r="T312" s="562">
        <f t="shared" si="119"/>
        <v>26921.612597511437</v>
      </c>
      <c r="U312" s="562">
        <f t="shared" si="119"/>
        <v>29657.212493422205</v>
      </c>
      <c r="V312" s="562">
        <f t="shared" si="119"/>
        <v>30107.463216338307</v>
      </c>
      <c r="W312" s="562">
        <f t="shared" si="119"/>
        <v>30557.714427620846</v>
      </c>
      <c r="X312" s="562">
        <f t="shared" si="119"/>
        <v>31007.966197050511</v>
      </c>
      <c r="Y312" s="562">
        <f t="shared" si="119"/>
        <v>31456.842244610372</v>
      </c>
      <c r="Z312" s="562">
        <f t="shared" si="119"/>
        <v>31907.095373161916</v>
      </c>
      <c r="AA312" s="562">
        <f t="shared" si="119"/>
        <v>32355.972961532651</v>
      </c>
      <c r="AB312" s="562">
        <f t="shared" si="119"/>
        <v>32806.22784443805</v>
      </c>
      <c r="AC312" s="562">
        <f t="shared" si="119"/>
        <v>33256.483784622491</v>
      </c>
      <c r="AD312" s="562">
        <f t="shared" si="119"/>
        <v>33705.364546151897</v>
      </c>
      <c r="AE312" s="562">
        <f t="shared" si="119"/>
        <v>34155.623026184971</v>
      </c>
      <c r="AF312" s="562">
        <f t="shared" si="119"/>
        <v>34605.883025722069</v>
      </c>
      <c r="AG312" s="704">
        <f t="shared" si="119"/>
        <v>35054.768346077464</v>
      </c>
      <c r="AH312" s="18"/>
      <c r="AI312" s="18"/>
      <c r="AJ312" s="18"/>
      <c r="AK312" s="18"/>
      <c r="AL312" s="18"/>
      <c r="AM312" s="18"/>
      <c r="AN312" s="18"/>
    </row>
    <row r="313" spans="2:40" ht="21.9" customHeight="1" x14ac:dyDescent="0.25">
      <c r="B313" s="680"/>
      <c r="C313" s="690"/>
      <c r="D313" s="690"/>
      <c r="E313" s="114" t="s">
        <v>282</v>
      </c>
      <c r="F313" s="114" t="s">
        <v>308</v>
      </c>
      <c r="G313" s="114" t="s">
        <v>324</v>
      </c>
      <c r="H313" s="568">
        <f t="shared" ref="H313:AG313" si="120">H229/H273</f>
        <v>7751.6556316504648</v>
      </c>
      <c r="I313" s="568">
        <f t="shared" si="120"/>
        <v>8228.2971511901342</v>
      </c>
      <c r="J313" s="568">
        <f t="shared" si="120"/>
        <v>8859.0688268444937</v>
      </c>
      <c r="K313" s="568">
        <f t="shared" si="120"/>
        <v>9697.3312204885424</v>
      </c>
      <c r="L313" s="568">
        <f t="shared" si="120"/>
        <v>10535.861650580087</v>
      </c>
      <c r="M313" s="568">
        <f t="shared" si="120"/>
        <v>11376.221125987118</v>
      </c>
      <c r="N313" s="568">
        <f t="shared" si="120"/>
        <v>12214.553517474522</v>
      </c>
      <c r="O313" s="568">
        <f t="shared" si="120"/>
        <v>13053.866180629258</v>
      </c>
      <c r="P313" s="568">
        <f t="shared" si="120"/>
        <v>13819.297671518541</v>
      </c>
      <c r="Q313" s="568">
        <f t="shared" si="120"/>
        <v>14584.272342322272</v>
      </c>
      <c r="R313" s="568">
        <f t="shared" si="120"/>
        <v>15350.243709294415</v>
      </c>
      <c r="S313" s="568">
        <f t="shared" si="120"/>
        <v>16116.658160507173</v>
      </c>
      <c r="T313" s="568">
        <f t="shared" si="120"/>
        <v>16886.546757708969</v>
      </c>
      <c r="U313" s="568">
        <f t="shared" si="120"/>
        <v>17445.775570920625</v>
      </c>
      <c r="V313" s="568">
        <f t="shared" si="120"/>
        <v>17924.880456756433</v>
      </c>
      <c r="W313" s="568">
        <f t="shared" si="120"/>
        <v>18404.736052783068</v>
      </c>
      <c r="X313" s="568">
        <f t="shared" si="120"/>
        <v>18885.542274426927</v>
      </c>
      <c r="Y313" s="568">
        <f t="shared" si="120"/>
        <v>19368.068380836172</v>
      </c>
      <c r="Z313" s="568">
        <f t="shared" si="120"/>
        <v>19851.570420419135</v>
      </c>
      <c r="AA313" s="568">
        <f t="shared" si="120"/>
        <v>20338.123440651285</v>
      </c>
      <c r="AB313" s="568">
        <f t="shared" si="120"/>
        <v>20825.804521018967</v>
      </c>
      <c r="AC313" s="568">
        <f t="shared" si="120"/>
        <v>21316.33134866507</v>
      </c>
      <c r="AD313" s="568">
        <f t="shared" si="120"/>
        <v>21810.885674943853</v>
      </c>
      <c r="AE313" s="568">
        <f t="shared" si="120"/>
        <v>22309.167445045405</v>
      </c>
      <c r="AF313" s="568">
        <f t="shared" si="120"/>
        <v>22812.628486789457</v>
      </c>
      <c r="AG313" s="705">
        <f t="shared" si="120"/>
        <v>23323.611039554911</v>
      </c>
      <c r="AH313" s="18"/>
      <c r="AI313" s="18"/>
      <c r="AJ313" s="18"/>
      <c r="AK313" s="18"/>
      <c r="AL313" s="18"/>
      <c r="AM313" s="18"/>
      <c r="AN313" s="18"/>
    </row>
    <row r="314" spans="2:40" ht="21.9" customHeight="1" x14ac:dyDescent="0.25">
      <c r="B314" s="680"/>
      <c r="C314" s="690"/>
      <c r="D314" s="690"/>
      <c r="E314" s="273" t="s">
        <v>321</v>
      </c>
      <c r="F314" s="273" t="s">
        <v>318</v>
      </c>
      <c r="G314" s="273" t="s">
        <v>308</v>
      </c>
      <c r="H314" s="552" t="e">
        <f t="shared" ref="H314:AG314" si="121">H230/H274</f>
        <v>#DIV/0!</v>
      </c>
      <c r="I314" s="552" t="e">
        <f t="shared" si="121"/>
        <v>#DIV/0!</v>
      </c>
      <c r="J314" s="552" t="e">
        <f t="shared" si="121"/>
        <v>#DIV/0!</v>
      </c>
      <c r="K314" s="552" t="e">
        <f t="shared" si="121"/>
        <v>#DIV/0!</v>
      </c>
      <c r="L314" s="552" t="e">
        <f t="shared" si="121"/>
        <v>#DIV/0!</v>
      </c>
      <c r="M314" s="552" t="e">
        <f t="shared" si="121"/>
        <v>#DIV/0!</v>
      </c>
      <c r="N314" s="552" t="e">
        <f t="shared" si="121"/>
        <v>#DIV/0!</v>
      </c>
      <c r="O314" s="552" t="e">
        <f t="shared" si="121"/>
        <v>#DIV/0!</v>
      </c>
      <c r="P314" s="552" t="e">
        <f t="shared" si="121"/>
        <v>#DIV/0!</v>
      </c>
      <c r="Q314" s="552" t="e">
        <f t="shared" si="121"/>
        <v>#DIV/0!</v>
      </c>
      <c r="R314" s="552" t="e">
        <f t="shared" si="121"/>
        <v>#DIV/0!</v>
      </c>
      <c r="S314" s="552" t="e">
        <f t="shared" si="121"/>
        <v>#DIV/0!</v>
      </c>
      <c r="T314" s="552" t="e">
        <f t="shared" si="121"/>
        <v>#DIV/0!</v>
      </c>
      <c r="U314" s="552" t="e">
        <f t="shared" si="121"/>
        <v>#DIV/0!</v>
      </c>
      <c r="V314" s="552" t="e">
        <f t="shared" si="121"/>
        <v>#DIV/0!</v>
      </c>
      <c r="W314" s="552" t="e">
        <f t="shared" si="121"/>
        <v>#DIV/0!</v>
      </c>
      <c r="X314" s="552" t="e">
        <f t="shared" si="121"/>
        <v>#DIV/0!</v>
      </c>
      <c r="Y314" s="552" t="e">
        <f t="shared" si="121"/>
        <v>#DIV/0!</v>
      </c>
      <c r="Z314" s="552" t="e">
        <f t="shared" si="121"/>
        <v>#DIV/0!</v>
      </c>
      <c r="AA314" s="552" t="e">
        <f t="shared" si="121"/>
        <v>#DIV/0!</v>
      </c>
      <c r="AB314" s="552" t="e">
        <f t="shared" si="121"/>
        <v>#DIV/0!</v>
      </c>
      <c r="AC314" s="552" t="e">
        <f t="shared" si="121"/>
        <v>#DIV/0!</v>
      </c>
      <c r="AD314" s="552" t="e">
        <f t="shared" si="121"/>
        <v>#DIV/0!</v>
      </c>
      <c r="AE314" s="552" t="e">
        <f t="shared" si="121"/>
        <v>#DIV/0!</v>
      </c>
      <c r="AF314" s="552" t="e">
        <f t="shared" si="121"/>
        <v>#DIV/0!</v>
      </c>
      <c r="AG314" s="700" t="e">
        <f t="shared" si="121"/>
        <v>#DIV/0!</v>
      </c>
      <c r="AH314" s="18"/>
      <c r="AI314" s="18"/>
      <c r="AJ314" s="18"/>
      <c r="AK314" s="18"/>
      <c r="AL314" s="18"/>
      <c r="AM314" s="18"/>
      <c r="AN314" s="18"/>
    </row>
    <row r="315" spans="2:40" ht="21.9" customHeight="1" x14ac:dyDescent="0.25">
      <c r="B315" s="680"/>
      <c r="C315" s="690"/>
      <c r="D315" s="690"/>
      <c r="E315" s="273" t="s">
        <v>333</v>
      </c>
      <c r="F315" s="273" t="s">
        <v>319</v>
      </c>
      <c r="G315" s="273" t="s">
        <v>308</v>
      </c>
      <c r="H315" s="568">
        <f t="shared" ref="H315:AG315" si="122">H231/H275</f>
        <v>12529.704261412986</v>
      </c>
      <c r="I315" s="568">
        <f t="shared" si="122"/>
        <v>12701.978251727933</v>
      </c>
      <c r="J315" s="568">
        <f t="shared" si="122"/>
        <v>12999.844928348812</v>
      </c>
      <c r="K315" s="568">
        <f t="shared" si="122"/>
        <v>13409.013037100687</v>
      </c>
      <c r="L315" s="568">
        <f t="shared" si="122"/>
        <v>13818.69729320765</v>
      </c>
      <c r="M315" s="568">
        <f t="shared" si="122"/>
        <v>14229.423707048314</v>
      </c>
      <c r="N315" s="568">
        <f t="shared" si="122"/>
        <v>14639.963065541326</v>
      </c>
      <c r="O315" s="568">
        <f t="shared" si="122"/>
        <v>15052.691346571457</v>
      </c>
      <c r="P315" s="568">
        <f t="shared" si="122"/>
        <v>15339.465368116709</v>
      </c>
      <c r="Q315" s="568">
        <f t="shared" si="122"/>
        <v>15626.824133885124</v>
      </c>
      <c r="R315" s="568">
        <f t="shared" si="122"/>
        <v>15914.866628731295</v>
      </c>
      <c r="S315" s="568">
        <f t="shared" si="122"/>
        <v>16203.601122632936</v>
      </c>
      <c r="T315" s="568">
        <f t="shared" si="122"/>
        <v>16495.291256730277</v>
      </c>
      <c r="U315" s="568">
        <f t="shared" si="122"/>
        <v>16671.17470155489</v>
      </c>
      <c r="V315" s="568">
        <f t="shared" si="122"/>
        <v>16847.479207556222</v>
      </c>
      <c r="W315" s="568">
        <f t="shared" si="122"/>
        <v>17024.245615012165</v>
      </c>
      <c r="X315" s="568">
        <f t="shared" si="122"/>
        <v>17201.51824816411</v>
      </c>
      <c r="Y315" s="568">
        <f t="shared" si="122"/>
        <v>17380.570377421638</v>
      </c>
      <c r="Z315" s="568">
        <f t="shared" si="122"/>
        <v>17559.008034393202</v>
      </c>
      <c r="AA315" s="568">
        <f t="shared" si="122"/>
        <v>17738.79863964576</v>
      </c>
      <c r="AB315" s="568">
        <f t="shared" si="122"/>
        <v>17918.626557117994</v>
      </c>
      <c r="AC315" s="568">
        <f t="shared" si="122"/>
        <v>18099.244904992185</v>
      </c>
      <c r="AD315" s="568">
        <f t="shared" si="122"/>
        <v>18281.97642218211</v>
      </c>
      <c r="AE315" s="568">
        <f t="shared" si="122"/>
        <v>18464.401881153561</v>
      </c>
      <c r="AF315" s="568">
        <f t="shared" si="122"/>
        <v>18647.849582816609</v>
      </c>
      <c r="AG315" s="705">
        <f t="shared" si="122"/>
        <v>18833.120703579792</v>
      </c>
      <c r="AH315" s="18"/>
      <c r="AI315" s="18"/>
      <c r="AJ315" s="18"/>
      <c r="AK315" s="18"/>
      <c r="AL315" s="18"/>
      <c r="AM315" s="18"/>
      <c r="AN315" s="18"/>
    </row>
    <row r="316" spans="2:40" ht="21.9" customHeight="1" x14ac:dyDescent="0.25">
      <c r="B316" s="680"/>
      <c r="C316" s="690"/>
      <c r="D316" s="690"/>
      <c r="E316" s="114" t="s">
        <v>319</v>
      </c>
      <c r="F316" s="114" t="s">
        <v>276</v>
      </c>
      <c r="G316" s="114" t="s">
        <v>333</v>
      </c>
      <c r="H316" s="552">
        <f t="shared" ref="H316:AG316" si="123">H232/H276</f>
        <v>25675.846050620508</v>
      </c>
      <c r="I316" s="552">
        <f t="shared" si="123"/>
        <v>26416.005169676595</v>
      </c>
      <c r="J316" s="552">
        <f t="shared" si="123"/>
        <v>27217.145146337516</v>
      </c>
      <c r="K316" s="552">
        <f t="shared" si="123"/>
        <v>28280.001038108145</v>
      </c>
      <c r="L316" s="552">
        <f t="shared" si="123"/>
        <v>29343.038680191261</v>
      </c>
      <c r="M316" s="552">
        <f t="shared" si="123"/>
        <v>30406.515628413323</v>
      </c>
      <c r="N316" s="552">
        <f t="shared" si="123"/>
        <v>31469.380223079683</v>
      </c>
      <c r="O316" s="552">
        <f t="shared" si="123"/>
        <v>32532.532529036373</v>
      </c>
      <c r="P316" s="552">
        <f t="shared" si="123"/>
        <v>33702.403782466354</v>
      </c>
      <c r="Q316" s="552">
        <f t="shared" si="123"/>
        <v>34871.901722336392</v>
      </c>
      <c r="R316" s="552">
        <f t="shared" si="123"/>
        <v>36041.800897595291</v>
      </c>
      <c r="S316" s="552">
        <f t="shared" si="123"/>
        <v>37211.721712497048</v>
      </c>
      <c r="T316" s="552">
        <f t="shared" si="123"/>
        <v>38382.339006043636</v>
      </c>
      <c r="U316" s="552">
        <f t="shared" si="123"/>
        <v>39290.473873695897</v>
      </c>
      <c r="V316" s="552">
        <f t="shared" si="123"/>
        <v>40030.74061481213</v>
      </c>
      <c r="W316" s="552">
        <f t="shared" si="123"/>
        <v>40771.029539939926</v>
      </c>
      <c r="X316" s="552">
        <f t="shared" si="123"/>
        <v>41511.344623938079</v>
      </c>
      <c r="Y316" s="552">
        <f t="shared" si="123"/>
        <v>42251.613413708721</v>
      </c>
      <c r="Z316" s="552">
        <f t="shared" si="123"/>
        <v>42991.995303041018</v>
      </c>
      <c r="AA316" s="552">
        <f t="shared" si="123"/>
        <v>43732.342285660881</v>
      </c>
      <c r="AB316" s="552">
        <f t="shared" si="123"/>
        <v>44472.81546814397</v>
      </c>
      <c r="AC316" s="552">
        <f t="shared" si="123"/>
        <v>45213.345808110273</v>
      </c>
      <c r="AD316" s="552">
        <f t="shared" si="123"/>
        <v>45953.865379415984</v>
      </c>
      <c r="AE316" s="552">
        <f t="shared" si="123"/>
        <v>46694.538758321352</v>
      </c>
      <c r="AF316" s="552">
        <f t="shared" si="123"/>
        <v>47435.300739731058</v>
      </c>
      <c r="AG316" s="700">
        <f t="shared" si="123"/>
        <v>48176.087684756501</v>
      </c>
      <c r="AH316" s="18"/>
      <c r="AI316" s="18"/>
      <c r="AJ316" s="18"/>
      <c r="AK316" s="18"/>
      <c r="AL316" s="18"/>
      <c r="AM316" s="18"/>
      <c r="AN316" s="18"/>
    </row>
    <row r="317" spans="2:40" ht="21.9" customHeight="1" x14ac:dyDescent="0.25">
      <c r="B317" s="680"/>
      <c r="C317" s="690"/>
      <c r="D317" s="690"/>
      <c r="E317" s="114"/>
      <c r="F317" s="114" t="s">
        <v>333</v>
      </c>
      <c r="G317" s="114" t="s">
        <v>323</v>
      </c>
      <c r="H317" s="552">
        <f t="shared" ref="H317:AG317" si="124">H233/H277</f>
        <v>3739.3436205696348</v>
      </c>
      <c r="I317" s="552">
        <f t="shared" si="124"/>
        <v>3845.4721105866734</v>
      </c>
      <c r="J317" s="552">
        <f t="shared" si="124"/>
        <v>3963.2466950640564</v>
      </c>
      <c r="K317" s="552">
        <f t="shared" si="124"/>
        <v>4128.555247218922</v>
      </c>
      <c r="L317" s="552">
        <f t="shared" si="124"/>
        <v>4293.8933425705582</v>
      </c>
      <c r="M317" s="552">
        <f t="shared" si="124"/>
        <v>4459.2659106530446</v>
      </c>
      <c r="N317" s="552">
        <f t="shared" si="124"/>
        <v>4624.5745603016785</v>
      </c>
      <c r="O317" s="552">
        <f t="shared" si="124"/>
        <v>4789.8931114372936</v>
      </c>
      <c r="P317" s="552">
        <f t="shared" si="124"/>
        <v>4975.7043760202077</v>
      </c>
      <c r="Q317" s="552">
        <f t="shared" si="124"/>
        <v>5161.4518271967954</v>
      </c>
      <c r="R317" s="552">
        <f t="shared" si="124"/>
        <v>5347.2634484111468</v>
      </c>
      <c r="S317" s="552">
        <f t="shared" si="124"/>
        <v>5533.0753546688702</v>
      </c>
      <c r="T317" s="552">
        <f t="shared" si="124"/>
        <v>5718.9171697658358</v>
      </c>
      <c r="U317" s="552">
        <f t="shared" si="124"/>
        <v>5857.2151811914491</v>
      </c>
      <c r="V317" s="552">
        <f t="shared" si="124"/>
        <v>5963.3449234835043</v>
      </c>
      <c r="W317" s="552">
        <f t="shared" si="124"/>
        <v>6069.4749125719845</v>
      </c>
      <c r="X317" s="552">
        <f t="shared" si="124"/>
        <v>6175.6051909016305</v>
      </c>
      <c r="Y317" s="552">
        <f t="shared" si="124"/>
        <v>6281.6816840209394</v>
      </c>
      <c r="Z317" s="552">
        <f t="shared" si="124"/>
        <v>6387.8126942487452</v>
      </c>
      <c r="AA317" s="552">
        <f t="shared" si="124"/>
        <v>6493.8900388729326</v>
      </c>
      <c r="AB317" s="552">
        <f t="shared" si="124"/>
        <v>6600.0220382773405</v>
      </c>
      <c r="AC317" s="552">
        <f t="shared" si="124"/>
        <v>6706.1546524032665</v>
      </c>
      <c r="AD317" s="552">
        <f t="shared" si="124"/>
        <v>6812.233851371775</v>
      </c>
      <c r="AE317" s="552">
        <f t="shared" si="124"/>
        <v>6918.3679919042497</v>
      </c>
      <c r="AF317" s="552">
        <f t="shared" si="124"/>
        <v>7024.5030715860494</v>
      </c>
      <c r="AG317" s="700">
        <f t="shared" si="124"/>
        <v>7130.5851019839674</v>
      </c>
      <c r="AH317" s="18"/>
      <c r="AI317" s="18"/>
      <c r="AJ317" s="18"/>
      <c r="AK317" s="18"/>
      <c r="AL317" s="18"/>
      <c r="AM317" s="18"/>
      <c r="AN317" s="18"/>
    </row>
    <row r="318" spans="2:40" ht="21.9" customHeight="1" x14ac:dyDescent="0.25">
      <c r="B318" s="680"/>
      <c r="C318" s="690"/>
      <c r="D318" s="690"/>
      <c r="E318" s="114"/>
      <c r="F318" s="114" t="s">
        <v>323</v>
      </c>
      <c r="G318" s="114" t="s">
        <v>322</v>
      </c>
      <c r="H318" s="552">
        <f t="shared" ref="H318:AG318" si="125">H234/H278</f>
        <v>1126.3022722112501</v>
      </c>
      <c r="I318" s="552">
        <f t="shared" si="125"/>
        <v>1158.2685204084207</v>
      </c>
      <c r="J318" s="552">
        <f t="shared" si="125"/>
        <v>1193.7426132582875</v>
      </c>
      <c r="K318" s="552">
        <f t="shared" si="125"/>
        <v>1243.5341007792501</v>
      </c>
      <c r="L318" s="552">
        <f t="shared" si="125"/>
        <v>1293.3344982394724</v>
      </c>
      <c r="M318" s="552">
        <f t="shared" si="125"/>
        <v>1343.1452952733703</v>
      </c>
      <c r="N318" s="552">
        <f t="shared" si="125"/>
        <v>1392.9368626845069</v>
      </c>
      <c r="O318" s="552">
        <f t="shared" si="125"/>
        <v>1442.7314441241042</v>
      </c>
      <c r="P318" s="552">
        <f t="shared" si="125"/>
        <v>1498.6985619622333</v>
      </c>
      <c r="Q318" s="552">
        <f t="shared" si="125"/>
        <v>1554.6465362412325</v>
      </c>
      <c r="R318" s="552">
        <f t="shared" si="125"/>
        <v>1610.6139463169943</v>
      </c>
      <c r="S318" s="552">
        <f t="shared" si="125"/>
        <v>1666.5815899683475</v>
      </c>
      <c r="T318" s="552">
        <f t="shared" si="125"/>
        <v>1722.5584431805814</v>
      </c>
      <c r="U318" s="552">
        <f t="shared" si="125"/>
        <v>1764.2149413608583</v>
      </c>
      <c r="V318" s="552">
        <f t="shared" si="125"/>
        <v>1796.1822157207414</v>
      </c>
      <c r="W318" s="552">
        <f t="shared" si="125"/>
        <v>1828.1496923151874</v>
      </c>
      <c r="X318" s="552">
        <f t="shared" si="125"/>
        <v>1860.1174059250627</v>
      </c>
      <c r="Y318" s="552">
        <f t="shared" si="125"/>
        <v>1892.0690938345394</v>
      </c>
      <c r="Z318" s="552">
        <f t="shared" si="125"/>
        <v>1924.0374071901506</v>
      </c>
      <c r="AA318" s="552">
        <f t="shared" si="125"/>
        <v>1955.9897928557461</v>
      </c>
      <c r="AB318" s="552">
        <f t="shared" si="125"/>
        <v>1987.9589167810288</v>
      </c>
      <c r="AC318" s="552">
        <f t="shared" si="125"/>
        <v>2019.9285444329612</v>
      </c>
      <c r="AD318" s="552">
        <f t="shared" si="125"/>
        <v>2051.8824496202101</v>
      </c>
      <c r="AE318" s="552">
        <f t="shared" si="125"/>
        <v>2083.853328068863</v>
      </c>
      <c r="AF318" s="552">
        <f t="shared" si="125"/>
        <v>2115.8249760928975</v>
      </c>
      <c r="AG318" s="700">
        <f t="shared" si="125"/>
        <v>2147.7812014632123</v>
      </c>
      <c r="AH318" s="18"/>
      <c r="AI318" s="18"/>
      <c r="AJ318" s="18"/>
      <c r="AK318" s="18"/>
      <c r="AL318" s="18"/>
      <c r="AM318" s="18"/>
      <c r="AN318" s="18"/>
    </row>
    <row r="319" spans="2:40" ht="21.9" customHeight="1" x14ac:dyDescent="0.25">
      <c r="B319" s="680"/>
      <c r="C319" s="690"/>
      <c r="D319" s="690"/>
      <c r="E319" s="114"/>
      <c r="F319" s="114" t="s">
        <v>322</v>
      </c>
      <c r="G319" s="114" t="s">
        <v>326</v>
      </c>
      <c r="H319" s="552">
        <f t="shared" ref="H319:AG319" si="126">H235/H279</f>
        <v>2889.854434858918</v>
      </c>
      <c r="I319" s="552">
        <f t="shared" si="126"/>
        <v>2971.801076517168</v>
      </c>
      <c r="J319" s="552">
        <f t="shared" si="126"/>
        <v>3065.1770940084689</v>
      </c>
      <c r="K319" s="552">
        <f t="shared" si="126"/>
        <v>3184.4895586578641</v>
      </c>
      <c r="L319" s="552">
        <f t="shared" si="126"/>
        <v>3303.8405584371762</v>
      </c>
      <c r="M319" s="552">
        <f t="shared" si="126"/>
        <v>3423.1722977156724</v>
      </c>
      <c r="N319" s="552">
        <f t="shared" si="126"/>
        <v>3542.4847784416775</v>
      </c>
      <c r="O319" s="552">
        <f t="shared" si="126"/>
        <v>3661.821351018219</v>
      </c>
      <c r="P319" s="552">
        <f t="shared" si="126"/>
        <v>3796.7005444034316</v>
      </c>
      <c r="Q319" s="552">
        <f t="shared" si="126"/>
        <v>3931.5749445620372</v>
      </c>
      <c r="R319" s="552">
        <f t="shared" si="126"/>
        <v>4066.4349271808737</v>
      </c>
      <c r="S319" s="552">
        <f t="shared" si="126"/>
        <v>4201.3142184971275</v>
      </c>
      <c r="T319" s="552">
        <f t="shared" si="126"/>
        <v>4336.217649615417</v>
      </c>
      <c r="U319" s="552">
        <f t="shared" si="126"/>
        <v>4445.1557531307226</v>
      </c>
      <c r="V319" s="552">
        <f t="shared" si="126"/>
        <v>4527.1026009745237</v>
      </c>
      <c r="W319" s="552">
        <f t="shared" si="126"/>
        <v>4609.0494903109238</v>
      </c>
      <c r="X319" s="552">
        <f t="shared" si="126"/>
        <v>4690.9964284068728</v>
      </c>
      <c r="Y319" s="552">
        <f t="shared" si="126"/>
        <v>4772.9193414051379</v>
      </c>
      <c r="Z319" s="552">
        <f t="shared" si="126"/>
        <v>4854.8664033859959</v>
      </c>
      <c r="AA319" s="552">
        <f t="shared" si="126"/>
        <v>4936.7894609030955</v>
      </c>
      <c r="AB319" s="552">
        <f t="shared" si="126"/>
        <v>5018.7366911347081</v>
      </c>
      <c r="AC319" s="552">
        <f t="shared" si="126"/>
        <v>5100.6840262665855</v>
      </c>
      <c r="AD319" s="552">
        <f t="shared" si="126"/>
        <v>5182.6074003739741</v>
      </c>
      <c r="AE319" s="552">
        <f t="shared" si="126"/>
        <v>5264.5549968842852</v>
      </c>
      <c r="AF319" s="552">
        <f t="shared" si="126"/>
        <v>5346.5027546880965</v>
      </c>
      <c r="AG319" s="700">
        <f t="shared" si="126"/>
        <v>5428.4266152989258</v>
      </c>
      <c r="AH319" s="18"/>
      <c r="AI319" s="18"/>
      <c r="AJ319" s="18"/>
      <c r="AK319" s="18"/>
      <c r="AL319" s="18"/>
      <c r="AM319" s="18"/>
      <c r="AN319" s="18"/>
    </row>
    <row r="320" spans="2:40" ht="21.9" customHeight="1" x14ac:dyDescent="0.25">
      <c r="B320" s="680"/>
      <c r="C320" s="690"/>
      <c r="D320" s="690"/>
      <c r="E320" s="114"/>
      <c r="F320" s="114" t="s">
        <v>326</v>
      </c>
      <c r="G320" s="114" t="s">
        <v>274</v>
      </c>
      <c r="H320" s="552">
        <f t="shared" ref="H320:AG320" si="127">H236/H280</f>
        <v>19701.036774591448</v>
      </c>
      <c r="I320" s="552">
        <f t="shared" si="127"/>
        <v>20259.692514246715</v>
      </c>
      <c r="J320" s="552">
        <f t="shared" si="127"/>
        <v>20896.265858212475</v>
      </c>
      <c r="K320" s="552">
        <f t="shared" si="127"/>
        <v>21709.656016264405</v>
      </c>
      <c r="L320" s="552">
        <f t="shared" si="127"/>
        <v>22523.308864172173</v>
      </c>
      <c r="M320" s="552">
        <f t="shared" si="127"/>
        <v>23336.830384853754</v>
      </c>
      <c r="N320" s="552">
        <f t="shared" si="127"/>
        <v>24150.22058319136</v>
      </c>
      <c r="O320" s="552">
        <f t="shared" si="127"/>
        <v>24963.774981218015</v>
      </c>
      <c r="P320" s="552">
        <f t="shared" si="127"/>
        <v>25883.288173082958</v>
      </c>
      <c r="Q320" s="552">
        <f t="shared" si="127"/>
        <v>26802.768588016108</v>
      </c>
      <c r="R320" s="552">
        <f t="shared" si="127"/>
        <v>27722.150577282224</v>
      </c>
      <c r="S320" s="552">
        <f t="shared" si="127"/>
        <v>28641.664014548303</v>
      </c>
      <c r="T320" s="552">
        <f t="shared" si="127"/>
        <v>29561.341771662999</v>
      </c>
      <c r="U320" s="552">
        <f t="shared" si="127"/>
        <v>30304.005749678443</v>
      </c>
      <c r="V320" s="552">
        <f t="shared" si="127"/>
        <v>30862.662006005081</v>
      </c>
      <c r="W320" s="552">
        <f t="shared" si="127"/>
        <v>31421.318366306212</v>
      </c>
      <c r="X320" s="552">
        <f t="shared" si="127"/>
        <v>31979.974848791771</v>
      </c>
      <c r="Y320" s="552">
        <f t="shared" si="127"/>
        <v>32538.467298861342</v>
      </c>
      <c r="Z320" s="552">
        <f t="shared" si="127"/>
        <v>33097.124091784681</v>
      </c>
      <c r="AA320" s="552">
        <f t="shared" si="127"/>
        <v>33655.616903997696</v>
      </c>
      <c r="AB320" s="552">
        <f t="shared" si="127"/>
        <v>34214.274118533278</v>
      </c>
      <c r="AC320" s="552">
        <f t="shared" si="127"/>
        <v>34772.931595933856</v>
      </c>
      <c r="AD320" s="552">
        <f t="shared" si="127"/>
        <v>35331.425201476661</v>
      </c>
      <c r="AE320" s="552">
        <f t="shared" si="127"/>
        <v>35890.083333854054</v>
      </c>
      <c r="AF320" s="552">
        <f t="shared" si="127"/>
        <v>36448.741870409802</v>
      </c>
      <c r="AG320" s="700">
        <f t="shared" si="127"/>
        <v>37007.236695060361</v>
      </c>
      <c r="AH320" s="18"/>
      <c r="AI320" s="18"/>
      <c r="AJ320" s="18"/>
      <c r="AK320" s="18"/>
      <c r="AL320" s="18"/>
      <c r="AM320" s="18"/>
      <c r="AN320" s="18"/>
    </row>
    <row r="321" spans="1:40" ht="21.9" customHeight="1" thickBot="1" x14ac:dyDescent="0.3">
      <c r="B321" s="680"/>
      <c r="C321" s="690"/>
      <c r="D321" s="690"/>
      <c r="E321" s="114"/>
      <c r="F321" s="114" t="s">
        <v>274</v>
      </c>
      <c r="G321" s="114" t="s">
        <v>317</v>
      </c>
      <c r="H321" s="552">
        <f t="shared" ref="H321:AG321" si="128">H237/H281</f>
        <v>492.027820512858</v>
      </c>
      <c r="I321" s="552">
        <f t="shared" si="128"/>
        <v>505.98037478131738</v>
      </c>
      <c r="J321" s="552">
        <f t="shared" si="128"/>
        <v>521.87906016913325</v>
      </c>
      <c r="K321" s="552">
        <f t="shared" si="128"/>
        <v>542.19407158793854</v>
      </c>
      <c r="L321" s="552">
        <f t="shared" si="128"/>
        <v>562.51603352152301</v>
      </c>
      <c r="M321" s="552">
        <f t="shared" si="128"/>
        <v>582.83525760637133</v>
      </c>
      <c r="N321" s="552">
        <f t="shared" si="128"/>
        <v>603.15194722420506</v>
      </c>
      <c r="O321" s="552">
        <f t="shared" si="128"/>
        <v>623.47375279081984</v>
      </c>
      <c r="P321" s="552">
        <f t="shared" si="128"/>
        <v>646.44397469381784</v>
      </c>
      <c r="Q321" s="552">
        <f t="shared" si="128"/>
        <v>669.4157980768706</v>
      </c>
      <c r="R321" s="552">
        <f t="shared" si="128"/>
        <v>692.38847379065282</v>
      </c>
      <c r="S321" s="552">
        <f t="shared" si="128"/>
        <v>715.36891848066159</v>
      </c>
      <c r="T321" s="552">
        <f t="shared" si="128"/>
        <v>738.35948466213301</v>
      </c>
      <c r="U321" s="552">
        <f t="shared" si="128"/>
        <v>756.93069389337643</v>
      </c>
      <c r="V321" s="552">
        <f t="shared" si="128"/>
        <v>770.90477137810296</v>
      </c>
      <c r="W321" s="552">
        <f t="shared" si="128"/>
        <v>784.88318017595179</v>
      </c>
      <c r="X321" s="552">
        <f t="shared" si="128"/>
        <v>798.86667886657835</v>
      </c>
      <c r="Y321" s="552">
        <f t="shared" si="128"/>
        <v>812.85202977875326</v>
      </c>
      <c r="Z321" s="552">
        <f t="shared" si="128"/>
        <v>826.84846051883619</v>
      </c>
      <c r="AA321" s="552">
        <f t="shared" si="128"/>
        <v>840.84889740646736</v>
      </c>
      <c r="AB321" s="552">
        <f t="shared" si="128"/>
        <v>854.86289144005718</v>
      </c>
      <c r="AC321" s="552">
        <f t="shared" si="128"/>
        <v>868.88783576117305</v>
      </c>
      <c r="AD321" s="552">
        <f t="shared" si="128"/>
        <v>882.921320751694</v>
      </c>
      <c r="AE321" s="552">
        <f t="shared" si="128"/>
        <v>896.97354974219706</v>
      </c>
      <c r="AF321" s="552">
        <f t="shared" si="128"/>
        <v>911.04261577531577</v>
      </c>
      <c r="AG321" s="700">
        <f t="shared" si="128"/>
        <v>925.12688569593138</v>
      </c>
      <c r="AH321" s="18"/>
      <c r="AI321" s="18"/>
      <c r="AJ321" s="18"/>
      <c r="AK321" s="18"/>
      <c r="AL321" s="18"/>
      <c r="AM321" s="18"/>
      <c r="AN321" s="18"/>
    </row>
    <row r="322" spans="1:40" ht="21.9" customHeight="1" thickBot="1" x14ac:dyDescent="0.3">
      <c r="A322" s="445"/>
      <c r="B322" s="682"/>
      <c r="C322" s="706"/>
      <c r="D322" s="706"/>
      <c r="E322" s="707" t="s">
        <v>25</v>
      </c>
      <c r="F322" s="707"/>
      <c r="G322" s="707"/>
      <c r="H322" s="708">
        <f t="shared" ref="H322:AG322" si="129">SUM(H302:H313,H315:H321)</f>
        <v>227417.8246758724</v>
      </c>
      <c r="I322" s="708">
        <f t="shared" si="129"/>
        <v>240724.48943659858</v>
      </c>
      <c r="J322" s="708">
        <f t="shared" si="129"/>
        <v>267394.5983889355</v>
      </c>
      <c r="K322" s="708">
        <f t="shared" si="129"/>
        <v>312761.96410928294</v>
      </c>
      <c r="L322" s="708">
        <f t="shared" si="129"/>
        <v>358841.64522351761</v>
      </c>
      <c r="M322" s="708">
        <f t="shared" si="129"/>
        <v>406015.46778567333</v>
      </c>
      <c r="N322" s="708">
        <f t="shared" si="129"/>
        <v>455050.03822553687</v>
      </c>
      <c r="O322" s="708">
        <f t="shared" si="129"/>
        <v>508411.21516514878</v>
      </c>
      <c r="P322" s="708">
        <f t="shared" si="129"/>
        <v>565401.38915312325</v>
      </c>
      <c r="Q322" s="708">
        <f t="shared" si="129"/>
        <v>635084.96517275751</v>
      </c>
      <c r="R322" s="708">
        <f t="shared" si="129"/>
        <v>729320.40369499219</v>
      </c>
      <c r="S322" s="708">
        <f t="shared" si="129"/>
        <v>871157.18984571297</v>
      </c>
      <c r="T322" s="708">
        <f t="shared" si="129"/>
        <v>1082523.8943039747</v>
      </c>
      <c r="U322" s="708">
        <f t="shared" si="129"/>
        <v>1188629.1316351581</v>
      </c>
      <c r="V322" s="708">
        <f t="shared" si="129"/>
        <v>1244741.2717184478</v>
      </c>
      <c r="W322" s="708">
        <f t="shared" si="129"/>
        <v>1290571.3962856308</v>
      </c>
      <c r="X322" s="708">
        <f t="shared" si="129"/>
        <v>1312285.0231413469</v>
      </c>
      <c r="Y322" s="708">
        <f t="shared" si="129"/>
        <v>1334235.048791979</v>
      </c>
      <c r="Z322" s="708">
        <f t="shared" si="129"/>
        <v>1356406.9180164204</v>
      </c>
      <c r="AA322" s="708">
        <f t="shared" si="129"/>
        <v>1378902.0412687359</v>
      </c>
      <c r="AB322" s="708">
        <f t="shared" si="129"/>
        <v>1401719.2109444565</v>
      </c>
      <c r="AC322" s="708">
        <f t="shared" si="129"/>
        <v>1424948.7198600278</v>
      </c>
      <c r="AD322" s="708">
        <f t="shared" si="129"/>
        <v>1448691.5645471928</v>
      </c>
      <c r="AE322" s="708">
        <f t="shared" si="129"/>
        <v>1472974.9388734584</v>
      </c>
      <c r="AF322" s="708">
        <f t="shared" si="129"/>
        <v>1497923.3211083079</v>
      </c>
      <c r="AG322" s="709">
        <f t="shared" si="129"/>
        <v>1523677.1739876084</v>
      </c>
      <c r="AH322" s="18"/>
      <c r="AI322" s="18"/>
      <c r="AJ322" s="18"/>
      <c r="AK322" s="18"/>
      <c r="AL322" s="18"/>
      <c r="AM322" s="18"/>
      <c r="AN322" s="18"/>
    </row>
    <row r="323" spans="1:40" ht="21.9" customHeight="1" x14ac:dyDescent="0.25">
      <c r="B323" s="179" t="s">
        <v>210</v>
      </c>
      <c r="C323" s="114" t="s">
        <v>156</v>
      </c>
      <c r="D323" s="237" t="s">
        <v>443</v>
      </c>
      <c r="E323" s="1325" t="s">
        <v>315</v>
      </c>
      <c r="F323" s="217" t="s">
        <v>316</v>
      </c>
      <c r="G323" s="217" t="s">
        <v>276</v>
      </c>
      <c r="H323" s="701">
        <f t="shared" ref="H323:AG323" si="130">H239/H282</f>
        <v>5194.0039010348337</v>
      </c>
      <c r="I323" s="701">
        <f t="shared" si="130"/>
        <v>5430.1849971722022</v>
      </c>
      <c r="J323" s="701">
        <f t="shared" si="130"/>
        <v>5762.9421034853613</v>
      </c>
      <c r="K323" s="701">
        <f t="shared" si="130"/>
        <v>6252.412046467196</v>
      </c>
      <c r="L323" s="701">
        <f t="shared" si="130"/>
        <v>6742.0605340627317</v>
      </c>
      <c r="M323" s="701">
        <f t="shared" si="130"/>
        <v>7231.7090229566275</v>
      </c>
      <c r="N323" s="701">
        <f t="shared" si="130"/>
        <v>7721.1789705011224</v>
      </c>
      <c r="O323" s="701">
        <f t="shared" si="130"/>
        <v>8211.0060105370503</v>
      </c>
      <c r="P323" s="701">
        <f t="shared" si="130"/>
        <v>8695.0384984242755</v>
      </c>
      <c r="Q323" s="701">
        <f t="shared" si="130"/>
        <v>9179.1683880391101</v>
      </c>
      <c r="R323" s="701">
        <f t="shared" si="130"/>
        <v>9663.2009139183028</v>
      </c>
      <c r="S323" s="701">
        <f t="shared" si="130"/>
        <v>10147.233478426369</v>
      </c>
      <c r="T323" s="701">
        <f t="shared" si="130"/>
        <v>10631.623191846751</v>
      </c>
      <c r="U323" s="701">
        <f t="shared" si="130"/>
        <v>10958.764523130012</v>
      </c>
      <c r="V323" s="701">
        <f t="shared" si="130"/>
        <v>11194.945856013694</v>
      </c>
      <c r="W323" s="701">
        <f t="shared" si="130"/>
        <v>11431.127177571332</v>
      </c>
      <c r="X323" s="701">
        <f t="shared" si="130"/>
        <v>11667.308551949594</v>
      </c>
      <c r="Y323" s="701">
        <f t="shared" si="130"/>
        <v>11903.571146360369</v>
      </c>
      <c r="Z323" s="701">
        <f t="shared" si="130"/>
        <v>12139.752661146766</v>
      </c>
      <c r="AA323" s="701">
        <f t="shared" si="130"/>
        <v>12376.015423792272</v>
      </c>
      <c r="AB323" s="701">
        <f t="shared" si="130"/>
        <v>12612.197139658307</v>
      </c>
      <c r="AC323" s="701">
        <f t="shared" si="130"/>
        <v>12848.378985341356</v>
      </c>
      <c r="AD323" s="701">
        <f t="shared" si="130"/>
        <v>13084.642141410968</v>
      </c>
      <c r="AE323" s="701">
        <f t="shared" si="130"/>
        <v>13320.824323492105</v>
      </c>
      <c r="AF323" s="701">
        <f t="shared" si="130"/>
        <v>13557.006719595363</v>
      </c>
      <c r="AG323" s="702">
        <f t="shared" si="130"/>
        <v>13793.270523752615</v>
      </c>
      <c r="AH323" s="18"/>
      <c r="AI323" s="18"/>
      <c r="AJ323" s="18"/>
      <c r="AK323" s="18"/>
      <c r="AL323" s="18"/>
      <c r="AM323" s="18"/>
      <c r="AN323" s="18"/>
    </row>
    <row r="324" spans="1:40" ht="21.9" customHeight="1" x14ac:dyDescent="0.25">
      <c r="B324" s="680" t="s">
        <v>450</v>
      </c>
      <c r="C324" s="690"/>
      <c r="D324" s="690"/>
      <c r="E324" s="1327"/>
      <c r="F324" s="114" t="s">
        <v>276</v>
      </c>
      <c r="G324" s="114" t="s">
        <v>274</v>
      </c>
      <c r="H324" s="552">
        <f t="shared" ref="H324:AG324" si="131">H240/H283</f>
        <v>167015.02824419696</v>
      </c>
      <c r="I324" s="552">
        <f t="shared" si="131"/>
        <v>175830.94743877579</v>
      </c>
      <c r="J324" s="552">
        <f t="shared" si="131"/>
        <v>189064.72341851852</v>
      </c>
      <c r="K324" s="552">
        <f t="shared" si="131"/>
        <v>210928.84634134086</v>
      </c>
      <c r="L324" s="552">
        <f t="shared" si="131"/>
        <v>232802.86646109642</v>
      </c>
      <c r="M324" s="552">
        <f t="shared" si="131"/>
        <v>254675.64945624743</v>
      </c>
      <c r="N324" s="552">
        <f t="shared" si="131"/>
        <v>276539.77246955817</v>
      </c>
      <c r="O324" s="552">
        <f t="shared" si="131"/>
        <v>298423.68998181052</v>
      </c>
      <c r="P324" s="552">
        <f t="shared" si="131"/>
        <v>320501.84004704776</v>
      </c>
      <c r="Q324" s="552">
        <f t="shared" si="131"/>
        <v>342587.41352630028</v>
      </c>
      <c r="R324" s="552">
        <f t="shared" si="131"/>
        <v>364665.56509905844</v>
      </c>
      <c r="S324" s="552">
        <f t="shared" si="131"/>
        <v>386743.71844946122</v>
      </c>
      <c r="T324" s="552">
        <f t="shared" si="131"/>
        <v>408841.66927530989</v>
      </c>
      <c r="U324" s="552">
        <f t="shared" si="131"/>
        <v>422279.58631596289</v>
      </c>
      <c r="V324" s="552">
        <f t="shared" si="131"/>
        <v>431095.51621026848</v>
      </c>
      <c r="W324" s="552">
        <f t="shared" si="131"/>
        <v>439911.44476474624</v>
      </c>
      <c r="X324" s="552">
        <f t="shared" si="131"/>
        <v>448727.37543817697</v>
      </c>
      <c r="Y324" s="552">
        <f t="shared" si="131"/>
        <v>457548.25724713982</v>
      </c>
      <c r="Z324" s="552">
        <f t="shared" si="131"/>
        <v>466364.19350861089</v>
      </c>
      <c r="AA324" s="552">
        <f t="shared" si="131"/>
        <v>475185.08197382034</v>
      </c>
      <c r="AB324" s="552">
        <f t="shared" si="131"/>
        <v>484001.02615195088</v>
      </c>
      <c r="AC324" s="552">
        <f t="shared" si="131"/>
        <v>492816.97539854003</v>
      </c>
      <c r="AD324" s="552">
        <f t="shared" si="131"/>
        <v>501637.87923250865</v>
      </c>
      <c r="AE324" s="552">
        <f t="shared" si="131"/>
        <v>510453.84154207591</v>
      </c>
      <c r="AF324" s="552">
        <f t="shared" si="131"/>
        <v>519269.81209535815</v>
      </c>
      <c r="AG324" s="700">
        <f t="shared" si="131"/>
        <v>528090.74090910447</v>
      </c>
      <c r="AH324" s="18"/>
      <c r="AI324" s="18"/>
      <c r="AJ324" s="18"/>
      <c r="AK324" s="18"/>
      <c r="AL324" s="18"/>
      <c r="AM324" s="18"/>
      <c r="AN324" s="18"/>
    </row>
    <row r="325" spans="1:40" ht="21.9" customHeight="1" x14ac:dyDescent="0.25">
      <c r="B325" s="680"/>
      <c r="C325" s="690"/>
      <c r="D325" s="690"/>
      <c r="E325" s="1327"/>
      <c r="F325" s="114" t="s">
        <v>274</v>
      </c>
      <c r="G325" s="114" t="s">
        <v>317</v>
      </c>
      <c r="H325" s="552">
        <f t="shared" ref="H325:AG325" si="132">H241/H284</f>
        <v>3895.5029256155972</v>
      </c>
      <c r="I325" s="552">
        <f t="shared" si="132"/>
        <v>4058.1726352844275</v>
      </c>
      <c r="J325" s="552">
        <f t="shared" si="132"/>
        <v>4259.5052114952878</v>
      </c>
      <c r="K325" s="552">
        <f t="shared" si="132"/>
        <v>4530.5672900801583</v>
      </c>
      <c r="L325" s="552">
        <f t="shared" si="132"/>
        <v>4801.7267562529623</v>
      </c>
      <c r="M325" s="552">
        <f t="shared" si="132"/>
        <v>5072.8537599226865</v>
      </c>
      <c r="N325" s="552">
        <f t="shared" si="132"/>
        <v>5343.9158385793935</v>
      </c>
      <c r="O325" s="552">
        <f t="shared" si="132"/>
        <v>5615.1726924407039</v>
      </c>
      <c r="P325" s="552">
        <f t="shared" si="132"/>
        <v>5877.9892900554332</v>
      </c>
      <c r="Q325" s="552">
        <f t="shared" si="132"/>
        <v>6140.9032753736719</v>
      </c>
      <c r="R325" s="552">
        <f t="shared" si="132"/>
        <v>6403.7198733230107</v>
      </c>
      <c r="S325" s="552">
        <f t="shared" si="132"/>
        <v>6666.5364715739097</v>
      </c>
      <c r="T325" s="552">
        <f t="shared" si="132"/>
        <v>6929.547845410144</v>
      </c>
      <c r="U325" s="552">
        <f t="shared" si="132"/>
        <v>7122.5375547347739</v>
      </c>
      <c r="V325" s="552">
        <f t="shared" si="132"/>
        <v>7285.2072663268782</v>
      </c>
      <c r="W325" s="552">
        <f t="shared" si="132"/>
        <v>7447.8769780997982</v>
      </c>
      <c r="X325" s="552">
        <f t="shared" si="132"/>
        <v>7610.5466903978568</v>
      </c>
      <c r="Y325" s="552">
        <f t="shared" si="132"/>
        <v>7773.2813283850783</v>
      </c>
      <c r="Z325" s="552">
        <f t="shared" si="132"/>
        <v>7935.9510421023888</v>
      </c>
      <c r="AA325" s="552">
        <f t="shared" si="132"/>
        <v>8098.6856818072511</v>
      </c>
      <c r="AB325" s="552">
        <f t="shared" si="132"/>
        <v>8261.3553975976629</v>
      </c>
      <c r="AC325" s="552">
        <f t="shared" si="132"/>
        <v>8424.0251147443705</v>
      </c>
      <c r="AD325" s="552">
        <f t="shared" si="132"/>
        <v>8586.7597585640651</v>
      </c>
      <c r="AE325" s="552">
        <f t="shared" si="132"/>
        <v>8749.4294792737346</v>
      </c>
      <c r="AF325" s="552">
        <f t="shared" si="132"/>
        <v>8912.0992022770606</v>
      </c>
      <c r="AG325" s="700">
        <f t="shared" si="132"/>
        <v>9074.8338530487999</v>
      </c>
      <c r="AH325" s="18"/>
      <c r="AI325" s="18"/>
      <c r="AJ325" s="18"/>
      <c r="AK325" s="18"/>
      <c r="AL325" s="18"/>
      <c r="AM325" s="18"/>
      <c r="AN325" s="18"/>
    </row>
    <row r="326" spans="1:40" ht="21.9" customHeight="1" x14ac:dyDescent="0.25">
      <c r="B326" s="680"/>
      <c r="C326" s="690"/>
      <c r="D326" s="690"/>
      <c r="E326" s="1325" t="s">
        <v>274</v>
      </c>
      <c r="F326" s="217" t="s">
        <v>275</v>
      </c>
      <c r="G326" s="217" t="s">
        <v>318</v>
      </c>
      <c r="H326" s="558">
        <f t="shared" ref="H326:AG326" si="133">H242/H285</f>
        <v>44193.057391304348</v>
      </c>
      <c r="I326" s="558">
        <f t="shared" si="133"/>
        <v>48663.406111721735</v>
      </c>
      <c r="J326" s="558">
        <f t="shared" si="133"/>
        <v>58657.887006052166</v>
      </c>
      <c r="K326" s="558">
        <f t="shared" si="133"/>
        <v>78732.583326052263</v>
      </c>
      <c r="L326" s="558">
        <f t="shared" si="133"/>
        <v>98819.653702124371</v>
      </c>
      <c r="M326" s="558">
        <f t="shared" si="133"/>
        <v>118904.51442535302</v>
      </c>
      <c r="N326" s="558">
        <f t="shared" si="133"/>
        <v>138979.21074555453</v>
      </c>
      <c r="O326" s="558">
        <f t="shared" si="133"/>
        <v>159078.65517872915</v>
      </c>
      <c r="P326" s="558">
        <f t="shared" si="133"/>
        <v>178801.13283555524</v>
      </c>
      <c r="Q326" s="558">
        <f t="shared" si="133"/>
        <v>198533.55394021972</v>
      </c>
      <c r="R326" s="558">
        <f t="shared" si="133"/>
        <v>218256.03163472546</v>
      </c>
      <c r="S326" s="558">
        <f t="shared" si="133"/>
        <v>237978.50939884747</v>
      </c>
      <c r="T326" s="558">
        <f t="shared" si="133"/>
        <v>257725.73543576972</v>
      </c>
      <c r="U326" s="558">
        <f t="shared" si="133"/>
        <v>267355.62418646587</v>
      </c>
      <c r="V326" s="558">
        <f t="shared" si="133"/>
        <v>271825.97338592634</v>
      </c>
      <c r="W326" s="558">
        <f t="shared" si="133"/>
        <v>276296.32240684534</v>
      </c>
      <c r="X326" s="558">
        <f t="shared" si="133"/>
        <v>280766.67148138327</v>
      </c>
      <c r="Y326" s="558">
        <f t="shared" si="133"/>
        <v>285243.87054195988</v>
      </c>
      <c r="Z326" s="558">
        <f t="shared" si="133"/>
        <v>289714.21975103597</v>
      </c>
      <c r="AA326" s="558">
        <f t="shared" si="133"/>
        <v>294191.4189661268</v>
      </c>
      <c r="AB326" s="558">
        <f t="shared" si="133"/>
        <v>298661.76835331082</v>
      </c>
      <c r="AC326" s="558">
        <f t="shared" si="133"/>
        <v>303132.11784873653</v>
      </c>
      <c r="AD326" s="558">
        <f t="shared" si="133"/>
        <v>307609.31739312428</v>
      </c>
      <c r="AE326" s="558">
        <f t="shared" si="133"/>
        <v>312079.66715784319</v>
      </c>
      <c r="AF326" s="558">
        <f t="shared" si="133"/>
        <v>316550.0170840926</v>
      </c>
      <c r="AG326" s="703">
        <f t="shared" si="133"/>
        <v>321027.21711987106</v>
      </c>
      <c r="AH326" s="18"/>
      <c r="AI326" s="18"/>
      <c r="AJ326" s="18"/>
      <c r="AK326" s="18"/>
      <c r="AL326" s="18"/>
      <c r="AM326" s="18"/>
      <c r="AN326" s="18"/>
    </row>
    <row r="327" spans="1:40" ht="21.9" customHeight="1" x14ac:dyDescent="0.25">
      <c r="B327" s="680"/>
      <c r="C327" s="690"/>
      <c r="D327" s="690"/>
      <c r="E327" s="1327"/>
      <c r="F327" s="114" t="s">
        <v>318</v>
      </c>
      <c r="G327" s="114" t="s">
        <v>308</v>
      </c>
      <c r="H327" s="552">
        <f t="shared" ref="H327:AG327" si="134">H243/H286</f>
        <v>5946.1818182585594</v>
      </c>
      <c r="I327" s="552">
        <f t="shared" si="134"/>
        <v>6566.7649940241463</v>
      </c>
      <c r="J327" s="552">
        <f t="shared" si="134"/>
        <v>7423.4611396524824</v>
      </c>
      <c r="K327" s="552">
        <f t="shared" si="134"/>
        <v>8996.7217465225276</v>
      </c>
      <c r="L327" s="552">
        <f t="shared" si="134"/>
        <v>10570.428323728827</v>
      </c>
      <c r="M327" s="552">
        <f t="shared" si="134"/>
        <v>12144.432243338473</v>
      </c>
      <c r="N327" s="552">
        <f t="shared" si="134"/>
        <v>13717.693023598553</v>
      </c>
      <c r="O327" s="552">
        <f t="shared" si="134"/>
        <v>15292.391242756055</v>
      </c>
      <c r="P327" s="552">
        <f t="shared" si="134"/>
        <v>17556.600201536367</v>
      </c>
      <c r="Q327" s="552">
        <f t="shared" si="134"/>
        <v>19821.312662871907</v>
      </c>
      <c r="R327" s="552">
        <f t="shared" si="134"/>
        <v>22085.109039121089</v>
      </c>
      <c r="S327" s="552">
        <f t="shared" si="134"/>
        <v>24349.424680514287</v>
      </c>
      <c r="T327" s="552">
        <f t="shared" si="134"/>
        <v>26615.367019272377</v>
      </c>
      <c r="U327" s="552">
        <f t="shared" si="134"/>
        <v>28162.290139323599</v>
      </c>
      <c r="V327" s="552">
        <f t="shared" si="134"/>
        <v>28783.809045364291</v>
      </c>
      <c r="W327" s="552">
        <f t="shared" si="134"/>
        <v>29404.962372002959</v>
      </c>
      <c r="X327" s="552">
        <f t="shared" si="134"/>
        <v>30026.252552525177</v>
      </c>
      <c r="Y327" s="552">
        <f t="shared" si="134"/>
        <v>30648.154499478962</v>
      </c>
      <c r="Z327" s="552">
        <f t="shared" si="134"/>
        <v>31269.811137063745</v>
      </c>
      <c r="AA327" s="552">
        <f t="shared" si="134"/>
        <v>31892.153471811882</v>
      </c>
      <c r="AB327" s="552">
        <f t="shared" si="134"/>
        <v>32514.33858930186</v>
      </c>
      <c r="AC327" s="552">
        <f t="shared" si="134"/>
        <v>33136.865994836982</v>
      </c>
      <c r="AD327" s="552">
        <f t="shared" si="134"/>
        <v>33760.24763152824</v>
      </c>
      <c r="AE327" s="552">
        <f t="shared" si="134"/>
        <v>34383.668849505862</v>
      </c>
      <c r="AF327" s="552">
        <f t="shared" si="134"/>
        <v>35007.65981748631</v>
      </c>
      <c r="AG327" s="700">
        <f t="shared" si="134"/>
        <v>35632.770082026436</v>
      </c>
      <c r="AH327" s="18"/>
      <c r="AI327" s="18"/>
      <c r="AJ327" s="18"/>
      <c r="AK327" s="18"/>
      <c r="AL327" s="18"/>
      <c r="AM327" s="18"/>
      <c r="AN327" s="18"/>
    </row>
    <row r="328" spans="1:40" ht="21.9" customHeight="1" x14ac:dyDescent="0.25">
      <c r="B328" s="680"/>
      <c r="C328" s="690"/>
      <c r="D328" s="690"/>
      <c r="E328" s="1339"/>
      <c r="F328" s="250" t="s">
        <v>308</v>
      </c>
      <c r="G328" s="250" t="s">
        <v>319</v>
      </c>
      <c r="H328" s="562">
        <f t="shared" ref="H328:AG328" si="135">H244/H287</f>
        <v>83917.082669181895</v>
      </c>
      <c r="I328" s="562">
        <f t="shared" si="135"/>
        <v>86267.040707527893</v>
      </c>
      <c r="J328" s="562">
        <f t="shared" si="135"/>
        <v>89615.895261842161</v>
      </c>
      <c r="K328" s="562">
        <f t="shared" si="135"/>
        <v>94316.098338762997</v>
      </c>
      <c r="L328" s="562">
        <f t="shared" si="135"/>
        <v>99018.268429925913</v>
      </c>
      <c r="M328" s="562">
        <f t="shared" si="135"/>
        <v>103720.0297226348</v>
      </c>
      <c r="N328" s="562">
        <f t="shared" si="135"/>
        <v>108420.2691817478</v>
      </c>
      <c r="O328" s="562">
        <f t="shared" si="135"/>
        <v>113124.31009211013</v>
      </c>
      <c r="P328" s="562">
        <f t="shared" si="135"/>
        <v>117873.00455995077</v>
      </c>
      <c r="Q328" s="562">
        <f t="shared" si="135"/>
        <v>122623.15429349495</v>
      </c>
      <c r="R328" s="562">
        <f t="shared" si="135"/>
        <v>127371.56666036126</v>
      </c>
      <c r="S328" s="562">
        <f t="shared" si="135"/>
        <v>132120.51354531926</v>
      </c>
      <c r="T328" s="562">
        <f t="shared" si="135"/>
        <v>136873.39838261425</v>
      </c>
      <c r="U328" s="562">
        <f t="shared" si="135"/>
        <v>140269.12729871823</v>
      </c>
      <c r="V328" s="562">
        <f t="shared" si="135"/>
        <v>142619.77295459723</v>
      </c>
      <c r="W328" s="562">
        <f t="shared" si="135"/>
        <v>144970.32895508019</v>
      </c>
      <c r="X328" s="562">
        <f t="shared" si="135"/>
        <v>147320.99192604571</v>
      </c>
      <c r="Y328" s="562">
        <f t="shared" si="135"/>
        <v>149672.89771704227</v>
      </c>
      <c r="Z328" s="562">
        <f t="shared" si="135"/>
        <v>152023.82817968749</v>
      </c>
      <c r="AA328" s="562">
        <f t="shared" si="135"/>
        <v>154376.04222365096</v>
      </c>
      <c r="AB328" s="562">
        <f t="shared" si="135"/>
        <v>156727.32776676107</v>
      </c>
      <c r="AC328" s="562">
        <f t="shared" si="135"/>
        <v>159078.83065950542</v>
      </c>
      <c r="AD328" s="562">
        <f t="shared" si="135"/>
        <v>161431.70208970312</v>
      </c>
      <c r="AE328" s="562">
        <f t="shared" si="135"/>
        <v>163783.74079469076</v>
      </c>
      <c r="AF328" s="562">
        <f t="shared" si="135"/>
        <v>166136.1041331632</v>
      </c>
      <c r="AG328" s="704">
        <f t="shared" si="135"/>
        <v>168489.9571011014</v>
      </c>
      <c r="AH328" s="18"/>
      <c r="AI328" s="18"/>
      <c r="AJ328" s="18"/>
      <c r="AK328" s="18"/>
      <c r="AL328" s="18"/>
      <c r="AM328" s="18"/>
      <c r="AN328" s="18"/>
    </row>
    <row r="329" spans="1:40" ht="21.9" customHeight="1" x14ac:dyDescent="0.25">
      <c r="B329" s="680"/>
      <c r="C329" s="690"/>
      <c r="D329" s="690"/>
      <c r="E329" s="114" t="s">
        <v>320</v>
      </c>
      <c r="F329" s="114" t="s">
        <v>318</v>
      </c>
      <c r="G329" s="114" t="s">
        <v>308</v>
      </c>
      <c r="H329" s="552">
        <f t="shared" ref="H329:AG329" si="136">H245/H288</f>
        <v>266.8555555555555</v>
      </c>
      <c r="I329" s="552">
        <f t="shared" si="136"/>
        <v>2022.4982555555553</v>
      </c>
      <c r="J329" s="552">
        <f t="shared" si="136"/>
        <v>11717.360588888885</v>
      </c>
      <c r="K329" s="552">
        <f t="shared" si="136"/>
        <v>26987.902900000012</v>
      </c>
      <c r="L329" s="552">
        <f t="shared" si="136"/>
        <v>42268.052011234562</v>
      </c>
      <c r="M329" s="552">
        <f t="shared" si="136"/>
        <v>57549.00170381619</v>
      </c>
      <c r="N329" s="552">
        <f t="shared" si="136"/>
        <v>72819.544413472802</v>
      </c>
      <c r="O329" s="552">
        <f t="shared" si="136"/>
        <v>88110.372597475507</v>
      </c>
      <c r="P329" s="552">
        <f t="shared" si="136"/>
        <v>96696.216837570071</v>
      </c>
      <c r="Q329" s="552">
        <f t="shared" si="136"/>
        <v>105285.29811027616</v>
      </c>
      <c r="R329" s="552">
        <f t="shared" si="136"/>
        <v>113873.67482487328</v>
      </c>
      <c r="S329" s="552">
        <f t="shared" si="136"/>
        <v>122459.85366493491</v>
      </c>
      <c r="T329" s="552">
        <f t="shared" si="136"/>
        <v>131066.72206690338</v>
      </c>
      <c r="U329" s="552">
        <f t="shared" si="136"/>
        <v>134070.02141704044</v>
      </c>
      <c r="V329" s="552">
        <f t="shared" si="136"/>
        <v>135826.43731962354</v>
      </c>
      <c r="W329" s="552">
        <f t="shared" si="136"/>
        <v>137582.63797405449</v>
      </c>
      <c r="X329" s="552">
        <f t="shared" si="136"/>
        <v>139338.91551380808</v>
      </c>
      <c r="Y329" s="552">
        <f t="shared" si="136"/>
        <v>141102.21786333519</v>
      </c>
      <c r="Z329" s="552">
        <f t="shared" si="136"/>
        <v>142858.68157147657</v>
      </c>
      <c r="AA329" s="552">
        <f t="shared" si="136"/>
        <v>144622.18938964242</v>
      </c>
      <c r="AB329" s="552">
        <f t="shared" si="136"/>
        <v>146378.88366826129</v>
      </c>
      <c r="AC329" s="552">
        <f t="shared" si="136"/>
        <v>148135.70951125905</v>
      </c>
      <c r="AD329" s="552">
        <f t="shared" si="136"/>
        <v>149899.62468739087</v>
      </c>
      <c r="AE329" s="552">
        <f t="shared" si="136"/>
        <v>151656.77452470912</v>
      </c>
      <c r="AF329" s="552">
        <f t="shared" si="136"/>
        <v>153414.10569921401</v>
      </c>
      <c r="AG329" s="700">
        <f t="shared" si="136"/>
        <v>155178.58282969176</v>
      </c>
      <c r="AH329" s="18"/>
      <c r="AI329" s="18"/>
      <c r="AJ329" s="18"/>
      <c r="AK329" s="18"/>
      <c r="AL329" s="18"/>
      <c r="AM329" s="18"/>
      <c r="AN329" s="18"/>
    </row>
    <row r="330" spans="1:40" ht="21.9" customHeight="1" x14ac:dyDescent="0.25">
      <c r="B330" s="680"/>
      <c r="C330" s="690"/>
      <c r="D330" s="690"/>
      <c r="E330" s="1325" t="s">
        <v>308</v>
      </c>
      <c r="F330" s="217" t="s">
        <v>276</v>
      </c>
      <c r="G330" s="217" t="s">
        <v>320</v>
      </c>
      <c r="H330" s="558">
        <f t="shared" ref="H330:AG330" si="137">H246/H289</f>
        <v>805.66423357664223</v>
      </c>
      <c r="I330" s="558">
        <f t="shared" si="137"/>
        <v>1790.5887591240873</v>
      </c>
      <c r="J330" s="558">
        <f t="shared" si="137"/>
        <v>7568.0069781021894</v>
      </c>
      <c r="K330" s="558">
        <f t="shared" si="137"/>
        <v>17012.40595620438</v>
      </c>
      <c r="L330" s="558">
        <f t="shared" si="137"/>
        <v>26462.041751824821</v>
      </c>
      <c r="M330" s="558">
        <f t="shared" si="137"/>
        <v>35912.08037956203</v>
      </c>
      <c r="N330" s="558">
        <f t="shared" si="137"/>
        <v>45356.479357664306</v>
      </c>
      <c r="O330" s="558">
        <f t="shared" si="137"/>
        <v>54811.754802920696</v>
      </c>
      <c r="P330" s="558">
        <f t="shared" si="137"/>
        <v>62103.016116795829</v>
      </c>
      <c r="Q330" s="558">
        <f t="shared" si="137"/>
        <v>69395.485927036556</v>
      </c>
      <c r="R330" s="558">
        <f t="shared" si="137"/>
        <v>76686.747240974</v>
      </c>
      <c r="S330" s="558">
        <f t="shared" si="137"/>
        <v>83978.008555036242</v>
      </c>
      <c r="T330" s="558">
        <f t="shared" si="137"/>
        <v>91278.937840202474</v>
      </c>
      <c r="U330" s="558">
        <f t="shared" si="137"/>
        <v>94897.578746407395</v>
      </c>
      <c r="V330" s="558">
        <f t="shared" si="137"/>
        <v>95882.503272877875</v>
      </c>
      <c r="W330" s="558">
        <f t="shared" si="137"/>
        <v>96867.427798762365</v>
      </c>
      <c r="X330" s="558">
        <f t="shared" si="137"/>
        <v>97852.352324683263</v>
      </c>
      <c r="Y330" s="558">
        <f t="shared" si="137"/>
        <v>98840.09667546174</v>
      </c>
      <c r="Z330" s="558">
        <f t="shared" si="137"/>
        <v>99825.021201467578</v>
      </c>
      <c r="AA330" s="558">
        <f t="shared" si="137"/>
        <v>100812.76555233776</v>
      </c>
      <c r="AB330" s="558">
        <f t="shared" si="137"/>
        <v>101797.69007844423</v>
      </c>
      <c r="AC330" s="558">
        <f t="shared" si="137"/>
        <v>102782.61460460644</v>
      </c>
      <c r="AD330" s="558">
        <f t="shared" si="137"/>
        <v>103770.35895564873</v>
      </c>
      <c r="AE330" s="558">
        <f t="shared" si="137"/>
        <v>104755.28348194344</v>
      </c>
      <c r="AF330" s="558">
        <f t="shared" si="137"/>
        <v>105740.20800831042</v>
      </c>
      <c r="AG330" s="703">
        <f t="shared" si="137"/>
        <v>106727.95235957591</v>
      </c>
      <c r="AH330" s="18"/>
      <c r="AI330" s="18"/>
      <c r="AJ330" s="18"/>
      <c r="AK330" s="18"/>
      <c r="AL330" s="18"/>
      <c r="AM330" s="18"/>
      <c r="AN330" s="18"/>
    </row>
    <row r="331" spans="1:40" ht="21.9" customHeight="1" x14ac:dyDescent="0.25">
      <c r="B331" s="680"/>
      <c r="C331" s="690"/>
      <c r="D331" s="690"/>
      <c r="E331" s="1327"/>
      <c r="F331" s="114" t="s">
        <v>320</v>
      </c>
      <c r="G331" s="114" t="s">
        <v>282</v>
      </c>
      <c r="H331" s="552">
        <f t="shared" ref="H331:AG331" si="138">H247/H290</f>
        <v>0</v>
      </c>
      <c r="I331" s="552">
        <f t="shared" si="138"/>
        <v>548.09039416058397</v>
      </c>
      <c r="J331" s="552">
        <f t="shared" si="138"/>
        <v>1569.6607065693429</v>
      </c>
      <c r="K331" s="552">
        <f t="shared" si="138"/>
        <v>3528.4990131386862</v>
      </c>
      <c r="L331" s="552">
        <f t="shared" si="138"/>
        <v>5488.4234744525556</v>
      </c>
      <c r="M331" s="552">
        <f t="shared" si="138"/>
        <v>7448.4314861313842</v>
      </c>
      <c r="N331" s="552">
        <f t="shared" si="138"/>
        <v>9407.2697927007448</v>
      </c>
      <c r="O331" s="552">
        <f t="shared" si="138"/>
        <v>11368.363959124294</v>
      </c>
      <c r="P331" s="552">
        <f t="shared" si="138"/>
        <v>12880.625564965061</v>
      </c>
      <c r="Q331" s="552">
        <f t="shared" si="138"/>
        <v>14393.137821903878</v>
      </c>
      <c r="R331" s="552">
        <f t="shared" si="138"/>
        <v>15905.399427757569</v>
      </c>
      <c r="S331" s="552">
        <f t="shared" si="138"/>
        <v>17417.661033637149</v>
      </c>
      <c r="T331" s="552">
        <f t="shared" si="138"/>
        <v>18931.927848338291</v>
      </c>
      <c r="U331" s="552">
        <f t="shared" si="138"/>
        <v>19682.460777032647</v>
      </c>
      <c r="V331" s="552">
        <f t="shared" si="138"/>
        <v>19886.741419559854</v>
      </c>
      <c r="W331" s="552">
        <f t="shared" si="138"/>
        <v>20091.022061965527</v>
      </c>
      <c r="X331" s="552">
        <f t="shared" si="138"/>
        <v>20295.302704378755</v>
      </c>
      <c r="Y331" s="552">
        <f t="shared" si="138"/>
        <v>20500.16819935503</v>
      </c>
      <c r="Z331" s="552">
        <f t="shared" si="138"/>
        <v>20704.448841785867</v>
      </c>
      <c r="AA331" s="552">
        <f t="shared" si="138"/>
        <v>20909.314336781164</v>
      </c>
      <c r="AB331" s="552">
        <f t="shared" si="138"/>
        <v>21113.594979232876</v>
      </c>
      <c r="AC331" s="552">
        <f t="shared" si="138"/>
        <v>21317.875621696148</v>
      </c>
      <c r="AD331" s="552">
        <f t="shared" si="138"/>
        <v>21522.741116727146</v>
      </c>
      <c r="AE331" s="552">
        <f t="shared" si="138"/>
        <v>21727.0217592179</v>
      </c>
      <c r="AF331" s="552">
        <f t="shared" si="138"/>
        <v>21931.302401723642</v>
      </c>
      <c r="AG331" s="700">
        <f t="shared" si="138"/>
        <v>22136.167896800929</v>
      </c>
      <c r="AH331" s="18"/>
      <c r="AI331" s="18"/>
      <c r="AJ331" s="18"/>
      <c r="AK331" s="18"/>
      <c r="AL331" s="18"/>
      <c r="AM331" s="18"/>
      <c r="AN331" s="18"/>
    </row>
    <row r="332" spans="1:40" ht="21.9" customHeight="1" x14ac:dyDescent="0.25">
      <c r="B332" s="680"/>
      <c r="C332" s="690"/>
      <c r="D332" s="690"/>
      <c r="E332" s="1327"/>
      <c r="F332" s="114" t="s">
        <v>282</v>
      </c>
      <c r="G332" s="114" t="s">
        <v>321</v>
      </c>
      <c r="H332" s="552">
        <f t="shared" ref="H332:AG332" si="139">H248/H291</f>
        <v>0</v>
      </c>
      <c r="I332" s="552">
        <f t="shared" si="139"/>
        <v>1428.9499562043793</v>
      </c>
      <c r="J332" s="552">
        <f t="shared" si="139"/>
        <v>4092.3296992700725</v>
      </c>
      <c r="K332" s="552">
        <f t="shared" si="139"/>
        <v>9199.3009985401441</v>
      </c>
      <c r="L332" s="552">
        <f t="shared" si="139"/>
        <v>14309.104058394161</v>
      </c>
      <c r="M332" s="552">
        <f t="shared" si="139"/>
        <v>19419.12494598539</v>
      </c>
      <c r="N332" s="552">
        <f t="shared" si="139"/>
        <v>24526.096245255514</v>
      </c>
      <c r="O332" s="552">
        <f t="shared" si="139"/>
        <v>29638.948893431192</v>
      </c>
      <c r="P332" s="552">
        <f t="shared" si="139"/>
        <v>33581.630937230337</v>
      </c>
      <c r="Q332" s="552">
        <f t="shared" si="139"/>
        <v>37524.966464249395</v>
      </c>
      <c r="R332" s="552">
        <f t="shared" si="139"/>
        <v>41467.648508082224</v>
      </c>
      <c r="S332" s="552">
        <f t="shared" si="139"/>
        <v>45410.330551982552</v>
      </c>
      <c r="T332" s="552">
        <f t="shared" si="139"/>
        <v>49358.240461739108</v>
      </c>
      <c r="U332" s="552">
        <f t="shared" si="139"/>
        <v>51314.9870258351</v>
      </c>
      <c r="V332" s="552">
        <f t="shared" si="139"/>
        <v>51847.575843852472</v>
      </c>
      <c r="W332" s="552">
        <f t="shared" si="139"/>
        <v>52380.164661552975</v>
      </c>
      <c r="X332" s="552">
        <f t="shared" si="139"/>
        <v>52912.753479273175</v>
      </c>
      <c r="Y332" s="552">
        <f t="shared" si="139"/>
        <v>53446.867091175605</v>
      </c>
      <c r="Z332" s="552">
        <f t="shared" si="139"/>
        <v>53979.455908941723</v>
      </c>
      <c r="AA332" s="552">
        <f t="shared" si="139"/>
        <v>54513.569520893747</v>
      </c>
      <c r="AB332" s="552">
        <f t="shared" si="139"/>
        <v>55046.158338714282</v>
      </c>
      <c r="AC332" s="552">
        <f t="shared" si="139"/>
        <v>55578.747156564954</v>
      </c>
      <c r="AD332" s="552">
        <f t="shared" si="139"/>
        <v>56112.860768610051</v>
      </c>
      <c r="AE332" s="552">
        <f t="shared" si="139"/>
        <v>56645.44958653237</v>
      </c>
      <c r="AF332" s="552">
        <f t="shared" si="139"/>
        <v>57178.038404493789</v>
      </c>
      <c r="AG332" s="700">
        <f t="shared" si="139"/>
        <v>57712.152016659566</v>
      </c>
      <c r="AH332" s="18"/>
      <c r="AI332" s="18"/>
      <c r="AJ332" s="18"/>
      <c r="AK332" s="18"/>
      <c r="AL332" s="18"/>
      <c r="AM332" s="18"/>
      <c r="AN332" s="18"/>
    </row>
    <row r="333" spans="1:40" ht="21.9" customHeight="1" x14ac:dyDescent="0.25">
      <c r="B333" s="680"/>
      <c r="C333" s="690"/>
      <c r="D333" s="690"/>
      <c r="E333" s="1339"/>
      <c r="F333" s="250" t="s">
        <v>321</v>
      </c>
      <c r="G333" s="250" t="s">
        <v>274</v>
      </c>
      <c r="H333" s="562">
        <f t="shared" ref="H333:AG333" si="140">H249/H292</f>
        <v>1879.8832116788319</v>
      </c>
      <c r="I333" s="562">
        <f t="shared" si="140"/>
        <v>2802.3419036496348</v>
      </c>
      <c r="J333" s="562">
        <f t="shared" si="140"/>
        <v>3945.4988846715328</v>
      </c>
      <c r="K333" s="562">
        <f t="shared" si="140"/>
        <v>6835.3806832116779</v>
      </c>
      <c r="L333" s="562">
        <f t="shared" si="140"/>
        <v>9725.5757956204361</v>
      </c>
      <c r="M333" s="562">
        <f t="shared" si="140"/>
        <v>12617.212151824817</v>
      </c>
      <c r="N333" s="562">
        <f t="shared" si="140"/>
        <v>15507.093950364961</v>
      </c>
      <c r="O333" s="562">
        <f t="shared" si="140"/>
        <v>18396.035807299268</v>
      </c>
      <c r="P333" s="562">
        <f t="shared" si="140"/>
        <v>25749.574966423355</v>
      </c>
      <c r="Q333" s="562">
        <f t="shared" si="140"/>
        <v>33100.231637956233</v>
      </c>
      <c r="R333" s="562">
        <f t="shared" si="140"/>
        <v>40450.324344525929</v>
      </c>
      <c r="S333" s="562">
        <f t="shared" si="140"/>
        <v>47803.863503653047</v>
      </c>
      <c r="T333" s="562">
        <f t="shared" si="140"/>
        <v>55156.462721188851</v>
      </c>
      <c r="U333" s="562">
        <f t="shared" si="140"/>
        <v>60761.083865789973</v>
      </c>
      <c r="V333" s="562">
        <f t="shared" si="140"/>
        <v>61683.542557922156</v>
      </c>
      <c r="W333" s="562">
        <f t="shared" si="140"/>
        <v>62606.001249939392</v>
      </c>
      <c r="X333" s="562">
        <f t="shared" si="140"/>
        <v>63528.459941964094</v>
      </c>
      <c r="Y333" s="562">
        <f t="shared" si="140"/>
        <v>64448.098809179814</v>
      </c>
      <c r="Z333" s="562">
        <f t="shared" si="140"/>
        <v>65370.557501222582</v>
      </c>
      <c r="AA333" s="562">
        <f t="shared" si="140"/>
        <v>66290.196368459103</v>
      </c>
      <c r="AB333" s="562">
        <f t="shared" si="140"/>
        <v>67212.65506052546</v>
      </c>
      <c r="AC333" s="562">
        <f t="shared" si="140"/>
        <v>68135.113752606339</v>
      </c>
      <c r="AD333" s="562">
        <f t="shared" si="140"/>
        <v>69054.752619885854</v>
      </c>
      <c r="AE333" s="562">
        <f t="shared" si="140"/>
        <v>69977.211312000756</v>
      </c>
      <c r="AF333" s="562">
        <f t="shared" si="140"/>
        <v>70899.670004136671</v>
      </c>
      <c r="AG333" s="704">
        <f t="shared" si="140"/>
        <v>71819.308871478235</v>
      </c>
      <c r="AH333" s="18"/>
      <c r="AI333" s="18"/>
      <c r="AJ333" s="18"/>
      <c r="AK333" s="18"/>
      <c r="AL333" s="18"/>
      <c r="AM333" s="18"/>
      <c r="AN333" s="18"/>
    </row>
    <row r="334" spans="1:40" ht="21.9" customHeight="1" x14ac:dyDescent="0.25">
      <c r="B334" s="680"/>
      <c r="C334" s="690"/>
      <c r="D334" s="690"/>
      <c r="E334" s="114" t="s">
        <v>282</v>
      </c>
      <c r="F334" s="114" t="s">
        <v>308</v>
      </c>
      <c r="G334" s="114" t="s">
        <v>324</v>
      </c>
      <c r="H334" s="568">
        <f t="shared" ref="H334:AG334" si="141">H250/H293</f>
        <v>15881.438848935313</v>
      </c>
      <c r="I334" s="568">
        <f t="shared" si="141"/>
        <v>16857.970877713182</v>
      </c>
      <c r="J334" s="568">
        <f t="shared" si="141"/>
        <v>18150.278848950857</v>
      </c>
      <c r="K334" s="568">
        <f t="shared" si="141"/>
        <v>19867.680000068718</v>
      </c>
      <c r="L334" s="568">
        <f t="shared" si="141"/>
        <v>21585.610532558494</v>
      </c>
      <c r="M334" s="568">
        <f t="shared" si="141"/>
        <v>23307.246734269243</v>
      </c>
      <c r="N334" s="568">
        <f t="shared" si="141"/>
        <v>25024.647885947412</v>
      </c>
      <c r="O334" s="568">
        <f t="shared" si="141"/>
        <v>26743.901872799815</v>
      </c>
      <c r="P334" s="568">
        <f t="shared" si="141"/>
        <v>28311.576350047864</v>
      </c>
      <c r="Q334" s="568">
        <f t="shared" si="141"/>
        <v>29877.927375719024</v>
      </c>
      <c r="R334" s="568">
        <f t="shared" si="141"/>
        <v>31445.690087834348</v>
      </c>
      <c r="S334" s="568">
        <f t="shared" si="141"/>
        <v>33013.364574586056</v>
      </c>
      <c r="T334" s="568">
        <f t="shared" si="141"/>
        <v>34586.597572594874</v>
      </c>
      <c r="U334" s="568">
        <f t="shared" si="141"/>
        <v>35727.943675140625</v>
      </c>
      <c r="V334" s="568">
        <f t="shared" si="141"/>
        <v>36704.475736793618</v>
      </c>
      <c r="W334" s="568">
        <f t="shared" si="141"/>
        <v>37681.007803757464</v>
      </c>
      <c r="X334" s="568">
        <f t="shared" si="141"/>
        <v>38657.539882323312</v>
      </c>
      <c r="Y334" s="568">
        <f t="shared" si="141"/>
        <v>39635.130738169675</v>
      </c>
      <c r="Z334" s="568">
        <f t="shared" si="141"/>
        <v>40611.662849985922</v>
      </c>
      <c r="AA334" s="568">
        <f t="shared" si="141"/>
        <v>41590.577200695399</v>
      </c>
      <c r="AB334" s="568">
        <f t="shared" si="141"/>
        <v>42567.109364648713</v>
      </c>
      <c r="AC334" s="568">
        <f t="shared" si="141"/>
        <v>43543.641563942576</v>
      </c>
      <c r="AD334" s="568">
        <f t="shared" si="141"/>
        <v>44521.232569700915</v>
      </c>
      <c r="AE334" s="568">
        <f t="shared" si="141"/>
        <v>45497.764866899648</v>
      </c>
      <c r="AF334" s="568">
        <f t="shared" si="141"/>
        <v>46474.297229469266</v>
      </c>
      <c r="AG334" s="705">
        <f t="shared" si="141"/>
        <v>47453.211887681333</v>
      </c>
      <c r="AH334" s="18"/>
      <c r="AI334" s="18"/>
      <c r="AJ334" s="18"/>
      <c r="AK334" s="18"/>
      <c r="AL334" s="18"/>
      <c r="AM334" s="18"/>
      <c r="AN334" s="18"/>
    </row>
    <row r="335" spans="1:40" ht="21.9" customHeight="1" x14ac:dyDescent="0.25">
      <c r="B335" s="680"/>
      <c r="C335" s="690"/>
      <c r="D335" s="690"/>
      <c r="E335" s="273" t="s">
        <v>321</v>
      </c>
      <c r="F335" s="273" t="s">
        <v>318</v>
      </c>
      <c r="G335" s="273" t="s">
        <v>308</v>
      </c>
      <c r="H335" s="552" t="e">
        <f t="shared" ref="H335:AG335" si="142">H251/H294</f>
        <v>#DIV/0!</v>
      </c>
      <c r="I335" s="552" t="e">
        <f t="shared" si="142"/>
        <v>#DIV/0!</v>
      </c>
      <c r="J335" s="552" t="e">
        <f t="shared" si="142"/>
        <v>#DIV/0!</v>
      </c>
      <c r="K335" s="552" t="e">
        <f t="shared" si="142"/>
        <v>#DIV/0!</v>
      </c>
      <c r="L335" s="552" t="e">
        <f t="shared" si="142"/>
        <v>#DIV/0!</v>
      </c>
      <c r="M335" s="552" t="e">
        <f t="shared" si="142"/>
        <v>#DIV/0!</v>
      </c>
      <c r="N335" s="552" t="e">
        <f t="shared" si="142"/>
        <v>#DIV/0!</v>
      </c>
      <c r="O335" s="552" t="e">
        <f t="shared" si="142"/>
        <v>#DIV/0!</v>
      </c>
      <c r="P335" s="552" t="e">
        <f t="shared" si="142"/>
        <v>#DIV/0!</v>
      </c>
      <c r="Q335" s="552" t="e">
        <f t="shared" si="142"/>
        <v>#DIV/0!</v>
      </c>
      <c r="R335" s="552" t="e">
        <f t="shared" si="142"/>
        <v>#DIV/0!</v>
      </c>
      <c r="S335" s="552" t="e">
        <f t="shared" si="142"/>
        <v>#DIV/0!</v>
      </c>
      <c r="T335" s="552" t="e">
        <f t="shared" si="142"/>
        <v>#DIV/0!</v>
      </c>
      <c r="U335" s="552" t="e">
        <f t="shared" si="142"/>
        <v>#DIV/0!</v>
      </c>
      <c r="V335" s="552" t="e">
        <f t="shared" si="142"/>
        <v>#DIV/0!</v>
      </c>
      <c r="W335" s="552" t="e">
        <f t="shared" si="142"/>
        <v>#DIV/0!</v>
      </c>
      <c r="X335" s="552" t="e">
        <f t="shared" si="142"/>
        <v>#DIV/0!</v>
      </c>
      <c r="Y335" s="552" t="e">
        <f t="shared" si="142"/>
        <v>#DIV/0!</v>
      </c>
      <c r="Z335" s="552" t="e">
        <f t="shared" si="142"/>
        <v>#DIV/0!</v>
      </c>
      <c r="AA335" s="552" t="e">
        <f t="shared" si="142"/>
        <v>#DIV/0!</v>
      </c>
      <c r="AB335" s="552" t="e">
        <f t="shared" si="142"/>
        <v>#DIV/0!</v>
      </c>
      <c r="AC335" s="552" t="e">
        <f t="shared" si="142"/>
        <v>#DIV/0!</v>
      </c>
      <c r="AD335" s="552" t="e">
        <f t="shared" si="142"/>
        <v>#DIV/0!</v>
      </c>
      <c r="AE335" s="552" t="e">
        <f t="shared" si="142"/>
        <v>#DIV/0!</v>
      </c>
      <c r="AF335" s="552" t="e">
        <f t="shared" si="142"/>
        <v>#DIV/0!</v>
      </c>
      <c r="AG335" s="700" t="e">
        <f t="shared" si="142"/>
        <v>#DIV/0!</v>
      </c>
      <c r="AH335" s="18"/>
      <c r="AI335" s="18"/>
      <c r="AJ335" s="18"/>
      <c r="AK335" s="18"/>
      <c r="AL335" s="18"/>
      <c r="AM335" s="18"/>
      <c r="AN335" s="18"/>
    </row>
    <row r="336" spans="1:40" ht="21.9" customHeight="1" x14ac:dyDescent="0.25">
      <c r="B336" s="680"/>
      <c r="C336" s="690"/>
      <c r="D336" s="690"/>
      <c r="E336" s="273" t="s">
        <v>333</v>
      </c>
      <c r="F336" s="273" t="s">
        <v>319</v>
      </c>
      <c r="G336" s="273" t="s">
        <v>308</v>
      </c>
      <c r="H336" s="568">
        <f t="shared" ref="H336:AG336" si="143">H252/H295</f>
        <v>25667.374204594336</v>
      </c>
      <c r="I336" s="568">
        <f t="shared" si="143"/>
        <v>26019.801512075748</v>
      </c>
      <c r="J336" s="568">
        <f t="shared" si="143"/>
        <v>26628.97386349002</v>
      </c>
      <c r="K336" s="568">
        <f t="shared" si="143"/>
        <v>27465.302480740891</v>
      </c>
      <c r="L336" s="568">
        <f t="shared" si="143"/>
        <v>28301.987595700171</v>
      </c>
      <c r="M336" s="568">
        <f t="shared" si="143"/>
        <v>29139.884786413451</v>
      </c>
      <c r="N336" s="568">
        <f t="shared" si="143"/>
        <v>29976.213422343742</v>
      </c>
      <c r="O336" s="568">
        <f t="shared" si="143"/>
        <v>30815.465295973059</v>
      </c>
      <c r="P336" s="568">
        <f t="shared" si="143"/>
        <v>31397.473051993442</v>
      </c>
      <c r="Q336" s="568">
        <f t="shared" si="143"/>
        <v>31979.552101318441</v>
      </c>
      <c r="R336" s="568">
        <f t="shared" si="143"/>
        <v>32561.702457349693</v>
      </c>
      <c r="S336" s="568">
        <f t="shared" si="143"/>
        <v>33143.710226817464</v>
      </c>
      <c r="T336" s="568">
        <f t="shared" si="143"/>
        <v>33729.85330719778</v>
      </c>
      <c r="U336" s="568">
        <f t="shared" si="143"/>
        <v>34082.280697006703</v>
      </c>
      <c r="V336" s="568">
        <f t="shared" si="143"/>
        <v>34434.708063178572</v>
      </c>
      <c r="W336" s="568">
        <f t="shared" si="143"/>
        <v>34787.135435773191</v>
      </c>
      <c r="X336" s="568">
        <f t="shared" si="143"/>
        <v>35139.562815412894</v>
      </c>
      <c r="Y336" s="568">
        <f t="shared" si="143"/>
        <v>35494.414343720222</v>
      </c>
      <c r="Z336" s="568">
        <f t="shared" si="143"/>
        <v>35846.84174012197</v>
      </c>
      <c r="AA336" s="568">
        <f t="shared" si="143"/>
        <v>36200.623812254176</v>
      </c>
      <c r="AB336" s="568">
        <f t="shared" si="143"/>
        <v>36553.051227892087</v>
      </c>
      <c r="AC336" s="568">
        <f t="shared" si="143"/>
        <v>36905.478654215018</v>
      </c>
      <c r="AD336" s="568">
        <f t="shared" si="143"/>
        <v>37260.330233568253</v>
      </c>
      <c r="AE336" s="568">
        <f t="shared" si="143"/>
        <v>37612.757686033059</v>
      </c>
      <c r="AF336" s="568">
        <f t="shared" si="143"/>
        <v>37965.185151952544</v>
      </c>
      <c r="AG336" s="705">
        <f t="shared" si="143"/>
        <v>38318.967300486678</v>
      </c>
      <c r="AH336" s="18"/>
      <c r="AI336" s="18"/>
      <c r="AJ336" s="18"/>
      <c r="AK336" s="18"/>
      <c r="AL336" s="18"/>
      <c r="AM336" s="18"/>
      <c r="AN336" s="18"/>
    </row>
    <row r="337" spans="1:40" ht="21.9" customHeight="1" x14ac:dyDescent="0.25">
      <c r="B337" s="680"/>
      <c r="C337" s="690"/>
      <c r="D337" s="690"/>
      <c r="E337" s="114" t="s">
        <v>319</v>
      </c>
      <c r="F337" s="114" t="s">
        <v>276</v>
      </c>
      <c r="G337" s="114" t="s">
        <v>333</v>
      </c>
      <c r="H337" s="552">
        <f t="shared" ref="H337:AG337" si="144">H253/H296</f>
        <v>52604.163278649205</v>
      </c>
      <c r="I337" s="552">
        <f t="shared" si="144"/>
        <v>54120.583493482831</v>
      </c>
      <c r="J337" s="552">
        <f t="shared" si="144"/>
        <v>55761.938596126689</v>
      </c>
      <c r="K337" s="552">
        <f t="shared" si="144"/>
        <v>57939.48793508159</v>
      </c>
      <c r="L337" s="552">
        <f t="shared" si="144"/>
        <v>60117.405503210735</v>
      </c>
      <c r="M337" s="552">
        <f t="shared" si="144"/>
        <v>62296.217342147131</v>
      </c>
      <c r="N337" s="552">
        <f t="shared" si="144"/>
        <v>64473.766681208719</v>
      </c>
      <c r="O337" s="552">
        <f t="shared" si="144"/>
        <v>66651.894666126493</v>
      </c>
      <c r="P337" s="552">
        <f t="shared" si="144"/>
        <v>69048.645553715076</v>
      </c>
      <c r="Q337" s="552">
        <f t="shared" si="144"/>
        <v>71444.607379010456</v>
      </c>
      <c r="R337" s="552">
        <f t="shared" si="144"/>
        <v>73841.358266938943</v>
      </c>
      <c r="S337" s="552">
        <f t="shared" si="144"/>
        <v>76238.109155117621</v>
      </c>
      <c r="T337" s="552">
        <f t="shared" si="144"/>
        <v>78636.227751877595</v>
      </c>
      <c r="U337" s="552">
        <f t="shared" si="144"/>
        <v>80496.573987850687</v>
      </c>
      <c r="V337" s="552">
        <f t="shared" si="144"/>
        <v>82012.994204330942</v>
      </c>
      <c r="W337" s="552">
        <f t="shared" si="144"/>
        <v>83529.414420843255</v>
      </c>
      <c r="X337" s="552">
        <f t="shared" si="144"/>
        <v>85045.834637696127</v>
      </c>
      <c r="Y337" s="552">
        <f t="shared" si="144"/>
        <v>86562.097042460693</v>
      </c>
      <c r="Z337" s="552">
        <f t="shared" si="144"/>
        <v>88078.517260186811</v>
      </c>
      <c r="AA337" s="552">
        <f t="shared" si="144"/>
        <v>89594.779665976457</v>
      </c>
      <c r="AB337" s="552">
        <f t="shared" si="144"/>
        <v>91111.199884902177</v>
      </c>
      <c r="AC337" s="552">
        <f t="shared" si="144"/>
        <v>92627.620104581802</v>
      </c>
      <c r="AD337" s="552">
        <f t="shared" si="144"/>
        <v>94143.882512647935</v>
      </c>
      <c r="AE337" s="552">
        <f t="shared" si="144"/>
        <v>95660.302734219586</v>
      </c>
      <c r="AF337" s="552">
        <f t="shared" si="144"/>
        <v>97176.722956967875</v>
      </c>
      <c r="AG337" s="700">
        <f t="shared" si="144"/>
        <v>98692.985368583788</v>
      </c>
      <c r="AH337" s="18"/>
      <c r="AI337" s="18"/>
      <c r="AJ337" s="18"/>
      <c r="AK337" s="18"/>
      <c r="AL337" s="18"/>
      <c r="AM337" s="18"/>
      <c r="AN337" s="18"/>
    </row>
    <row r="338" spans="1:40" ht="21.9" customHeight="1" x14ac:dyDescent="0.25">
      <c r="B338" s="680"/>
      <c r="C338" s="690"/>
      <c r="D338" s="690"/>
      <c r="E338" s="114"/>
      <c r="F338" s="114" t="s">
        <v>333</v>
      </c>
      <c r="G338" s="114" t="s">
        <v>323</v>
      </c>
      <c r="H338" s="552">
        <f t="shared" ref="H338:AG338" si="145">H254/H297</f>
        <v>7661.0941616529308</v>
      </c>
      <c r="I338" s="552">
        <f t="shared" si="145"/>
        <v>7878.5281104251053</v>
      </c>
      <c r="J338" s="552">
        <f t="shared" si="145"/>
        <v>8119.8223353562244</v>
      </c>
      <c r="K338" s="552">
        <f t="shared" si="145"/>
        <v>8458.5031796239473</v>
      </c>
      <c r="L338" s="552">
        <f t="shared" si="145"/>
        <v>8797.2445062143397</v>
      </c>
      <c r="M338" s="552">
        <f t="shared" si="145"/>
        <v>9136.0563955144589</v>
      </c>
      <c r="N338" s="552">
        <f t="shared" si="145"/>
        <v>9474.7372397833624</v>
      </c>
      <c r="O338" s="552">
        <f t="shared" si="145"/>
        <v>9813.4382448270535</v>
      </c>
      <c r="P338" s="552">
        <f t="shared" si="145"/>
        <v>10194.124061955008</v>
      </c>
      <c r="Q338" s="552">
        <f t="shared" si="145"/>
        <v>10574.678834053191</v>
      </c>
      <c r="R338" s="552">
        <f t="shared" si="145"/>
        <v>10955.364651185415</v>
      </c>
      <c r="S338" s="552">
        <f t="shared" si="145"/>
        <v>11336.050468320869</v>
      </c>
      <c r="T338" s="552">
        <f t="shared" si="145"/>
        <v>11716.796767783091</v>
      </c>
      <c r="U338" s="552">
        <f t="shared" si="145"/>
        <v>12000.136287140185</v>
      </c>
      <c r="V338" s="552">
        <f t="shared" si="145"/>
        <v>12217.570235932588</v>
      </c>
      <c r="W338" s="552">
        <f t="shared" si="145"/>
        <v>12435.00418472423</v>
      </c>
      <c r="X338" s="552">
        <f t="shared" si="145"/>
        <v>12652.438133519658</v>
      </c>
      <c r="Y338" s="552">
        <f t="shared" si="145"/>
        <v>12869.761198061913</v>
      </c>
      <c r="Z338" s="552">
        <f t="shared" si="145"/>
        <v>13087.195146866949</v>
      </c>
      <c r="AA338" s="552">
        <f t="shared" si="145"/>
        <v>13304.518211420434</v>
      </c>
      <c r="AB338" s="552">
        <f t="shared" si="145"/>
        <v>13521.952160238523</v>
      </c>
      <c r="AC338" s="552">
        <f t="shared" si="145"/>
        <v>13739.386109064777</v>
      </c>
      <c r="AD338" s="552">
        <f t="shared" si="145"/>
        <v>13956.709173642843</v>
      </c>
      <c r="AE338" s="552">
        <f t="shared" si="145"/>
        <v>14174.143122489351</v>
      </c>
      <c r="AF338" s="552">
        <f t="shared" si="145"/>
        <v>14391.577071348409</v>
      </c>
      <c r="AG338" s="700">
        <f t="shared" si="145"/>
        <v>14608.900135964239</v>
      </c>
      <c r="AH338" s="18"/>
      <c r="AI338" s="18"/>
      <c r="AJ338" s="18"/>
      <c r="AK338" s="18"/>
      <c r="AL338" s="18"/>
      <c r="AM338" s="18"/>
      <c r="AN338" s="18"/>
    </row>
    <row r="339" spans="1:40" ht="21.9" customHeight="1" x14ac:dyDescent="0.25">
      <c r="B339" s="680"/>
      <c r="C339" s="690"/>
      <c r="D339" s="690"/>
      <c r="E339" s="114"/>
      <c r="F339" s="114" t="s">
        <v>323</v>
      </c>
      <c r="G339" s="114" t="s">
        <v>322</v>
      </c>
      <c r="H339" s="552">
        <f t="shared" ref="H339:AG339" si="146">H255/H298</f>
        <v>2307.5460487230357</v>
      </c>
      <c r="I339" s="552">
        <f t="shared" si="146"/>
        <v>2373.037849079557</v>
      </c>
      <c r="J339" s="552">
        <f t="shared" si="146"/>
        <v>2445.7164408801054</v>
      </c>
      <c r="K339" s="552">
        <f t="shared" si="146"/>
        <v>2547.7281937027424</v>
      </c>
      <c r="L339" s="552">
        <f t="shared" si="146"/>
        <v>2649.7581639944656</v>
      </c>
      <c r="M339" s="552">
        <f t="shared" si="146"/>
        <v>2751.8093880000774</v>
      </c>
      <c r="N339" s="552">
        <f t="shared" si="146"/>
        <v>2853.8211408236798</v>
      </c>
      <c r="O339" s="552">
        <f t="shared" si="146"/>
        <v>2955.8389661374445</v>
      </c>
      <c r="P339" s="552">
        <f t="shared" si="146"/>
        <v>3070.5027510479831</v>
      </c>
      <c r="Q339" s="552">
        <f t="shared" si="146"/>
        <v>3185.1270647777046</v>
      </c>
      <c r="R339" s="552">
        <f t="shared" si="146"/>
        <v>3299.790849691743</v>
      </c>
      <c r="S339" s="552">
        <f t="shared" si="146"/>
        <v>3414.4546346084294</v>
      </c>
      <c r="T339" s="552">
        <f t="shared" si="146"/>
        <v>3529.1366369975563</v>
      </c>
      <c r="U339" s="552">
        <f t="shared" si="146"/>
        <v>3614.4794058795724</v>
      </c>
      <c r="V339" s="552">
        <f t="shared" si="146"/>
        <v>3679.9712062526701</v>
      </c>
      <c r="W339" s="552">
        <f t="shared" si="146"/>
        <v>3745.4630066251393</v>
      </c>
      <c r="X339" s="552">
        <f t="shared" si="146"/>
        <v>3810.9548070007136</v>
      </c>
      <c r="Y339" s="552">
        <f t="shared" si="146"/>
        <v>3876.4132086871109</v>
      </c>
      <c r="Z339" s="552">
        <f t="shared" si="146"/>
        <v>3941.9050090705573</v>
      </c>
      <c r="AA339" s="552">
        <f t="shared" si="146"/>
        <v>4007.3634107661533</v>
      </c>
      <c r="AB339" s="552">
        <f t="shared" si="146"/>
        <v>4072.8552111602976</v>
      </c>
      <c r="AC339" s="552">
        <f t="shared" si="146"/>
        <v>4138.3470115611317</v>
      </c>
      <c r="AD339" s="552">
        <f t="shared" si="146"/>
        <v>4203.8054132768721</v>
      </c>
      <c r="AE339" s="552">
        <f t="shared" si="146"/>
        <v>4269.2972136943017</v>
      </c>
      <c r="AF339" s="552">
        <f t="shared" si="146"/>
        <v>4334.7890141220178</v>
      </c>
      <c r="AG339" s="700">
        <f t="shared" si="146"/>
        <v>4400.2474158687037</v>
      </c>
      <c r="AH339" s="18"/>
      <c r="AI339" s="18"/>
      <c r="AJ339" s="18"/>
      <c r="AK339" s="18"/>
      <c r="AL339" s="18"/>
      <c r="AM339" s="18"/>
      <c r="AN339" s="18"/>
    </row>
    <row r="340" spans="1:40" ht="21.9" customHeight="1" x14ac:dyDescent="0.25">
      <c r="B340" s="680"/>
      <c r="C340" s="690"/>
      <c r="D340" s="690"/>
      <c r="E340" s="114"/>
      <c r="F340" s="114" t="s">
        <v>322</v>
      </c>
      <c r="G340" s="114" t="s">
        <v>326</v>
      </c>
      <c r="H340" s="552">
        <f t="shared" ref="H340:AG340" si="147">H256/H299</f>
        <v>5920.6773618539564</v>
      </c>
      <c r="I340" s="552">
        <f t="shared" si="147"/>
        <v>6088.5680362449284</v>
      </c>
      <c r="J340" s="552">
        <f t="shared" si="147"/>
        <v>6279.8749896020745</v>
      </c>
      <c r="K340" s="552">
        <f t="shared" si="147"/>
        <v>6524.3200222818878</v>
      </c>
      <c r="L340" s="552">
        <f t="shared" si="147"/>
        <v>6768.8439973265786</v>
      </c>
      <c r="M340" s="552">
        <f t="shared" si="147"/>
        <v>7013.3285011889202</v>
      </c>
      <c r="N340" s="552">
        <f t="shared" si="147"/>
        <v>7257.7735338689254</v>
      </c>
      <c r="O340" s="552">
        <f t="shared" si="147"/>
        <v>7502.2679055270564</v>
      </c>
      <c r="P340" s="552">
        <f t="shared" si="147"/>
        <v>7778.605653596519</v>
      </c>
      <c r="Q340" s="552">
        <f t="shared" si="147"/>
        <v>8054.9335338706915</v>
      </c>
      <c r="R340" s="552">
        <f t="shared" si="147"/>
        <v>8331.2318107584142</v>
      </c>
      <c r="S340" s="552">
        <f t="shared" si="147"/>
        <v>8607.5695588290437</v>
      </c>
      <c r="T340" s="552">
        <f t="shared" si="147"/>
        <v>8883.9566458783556</v>
      </c>
      <c r="U340" s="552">
        <f t="shared" si="147"/>
        <v>9107.1464468322447</v>
      </c>
      <c r="V340" s="552">
        <f t="shared" si="147"/>
        <v>9275.0371212266018</v>
      </c>
      <c r="W340" s="552">
        <f t="shared" si="147"/>
        <v>9442.9277956207843</v>
      </c>
      <c r="X340" s="552">
        <f t="shared" si="147"/>
        <v>9610.8184700156071</v>
      </c>
      <c r="Y340" s="552">
        <f t="shared" si="147"/>
        <v>9778.6598054331607</v>
      </c>
      <c r="Z340" s="552">
        <f t="shared" si="147"/>
        <v>9946.5504798296024</v>
      </c>
      <c r="AA340" s="552">
        <f t="shared" si="147"/>
        <v>10114.391815249055</v>
      </c>
      <c r="AB340" s="552">
        <f t="shared" si="147"/>
        <v>10282.282489647716</v>
      </c>
      <c r="AC340" s="552">
        <f t="shared" si="147"/>
        <v>10450.173164047766</v>
      </c>
      <c r="AD340" s="552">
        <f t="shared" si="147"/>
        <v>10618.014499471406</v>
      </c>
      <c r="AE340" s="552">
        <f t="shared" si="147"/>
        <v>10785.905173874922</v>
      </c>
      <c r="AF340" s="552">
        <f t="shared" si="147"/>
        <v>10953.795848280584</v>
      </c>
      <c r="AG340" s="700">
        <f t="shared" si="147"/>
        <v>11121.637183710702</v>
      </c>
      <c r="AH340" s="18"/>
      <c r="AI340" s="18"/>
      <c r="AJ340" s="18"/>
      <c r="AK340" s="18"/>
      <c r="AL340" s="18"/>
      <c r="AM340" s="18"/>
      <c r="AN340" s="18"/>
    </row>
    <row r="341" spans="1:40" ht="21.9" customHeight="1" x14ac:dyDescent="0.25">
      <c r="B341" s="680"/>
      <c r="C341" s="690"/>
      <c r="D341" s="690"/>
      <c r="E341" s="114"/>
      <c r="F341" s="114" t="s">
        <v>326</v>
      </c>
      <c r="G341" s="114" t="s">
        <v>274</v>
      </c>
      <c r="H341" s="552">
        <f t="shared" ref="H341:AG341" si="148">H257/H300</f>
        <v>40363.099691006981</v>
      </c>
      <c r="I341" s="552">
        <f t="shared" si="148"/>
        <v>41507.662654578307</v>
      </c>
      <c r="J341" s="552">
        <f t="shared" si="148"/>
        <v>42811.86167742766</v>
      </c>
      <c r="K341" s="552">
        <f t="shared" si="148"/>
        <v>44478.319520003875</v>
      </c>
      <c r="L341" s="552">
        <f t="shared" si="148"/>
        <v>46145.315537242765</v>
      </c>
      <c r="M341" s="552">
        <f t="shared" si="148"/>
        <v>47812.042467150553</v>
      </c>
      <c r="N341" s="552">
        <f t="shared" si="148"/>
        <v>49478.500309727257</v>
      </c>
      <c r="O341" s="552">
        <f t="shared" si="148"/>
        <v>51145.294511468324</v>
      </c>
      <c r="P341" s="552">
        <f t="shared" si="148"/>
        <v>53029.174917714568</v>
      </c>
      <c r="Q341" s="552">
        <f t="shared" si="148"/>
        <v>54912.988052128807</v>
      </c>
      <c r="R341" s="552">
        <f t="shared" si="148"/>
        <v>56796.599371045486</v>
      </c>
      <c r="S341" s="552">
        <f t="shared" si="148"/>
        <v>58680.479777294691</v>
      </c>
      <c r="T341" s="552">
        <f t="shared" si="148"/>
        <v>60564.696542709629</v>
      </c>
      <c r="U341" s="552">
        <f t="shared" si="148"/>
        <v>62086.250857402978</v>
      </c>
      <c r="V341" s="552">
        <f t="shared" si="148"/>
        <v>63230.813820982781</v>
      </c>
      <c r="W341" s="552">
        <f t="shared" si="148"/>
        <v>64375.376784562162</v>
      </c>
      <c r="X341" s="552">
        <f t="shared" si="148"/>
        <v>65519.939748143122</v>
      </c>
      <c r="Y341" s="552">
        <f t="shared" si="148"/>
        <v>66664.166352561864</v>
      </c>
      <c r="Z341" s="552">
        <f t="shared" si="148"/>
        <v>67808.72931614687</v>
      </c>
      <c r="AA341" s="552">
        <f t="shared" si="148"/>
        <v>68952.955920570384</v>
      </c>
      <c r="AB341" s="552">
        <f t="shared" si="148"/>
        <v>70097.518884160978</v>
      </c>
      <c r="AC341" s="552">
        <f t="shared" si="148"/>
        <v>71242.081847755064</v>
      </c>
      <c r="AD341" s="552">
        <f t="shared" si="148"/>
        <v>72386.308452189071</v>
      </c>
      <c r="AE341" s="552">
        <f t="shared" si="148"/>
        <v>73530.871415791815</v>
      </c>
      <c r="AF341" s="552">
        <f t="shared" si="148"/>
        <v>74675.434379399958</v>
      </c>
      <c r="AG341" s="700">
        <f t="shared" si="148"/>
        <v>75819.66098385019</v>
      </c>
      <c r="AH341" s="18"/>
      <c r="AI341" s="18"/>
      <c r="AJ341" s="18"/>
      <c r="AK341" s="18"/>
      <c r="AL341" s="18"/>
      <c r="AM341" s="18"/>
      <c r="AN341" s="18"/>
    </row>
    <row r="342" spans="1:40" ht="21.9" customHeight="1" thickBot="1" x14ac:dyDescent="0.3">
      <c r="B342" s="680"/>
      <c r="C342" s="690"/>
      <c r="D342" s="690"/>
      <c r="E342" s="114"/>
      <c r="F342" s="114" t="s">
        <v>274</v>
      </c>
      <c r="G342" s="114" t="s">
        <v>317</v>
      </c>
      <c r="H342" s="710">
        <f t="shared" ref="H342:AG342" si="149">H258/H301</f>
        <v>1008.0552359163473</v>
      </c>
      <c r="I342" s="710">
        <f t="shared" si="149"/>
        <v>1036.6403222228153</v>
      </c>
      <c r="J342" s="710">
        <f t="shared" si="149"/>
        <v>1069.2122669917842</v>
      </c>
      <c r="K342" s="710">
        <f t="shared" si="149"/>
        <v>1110.8315075056989</v>
      </c>
      <c r="L342" s="710">
        <f t="shared" si="149"/>
        <v>1152.46418876194</v>
      </c>
      <c r="M342" s="710">
        <f t="shared" si="149"/>
        <v>1194.0901496560236</v>
      </c>
      <c r="N342" s="710">
        <f t="shared" si="149"/>
        <v>1235.709390190312</v>
      </c>
      <c r="O342" s="710">
        <f t="shared" si="149"/>
        <v>1277.337031196502</v>
      </c>
      <c r="P342" s="710">
        <f t="shared" si="149"/>
        <v>1324.3863292963235</v>
      </c>
      <c r="Q342" s="710">
        <f t="shared" si="149"/>
        <v>1371.4339473367843</v>
      </c>
      <c r="R342" s="710">
        <f t="shared" si="149"/>
        <v>1418.4765251387541</v>
      </c>
      <c r="S342" s="710">
        <f t="shared" si="149"/>
        <v>1465.525823360475</v>
      </c>
      <c r="T342" s="710">
        <f t="shared" si="149"/>
        <v>1512.5835221122331</v>
      </c>
      <c r="U342" s="710">
        <f t="shared" si="149"/>
        <v>1550.5838446560997</v>
      </c>
      <c r="V342" s="710">
        <f t="shared" si="149"/>
        <v>1579.1689313156201</v>
      </c>
      <c r="W342" s="710">
        <f t="shared" si="149"/>
        <v>1607.7540179574421</v>
      </c>
      <c r="X342" s="710">
        <f t="shared" si="149"/>
        <v>1636.3391046657487</v>
      </c>
      <c r="Y342" s="710">
        <f t="shared" si="149"/>
        <v>1664.9157909918492</v>
      </c>
      <c r="Z342" s="710">
        <f t="shared" si="149"/>
        <v>1693.5008778695983</v>
      </c>
      <c r="AA342" s="710">
        <f t="shared" si="149"/>
        <v>1722.0775643940692</v>
      </c>
      <c r="AB342" s="710">
        <f t="shared" si="149"/>
        <v>1750.6626515031858</v>
      </c>
      <c r="AC342" s="710">
        <f t="shared" si="149"/>
        <v>1779.247738757269</v>
      </c>
      <c r="AD342" s="710">
        <f t="shared" si="149"/>
        <v>1807.8244257188637</v>
      </c>
      <c r="AE342" s="710">
        <f t="shared" si="149"/>
        <v>1836.409513334537</v>
      </c>
      <c r="AF342" s="710">
        <f t="shared" si="149"/>
        <v>1864.9946011745412</v>
      </c>
      <c r="AG342" s="711">
        <f t="shared" si="149"/>
        <v>1893.5712888121109</v>
      </c>
      <c r="AH342" s="18"/>
      <c r="AI342" s="18"/>
      <c r="AJ342" s="18"/>
      <c r="AK342" s="18"/>
      <c r="AL342" s="18"/>
      <c r="AM342" s="18"/>
      <c r="AN342" s="18"/>
    </row>
    <row r="343" spans="1:40" ht="21.9" customHeight="1" thickBot="1" x14ac:dyDescent="0.3">
      <c r="A343" s="445"/>
      <c r="B343" s="682"/>
      <c r="C343" s="706"/>
      <c r="D343" s="706"/>
      <c r="E343" s="707" t="s">
        <v>25</v>
      </c>
      <c r="F343" s="707"/>
      <c r="G343" s="707"/>
      <c r="H343" s="708">
        <f t="shared" ref="H343:AG343" si="150">SUM(H323:H334,H336:H342)</f>
        <v>464526.70878173533</v>
      </c>
      <c r="I343" s="708">
        <f t="shared" si="150"/>
        <v>491291.7790090231</v>
      </c>
      <c r="J343" s="708">
        <f t="shared" si="150"/>
        <v>544944.95001737343</v>
      </c>
      <c r="K343" s="708">
        <f t="shared" si="150"/>
        <v>635712.89147933025</v>
      </c>
      <c r="L343" s="708">
        <f t="shared" si="150"/>
        <v>726526.83132372738</v>
      </c>
      <c r="M343" s="708">
        <f t="shared" si="150"/>
        <v>817345.71506211266</v>
      </c>
      <c r="N343" s="708">
        <f t="shared" si="150"/>
        <v>908113.69359289145</v>
      </c>
      <c r="O343" s="708">
        <f t="shared" si="150"/>
        <v>998976.13975269056</v>
      </c>
      <c r="P343" s="708">
        <f t="shared" si="150"/>
        <v>1084471.1585249212</v>
      </c>
      <c r="Q343" s="708">
        <f t="shared" si="150"/>
        <v>1169985.8743359372</v>
      </c>
      <c r="R343" s="708">
        <f t="shared" si="150"/>
        <v>1255479.2015866635</v>
      </c>
      <c r="S343" s="708">
        <f t="shared" si="150"/>
        <v>1340974.9175523212</v>
      </c>
      <c r="T343" s="708">
        <f t="shared" si="150"/>
        <v>1426569.4808357465</v>
      </c>
      <c r="U343" s="708">
        <f t="shared" si="150"/>
        <v>1475539.4570523498</v>
      </c>
      <c r="V343" s="708">
        <f t="shared" si="150"/>
        <v>1501066.7644523459</v>
      </c>
      <c r="W343" s="708">
        <f t="shared" si="150"/>
        <v>1526593.3998504849</v>
      </c>
      <c r="X343" s="708">
        <f t="shared" si="150"/>
        <v>1552120.3582033629</v>
      </c>
      <c r="Y343" s="708">
        <f t="shared" si="150"/>
        <v>1577673.0395989607</v>
      </c>
      <c r="Z343" s="708">
        <f t="shared" si="150"/>
        <v>1603200.8239846197</v>
      </c>
      <c r="AA343" s="708">
        <f t="shared" si="150"/>
        <v>1628754.72051045</v>
      </c>
      <c r="AB343" s="708">
        <f t="shared" si="150"/>
        <v>1654283.627397913</v>
      </c>
      <c r="AC343" s="708">
        <f t="shared" si="150"/>
        <v>1679813.2308423631</v>
      </c>
      <c r="AD343" s="708">
        <f t="shared" si="150"/>
        <v>1705368.9936753183</v>
      </c>
      <c r="AE343" s="708">
        <f t="shared" si="150"/>
        <v>1730900.3645376223</v>
      </c>
      <c r="AF343" s="708">
        <f t="shared" si="150"/>
        <v>1756432.8198225664</v>
      </c>
      <c r="AG343" s="709">
        <f t="shared" si="150"/>
        <v>1781992.1351280694</v>
      </c>
      <c r="AH343" s="18"/>
      <c r="AI343" s="18"/>
      <c r="AJ343" s="18"/>
      <c r="AK343" s="18"/>
      <c r="AL343" s="18"/>
      <c r="AM343" s="18"/>
      <c r="AN343" s="18"/>
    </row>
    <row r="344" spans="1:40" ht="21.9" customHeight="1" x14ac:dyDescent="0.25">
      <c r="B344" s="179" t="s">
        <v>210</v>
      </c>
      <c r="C344" s="114" t="s">
        <v>156</v>
      </c>
      <c r="D344" s="237" t="s">
        <v>23</v>
      </c>
      <c r="E344" s="1325" t="s">
        <v>315</v>
      </c>
      <c r="F344" s="217" t="s">
        <v>316</v>
      </c>
      <c r="G344" s="217" t="s">
        <v>276</v>
      </c>
      <c r="H344" s="701">
        <f t="shared" ref="H344:AG344" si="151">H302+H323</f>
        <v>7729.1874665658033</v>
      </c>
      <c r="I344" s="701">
        <f t="shared" si="151"/>
        <v>8080.6568918144685</v>
      </c>
      <c r="J344" s="701">
        <f t="shared" si="151"/>
        <v>8575.8537455452624</v>
      </c>
      <c r="K344" s="701">
        <f t="shared" si="151"/>
        <v>9304.2999225149961</v>
      </c>
      <c r="L344" s="701">
        <f t="shared" si="151"/>
        <v>10033.092499420243</v>
      </c>
      <c r="M344" s="701">
        <f t="shared" si="151"/>
        <v>10762.043327591367</v>
      </c>
      <c r="N344" s="701">
        <f t="shared" si="151"/>
        <v>11491.02438476012</v>
      </c>
      <c r="O344" s="701">
        <f t="shared" si="151"/>
        <v>12221.069821463367</v>
      </c>
      <c r="P344" s="701">
        <f t="shared" si="151"/>
        <v>12943.384521105236</v>
      </c>
      <c r="Q344" s="701">
        <f t="shared" si="151"/>
        <v>13667.351818432737</v>
      </c>
      <c r="R344" s="701">
        <f t="shared" si="151"/>
        <v>14393.622768070498</v>
      </c>
      <c r="S344" s="701">
        <f t="shared" si="151"/>
        <v>15123.776700446439</v>
      </c>
      <c r="T344" s="701">
        <f t="shared" si="151"/>
        <v>15860.496715839916</v>
      </c>
      <c r="U344" s="701">
        <f t="shared" si="151"/>
        <v>16362.994002522586</v>
      </c>
      <c r="V344" s="701">
        <f t="shared" si="151"/>
        <v>16729.074658175399</v>
      </c>
      <c r="W344" s="701">
        <f t="shared" si="151"/>
        <v>17098.588178746195</v>
      </c>
      <c r="X344" s="701">
        <f t="shared" si="151"/>
        <v>17472.243791708017</v>
      </c>
      <c r="Y344" s="701">
        <f t="shared" si="151"/>
        <v>17851.009104097233</v>
      </c>
      <c r="Z344" s="701">
        <f t="shared" si="151"/>
        <v>18235.607700546811</v>
      </c>
      <c r="AA344" s="701">
        <f t="shared" si="151"/>
        <v>18627.457362276058</v>
      </c>
      <c r="AB344" s="701">
        <f t="shared" si="151"/>
        <v>19027.63589814839</v>
      </c>
      <c r="AC344" s="701">
        <f t="shared" si="151"/>
        <v>19437.845247134239</v>
      </c>
      <c r="AD344" s="701">
        <f t="shared" si="151"/>
        <v>19860.054695498053</v>
      </c>
      <c r="AE344" s="701">
        <f t="shared" si="151"/>
        <v>20296.085297391652</v>
      </c>
      <c r="AF344" s="701">
        <f t="shared" si="151"/>
        <v>20748.518172935212</v>
      </c>
      <c r="AG344" s="702">
        <f t="shared" si="151"/>
        <v>21220.328652973694</v>
      </c>
      <c r="AH344" s="18"/>
      <c r="AI344" s="18"/>
      <c r="AJ344" s="18"/>
      <c r="AK344" s="18"/>
      <c r="AL344" s="18"/>
      <c r="AM344" s="18"/>
      <c r="AN344" s="18"/>
    </row>
    <row r="345" spans="1:40" ht="21.9" customHeight="1" x14ac:dyDescent="0.25">
      <c r="B345" s="680" t="s">
        <v>450</v>
      </c>
      <c r="C345" s="690"/>
      <c r="D345" s="690"/>
      <c r="E345" s="1327"/>
      <c r="F345" s="114" t="s">
        <v>276</v>
      </c>
      <c r="G345" s="114" t="s">
        <v>274</v>
      </c>
      <c r="H345" s="552">
        <f t="shared" ref="H345:AG345" si="152">H303+H324</f>
        <v>248534.35639268748</v>
      </c>
      <c r="I345" s="552">
        <f t="shared" si="152"/>
        <v>261653.35085719993</v>
      </c>
      <c r="J345" s="552">
        <f t="shared" si="152"/>
        <v>281346.6595461517</v>
      </c>
      <c r="K345" s="552">
        <f t="shared" si="152"/>
        <v>313883.36134210043</v>
      </c>
      <c r="L345" s="552">
        <f t="shared" si="152"/>
        <v>346436.24024655746</v>
      </c>
      <c r="M345" s="552">
        <f t="shared" si="152"/>
        <v>378990.75990457903</v>
      </c>
      <c r="N345" s="552">
        <f t="shared" si="152"/>
        <v>411540.13143218507</v>
      </c>
      <c r="O345" s="552">
        <f t="shared" si="152"/>
        <v>444135.13427734718</v>
      </c>
      <c r="P345" s="552">
        <f t="shared" si="152"/>
        <v>477051.8549036542</v>
      </c>
      <c r="Q345" s="552">
        <f t="shared" si="152"/>
        <v>510041.20912473847</v>
      </c>
      <c r="R345" s="552">
        <f t="shared" si="152"/>
        <v>543131.18457883305</v>
      </c>
      <c r="S345" s="552">
        <f t="shared" si="152"/>
        <v>576416.54643636942</v>
      </c>
      <c r="T345" s="552">
        <f t="shared" si="152"/>
        <v>610063.08091750217</v>
      </c>
      <c r="U345" s="552">
        <f t="shared" si="152"/>
        <v>630772.48812326731</v>
      </c>
      <c r="V345" s="552">
        <f t="shared" si="152"/>
        <v>644498.83093908313</v>
      </c>
      <c r="W345" s="552">
        <f t="shared" si="152"/>
        <v>658362.95734618232</v>
      </c>
      <c r="X345" s="552">
        <f t="shared" si="152"/>
        <v>672392.39021314972</v>
      </c>
      <c r="Y345" s="552">
        <f t="shared" si="152"/>
        <v>686627.47949215444</v>
      </c>
      <c r="Z345" s="552">
        <f t="shared" si="152"/>
        <v>701090.06804121251</v>
      </c>
      <c r="AA345" s="552">
        <f t="shared" si="152"/>
        <v>715840.53998863581</v>
      </c>
      <c r="AB345" s="552">
        <f t="shared" si="152"/>
        <v>730913.65955145785</v>
      </c>
      <c r="AC345" s="552">
        <f t="shared" si="152"/>
        <v>746377.1133593088</v>
      </c>
      <c r="AD345" s="552">
        <f t="shared" si="152"/>
        <v>762308.8041436245</v>
      </c>
      <c r="AE345" s="552">
        <f t="shared" si="152"/>
        <v>778770.30107500346</v>
      </c>
      <c r="AF345" s="552">
        <f t="shared" si="152"/>
        <v>795861.79789423151</v>
      </c>
      <c r="AG345" s="700">
        <f t="shared" si="152"/>
        <v>813698.45484208758</v>
      </c>
      <c r="AH345" s="18"/>
      <c r="AI345" s="18"/>
      <c r="AJ345" s="18"/>
      <c r="AK345" s="18"/>
      <c r="AL345" s="18"/>
      <c r="AM345" s="18"/>
      <c r="AN345" s="18"/>
    </row>
    <row r="346" spans="1:40" ht="21.9" customHeight="1" x14ac:dyDescent="0.25">
      <c r="B346" s="680"/>
      <c r="C346" s="690"/>
      <c r="D346" s="690"/>
      <c r="E346" s="1327"/>
      <c r="F346" s="114" t="s">
        <v>274</v>
      </c>
      <c r="G346" s="114" t="s">
        <v>317</v>
      </c>
      <c r="H346" s="552">
        <f t="shared" ref="H346:AG346" si="153">H304+H325</f>
        <v>5796.8799869015402</v>
      </c>
      <c r="I346" s="552">
        <f t="shared" si="153"/>
        <v>6038.9483671703838</v>
      </c>
      <c r="J346" s="552">
        <f t="shared" si="153"/>
        <v>6338.5511137390477</v>
      </c>
      <c r="K346" s="552">
        <f t="shared" si="153"/>
        <v>6741.9189452338151</v>
      </c>
      <c r="L346" s="552">
        <f t="shared" si="153"/>
        <v>7145.4330416557295</v>
      </c>
      <c r="M346" s="552">
        <f t="shared" si="153"/>
        <v>7548.901089941457</v>
      </c>
      <c r="N346" s="552">
        <f t="shared" si="153"/>
        <v>7952.2762177653422</v>
      </c>
      <c r="O346" s="552">
        <f t="shared" si="153"/>
        <v>8355.9470964504126</v>
      </c>
      <c r="P346" s="552">
        <f t="shared" si="153"/>
        <v>8747.0663421217796</v>
      </c>
      <c r="Q346" s="552">
        <f t="shared" si="153"/>
        <v>9138.3435391500389</v>
      </c>
      <c r="R346" s="552">
        <f t="shared" si="153"/>
        <v>9529.4950774832178</v>
      </c>
      <c r="S346" s="552">
        <f t="shared" si="153"/>
        <v>9920.6746953398251</v>
      </c>
      <c r="T346" s="552">
        <f t="shared" si="153"/>
        <v>10312.18456382061</v>
      </c>
      <c r="U346" s="552">
        <f t="shared" si="153"/>
        <v>10599.497720416426</v>
      </c>
      <c r="V346" s="552">
        <f t="shared" si="153"/>
        <v>10841.702077867954</v>
      </c>
      <c r="W346" s="552">
        <f t="shared" si="153"/>
        <v>11083.940531226839</v>
      </c>
      <c r="X346" s="552">
        <f t="shared" si="153"/>
        <v>11326.220572259681</v>
      </c>
      <c r="Y346" s="552">
        <f t="shared" si="153"/>
        <v>11568.647852419308</v>
      </c>
      <c r="Z346" s="552">
        <f t="shared" si="153"/>
        <v>11811.039519467329</v>
      </c>
      <c r="AA346" s="552">
        <f t="shared" si="153"/>
        <v>12053.601582611032</v>
      </c>
      <c r="AB346" s="552">
        <f t="shared" si="153"/>
        <v>12296.155239175545</v>
      </c>
      <c r="AC346" s="552">
        <f t="shared" si="153"/>
        <v>12538.814553545863</v>
      </c>
      <c r="AD346" s="552">
        <f t="shared" si="153"/>
        <v>12781.696712180172</v>
      </c>
      <c r="AE346" s="552">
        <f t="shared" si="153"/>
        <v>13024.631561028047</v>
      </c>
      <c r="AF346" s="552">
        <f t="shared" si="153"/>
        <v>13267.74348112418</v>
      </c>
      <c r="AG346" s="700">
        <f t="shared" si="153"/>
        <v>13511.161548778193</v>
      </c>
      <c r="AH346" s="18"/>
      <c r="AI346" s="18"/>
      <c r="AJ346" s="18"/>
      <c r="AK346" s="18"/>
      <c r="AL346" s="18"/>
      <c r="AM346" s="18"/>
      <c r="AN346" s="18"/>
    </row>
    <row r="347" spans="1:40" ht="21.9" customHeight="1" x14ac:dyDescent="0.25">
      <c r="B347" s="680"/>
      <c r="C347" s="690"/>
      <c r="D347" s="690"/>
      <c r="E347" s="1325" t="s">
        <v>274</v>
      </c>
      <c r="F347" s="217" t="s">
        <v>275</v>
      </c>
      <c r="G347" s="217" t="s">
        <v>318</v>
      </c>
      <c r="H347" s="558">
        <f t="shared" ref="H347:AG347" si="154">H305+H326</f>
        <v>65763.478261115772</v>
      </c>
      <c r="I347" s="558">
        <f t="shared" si="154"/>
        <v>72415.782905058426</v>
      </c>
      <c r="J347" s="558">
        <f t="shared" si="154"/>
        <v>87288.522335980917</v>
      </c>
      <c r="K347" s="558">
        <f t="shared" si="154"/>
        <v>117161.58247172119</v>
      </c>
      <c r="L347" s="558">
        <f t="shared" si="154"/>
        <v>147053.05782493978</v>
      </c>
      <c r="M347" s="558">
        <f t="shared" si="154"/>
        <v>176941.25487427693</v>
      </c>
      <c r="N347" s="558">
        <f t="shared" si="154"/>
        <v>206814.37496153795</v>
      </c>
      <c r="O347" s="558">
        <f t="shared" si="154"/>
        <v>236724.51294520305</v>
      </c>
      <c r="P347" s="558">
        <f t="shared" si="154"/>
        <v>266074.28511123848</v>
      </c>
      <c r="Q347" s="558">
        <f t="shared" si="154"/>
        <v>295440.53938149457</v>
      </c>
      <c r="R347" s="558">
        <f t="shared" si="154"/>
        <v>324796.2574665292</v>
      </c>
      <c r="S347" s="558">
        <f t="shared" si="154"/>
        <v>354161.87067115289</v>
      </c>
      <c r="T347" s="558">
        <f t="shared" si="154"/>
        <v>383585.77297277795</v>
      </c>
      <c r="U347" s="558">
        <f t="shared" si="154"/>
        <v>397948.44071096554</v>
      </c>
      <c r="V347" s="558">
        <f t="shared" si="154"/>
        <v>404620.31773437036</v>
      </c>
      <c r="W347" s="558">
        <f t="shared" si="154"/>
        <v>411295.69241253892</v>
      </c>
      <c r="X347" s="558">
        <f t="shared" si="154"/>
        <v>417975.11787972908</v>
      </c>
      <c r="Y347" s="558">
        <f t="shared" si="154"/>
        <v>424669.46942713438</v>
      </c>
      <c r="Z347" s="558">
        <f t="shared" si="154"/>
        <v>431358.97861661052</v>
      </c>
      <c r="AA347" s="558">
        <f t="shared" si="154"/>
        <v>438064.95914456737</v>
      </c>
      <c r="AB347" s="558">
        <f t="shared" si="154"/>
        <v>444767.80926668266</v>
      </c>
      <c r="AC347" s="558">
        <f t="shared" si="154"/>
        <v>451478.81923727971</v>
      </c>
      <c r="AD347" s="558">
        <f t="shared" si="154"/>
        <v>458209.46147135261</v>
      </c>
      <c r="AE347" s="558">
        <f t="shared" si="154"/>
        <v>464940.45567501691</v>
      </c>
      <c r="AF347" s="558">
        <f t="shared" si="154"/>
        <v>471683.56717088871</v>
      </c>
      <c r="AG347" s="703">
        <f t="shared" si="154"/>
        <v>478450.81527606922</v>
      </c>
      <c r="AH347" s="18"/>
      <c r="AI347" s="18"/>
      <c r="AJ347" s="18"/>
      <c r="AK347" s="18"/>
      <c r="AL347" s="18"/>
      <c r="AM347" s="18"/>
      <c r="AN347" s="18"/>
    </row>
    <row r="348" spans="1:40" ht="21.9" customHeight="1" x14ac:dyDescent="0.25">
      <c r="B348" s="680"/>
      <c r="C348" s="690"/>
      <c r="D348" s="690"/>
      <c r="E348" s="1327"/>
      <c r="F348" s="114" t="s">
        <v>318</v>
      </c>
      <c r="G348" s="114" t="s">
        <v>308</v>
      </c>
      <c r="H348" s="552">
        <f t="shared" ref="H348:AG348" si="155">H306+H327</f>
        <v>8848.4899221904034</v>
      </c>
      <c r="I348" s="552">
        <f t="shared" si="155"/>
        <v>9771.9868377121147</v>
      </c>
      <c r="J348" s="552">
        <f t="shared" si="155"/>
        <v>11046.875431843377</v>
      </c>
      <c r="K348" s="552">
        <f t="shared" si="155"/>
        <v>13388.461431750598</v>
      </c>
      <c r="L348" s="552">
        <f t="shared" si="155"/>
        <v>15732.646657799451</v>
      </c>
      <c r="M348" s="552">
        <f t="shared" si="155"/>
        <v>18085.159005128284</v>
      </c>
      <c r="N348" s="552">
        <f t="shared" si="155"/>
        <v>20463.212890585626</v>
      </c>
      <c r="O348" s="552">
        <f t="shared" si="155"/>
        <v>22921.702896008435</v>
      </c>
      <c r="P348" s="552">
        <f t="shared" si="155"/>
        <v>26880.188954962738</v>
      </c>
      <c r="Q348" s="552">
        <f t="shared" si="155"/>
        <v>32361.175878179496</v>
      </c>
      <c r="R348" s="552">
        <f t="shared" si="155"/>
        <v>42278.918136019274</v>
      </c>
      <c r="S348" s="552">
        <f t="shared" si="155"/>
        <v>63779.238877588781</v>
      </c>
      <c r="T348" s="552">
        <f t="shared" si="155"/>
        <v>90918.894539272398</v>
      </c>
      <c r="U348" s="552">
        <f t="shared" si="155"/>
        <v>96201.560539323604</v>
      </c>
      <c r="V348" s="552">
        <f t="shared" si="155"/>
        <v>98322.452725364303</v>
      </c>
      <c r="W348" s="552">
        <f t="shared" si="155"/>
        <v>100442.97933200297</v>
      </c>
      <c r="X348" s="552">
        <f t="shared" si="155"/>
        <v>102563.64279252518</v>
      </c>
      <c r="Y348" s="552">
        <f t="shared" si="155"/>
        <v>104685.99549947897</v>
      </c>
      <c r="Z348" s="552">
        <f t="shared" si="155"/>
        <v>106807.02541706375</v>
      </c>
      <c r="AA348" s="552">
        <f t="shared" si="155"/>
        <v>108929.8185118119</v>
      </c>
      <c r="AB348" s="552">
        <f t="shared" si="155"/>
        <v>111051.37690930188</v>
      </c>
      <c r="AC348" s="552">
        <f t="shared" si="155"/>
        <v>113173.27759483698</v>
      </c>
      <c r="AD348" s="552">
        <f t="shared" si="155"/>
        <v>115297.10999152824</v>
      </c>
      <c r="AE348" s="552">
        <f t="shared" si="155"/>
        <v>117419.90448950586</v>
      </c>
      <c r="AF348" s="552">
        <f t="shared" si="155"/>
        <v>119543.26873748633</v>
      </c>
      <c r="AG348" s="700">
        <f t="shared" si="155"/>
        <v>121668.82976202643</v>
      </c>
      <c r="AH348" s="18"/>
      <c r="AI348" s="18"/>
      <c r="AJ348" s="18"/>
      <c r="AK348" s="18"/>
      <c r="AL348" s="18"/>
      <c r="AM348" s="18"/>
      <c r="AN348" s="18"/>
    </row>
    <row r="349" spans="1:40" ht="21.9" customHeight="1" x14ac:dyDescent="0.25">
      <c r="B349" s="680"/>
      <c r="C349" s="690"/>
      <c r="D349" s="690"/>
      <c r="E349" s="1339"/>
      <c r="F349" s="250" t="s">
        <v>308</v>
      </c>
      <c r="G349" s="250" t="s">
        <v>319</v>
      </c>
      <c r="H349" s="562">
        <f t="shared" ref="H349:AG349" si="156">H307+H328</f>
        <v>125559.46488394152</v>
      </c>
      <c r="I349" s="562">
        <f t="shared" si="156"/>
        <v>129298.84195948513</v>
      </c>
      <c r="J349" s="562">
        <f t="shared" si="156"/>
        <v>134763.71428682527</v>
      </c>
      <c r="K349" s="562">
        <f t="shared" si="156"/>
        <v>142819.75301685371</v>
      </c>
      <c r="L349" s="562">
        <f t="shared" si="156"/>
        <v>151564.0457773144</v>
      </c>
      <c r="M349" s="562">
        <f t="shared" si="156"/>
        <v>161367.28869303904</v>
      </c>
      <c r="N349" s="562">
        <f t="shared" si="156"/>
        <v>172773.35740434137</v>
      </c>
      <c r="O349" s="562">
        <f t="shared" si="156"/>
        <v>186582.19091549522</v>
      </c>
      <c r="P349" s="562">
        <f t="shared" si="156"/>
        <v>204082.44793959323</v>
      </c>
      <c r="Q349" s="562">
        <f t="shared" si="156"/>
        <v>226759.75695798732</v>
      </c>
      <c r="R349" s="562">
        <f t="shared" si="156"/>
        <v>256799.41087837238</v>
      </c>
      <c r="S349" s="562">
        <f t="shared" si="156"/>
        <v>297210.63501489989</v>
      </c>
      <c r="T349" s="562">
        <f t="shared" si="156"/>
        <v>352079.19405828248</v>
      </c>
      <c r="U349" s="562">
        <f t="shared" si="156"/>
        <v>403036.83741010039</v>
      </c>
      <c r="V349" s="562">
        <f t="shared" si="156"/>
        <v>445497.93802874989</v>
      </c>
      <c r="W349" s="562">
        <f t="shared" si="156"/>
        <v>477530.93935508019</v>
      </c>
      <c r="X349" s="562">
        <f t="shared" si="156"/>
        <v>485272.51730524574</v>
      </c>
      <c r="Y349" s="562">
        <f t="shared" si="156"/>
        <v>493017.90487224236</v>
      </c>
      <c r="Z349" s="562">
        <f t="shared" si="156"/>
        <v>500759.75031408755</v>
      </c>
      <c r="AA349" s="562">
        <f t="shared" si="156"/>
        <v>508505.44613405102</v>
      </c>
      <c r="AB349" s="562">
        <f t="shared" si="156"/>
        <v>516247.64665636112</v>
      </c>
      <c r="AC349" s="562">
        <f t="shared" si="156"/>
        <v>523990.06452830543</v>
      </c>
      <c r="AD349" s="562">
        <f t="shared" si="156"/>
        <v>531736.41773450305</v>
      </c>
      <c r="AE349" s="562">
        <f t="shared" si="156"/>
        <v>539479.37141869066</v>
      </c>
      <c r="AF349" s="562">
        <f t="shared" si="156"/>
        <v>547222.64973636321</v>
      </c>
      <c r="AG349" s="704">
        <f t="shared" si="156"/>
        <v>554969.98448030138</v>
      </c>
      <c r="AH349" s="18"/>
      <c r="AI349" s="18"/>
      <c r="AJ349" s="18"/>
      <c r="AK349" s="18"/>
      <c r="AL349" s="18"/>
      <c r="AM349" s="18"/>
      <c r="AN349" s="18"/>
    </row>
    <row r="350" spans="1:40" ht="21.9" customHeight="1" x14ac:dyDescent="0.25">
      <c r="B350" s="680"/>
      <c r="C350" s="690"/>
      <c r="D350" s="690"/>
      <c r="E350" s="114" t="s">
        <v>320</v>
      </c>
      <c r="F350" s="114" t="s">
        <v>318</v>
      </c>
      <c r="G350" s="114" t="s">
        <v>308</v>
      </c>
      <c r="H350" s="552">
        <f t="shared" ref="H350:AG350" si="157">H308+H329</f>
        <v>397.10648148148141</v>
      </c>
      <c r="I350" s="552">
        <f t="shared" si="157"/>
        <v>3009.6700231481482</v>
      </c>
      <c r="J350" s="552">
        <f t="shared" si="157"/>
        <v>17436.548495908923</v>
      </c>
      <c r="K350" s="552">
        <f t="shared" si="157"/>
        <v>40160.575003187303</v>
      </c>
      <c r="L350" s="552">
        <f t="shared" si="157"/>
        <v>62899.61175532057</v>
      </c>
      <c r="M350" s="552">
        <f t="shared" si="157"/>
        <v>85659.998664049388</v>
      </c>
      <c r="N350" s="552">
        <f t="shared" si="157"/>
        <v>108650.04526325772</v>
      </c>
      <c r="O350" s="552">
        <f t="shared" si="157"/>
        <v>133457.62142767891</v>
      </c>
      <c r="P350" s="552">
        <f t="shared" si="157"/>
        <v>150403.54066006633</v>
      </c>
      <c r="Q350" s="552">
        <f t="shared" si="157"/>
        <v>173275.8753544582</v>
      </c>
      <c r="R350" s="552">
        <f t="shared" si="157"/>
        <v>208787.03090752655</v>
      </c>
      <c r="S350" s="552">
        <f t="shared" si="157"/>
        <v>269732.01949602127</v>
      </c>
      <c r="T350" s="552">
        <f t="shared" si="157"/>
        <v>379740.01955777145</v>
      </c>
      <c r="U350" s="552">
        <f t="shared" si="157"/>
        <v>416760.21228104056</v>
      </c>
      <c r="V350" s="552">
        <f t="shared" si="157"/>
        <v>422218.52621962351</v>
      </c>
      <c r="W350" s="552">
        <f t="shared" si="157"/>
        <v>427676.62491005455</v>
      </c>
      <c r="X350" s="552">
        <f t="shared" si="157"/>
        <v>433134.80048580817</v>
      </c>
      <c r="Y350" s="552">
        <f t="shared" si="157"/>
        <v>438614.63065533526</v>
      </c>
      <c r="Z350" s="552">
        <f t="shared" si="157"/>
        <v>444072.99239947664</v>
      </c>
      <c r="AA350" s="552">
        <f t="shared" si="157"/>
        <v>449553.02803764259</v>
      </c>
      <c r="AB350" s="552">
        <f t="shared" si="157"/>
        <v>455011.62035226135</v>
      </c>
      <c r="AC350" s="552">
        <f t="shared" si="157"/>
        <v>460470.34423125914</v>
      </c>
      <c r="AD350" s="552">
        <f t="shared" si="157"/>
        <v>465950.78722739103</v>
      </c>
      <c r="AE350" s="552">
        <f t="shared" si="157"/>
        <v>471409.83510070911</v>
      </c>
      <c r="AF350" s="552">
        <f t="shared" si="157"/>
        <v>476869.06431121402</v>
      </c>
      <c r="AG350" s="700">
        <f t="shared" si="157"/>
        <v>482350.06926169188</v>
      </c>
      <c r="AH350" s="18"/>
      <c r="AI350" s="18"/>
      <c r="AJ350" s="18"/>
      <c r="AK350" s="18"/>
      <c r="AL350" s="18"/>
      <c r="AM350" s="18"/>
      <c r="AN350" s="18"/>
    </row>
    <row r="351" spans="1:40" ht="21.9" customHeight="1" x14ac:dyDescent="0.25">
      <c r="B351" s="680"/>
      <c r="C351" s="690"/>
      <c r="D351" s="690"/>
      <c r="E351" s="1325" t="s">
        <v>308</v>
      </c>
      <c r="F351" s="217" t="s">
        <v>276</v>
      </c>
      <c r="G351" s="217" t="s">
        <v>320</v>
      </c>
      <c r="H351" s="558">
        <f t="shared" ref="H351:AG351" si="158">H309+H330</f>
        <v>1198.905109489051</v>
      </c>
      <c r="I351" s="558">
        <f t="shared" si="158"/>
        <v>2664.5666058394158</v>
      </c>
      <c r="J351" s="558">
        <f t="shared" si="158"/>
        <v>11261.9151459854</v>
      </c>
      <c r="K351" s="558">
        <f t="shared" si="158"/>
        <v>25316.080291971932</v>
      </c>
      <c r="L351" s="558">
        <f t="shared" si="158"/>
        <v>39378.038321313361</v>
      </c>
      <c r="M351" s="558">
        <f t="shared" si="158"/>
        <v>53440.595807103331</v>
      </c>
      <c r="N351" s="558">
        <f t="shared" si="158"/>
        <v>67494.761003473541</v>
      </c>
      <c r="O351" s="558">
        <f t="shared" si="158"/>
        <v>81565.111751914897</v>
      </c>
      <c r="P351" s="558">
        <f t="shared" si="158"/>
        <v>92415.204285157481</v>
      </c>
      <c r="Q351" s="558">
        <f t="shared" si="158"/>
        <v>103267.098022146</v>
      </c>
      <c r="R351" s="558">
        <f t="shared" si="158"/>
        <v>114117.20100719389</v>
      </c>
      <c r="S351" s="558">
        <f t="shared" si="158"/>
        <v>124967.32246853947</v>
      </c>
      <c r="T351" s="558">
        <f t="shared" si="158"/>
        <v>135831.87240782398</v>
      </c>
      <c r="U351" s="558">
        <f t="shared" si="158"/>
        <v>141216.81857160493</v>
      </c>
      <c r="V351" s="558">
        <f t="shared" si="158"/>
        <v>142682.50214424095</v>
      </c>
      <c r="W351" s="558">
        <f t="shared" si="158"/>
        <v>144148.18810430038</v>
      </c>
      <c r="X351" s="558">
        <f t="shared" si="158"/>
        <v>145613.8766824351</v>
      </c>
      <c r="Y351" s="558">
        <f t="shared" si="158"/>
        <v>147083.76438616531</v>
      </c>
      <c r="Z351" s="558">
        <f t="shared" si="158"/>
        <v>148549.45897933331</v>
      </c>
      <c r="AA351" s="558">
        <f t="shared" si="158"/>
        <v>150019.35328198146</v>
      </c>
      <c r="AB351" s="558">
        <f t="shared" si="158"/>
        <v>151485.05506695382</v>
      </c>
      <c r="AC351" s="558">
        <f t="shared" si="158"/>
        <v>152950.7609445136</v>
      </c>
      <c r="AD351" s="558">
        <f t="shared" si="158"/>
        <v>154420.66759960086</v>
      </c>
      <c r="AE351" s="558">
        <f t="shared" si="158"/>
        <v>155886.38281767844</v>
      </c>
      <c r="AF351" s="558">
        <f t="shared" si="158"/>
        <v>157352.10333149429</v>
      </c>
      <c r="AG351" s="703">
        <f t="shared" si="158"/>
        <v>158822.02596842652</v>
      </c>
      <c r="AH351" s="18"/>
      <c r="AI351" s="18"/>
      <c r="AJ351" s="18"/>
      <c r="AK351" s="18"/>
      <c r="AL351" s="18"/>
      <c r="AM351" s="18"/>
      <c r="AN351" s="18"/>
    </row>
    <row r="352" spans="1:40" ht="21.9" customHeight="1" x14ac:dyDescent="0.25">
      <c r="B352" s="680"/>
      <c r="C352" s="690"/>
      <c r="D352" s="690"/>
      <c r="E352" s="1327"/>
      <c r="F352" s="114" t="s">
        <v>320</v>
      </c>
      <c r="G352" s="114" t="s">
        <v>282</v>
      </c>
      <c r="H352" s="552">
        <f t="shared" ref="H352:AG352" si="159">H310+H331</f>
        <v>0</v>
      </c>
      <c r="I352" s="552">
        <f t="shared" si="159"/>
        <v>815.61070559610721</v>
      </c>
      <c r="J352" s="552">
        <f t="shared" si="159"/>
        <v>2335.8046228710464</v>
      </c>
      <c r="K352" s="552">
        <f t="shared" si="159"/>
        <v>5250.7425790756597</v>
      </c>
      <c r="L352" s="552">
        <f t="shared" si="159"/>
        <v>8167.2968370131402</v>
      </c>
      <c r="M352" s="552">
        <f t="shared" si="159"/>
        <v>11083.97542665847</v>
      </c>
      <c r="N352" s="552">
        <f t="shared" si="159"/>
        <v>13998.913393313032</v>
      </c>
      <c r="O352" s="552">
        <f t="shared" si="159"/>
        <v>16917.208363360129</v>
      </c>
      <c r="P352" s="552">
        <f t="shared" si="159"/>
        <v>19167.597925810442</v>
      </c>
      <c r="Q352" s="552">
        <f t="shared" si="159"/>
        <v>21418.361071259911</v>
      </c>
      <c r="R352" s="552">
        <f t="shared" si="159"/>
        <v>23668.752801492064</v>
      </c>
      <c r="S352" s="552">
        <f t="shared" si="159"/>
        <v>25919.148363845226</v>
      </c>
      <c r="T352" s="552">
        <f t="shared" si="159"/>
        <v>28172.536499400529</v>
      </c>
      <c r="U352" s="552">
        <f t="shared" si="159"/>
        <v>29289.414222258802</v>
      </c>
      <c r="V352" s="552">
        <f t="shared" si="159"/>
        <v>29593.407852138866</v>
      </c>
      <c r="W352" s="552">
        <f t="shared" si="159"/>
        <v>29897.401977188223</v>
      </c>
      <c r="X352" s="552">
        <f t="shared" si="159"/>
        <v>30201.396645245804</v>
      </c>
      <c r="Y352" s="552">
        <f t="shared" si="159"/>
        <v>30506.26224305651</v>
      </c>
      <c r="Z352" s="552">
        <f t="shared" si="159"/>
        <v>30810.258158676537</v>
      </c>
      <c r="AA352" s="552">
        <f t="shared" si="159"/>
        <v>31115.12512515171</v>
      </c>
      <c r="AB352" s="552">
        <f t="shared" si="159"/>
        <v>31419.122532405239</v>
      </c>
      <c r="AC352" s="552">
        <f t="shared" si="159"/>
        <v>31723.120788491702</v>
      </c>
      <c r="AD352" s="552">
        <f t="shared" si="159"/>
        <v>32027.990316954256</v>
      </c>
      <c r="AE352" s="552">
        <f t="shared" si="159"/>
        <v>32331.990510333308</v>
      </c>
      <c r="AF352" s="552">
        <f t="shared" si="159"/>
        <v>32635.991802087701</v>
      </c>
      <c r="AG352" s="700">
        <f t="shared" si="159"/>
        <v>32940.864645303278</v>
      </c>
      <c r="AH352" s="18"/>
      <c r="AI352" s="18"/>
      <c r="AJ352" s="18"/>
      <c r="AK352" s="18"/>
      <c r="AL352" s="18"/>
      <c r="AM352" s="18"/>
      <c r="AN352" s="18"/>
    </row>
    <row r="353" spans="1:40" ht="21.9" customHeight="1" x14ac:dyDescent="0.25">
      <c r="B353" s="680"/>
      <c r="C353" s="690"/>
      <c r="D353" s="690"/>
      <c r="E353" s="1327"/>
      <c r="F353" s="114" t="s">
        <v>282</v>
      </c>
      <c r="G353" s="114" t="s">
        <v>321</v>
      </c>
      <c r="H353" s="552">
        <f t="shared" ref="H353:AG353" si="160">H311+H332</f>
        <v>0</v>
      </c>
      <c r="I353" s="552">
        <f t="shared" si="160"/>
        <v>2126.4136253041361</v>
      </c>
      <c r="J353" s="552">
        <f t="shared" si="160"/>
        <v>6089.7763381995128</v>
      </c>
      <c r="K353" s="552">
        <f t="shared" si="160"/>
        <v>13689.436009732968</v>
      </c>
      <c r="L353" s="552">
        <f t="shared" si="160"/>
        <v>21293.309610784258</v>
      </c>
      <c r="M353" s="552">
        <f t="shared" si="160"/>
        <v>28897.507362359574</v>
      </c>
      <c r="N353" s="552">
        <f t="shared" si="160"/>
        <v>36497.167061137545</v>
      </c>
      <c r="O353" s="552">
        <f t="shared" si="160"/>
        <v>44105.578947331764</v>
      </c>
      <c r="P353" s="552">
        <f t="shared" si="160"/>
        <v>49972.666020862933</v>
      </c>
      <c r="Q353" s="552">
        <f t="shared" si="160"/>
        <v>55840.72707864191</v>
      </c>
      <c r="R353" s="552">
        <f t="shared" si="160"/>
        <v>61707.819803890015</v>
      </c>
      <c r="S353" s="552">
        <f t="shared" si="160"/>
        <v>67574.922520025022</v>
      </c>
      <c r="T353" s="552">
        <f t="shared" si="160"/>
        <v>73449.827302008503</v>
      </c>
      <c r="U353" s="552">
        <f t="shared" si="160"/>
        <v>76361.687079460433</v>
      </c>
      <c r="V353" s="552">
        <f t="shared" si="160"/>
        <v>77154.241900219175</v>
      </c>
      <c r="W353" s="552">
        <f t="shared" si="160"/>
        <v>77946.798011955019</v>
      </c>
      <c r="X353" s="552">
        <f t="shared" si="160"/>
        <v>78739.355539390832</v>
      </c>
      <c r="Y353" s="552">
        <f t="shared" si="160"/>
        <v>79534.183705111616</v>
      </c>
      <c r="Z353" s="552">
        <f t="shared" si="160"/>
        <v>80326.744485120973</v>
      </c>
      <c r="AA353" s="552">
        <f t="shared" si="160"/>
        <v>81121.576219145514</v>
      </c>
      <c r="AB353" s="552">
        <f t="shared" si="160"/>
        <v>81914.140888056514</v>
      </c>
      <c r="AC353" s="552">
        <f t="shared" si="160"/>
        <v>82706.707769996225</v>
      </c>
      <c r="AD353" s="552">
        <f t="shared" si="160"/>
        <v>83501.546183487866</v>
      </c>
      <c r="AE353" s="552">
        <f t="shared" si="160"/>
        <v>84294.118116226105</v>
      </c>
      <c r="AF353" s="552">
        <f t="shared" si="160"/>
        <v>85086.692912585801</v>
      </c>
      <c r="AG353" s="700">
        <f t="shared" si="160"/>
        <v>85881.53996811212</v>
      </c>
      <c r="AH353" s="18"/>
      <c r="AI353" s="18"/>
      <c r="AJ353" s="18"/>
      <c r="AK353" s="18"/>
      <c r="AL353" s="18"/>
      <c r="AM353" s="18"/>
      <c r="AN353" s="18"/>
    </row>
    <row r="354" spans="1:40" ht="21.9" customHeight="1" x14ac:dyDescent="0.25">
      <c r="B354" s="680"/>
      <c r="C354" s="690"/>
      <c r="D354" s="690"/>
      <c r="E354" s="1339"/>
      <c r="F354" s="250" t="s">
        <v>321</v>
      </c>
      <c r="G354" s="250" t="s">
        <v>274</v>
      </c>
      <c r="H354" s="562">
        <f t="shared" ref="H354:AG354" si="161">H312+H333</f>
        <v>2797.4452554744526</v>
      </c>
      <c r="I354" s="562">
        <f t="shared" si="161"/>
        <v>4170.1516423357662</v>
      </c>
      <c r="J354" s="562">
        <f t="shared" si="161"/>
        <v>5871.2781021897808</v>
      </c>
      <c r="K354" s="562">
        <f t="shared" si="161"/>
        <v>10171.697445255475</v>
      </c>
      <c r="L354" s="562">
        <f t="shared" si="161"/>
        <v>14472.583029197107</v>
      </c>
      <c r="M354" s="562">
        <f t="shared" si="161"/>
        <v>18775.613321168403</v>
      </c>
      <c r="N354" s="562">
        <f t="shared" si="161"/>
        <v>23076.032664238599</v>
      </c>
      <c r="O354" s="562">
        <f t="shared" si="161"/>
        <v>27375.053284704438</v>
      </c>
      <c r="P354" s="562">
        <f t="shared" si="161"/>
        <v>38317.81989184086</v>
      </c>
      <c r="Q354" s="562">
        <f t="shared" si="161"/>
        <v>49256.297101353739</v>
      </c>
      <c r="R354" s="562">
        <f t="shared" si="161"/>
        <v>60193.935227699883</v>
      </c>
      <c r="S354" s="562">
        <f t="shared" si="161"/>
        <v>71136.702843070714</v>
      </c>
      <c r="T354" s="562">
        <f t="shared" si="161"/>
        <v>82078.075318700285</v>
      </c>
      <c r="U354" s="562">
        <f t="shared" si="161"/>
        <v>90418.296359212181</v>
      </c>
      <c r="V354" s="562">
        <f t="shared" si="161"/>
        <v>91791.005774260469</v>
      </c>
      <c r="W354" s="562">
        <f t="shared" si="161"/>
        <v>93163.715677560234</v>
      </c>
      <c r="X354" s="562">
        <f t="shared" si="161"/>
        <v>94536.426139014598</v>
      </c>
      <c r="Y354" s="562">
        <f t="shared" si="161"/>
        <v>95904.941053790186</v>
      </c>
      <c r="Z354" s="562">
        <f t="shared" si="161"/>
        <v>97277.652874384497</v>
      </c>
      <c r="AA354" s="562">
        <f t="shared" si="161"/>
        <v>98646.169329991753</v>
      </c>
      <c r="AB354" s="562">
        <f t="shared" si="161"/>
        <v>100018.88290496351</v>
      </c>
      <c r="AC354" s="562">
        <f t="shared" si="161"/>
        <v>101391.59753722884</v>
      </c>
      <c r="AD354" s="562">
        <f t="shared" si="161"/>
        <v>102760.11716603776</v>
      </c>
      <c r="AE354" s="562">
        <f t="shared" si="161"/>
        <v>104132.83433818573</v>
      </c>
      <c r="AF354" s="562">
        <f t="shared" si="161"/>
        <v>105505.55302985874</v>
      </c>
      <c r="AG354" s="704">
        <f t="shared" si="161"/>
        <v>106874.07721755569</v>
      </c>
      <c r="AH354" s="18"/>
      <c r="AI354" s="18"/>
      <c r="AJ354" s="18"/>
      <c r="AK354" s="18"/>
      <c r="AL354" s="18"/>
      <c r="AM354" s="18"/>
      <c r="AN354" s="18"/>
    </row>
    <row r="355" spans="1:40" ht="21.9" customHeight="1" x14ac:dyDescent="0.25">
      <c r="B355" s="680"/>
      <c r="C355" s="690"/>
      <c r="D355" s="690"/>
      <c r="E355" s="114" t="s">
        <v>282</v>
      </c>
      <c r="F355" s="114" t="s">
        <v>308</v>
      </c>
      <c r="G355" s="114" t="s">
        <v>324</v>
      </c>
      <c r="H355" s="568">
        <f t="shared" ref="H355:AG355" si="162">H313+H334</f>
        <v>23633.09448058578</v>
      </c>
      <c r="I355" s="568">
        <f t="shared" si="162"/>
        <v>25086.268028903316</v>
      </c>
      <c r="J355" s="568">
        <f t="shared" si="162"/>
        <v>27009.34767579535</v>
      </c>
      <c r="K355" s="568">
        <f t="shared" si="162"/>
        <v>29565.011220557259</v>
      </c>
      <c r="L355" s="568">
        <f t="shared" si="162"/>
        <v>32121.472183138583</v>
      </c>
      <c r="M355" s="568">
        <f t="shared" si="162"/>
        <v>34683.467860256365</v>
      </c>
      <c r="N355" s="568">
        <f t="shared" si="162"/>
        <v>37239.201403421932</v>
      </c>
      <c r="O355" s="568">
        <f t="shared" si="162"/>
        <v>39797.76805342907</v>
      </c>
      <c r="P355" s="568">
        <f t="shared" si="162"/>
        <v>42130.874021566407</v>
      </c>
      <c r="Q355" s="568">
        <f t="shared" si="162"/>
        <v>44462.199718041295</v>
      </c>
      <c r="R355" s="568">
        <f t="shared" si="162"/>
        <v>46795.93379712876</v>
      </c>
      <c r="S355" s="568">
        <f t="shared" si="162"/>
        <v>49130.022735093225</v>
      </c>
      <c r="T355" s="568">
        <f t="shared" si="162"/>
        <v>51473.14433030384</v>
      </c>
      <c r="U355" s="568">
        <f t="shared" si="162"/>
        <v>53173.71924606125</v>
      </c>
      <c r="V355" s="568">
        <f t="shared" si="162"/>
        <v>54629.356193550047</v>
      </c>
      <c r="W355" s="568">
        <f t="shared" si="162"/>
        <v>56085.743856540532</v>
      </c>
      <c r="X355" s="568">
        <f t="shared" si="162"/>
        <v>57543.082156750243</v>
      </c>
      <c r="Y355" s="568">
        <f t="shared" si="162"/>
        <v>59003.199119005847</v>
      </c>
      <c r="Z355" s="568">
        <f t="shared" si="162"/>
        <v>60463.233270405057</v>
      </c>
      <c r="AA355" s="568">
        <f t="shared" si="162"/>
        <v>61928.700641346688</v>
      </c>
      <c r="AB355" s="568">
        <f t="shared" si="162"/>
        <v>63392.91388566768</v>
      </c>
      <c r="AC355" s="568">
        <f t="shared" si="162"/>
        <v>64859.972912607642</v>
      </c>
      <c r="AD355" s="568">
        <f t="shared" si="162"/>
        <v>66332.118244644764</v>
      </c>
      <c r="AE355" s="568">
        <f t="shared" si="162"/>
        <v>67806.932311945056</v>
      </c>
      <c r="AF355" s="568">
        <f t="shared" si="162"/>
        <v>69286.925716258731</v>
      </c>
      <c r="AG355" s="705">
        <f t="shared" si="162"/>
        <v>70776.822927236237</v>
      </c>
      <c r="AH355" s="18"/>
      <c r="AI355" s="18"/>
      <c r="AJ355" s="18"/>
      <c r="AK355" s="18"/>
      <c r="AL355" s="18"/>
      <c r="AM355" s="18"/>
      <c r="AN355" s="18"/>
    </row>
    <row r="356" spans="1:40" ht="21.9" customHeight="1" x14ac:dyDescent="0.25">
      <c r="B356" s="680"/>
      <c r="C356" s="690"/>
      <c r="D356" s="690"/>
      <c r="E356" s="273" t="s">
        <v>321</v>
      </c>
      <c r="F356" s="273" t="s">
        <v>318</v>
      </c>
      <c r="G356" s="273" t="s">
        <v>308</v>
      </c>
      <c r="H356" s="552" t="e">
        <f t="shared" ref="H356:AG356" si="163">H314+H335</f>
        <v>#DIV/0!</v>
      </c>
      <c r="I356" s="552" t="e">
        <f t="shared" si="163"/>
        <v>#DIV/0!</v>
      </c>
      <c r="J356" s="552" t="e">
        <f t="shared" si="163"/>
        <v>#DIV/0!</v>
      </c>
      <c r="K356" s="552" t="e">
        <f t="shared" si="163"/>
        <v>#DIV/0!</v>
      </c>
      <c r="L356" s="552" t="e">
        <f t="shared" si="163"/>
        <v>#DIV/0!</v>
      </c>
      <c r="M356" s="552" t="e">
        <f t="shared" si="163"/>
        <v>#DIV/0!</v>
      </c>
      <c r="N356" s="552" t="e">
        <f t="shared" si="163"/>
        <v>#DIV/0!</v>
      </c>
      <c r="O356" s="552" t="e">
        <f t="shared" si="163"/>
        <v>#DIV/0!</v>
      </c>
      <c r="P356" s="552" t="e">
        <f t="shared" si="163"/>
        <v>#DIV/0!</v>
      </c>
      <c r="Q356" s="552" t="e">
        <f t="shared" si="163"/>
        <v>#DIV/0!</v>
      </c>
      <c r="R356" s="552" t="e">
        <f t="shared" si="163"/>
        <v>#DIV/0!</v>
      </c>
      <c r="S356" s="552" t="e">
        <f t="shared" si="163"/>
        <v>#DIV/0!</v>
      </c>
      <c r="T356" s="552" t="e">
        <f t="shared" si="163"/>
        <v>#DIV/0!</v>
      </c>
      <c r="U356" s="552" t="e">
        <f t="shared" si="163"/>
        <v>#DIV/0!</v>
      </c>
      <c r="V356" s="552" t="e">
        <f t="shared" si="163"/>
        <v>#DIV/0!</v>
      </c>
      <c r="W356" s="552" t="e">
        <f t="shared" si="163"/>
        <v>#DIV/0!</v>
      </c>
      <c r="X356" s="552" t="e">
        <f t="shared" si="163"/>
        <v>#DIV/0!</v>
      </c>
      <c r="Y356" s="552" t="e">
        <f t="shared" si="163"/>
        <v>#DIV/0!</v>
      </c>
      <c r="Z356" s="552" t="e">
        <f t="shared" si="163"/>
        <v>#DIV/0!</v>
      </c>
      <c r="AA356" s="552" t="e">
        <f t="shared" si="163"/>
        <v>#DIV/0!</v>
      </c>
      <c r="AB356" s="552" t="e">
        <f t="shared" si="163"/>
        <v>#DIV/0!</v>
      </c>
      <c r="AC356" s="552" t="e">
        <f t="shared" si="163"/>
        <v>#DIV/0!</v>
      </c>
      <c r="AD356" s="552" t="e">
        <f t="shared" si="163"/>
        <v>#DIV/0!</v>
      </c>
      <c r="AE356" s="552" t="e">
        <f t="shared" si="163"/>
        <v>#DIV/0!</v>
      </c>
      <c r="AF356" s="552" t="e">
        <f t="shared" si="163"/>
        <v>#DIV/0!</v>
      </c>
      <c r="AG356" s="700" t="e">
        <f t="shared" si="163"/>
        <v>#DIV/0!</v>
      </c>
      <c r="AH356" s="18"/>
      <c r="AI356" s="18"/>
      <c r="AJ356" s="18"/>
      <c r="AK356" s="18"/>
      <c r="AL356" s="18"/>
      <c r="AM356" s="18"/>
      <c r="AN356" s="18"/>
    </row>
    <row r="357" spans="1:40" ht="21.9" customHeight="1" x14ac:dyDescent="0.25">
      <c r="B357" s="680"/>
      <c r="C357" s="690"/>
      <c r="D357" s="690"/>
      <c r="E357" s="273" t="s">
        <v>333</v>
      </c>
      <c r="F357" s="273" t="s">
        <v>319</v>
      </c>
      <c r="G357" s="273" t="s">
        <v>308</v>
      </c>
      <c r="H357" s="568">
        <f t="shared" ref="H357:AG357" si="164">H315+H336</f>
        <v>38197.078466007326</v>
      </c>
      <c r="I357" s="568">
        <f t="shared" si="164"/>
        <v>38721.779763803679</v>
      </c>
      <c r="J357" s="568">
        <f t="shared" si="164"/>
        <v>39628.818791838828</v>
      </c>
      <c r="K357" s="568">
        <f t="shared" si="164"/>
        <v>40874.315517841576</v>
      </c>
      <c r="L357" s="568">
        <f t="shared" si="164"/>
        <v>42120.684888907825</v>
      </c>
      <c r="M357" s="568">
        <f t="shared" si="164"/>
        <v>43369.308493461765</v>
      </c>
      <c r="N357" s="568">
        <f t="shared" si="164"/>
        <v>44616.176487885066</v>
      </c>
      <c r="O357" s="568">
        <f t="shared" si="164"/>
        <v>45868.15664254452</v>
      </c>
      <c r="P357" s="568">
        <f t="shared" si="164"/>
        <v>46736.938420110149</v>
      </c>
      <c r="Q357" s="568">
        <f t="shared" si="164"/>
        <v>47606.376235203563</v>
      </c>
      <c r="R357" s="568">
        <f t="shared" si="164"/>
        <v>48476.569086080985</v>
      </c>
      <c r="S357" s="568">
        <f t="shared" si="164"/>
        <v>49347.3113494504</v>
      </c>
      <c r="T357" s="568">
        <f t="shared" si="164"/>
        <v>50225.144563928057</v>
      </c>
      <c r="U357" s="568">
        <f t="shared" si="164"/>
        <v>50753.455398561593</v>
      </c>
      <c r="V357" s="568">
        <f t="shared" si="164"/>
        <v>51282.187270734794</v>
      </c>
      <c r="W357" s="568">
        <f t="shared" si="164"/>
        <v>51811.381050785356</v>
      </c>
      <c r="X357" s="568">
        <f t="shared" si="164"/>
        <v>52341.081063577003</v>
      </c>
      <c r="Y357" s="568">
        <f t="shared" si="164"/>
        <v>52874.98472114186</v>
      </c>
      <c r="Z357" s="568">
        <f t="shared" si="164"/>
        <v>53405.849774515169</v>
      </c>
      <c r="AA357" s="568">
        <f t="shared" si="164"/>
        <v>53939.42245189994</v>
      </c>
      <c r="AB357" s="568">
        <f t="shared" si="164"/>
        <v>54471.677785010077</v>
      </c>
      <c r="AC357" s="568">
        <f t="shared" si="164"/>
        <v>55004.723559207203</v>
      </c>
      <c r="AD357" s="568">
        <f t="shared" si="164"/>
        <v>55542.306655750363</v>
      </c>
      <c r="AE357" s="568">
        <f t="shared" si="164"/>
        <v>56077.159567186623</v>
      </c>
      <c r="AF357" s="568">
        <f t="shared" si="164"/>
        <v>56613.034734769157</v>
      </c>
      <c r="AG357" s="705">
        <f t="shared" si="164"/>
        <v>57152.088004066471</v>
      </c>
      <c r="AH357" s="18"/>
      <c r="AI357" s="18"/>
      <c r="AJ357" s="18"/>
      <c r="AK357" s="18"/>
      <c r="AL357" s="18"/>
      <c r="AM357" s="18"/>
      <c r="AN357" s="18"/>
    </row>
    <row r="358" spans="1:40" ht="21.9" customHeight="1" x14ac:dyDescent="0.25">
      <c r="B358" s="680"/>
      <c r="C358" s="690"/>
      <c r="D358" s="690"/>
      <c r="E358" s="114" t="s">
        <v>319</v>
      </c>
      <c r="F358" s="114" t="s">
        <v>276</v>
      </c>
      <c r="G358" s="114" t="s">
        <v>333</v>
      </c>
      <c r="H358" s="552">
        <f t="shared" ref="H358:AG358" si="165">H316+H337</f>
        <v>78280.009329269713</v>
      </c>
      <c r="I358" s="552">
        <f t="shared" si="165"/>
        <v>80536.588663159433</v>
      </c>
      <c r="J358" s="552">
        <f t="shared" si="165"/>
        <v>82979.083742464209</v>
      </c>
      <c r="K358" s="552">
        <f t="shared" si="165"/>
        <v>86219.488973189727</v>
      </c>
      <c r="L358" s="552">
        <f t="shared" si="165"/>
        <v>89460.444183401996</v>
      </c>
      <c r="M358" s="552">
        <f t="shared" si="165"/>
        <v>92702.73297056045</v>
      </c>
      <c r="N358" s="552">
        <f t="shared" si="165"/>
        <v>95943.146904288398</v>
      </c>
      <c r="O358" s="552">
        <f t="shared" si="165"/>
        <v>99184.427195162862</v>
      </c>
      <c r="P358" s="552">
        <f t="shared" si="165"/>
        <v>102751.04933618143</v>
      </c>
      <c r="Q358" s="552">
        <f t="shared" si="165"/>
        <v>106316.50910134685</v>
      </c>
      <c r="R358" s="552">
        <f t="shared" si="165"/>
        <v>109883.15916453424</v>
      </c>
      <c r="S358" s="552">
        <f t="shared" si="165"/>
        <v>113449.83086761467</v>
      </c>
      <c r="T358" s="552">
        <f t="shared" si="165"/>
        <v>117018.56675792123</v>
      </c>
      <c r="U358" s="552">
        <f t="shared" si="165"/>
        <v>119787.04786154658</v>
      </c>
      <c r="V358" s="552">
        <f t="shared" si="165"/>
        <v>122043.73481914308</v>
      </c>
      <c r="W358" s="552">
        <f t="shared" si="165"/>
        <v>124300.44396078319</v>
      </c>
      <c r="X358" s="552">
        <f t="shared" si="165"/>
        <v>126557.17926163421</v>
      </c>
      <c r="Y358" s="552">
        <f t="shared" si="165"/>
        <v>128813.71045616941</v>
      </c>
      <c r="Z358" s="552">
        <f t="shared" si="165"/>
        <v>131070.51256322782</v>
      </c>
      <c r="AA358" s="552">
        <f t="shared" si="165"/>
        <v>133327.12195163732</v>
      </c>
      <c r="AB358" s="552">
        <f t="shared" si="165"/>
        <v>135584.01535304615</v>
      </c>
      <c r="AC358" s="552">
        <f t="shared" si="165"/>
        <v>137840.96591269207</v>
      </c>
      <c r="AD358" s="552">
        <f t="shared" si="165"/>
        <v>140097.74789206393</v>
      </c>
      <c r="AE358" s="552">
        <f t="shared" si="165"/>
        <v>142354.84149254093</v>
      </c>
      <c r="AF358" s="552">
        <f t="shared" si="165"/>
        <v>144612.02369669895</v>
      </c>
      <c r="AG358" s="700">
        <f t="shared" si="165"/>
        <v>146869.07305334028</v>
      </c>
      <c r="AH358" s="18"/>
      <c r="AI358" s="18"/>
      <c r="AJ358" s="18"/>
      <c r="AK358" s="18"/>
      <c r="AL358" s="18"/>
      <c r="AM358" s="18"/>
      <c r="AN358" s="18"/>
    </row>
    <row r="359" spans="1:40" ht="21.9" customHeight="1" x14ac:dyDescent="0.25">
      <c r="B359" s="680"/>
      <c r="C359" s="690"/>
      <c r="D359" s="690"/>
      <c r="E359" s="114"/>
      <c r="F359" s="114" t="s">
        <v>333</v>
      </c>
      <c r="G359" s="114" t="s">
        <v>323</v>
      </c>
      <c r="H359" s="552">
        <f t="shared" ref="H359:AG359" si="166">H317+H338</f>
        <v>11400.437782222565</v>
      </c>
      <c r="I359" s="552">
        <f t="shared" si="166"/>
        <v>11724.000221011778</v>
      </c>
      <c r="J359" s="552">
        <f t="shared" si="166"/>
        <v>12083.06903042028</v>
      </c>
      <c r="K359" s="552">
        <f t="shared" si="166"/>
        <v>12587.058426842868</v>
      </c>
      <c r="L359" s="552">
        <f t="shared" si="166"/>
        <v>13091.137848784898</v>
      </c>
      <c r="M359" s="552">
        <f t="shared" si="166"/>
        <v>13595.322306167503</v>
      </c>
      <c r="N359" s="552">
        <f t="shared" si="166"/>
        <v>14099.311800085041</v>
      </c>
      <c r="O359" s="552">
        <f t="shared" si="166"/>
        <v>14603.331356264347</v>
      </c>
      <c r="P359" s="552">
        <f t="shared" si="166"/>
        <v>15169.828437975215</v>
      </c>
      <c r="Q359" s="552">
        <f t="shared" si="166"/>
        <v>15736.130661249987</v>
      </c>
      <c r="R359" s="552">
        <f t="shared" si="166"/>
        <v>16302.628099596561</v>
      </c>
      <c r="S359" s="552">
        <f t="shared" si="166"/>
        <v>16869.125822989739</v>
      </c>
      <c r="T359" s="552">
        <f t="shared" si="166"/>
        <v>17435.713937548928</v>
      </c>
      <c r="U359" s="552">
        <f t="shared" si="166"/>
        <v>17857.351468331635</v>
      </c>
      <c r="V359" s="552">
        <f t="shared" si="166"/>
        <v>18180.915159416094</v>
      </c>
      <c r="W359" s="552">
        <f t="shared" si="166"/>
        <v>18504.479097296215</v>
      </c>
      <c r="X359" s="552">
        <f t="shared" si="166"/>
        <v>18828.043324421287</v>
      </c>
      <c r="Y359" s="552">
        <f t="shared" si="166"/>
        <v>19151.442882082854</v>
      </c>
      <c r="Z359" s="552">
        <f t="shared" si="166"/>
        <v>19475.007841115694</v>
      </c>
      <c r="AA359" s="552">
        <f t="shared" si="166"/>
        <v>19798.408250293367</v>
      </c>
      <c r="AB359" s="552">
        <f t="shared" si="166"/>
        <v>20121.974198515862</v>
      </c>
      <c r="AC359" s="552">
        <f t="shared" si="166"/>
        <v>20445.540761468044</v>
      </c>
      <c r="AD359" s="552">
        <f t="shared" si="166"/>
        <v>20768.943025014618</v>
      </c>
      <c r="AE359" s="552">
        <f t="shared" si="166"/>
        <v>21092.511114393601</v>
      </c>
      <c r="AF359" s="552">
        <f t="shared" si="166"/>
        <v>21416.080142934457</v>
      </c>
      <c r="AG359" s="700">
        <f t="shared" si="166"/>
        <v>21739.485237948207</v>
      </c>
      <c r="AH359" s="18"/>
      <c r="AI359" s="18"/>
      <c r="AJ359" s="18"/>
      <c r="AK359" s="18"/>
      <c r="AL359" s="18"/>
      <c r="AM359" s="18"/>
      <c r="AN359" s="18"/>
    </row>
    <row r="360" spans="1:40" ht="21.9" customHeight="1" x14ac:dyDescent="0.25">
      <c r="B360" s="680"/>
      <c r="C360" s="690"/>
      <c r="D360" s="690"/>
      <c r="E360" s="114"/>
      <c r="F360" s="114" t="s">
        <v>323</v>
      </c>
      <c r="G360" s="114" t="s">
        <v>322</v>
      </c>
      <c r="H360" s="552">
        <f t="shared" ref="H360:AG360" si="167">H318+H339</f>
        <v>3433.8483209342858</v>
      </c>
      <c r="I360" s="552">
        <f t="shared" si="167"/>
        <v>3531.3063694879775</v>
      </c>
      <c r="J360" s="552">
        <f t="shared" si="167"/>
        <v>3639.4590541383932</v>
      </c>
      <c r="K360" s="552">
        <f t="shared" si="167"/>
        <v>3791.2622944819923</v>
      </c>
      <c r="L360" s="552">
        <f t="shared" si="167"/>
        <v>3943.092662233938</v>
      </c>
      <c r="M360" s="552">
        <f t="shared" si="167"/>
        <v>4094.9546832734477</v>
      </c>
      <c r="N360" s="552">
        <f t="shared" si="167"/>
        <v>4246.7580035081864</v>
      </c>
      <c r="O360" s="552">
        <f t="shared" si="167"/>
        <v>4398.5704102615491</v>
      </c>
      <c r="P360" s="552">
        <f t="shared" si="167"/>
        <v>4569.2013130102168</v>
      </c>
      <c r="Q360" s="552">
        <f t="shared" si="167"/>
        <v>4739.7736010189374</v>
      </c>
      <c r="R360" s="552">
        <f t="shared" si="167"/>
        <v>4910.4047960087373</v>
      </c>
      <c r="S360" s="552">
        <f t="shared" si="167"/>
        <v>5081.0362245767774</v>
      </c>
      <c r="T360" s="552">
        <f t="shared" si="167"/>
        <v>5251.6950801781377</v>
      </c>
      <c r="U360" s="552">
        <f t="shared" si="167"/>
        <v>5378.6943472404309</v>
      </c>
      <c r="V360" s="552">
        <f t="shared" si="167"/>
        <v>5476.1534219734112</v>
      </c>
      <c r="W360" s="552">
        <f t="shared" si="167"/>
        <v>5573.6126989403265</v>
      </c>
      <c r="X360" s="552">
        <f t="shared" si="167"/>
        <v>5671.0722129257765</v>
      </c>
      <c r="Y360" s="552">
        <f t="shared" si="167"/>
        <v>5768.4823025216501</v>
      </c>
      <c r="Z360" s="552">
        <f t="shared" si="167"/>
        <v>5865.9424162607083</v>
      </c>
      <c r="AA360" s="552">
        <f t="shared" si="167"/>
        <v>5963.3532036218994</v>
      </c>
      <c r="AB360" s="552">
        <f t="shared" si="167"/>
        <v>6060.8141279413267</v>
      </c>
      <c r="AC360" s="552">
        <f t="shared" si="167"/>
        <v>6158.2755559940924</v>
      </c>
      <c r="AD360" s="552">
        <f t="shared" si="167"/>
        <v>6255.6878628970826</v>
      </c>
      <c r="AE360" s="552">
        <f t="shared" si="167"/>
        <v>6353.1505417631652</v>
      </c>
      <c r="AF360" s="552">
        <f t="shared" si="167"/>
        <v>6450.6139902149152</v>
      </c>
      <c r="AG360" s="700">
        <f t="shared" si="167"/>
        <v>6548.0286173319164</v>
      </c>
      <c r="AH360" s="18"/>
      <c r="AI360" s="18"/>
      <c r="AJ360" s="18"/>
      <c r="AK360" s="18"/>
      <c r="AL360" s="18"/>
      <c r="AM360" s="18"/>
      <c r="AN360" s="18"/>
    </row>
    <row r="361" spans="1:40" ht="21.9" customHeight="1" x14ac:dyDescent="0.25">
      <c r="B361" s="680"/>
      <c r="C361" s="690"/>
      <c r="D361" s="690"/>
      <c r="E361" s="114"/>
      <c r="F361" s="114" t="s">
        <v>322</v>
      </c>
      <c r="G361" s="114" t="s">
        <v>326</v>
      </c>
      <c r="H361" s="552">
        <f t="shared" ref="H361:AG361" si="168">H319+H340</f>
        <v>8810.531796712874</v>
      </c>
      <c r="I361" s="552">
        <f t="shared" si="168"/>
        <v>9060.3691127620968</v>
      </c>
      <c r="J361" s="552">
        <f t="shared" si="168"/>
        <v>9345.0520836105425</v>
      </c>
      <c r="K361" s="552">
        <f t="shared" si="168"/>
        <v>9708.8095809397528</v>
      </c>
      <c r="L361" s="552">
        <f t="shared" si="168"/>
        <v>10072.684555763755</v>
      </c>
      <c r="M361" s="552">
        <f t="shared" si="168"/>
        <v>10436.500798904592</v>
      </c>
      <c r="N361" s="552">
        <f t="shared" si="168"/>
        <v>10800.258312310603</v>
      </c>
      <c r="O361" s="552">
        <f t="shared" si="168"/>
        <v>11164.089256545276</v>
      </c>
      <c r="P361" s="552">
        <f t="shared" si="168"/>
        <v>11575.306197999951</v>
      </c>
      <c r="Q361" s="552">
        <f t="shared" si="168"/>
        <v>11986.508478432728</v>
      </c>
      <c r="R361" s="552">
        <f t="shared" si="168"/>
        <v>12397.666737939287</v>
      </c>
      <c r="S361" s="552">
        <f t="shared" si="168"/>
        <v>12808.883777326171</v>
      </c>
      <c r="T361" s="552">
        <f t="shared" si="168"/>
        <v>13220.174295493773</v>
      </c>
      <c r="U361" s="552">
        <f t="shared" si="168"/>
        <v>13552.302199962967</v>
      </c>
      <c r="V361" s="552">
        <f t="shared" si="168"/>
        <v>13802.139722201126</v>
      </c>
      <c r="W361" s="552">
        <f t="shared" si="168"/>
        <v>14051.977285931709</v>
      </c>
      <c r="X361" s="552">
        <f t="shared" si="168"/>
        <v>14301.814898422479</v>
      </c>
      <c r="Y361" s="552">
        <f t="shared" si="168"/>
        <v>14551.579146838299</v>
      </c>
      <c r="Z361" s="552">
        <f t="shared" si="168"/>
        <v>14801.416883215599</v>
      </c>
      <c r="AA361" s="552">
        <f t="shared" si="168"/>
        <v>15051.181276152151</v>
      </c>
      <c r="AB361" s="552">
        <f t="shared" si="168"/>
        <v>15301.019180782423</v>
      </c>
      <c r="AC361" s="552">
        <f t="shared" si="168"/>
        <v>15550.857190314353</v>
      </c>
      <c r="AD361" s="552">
        <f t="shared" si="168"/>
        <v>15800.621899845381</v>
      </c>
      <c r="AE361" s="552">
        <f t="shared" si="168"/>
        <v>16050.460170759208</v>
      </c>
      <c r="AF361" s="552">
        <f t="shared" si="168"/>
        <v>16300.29860296868</v>
      </c>
      <c r="AG361" s="700">
        <f t="shared" si="168"/>
        <v>16550.063799009629</v>
      </c>
      <c r="AH361" s="18"/>
      <c r="AI361" s="18"/>
      <c r="AJ361" s="18"/>
      <c r="AK361" s="18"/>
      <c r="AL361" s="18"/>
      <c r="AM361" s="18"/>
      <c r="AN361" s="18"/>
    </row>
    <row r="362" spans="1:40" ht="21.9" customHeight="1" x14ac:dyDescent="0.25">
      <c r="B362" s="680"/>
      <c r="C362" s="690"/>
      <c r="D362" s="690"/>
      <c r="E362" s="114"/>
      <c r="F362" s="114" t="s">
        <v>326</v>
      </c>
      <c r="G362" s="114" t="s">
        <v>274</v>
      </c>
      <c r="H362" s="552">
        <f t="shared" ref="H362:AG362" si="169">H320+H341</f>
        <v>60064.136465598429</v>
      </c>
      <c r="I362" s="552">
        <f t="shared" si="169"/>
        <v>61767.355168825023</v>
      </c>
      <c r="J362" s="552">
        <f t="shared" si="169"/>
        <v>63708.127535640131</v>
      </c>
      <c r="K362" s="552">
        <f t="shared" si="169"/>
        <v>66187.975536268277</v>
      </c>
      <c r="L362" s="552">
        <f t="shared" si="169"/>
        <v>68668.624401414942</v>
      </c>
      <c r="M362" s="552">
        <f t="shared" si="169"/>
        <v>71148.872852004308</v>
      </c>
      <c r="N362" s="552">
        <f t="shared" si="169"/>
        <v>73628.720892918616</v>
      </c>
      <c r="O362" s="552">
        <f t="shared" si="169"/>
        <v>76109.069492686336</v>
      </c>
      <c r="P362" s="552">
        <f t="shared" si="169"/>
        <v>78912.463090797522</v>
      </c>
      <c r="Q362" s="552">
        <f t="shared" si="169"/>
        <v>81715.756640144915</v>
      </c>
      <c r="R362" s="552">
        <f t="shared" si="169"/>
        <v>84518.749948327706</v>
      </c>
      <c r="S362" s="552">
        <f t="shared" si="169"/>
        <v>87322.143791843002</v>
      </c>
      <c r="T362" s="552">
        <f t="shared" si="169"/>
        <v>90126.038314372621</v>
      </c>
      <c r="U362" s="552">
        <f t="shared" si="169"/>
        <v>92390.256607081421</v>
      </c>
      <c r="V362" s="552">
        <f t="shared" si="169"/>
        <v>94093.475826987866</v>
      </c>
      <c r="W362" s="552">
        <f t="shared" si="169"/>
        <v>95796.695150868371</v>
      </c>
      <c r="X362" s="552">
        <f t="shared" si="169"/>
        <v>97499.91459693489</v>
      </c>
      <c r="Y362" s="552">
        <f t="shared" si="169"/>
        <v>99202.63365142321</v>
      </c>
      <c r="Z362" s="552">
        <f t="shared" si="169"/>
        <v>100905.85340793154</v>
      </c>
      <c r="AA362" s="552">
        <f t="shared" si="169"/>
        <v>102608.57282456808</v>
      </c>
      <c r="AB362" s="552">
        <f t="shared" si="169"/>
        <v>104311.79300269426</v>
      </c>
      <c r="AC362" s="552">
        <f t="shared" si="169"/>
        <v>106015.01344368892</v>
      </c>
      <c r="AD362" s="552">
        <f t="shared" si="169"/>
        <v>107717.73365366572</v>
      </c>
      <c r="AE362" s="552">
        <f t="shared" si="169"/>
        <v>109420.95474964587</v>
      </c>
      <c r="AF362" s="552">
        <f t="shared" si="169"/>
        <v>111124.17624980977</v>
      </c>
      <c r="AG362" s="700">
        <f t="shared" si="169"/>
        <v>112826.89767891055</v>
      </c>
      <c r="AH362" s="18"/>
      <c r="AI362" s="18"/>
      <c r="AJ362" s="18"/>
      <c r="AK362" s="18"/>
      <c r="AL362" s="18"/>
      <c r="AM362" s="18"/>
      <c r="AN362" s="18"/>
    </row>
    <row r="363" spans="1:40" ht="21.9" customHeight="1" thickBot="1" x14ac:dyDescent="0.3">
      <c r="B363" s="680"/>
      <c r="C363" s="690"/>
      <c r="D363" s="690"/>
      <c r="E363" s="114"/>
      <c r="F363" s="114" t="s">
        <v>274</v>
      </c>
      <c r="G363" s="114" t="s">
        <v>317</v>
      </c>
      <c r="H363" s="552">
        <f t="shared" ref="H363:AG363" si="170">H321+H342</f>
        <v>1500.0830564292053</v>
      </c>
      <c r="I363" s="552">
        <f t="shared" si="170"/>
        <v>1542.6206970041326</v>
      </c>
      <c r="J363" s="552">
        <f t="shared" si="170"/>
        <v>1591.0913271609174</v>
      </c>
      <c r="K363" s="552">
        <f t="shared" si="170"/>
        <v>1653.0255790936376</v>
      </c>
      <c r="L363" s="552">
        <f t="shared" si="170"/>
        <v>1714.980222283463</v>
      </c>
      <c r="M363" s="552">
        <f t="shared" si="170"/>
        <v>1776.9254072623949</v>
      </c>
      <c r="N363" s="552">
        <f t="shared" si="170"/>
        <v>1838.861337414517</v>
      </c>
      <c r="O363" s="552">
        <f t="shared" si="170"/>
        <v>1900.8107839873219</v>
      </c>
      <c r="P363" s="552">
        <f t="shared" si="170"/>
        <v>1970.8303039901414</v>
      </c>
      <c r="Q363" s="552">
        <f t="shared" si="170"/>
        <v>2040.849745413655</v>
      </c>
      <c r="R363" s="552">
        <f t="shared" si="170"/>
        <v>2110.8649989294072</v>
      </c>
      <c r="S363" s="552">
        <f t="shared" si="170"/>
        <v>2180.8947418411367</v>
      </c>
      <c r="T363" s="552">
        <f t="shared" si="170"/>
        <v>2250.943006774366</v>
      </c>
      <c r="U363" s="552">
        <f t="shared" si="170"/>
        <v>2307.5145385494761</v>
      </c>
      <c r="V363" s="552">
        <f t="shared" si="170"/>
        <v>2350.0737026937231</v>
      </c>
      <c r="W363" s="552">
        <f t="shared" si="170"/>
        <v>2392.6371981333941</v>
      </c>
      <c r="X363" s="552">
        <f t="shared" si="170"/>
        <v>2435.2057835323271</v>
      </c>
      <c r="Y363" s="552">
        <f t="shared" si="170"/>
        <v>2477.7678207706026</v>
      </c>
      <c r="Z363" s="552">
        <f t="shared" si="170"/>
        <v>2520.3493383884343</v>
      </c>
      <c r="AA363" s="552">
        <f t="shared" si="170"/>
        <v>2562.9264618005363</v>
      </c>
      <c r="AB363" s="552">
        <f t="shared" si="170"/>
        <v>2605.5255429432427</v>
      </c>
      <c r="AC363" s="552">
        <f t="shared" si="170"/>
        <v>2648.1355745184419</v>
      </c>
      <c r="AD363" s="552">
        <f t="shared" si="170"/>
        <v>2690.7457464705576</v>
      </c>
      <c r="AE363" s="552">
        <f t="shared" si="170"/>
        <v>2733.3830630767343</v>
      </c>
      <c r="AF363" s="552">
        <f t="shared" si="170"/>
        <v>2776.0372169498569</v>
      </c>
      <c r="AG363" s="700">
        <f t="shared" si="170"/>
        <v>2818.698174508042</v>
      </c>
      <c r="AH363" s="18"/>
      <c r="AI363" s="18"/>
      <c r="AJ363" s="18"/>
      <c r="AK363" s="18"/>
      <c r="AL363" s="18"/>
      <c r="AM363" s="18"/>
      <c r="AN363" s="18"/>
    </row>
    <row r="364" spans="1:40" ht="21.9" customHeight="1" thickBot="1" x14ac:dyDescent="0.3">
      <c r="A364" s="445"/>
      <c r="B364" s="683"/>
      <c r="C364" s="712"/>
      <c r="D364" s="712"/>
      <c r="E364" s="713" t="s">
        <v>181</v>
      </c>
      <c r="F364" s="713"/>
      <c r="G364" s="713"/>
      <c r="H364" s="714">
        <f t="shared" ref="H364:AG364" si="171">SUM(H344:H355,H357:H363)</f>
        <v>691944.53345760773</v>
      </c>
      <c r="I364" s="714">
        <f t="shared" si="171"/>
        <v>732016.26844562148</v>
      </c>
      <c r="J364" s="714">
        <f t="shared" si="171"/>
        <v>812339.54840630898</v>
      </c>
      <c r="K364" s="714">
        <f t="shared" si="171"/>
        <v>948474.85558861319</v>
      </c>
      <c r="L364" s="714">
        <f t="shared" si="171"/>
        <v>1085368.4765472447</v>
      </c>
      <c r="M364" s="714">
        <f t="shared" si="171"/>
        <v>1223361.182847786</v>
      </c>
      <c r="N364" s="714">
        <f t="shared" si="171"/>
        <v>1363163.731818428</v>
      </c>
      <c r="O364" s="714">
        <f t="shared" si="171"/>
        <v>1507387.3549178392</v>
      </c>
      <c r="P364" s="714">
        <f t="shared" si="171"/>
        <v>1649872.5476780445</v>
      </c>
      <c r="Q364" s="714">
        <f t="shared" si="171"/>
        <v>1805070.8395086944</v>
      </c>
      <c r="R364" s="714">
        <f t="shared" si="171"/>
        <v>1984799.6052816557</v>
      </c>
      <c r="S364" s="714">
        <f t="shared" si="171"/>
        <v>2212132.1073980341</v>
      </c>
      <c r="T364" s="714">
        <f t="shared" si="171"/>
        <v>2509093.3751397217</v>
      </c>
      <c r="U364" s="714">
        <f t="shared" si="171"/>
        <v>2664168.5886875074</v>
      </c>
      <c r="V364" s="714">
        <f t="shared" si="171"/>
        <v>2745808.0361707942</v>
      </c>
      <c r="W364" s="714">
        <f t="shared" si="171"/>
        <v>2817164.7961361147</v>
      </c>
      <c r="X364" s="714">
        <f t="shared" si="171"/>
        <v>2864405.3813447095</v>
      </c>
      <c r="Y364" s="714">
        <f t="shared" si="171"/>
        <v>2911908.0883909394</v>
      </c>
      <c r="Z364" s="714">
        <f t="shared" si="171"/>
        <v>2959607.7420010399</v>
      </c>
      <c r="AA364" s="714">
        <f t="shared" si="171"/>
        <v>3007656.7617791859</v>
      </c>
      <c r="AB364" s="714">
        <f t="shared" si="171"/>
        <v>3056002.8383423695</v>
      </c>
      <c r="AC364" s="714">
        <f t="shared" si="171"/>
        <v>3104761.9507023906</v>
      </c>
      <c r="AD364" s="714">
        <f t="shared" si="171"/>
        <v>3154060.5582225109</v>
      </c>
      <c r="AE364" s="714">
        <f t="shared" si="171"/>
        <v>3203875.303411081</v>
      </c>
      <c r="AF364" s="714">
        <f t="shared" si="171"/>
        <v>3254356.1409308729</v>
      </c>
      <c r="AG364" s="715">
        <f t="shared" si="171"/>
        <v>3305669.3091156767</v>
      </c>
      <c r="AH364" s="18"/>
      <c r="AI364" s="18"/>
      <c r="AJ364" s="18"/>
      <c r="AK364" s="18"/>
      <c r="AL364" s="18"/>
      <c r="AM364" s="18"/>
      <c r="AN364" s="18"/>
    </row>
    <row r="365" spans="1:40" ht="21.75" customHeight="1" x14ac:dyDescent="0.25">
      <c r="C365" s="114"/>
      <c r="D365" s="114"/>
      <c r="E365" s="237"/>
      <c r="F365" s="237"/>
      <c r="G365" s="237"/>
      <c r="H365" s="716"/>
      <c r="I365" s="716"/>
      <c r="J365" s="716"/>
      <c r="K365" s="716"/>
      <c r="L365" s="716"/>
      <c r="M365" s="716"/>
      <c r="N365" s="716"/>
      <c r="O365" s="716"/>
      <c r="P365" s="716"/>
      <c r="Q365" s="716"/>
      <c r="R365" s="716"/>
      <c r="S365" s="716"/>
      <c r="T365" s="716"/>
      <c r="U365" s="716"/>
      <c r="V365" s="716"/>
      <c r="W365" s="716"/>
      <c r="X365" s="716"/>
      <c r="Y365" s="716"/>
      <c r="Z365" s="716"/>
      <c r="AA365" s="716"/>
      <c r="AB365" s="716"/>
      <c r="AC365" s="716"/>
      <c r="AD365" s="716"/>
      <c r="AE365" s="716"/>
      <c r="AF365" s="716"/>
      <c r="AG365" s="716"/>
      <c r="AH365" s="18"/>
      <c r="AI365" s="18"/>
      <c r="AJ365" s="18"/>
      <c r="AK365" s="18"/>
      <c r="AL365" s="18"/>
      <c r="AM365" s="18"/>
      <c r="AN365" s="18"/>
    </row>
    <row r="366" spans="1:40" ht="21.9" customHeight="1" x14ac:dyDescent="0.25">
      <c r="A366" s="526"/>
      <c r="B366" s="527" t="s">
        <v>453</v>
      </c>
      <c r="C366" s="114"/>
      <c r="D366" s="114"/>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c r="AA366" s="225"/>
      <c r="AB366" s="114"/>
      <c r="AC366" s="114"/>
      <c r="AD366" s="114"/>
      <c r="AE366" s="114"/>
      <c r="AF366" s="114"/>
      <c r="AG366" s="114"/>
    </row>
    <row r="367" spans="1:40" ht="21.75" customHeight="1" x14ac:dyDescent="0.25">
      <c r="C367" s="114"/>
      <c r="D367" s="114"/>
      <c r="E367" s="237"/>
      <c r="F367" s="237"/>
      <c r="G367" s="237"/>
      <c r="H367" s="716"/>
      <c r="I367" s="716"/>
      <c r="J367" s="716"/>
      <c r="K367" s="716"/>
      <c r="L367" s="716"/>
      <c r="M367" s="716"/>
      <c r="N367" s="716"/>
      <c r="O367" s="716"/>
      <c r="P367" s="716"/>
      <c r="Q367" s="716"/>
      <c r="R367" s="716"/>
      <c r="S367" s="716"/>
      <c r="T367" s="716"/>
      <c r="U367" s="716"/>
      <c r="V367" s="716"/>
      <c r="W367" s="716"/>
      <c r="X367" s="716"/>
      <c r="Y367" s="716"/>
      <c r="Z367" s="716"/>
      <c r="AA367" s="716"/>
      <c r="AB367" s="716"/>
      <c r="AC367" s="716"/>
      <c r="AD367" s="716"/>
      <c r="AE367" s="716"/>
      <c r="AF367" s="716"/>
      <c r="AG367" s="716"/>
      <c r="AH367" s="18"/>
      <c r="AI367" s="18"/>
      <c r="AJ367" s="18"/>
      <c r="AK367" s="18"/>
      <c r="AL367" s="18"/>
      <c r="AM367" s="18"/>
      <c r="AN367" s="18"/>
    </row>
    <row r="368" spans="1:40" ht="21.9" customHeight="1" x14ac:dyDescent="0.25">
      <c r="B368" s="50" t="s">
        <v>64</v>
      </c>
      <c r="C368" s="225"/>
      <c r="D368" s="225"/>
      <c r="E368" s="225"/>
      <c r="F368" s="225"/>
      <c r="G368" s="225"/>
      <c r="H368" s="717"/>
      <c r="I368" s="114"/>
      <c r="J368" s="225"/>
      <c r="K368" s="225"/>
      <c r="L368" s="225"/>
      <c r="M368" s="718"/>
      <c r="N368" s="225"/>
      <c r="O368" s="225"/>
      <c r="P368" s="114"/>
      <c r="Q368" s="225"/>
      <c r="R368" s="114"/>
      <c r="S368" s="114"/>
      <c r="T368" s="114"/>
      <c r="U368" s="225"/>
      <c r="V368" s="225"/>
      <c r="W368" s="225"/>
      <c r="X368" s="225"/>
      <c r="Y368" s="225"/>
      <c r="Z368" s="225"/>
      <c r="AA368" s="225"/>
      <c r="AB368" s="225"/>
      <c r="AC368" s="225"/>
      <c r="AD368" s="225"/>
      <c r="AE368" s="114"/>
      <c r="AF368" s="114"/>
      <c r="AG368" s="114"/>
    </row>
    <row r="369" spans="2:40" s="7" customFormat="1" ht="21.9" customHeight="1" x14ac:dyDescent="0.25">
      <c r="B369" s="468"/>
      <c r="C369" s="686" t="s">
        <v>2</v>
      </c>
      <c r="D369" s="686" t="s">
        <v>440</v>
      </c>
      <c r="E369" s="686" t="s">
        <v>312</v>
      </c>
      <c r="F369" s="686" t="s">
        <v>313</v>
      </c>
      <c r="G369" s="686" t="s">
        <v>314</v>
      </c>
      <c r="H369" s="687">
        <v>2023</v>
      </c>
      <c r="I369" s="687">
        <v>2024</v>
      </c>
      <c r="J369" s="687">
        <v>2025</v>
      </c>
      <c r="K369" s="687">
        <v>2026</v>
      </c>
      <c r="L369" s="687">
        <v>2027</v>
      </c>
      <c r="M369" s="687">
        <v>2028</v>
      </c>
      <c r="N369" s="687">
        <v>2029</v>
      </c>
      <c r="O369" s="687">
        <v>2030</v>
      </c>
      <c r="P369" s="687">
        <v>2031</v>
      </c>
      <c r="Q369" s="687">
        <v>2032</v>
      </c>
      <c r="R369" s="687">
        <v>2033</v>
      </c>
      <c r="S369" s="687">
        <v>2034</v>
      </c>
      <c r="T369" s="687">
        <v>2035</v>
      </c>
      <c r="U369" s="687">
        <v>2036</v>
      </c>
      <c r="V369" s="687">
        <v>2037</v>
      </c>
      <c r="W369" s="687">
        <v>2038</v>
      </c>
      <c r="X369" s="687">
        <v>2039</v>
      </c>
      <c r="Y369" s="687">
        <v>2040</v>
      </c>
      <c r="Z369" s="687">
        <v>2041</v>
      </c>
      <c r="AA369" s="687">
        <v>2042</v>
      </c>
      <c r="AB369" s="687">
        <v>2043</v>
      </c>
      <c r="AC369" s="687">
        <v>2044</v>
      </c>
      <c r="AD369" s="687">
        <v>2045</v>
      </c>
      <c r="AE369" s="687">
        <v>2046</v>
      </c>
      <c r="AF369" s="687">
        <v>2047</v>
      </c>
      <c r="AG369" s="688">
        <v>2048</v>
      </c>
      <c r="AH369" s="32"/>
      <c r="AI369" s="32"/>
      <c r="AJ369" s="32"/>
      <c r="AK369" s="32"/>
      <c r="AL369" s="32"/>
      <c r="AM369" s="32"/>
      <c r="AN369" s="32"/>
    </row>
    <row r="370" spans="2:40" ht="21.9" customHeight="1" x14ac:dyDescent="0.25">
      <c r="B370" s="678" t="s">
        <v>447</v>
      </c>
      <c r="C370" s="554" t="s">
        <v>105</v>
      </c>
      <c r="D370" s="554"/>
      <c r="E370" s="1325" t="s">
        <v>315</v>
      </c>
      <c r="F370" s="217" t="s">
        <v>316</v>
      </c>
      <c r="G370" s="217" t="s">
        <v>276</v>
      </c>
      <c r="H370" s="551">
        <f>'Traffic Data'!J47*annualizationFactor*'Traffic Data'!$H47</f>
        <v>554800</v>
      </c>
      <c r="I370" s="551">
        <f>'Traffic Data'!K47*annualizationFactor*'Traffic Data'!$H47</f>
        <v>580027.79625000001</v>
      </c>
      <c r="J370" s="551">
        <f>'Traffic Data'!L47*annualizationFactor*'Traffic Data'!$H47</f>
        <v>615571.40500000014</v>
      </c>
      <c r="K370" s="551">
        <f>'Traffic Data'!M47*annualizationFactor*'Traffic Data'!$H47</f>
        <v>667854.37000000011</v>
      </c>
      <c r="L370" s="551">
        <f>'Traffic Data'!N47*annualizationFactor*'Traffic Data'!$H47</f>
        <v>720156.40625</v>
      </c>
      <c r="M370" s="551">
        <f>'Traffic Data'!O47*annualizationFactor*'Traffic Data'!$H47</f>
        <v>772458.44249999989</v>
      </c>
      <c r="N370" s="551">
        <f>'Traffic Data'!P47*annualizationFactor*'Traffic Data'!$H47</f>
        <v>824741.40749999997</v>
      </c>
      <c r="O370" s="551">
        <f>'Traffic Data'!Q47*annualizationFactor*'Traffic Data'!$H47</f>
        <v>877062.51499999978</v>
      </c>
      <c r="P370" s="551">
        <f>'Traffic Data'!R47*annualizationFactor*'Traffic Data'!$H47</f>
        <v>928764.67374999996</v>
      </c>
      <c r="Q370" s="551">
        <f>'Traffic Data'!S47*annualizationFactor*'Traffic Data'!$H47</f>
        <v>980477.23499999999</v>
      </c>
      <c r="R370" s="551">
        <f>'Traffic Data'!T47*annualizationFactor*'Traffic Data'!$H47</f>
        <v>1032179.3937500002</v>
      </c>
      <c r="S370" s="551">
        <f>'Traffic Data'!U47*annualizationFactor*'Traffic Data'!$H47</f>
        <v>1083881.5525000002</v>
      </c>
      <c r="T370" s="551">
        <f>'Traffic Data'!V47*annualizationFactor*'Traffic Data'!$H47</f>
        <v>1135621.85375</v>
      </c>
      <c r="U370" s="551">
        <f>'Traffic Data'!W47*annualizationFactor*'Traffic Data'!$H47</f>
        <v>1170565.5850000002</v>
      </c>
      <c r="V370" s="551">
        <f>'Traffic Data'!X47*annualizationFactor*'Traffic Data'!$H47</f>
        <v>1195793.3812500001</v>
      </c>
      <c r="W370" s="551">
        <f>'Traffic Data'!Y47*annualizationFactor*'Traffic Data'!$H47</f>
        <v>1221021.1774999998</v>
      </c>
      <c r="X370" s="551">
        <f>'Traffic Data'!Z47*annualizationFactor*'Traffic Data'!$H47</f>
        <v>1246248.9737500001</v>
      </c>
      <c r="Y370" s="551">
        <f>'Traffic Data'!AA47*annualizationFactor*'Traffic Data'!$H47</f>
        <v>1271485.43875</v>
      </c>
      <c r="Z370" s="551">
        <f>'Traffic Data'!AB47*annualizationFactor*'Traffic Data'!$H47</f>
        <v>1296713.2350000001</v>
      </c>
      <c r="AA370" s="551">
        <f>'Traffic Data'!AC47*annualizationFactor*'Traffic Data'!$H47</f>
        <v>1321949.7</v>
      </c>
      <c r="AB370" s="551">
        <f>'Traffic Data'!AD47*annualizationFactor*'Traffic Data'!$H47</f>
        <v>1347177.4962500001</v>
      </c>
      <c r="AC370" s="551">
        <f>'Traffic Data'!AE47*annualizationFactor*'Traffic Data'!$H47</f>
        <v>1372405.2925</v>
      </c>
      <c r="AD370" s="551">
        <f>'Traffic Data'!AF47*annualizationFactor*'Traffic Data'!$H47</f>
        <v>1397641.7574999998</v>
      </c>
      <c r="AE370" s="551">
        <f>'Traffic Data'!AG47*annualizationFactor*'Traffic Data'!$H47</f>
        <v>1422869.5537499997</v>
      </c>
      <c r="AF370" s="551">
        <f>'Traffic Data'!AH47*annualizationFactor*'Traffic Data'!$H47</f>
        <v>1448097.35</v>
      </c>
      <c r="AG370" s="689">
        <f>'Traffic Data'!AI47*annualizationFactor*'Traffic Data'!$H47</f>
        <v>1473333.8149999999</v>
      </c>
      <c r="AH370" s="5"/>
      <c r="AI370" s="5"/>
      <c r="AJ370" s="5"/>
      <c r="AK370" s="5"/>
      <c r="AL370" s="5"/>
      <c r="AM370" s="5"/>
      <c r="AN370" s="5"/>
    </row>
    <row r="371" spans="2:40" ht="21.9" customHeight="1" x14ac:dyDescent="0.25">
      <c r="B371" s="679" t="s">
        <v>593</v>
      </c>
      <c r="C371" s="554"/>
      <c r="D371" s="554"/>
      <c r="E371" s="1327"/>
      <c r="F371" s="114" t="s">
        <v>276</v>
      </c>
      <c r="G371" s="114" t="s">
        <v>274</v>
      </c>
      <c r="H371" s="551">
        <f>'Traffic Data'!J48*annualizationFactor*'Traffic Data'!$H48</f>
        <v>17839789.772727273</v>
      </c>
      <c r="I371" s="551">
        <f>'Traffic Data'!K48*annualizationFactor*'Traffic Data'!$H48</f>
        <v>18781466.37954545</v>
      </c>
      <c r="J371" s="551">
        <f>'Traffic Data'!L48*annualizationFactor*'Traffic Data'!$H48</f>
        <v>20195038.462500002</v>
      </c>
      <c r="K371" s="551">
        <f>'Traffic Data'!M48*annualizationFactor*'Traffic Data'!$H48</f>
        <v>22530465.16363636</v>
      </c>
      <c r="L371" s="551">
        <f>'Traffic Data'!N48*annualizationFactor*'Traffic Data'!$H48</f>
        <v>24866949.037500001</v>
      </c>
      <c r="M371" s="551">
        <f>'Traffic Data'!O48*annualizationFactor*'Traffic Data'!$H48</f>
        <v>27203300.764772724</v>
      </c>
      <c r="N371" s="551">
        <f>'Traffic Data'!P48*annualizationFactor*'Traffic Data'!$H48</f>
        <v>29538727.465909094</v>
      </c>
      <c r="O371" s="551">
        <f>'Traffic Data'!Q48*annualizationFactor*'Traffic Data'!$H48</f>
        <v>31876268.512500003</v>
      </c>
      <c r="P371" s="551">
        <f>'Traffic Data'!R48*annualizationFactor*'Traffic Data'!$H48</f>
        <v>34234556.573863633</v>
      </c>
      <c r="Q371" s="551">
        <f>'Traffic Data'!S48*annualizationFactor*'Traffic Data'!$H48</f>
        <v>36593637.514772721</v>
      </c>
      <c r="R371" s="551">
        <f>'Traffic Data'!T48*annualizationFactor*'Traffic Data'!$H48</f>
        <v>38951925.576136358</v>
      </c>
      <c r="S371" s="551">
        <f>'Traffic Data'!U48*annualizationFactor*'Traffic Data'!$H48</f>
        <v>41310213.637500003</v>
      </c>
      <c r="T371" s="551">
        <f>'Traffic Data'!V48*annualizationFactor*'Traffic Data'!$H48</f>
        <v>43670616.044318184</v>
      </c>
      <c r="U371" s="551">
        <f>'Traffic Data'!W48*annualizationFactor*'Traffic Data'!$H48</f>
        <v>45105992.314772733</v>
      </c>
      <c r="V371" s="551">
        <f>'Traffic Data'!X48*annualizationFactor*'Traffic Data'!$H48</f>
        <v>46047668.921590902</v>
      </c>
      <c r="W371" s="551">
        <f>'Traffic Data'!Y48*annualizationFactor*'Traffic Data'!$H48</f>
        <v>46989345.528409094</v>
      </c>
      <c r="X371" s="551">
        <f>'Traffic Data'!Z48*annualizationFactor*'Traffic Data'!$H48</f>
        <v>47931022.135227278</v>
      </c>
      <c r="Y371" s="551">
        <f>'Traffic Data'!AA48*annualizationFactor*'Traffic Data'!$H48</f>
        <v>48873227.328409091</v>
      </c>
      <c r="Z371" s="551">
        <f>'Traffic Data'!AB48*annualizationFactor*'Traffic Data'!$H48</f>
        <v>49814903.935227267</v>
      </c>
      <c r="AA371" s="551">
        <f>'Traffic Data'!AC48*annualizationFactor*'Traffic Data'!$H48</f>
        <v>50757109.128409103</v>
      </c>
      <c r="AB371" s="551">
        <f>'Traffic Data'!AD48*annualizationFactor*'Traffic Data'!$H48</f>
        <v>51698785.735227279</v>
      </c>
      <c r="AC371" s="551">
        <f>'Traffic Data'!AE48*annualizationFactor*'Traffic Data'!$H48</f>
        <v>52640462.342045456</v>
      </c>
      <c r="AD371" s="551">
        <f>'Traffic Data'!AF48*annualizationFactor*'Traffic Data'!$H48</f>
        <v>53582667.535227291</v>
      </c>
      <c r="AE371" s="551">
        <f>'Traffic Data'!AG48*annualizationFactor*'Traffic Data'!$H48</f>
        <v>54524344.142045453</v>
      </c>
      <c r="AF371" s="551">
        <f>'Traffic Data'!AH48*annualizationFactor*'Traffic Data'!$H48</f>
        <v>55466020.748863637</v>
      </c>
      <c r="AG371" s="689">
        <f>'Traffic Data'!AI48*annualizationFactor*'Traffic Data'!$H48</f>
        <v>56408225.942045458</v>
      </c>
      <c r="AH371" s="5"/>
      <c r="AI371" s="5"/>
      <c r="AJ371" s="5"/>
      <c r="AK371" s="5"/>
      <c r="AL371" s="5"/>
      <c r="AM371" s="5"/>
      <c r="AN371" s="5"/>
    </row>
    <row r="372" spans="2:40" ht="21.9" customHeight="1" x14ac:dyDescent="0.25">
      <c r="B372" s="678"/>
      <c r="C372" s="554"/>
      <c r="D372" s="554"/>
      <c r="E372" s="1327"/>
      <c r="F372" s="114" t="s">
        <v>274</v>
      </c>
      <c r="G372" s="114" t="s">
        <v>317</v>
      </c>
      <c r="H372" s="551">
        <f>'Traffic Data'!J49*annualizationFactor*'Traffic Data'!$H49</f>
        <v>416100</v>
      </c>
      <c r="I372" s="551">
        <f>'Traffic Data'!K49*annualizationFactor*'Traffic Data'!$H49</f>
        <v>433475.6424999999</v>
      </c>
      <c r="J372" s="551">
        <f>'Traffic Data'!L49*annualizationFactor*'Traffic Data'!$H49</f>
        <v>454981.0774999999</v>
      </c>
      <c r="K372" s="551">
        <f>'Traffic Data'!M49*annualizationFactor*'Traffic Data'!$H49</f>
        <v>483934.70250000001</v>
      </c>
      <c r="L372" s="551">
        <f>'Traffic Data'!N49*annualizationFactor*'Traffic Data'!$H49</f>
        <v>512898.7300000001</v>
      </c>
      <c r="M372" s="551">
        <f>'Traffic Data'!O49*annualizationFactor*'Traffic Data'!$H49</f>
        <v>541859.29</v>
      </c>
      <c r="N372" s="551">
        <f>'Traffic Data'!P49*annualizationFactor*'Traffic Data'!$H49</f>
        <v>570812.91500000004</v>
      </c>
      <c r="O372" s="551">
        <f>'Traffic Data'!Q49*annualizationFactor*'Traffic Data'!$H49</f>
        <v>599787.3450000002</v>
      </c>
      <c r="P372" s="551">
        <f>'Traffic Data'!R49*annualizationFactor*'Traffic Data'!$H49</f>
        <v>627860.22499999998</v>
      </c>
      <c r="Q372" s="551">
        <f>'Traffic Data'!S49*annualizationFactor*'Traffic Data'!$H49</f>
        <v>655943.50749999983</v>
      </c>
      <c r="R372" s="551">
        <f>'Traffic Data'!T49*annualizationFactor*'Traffic Data'!$H49</f>
        <v>684016.38749999995</v>
      </c>
      <c r="S372" s="551">
        <f>'Traffic Data'!U49*annualizationFactor*'Traffic Data'!$H49</f>
        <v>712089.26749999996</v>
      </c>
      <c r="T372" s="551">
        <f>'Traffic Data'!V49*annualizationFactor*'Traffic Data'!$H49</f>
        <v>740182.95250000013</v>
      </c>
      <c r="U372" s="551">
        <f>'Traffic Data'!W49*annualizationFactor*'Traffic Data'!$H49</f>
        <v>760797.24</v>
      </c>
      <c r="V372" s="551">
        <f>'Traffic Data'!X49*annualizationFactor*'Traffic Data'!$H49</f>
        <v>778172.88250000007</v>
      </c>
      <c r="W372" s="551">
        <f>'Traffic Data'!Y49*annualizationFactor*'Traffic Data'!$H49</f>
        <v>795548.52499999991</v>
      </c>
      <c r="X372" s="551">
        <f>'Traffic Data'!Z49*annualizationFactor*'Traffic Data'!$H49</f>
        <v>812924.16749999998</v>
      </c>
      <c r="Y372" s="551">
        <f>'Traffic Data'!AA49*annualizationFactor*'Traffic Data'!$H49</f>
        <v>830306.745</v>
      </c>
      <c r="Z372" s="551">
        <f>'Traffic Data'!AB49*annualizationFactor*'Traffic Data'!$H49</f>
        <v>847682.38749999995</v>
      </c>
      <c r="AA372" s="551">
        <f>'Traffic Data'!AC49*annualizationFactor*'Traffic Data'!$H49</f>
        <v>865064.96499999997</v>
      </c>
      <c r="AB372" s="551">
        <f>'Traffic Data'!AD49*annualizationFactor*'Traffic Data'!$H49</f>
        <v>882440.60750000016</v>
      </c>
      <c r="AC372" s="551">
        <f>'Traffic Data'!AE49*annualizationFactor*'Traffic Data'!$H49</f>
        <v>899816.24999999988</v>
      </c>
      <c r="AD372" s="551">
        <f>'Traffic Data'!AF49*annualizationFactor*'Traffic Data'!$H49</f>
        <v>917198.82750000001</v>
      </c>
      <c r="AE372" s="551">
        <f>'Traffic Data'!AG49*annualizationFactor*'Traffic Data'!$H49</f>
        <v>934574.47</v>
      </c>
      <c r="AF372" s="551">
        <f>'Traffic Data'!AH49*annualizationFactor*'Traffic Data'!$H49</f>
        <v>951950.11249999981</v>
      </c>
      <c r="AG372" s="689">
        <f>'Traffic Data'!AI49*annualizationFactor*'Traffic Data'!$H49</f>
        <v>969332.69000000006</v>
      </c>
      <c r="AH372" s="5"/>
      <c r="AI372" s="5"/>
      <c r="AJ372" s="5"/>
      <c r="AK372" s="5"/>
      <c r="AL372" s="5"/>
      <c r="AM372" s="5"/>
      <c r="AN372" s="5"/>
    </row>
    <row r="373" spans="2:40" ht="21.9" customHeight="1" x14ac:dyDescent="0.25">
      <c r="B373" s="678"/>
      <c r="C373" s="554"/>
      <c r="D373" s="554"/>
      <c r="E373" s="1325" t="s">
        <v>274</v>
      </c>
      <c r="F373" s="217" t="s">
        <v>275</v>
      </c>
      <c r="G373" s="217" t="s">
        <v>318</v>
      </c>
      <c r="H373" s="551">
        <f>'Traffic Data'!J50*annualizationFactor*'Traffic Data'!$H50</f>
        <v>3781400</v>
      </c>
      <c r="I373" s="551">
        <f>'Traffic Data'!K50*annualizationFactor*'Traffic Data'!$H50</f>
        <v>4163907.517</v>
      </c>
      <c r="J373" s="551">
        <f>'Traffic Data'!L50*annualizationFactor*'Traffic Data'!$H50</f>
        <v>5019090.0339999991</v>
      </c>
      <c r="K373" s="551">
        <f>'Traffic Data'!M50*annualizationFactor*'Traffic Data'!$H50</f>
        <v>6736790.9840000002</v>
      </c>
      <c r="L373" s="551">
        <f>'Traffic Data'!N50*annualizationFactor*'Traffic Data'!$H50</f>
        <v>8455550.7259999979</v>
      </c>
      <c r="M373" s="551">
        <f>'Traffic Data'!O50*annualizationFactor*'Traffic Data'!$H50</f>
        <v>10174121.397999998</v>
      </c>
      <c r="N373" s="551">
        <f>'Traffic Data'!P50*annualizationFactor*'Traffic Data'!$H50</f>
        <v>11891822.347999997</v>
      </c>
      <c r="O373" s="551">
        <f>'Traffic Data'!Q50*annualizationFactor*'Traffic Data'!$H50</f>
        <v>13611640.881999999</v>
      </c>
      <c r="P373" s="551">
        <f>'Traffic Data'!R50*annualizationFactor*'Traffic Data'!$H50</f>
        <v>15299204.073999995</v>
      </c>
      <c r="Q373" s="551">
        <f>'Traffic Data'!S50*annualizationFactor*'Traffic Data'!$H50</f>
        <v>16987618.080999997</v>
      </c>
      <c r="R373" s="551">
        <f>'Traffic Data'!T50*annualizationFactor*'Traffic Data'!$H50</f>
        <v>18675181.272999998</v>
      </c>
      <c r="S373" s="551">
        <f>'Traffic Data'!U50*annualizationFactor*'Traffic Data'!$H50</f>
        <v>20362744.465</v>
      </c>
      <c r="T373" s="551">
        <f>'Traffic Data'!V50*annualizationFactor*'Traffic Data'!$H50</f>
        <v>22052425.241</v>
      </c>
      <c r="U373" s="551">
        <f>'Traffic Data'!W50*annualizationFactor*'Traffic Data'!$H50</f>
        <v>22876411.207999997</v>
      </c>
      <c r="V373" s="551">
        <f>'Traffic Data'!X50*annualizationFactor*'Traffic Data'!$H50</f>
        <v>23258918.724999994</v>
      </c>
      <c r="W373" s="551">
        <f>'Traffic Data'!Y50*annualizationFactor*'Traffic Data'!$H50</f>
        <v>23641426.241999995</v>
      </c>
      <c r="X373" s="551">
        <f>'Traffic Data'!Z50*annualizationFactor*'Traffic Data'!$H50</f>
        <v>24023933.758999996</v>
      </c>
      <c r="Y373" s="551">
        <f>'Traffic Data'!AA50*annualizationFactor*'Traffic Data'!$H50</f>
        <v>24407027.392999995</v>
      </c>
      <c r="Z373" s="551">
        <f>'Traffic Data'!AB50*annualizationFactor*'Traffic Data'!$H50</f>
        <v>24789534.91</v>
      </c>
      <c r="AA373" s="551">
        <f>'Traffic Data'!AC50*annualizationFactor*'Traffic Data'!$H50</f>
        <v>25172628.543999996</v>
      </c>
      <c r="AB373" s="551">
        <f>'Traffic Data'!AD50*annualizationFactor*'Traffic Data'!$H50</f>
        <v>25555136.060999993</v>
      </c>
      <c r="AC373" s="551">
        <f>'Traffic Data'!AE50*annualizationFactor*'Traffic Data'!$H50</f>
        <v>25937643.577999998</v>
      </c>
      <c r="AD373" s="551">
        <f>'Traffic Data'!AF50*annualizationFactor*'Traffic Data'!$H50</f>
        <v>26320737.212000001</v>
      </c>
      <c r="AE373" s="551">
        <f>'Traffic Data'!AG50*annualizationFactor*'Traffic Data'!$H50</f>
        <v>26703244.728999998</v>
      </c>
      <c r="AF373" s="551">
        <f>'Traffic Data'!AH50*annualizationFactor*'Traffic Data'!$H50</f>
        <v>27085752.245999996</v>
      </c>
      <c r="AG373" s="689">
        <f>'Traffic Data'!AI50*annualizationFactor*'Traffic Data'!$H50</f>
        <v>27468845.879999995</v>
      </c>
      <c r="AH373" s="5"/>
      <c r="AI373" s="5"/>
      <c r="AJ373" s="5"/>
      <c r="AK373" s="5"/>
      <c r="AL373" s="5"/>
      <c r="AM373" s="5"/>
      <c r="AN373" s="5"/>
    </row>
    <row r="374" spans="2:40" ht="21.9" customHeight="1" x14ac:dyDescent="0.25">
      <c r="B374" s="678"/>
      <c r="C374" s="554"/>
      <c r="D374" s="554"/>
      <c r="E374" s="1327"/>
      <c r="F374" s="114" t="s">
        <v>318</v>
      </c>
      <c r="G374" s="114" t="s">
        <v>308</v>
      </c>
      <c r="H374" s="551">
        <f>'Traffic Data'!J51*annualizationFactor*'Traffic Data'!$H51</f>
        <v>438000</v>
      </c>
      <c r="I374" s="551">
        <f>'Traffic Data'!K51*annualizationFactor*'Traffic Data'!$H51</f>
        <v>479584.44999999995</v>
      </c>
      <c r="J374" s="551">
        <f>'Traffic Data'!L51*annualizationFactor*'Traffic Data'!$H51</f>
        <v>538575.75</v>
      </c>
      <c r="K374" s="551">
        <f>'Traffic Data'!M51*annualizationFactor*'Traffic Data'!$H51</f>
        <v>634694.85</v>
      </c>
      <c r="L374" s="551">
        <f>'Traffic Data'!N51*annualizationFactor*'Traffic Data'!$H51</f>
        <v>730843.15</v>
      </c>
      <c r="M374" s="551">
        <f>'Traffic Data'!O51*annualizationFactor*'Traffic Data'!$H51</f>
        <v>827000.57500000007</v>
      </c>
      <c r="N374" s="551">
        <f>'Traffic Data'!P51*annualizationFactor*'Traffic Data'!$H51</f>
        <v>923119.67500000005</v>
      </c>
      <c r="O374" s="551">
        <f>'Traffic Data'!Q51*annualizationFactor*'Traffic Data'!$H51</f>
        <v>1019342.8</v>
      </c>
      <c r="P374" s="551">
        <f>'Traffic Data'!R51*annualizationFactor*'Traffic Data'!$H51</f>
        <v>1128817.2499999998</v>
      </c>
      <c r="Q374" s="551">
        <f>'Traffic Data'!S51*annualizationFactor*'Traffic Data'!$H51</f>
        <v>1238342.8000000003</v>
      </c>
      <c r="R374" s="551">
        <f>'Traffic Data'!T51*annualizationFactor*'Traffic Data'!$H51</f>
        <v>1347811.7750000001</v>
      </c>
      <c r="S374" s="551">
        <f>'Traffic Data'!U51*annualizationFactor*'Traffic Data'!$H51</f>
        <v>1457286.2250000001</v>
      </c>
      <c r="T374" s="551">
        <f>'Traffic Data'!V51*annualizationFactor*'Traffic Data'!$H51</f>
        <v>1566861.0499999998</v>
      </c>
      <c r="U374" s="551">
        <f>'Traffic Data'!W51*annualizationFactor*'Traffic Data'!$H51</f>
        <v>1639127.4000000001</v>
      </c>
      <c r="V374" s="551">
        <f>'Traffic Data'!X51*annualizationFactor*'Traffic Data'!$H51</f>
        <v>1680711.8499999999</v>
      </c>
      <c r="W374" s="551">
        <f>'Traffic Data'!Y51*annualizationFactor*'Traffic Data'!$H51</f>
        <v>1722296.2999999996</v>
      </c>
      <c r="X374" s="551">
        <f>'Traffic Data'!Z51*annualizationFactor*'Traffic Data'!$H51</f>
        <v>1763880.7499999998</v>
      </c>
      <c r="Y374" s="551">
        <f>'Traffic Data'!AA51*annualizationFactor*'Traffic Data'!$H51</f>
        <v>1805512.6499999994</v>
      </c>
      <c r="Z374" s="551">
        <f>'Traffic Data'!AB51*annualizationFactor*'Traffic Data'!$H51</f>
        <v>1847097.0999999996</v>
      </c>
      <c r="AA374" s="551">
        <f>'Traffic Data'!AC51*annualizationFactor*'Traffic Data'!$H51</f>
        <v>1888728.9999999998</v>
      </c>
      <c r="AB374" s="551">
        <f>'Traffic Data'!AD51*annualizationFactor*'Traffic Data'!$H51</f>
        <v>1930313.45</v>
      </c>
      <c r="AC374" s="551">
        <f>'Traffic Data'!AE51*annualizationFactor*'Traffic Data'!$H51</f>
        <v>1971897.9</v>
      </c>
      <c r="AD374" s="551">
        <f>'Traffic Data'!AF51*annualizationFactor*'Traffic Data'!$H51</f>
        <v>2013529.7999999998</v>
      </c>
      <c r="AE374" s="551">
        <f>'Traffic Data'!AG51*annualizationFactor*'Traffic Data'!$H51</f>
        <v>2055114.2499999995</v>
      </c>
      <c r="AF374" s="551">
        <f>'Traffic Data'!AH51*annualizationFactor*'Traffic Data'!$H51</f>
        <v>2096698.6999999997</v>
      </c>
      <c r="AG374" s="689">
        <f>'Traffic Data'!AI51*annualizationFactor*'Traffic Data'!$H51</f>
        <v>2138330.5999999996</v>
      </c>
      <c r="AH374" s="5"/>
      <c r="AI374" s="5"/>
      <c r="AJ374" s="5"/>
      <c r="AK374" s="5"/>
      <c r="AL374" s="5"/>
      <c r="AM374" s="5"/>
      <c r="AN374" s="5"/>
    </row>
    <row r="375" spans="2:40" ht="21.9" customHeight="1" x14ac:dyDescent="0.25">
      <c r="B375" s="678"/>
      <c r="C375" s="554"/>
      <c r="D375" s="554"/>
      <c r="E375" s="1339"/>
      <c r="F375" s="250" t="s">
        <v>308</v>
      </c>
      <c r="G375" s="250" t="s">
        <v>319</v>
      </c>
      <c r="H375" s="551">
        <f>'Traffic Data'!J52*annualizationFactor*'Traffic Data'!$H52</f>
        <v>5869200</v>
      </c>
      <c r="I375" s="551">
        <f>'Traffic Data'!K52*annualizationFactor*'Traffic Data'!$H52</f>
        <v>6033557.1639999999</v>
      </c>
      <c r="J375" s="551">
        <f>'Traffic Data'!L52*annualizationFactor*'Traffic Data'!$H52</f>
        <v>6267777.3720000004</v>
      </c>
      <c r="K375" s="551">
        <f>'Traffic Data'!M52*annualizationFactor*'Traffic Data'!$H52</f>
        <v>6596511.2640000014</v>
      </c>
      <c r="L375" s="551">
        <f>'Traffic Data'!N52*annualizationFactor*'Traffic Data'!$H52</f>
        <v>6925382.1039999984</v>
      </c>
      <c r="M375" s="551">
        <f>'Traffic Data'!O52*annualizationFactor*'Traffic Data'!$H52</f>
        <v>7254223.5980000021</v>
      </c>
      <c r="N375" s="551">
        <f>'Traffic Data'!P52*annualizationFactor*'Traffic Data'!$H52</f>
        <v>7582957.4900000021</v>
      </c>
      <c r="O375" s="551">
        <f>'Traffic Data'!Q52*annualizationFactor*'Traffic Data'!$H52</f>
        <v>7911955.4960000012</v>
      </c>
      <c r="P375" s="551">
        <f>'Traffic Data'!R52*annualizationFactor*'Traffic Data'!$H52</f>
        <v>8244073.959999999</v>
      </c>
      <c r="Q375" s="551">
        <f>'Traffic Data'!S52*annualizationFactor*'Traffic Data'!$H52</f>
        <v>8576290.2440000009</v>
      </c>
      <c r="R375" s="551">
        <f>'Traffic Data'!T52*annualizationFactor*'Traffic Data'!$H52</f>
        <v>8908379.3619999997</v>
      </c>
      <c r="S375" s="551">
        <f>'Traffic Data'!U52*annualizationFactor*'Traffic Data'!$H52</f>
        <v>9240497.8260000013</v>
      </c>
      <c r="T375" s="551">
        <f>'Traffic Data'!V52*annualizationFactor*'Traffic Data'!$H52</f>
        <v>9572880.404000001</v>
      </c>
      <c r="U375" s="551">
        <f>'Traffic Data'!W52*annualizationFactor*'Traffic Data'!$H52</f>
        <v>9810328.6720000021</v>
      </c>
      <c r="V375" s="551">
        <f>'Traffic Data'!X52*annualizationFactor*'Traffic Data'!$H52</f>
        <v>9974685.8359999992</v>
      </c>
      <c r="W375" s="551">
        <f>'Traffic Data'!Y52*annualizationFactor*'Traffic Data'!$H52</f>
        <v>10139043</v>
      </c>
      <c r="X375" s="551">
        <f>'Traffic Data'!Z52*annualizationFactor*'Traffic Data'!$H52</f>
        <v>10303400.163999999</v>
      </c>
      <c r="Y375" s="551">
        <f>'Traffic Data'!AA52*annualizationFactor*'Traffic Data'!$H52</f>
        <v>10467835.584000001</v>
      </c>
      <c r="Z375" s="551">
        <f>'Traffic Data'!AB52*annualizationFactor*'Traffic Data'!$H52</f>
        <v>10632192.748000002</v>
      </c>
      <c r="AA375" s="551">
        <f>'Traffic Data'!AC52*annualizationFactor*'Traffic Data'!$H52</f>
        <v>10796628.168000001</v>
      </c>
      <c r="AB375" s="551">
        <f>'Traffic Data'!AD52*annualizationFactor*'Traffic Data'!$H52</f>
        <v>10960985.332</v>
      </c>
      <c r="AC375" s="551">
        <f>'Traffic Data'!AE52*annualizationFactor*'Traffic Data'!$H52</f>
        <v>11125342.496000001</v>
      </c>
      <c r="AD375" s="551">
        <f>'Traffic Data'!AF52*annualizationFactor*'Traffic Data'!$H52</f>
        <v>11289777.915999999</v>
      </c>
      <c r="AE375" s="551">
        <f>'Traffic Data'!AG52*annualizationFactor*'Traffic Data'!$H52</f>
        <v>11454135.079999998</v>
      </c>
      <c r="AF375" s="551">
        <f>'Traffic Data'!AH52*annualizationFactor*'Traffic Data'!$H52</f>
        <v>11618492.244000001</v>
      </c>
      <c r="AG375" s="689">
        <f>'Traffic Data'!AI52*annualizationFactor*'Traffic Data'!$H52</f>
        <v>11782927.664000001</v>
      </c>
      <c r="AH375" s="5"/>
      <c r="AI375" s="5"/>
      <c r="AJ375" s="5"/>
      <c r="AK375" s="5"/>
      <c r="AL375" s="5"/>
      <c r="AM375" s="5"/>
      <c r="AN375" s="5"/>
    </row>
    <row r="376" spans="2:40" ht="21.9" customHeight="1" x14ac:dyDescent="0.25">
      <c r="B376" s="678"/>
      <c r="C376" s="554"/>
      <c r="D376" s="554"/>
      <c r="E376" s="114" t="s">
        <v>320</v>
      </c>
      <c r="F376" s="114" t="s">
        <v>318</v>
      </c>
      <c r="G376" s="114" t="s">
        <v>308</v>
      </c>
      <c r="H376" s="551">
        <f>'Traffic Data'!J53*annualizationFactor*'Traffic Data'!$H53</f>
        <v>17155</v>
      </c>
      <c r="I376" s="551">
        <f>'Traffic Data'!K53*annualizationFactor*'Traffic Data'!$H53</f>
        <v>71253.292499999996</v>
      </c>
      <c r="J376" s="551">
        <f>'Traffic Data'!L53*annualizationFactor*'Traffic Data'!$H53</f>
        <v>635669.94750000001</v>
      </c>
      <c r="K376" s="551">
        <f>'Traffic Data'!M53*annualizationFactor*'Traffic Data'!$H53</f>
        <v>1503515.665</v>
      </c>
      <c r="L376" s="551">
        <f>'Traffic Data'!N53*annualizationFactor*'Traffic Data'!$H53</f>
        <v>2371978.9625000004</v>
      </c>
      <c r="M376" s="551">
        <f>'Traffic Data'!O53*annualizationFactor*'Traffic Data'!$H53</f>
        <v>3240099.1599999997</v>
      </c>
      <c r="N376" s="551">
        <f>'Traffic Data'!P53*annualizationFactor*'Traffic Data'!$H53</f>
        <v>4107944.8774999999</v>
      </c>
      <c r="O376" s="551">
        <f>'Traffic Data'!Q53*annualizationFactor*'Traffic Data'!$H53</f>
        <v>4976982.8675000006</v>
      </c>
      <c r="P376" s="551">
        <f>'Traffic Data'!R53*annualizationFactor*'Traffic Data'!$H53</f>
        <v>5334896.21</v>
      </c>
      <c r="Q376" s="551">
        <f>'Traffic Data'!S53*annualizationFactor*'Traffic Data'!$H53</f>
        <v>5693084.0325000007</v>
      </c>
      <c r="R376" s="551">
        <f>'Traffic Data'!T53*annualizationFactor*'Traffic Data'!$H53</f>
        <v>6051186.080000001</v>
      </c>
      <c r="S376" s="551">
        <f>'Traffic Data'!U53*annualizationFactor*'Traffic Data'!$H53</f>
        <v>6409099.4225000003</v>
      </c>
      <c r="T376" s="551">
        <f>'Traffic Data'!V53*annualizationFactor*'Traffic Data'!$H53</f>
        <v>6767861.9375</v>
      </c>
      <c r="U376" s="551">
        <f>'Traffic Data'!W53*annualizationFactor*'Traffic Data'!$H53</f>
        <v>6821960.2300000014</v>
      </c>
      <c r="V376" s="551">
        <f>'Traffic Data'!X53*annualizationFactor*'Traffic Data'!$H53</f>
        <v>6876058.5225000009</v>
      </c>
      <c r="W376" s="551">
        <f>'Traffic Data'!Y53*annualizationFactor*'Traffic Data'!$H53</f>
        <v>6930156.8150000013</v>
      </c>
      <c r="X376" s="551">
        <f>'Traffic Data'!Z53*annualizationFactor*'Traffic Data'!$H53</f>
        <v>6984255.1074999999</v>
      </c>
      <c r="Y376" s="551">
        <f>'Traffic Data'!AA53*annualizationFactor*'Traffic Data'!$H53</f>
        <v>7038739.3875000011</v>
      </c>
      <c r="Z376" s="551">
        <f>'Traffic Data'!AB53*annualizationFactor*'Traffic Data'!$H53</f>
        <v>7092837.6800000006</v>
      </c>
      <c r="AA376" s="551">
        <f>'Traffic Data'!AC53*annualizationFactor*'Traffic Data'!$H53</f>
        <v>7147107.5225000018</v>
      </c>
      <c r="AB376" s="551">
        <f>'Traffic Data'!AD53*annualizationFactor*'Traffic Data'!$H53</f>
        <v>7201205.8150000013</v>
      </c>
      <c r="AC376" s="551">
        <f>'Traffic Data'!AE53*annualizationFactor*'Traffic Data'!$H53</f>
        <v>7255304.1075000009</v>
      </c>
      <c r="AD376" s="551">
        <f>'Traffic Data'!AF53*annualizationFactor*'Traffic Data'!$H53</f>
        <v>7309788.3875000011</v>
      </c>
      <c r="AE376" s="551">
        <f>'Traffic Data'!AG53*annualizationFactor*'Traffic Data'!$H53</f>
        <v>7363886.6800000006</v>
      </c>
      <c r="AF376" s="551">
        <f>'Traffic Data'!AH53*annualizationFactor*'Traffic Data'!$H53</f>
        <v>7417984.9725000001</v>
      </c>
      <c r="AG376" s="689">
        <f>'Traffic Data'!AI53*annualizationFactor*'Traffic Data'!$H53</f>
        <v>7472254.8150000004</v>
      </c>
      <c r="AH376" s="5"/>
      <c r="AI376" s="5"/>
      <c r="AJ376" s="5"/>
      <c r="AK376" s="5"/>
      <c r="AL376" s="5"/>
      <c r="AM376" s="5"/>
      <c r="AN376" s="5"/>
    </row>
    <row r="377" spans="2:40" ht="21.9" customHeight="1" x14ac:dyDescent="0.25">
      <c r="B377" s="678"/>
      <c r="C377" s="554"/>
      <c r="D377" s="554"/>
      <c r="E377" s="1325" t="s">
        <v>308</v>
      </c>
      <c r="F377" s="217" t="s">
        <v>276</v>
      </c>
      <c r="G377" s="217" t="s">
        <v>320</v>
      </c>
      <c r="H377" s="551">
        <f>'Traffic Data'!J54*annualizationFactor*'Traffic Data'!$H54</f>
        <v>49275</v>
      </c>
      <c r="I377" s="551">
        <f>'Traffic Data'!K54*annualizationFactor*'Traffic Data'!$H54</f>
        <v>109513.68749999999</v>
      </c>
      <c r="J377" s="551">
        <f>'Traffic Data'!L54*annualizationFactor*'Traffic Data'!$H54</f>
        <v>462864.71250000002</v>
      </c>
      <c r="K377" s="551">
        <f>'Traffic Data'!M54*annualizationFactor*'Traffic Data'!$H54</f>
        <v>1040490.9</v>
      </c>
      <c r="L377" s="551">
        <f>'Traffic Data'!N54*annualizationFactor*'Traffic Data'!$H54</f>
        <v>1618437.3750000005</v>
      </c>
      <c r="M377" s="551">
        <f>'Traffic Data'!O54*annualizationFactor*'Traffic Data'!$H54</f>
        <v>2196408.4874999993</v>
      </c>
      <c r="N377" s="551">
        <f>'Traffic Data'!P54*annualizationFactor*'Traffic Data'!$H54</f>
        <v>2774034.6750000003</v>
      </c>
      <c r="O377" s="551">
        <f>'Traffic Data'!Q54*annualizationFactor*'Traffic Data'!$H54</f>
        <v>3352326.0750000002</v>
      </c>
      <c r="P377" s="551">
        <f>'Traffic Data'!R54*annualizationFactor*'Traffic Data'!$H54</f>
        <v>3798264.8250000007</v>
      </c>
      <c r="Q377" s="551">
        <f>'Traffic Data'!S54*annualizationFactor*'Traffic Data'!$H54</f>
        <v>4244277.4875000007</v>
      </c>
      <c r="R377" s="551">
        <f>'Traffic Data'!T54*annualizationFactor*'Traffic Data'!$H54</f>
        <v>4690216.2374999998</v>
      </c>
      <c r="S377" s="551">
        <f>'Traffic Data'!U54*annualizationFactor*'Traffic Data'!$H54</f>
        <v>5136154.9874999998</v>
      </c>
      <c r="T377" s="551">
        <f>'Traffic Data'!V54*annualizationFactor*'Traffic Data'!$H54</f>
        <v>5582685.0375000006</v>
      </c>
      <c r="U377" s="551">
        <f>'Traffic Data'!W54*annualizationFactor*'Traffic Data'!$H54</f>
        <v>5804003.7000000002</v>
      </c>
      <c r="V377" s="551">
        <f>'Traffic Data'!X54*annualizationFactor*'Traffic Data'!$H54</f>
        <v>5864242.3875000002</v>
      </c>
      <c r="W377" s="551">
        <f>'Traffic Data'!Y54*annualizationFactor*'Traffic Data'!$H54</f>
        <v>5924481.0750000002</v>
      </c>
      <c r="X377" s="551">
        <f>'Traffic Data'!Z54*annualizationFactor*'Traffic Data'!$H54</f>
        <v>5984719.7625000002</v>
      </c>
      <c r="Y377" s="551">
        <f>'Traffic Data'!AA54*annualizationFactor*'Traffic Data'!$H54</f>
        <v>6045130.9125000015</v>
      </c>
      <c r="Z377" s="551">
        <f>'Traffic Data'!AB54*annualizationFactor*'Traffic Data'!$H54</f>
        <v>6105369.6000000006</v>
      </c>
      <c r="AA377" s="551">
        <f>'Traffic Data'!AC54*annualizationFactor*'Traffic Data'!$H54</f>
        <v>6165780.7499999991</v>
      </c>
      <c r="AB377" s="551">
        <f>'Traffic Data'!AD54*annualizationFactor*'Traffic Data'!$H54</f>
        <v>6226019.4374999991</v>
      </c>
      <c r="AC377" s="551">
        <f>'Traffic Data'!AE54*annualizationFactor*'Traffic Data'!$H54</f>
        <v>6286258.1249999991</v>
      </c>
      <c r="AD377" s="551">
        <f>'Traffic Data'!AF54*annualizationFactor*'Traffic Data'!$H54</f>
        <v>6346669.2749999994</v>
      </c>
      <c r="AE377" s="551">
        <f>'Traffic Data'!AG54*annualizationFactor*'Traffic Data'!$H54</f>
        <v>6406907.9624999994</v>
      </c>
      <c r="AF377" s="551">
        <f>'Traffic Data'!AH54*annualizationFactor*'Traffic Data'!$H54</f>
        <v>6467146.6499999994</v>
      </c>
      <c r="AG377" s="689">
        <f>'Traffic Data'!AI54*annualizationFactor*'Traffic Data'!$H54</f>
        <v>6527557.8000000007</v>
      </c>
      <c r="AH377" s="5"/>
      <c r="AI377" s="5"/>
      <c r="AJ377" s="5"/>
      <c r="AK377" s="5"/>
      <c r="AL377" s="5"/>
      <c r="AM377" s="5"/>
      <c r="AN377" s="5"/>
    </row>
    <row r="378" spans="2:40" ht="21.9" customHeight="1" x14ac:dyDescent="0.25">
      <c r="B378" s="678"/>
      <c r="C378" s="554"/>
      <c r="D378" s="554"/>
      <c r="E378" s="1327"/>
      <c r="F378" s="114" t="s">
        <v>320</v>
      </c>
      <c r="G378" s="114" t="s">
        <v>282</v>
      </c>
      <c r="H378" s="551">
        <f>'Traffic Data'!J55*annualizationFactor*'Traffic Data'!$H55</f>
        <v>0</v>
      </c>
      <c r="I378" s="551">
        <f>'Traffic Data'!K55*annualizationFactor*'Traffic Data'!$H55</f>
        <v>33215</v>
      </c>
      <c r="J378" s="551">
        <f>'Traffic Data'!L55*annualizationFactor*'Traffic Data'!$H55</f>
        <v>96001.57</v>
      </c>
      <c r="K378" s="551">
        <f>'Traffic Data'!M55*annualizationFactor*'Traffic Data'!$H55</f>
        <v>215805.52000000002</v>
      </c>
      <c r="L378" s="551">
        <f>'Traffic Data'!N55*annualizationFactor*'Traffic Data'!$H55</f>
        <v>335675.90000000008</v>
      </c>
      <c r="M378" s="551">
        <f>'Traffic Data'!O55*annualizationFactor*'Traffic Data'!$H55</f>
        <v>455551.3899999999</v>
      </c>
      <c r="N378" s="551">
        <f>'Traffic Data'!P55*annualizationFactor*'Traffic Data'!$H55</f>
        <v>575355.34000000008</v>
      </c>
      <c r="O378" s="551">
        <f>'Traffic Data'!Q55*annualizationFactor*'Traffic Data'!$H55</f>
        <v>695297.26</v>
      </c>
      <c r="P378" s="551">
        <f>'Traffic Data'!R55*annualizationFactor*'Traffic Data'!$H55</f>
        <v>787788.26000000024</v>
      </c>
      <c r="Q378" s="551">
        <f>'Traffic Data'!S55*annualizationFactor*'Traffic Data'!$H55</f>
        <v>880294.5900000002</v>
      </c>
      <c r="R378" s="551">
        <f>'Traffic Data'!T55*annualizationFactor*'Traffic Data'!$H55</f>
        <v>972785.59</v>
      </c>
      <c r="S378" s="551">
        <f>'Traffic Data'!U55*annualizationFactor*'Traffic Data'!$H55</f>
        <v>1065276.5900000001</v>
      </c>
      <c r="T378" s="551">
        <f>'Traffic Data'!V55*annualizationFactor*'Traffic Data'!$H55</f>
        <v>1157890.2300000002</v>
      </c>
      <c r="U378" s="551">
        <f>'Traffic Data'!W55*annualizationFactor*'Traffic Data'!$H55</f>
        <v>1203793.3600000001</v>
      </c>
      <c r="V378" s="551">
        <f>'Traffic Data'!X55*annualizationFactor*'Traffic Data'!$H55</f>
        <v>1216287.31</v>
      </c>
      <c r="W378" s="551">
        <f>'Traffic Data'!Y55*annualizationFactor*'Traffic Data'!$H55</f>
        <v>1228781.26</v>
      </c>
      <c r="X378" s="551">
        <f>'Traffic Data'!Z55*annualizationFactor*'Traffic Data'!$H55</f>
        <v>1241275.2100000002</v>
      </c>
      <c r="Y378" s="551">
        <f>'Traffic Data'!AA55*annualizationFactor*'Traffic Data'!$H55</f>
        <v>1253804.9300000004</v>
      </c>
      <c r="Z378" s="551">
        <f>'Traffic Data'!AB55*annualizationFactor*'Traffic Data'!$H55</f>
        <v>1266298.8800000001</v>
      </c>
      <c r="AA378" s="551">
        <f>'Traffic Data'!AC55*annualizationFactor*'Traffic Data'!$H55</f>
        <v>1278828.5999999999</v>
      </c>
      <c r="AB378" s="551">
        <f>'Traffic Data'!AD55*annualizationFactor*'Traffic Data'!$H55</f>
        <v>1291322.5499999998</v>
      </c>
      <c r="AC378" s="551">
        <f>'Traffic Data'!AE55*annualizationFactor*'Traffic Data'!$H55</f>
        <v>1303816.4999999998</v>
      </c>
      <c r="AD378" s="551">
        <f>'Traffic Data'!AF55*annualizationFactor*'Traffic Data'!$H55</f>
        <v>1316346.22</v>
      </c>
      <c r="AE378" s="551">
        <f>'Traffic Data'!AG55*annualizationFactor*'Traffic Data'!$H55</f>
        <v>1328840.17</v>
      </c>
      <c r="AF378" s="551">
        <f>'Traffic Data'!AH55*annualizationFactor*'Traffic Data'!$H55</f>
        <v>1341334.1199999999</v>
      </c>
      <c r="AG378" s="689">
        <f>'Traffic Data'!AI55*annualizationFactor*'Traffic Data'!$H55</f>
        <v>1353863.84</v>
      </c>
      <c r="AH378" s="5"/>
      <c r="AI378" s="5"/>
      <c r="AJ378" s="5"/>
      <c r="AK378" s="5"/>
      <c r="AL378" s="5"/>
      <c r="AM378" s="5"/>
      <c r="AN378" s="5"/>
    </row>
    <row r="379" spans="2:40" ht="21.9" customHeight="1" x14ac:dyDescent="0.25">
      <c r="B379" s="678"/>
      <c r="C379" s="554"/>
      <c r="D379" s="554"/>
      <c r="E379" s="1327"/>
      <c r="F379" s="114" t="s">
        <v>282</v>
      </c>
      <c r="G379" s="114" t="s">
        <v>321</v>
      </c>
      <c r="H379" s="551">
        <f>'Traffic Data'!J56*annualizationFactor*'Traffic Data'!$H56</f>
        <v>0</v>
      </c>
      <c r="I379" s="551">
        <f>'Traffic Data'!K56*annualizationFactor*'Traffic Data'!$H56</f>
        <v>86596.25</v>
      </c>
      <c r="J379" s="551">
        <f>'Traffic Data'!L56*annualizationFactor*'Traffic Data'!$H56</f>
        <v>250289.8075</v>
      </c>
      <c r="K379" s="551">
        <f>'Traffic Data'!M56*annualizationFactor*'Traffic Data'!$H56</f>
        <v>562635.81999999995</v>
      </c>
      <c r="L379" s="551">
        <f>'Traffic Data'!N56*annualizationFactor*'Traffic Data'!$H56</f>
        <v>875155.02500000014</v>
      </c>
      <c r="M379" s="551">
        <f>'Traffic Data'!O56*annualizationFactor*'Traffic Data'!$H56</f>
        <v>1187687.5524999995</v>
      </c>
      <c r="N379" s="551">
        <f>'Traffic Data'!P56*annualizationFactor*'Traffic Data'!$H56</f>
        <v>1500033.5649999999</v>
      </c>
      <c r="O379" s="551">
        <f>'Traffic Data'!Q56*annualizationFactor*'Traffic Data'!$H56</f>
        <v>1812739.2849999999</v>
      </c>
      <c r="P379" s="551">
        <f>'Traffic Data'!R56*annualizationFactor*'Traffic Data'!$H56</f>
        <v>2053876.5350000004</v>
      </c>
      <c r="Q379" s="551">
        <f>'Traffic Data'!S56*annualizationFactor*'Traffic Data'!$H56</f>
        <v>2295053.7525000004</v>
      </c>
      <c r="R379" s="551">
        <f>'Traffic Data'!T56*annualizationFactor*'Traffic Data'!$H56</f>
        <v>2536191.0024999995</v>
      </c>
      <c r="S379" s="551">
        <f>'Traffic Data'!U56*annualizationFactor*'Traffic Data'!$H56</f>
        <v>2777328.2524999995</v>
      </c>
      <c r="T379" s="551">
        <f>'Traffic Data'!V56*annualizationFactor*'Traffic Data'!$H56</f>
        <v>3018785.2424999997</v>
      </c>
      <c r="U379" s="551">
        <f>'Traffic Data'!W56*annualizationFactor*'Traffic Data'!$H56</f>
        <v>3138461.26</v>
      </c>
      <c r="V379" s="551">
        <f>'Traffic Data'!X56*annualizationFactor*'Traffic Data'!$H56</f>
        <v>3171034.7725</v>
      </c>
      <c r="W379" s="551">
        <f>'Traffic Data'!Y56*annualizationFactor*'Traffic Data'!$H56</f>
        <v>3203608.2850000001</v>
      </c>
      <c r="X379" s="551">
        <f>'Traffic Data'!Z56*annualizationFactor*'Traffic Data'!$H56</f>
        <v>3236181.7974999999</v>
      </c>
      <c r="Y379" s="551">
        <f>'Traffic Data'!AA56*annualizationFactor*'Traffic Data'!$H56</f>
        <v>3268848.5675000008</v>
      </c>
      <c r="Z379" s="551">
        <f>'Traffic Data'!AB56*annualizationFactor*'Traffic Data'!$H56</f>
        <v>3301422.08</v>
      </c>
      <c r="AA379" s="551">
        <f>'Traffic Data'!AC56*annualizationFactor*'Traffic Data'!$H56</f>
        <v>3334088.8499999992</v>
      </c>
      <c r="AB379" s="551">
        <f>'Traffic Data'!AD56*annualizationFactor*'Traffic Data'!$H56</f>
        <v>3366662.3624999993</v>
      </c>
      <c r="AC379" s="551">
        <f>'Traffic Data'!AE56*annualizationFactor*'Traffic Data'!$H56</f>
        <v>3399235.8749999991</v>
      </c>
      <c r="AD379" s="551">
        <f>'Traffic Data'!AF56*annualizationFactor*'Traffic Data'!$H56</f>
        <v>3431902.6449999991</v>
      </c>
      <c r="AE379" s="551">
        <f>'Traffic Data'!AG56*annualizationFactor*'Traffic Data'!$H56</f>
        <v>3464476.1574999993</v>
      </c>
      <c r="AF379" s="551">
        <f>'Traffic Data'!AH56*annualizationFactor*'Traffic Data'!$H56</f>
        <v>3497049.6699999995</v>
      </c>
      <c r="AG379" s="689">
        <f>'Traffic Data'!AI56*annualizationFactor*'Traffic Data'!$H56</f>
        <v>3529716.44</v>
      </c>
      <c r="AH379" s="5"/>
      <c r="AI379" s="5"/>
      <c r="AJ379" s="5"/>
      <c r="AK379" s="5"/>
      <c r="AL379" s="5"/>
      <c r="AM379" s="5"/>
      <c r="AN379" s="5"/>
    </row>
    <row r="380" spans="2:40" ht="21.9" customHeight="1" x14ac:dyDescent="0.25">
      <c r="B380" s="678"/>
      <c r="C380" s="554"/>
      <c r="D380" s="554"/>
      <c r="E380" s="1339"/>
      <c r="F380" s="250" t="s">
        <v>321</v>
      </c>
      <c r="G380" s="250" t="s">
        <v>274</v>
      </c>
      <c r="H380" s="551">
        <f>'Traffic Data'!J57*annualizationFactor*'Traffic Data'!$H57</f>
        <v>114975</v>
      </c>
      <c r="I380" s="551">
        <f>'Traffic Data'!K57*annualizationFactor*'Traffic Data'!$H57</f>
        <v>169921.55249999999</v>
      </c>
      <c r="J380" s="551">
        <f>'Traffic Data'!L57*annualizationFactor*'Traffic Data'!$H57</f>
        <v>238373.83500000002</v>
      </c>
      <c r="K380" s="551">
        <f>'Traffic Data'!M57*annualizationFactor*'Traffic Data'!$H57</f>
        <v>384943.96500000003</v>
      </c>
      <c r="L380" s="551">
        <f>'Traffic Data'!N57*annualizationFactor*'Traffic Data'!$H57</f>
        <v>531533.25750000007</v>
      </c>
      <c r="M380" s="551">
        <f>'Traffic Data'!O57*annualizationFactor*'Traffic Data'!$H57</f>
        <v>678183.87</v>
      </c>
      <c r="N380" s="551">
        <f>'Traffic Data'!P57*annualizationFactor*'Traffic Data'!$H57</f>
        <v>824754</v>
      </c>
      <c r="O380" s="551">
        <f>'Traffic Data'!Q57*annualizationFactor*'Traffic Data'!$H57</f>
        <v>971247.4800000001</v>
      </c>
      <c r="P380" s="551">
        <f>'Traffic Data'!R57*annualizationFactor*'Traffic Data'!$H57</f>
        <v>1265399.52</v>
      </c>
      <c r="Q380" s="551">
        <f>'Traffic Data'!S57*annualizationFactor*'Traffic Data'!$H57</f>
        <v>1559382.9300000002</v>
      </c>
      <c r="R380" s="551">
        <f>'Traffic Data'!T57*annualizationFactor*'Traffic Data'!$H57</f>
        <v>1853431.4925000002</v>
      </c>
      <c r="S380" s="551">
        <f>'Traffic Data'!U57*annualizationFactor*'Traffic Data'!$H57</f>
        <v>2147583.5325000002</v>
      </c>
      <c r="T380" s="551">
        <f>'Traffic Data'!V57*annualizationFactor*'Traffic Data'!$H57</f>
        <v>2441658.9225000003</v>
      </c>
      <c r="U380" s="551">
        <f>'Traffic Data'!W57*annualizationFactor*'Traffic Data'!$H57</f>
        <v>2657685.4500000002</v>
      </c>
      <c r="V380" s="551">
        <f>'Traffic Data'!X57*annualizationFactor*'Traffic Data'!$H57</f>
        <v>2712632.0025000004</v>
      </c>
      <c r="W380" s="551">
        <f>'Traffic Data'!Y57*annualizationFactor*'Traffic Data'!$H57</f>
        <v>2767578.5550000002</v>
      </c>
      <c r="X380" s="551">
        <f>'Traffic Data'!Z57*annualizationFactor*'Traffic Data'!$H57</f>
        <v>2822525.1074999999</v>
      </c>
      <c r="Y380" s="551">
        <f>'Traffic Data'!AA57*annualizationFactor*'Traffic Data'!$H57</f>
        <v>2877306.8624999998</v>
      </c>
      <c r="Z380" s="551">
        <f>'Traffic Data'!AB57*annualizationFactor*'Traffic Data'!$H57</f>
        <v>2932253.415</v>
      </c>
      <c r="AA380" s="551">
        <f>'Traffic Data'!AC57*annualizationFactor*'Traffic Data'!$H57</f>
        <v>2987035.17</v>
      </c>
      <c r="AB380" s="551">
        <f>'Traffic Data'!AD57*annualizationFactor*'Traffic Data'!$H57</f>
        <v>3041981.7225000001</v>
      </c>
      <c r="AC380" s="551">
        <f>'Traffic Data'!AE57*annualizationFactor*'Traffic Data'!$H57</f>
        <v>3096928.2749999999</v>
      </c>
      <c r="AD380" s="551">
        <f>'Traffic Data'!AF57*annualizationFactor*'Traffic Data'!$H57</f>
        <v>3151710.03</v>
      </c>
      <c r="AE380" s="551">
        <f>'Traffic Data'!AG57*annualizationFactor*'Traffic Data'!$H57</f>
        <v>3206656.5824999996</v>
      </c>
      <c r="AF380" s="551">
        <f>'Traffic Data'!AH57*annualizationFactor*'Traffic Data'!$H57</f>
        <v>3261603.1349999998</v>
      </c>
      <c r="AG380" s="689">
        <f>'Traffic Data'!AI57*annualizationFactor*'Traffic Data'!$H57</f>
        <v>3316384.8899999997</v>
      </c>
      <c r="AH380" s="5"/>
      <c r="AI380" s="5"/>
      <c r="AJ380" s="5"/>
      <c r="AK380" s="5"/>
      <c r="AL380" s="5"/>
      <c r="AM380" s="5"/>
      <c r="AN380" s="5"/>
    </row>
    <row r="381" spans="2:40" ht="21.9" customHeight="1" x14ac:dyDescent="0.25">
      <c r="B381" s="678"/>
      <c r="C381" s="554"/>
      <c r="D381" s="554"/>
      <c r="E381" s="114" t="s">
        <v>282</v>
      </c>
      <c r="F381" s="114" t="s">
        <v>308</v>
      </c>
      <c r="G381" s="114" t="s">
        <v>324</v>
      </c>
      <c r="H381" s="551">
        <f>'Traffic Data'!J58*annualizationFactor*'Traffic Data'!$H58</f>
        <v>657000</v>
      </c>
      <c r="I381" s="551">
        <f>'Traffic Data'!K58*annualizationFactor*'Traffic Data'!$H58</f>
        <v>697398.20000000007</v>
      </c>
      <c r="J381" s="551">
        <f>'Traffic Data'!L58*annualizationFactor*'Traffic Data'!$H58</f>
        <v>750859.75</v>
      </c>
      <c r="K381" s="551">
        <f>'Traffic Data'!M58*annualizationFactor*'Traffic Data'!$H58</f>
        <v>821906.99999999988</v>
      </c>
      <c r="L381" s="551">
        <f>'Traffic Data'!N58*annualizationFactor*'Traffic Data'!$H58</f>
        <v>892976.14999999991</v>
      </c>
      <c r="M381" s="551">
        <f>'Traffic Data'!O58*annualizationFactor*'Traffic Data'!$H58</f>
        <v>964198.60000000009</v>
      </c>
      <c r="N381" s="551">
        <f>'Traffic Data'!P58*annualizationFactor*'Traffic Data'!$H58</f>
        <v>1035245.8499999999</v>
      </c>
      <c r="O381" s="551">
        <f>'Traffic Data'!Q58*annualizationFactor*'Traffic Data'!$H58</f>
        <v>1106369.7499999998</v>
      </c>
      <c r="P381" s="551">
        <f>'Traffic Data'!R58*annualizationFactor*'Traffic Data'!$H58</f>
        <v>1171222.95</v>
      </c>
      <c r="Q381" s="551">
        <f>'Traffic Data'!S58*annualizationFactor*'Traffic Data'!$H58</f>
        <v>1236021.4000000001</v>
      </c>
      <c r="R381" s="551">
        <f>'Traffic Data'!T58*annualizationFactor*'Traffic Data'!$H58</f>
        <v>1300878.25</v>
      </c>
      <c r="S381" s="551">
        <f>'Traffic Data'!U58*annualizationFactor*'Traffic Data'!$H58</f>
        <v>1365731.45</v>
      </c>
      <c r="T381" s="551">
        <f>'Traffic Data'!V58*annualizationFactor*'Traffic Data'!$H58</f>
        <v>1430814.6</v>
      </c>
      <c r="U381" s="551">
        <f>'Traffic Data'!W58*annualizationFactor*'Traffic Data'!$H58</f>
        <v>1478031</v>
      </c>
      <c r="V381" s="551">
        <f>'Traffic Data'!X58*annualizationFactor*'Traffic Data'!$H58</f>
        <v>1518429.2</v>
      </c>
      <c r="W381" s="551">
        <f>'Traffic Data'!Y58*annualizationFactor*'Traffic Data'!$H58</f>
        <v>1558827.3999999997</v>
      </c>
      <c r="X381" s="551">
        <f>'Traffic Data'!Z58*annualizationFactor*'Traffic Data'!$H58</f>
        <v>1599225.5999999999</v>
      </c>
      <c r="Y381" s="551">
        <f>'Traffic Data'!AA58*annualizationFactor*'Traffic Data'!$H58</f>
        <v>1639667.5999999999</v>
      </c>
      <c r="Z381" s="551">
        <f>'Traffic Data'!AB58*annualizationFactor*'Traffic Data'!$H58</f>
        <v>1680065.7999999996</v>
      </c>
      <c r="AA381" s="551">
        <f>'Traffic Data'!AC58*annualizationFactor*'Traffic Data'!$H58</f>
        <v>1720562.55</v>
      </c>
      <c r="AB381" s="551">
        <f>'Traffic Data'!AD58*annualizationFactor*'Traffic Data'!$H58</f>
        <v>1760960.7499999998</v>
      </c>
      <c r="AC381" s="551">
        <f>'Traffic Data'!AE58*annualizationFactor*'Traffic Data'!$H58</f>
        <v>1801358.95</v>
      </c>
      <c r="AD381" s="551">
        <f>'Traffic Data'!AF58*annualizationFactor*'Traffic Data'!$H58</f>
        <v>1841800.9499999995</v>
      </c>
      <c r="AE381" s="551">
        <f>'Traffic Data'!AG58*annualizationFactor*'Traffic Data'!$H58</f>
        <v>1882199.15</v>
      </c>
      <c r="AF381" s="551">
        <f>'Traffic Data'!AH58*annualizationFactor*'Traffic Data'!$H58</f>
        <v>1922597.3499999999</v>
      </c>
      <c r="AG381" s="689">
        <f>'Traffic Data'!AI58*annualizationFactor*'Traffic Data'!$H58</f>
        <v>1963094.0999999996</v>
      </c>
      <c r="AH381" s="5"/>
      <c r="AI381" s="5"/>
      <c r="AJ381" s="5"/>
      <c r="AK381" s="5"/>
      <c r="AL381" s="5"/>
      <c r="AM381" s="5"/>
      <c r="AN381" s="5"/>
    </row>
    <row r="382" spans="2:40" ht="21.9" customHeight="1" x14ac:dyDescent="0.25">
      <c r="B382" s="678"/>
      <c r="C382" s="554"/>
      <c r="D382" s="554"/>
      <c r="E382" s="273" t="s">
        <v>321</v>
      </c>
      <c r="F382" s="273" t="s">
        <v>318</v>
      </c>
      <c r="G382" s="273" t="s">
        <v>308</v>
      </c>
      <c r="H382" s="551">
        <f>'Traffic Data'!J59*annualizationFactor*'Traffic Data'!$H59</f>
        <v>0</v>
      </c>
      <c r="I382" s="551">
        <f>'Traffic Data'!K59*annualizationFactor*'Traffic Data'!$H59</f>
        <v>1101889.1560000002</v>
      </c>
      <c r="J382" s="551">
        <f>'Traffic Data'!L59*annualizationFactor*'Traffic Data'!$H59</f>
        <v>1186358.405</v>
      </c>
      <c r="K382" s="551">
        <f>'Traffic Data'!M59*annualizationFactor*'Traffic Data'!$H59</f>
        <v>1298613.0599999998</v>
      </c>
      <c r="L382" s="551">
        <f>'Traffic Data'!N59*annualizationFactor*'Traffic Data'!$H59</f>
        <v>1410902.3169999998</v>
      </c>
      <c r="M382" s="551">
        <f>'Traffic Data'!O59*annualizationFactor*'Traffic Data'!$H59</f>
        <v>1523433.7880000002</v>
      </c>
      <c r="N382" s="551">
        <f>'Traffic Data'!P59*annualizationFactor*'Traffic Data'!$H59</f>
        <v>1635688.4429999997</v>
      </c>
      <c r="O382" s="551">
        <f>'Traffic Data'!Q59*annualizationFactor*'Traffic Data'!$H59</f>
        <v>1748064.2049999996</v>
      </c>
      <c r="P382" s="551">
        <f>'Traffic Data'!R59*annualizationFactor*'Traffic Data'!$H59</f>
        <v>1850532.2609999999</v>
      </c>
      <c r="Q382" s="551">
        <f>'Traffic Data'!S59*annualizationFactor*'Traffic Data'!$H59</f>
        <v>1952913.8120000004</v>
      </c>
      <c r="R382" s="551">
        <f>'Traffic Data'!T59*annualizationFactor*'Traffic Data'!$H59</f>
        <v>2055387.635</v>
      </c>
      <c r="S382" s="551">
        <f>'Traffic Data'!U59*annualizationFactor*'Traffic Data'!$H59</f>
        <v>2157855.6910000001</v>
      </c>
      <c r="T382" s="551">
        <f>'Traffic Data'!V59*annualizationFactor*'Traffic Data'!$H59</f>
        <v>2260687.0680000004</v>
      </c>
      <c r="U382" s="551">
        <f>'Traffic Data'!W59*annualizationFactor*'Traffic Data'!$H59</f>
        <v>2335288.98</v>
      </c>
      <c r="V382" s="551">
        <f>'Traffic Data'!X59*annualizationFactor*'Traffic Data'!$H59</f>
        <v>2399118.1359999999</v>
      </c>
      <c r="W382" s="551">
        <f>'Traffic Data'!Y59*annualizationFactor*'Traffic Data'!$H59</f>
        <v>2462947.2919999994</v>
      </c>
      <c r="X382" s="551">
        <f>'Traffic Data'!Z59*annualizationFactor*'Traffic Data'!$H59</f>
        <v>2526776.4479999999</v>
      </c>
      <c r="Y382" s="551">
        <f>'Traffic Data'!AA59*annualizationFactor*'Traffic Data'!$H59</f>
        <v>2590674.8079999997</v>
      </c>
      <c r="Z382" s="551">
        <f>'Traffic Data'!AB59*annualizationFactor*'Traffic Data'!$H59</f>
        <v>2654503.9639999997</v>
      </c>
      <c r="AA382" s="551">
        <f>'Traffic Data'!AC59*annualizationFactor*'Traffic Data'!$H59</f>
        <v>2718488.8290000004</v>
      </c>
      <c r="AB382" s="551">
        <f>'Traffic Data'!AD59*annualizationFactor*'Traffic Data'!$H59</f>
        <v>2782317.9849999999</v>
      </c>
      <c r="AC382" s="551">
        <f>'Traffic Data'!AE59*annualizationFactor*'Traffic Data'!$H59</f>
        <v>2846147.1409999998</v>
      </c>
      <c r="AD382" s="551">
        <f>'Traffic Data'!AF59*annualizationFactor*'Traffic Data'!$H59</f>
        <v>2910045.5009999992</v>
      </c>
      <c r="AE382" s="551">
        <f>'Traffic Data'!AG59*annualizationFactor*'Traffic Data'!$H59</f>
        <v>2973874.6570000001</v>
      </c>
      <c r="AF382" s="551">
        <f>'Traffic Data'!AH59*annualizationFactor*'Traffic Data'!$H59</f>
        <v>3037703.8130000001</v>
      </c>
      <c r="AG382" s="689">
        <f>'Traffic Data'!AI59*annualizationFactor*'Traffic Data'!$H59</f>
        <v>3101688.6779999994</v>
      </c>
      <c r="AH382" s="5"/>
      <c r="AI382" s="5"/>
      <c r="AJ382" s="5"/>
      <c r="AK382" s="5"/>
      <c r="AL382" s="5"/>
      <c r="AM382" s="5"/>
      <c r="AN382" s="5"/>
    </row>
    <row r="383" spans="2:40" ht="21.9" customHeight="1" x14ac:dyDescent="0.25">
      <c r="B383" s="678"/>
      <c r="C383" s="554"/>
      <c r="D383" s="554"/>
      <c r="E383" s="273" t="s">
        <v>333</v>
      </c>
      <c r="F383" s="273" t="s">
        <v>319</v>
      </c>
      <c r="G383" s="273" t="s">
        <v>308</v>
      </c>
      <c r="H383" s="551">
        <f>'Traffic Data'!J60*annualizationFactor*'Traffic Data'!$H60</f>
        <v>1218436.3636363635</v>
      </c>
      <c r="I383" s="551">
        <f>'Traffic Data'!K60*annualizationFactor*'Traffic Data'!$H60</f>
        <v>1235166.1718181816</v>
      </c>
      <c r="J383" s="551">
        <f>'Traffic Data'!L60*annualizationFactor*'Traffic Data'!$H60</f>
        <v>1264083.7281818183</v>
      </c>
      <c r="K383" s="551">
        <f>'Traffic Data'!M60*annualizationFactor*'Traffic Data'!$H60</f>
        <v>1303784.4463636365</v>
      </c>
      <c r="L383" s="551">
        <f>'Traffic Data'!N60*annualizationFactor*'Traffic Data'!$H60</f>
        <v>1343502.0872727274</v>
      </c>
      <c r="M383" s="551">
        <f>'Traffic Data'!O60*annualizationFactor*'Traffic Data'!$H60</f>
        <v>1383277.2654545454</v>
      </c>
      <c r="N383" s="551">
        <f>'Traffic Data'!P60*annualizationFactor*'Traffic Data'!$H60</f>
        <v>1422977.9836363636</v>
      </c>
      <c r="O383" s="551">
        <f>'Traffic Data'!Q60*annualizationFactor*'Traffic Data'!$H60</f>
        <v>1462817.4681818183</v>
      </c>
      <c r="P383" s="551">
        <f>'Traffic Data'!R60*annualizationFactor*'Traffic Data'!$H60</f>
        <v>1490445.5127272729</v>
      </c>
      <c r="Q383" s="551">
        <f>'Traffic Data'!S60*annualizationFactor*'Traffic Data'!$H60</f>
        <v>1518076.9418181817</v>
      </c>
      <c r="R383" s="551">
        <f>'Traffic Data'!T60*annualizationFactor*'Traffic Data'!$H60</f>
        <v>1545711.7554545454</v>
      </c>
      <c r="S383" s="551">
        <f>'Traffic Data'!U60*annualizationFactor*'Traffic Data'!$H60</f>
        <v>1573339.8000000003</v>
      </c>
      <c r="T383" s="551">
        <f>'Traffic Data'!V60*annualizationFactor*'Traffic Data'!$H60</f>
        <v>1601164.148181818</v>
      </c>
      <c r="U383" s="551">
        <f>'Traffic Data'!W60*annualizationFactor*'Traffic Data'!$H60</f>
        <v>1617893.9563636363</v>
      </c>
      <c r="V383" s="551">
        <f>'Traffic Data'!X60*annualizationFactor*'Traffic Data'!$H60</f>
        <v>1634623.7645454542</v>
      </c>
      <c r="W383" s="551">
        <f>'Traffic Data'!Y60*annualizationFactor*'Traffic Data'!$H60</f>
        <v>1651353.572727273</v>
      </c>
      <c r="X383" s="551">
        <f>'Traffic Data'!Z60*annualizationFactor*'Traffic Data'!$H60</f>
        <v>1668083.3809090904</v>
      </c>
      <c r="Y383" s="551">
        <f>'Traffic Data'!AA60*annualizationFactor*'Traffic Data'!$H60</f>
        <v>1684928.2636363637</v>
      </c>
      <c r="Z383" s="551">
        <f>'Traffic Data'!AB60*annualizationFactor*'Traffic Data'!$H60</f>
        <v>1701658.0718181818</v>
      </c>
      <c r="AA383" s="551">
        <f>'Traffic Data'!AC60*annualizationFactor*'Traffic Data'!$H60</f>
        <v>1718452.1863636365</v>
      </c>
      <c r="AB383" s="551">
        <f>'Traffic Data'!AD60*annualizationFactor*'Traffic Data'!$H60</f>
        <v>1735181.9945454544</v>
      </c>
      <c r="AC383" s="551">
        <f>'Traffic Data'!AE60*annualizationFactor*'Traffic Data'!$H60</f>
        <v>1751911.802727273</v>
      </c>
      <c r="AD383" s="551">
        <f>'Traffic Data'!AF60*annualizationFactor*'Traffic Data'!$H60</f>
        <v>1768756.6854545455</v>
      </c>
      <c r="AE383" s="551">
        <f>'Traffic Data'!AG60*annualizationFactor*'Traffic Data'!$H60</f>
        <v>1785486.4936363639</v>
      </c>
      <c r="AF383" s="551">
        <f>'Traffic Data'!AH60*annualizationFactor*'Traffic Data'!$H60</f>
        <v>1802216.3018181818</v>
      </c>
      <c r="AG383" s="689">
        <f>'Traffic Data'!AI60*annualizationFactor*'Traffic Data'!$H60</f>
        <v>1819010.4163636363</v>
      </c>
      <c r="AH383" s="5"/>
      <c r="AI383" s="5"/>
      <c r="AJ383" s="5"/>
      <c r="AK383" s="5"/>
      <c r="AL383" s="5"/>
      <c r="AM383" s="5"/>
      <c r="AN383" s="5"/>
    </row>
    <row r="384" spans="2:40" ht="21.9" customHeight="1" x14ac:dyDescent="0.25">
      <c r="B384" s="678"/>
      <c r="C384" s="554"/>
      <c r="D384" s="554"/>
      <c r="E384" s="114" t="s">
        <v>319</v>
      </c>
      <c r="F384" s="114" t="s">
        <v>276</v>
      </c>
      <c r="G384" s="114" t="s">
        <v>333</v>
      </c>
      <c r="H384" s="551">
        <f>'Traffic Data'!J61*annualizationFactor*'Traffic Data'!$H61</f>
        <v>4375852.2727272734</v>
      </c>
      <c r="I384" s="551">
        <f>'Traffic Data'!K61*annualizationFactor*'Traffic Data'!$H61</f>
        <v>4501994.9661931833</v>
      </c>
      <c r="J384" s="551">
        <f>'Traffic Data'!L61*annualizationFactor*'Traffic Data'!$H61</f>
        <v>4638530.3088068189</v>
      </c>
      <c r="K384" s="551">
        <f>'Traffic Data'!M61*annualizationFactor*'Traffic Data'!$H61</f>
        <v>4819668.7136363639</v>
      </c>
      <c r="L384" s="551">
        <f>'Traffic Data'!N61*annualizationFactor*'Traffic Data'!$H61</f>
        <v>5000837.7494318178</v>
      </c>
      <c r="M384" s="551">
        <f>'Traffic Data'!O61*annualizationFactor*'Traffic Data'!$H61</f>
        <v>5182081.1747159092</v>
      </c>
      <c r="N384" s="551">
        <f>'Traffic Data'!P61*annualizationFactor*'Traffic Data'!$H61</f>
        <v>5363219.579545456</v>
      </c>
      <c r="O384" s="551">
        <f>'Traffic Data'!Q61*annualizationFactor*'Traffic Data'!$H61</f>
        <v>5544406.1187500013</v>
      </c>
      <c r="P384" s="551">
        <f>'Traffic Data'!R61*annualizationFactor*'Traffic Data'!$H61</f>
        <v>5743778.7000000011</v>
      </c>
      <c r="Q384" s="551">
        <f>'Traffic Data'!S61*annualizationFactor*'Traffic Data'!$H61</f>
        <v>5943085.6434659092</v>
      </c>
      <c r="R384" s="551">
        <f>'Traffic Data'!T61*annualizationFactor*'Traffic Data'!$H61</f>
        <v>6142458.224715909</v>
      </c>
      <c r="S384" s="551">
        <f>'Traffic Data'!U61*annualizationFactor*'Traffic Data'!$H61</f>
        <v>6341830.8059659088</v>
      </c>
      <c r="T384" s="551">
        <f>'Traffic Data'!V61*annualizationFactor*'Traffic Data'!$H61</f>
        <v>6541317.1593750017</v>
      </c>
      <c r="U384" s="551">
        <f>'Traffic Data'!W61*annualizationFactor*'Traffic Data'!$H61</f>
        <v>6696069.1750000007</v>
      </c>
      <c r="V384" s="551">
        <f>'Traffic Data'!X61*annualizationFactor*'Traffic Data'!$H61</f>
        <v>6822211.8684659088</v>
      </c>
      <c r="W384" s="551">
        <f>'Traffic Data'!Y61*annualizationFactor*'Traffic Data'!$H61</f>
        <v>6948354.5619318197</v>
      </c>
      <c r="X384" s="551">
        <f>'Traffic Data'!Z61*annualizationFactor*'Traffic Data'!$H61</f>
        <v>7074497.2553977277</v>
      </c>
      <c r="Y384" s="551">
        <f>'Traffic Data'!AA61*annualizationFactor*'Traffic Data'!$H61</f>
        <v>7200626.8213068182</v>
      </c>
      <c r="Z384" s="551">
        <f>'Traffic Data'!AB61*annualizationFactor*'Traffic Data'!$H61</f>
        <v>7326769.5147727262</v>
      </c>
      <c r="AA384" s="551">
        <f>'Traffic Data'!AC61*annualizationFactor*'Traffic Data'!$H61</f>
        <v>7452899.0806818157</v>
      </c>
      <c r="AB384" s="551">
        <f>'Traffic Data'!AD61*annualizationFactor*'Traffic Data'!$H61</f>
        <v>7579041.7741477294</v>
      </c>
      <c r="AC384" s="551">
        <f>'Traffic Data'!AE61*annualizationFactor*'Traffic Data'!$H61</f>
        <v>7705184.4676136374</v>
      </c>
      <c r="AD384" s="551">
        <f>'Traffic Data'!AF61*annualizationFactor*'Traffic Data'!$H61</f>
        <v>7831314.0335227288</v>
      </c>
      <c r="AE384" s="551">
        <f>'Traffic Data'!AG61*annualizationFactor*'Traffic Data'!$H61</f>
        <v>7957456.7269886369</v>
      </c>
      <c r="AF384" s="551">
        <f>'Traffic Data'!AH61*annualizationFactor*'Traffic Data'!$H61</f>
        <v>8083599.4204545459</v>
      </c>
      <c r="AG384" s="689">
        <f>'Traffic Data'!AI61*annualizationFactor*'Traffic Data'!$H61</f>
        <v>8209728.9863636373</v>
      </c>
      <c r="AH384" s="5"/>
      <c r="AI384" s="5"/>
      <c r="AJ384" s="5"/>
      <c r="AK384" s="5"/>
      <c r="AL384" s="5"/>
      <c r="AM384" s="5"/>
      <c r="AN384" s="5"/>
    </row>
    <row r="385" spans="2:40" ht="21.9" customHeight="1" x14ac:dyDescent="0.25">
      <c r="B385" s="678"/>
      <c r="C385" s="554"/>
      <c r="D385" s="554"/>
      <c r="E385" s="114"/>
      <c r="F385" s="114" t="s">
        <v>333</v>
      </c>
      <c r="G385" s="114" t="s">
        <v>323</v>
      </c>
      <c r="H385" s="551">
        <f>'Traffic Data'!J62*annualizationFactor*'Traffic Data'!$H62</f>
        <v>637284.46969696973</v>
      </c>
      <c r="I385" s="551">
        <f>'Traffic Data'!K62*annualizationFactor*'Traffic Data'!$H62</f>
        <v>655371.60918560601</v>
      </c>
      <c r="J385" s="551">
        <f>'Traffic Data'!L62*annualizationFactor*'Traffic Data'!$H62</f>
        <v>675443.55438446964</v>
      </c>
      <c r="K385" s="551">
        <f>'Traffic Data'!M62*annualizationFactor*'Traffic Data'!$H62</f>
        <v>703616.55913825752</v>
      </c>
      <c r="L385" s="551">
        <f>'Traffic Data'!N62*annualizationFactor*'Traffic Data'!$H62</f>
        <v>731794.59508522728</v>
      </c>
      <c r="M385" s="551">
        <f>'Traffic Data'!O62*annualizationFactor*'Traffic Data'!$H62</f>
        <v>759978.50075757562</v>
      </c>
      <c r="N385" s="551">
        <f>'Traffic Data'!P62*annualizationFactor*'Traffic Data'!$H62</f>
        <v>788151.50551136374</v>
      </c>
      <c r="O385" s="551">
        <f>'Traffic Data'!Q62*annualizationFactor*'Traffic Data'!$H62</f>
        <v>816326.1873295455</v>
      </c>
      <c r="P385" s="551">
        <f>'Traffic Data'!R62*annualizationFactor*'Traffic Data'!$H62</f>
        <v>847993.35574810626</v>
      </c>
      <c r="Q385" s="551">
        <f>'Traffic Data'!S62*annualizationFactor*'Traffic Data'!$H62</f>
        <v>879649.62324810599</v>
      </c>
      <c r="R385" s="551">
        <f>'Traffic Data'!T62*annualizationFactor*'Traffic Data'!$H62</f>
        <v>911316.79166666651</v>
      </c>
      <c r="S385" s="551">
        <f>'Traffic Data'!U62*annualizationFactor*'Traffic Data'!$H62</f>
        <v>942983.96008522704</v>
      </c>
      <c r="T385" s="551">
        <f>'Traffic Data'!V62*annualizationFactor*'Traffic Data'!$H62</f>
        <v>974656.15969696979</v>
      </c>
      <c r="U385" s="551">
        <f>'Traffic Data'!W62*annualizationFactor*'Traffic Data'!$H62</f>
        <v>998225.62268939381</v>
      </c>
      <c r="V385" s="551">
        <f>'Traffic Data'!X62*annualizationFactor*'Traffic Data'!$H62</f>
        <v>1016312.7621780302</v>
      </c>
      <c r="W385" s="551">
        <f>'Traffic Data'!Y62*annualizationFactor*'Traffic Data'!$H62</f>
        <v>1034399.9016666666</v>
      </c>
      <c r="X385" s="551">
        <f>'Traffic Data'!Z62*annualizationFactor*'Traffic Data'!$H62</f>
        <v>1052487.0411553029</v>
      </c>
      <c r="Y385" s="551">
        <f>'Traffic Data'!AA62*annualizationFactor*'Traffic Data'!$H62</f>
        <v>1070564.9567897725</v>
      </c>
      <c r="Z385" s="551">
        <f>'Traffic Data'!AB62*annualizationFactor*'Traffic Data'!$H62</f>
        <v>1088652.096278409</v>
      </c>
      <c r="AA385" s="551">
        <f>'Traffic Data'!AC62*annualizationFactor*'Traffic Data'!$H62</f>
        <v>1106730.0119128788</v>
      </c>
      <c r="AB385" s="551">
        <f>'Traffic Data'!AD62*annualizationFactor*'Traffic Data'!$H62</f>
        <v>1124817.1514015151</v>
      </c>
      <c r="AC385" s="551">
        <f>'Traffic Data'!AE62*annualizationFactor*'Traffic Data'!$H62</f>
        <v>1142904.2908901514</v>
      </c>
      <c r="AD385" s="551">
        <f>'Traffic Data'!AF62*annualizationFactor*'Traffic Data'!$H62</f>
        <v>1160982.206524621</v>
      </c>
      <c r="AE385" s="551">
        <f>'Traffic Data'!AG62*annualizationFactor*'Traffic Data'!$H62</f>
        <v>1179069.3460132575</v>
      </c>
      <c r="AF385" s="551">
        <f>'Traffic Data'!AH62*annualizationFactor*'Traffic Data'!$H62</f>
        <v>1197156.4855018938</v>
      </c>
      <c r="AG385" s="689">
        <f>'Traffic Data'!AI62*annualizationFactor*'Traffic Data'!$H62</f>
        <v>1215234.4011363634</v>
      </c>
      <c r="AH385" s="5"/>
      <c r="AI385" s="5"/>
      <c r="AJ385" s="5"/>
      <c r="AK385" s="5"/>
      <c r="AL385" s="5"/>
      <c r="AM385" s="5"/>
      <c r="AN385" s="5"/>
    </row>
    <row r="386" spans="2:40" ht="21.9" customHeight="1" x14ac:dyDescent="0.25">
      <c r="B386" s="678"/>
      <c r="C386" s="554"/>
      <c r="D386" s="554"/>
      <c r="E386" s="114"/>
      <c r="F386" s="114" t="s">
        <v>323</v>
      </c>
      <c r="G386" s="114" t="s">
        <v>322</v>
      </c>
      <c r="H386" s="551">
        <f>'Traffic Data'!J63*annualizationFactor*'Traffic Data'!$H63</f>
        <v>157613.63636363635</v>
      </c>
      <c r="I386" s="551">
        <f>'Traffic Data'!K63*annualizationFactor*'Traffic Data'!$H63</f>
        <v>162086.96022727274</v>
      </c>
      <c r="J386" s="551">
        <f>'Traffic Data'!L63*annualizationFactor*'Traffic Data'!$H63</f>
        <v>167051.16761363635</v>
      </c>
      <c r="K386" s="551">
        <f>'Traffic Data'!M63*annualizationFactor*'Traffic Data'!$H63</f>
        <v>174018.93465909088</v>
      </c>
      <c r="L386" s="551">
        <f>'Traffic Data'!N63*annualizationFactor*'Traffic Data'!$H63</f>
        <v>180987.94602272726</v>
      </c>
      <c r="M386" s="551">
        <f>'Traffic Data'!O63*annualizationFactor*'Traffic Data'!$H63</f>
        <v>187958.40909090906</v>
      </c>
      <c r="N386" s="551">
        <f>'Traffic Data'!P63*annualizationFactor*'Traffic Data'!$H63</f>
        <v>194926.17613636365</v>
      </c>
      <c r="O386" s="551">
        <f>'Traffic Data'!Q63*annualizationFactor*'Traffic Data'!$H63</f>
        <v>201894.35795454547</v>
      </c>
      <c r="P386" s="551">
        <f>'Traffic Data'!R63*annualizationFactor*'Traffic Data'!$H63</f>
        <v>209726.30397727276</v>
      </c>
      <c r="Q386" s="551">
        <f>'Traffic Data'!S63*annualizationFactor*'Traffic Data'!$H63</f>
        <v>217555.55397727271</v>
      </c>
      <c r="R386" s="551">
        <f>'Traffic Data'!T63*annualizationFactor*'Traffic Data'!$H63</f>
        <v>225387.49999999997</v>
      </c>
      <c r="S386" s="551">
        <f>'Traffic Data'!U63*annualizationFactor*'Traffic Data'!$H63</f>
        <v>233219.44602272721</v>
      </c>
      <c r="T386" s="551">
        <f>'Traffic Data'!V63*annualizationFactor*'Traffic Data'!$H63</f>
        <v>241052.63636363638</v>
      </c>
      <c r="U386" s="551">
        <f>'Traffic Data'!W63*annualizationFactor*'Traffic Data'!$H63</f>
        <v>246881.85227272724</v>
      </c>
      <c r="V386" s="551">
        <f>'Traffic Data'!X63*annualizationFactor*'Traffic Data'!$H63</f>
        <v>251355.17613636362</v>
      </c>
      <c r="W386" s="551">
        <f>'Traffic Data'!Y63*annualizationFactor*'Traffic Data'!$H63</f>
        <v>255828.49999999997</v>
      </c>
      <c r="X386" s="551">
        <f>'Traffic Data'!Z63*annualizationFactor*'Traffic Data'!$H63</f>
        <v>260301.82386363632</v>
      </c>
      <c r="Y386" s="551">
        <f>'Traffic Data'!AA63*annualizationFactor*'Traffic Data'!$H63</f>
        <v>264772.86647727265</v>
      </c>
      <c r="Z386" s="551">
        <f>'Traffic Data'!AB63*annualizationFactor*'Traffic Data'!$H63</f>
        <v>269246.19034090906</v>
      </c>
      <c r="AA386" s="551">
        <f>'Traffic Data'!AC63*annualizationFactor*'Traffic Data'!$H63</f>
        <v>273717.23295454541</v>
      </c>
      <c r="AB386" s="551">
        <f>'Traffic Data'!AD63*annualizationFactor*'Traffic Data'!$H63</f>
        <v>278190.55681818182</v>
      </c>
      <c r="AC386" s="551">
        <f>'Traffic Data'!AE63*annualizationFactor*'Traffic Data'!$H63</f>
        <v>282663.88068181818</v>
      </c>
      <c r="AD386" s="551">
        <f>'Traffic Data'!AF63*annualizationFactor*'Traffic Data'!$H63</f>
        <v>287134.92329545453</v>
      </c>
      <c r="AE386" s="551">
        <f>'Traffic Data'!AG63*annualizationFactor*'Traffic Data'!$H63</f>
        <v>291608.24715909088</v>
      </c>
      <c r="AF386" s="551">
        <f>'Traffic Data'!AH63*annualizationFactor*'Traffic Data'!$H63</f>
        <v>296081.57102272724</v>
      </c>
      <c r="AG386" s="689">
        <f>'Traffic Data'!AI63*annualizationFactor*'Traffic Data'!$H63</f>
        <v>300552.61363636359</v>
      </c>
      <c r="AH386" s="5"/>
      <c r="AI386" s="5"/>
      <c r="AJ386" s="5"/>
      <c r="AK386" s="5"/>
      <c r="AL386" s="5"/>
      <c r="AM386" s="5"/>
      <c r="AN386" s="5"/>
    </row>
    <row r="387" spans="2:40" ht="21.9" customHeight="1" x14ac:dyDescent="0.25">
      <c r="B387" s="678"/>
      <c r="C387" s="554"/>
      <c r="D387" s="554"/>
      <c r="E387" s="114"/>
      <c r="F387" s="114" t="s">
        <v>322</v>
      </c>
      <c r="G387" s="114" t="s">
        <v>326</v>
      </c>
      <c r="H387" s="551">
        <f>'Traffic Data'!J64*annualizationFactor*'Traffic Data'!$H64</f>
        <v>404403.40909090912</v>
      </c>
      <c r="I387" s="551">
        <f>'Traffic Data'!K64*annualizationFactor*'Traffic Data'!$H64</f>
        <v>415870.94176136365</v>
      </c>
      <c r="J387" s="551">
        <f>'Traffic Data'!L64*annualizationFactor*'Traffic Data'!$H64</f>
        <v>428937.88991477271</v>
      </c>
      <c r="K387" s="551">
        <f>'Traffic Data'!M64*annualizationFactor*'Traffic Data'!$H64</f>
        <v>445634.35866477276</v>
      </c>
      <c r="L387" s="551">
        <f>'Traffic Data'!N64*annualizationFactor*'Traffic Data'!$H64</f>
        <v>462336.21946022724</v>
      </c>
      <c r="M387" s="551">
        <f>'Traffic Data'!O64*annualizationFactor*'Traffic Data'!$H64</f>
        <v>479035.38423295476</v>
      </c>
      <c r="N387" s="551">
        <f>'Traffic Data'!P64*annualizationFactor*'Traffic Data'!$H64</f>
        <v>495731.85298295465</v>
      </c>
      <c r="O387" s="551">
        <f>'Traffic Data'!Q64*annualizationFactor*'Traffic Data'!$H64</f>
        <v>512431.69176136376</v>
      </c>
      <c r="P387" s="551">
        <f>'Traffic Data'!R64*annualizationFactor*'Traffic Data'!$H64</f>
        <v>531306.546875</v>
      </c>
      <c r="Q387" s="551">
        <f>'Traffic Data'!S64*annualizationFactor*'Traffic Data'!$H64</f>
        <v>550180.72798295459</v>
      </c>
      <c r="R387" s="551">
        <f>'Traffic Data'!T64*annualizationFactor*'Traffic Data'!$H64</f>
        <v>569052.88707386365</v>
      </c>
      <c r="S387" s="551">
        <f>'Traffic Data'!U64*annualizationFactor*'Traffic Data'!$H64</f>
        <v>587927.74218750012</v>
      </c>
      <c r="T387" s="551">
        <f>'Traffic Data'!V64*annualizationFactor*'Traffic Data'!$H64</f>
        <v>606805.96732954541</v>
      </c>
      <c r="U387" s="551">
        <f>'Traffic Data'!W64*annualizationFactor*'Traffic Data'!$H64</f>
        <v>622050.62784090906</v>
      </c>
      <c r="V387" s="551">
        <f>'Traffic Data'!X64*annualizationFactor*'Traffic Data'!$H64</f>
        <v>633518.16051136376</v>
      </c>
      <c r="W387" s="551">
        <f>'Traffic Data'!Y64*annualizationFactor*'Traffic Data'!$H64</f>
        <v>644985.69318181835</v>
      </c>
      <c r="X387" s="551">
        <f>'Traffic Data'!Z64*annualizationFactor*'Traffic Data'!$H64</f>
        <v>656453.22585227282</v>
      </c>
      <c r="Y387" s="551">
        <f>'Traffic Data'!AA64*annualizationFactor*'Traffic Data'!$H64</f>
        <v>667917.38849431835</v>
      </c>
      <c r="Z387" s="551">
        <f>'Traffic Data'!AB64*annualizationFactor*'Traffic Data'!$H64</f>
        <v>679384.92116477259</v>
      </c>
      <c r="AA387" s="551">
        <f>'Traffic Data'!AC64*annualizationFactor*'Traffic Data'!$H64</f>
        <v>690849.083806818</v>
      </c>
      <c r="AB387" s="551">
        <f>'Traffic Data'!AD64*annualizationFactor*'Traffic Data'!$H64</f>
        <v>702316.61647727259</v>
      </c>
      <c r="AC387" s="551">
        <f>'Traffic Data'!AE64*annualizationFactor*'Traffic Data'!$H64</f>
        <v>713784.14914772718</v>
      </c>
      <c r="AD387" s="551">
        <f>'Traffic Data'!AF64*annualizationFactor*'Traffic Data'!$H64</f>
        <v>725248.31178977247</v>
      </c>
      <c r="AE387" s="551">
        <f>'Traffic Data'!AG64*annualizationFactor*'Traffic Data'!$H64</f>
        <v>736715.84446022718</v>
      </c>
      <c r="AF387" s="551">
        <f>'Traffic Data'!AH64*annualizationFactor*'Traffic Data'!$H64</f>
        <v>748183.37713068165</v>
      </c>
      <c r="AG387" s="689">
        <f>'Traffic Data'!AI64*annualizationFactor*'Traffic Data'!$H64</f>
        <v>759647.53977272718</v>
      </c>
      <c r="AH387" s="5"/>
      <c r="AI387" s="5"/>
      <c r="AJ387" s="5"/>
      <c r="AK387" s="5"/>
      <c r="AL387" s="5"/>
      <c r="AM387" s="5"/>
      <c r="AN387" s="5"/>
    </row>
    <row r="388" spans="2:40" ht="21.9" customHeight="1" x14ac:dyDescent="0.25">
      <c r="B388" s="678"/>
      <c r="C388" s="554"/>
      <c r="D388" s="554"/>
      <c r="E388" s="114"/>
      <c r="F388" s="114" t="s">
        <v>326</v>
      </c>
      <c r="G388" s="114" t="s">
        <v>274</v>
      </c>
      <c r="H388" s="551">
        <f>'Traffic Data'!J65*annualizationFactor*'Traffic Data'!$H65</f>
        <v>3357585.2272727275</v>
      </c>
      <c r="I388" s="551">
        <f>'Traffic Data'!K65*annualizationFactor*'Traffic Data'!$H65</f>
        <v>3452795.1523674247</v>
      </c>
      <c r="J388" s="551">
        <f>'Traffic Data'!L65*annualizationFactor*'Traffic Data'!$H65</f>
        <v>3561284.327035985</v>
      </c>
      <c r="K388" s="551">
        <f>'Traffic Data'!M65*annualizationFactor*'Traffic Data'!$H65</f>
        <v>3699907.8291193186</v>
      </c>
      <c r="L388" s="551">
        <f>'Traffic Data'!N65*annualizationFactor*'Traffic Data'!$H65</f>
        <v>3838576.0990056815</v>
      </c>
      <c r="M388" s="551">
        <f>'Traffic Data'!O65*annualizationFactor*'Traffic Data'!$H65</f>
        <v>3977221.984990532</v>
      </c>
      <c r="N388" s="551">
        <f>'Traffic Data'!P65*annualizationFactor*'Traffic Data'!$H65</f>
        <v>4115845.4870738643</v>
      </c>
      <c r="O388" s="551">
        <f>'Traffic Data'!Q65*annualizationFactor*'Traffic Data'!$H65</f>
        <v>4254496.9690340925</v>
      </c>
      <c r="P388" s="551">
        <f>'Traffic Data'!R65*annualizationFactor*'Traffic Data'!$H65</f>
        <v>4411206.6635416662</v>
      </c>
      <c r="Q388" s="551">
        <f>'Traffic Data'!S65*annualizationFactor*'Traffic Data'!$H65</f>
        <v>4567910.7620738642</v>
      </c>
      <c r="R388" s="551">
        <f>'Traffic Data'!T65*annualizationFactor*'Traffic Data'!$H65</f>
        <v>4724598.0726799248</v>
      </c>
      <c r="S388" s="551">
        <f>'Traffic Data'!U65*annualizationFactor*'Traffic Data'!$H65</f>
        <v>4881307.7671875013</v>
      </c>
      <c r="T388" s="551">
        <f>'Traffic Data'!V65*annualizationFactor*'Traffic Data'!$H65</f>
        <v>5038045.4415719695</v>
      </c>
      <c r="U388" s="551">
        <f>'Traffic Data'!W65*annualizationFactor*'Traffic Data'!$H65</f>
        <v>5164615.2126893941</v>
      </c>
      <c r="V388" s="551">
        <f>'Traffic Data'!X65*annualizationFactor*'Traffic Data'!$H65</f>
        <v>5259825.1377840918</v>
      </c>
      <c r="W388" s="551">
        <f>'Traffic Data'!Y65*annualizationFactor*'Traffic Data'!$H65</f>
        <v>5355035.0628787894</v>
      </c>
      <c r="X388" s="551">
        <f>'Traffic Data'!Z65*annualizationFactor*'Traffic Data'!$H65</f>
        <v>5450244.9879734861</v>
      </c>
      <c r="Y388" s="551">
        <f>'Traffic Data'!AA65*annualizationFactor*'Traffic Data'!$H65</f>
        <v>5545426.9331912892</v>
      </c>
      <c r="Z388" s="551">
        <f>'Traffic Data'!AB65*annualizationFactor*'Traffic Data'!$H65</f>
        <v>5640636.8582859831</v>
      </c>
      <c r="AA388" s="551">
        <f>'Traffic Data'!AC65*annualizationFactor*'Traffic Data'!$H65</f>
        <v>5735818.8035037862</v>
      </c>
      <c r="AB388" s="551">
        <f>'Traffic Data'!AD65*annualizationFactor*'Traffic Data'!$H65</f>
        <v>5831028.7285984838</v>
      </c>
      <c r="AC388" s="551">
        <f>'Traffic Data'!AE65*annualizationFactor*'Traffic Data'!$H65</f>
        <v>5926238.6536931805</v>
      </c>
      <c r="AD388" s="551">
        <f>'Traffic Data'!AF65*annualizationFactor*'Traffic Data'!$H65</f>
        <v>6021420.5989109837</v>
      </c>
      <c r="AE388" s="551">
        <f>'Traffic Data'!AG65*annualizationFactor*'Traffic Data'!$H65</f>
        <v>6116630.5240056813</v>
      </c>
      <c r="AF388" s="551">
        <f>'Traffic Data'!AH65*annualizationFactor*'Traffic Data'!$H65</f>
        <v>6211840.449100378</v>
      </c>
      <c r="AG388" s="689">
        <f>'Traffic Data'!AI65*annualizationFactor*'Traffic Data'!$H65</f>
        <v>6307022.3943181811</v>
      </c>
      <c r="AH388" s="5"/>
      <c r="AI388" s="5"/>
      <c r="AJ388" s="5"/>
      <c r="AK388" s="5"/>
      <c r="AL388" s="5"/>
      <c r="AM388" s="5"/>
      <c r="AN388" s="5"/>
    </row>
    <row r="389" spans="2:40" ht="21.9" customHeight="1" thickBot="1" x14ac:dyDescent="0.3">
      <c r="B389" s="680"/>
      <c r="C389" s="690"/>
      <c r="D389" s="554"/>
      <c r="E389" s="274"/>
      <c r="F389" s="274" t="s">
        <v>274</v>
      </c>
      <c r="G389" s="274" t="s">
        <v>317</v>
      </c>
      <c r="H389" s="551">
        <f>'Traffic Data'!J66*annualizationFactor*'Traffic Data'!$H66</f>
        <v>82954.545454545456</v>
      </c>
      <c r="I389" s="551">
        <f>'Traffic Data'!K66*annualizationFactor*'Traffic Data'!$H66</f>
        <v>85306.859848484863</v>
      </c>
      <c r="J389" s="551">
        <f>'Traffic Data'!L66*annualizationFactor*'Traffic Data'!$H66</f>
        <v>87987.259469696961</v>
      </c>
      <c r="K389" s="551">
        <f>'Traffic Data'!M66*annualizationFactor*'Traffic Data'!$H66</f>
        <v>91412.176136363647</v>
      </c>
      <c r="L389" s="551">
        <f>'Traffic Data'!N66*annualizationFactor*'Traffic Data'!$H66</f>
        <v>94838.198863636368</v>
      </c>
      <c r="M389" s="551">
        <f>'Traffic Data'!O66*annualizationFactor*'Traffic Data'!$H66</f>
        <v>98263.668560606107</v>
      </c>
      <c r="N389" s="551">
        <f>'Traffic Data'!P66*annualizationFactor*'Traffic Data'!$H66</f>
        <v>101688.58522727275</v>
      </c>
      <c r="O389" s="551">
        <f>'Traffic Data'!Q66*annualizationFactor*'Traffic Data'!$H66</f>
        <v>105114.19318181822</v>
      </c>
      <c r="P389" s="551">
        <f>'Traffic Data'!R66*annualizationFactor*'Traffic Data'!$H66</f>
        <v>108985.95833333333</v>
      </c>
      <c r="Q389" s="551">
        <f>'Traffic Data'!S66*annualizationFactor*'Traffic Data'!$H66</f>
        <v>112857.58522727274</v>
      </c>
      <c r="R389" s="551">
        <f>'Traffic Data'!T66*annualizationFactor*'Traffic Data'!$H66</f>
        <v>116728.79734848486</v>
      </c>
      <c r="S389" s="551">
        <f>'Traffic Data'!U66*annualizationFactor*'Traffic Data'!$H66</f>
        <v>120600.56250000004</v>
      </c>
      <c r="T389" s="551">
        <f>'Traffic Data'!V66*annualizationFactor*'Traffic Data'!$H66</f>
        <v>124473.01893939395</v>
      </c>
      <c r="U389" s="551">
        <f>'Traffic Data'!W66*annualizationFactor*'Traffic Data'!$H66</f>
        <v>127600.1287878788</v>
      </c>
      <c r="V389" s="551">
        <f>'Traffic Data'!X66*annualizationFactor*'Traffic Data'!$H66</f>
        <v>129952.44318181821</v>
      </c>
      <c r="W389" s="551">
        <f>'Traffic Data'!Y66*annualizationFactor*'Traffic Data'!$H66</f>
        <v>132304.75757575763</v>
      </c>
      <c r="X389" s="551">
        <f>'Traffic Data'!Z66*annualizationFactor*'Traffic Data'!$H66</f>
        <v>134657.07196969702</v>
      </c>
      <c r="Y389" s="551">
        <f>'Traffic Data'!AA66*annualizationFactor*'Traffic Data'!$H66</f>
        <v>137008.6950757576</v>
      </c>
      <c r="Z389" s="551">
        <f>'Traffic Data'!AB66*annualizationFactor*'Traffic Data'!$H66</f>
        <v>139361.00946969696</v>
      </c>
      <c r="AA389" s="551">
        <f>'Traffic Data'!AC66*annualizationFactor*'Traffic Data'!$H66</f>
        <v>141712.63257575754</v>
      </c>
      <c r="AB389" s="551">
        <f>'Traffic Data'!AD66*annualizationFactor*'Traffic Data'!$H66</f>
        <v>144064.94696969693</v>
      </c>
      <c r="AC389" s="551">
        <f>'Traffic Data'!AE66*annualizationFactor*'Traffic Data'!$H66</f>
        <v>146417.26136363635</v>
      </c>
      <c r="AD389" s="551">
        <f>'Traffic Data'!AF66*annualizationFactor*'Traffic Data'!$H66</f>
        <v>148768.88446969693</v>
      </c>
      <c r="AE389" s="551">
        <f>'Traffic Data'!AG66*annualizationFactor*'Traffic Data'!$H66</f>
        <v>151121.19886363635</v>
      </c>
      <c r="AF389" s="551">
        <f>'Traffic Data'!AH66*annualizationFactor*'Traffic Data'!$H66</f>
        <v>153473.51325757575</v>
      </c>
      <c r="AG389" s="689">
        <f>'Traffic Data'!AI66*annualizationFactor*'Traffic Data'!$H66</f>
        <v>155825.13636363632</v>
      </c>
      <c r="AH389" s="5"/>
      <c r="AI389" s="5"/>
      <c r="AJ389" s="5"/>
      <c r="AK389" s="5"/>
      <c r="AL389" s="5"/>
      <c r="AM389" s="5"/>
      <c r="AN389" s="5"/>
    </row>
    <row r="390" spans="2:40" ht="21.9" customHeight="1" x14ac:dyDescent="0.25">
      <c r="B390" s="181"/>
      <c r="C390" s="122"/>
      <c r="D390" s="122"/>
      <c r="E390" s="123" t="s">
        <v>25</v>
      </c>
      <c r="F390" s="123"/>
      <c r="G390" s="123"/>
      <c r="H390" s="691">
        <f t="shared" ref="H390:AG390" si="172">SUM(H370:H389)</f>
        <v>39971824.696969688</v>
      </c>
      <c r="I390" s="691">
        <f t="shared" si="172"/>
        <v>43250398.749196969</v>
      </c>
      <c r="J390" s="691">
        <f t="shared" si="172"/>
        <v>47534770.363907196</v>
      </c>
      <c r="K390" s="691">
        <f t="shared" si="172"/>
        <v>54716206.281854182</v>
      </c>
      <c r="L390" s="691">
        <f t="shared" si="172"/>
        <v>61901312.03589204</v>
      </c>
      <c r="M390" s="691">
        <f t="shared" si="172"/>
        <v>69086343.304075748</v>
      </c>
      <c r="N390" s="691">
        <f t="shared" si="172"/>
        <v>76267779.222022712</v>
      </c>
      <c r="O390" s="691">
        <f t="shared" si="172"/>
        <v>83456571.45919317</v>
      </c>
      <c r="P390" s="691">
        <f t="shared" si="172"/>
        <v>90068700.358816266</v>
      </c>
      <c r="Q390" s="691">
        <f t="shared" si="172"/>
        <v>96682654.224566266</v>
      </c>
      <c r="R390" s="691">
        <f t="shared" si="172"/>
        <v>103294824.08382574</v>
      </c>
      <c r="S390" s="691">
        <f t="shared" si="172"/>
        <v>109906952.98344888</v>
      </c>
      <c r="T390" s="691">
        <f t="shared" si="172"/>
        <v>116526485.1150265</v>
      </c>
      <c r="U390" s="691">
        <f t="shared" si="172"/>
        <v>120275782.97541671</v>
      </c>
      <c r="V390" s="691">
        <f t="shared" si="172"/>
        <v>122441553.24014392</v>
      </c>
      <c r="W390" s="691">
        <f t="shared" si="172"/>
        <v>124607323.50487122</v>
      </c>
      <c r="X390" s="691">
        <f t="shared" si="172"/>
        <v>126773093.76959848</v>
      </c>
      <c r="Y390" s="691">
        <f t="shared" si="172"/>
        <v>128940814.13213067</v>
      </c>
      <c r="Z390" s="691">
        <f t="shared" si="172"/>
        <v>131106584.39685795</v>
      </c>
      <c r="AA390" s="691">
        <f t="shared" si="172"/>
        <v>133274180.80870833</v>
      </c>
      <c r="AB390" s="691">
        <f t="shared" si="172"/>
        <v>135439951.0734356</v>
      </c>
      <c r="AC390" s="691">
        <f t="shared" si="172"/>
        <v>137605721.3381629</v>
      </c>
      <c r="AD390" s="691">
        <f t="shared" si="172"/>
        <v>139773441.70069507</v>
      </c>
      <c r="AE390" s="691">
        <f t="shared" si="172"/>
        <v>141939211.96542236</v>
      </c>
      <c r="AF390" s="691">
        <f t="shared" si="172"/>
        <v>144104982.2301496</v>
      </c>
      <c r="AG390" s="692">
        <f t="shared" si="172"/>
        <v>146272578.64199999</v>
      </c>
      <c r="AH390" s="47"/>
      <c r="AI390" s="47"/>
      <c r="AJ390" s="47"/>
      <c r="AK390" s="47"/>
      <c r="AL390" s="47"/>
      <c r="AM390" s="47"/>
      <c r="AN390" s="47"/>
    </row>
    <row r="391" spans="2:40" ht="21.9" customHeight="1" x14ac:dyDescent="0.25">
      <c r="B391" s="678" t="s">
        <v>448</v>
      </c>
      <c r="C391" s="554" t="s">
        <v>65</v>
      </c>
      <c r="D391" s="693" t="s">
        <v>441</v>
      </c>
      <c r="E391" s="1325" t="s">
        <v>315</v>
      </c>
      <c r="F391" s="217" t="s">
        <v>316</v>
      </c>
      <c r="G391" s="217" t="s">
        <v>276</v>
      </c>
      <c r="H391" s="551" cm="1">
        <f t="array" ref="H391">_xlfn.ANCHORARRAY(H370) * $F$15</f>
        <v>181974.39999999999</v>
      </c>
      <c r="I391" s="551" cm="1">
        <f t="array" ref="I391">_xlfn.ANCHORARRAY(I370) * $F$15</f>
        <v>190249.11717000001</v>
      </c>
      <c r="J391" s="551" cm="1">
        <f t="array" ref="J391">_xlfn.ANCHORARRAY(J370) * $F$15</f>
        <v>201907.42084000006</v>
      </c>
      <c r="K391" s="551" cm="1">
        <f t="array" ref="K391">_xlfn.ANCHORARRAY(K370) * $F$15</f>
        <v>219056.23336000004</v>
      </c>
      <c r="L391" s="551" cm="1">
        <f t="array" ref="L391">_xlfn.ANCHORARRAY(L370) * $F$15</f>
        <v>236211.30125000002</v>
      </c>
      <c r="M391" s="551" cm="1">
        <f t="array" ref="M391">_xlfn.ANCHORARRAY(M370) * $F$15</f>
        <v>253366.36913999997</v>
      </c>
      <c r="N391" s="551" cm="1">
        <f t="array" ref="N391">_xlfn.ANCHORARRAY(N370) * $F$15</f>
        <v>270515.18166</v>
      </c>
      <c r="O391" s="551" cm="1">
        <f t="array" ref="O391">_xlfn.ANCHORARRAY(O370) * $F$15</f>
        <v>287676.50491999992</v>
      </c>
      <c r="P391" s="551" cm="1">
        <f t="array" ref="P391">_xlfn.ANCHORARRAY(P370) * $F$15</f>
        <v>304634.81299000001</v>
      </c>
      <c r="Q391" s="551" cm="1">
        <f t="array" ref="Q391">_xlfn.ANCHORARRAY(Q370) * $F$15</f>
        <v>321596.53308000002</v>
      </c>
      <c r="R391" s="551" cm="1">
        <f t="array" ref="R391">_xlfn.ANCHORARRAY(R370) * $F$15</f>
        <v>338554.84115000005</v>
      </c>
      <c r="S391" s="551" cm="1">
        <f t="array" ref="S391">_xlfn.ANCHORARRAY(S370) * $F$15</f>
        <v>355513.14922000008</v>
      </c>
      <c r="T391" s="551" cm="1">
        <f t="array" ref="T391">_xlfn.ANCHORARRAY(T370) * $F$15</f>
        <v>372483.96803000005</v>
      </c>
      <c r="U391" s="551" cm="1">
        <f t="array" ref="U391">_xlfn.ANCHORARRAY(U370) * $F$15</f>
        <v>383945.51188000006</v>
      </c>
      <c r="V391" s="551" cm="1">
        <f t="array" ref="V391">_xlfn.ANCHORARRAY(V370) * $F$15</f>
        <v>392220.22905000002</v>
      </c>
      <c r="W391" s="551" cm="1">
        <f t="array" ref="W391">_xlfn.ANCHORARRAY(W370) * $F$15</f>
        <v>400494.94621999993</v>
      </c>
      <c r="X391" s="551" cm="1">
        <f t="array" ref="X391">_xlfn.ANCHORARRAY(X370) * $F$15</f>
        <v>408769.66339000006</v>
      </c>
      <c r="Y391" s="551" cm="1">
        <f t="array" ref="Y391">_xlfn.ANCHORARRAY(Y370) * $F$15</f>
        <v>417047.22391</v>
      </c>
      <c r="Z391" s="551" cm="1">
        <f t="array" ref="Z391">_xlfn.ANCHORARRAY(Z370) * $F$15</f>
        <v>425321.94108000008</v>
      </c>
      <c r="AA391" s="551" cm="1">
        <f t="array" ref="AA391">_xlfn.ANCHORARRAY(AA370) * $F$15</f>
        <v>433599.50160000002</v>
      </c>
      <c r="AB391" s="551" cm="1">
        <f t="array" ref="AB391">_xlfn.ANCHORARRAY(AB370) * $F$15</f>
        <v>441874.21877000004</v>
      </c>
      <c r="AC391" s="551" cm="1">
        <f t="array" ref="AC391">_xlfn.ANCHORARRAY(AC370) * $F$15</f>
        <v>450148.93594</v>
      </c>
      <c r="AD391" s="551" cm="1">
        <f t="array" ref="AD391">_xlfn.ANCHORARRAY(AD370) * $F$15</f>
        <v>458426.49645999994</v>
      </c>
      <c r="AE391" s="551" cm="1">
        <f t="array" ref="AE391">_xlfn.ANCHORARRAY(AE370) * $F$15</f>
        <v>466701.21362999995</v>
      </c>
      <c r="AF391" s="551" cm="1">
        <f t="array" ref="AF391">_xlfn.ANCHORARRAY(AF370) * $F$15</f>
        <v>474975.93080000003</v>
      </c>
      <c r="AG391" s="689" cm="1">
        <f t="array" ref="AG391">_xlfn.ANCHORARRAY(AG370) * $F$15</f>
        <v>483253.49132000003</v>
      </c>
      <c r="AH391" s="5"/>
      <c r="AI391" s="5"/>
      <c r="AJ391" s="5"/>
      <c r="AK391" s="5"/>
      <c r="AL391" s="5"/>
      <c r="AM391" s="5"/>
      <c r="AN391" s="5"/>
    </row>
    <row r="392" spans="2:40" ht="21.9" customHeight="1" x14ac:dyDescent="0.25">
      <c r="B392" s="679" t="s">
        <v>442</v>
      </c>
      <c r="C392" s="690"/>
      <c r="D392" s="694"/>
      <c r="E392" s="1327"/>
      <c r="F392" s="114" t="s">
        <v>276</v>
      </c>
      <c r="G392" s="114" t="s">
        <v>274</v>
      </c>
      <c r="H392" s="551" cm="1">
        <f t="array" ref="H392">_xlfn.ANCHORARRAY(H371) * $F$15</f>
        <v>5851451.0454545459</v>
      </c>
      <c r="I392" s="551" cm="1">
        <f t="array" ref="I392">_xlfn.ANCHORARRAY(I371) * $F$15</f>
        <v>6160320.9724909076</v>
      </c>
      <c r="J392" s="551" cm="1">
        <f t="array" ref="J392">_xlfn.ANCHORARRAY(J371) * $F$15</f>
        <v>6623972.6157000009</v>
      </c>
      <c r="K392" s="551" cm="1">
        <f t="array" ref="K392">_xlfn.ANCHORARRAY(K371) * $F$15</f>
        <v>7389992.5736727268</v>
      </c>
      <c r="L392" s="551" cm="1">
        <f t="array" ref="L392">_xlfn.ANCHORARRAY(L371) * $F$15</f>
        <v>8156359.2843000004</v>
      </c>
      <c r="M392" s="551" cm="1">
        <f t="array" ref="M392">_xlfn.ANCHORARRAY(M371) * $F$15</f>
        <v>8922682.6508454531</v>
      </c>
      <c r="N392" s="551" cm="1">
        <f t="array" ref="N392">_xlfn.ANCHORARRAY(N371) * $F$15</f>
        <v>9688702.6088181827</v>
      </c>
      <c r="O392" s="551" cm="1">
        <f t="array" ref="O392">_xlfn.ANCHORARRAY(O371) * $F$15</f>
        <v>10455416.072100002</v>
      </c>
      <c r="P392" s="551" cm="1">
        <f t="array" ref="P392">_xlfn.ANCHORARRAY(P371) * $F$15</f>
        <v>11228934.556227272</v>
      </c>
      <c r="Q392" s="551" cm="1">
        <f t="array" ref="Q392">_xlfn.ANCHORARRAY(Q371) * $F$15</f>
        <v>12002713.104845453</v>
      </c>
      <c r="R392" s="551" cm="1">
        <f t="array" ref="R392">_xlfn.ANCHORARRAY(R371) * $F$15</f>
        <v>12776231.588972727</v>
      </c>
      <c r="S392" s="551" cm="1">
        <f t="array" ref="S392">_xlfn.ANCHORARRAY(S371) * $F$15</f>
        <v>13549750.073100001</v>
      </c>
      <c r="T392" s="551" cm="1">
        <f t="array" ref="T392">_xlfn.ANCHORARRAY(T371) * $F$15</f>
        <v>14323962.062536364</v>
      </c>
      <c r="U392" s="551" cm="1">
        <f t="array" ref="U392">_xlfn.ANCHORARRAY(U371) * $F$15</f>
        <v>14794765.479245458</v>
      </c>
      <c r="V392" s="551" cm="1">
        <f t="array" ref="V392">_xlfn.ANCHORARRAY(V371) * $F$15</f>
        <v>15103635.406281816</v>
      </c>
      <c r="W392" s="551" cm="1">
        <f t="array" ref="W392">_xlfn.ANCHORARRAY(W371) * $F$15</f>
        <v>15412505.333318183</v>
      </c>
      <c r="X392" s="551" cm="1">
        <f t="array" ref="X392">_xlfn.ANCHORARRAY(X371) * $F$15</f>
        <v>15721375.260354549</v>
      </c>
      <c r="Y392" s="551" cm="1">
        <f t="array" ref="Y392">_xlfn.ANCHORARRAY(Y371) * $F$15</f>
        <v>16030418.563718183</v>
      </c>
      <c r="Z392" s="551" cm="1">
        <f t="array" ref="Z392">_xlfn.ANCHORARRAY(Z371) * $F$15</f>
        <v>16339288.490754545</v>
      </c>
      <c r="AA392" s="551" cm="1">
        <f t="array" ref="AA392">_xlfn.ANCHORARRAY(AA371) * $F$15</f>
        <v>16648331.794118186</v>
      </c>
      <c r="AB392" s="551" cm="1">
        <f t="array" ref="AB392">_xlfn.ANCHORARRAY(AB371) * $F$15</f>
        <v>16957201.721154548</v>
      </c>
      <c r="AC392" s="551" cm="1">
        <f t="array" ref="AC392">_xlfn.ANCHORARRAY(AC371) * $F$15</f>
        <v>17266071.648190912</v>
      </c>
      <c r="AD392" s="551" cm="1">
        <f t="array" ref="AD392">_xlfn.ANCHORARRAY(AD371) * $F$15</f>
        <v>17575114.951554552</v>
      </c>
      <c r="AE392" s="551" cm="1">
        <f t="array" ref="AE392">_xlfn.ANCHORARRAY(AE371) * $F$15</f>
        <v>17883984.878590908</v>
      </c>
      <c r="AF392" s="551" cm="1">
        <f t="array" ref="AF392">_xlfn.ANCHORARRAY(AF371) * $F$15</f>
        <v>18192854.805627275</v>
      </c>
      <c r="AG392" s="689" cm="1">
        <f t="array" ref="AG392">_xlfn.ANCHORARRAY(AG371) * $F$15</f>
        <v>18501898.108990911</v>
      </c>
      <c r="AH392" s="5"/>
      <c r="AI392" s="5"/>
      <c r="AJ392" s="5"/>
      <c r="AK392" s="5"/>
      <c r="AL392" s="5"/>
      <c r="AM392" s="5"/>
      <c r="AN392" s="5"/>
    </row>
    <row r="393" spans="2:40" ht="21.9" customHeight="1" x14ac:dyDescent="0.25">
      <c r="B393" s="679"/>
      <c r="C393" s="690"/>
      <c r="D393" s="694"/>
      <c r="E393" s="1327"/>
      <c r="F393" s="114" t="s">
        <v>274</v>
      </c>
      <c r="G393" s="114" t="s">
        <v>317</v>
      </c>
      <c r="H393" s="551" cm="1">
        <f t="array" ref="H393">_xlfn.ANCHORARRAY(H372) * $F$15</f>
        <v>136480.80000000002</v>
      </c>
      <c r="I393" s="551" cm="1">
        <f t="array" ref="I393">_xlfn.ANCHORARRAY(I372) * $F$15</f>
        <v>142180.01073999997</v>
      </c>
      <c r="J393" s="551" cm="1">
        <f t="array" ref="J393">_xlfn.ANCHORARRAY(J372) * $F$15</f>
        <v>149233.79341999997</v>
      </c>
      <c r="K393" s="551" cm="1">
        <f t="array" ref="K393">_xlfn.ANCHORARRAY(K372) * $F$15</f>
        <v>158730.58242000002</v>
      </c>
      <c r="L393" s="551" cm="1">
        <f t="array" ref="L393">_xlfn.ANCHORARRAY(L372) * $F$15</f>
        <v>168230.78344000003</v>
      </c>
      <c r="M393" s="551" cm="1">
        <f t="array" ref="M393">_xlfn.ANCHORARRAY(M372) * $F$15</f>
        <v>177729.84712000002</v>
      </c>
      <c r="N393" s="551" cm="1">
        <f t="array" ref="N393">_xlfn.ANCHORARRAY(N372) * $F$15</f>
        <v>187226.63612000001</v>
      </c>
      <c r="O393" s="551" cm="1">
        <f t="array" ref="O393">_xlfn.ANCHORARRAY(O372) * $F$15</f>
        <v>196730.24916000006</v>
      </c>
      <c r="P393" s="551" cm="1">
        <f t="array" ref="P393">_xlfn.ANCHORARRAY(P372) * $F$15</f>
        <v>205938.1538</v>
      </c>
      <c r="Q393" s="551" cm="1">
        <f t="array" ref="Q393">_xlfn.ANCHORARRAY(Q372) * $F$15</f>
        <v>215149.47045999995</v>
      </c>
      <c r="R393" s="551" cm="1">
        <f t="array" ref="R393">_xlfn.ANCHORARRAY(R372) * $F$15</f>
        <v>224357.3751</v>
      </c>
      <c r="S393" s="551" cm="1">
        <f t="array" ref="S393">_xlfn.ANCHORARRAY(S372) * $F$15</f>
        <v>233565.27974</v>
      </c>
      <c r="T393" s="551" cm="1">
        <f t="array" ref="T393">_xlfn.ANCHORARRAY(T372) * $F$15</f>
        <v>242780.00842000006</v>
      </c>
      <c r="U393" s="551" cm="1">
        <f t="array" ref="U393">_xlfn.ANCHORARRAY(U372) * $F$15</f>
        <v>249541.49472000002</v>
      </c>
      <c r="V393" s="551" cm="1">
        <f t="array" ref="V393">_xlfn.ANCHORARRAY(V372) * $F$15</f>
        <v>255240.70546000003</v>
      </c>
      <c r="W393" s="551" cm="1">
        <f t="array" ref="W393">_xlfn.ANCHORARRAY(W372) * $F$15</f>
        <v>260939.91619999998</v>
      </c>
      <c r="X393" s="551" cm="1">
        <f t="array" ref="X393">_xlfn.ANCHORARRAY(X372) * $F$15</f>
        <v>266639.12693999999</v>
      </c>
      <c r="Y393" s="551" cm="1">
        <f t="array" ref="Y393">_xlfn.ANCHORARRAY(Y372) * $F$15</f>
        <v>272340.61236000003</v>
      </c>
      <c r="Z393" s="551" cm="1">
        <f t="array" ref="Z393">_xlfn.ANCHORARRAY(Z372) * $F$15</f>
        <v>278039.82309999998</v>
      </c>
      <c r="AA393" s="551" cm="1">
        <f t="array" ref="AA393">_xlfn.ANCHORARRAY(AA372) * $F$15</f>
        <v>283741.30852000002</v>
      </c>
      <c r="AB393" s="551" cm="1">
        <f t="array" ref="AB393">_xlfn.ANCHORARRAY(AB372) * $F$15</f>
        <v>289440.51926000009</v>
      </c>
      <c r="AC393" s="551" cm="1">
        <f t="array" ref="AC393">_xlfn.ANCHORARRAY(AC372) * $F$15</f>
        <v>295139.73</v>
      </c>
      <c r="AD393" s="551" cm="1">
        <f t="array" ref="AD393">_xlfn.ANCHORARRAY(AD372) * $F$15</f>
        <v>300841.21542000002</v>
      </c>
      <c r="AE393" s="551" cm="1">
        <f t="array" ref="AE393">_xlfn.ANCHORARRAY(AE372) * $F$15</f>
        <v>306540.42616000003</v>
      </c>
      <c r="AF393" s="551" cm="1">
        <f t="array" ref="AF393">_xlfn.ANCHORARRAY(AF372) * $F$15</f>
        <v>312239.63689999992</v>
      </c>
      <c r="AG393" s="689" cm="1">
        <f t="array" ref="AG393">_xlfn.ANCHORARRAY(AG372) * $F$15</f>
        <v>317941.12232000002</v>
      </c>
      <c r="AH393" s="5"/>
      <c r="AI393" s="5"/>
      <c r="AJ393" s="5"/>
      <c r="AK393" s="5"/>
      <c r="AL393" s="5"/>
      <c r="AM393" s="5"/>
      <c r="AN393" s="5"/>
    </row>
    <row r="394" spans="2:40" ht="21.9" customHeight="1" x14ac:dyDescent="0.25">
      <c r="B394" s="679"/>
      <c r="C394" s="690"/>
      <c r="D394" s="694"/>
      <c r="E394" s="1325" t="s">
        <v>274</v>
      </c>
      <c r="F394" s="217" t="s">
        <v>275</v>
      </c>
      <c r="G394" s="217" t="s">
        <v>318</v>
      </c>
      <c r="H394" s="551" cm="1">
        <f t="array" ref="H394">_xlfn.ANCHORARRAY(H373) * $F$15</f>
        <v>1240299.2</v>
      </c>
      <c r="I394" s="551" cm="1">
        <f t="array" ref="I394">_xlfn.ANCHORARRAY(I373) * $F$15</f>
        <v>1365761.665576</v>
      </c>
      <c r="J394" s="551" cm="1">
        <f t="array" ref="J394">_xlfn.ANCHORARRAY(J373) * $F$15</f>
        <v>1646261.5311519997</v>
      </c>
      <c r="K394" s="551" cm="1">
        <f t="array" ref="K394">_xlfn.ANCHORARRAY(K373) * $F$15</f>
        <v>2209667.4427519999</v>
      </c>
      <c r="L394" s="551" cm="1">
        <f t="array" ref="L394">_xlfn.ANCHORARRAY(L373) * $F$15</f>
        <v>2773420.6381279994</v>
      </c>
      <c r="M394" s="551" cm="1">
        <f t="array" ref="M394">_xlfn.ANCHORARRAY(M373) * $F$15</f>
        <v>3337111.8185439995</v>
      </c>
      <c r="N394" s="551" cm="1">
        <f t="array" ref="N394">_xlfn.ANCHORARRAY(N373) * $F$15</f>
        <v>3900517.7301439992</v>
      </c>
      <c r="O394" s="551" cm="1">
        <f t="array" ref="O394">_xlfn.ANCHORARRAY(O373) * $F$15</f>
        <v>4464618.2092960002</v>
      </c>
      <c r="P394" s="551" cm="1">
        <f t="array" ref="P394">_xlfn.ANCHORARRAY(P373) * $F$15</f>
        <v>5018138.936271999</v>
      </c>
      <c r="Q394" s="551" cm="1">
        <f t="array" ref="Q394">_xlfn.ANCHORARRAY(Q373) * $F$15</f>
        <v>5571938.7305679992</v>
      </c>
      <c r="R394" s="551" cm="1">
        <f t="array" ref="R394">_xlfn.ANCHORARRAY(R373) * $F$15</f>
        <v>6125459.4575439999</v>
      </c>
      <c r="S394" s="551" cm="1">
        <f t="array" ref="S394">_xlfn.ANCHORARRAY(S373) * $F$15</f>
        <v>6678980.1845200006</v>
      </c>
      <c r="T394" s="551" cm="1">
        <f t="array" ref="T394">_xlfn.ANCHORARRAY(T373) * $F$15</f>
        <v>7233195.4790480006</v>
      </c>
      <c r="U394" s="551" cm="1">
        <f t="array" ref="U394">_xlfn.ANCHORARRAY(U373) * $F$15</f>
        <v>7503462.8762239991</v>
      </c>
      <c r="V394" s="551" cm="1">
        <f t="array" ref="V394">_xlfn.ANCHORARRAY(V373) * $F$15</f>
        <v>7628925.3417999987</v>
      </c>
      <c r="W394" s="551" cm="1">
        <f t="array" ref="W394">_xlfn.ANCHORARRAY(W373) * $F$15</f>
        <v>7754387.8073759982</v>
      </c>
      <c r="X394" s="551" cm="1">
        <f t="array" ref="X394">_xlfn.ANCHORARRAY(X373) * $F$15</f>
        <v>7879850.2729519987</v>
      </c>
      <c r="Y394" s="551" cm="1">
        <f t="array" ref="Y394">_xlfn.ANCHORARRAY(Y373) * $F$15</f>
        <v>8005504.9849039987</v>
      </c>
      <c r="Z394" s="551" cm="1">
        <f t="array" ref="Z394">_xlfn.ANCHORARRAY(Z373) * $F$15</f>
        <v>8130967.4504800001</v>
      </c>
      <c r="AA394" s="551" cm="1">
        <f t="array" ref="AA394">_xlfn.ANCHORARRAY(AA373) * $F$15</f>
        <v>8256622.1624319991</v>
      </c>
      <c r="AB394" s="551" cm="1">
        <f t="array" ref="AB394">_xlfn.ANCHORARRAY(AB373) * $F$15</f>
        <v>8382084.6280079978</v>
      </c>
      <c r="AC394" s="551" cm="1">
        <f t="array" ref="AC394">_xlfn.ANCHORARRAY(AC373) * $F$15</f>
        <v>8507547.0935839992</v>
      </c>
      <c r="AD394" s="551" cm="1">
        <f t="array" ref="AD394">_xlfn.ANCHORARRAY(AD373) * $F$15</f>
        <v>8633201.8055360001</v>
      </c>
      <c r="AE394" s="551" cm="1">
        <f t="array" ref="AE394">_xlfn.ANCHORARRAY(AE373) * $F$15</f>
        <v>8758664.2711120006</v>
      </c>
      <c r="AF394" s="551" cm="1">
        <f t="array" ref="AF394">_xlfn.ANCHORARRAY(AF373) * $F$15</f>
        <v>8884126.7366879992</v>
      </c>
      <c r="AG394" s="689" cm="1">
        <f t="array" ref="AG394">_xlfn.ANCHORARRAY(AG373) * $F$15</f>
        <v>9009781.4486399982</v>
      </c>
      <c r="AH394" s="5"/>
      <c r="AI394" s="5"/>
      <c r="AJ394" s="5"/>
      <c r="AK394" s="5"/>
      <c r="AL394" s="5"/>
      <c r="AM394" s="5"/>
      <c r="AN394" s="5"/>
    </row>
    <row r="395" spans="2:40" ht="21.9" customHeight="1" x14ac:dyDescent="0.25">
      <c r="B395" s="679"/>
      <c r="C395" s="690"/>
      <c r="D395" s="694"/>
      <c r="E395" s="1327"/>
      <c r="F395" s="114" t="s">
        <v>318</v>
      </c>
      <c r="G395" s="114" t="s">
        <v>308</v>
      </c>
      <c r="H395" s="551" cm="1">
        <f t="array" ref="H395">_xlfn.ANCHORARRAY(H374) * $F$15</f>
        <v>143664</v>
      </c>
      <c r="I395" s="551" cm="1">
        <f t="array" ref="I395">_xlfn.ANCHORARRAY(I374) * $F$15</f>
        <v>157303.69959999999</v>
      </c>
      <c r="J395" s="551" cm="1">
        <f t="array" ref="J395">_xlfn.ANCHORARRAY(J374) * $F$15</f>
        <v>176652.84600000002</v>
      </c>
      <c r="K395" s="551" cm="1">
        <f t="array" ref="K395">_xlfn.ANCHORARRAY(K374) * $F$15</f>
        <v>208179.91080000001</v>
      </c>
      <c r="L395" s="551" cm="1">
        <f t="array" ref="L395">_xlfn.ANCHORARRAY(L374) * $F$15</f>
        <v>239716.55320000002</v>
      </c>
      <c r="M395" s="551" cm="1">
        <f t="array" ref="M395">_xlfn.ANCHORARRAY(M374) * $F$15</f>
        <v>271256.18860000005</v>
      </c>
      <c r="N395" s="551" cm="1">
        <f t="array" ref="N395">_xlfn.ANCHORARRAY(N374) * $F$15</f>
        <v>302783.25340000005</v>
      </c>
      <c r="O395" s="551" cm="1">
        <f t="array" ref="O395">_xlfn.ANCHORARRAY(O374) * $F$15</f>
        <v>334344.43840000004</v>
      </c>
      <c r="P395" s="551" cm="1">
        <f t="array" ref="P395">_xlfn.ANCHORARRAY(P374) * $F$15</f>
        <v>370252.05799999996</v>
      </c>
      <c r="Q395" s="551" cm="1">
        <f t="array" ref="Q395">_xlfn.ANCHORARRAY(Q374) * $F$15</f>
        <v>406176.4384000001</v>
      </c>
      <c r="R395" s="551" cm="1">
        <f t="array" ref="R395">_xlfn.ANCHORARRAY(R374) * $F$15</f>
        <v>442082.26220000006</v>
      </c>
      <c r="S395" s="551" cm="1">
        <f t="array" ref="S395">_xlfn.ANCHORARRAY(S374) * $F$15</f>
        <v>477989.88180000003</v>
      </c>
      <c r="T395" s="551" cm="1">
        <f t="array" ref="T395">_xlfn.ANCHORARRAY(T374) * $F$15</f>
        <v>513930.42439999996</v>
      </c>
      <c r="U395" s="551" cm="1">
        <f t="array" ref="U395">_xlfn.ANCHORARRAY(U374) * $F$15</f>
        <v>537633.78720000002</v>
      </c>
      <c r="V395" s="551" cm="1">
        <f t="array" ref="V395">_xlfn.ANCHORARRAY(V374) * $F$15</f>
        <v>551273.48679999996</v>
      </c>
      <c r="W395" s="551" cm="1">
        <f t="array" ref="W395">_xlfn.ANCHORARRAY(W374) * $F$15</f>
        <v>564913.18639999989</v>
      </c>
      <c r="X395" s="551" cm="1">
        <f t="array" ref="X395">_xlfn.ANCHORARRAY(X374) * $F$15</f>
        <v>578552.88599999994</v>
      </c>
      <c r="Y395" s="551" cm="1">
        <f t="array" ref="Y395">_xlfn.ANCHORARRAY(Y374) * $F$15</f>
        <v>592208.14919999987</v>
      </c>
      <c r="Z395" s="551" cm="1">
        <f t="array" ref="Z395">_xlfn.ANCHORARRAY(Z374) * $F$15</f>
        <v>605847.84879999992</v>
      </c>
      <c r="AA395" s="551" cm="1">
        <f t="array" ref="AA395">_xlfn.ANCHORARRAY(AA374) * $F$15</f>
        <v>619503.11199999996</v>
      </c>
      <c r="AB395" s="551" cm="1">
        <f t="array" ref="AB395">_xlfn.ANCHORARRAY(AB374) * $F$15</f>
        <v>633142.81160000002</v>
      </c>
      <c r="AC395" s="551" cm="1">
        <f t="array" ref="AC395">_xlfn.ANCHORARRAY(AC374) * $F$15</f>
        <v>646782.51119999995</v>
      </c>
      <c r="AD395" s="551" cm="1">
        <f t="array" ref="AD395">_xlfn.ANCHORARRAY(AD374) * $F$15</f>
        <v>660437.77439999999</v>
      </c>
      <c r="AE395" s="551" cm="1">
        <f t="array" ref="AE395">_xlfn.ANCHORARRAY(AE374) * $F$15</f>
        <v>674077.47399999993</v>
      </c>
      <c r="AF395" s="551" cm="1">
        <f t="array" ref="AF395">_xlfn.ANCHORARRAY(AF374) * $F$15</f>
        <v>687717.17359999998</v>
      </c>
      <c r="AG395" s="689" cm="1">
        <f t="array" ref="AG395">_xlfn.ANCHORARRAY(AG374) * $F$15</f>
        <v>701372.43679999991</v>
      </c>
      <c r="AH395" s="5"/>
      <c r="AI395" s="5"/>
      <c r="AJ395" s="5"/>
      <c r="AK395" s="5"/>
      <c r="AL395" s="5"/>
      <c r="AM395" s="5"/>
      <c r="AN395" s="5"/>
    </row>
    <row r="396" spans="2:40" ht="21.9" customHeight="1" x14ac:dyDescent="0.25">
      <c r="B396" s="679"/>
      <c r="C396" s="690"/>
      <c r="D396" s="694"/>
      <c r="E396" s="1339"/>
      <c r="F396" s="250" t="s">
        <v>308</v>
      </c>
      <c r="G396" s="250" t="s">
        <v>319</v>
      </c>
      <c r="H396" s="551" cm="1">
        <f t="array" ref="H396">_xlfn.ANCHORARRAY(H375) * $F$15</f>
        <v>1925097.6</v>
      </c>
      <c r="I396" s="551" cm="1">
        <f t="array" ref="I396">_xlfn.ANCHORARRAY(I375) * $F$15</f>
        <v>1979006.749792</v>
      </c>
      <c r="J396" s="551" cm="1">
        <f t="array" ref="J396">_xlfn.ANCHORARRAY(J375) * $F$15</f>
        <v>2055830.9780160002</v>
      </c>
      <c r="K396" s="551" cm="1">
        <f t="array" ref="K396">_xlfn.ANCHORARRAY(K375) * $F$15</f>
        <v>2163655.6945920005</v>
      </c>
      <c r="L396" s="551" cm="1">
        <f t="array" ref="L396">_xlfn.ANCHORARRAY(L375) * $F$15</f>
        <v>2271525.3301119995</v>
      </c>
      <c r="M396" s="551" cm="1">
        <f t="array" ref="M396">_xlfn.ANCHORARRAY(M375) * $F$15</f>
        <v>2379385.3401440009</v>
      </c>
      <c r="N396" s="551" cm="1">
        <f t="array" ref="N396">_xlfn.ANCHORARRAY(N375) * $F$15</f>
        <v>2487210.0567200007</v>
      </c>
      <c r="O396" s="551" cm="1">
        <f t="array" ref="O396">_xlfn.ANCHORARRAY(O375) * $F$15</f>
        <v>2595121.4026880004</v>
      </c>
      <c r="P396" s="551" cm="1">
        <f t="array" ref="P396">_xlfn.ANCHORARRAY(P375) * $F$15</f>
        <v>2704056.2588799996</v>
      </c>
      <c r="Q396" s="551" cm="1">
        <f t="array" ref="Q396">_xlfn.ANCHORARRAY(Q375) * $F$15</f>
        <v>2813023.2000320004</v>
      </c>
      <c r="R396" s="551" cm="1">
        <f t="array" ref="R396">_xlfn.ANCHORARRAY(R375) * $F$15</f>
        <v>2921948.4307360002</v>
      </c>
      <c r="S396" s="551" cm="1">
        <f t="array" ref="S396">_xlfn.ANCHORARRAY(S375) * $F$15</f>
        <v>3030883.2869280004</v>
      </c>
      <c r="T396" s="551" cm="1">
        <f t="array" ref="T396">_xlfn.ANCHORARRAY(T375) * $F$15</f>
        <v>3139904.7725120005</v>
      </c>
      <c r="U396" s="551" cm="1">
        <f t="array" ref="U396">_xlfn.ANCHORARRAY(U375) * $F$15</f>
        <v>3217787.8044160008</v>
      </c>
      <c r="V396" s="551" cm="1">
        <f t="array" ref="V396">_xlfn.ANCHORARRAY(V375) * $F$15</f>
        <v>3271696.9542080001</v>
      </c>
      <c r="W396" s="551" cm="1">
        <f t="array" ref="W396">_xlfn.ANCHORARRAY(W375) * $F$15</f>
        <v>3325606.1040000003</v>
      </c>
      <c r="X396" s="551" cm="1">
        <f t="array" ref="X396">_xlfn.ANCHORARRAY(X375) * $F$15</f>
        <v>3379515.253792</v>
      </c>
      <c r="Y396" s="551" cm="1">
        <f t="array" ref="Y396">_xlfn.ANCHORARRAY(Y375) * $F$15</f>
        <v>3433450.0715520005</v>
      </c>
      <c r="Z396" s="551" cm="1">
        <f t="array" ref="Z396">_xlfn.ANCHORARRAY(Z375) * $F$15</f>
        <v>3487359.2213440007</v>
      </c>
      <c r="AA396" s="551" cm="1">
        <f t="array" ref="AA396">_xlfn.ANCHORARRAY(AA375) * $F$15</f>
        <v>3541294.0391040007</v>
      </c>
      <c r="AB396" s="551" cm="1">
        <f t="array" ref="AB396">_xlfn.ANCHORARRAY(AB375) * $F$15</f>
        <v>3595203.1888960004</v>
      </c>
      <c r="AC396" s="551" cm="1">
        <f t="array" ref="AC396">_xlfn.ANCHORARRAY(AC375) * $F$15</f>
        <v>3649112.3386880006</v>
      </c>
      <c r="AD396" s="551" cm="1">
        <f t="array" ref="AD396">_xlfn.ANCHORARRAY(AD375) * $F$15</f>
        <v>3703047.1564480001</v>
      </c>
      <c r="AE396" s="551" cm="1">
        <f t="array" ref="AE396">_xlfn.ANCHORARRAY(AE375) * $F$15</f>
        <v>3756956.3062399994</v>
      </c>
      <c r="AF396" s="551" cm="1">
        <f t="array" ref="AF396">_xlfn.ANCHORARRAY(AF375) * $F$15</f>
        <v>3810865.4560320005</v>
      </c>
      <c r="AG396" s="689" cm="1">
        <f t="array" ref="AG396">_xlfn.ANCHORARRAY(AG375) * $F$15</f>
        <v>3864800.2737920005</v>
      </c>
      <c r="AH396" s="5"/>
      <c r="AI396" s="5"/>
      <c r="AJ396" s="5"/>
      <c r="AK396" s="5"/>
      <c r="AL396" s="5"/>
      <c r="AM396" s="5"/>
      <c r="AN396" s="5"/>
    </row>
    <row r="397" spans="2:40" ht="21.9" customHeight="1" x14ac:dyDescent="0.25">
      <c r="B397" s="679"/>
      <c r="C397" s="690"/>
      <c r="D397" s="694"/>
      <c r="E397" s="114" t="s">
        <v>320</v>
      </c>
      <c r="F397" s="114" t="s">
        <v>318</v>
      </c>
      <c r="G397" s="114" t="s">
        <v>308</v>
      </c>
      <c r="H397" s="551" cm="1">
        <f t="array" ref="H397">_xlfn.ANCHORARRAY(H376) * $F$15</f>
        <v>5626.84</v>
      </c>
      <c r="I397" s="551" cm="1">
        <f t="array" ref="I397">_xlfn.ANCHORARRAY(I376) * $F$15</f>
        <v>23371.07994</v>
      </c>
      <c r="J397" s="551" cm="1">
        <f t="array" ref="J397">_xlfn.ANCHORARRAY(J376) * $F$15</f>
        <v>208499.74278</v>
      </c>
      <c r="K397" s="551" cm="1">
        <f t="array" ref="K397">_xlfn.ANCHORARRAY(K376) * $F$15</f>
        <v>493153.13812000002</v>
      </c>
      <c r="L397" s="551" cm="1">
        <f t="array" ref="L397">_xlfn.ANCHORARRAY(L376) * $F$15</f>
        <v>778009.09970000014</v>
      </c>
      <c r="M397" s="551" cm="1">
        <f t="array" ref="M397">_xlfn.ANCHORARRAY(M376) * $F$15</f>
        <v>1062752.5244799999</v>
      </c>
      <c r="N397" s="551" cm="1">
        <f t="array" ref="N397">_xlfn.ANCHORARRAY(N376) * $F$15</f>
        <v>1347405.91982</v>
      </c>
      <c r="O397" s="551" cm="1">
        <f t="array" ref="O397">_xlfn.ANCHORARRAY(O376) * $F$15</f>
        <v>1632450.3805400003</v>
      </c>
      <c r="P397" s="551" cm="1">
        <f t="array" ref="P397">_xlfn.ANCHORARRAY(P376) * $F$15</f>
        <v>1749845.95688</v>
      </c>
      <c r="Q397" s="551" cm="1">
        <f t="array" ref="Q397">_xlfn.ANCHORARRAY(Q376) * $F$15</f>
        <v>1867331.5626600003</v>
      </c>
      <c r="R397" s="551" cm="1">
        <f t="array" ref="R397">_xlfn.ANCHORARRAY(R376) * $F$15</f>
        <v>1984789.0342400004</v>
      </c>
      <c r="S397" s="551" cm="1">
        <f t="array" ref="S397">_xlfn.ANCHORARRAY(S376) * $F$15</f>
        <v>2102184.6105800001</v>
      </c>
      <c r="T397" s="551" cm="1">
        <f t="array" ref="T397">_xlfn.ANCHORARRAY(T376) * $F$15</f>
        <v>2219858.7154999999</v>
      </c>
      <c r="U397" s="551" cm="1">
        <f t="array" ref="U397">_xlfn.ANCHORARRAY(U376) * $F$15</f>
        <v>2237602.9554400006</v>
      </c>
      <c r="V397" s="551" cm="1">
        <f t="array" ref="V397">_xlfn.ANCHORARRAY(V376) * $F$15</f>
        <v>2255347.1953800004</v>
      </c>
      <c r="W397" s="551" cm="1">
        <f t="array" ref="W397">_xlfn.ANCHORARRAY(W376) * $F$15</f>
        <v>2273091.4353200006</v>
      </c>
      <c r="X397" s="551" cm="1">
        <f t="array" ref="X397">_xlfn.ANCHORARRAY(X376) * $F$15</f>
        <v>2290835.6752599999</v>
      </c>
      <c r="Y397" s="551" cm="1">
        <f t="array" ref="Y397">_xlfn.ANCHORARRAY(Y376) * $F$15</f>
        <v>2308706.5191000006</v>
      </c>
      <c r="Z397" s="551" cm="1">
        <f t="array" ref="Z397">_xlfn.ANCHORARRAY(Z376) * $F$15</f>
        <v>2326450.7590400004</v>
      </c>
      <c r="AA397" s="551" cm="1">
        <f t="array" ref="AA397">_xlfn.ANCHORARRAY(AA376) * $F$15</f>
        <v>2344251.2673800006</v>
      </c>
      <c r="AB397" s="551" cm="1">
        <f t="array" ref="AB397">_xlfn.ANCHORARRAY(AB376) * $F$15</f>
        <v>2361995.5073200003</v>
      </c>
      <c r="AC397" s="551" cm="1">
        <f t="array" ref="AC397">_xlfn.ANCHORARRAY(AC376) * $F$15</f>
        <v>2379739.7472600006</v>
      </c>
      <c r="AD397" s="551" cm="1">
        <f t="array" ref="AD397">_xlfn.ANCHORARRAY(AD376) * $F$15</f>
        <v>2397610.5911000003</v>
      </c>
      <c r="AE397" s="551" cm="1">
        <f t="array" ref="AE397">_xlfn.ANCHORARRAY(AE376) * $F$15</f>
        <v>2415354.8310400001</v>
      </c>
      <c r="AF397" s="551" cm="1">
        <f t="array" ref="AF397">_xlfn.ANCHORARRAY(AF376) * $F$15</f>
        <v>2433099.0709800003</v>
      </c>
      <c r="AG397" s="689" cm="1">
        <f t="array" ref="AG397">_xlfn.ANCHORARRAY(AG376) * $F$15</f>
        <v>2450899.57932</v>
      </c>
      <c r="AH397" s="5"/>
      <c r="AI397" s="5"/>
      <c r="AJ397" s="5"/>
      <c r="AK397" s="5"/>
      <c r="AL397" s="5"/>
      <c r="AM397" s="5"/>
      <c r="AN397" s="5"/>
    </row>
    <row r="398" spans="2:40" ht="21.9" customHeight="1" x14ac:dyDescent="0.25">
      <c r="B398" s="679"/>
      <c r="C398" s="690"/>
      <c r="D398" s="694"/>
      <c r="E398" s="1325" t="s">
        <v>308</v>
      </c>
      <c r="F398" s="217" t="s">
        <v>276</v>
      </c>
      <c r="G398" s="217" t="s">
        <v>320</v>
      </c>
      <c r="H398" s="551" cm="1">
        <f t="array" ref="H398">_xlfn.ANCHORARRAY(H377) * $F$15</f>
        <v>16162.2</v>
      </c>
      <c r="I398" s="551" cm="1">
        <f t="array" ref="I398">_xlfn.ANCHORARRAY(I377) * $F$15</f>
        <v>35920.489499999996</v>
      </c>
      <c r="J398" s="551" cm="1">
        <f t="array" ref="J398">_xlfn.ANCHORARRAY(J377) * $F$15</f>
        <v>151819.6257</v>
      </c>
      <c r="K398" s="551" cm="1">
        <f t="array" ref="K398">_xlfn.ANCHORARRAY(K377) * $F$15</f>
        <v>341281.01520000002</v>
      </c>
      <c r="L398" s="551" cm="1">
        <f t="array" ref="L398">_xlfn.ANCHORARRAY(L377) * $F$15</f>
        <v>530847.45900000015</v>
      </c>
      <c r="M398" s="551" cm="1">
        <f t="array" ref="M398">_xlfn.ANCHORARRAY(M377) * $F$15</f>
        <v>720421.98389999976</v>
      </c>
      <c r="N398" s="551" cm="1">
        <f t="array" ref="N398">_xlfn.ANCHORARRAY(N377) * $F$15</f>
        <v>909883.37340000016</v>
      </c>
      <c r="O398" s="551" cm="1">
        <f t="array" ref="O398">_xlfn.ANCHORARRAY(O377) * $F$15</f>
        <v>1099562.9526000002</v>
      </c>
      <c r="P398" s="551" cm="1">
        <f t="array" ref="P398">_xlfn.ANCHORARRAY(P377) * $F$15</f>
        <v>1245830.8626000003</v>
      </c>
      <c r="Q398" s="551" cm="1">
        <f t="array" ref="Q398">_xlfn.ANCHORARRAY(Q377) * $F$15</f>
        <v>1392123.0159000002</v>
      </c>
      <c r="R398" s="551" cm="1">
        <f t="array" ref="R398">_xlfn.ANCHORARRAY(R377) * $F$15</f>
        <v>1538390.9258999999</v>
      </c>
      <c r="S398" s="551" cm="1">
        <f t="array" ref="S398">_xlfn.ANCHORARRAY(S377) * $F$15</f>
        <v>1684658.8359000001</v>
      </c>
      <c r="T398" s="551" cm="1">
        <f t="array" ref="T398">_xlfn.ANCHORARRAY(T377) * $F$15</f>
        <v>1831120.6923000002</v>
      </c>
      <c r="U398" s="551" cm="1">
        <f t="array" ref="U398">_xlfn.ANCHORARRAY(U377) * $F$15</f>
        <v>1903713.2136000001</v>
      </c>
      <c r="V398" s="551" cm="1">
        <f t="array" ref="V398">_xlfn.ANCHORARRAY(V377) * $F$15</f>
        <v>1923471.5031000001</v>
      </c>
      <c r="W398" s="551" cm="1">
        <f t="array" ref="W398">_xlfn.ANCHORARRAY(W377) * $F$15</f>
        <v>1943229.7926</v>
      </c>
      <c r="X398" s="551" cm="1">
        <f t="array" ref="X398">_xlfn.ANCHORARRAY(X377) * $F$15</f>
        <v>1962988.0821000002</v>
      </c>
      <c r="Y398" s="551" cm="1">
        <f t="array" ref="Y398">_xlfn.ANCHORARRAY(Y377) * $F$15</f>
        <v>1982802.9393000007</v>
      </c>
      <c r="Z398" s="551" cm="1">
        <f t="array" ref="Z398">_xlfn.ANCHORARRAY(Z377) * $F$15</f>
        <v>2002561.2288000002</v>
      </c>
      <c r="AA398" s="551" cm="1">
        <f t="array" ref="AA398">_xlfn.ANCHORARRAY(AA377) * $F$15</f>
        <v>2022376.0859999999</v>
      </c>
      <c r="AB398" s="551" cm="1">
        <f t="array" ref="AB398">_xlfn.ANCHORARRAY(AB377) * $F$15</f>
        <v>2042134.3754999998</v>
      </c>
      <c r="AC398" s="551" cm="1">
        <f t="array" ref="AC398">_xlfn.ANCHORARRAY(AC377) * $F$15</f>
        <v>2061892.6649999998</v>
      </c>
      <c r="AD398" s="551" cm="1">
        <f t="array" ref="AD398">_xlfn.ANCHORARRAY(AD377) * $F$15</f>
        <v>2081707.5222</v>
      </c>
      <c r="AE398" s="551" cm="1">
        <f t="array" ref="AE398">_xlfn.ANCHORARRAY(AE377) * $F$15</f>
        <v>2101465.8117</v>
      </c>
      <c r="AF398" s="551" cm="1">
        <f t="array" ref="AF398">_xlfn.ANCHORARRAY(AF377) * $F$15</f>
        <v>2121224.1011999999</v>
      </c>
      <c r="AG398" s="689" cm="1">
        <f t="array" ref="AG398">_xlfn.ANCHORARRAY(AG377) * $F$15</f>
        <v>2141038.9584000004</v>
      </c>
      <c r="AH398" s="5"/>
      <c r="AI398" s="5"/>
      <c r="AJ398" s="5"/>
      <c r="AK398" s="5"/>
      <c r="AL398" s="5"/>
      <c r="AM398" s="5"/>
      <c r="AN398" s="5"/>
    </row>
    <row r="399" spans="2:40" ht="21.9" customHeight="1" x14ac:dyDescent="0.25">
      <c r="B399" s="679"/>
      <c r="C399" s="690"/>
      <c r="D399" s="694"/>
      <c r="E399" s="1327"/>
      <c r="F399" s="114" t="s">
        <v>320</v>
      </c>
      <c r="G399" s="114" t="s">
        <v>282</v>
      </c>
      <c r="H399" s="551" cm="1">
        <f t="array" ref="H399">_xlfn.ANCHORARRAY(H378) * $F$15</f>
        <v>0</v>
      </c>
      <c r="I399" s="551" cm="1">
        <f t="array" ref="I399">_xlfn.ANCHORARRAY(I378) * $F$15</f>
        <v>10894.52</v>
      </c>
      <c r="J399" s="551" cm="1">
        <f t="array" ref="J399">_xlfn.ANCHORARRAY(J378) * $F$15</f>
        <v>31488.514960000004</v>
      </c>
      <c r="K399" s="551" cm="1">
        <f t="array" ref="K399">_xlfn.ANCHORARRAY(K378) * $F$15</f>
        <v>70784.210560000007</v>
      </c>
      <c r="L399" s="551" cm="1">
        <f t="array" ref="L399">_xlfn.ANCHORARRAY(L378) * $F$15</f>
        <v>110101.69520000003</v>
      </c>
      <c r="M399" s="551" cm="1">
        <f t="array" ref="M399">_xlfn.ANCHORARRAY(M378) * $F$15</f>
        <v>149420.85591999997</v>
      </c>
      <c r="N399" s="551" cm="1">
        <f t="array" ref="N399">_xlfn.ANCHORARRAY(N378) * $F$15</f>
        <v>188716.55152000004</v>
      </c>
      <c r="O399" s="551" cm="1">
        <f t="array" ref="O399">_xlfn.ANCHORARRAY(O378) * $F$15</f>
        <v>228057.50128000003</v>
      </c>
      <c r="P399" s="551" cm="1">
        <f t="array" ref="P399">_xlfn.ANCHORARRAY(P378) * $F$15</f>
        <v>258394.54928000009</v>
      </c>
      <c r="Q399" s="551" cm="1">
        <f t="array" ref="Q399">_xlfn.ANCHORARRAY(Q378) * $F$15</f>
        <v>288736.62552000006</v>
      </c>
      <c r="R399" s="551" cm="1">
        <f t="array" ref="R399">_xlfn.ANCHORARRAY(R378) * $F$15</f>
        <v>319073.67352000001</v>
      </c>
      <c r="S399" s="551" cm="1">
        <f t="array" ref="S399">_xlfn.ANCHORARRAY(S378) * $F$15</f>
        <v>349410.72152000002</v>
      </c>
      <c r="T399" s="551" cm="1">
        <f t="array" ref="T399">_xlfn.ANCHORARRAY(T378) * $F$15</f>
        <v>379787.99544000009</v>
      </c>
      <c r="U399" s="551" cm="1">
        <f t="array" ref="U399">_xlfn.ANCHORARRAY(U378) * $F$15</f>
        <v>394844.22208000004</v>
      </c>
      <c r="V399" s="551" cm="1">
        <f t="array" ref="V399">_xlfn.ANCHORARRAY(V378) * $F$15</f>
        <v>398942.23768000002</v>
      </c>
      <c r="W399" s="551" cm="1">
        <f t="array" ref="W399">_xlfn.ANCHORARRAY(W378) * $F$15</f>
        <v>403040.25328</v>
      </c>
      <c r="X399" s="551" cm="1">
        <f t="array" ref="X399">_xlfn.ANCHORARRAY(X378) * $F$15</f>
        <v>407138.26888000011</v>
      </c>
      <c r="Y399" s="551" cm="1">
        <f t="array" ref="Y399">_xlfn.ANCHORARRAY(Y378) * $F$15</f>
        <v>411248.01704000012</v>
      </c>
      <c r="Z399" s="551" cm="1">
        <f t="array" ref="Z399">_xlfn.ANCHORARRAY(Z378) * $F$15</f>
        <v>415346.03264000005</v>
      </c>
      <c r="AA399" s="551" cm="1">
        <f t="array" ref="AA399">_xlfn.ANCHORARRAY(AA378) * $F$15</f>
        <v>419455.78079999995</v>
      </c>
      <c r="AB399" s="551" cm="1">
        <f t="array" ref="AB399">_xlfn.ANCHORARRAY(AB378) * $F$15</f>
        <v>423553.79639999993</v>
      </c>
      <c r="AC399" s="551" cm="1">
        <f t="array" ref="AC399">_xlfn.ANCHORARRAY(AC378) * $F$15</f>
        <v>427651.81199999992</v>
      </c>
      <c r="AD399" s="551" cm="1">
        <f t="array" ref="AD399">_xlfn.ANCHORARRAY(AD378) * $F$15</f>
        <v>431761.56015999999</v>
      </c>
      <c r="AE399" s="551" cm="1">
        <f t="array" ref="AE399">_xlfn.ANCHORARRAY(AE378) * $F$15</f>
        <v>435859.57575999998</v>
      </c>
      <c r="AF399" s="551" cm="1">
        <f t="array" ref="AF399">_xlfn.ANCHORARRAY(AF378) * $F$15</f>
        <v>439957.59135999996</v>
      </c>
      <c r="AG399" s="689" cm="1">
        <f t="array" ref="AG399">_xlfn.ANCHORARRAY(AG378) * $F$15</f>
        <v>444067.33952000004</v>
      </c>
      <c r="AH399" s="5"/>
      <c r="AI399" s="5"/>
      <c r="AJ399" s="5"/>
      <c r="AK399" s="5"/>
      <c r="AL399" s="5"/>
      <c r="AM399" s="5"/>
      <c r="AN399" s="5"/>
    </row>
    <row r="400" spans="2:40" ht="21.9" customHeight="1" x14ac:dyDescent="0.25">
      <c r="B400" s="679"/>
      <c r="C400" s="690"/>
      <c r="D400" s="694"/>
      <c r="E400" s="1327"/>
      <c r="F400" s="114" t="s">
        <v>282</v>
      </c>
      <c r="G400" s="114" t="s">
        <v>321</v>
      </c>
      <c r="H400" s="551" cm="1">
        <f t="array" ref="H400">_xlfn.ANCHORARRAY(H379) * $F$15</f>
        <v>0</v>
      </c>
      <c r="I400" s="551" cm="1">
        <f t="array" ref="I400">_xlfn.ANCHORARRAY(I379) * $F$15</f>
        <v>28403.57</v>
      </c>
      <c r="J400" s="551" cm="1">
        <f t="array" ref="J400">_xlfn.ANCHORARRAY(J379) * $F$15</f>
        <v>82095.056859999997</v>
      </c>
      <c r="K400" s="551" cm="1">
        <f t="array" ref="K400">_xlfn.ANCHORARRAY(K379) * $F$15</f>
        <v>184544.54895999999</v>
      </c>
      <c r="L400" s="551" cm="1">
        <f t="array" ref="L400">_xlfn.ANCHORARRAY(L379) * $F$15</f>
        <v>287050.84820000007</v>
      </c>
      <c r="M400" s="551" cm="1">
        <f t="array" ref="M400">_xlfn.ANCHORARRAY(M379) * $F$15</f>
        <v>389561.51721999986</v>
      </c>
      <c r="N400" s="551" cm="1">
        <f t="array" ref="N400">_xlfn.ANCHORARRAY(N379) * $F$15</f>
        <v>492011.00932000001</v>
      </c>
      <c r="O400" s="551" cm="1">
        <f t="array" ref="O400">_xlfn.ANCHORARRAY(O379) * $F$15</f>
        <v>594578.48548000003</v>
      </c>
      <c r="P400" s="551" cm="1">
        <f t="array" ref="P400">_xlfn.ANCHORARRAY(P379) * $F$15</f>
        <v>673671.50348000019</v>
      </c>
      <c r="Q400" s="551" cm="1">
        <f t="array" ref="Q400">_xlfn.ANCHORARRAY(Q379) * $F$15</f>
        <v>752777.63082000019</v>
      </c>
      <c r="R400" s="551" cm="1">
        <f t="array" ref="R400">_xlfn.ANCHORARRAY(R379) * $F$15</f>
        <v>831870.64881999989</v>
      </c>
      <c r="S400" s="551" cm="1">
        <f t="array" ref="S400">_xlfn.ANCHORARRAY(S379) * $F$15</f>
        <v>910963.66681999981</v>
      </c>
      <c r="T400" s="551" cm="1">
        <f t="array" ref="T400">_xlfn.ANCHORARRAY(T379) * $F$15</f>
        <v>990161.55953999993</v>
      </c>
      <c r="U400" s="551" cm="1">
        <f t="array" ref="U400">_xlfn.ANCHORARRAY(U379) * $F$15</f>
        <v>1029415.29328</v>
      </c>
      <c r="V400" s="551" cm="1">
        <f t="array" ref="V400">_xlfn.ANCHORARRAY(V379) * $F$15</f>
        <v>1040099.40538</v>
      </c>
      <c r="W400" s="551" cm="1">
        <f t="array" ref="W400">_xlfn.ANCHORARRAY(W379) * $F$15</f>
        <v>1050783.5174800002</v>
      </c>
      <c r="X400" s="551" cm="1">
        <f t="array" ref="X400">_xlfn.ANCHORARRAY(X379) * $F$15</f>
        <v>1061467.6295799999</v>
      </c>
      <c r="Y400" s="551" cm="1">
        <f t="array" ref="Y400">_xlfn.ANCHORARRAY(Y379) * $F$15</f>
        <v>1072182.3301400002</v>
      </c>
      <c r="Z400" s="551" cm="1">
        <f t="array" ref="Z400">_xlfn.ANCHORARRAY(Z379) * $F$15</f>
        <v>1082866.44224</v>
      </c>
      <c r="AA400" s="551" cm="1">
        <f t="array" ref="AA400">_xlfn.ANCHORARRAY(AA379) * $F$15</f>
        <v>1093581.1427999998</v>
      </c>
      <c r="AB400" s="551" cm="1">
        <f t="array" ref="AB400">_xlfn.ANCHORARRAY(AB379) * $F$15</f>
        <v>1104265.2548999998</v>
      </c>
      <c r="AC400" s="551" cm="1">
        <f t="array" ref="AC400">_xlfn.ANCHORARRAY(AC379) * $F$15</f>
        <v>1114949.3669999999</v>
      </c>
      <c r="AD400" s="551" cm="1">
        <f t="array" ref="AD400">_xlfn.ANCHORARRAY(AD379) * $F$15</f>
        <v>1125664.0675599996</v>
      </c>
      <c r="AE400" s="551" cm="1">
        <f t="array" ref="AE400">_xlfn.ANCHORARRAY(AE379) * $F$15</f>
        <v>1136348.1796599999</v>
      </c>
      <c r="AF400" s="551" cm="1">
        <f t="array" ref="AF400">_xlfn.ANCHORARRAY(AF379) * $F$15</f>
        <v>1147032.2917599999</v>
      </c>
      <c r="AG400" s="689" cm="1">
        <f t="array" ref="AG400">_xlfn.ANCHORARRAY(AG379) * $F$15</f>
        <v>1157746.99232</v>
      </c>
      <c r="AH400" s="5"/>
      <c r="AI400" s="5"/>
      <c r="AJ400" s="5"/>
      <c r="AK400" s="5"/>
      <c r="AL400" s="5"/>
      <c r="AM400" s="5"/>
      <c r="AN400" s="5"/>
    </row>
    <row r="401" spans="1:40" ht="21.9" customHeight="1" x14ac:dyDescent="0.25">
      <c r="B401" s="679"/>
      <c r="C401" s="690"/>
      <c r="D401" s="694"/>
      <c r="E401" s="1339"/>
      <c r="F401" s="250" t="s">
        <v>321</v>
      </c>
      <c r="G401" s="250" t="s">
        <v>274</v>
      </c>
      <c r="H401" s="551" cm="1">
        <f t="array" ref="H401">_xlfn.ANCHORARRAY(H380) * $F$15</f>
        <v>37711.800000000003</v>
      </c>
      <c r="I401" s="551" cm="1">
        <f t="array" ref="I401">_xlfn.ANCHORARRAY(I380) * $F$15</f>
        <v>55734.269220000002</v>
      </c>
      <c r="J401" s="551" cm="1">
        <f t="array" ref="J401">_xlfn.ANCHORARRAY(J380) * $F$15</f>
        <v>78186.617880000005</v>
      </c>
      <c r="K401" s="551" cm="1">
        <f t="array" ref="K401">_xlfn.ANCHORARRAY(K380) * $F$15</f>
        <v>126261.62052000001</v>
      </c>
      <c r="L401" s="551" cm="1">
        <f t="array" ref="L401">_xlfn.ANCHORARRAY(L380) * $F$15</f>
        <v>174342.90846000004</v>
      </c>
      <c r="M401" s="551" cm="1">
        <f t="array" ref="M401">_xlfn.ANCHORARRAY(M380) * $F$15</f>
        <v>222444.30936000001</v>
      </c>
      <c r="N401" s="551" cm="1">
        <f t="array" ref="N401">_xlfn.ANCHORARRAY(N380) * $F$15</f>
        <v>270519.31200000003</v>
      </c>
      <c r="O401" s="551" cm="1">
        <f t="array" ref="O401">_xlfn.ANCHORARRAY(O380) * $F$15</f>
        <v>318569.17344000004</v>
      </c>
      <c r="P401" s="551" cm="1">
        <f t="array" ref="P401">_xlfn.ANCHORARRAY(P380) * $F$15</f>
        <v>415051.04256000003</v>
      </c>
      <c r="Q401" s="551" cm="1">
        <f t="array" ref="Q401">_xlfn.ANCHORARRAY(Q380) * $F$15</f>
        <v>511477.6010400001</v>
      </c>
      <c r="R401" s="551" cm="1">
        <f t="array" ref="R401">_xlfn.ANCHORARRAY(R380) * $F$15</f>
        <v>607925.52954000013</v>
      </c>
      <c r="S401" s="551" cm="1">
        <f t="array" ref="S401">_xlfn.ANCHORARRAY(S380) * $F$15</f>
        <v>704407.39866000006</v>
      </c>
      <c r="T401" s="551" cm="1">
        <f t="array" ref="T401">_xlfn.ANCHORARRAY(T380) * $F$15</f>
        <v>800864.12658000016</v>
      </c>
      <c r="U401" s="551" cm="1">
        <f t="array" ref="U401">_xlfn.ANCHORARRAY(U380) * $F$15</f>
        <v>871720.82760000008</v>
      </c>
      <c r="V401" s="551" cm="1">
        <f t="array" ref="V401">_xlfn.ANCHORARRAY(V380) * $F$15</f>
        <v>889743.29682000016</v>
      </c>
      <c r="W401" s="551" cm="1">
        <f t="array" ref="W401">_xlfn.ANCHORARRAY(W380) * $F$15</f>
        <v>907765.76604000013</v>
      </c>
      <c r="X401" s="551" cm="1">
        <f t="array" ref="X401">_xlfn.ANCHORARRAY(X380) * $F$15</f>
        <v>925788.23525999999</v>
      </c>
      <c r="Y401" s="551" cm="1">
        <f t="array" ref="Y401">_xlfn.ANCHORARRAY(Y380) * $F$15</f>
        <v>943756.65090000001</v>
      </c>
      <c r="Z401" s="551" cm="1">
        <f t="array" ref="Z401">_xlfn.ANCHORARRAY(Z380) * $F$15</f>
        <v>961779.12012000009</v>
      </c>
      <c r="AA401" s="551" cm="1">
        <f t="array" ref="AA401">_xlfn.ANCHORARRAY(AA380) * $F$15</f>
        <v>979747.53576</v>
      </c>
      <c r="AB401" s="551" cm="1">
        <f t="array" ref="AB401">_xlfn.ANCHORARRAY(AB380) * $F$15</f>
        <v>997770.00498000009</v>
      </c>
      <c r="AC401" s="551" cm="1">
        <f t="array" ref="AC401">_xlfn.ANCHORARRAY(AC380) * $F$15</f>
        <v>1015792.4742000001</v>
      </c>
      <c r="AD401" s="551" cm="1">
        <f t="array" ref="AD401">_xlfn.ANCHORARRAY(AD380) * $F$15</f>
        <v>1033760.88984</v>
      </c>
      <c r="AE401" s="551" cm="1">
        <f t="array" ref="AE401">_xlfn.ANCHORARRAY(AE380) * $F$15</f>
        <v>1051783.3590599999</v>
      </c>
      <c r="AF401" s="551" cm="1">
        <f t="array" ref="AF401">_xlfn.ANCHORARRAY(AF380) * $F$15</f>
        <v>1069805.82828</v>
      </c>
      <c r="AG401" s="689" cm="1">
        <f t="array" ref="AG401">_xlfn.ANCHORARRAY(AG380) * $F$15</f>
        <v>1087774.24392</v>
      </c>
      <c r="AH401" s="5"/>
      <c r="AI401" s="5"/>
      <c r="AJ401" s="5"/>
      <c r="AK401" s="5"/>
      <c r="AL401" s="5"/>
      <c r="AM401" s="5"/>
      <c r="AN401" s="5"/>
    </row>
    <row r="402" spans="1:40" ht="21.9" customHeight="1" x14ac:dyDescent="0.25">
      <c r="B402" s="679"/>
      <c r="C402" s="690"/>
      <c r="D402" s="694"/>
      <c r="E402" s="114" t="s">
        <v>282</v>
      </c>
      <c r="F402" s="114" t="s">
        <v>308</v>
      </c>
      <c r="G402" s="114" t="s">
        <v>324</v>
      </c>
      <c r="H402" s="551" cm="1">
        <f t="array" ref="H402">_xlfn.ANCHORARRAY(H381) * $F$15</f>
        <v>215496</v>
      </c>
      <c r="I402" s="551" cm="1">
        <f t="array" ref="I402">_xlfn.ANCHORARRAY(I381) * $F$15</f>
        <v>228746.60960000003</v>
      </c>
      <c r="J402" s="551" cm="1">
        <f t="array" ref="J402">_xlfn.ANCHORARRAY(J381) * $F$15</f>
        <v>246281.99800000002</v>
      </c>
      <c r="K402" s="551" cm="1">
        <f t="array" ref="K402">_xlfn.ANCHORARRAY(K381) * $F$15</f>
        <v>269585.49599999998</v>
      </c>
      <c r="L402" s="551" cm="1">
        <f t="array" ref="L402">_xlfn.ANCHORARRAY(L381) * $F$15</f>
        <v>292896.17719999998</v>
      </c>
      <c r="M402" s="551" cm="1">
        <f t="array" ref="M402">_xlfn.ANCHORARRAY(M381) * $F$15</f>
        <v>316257.14080000005</v>
      </c>
      <c r="N402" s="551" cm="1">
        <f t="array" ref="N402">_xlfn.ANCHORARRAY(N381) * $F$15</f>
        <v>339560.63879999996</v>
      </c>
      <c r="O402" s="551" cm="1">
        <f t="array" ref="O402">_xlfn.ANCHORARRAY(O381) * $F$15</f>
        <v>362889.27799999993</v>
      </c>
      <c r="P402" s="551" cm="1">
        <f t="array" ref="P402">_xlfn.ANCHORARRAY(P381) * $F$15</f>
        <v>384161.12760000001</v>
      </c>
      <c r="Q402" s="551" cm="1">
        <f t="array" ref="Q402">_xlfn.ANCHORARRAY(Q381) * $F$15</f>
        <v>405415.01920000004</v>
      </c>
      <c r="R402" s="551" cm="1">
        <f t="array" ref="R402">_xlfn.ANCHORARRAY(R381) * $F$15</f>
        <v>426688.06599999999</v>
      </c>
      <c r="S402" s="551" cm="1">
        <f t="array" ref="S402">_xlfn.ANCHORARRAY(S381) * $F$15</f>
        <v>447959.91560000001</v>
      </c>
      <c r="T402" s="551" cm="1">
        <f t="array" ref="T402">_xlfn.ANCHORARRAY(T381) * $F$15</f>
        <v>469307.18880000006</v>
      </c>
      <c r="U402" s="551" cm="1">
        <f t="array" ref="U402">_xlfn.ANCHORARRAY(U381) * $F$15</f>
        <v>484794.16800000001</v>
      </c>
      <c r="V402" s="551" cm="1">
        <f t="array" ref="V402">_xlfn.ANCHORARRAY(V381) * $F$15</f>
        <v>498044.77760000003</v>
      </c>
      <c r="W402" s="551" cm="1">
        <f t="array" ref="W402">_xlfn.ANCHORARRAY(W381) * $F$15</f>
        <v>511295.38719999994</v>
      </c>
      <c r="X402" s="551" cm="1">
        <f t="array" ref="X402">_xlfn.ANCHORARRAY(X381) * $F$15</f>
        <v>524545.99679999996</v>
      </c>
      <c r="Y402" s="551" cm="1">
        <f t="array" ref="Y402">_xlfn.ANCHORARRAY(Y381) * $F$15</f>
        <v>537810.97279999999</v>
      </c>
      <c r="Z402" s="551" cm="1">
        <f t="array" ref="Z402">_xlfn.ANCHORARRAY(Z381) * $F$15</f>
        <v>551061.58239999984</v>
      </c>
      <c r="AA402" s="551" cm="1">
        <f t="array" ref="AA402">_xlfn.ANCHORARRAY(AA381) * $F$15</f>
        <v>564344.51640000008</v>
      </c>
      <c r="AB402" s="551" cm="1">
        <f t="array" ref="AB402">_xlfn.ANCHORARRAY(AB381) * $F$15</f>
        <v>577595.12599999993</v>
      </c>
      <c r="AC402" s="551" cm="1">
        <f t="array" ref="AC402">_xlfn.ANCHORARRAY(AC381) * $F$15</f>
        <v>590845.73560000001</v>
      </c>
      <c r="AD402" s="551" cm="1">
        <f t="array" ref="AD402">_xlfn.ANCHORARRAY(AD381) * $F$15</f>
        <v>604110.71159999981</v>
      </c>
      <c r="AE402" s="551" cm="1">
        <f t="array" ref="AE402">_xlfn.ANCHORARRAY(AE381) * $F$15</f>
        <v>617361.32120000001</v>
      </c>
      <c r="AF402" s="551" cm="1">
        <f t="array" ref="AF402">_xlfn.ANCHORARRAY(AF381) * $F$15</f>
        <v>630611.93079999997</v>
      </c>
      <c r="AG402" s="689" cm="1">
        <f t="array" ref="AG402">_xlfn.ANCHORARRAY(AG381) * $F$15</f>
        <v>643894.86479999986</v>
      </c>
      <c r="AH402" s="5"/>
      <c r="AI402" s="5"/>
      <c r="AJ402" s="5"/>
      <c r="AK402" s="5"/>
      <c r="AL402" s="5"/>
      <c r="AM402" s="5"/>
      <c r="AN402" s="5"/>
    </row>
    <row r="403" spans="1:40" ht="21.9" customHeight="1" x14ac:dyDescent="0.25">
      <c r="B403" s="679"/>
      <c r="C403" s="690"/>
      <c r="D403" s="694"/>
      <c r="E403" s="273" t="s">
        <v>321</v>
      </c>
      <c r="F403" s="273" t="s">
        <v>318</v>
      </c>
      <c r="G403" s="273" t="s">
        <v>308</v>
      </c>
      <c r="H403" s="551" cm="1">
        <f t="array" ref="H403">_xlfn.ANCHORARRAY(H382) * $F$15</f>
        <v>0</v>
      </c>
      <c r="I403" s="551" cm="1">
        <f t="array" ref="I403">_xlfn.ANCHORARRAY(I382) * $F$15</f>
        <v>361419.6431680001</v>
      </c>
      <c r="J403" s="551" cm="1">
        <f t="array" ref="J403">_xlfn.ANCHORARRAY(J382) * $F$15</f>
        <v>389125.55684000003</v>
      </c>
      <c r="K403" s="551" cm="1">
        <f t="array" ref="K403">_xlfn.ANCHORARRAY(K382) * $F$15</f>
        <v>425945.08367999998</v>
      </c>
      <c r="L403" s="551" cm="1">
        <f t="array" ref="L403">_xlfn.ANCHORARRAY(L382) * $F$15</f>
        <v>462775.95997599995</v>
      </c>
      <c r="M403" s="551" cm="1">
        <f t="array" ref="M403">_xlfn.ANCHORARRAY(M382) * $F$15</f>
        <v>499686.28246400011</v>
      </c>
      <c r="N403" s="551" cm="1">
        <f t="array" ref="N403">_xlfn.ANCHORARRAY(N382) * $F$15</f>
        <v>536505.80930399988</v>
      </c>
      <c r="O403" s="551" cm="1">
        <f t="array" ref="O403">_xlfn.ANCHORARRAY(O382) * $F$15</f>
        <v>573365.05923999986</v>
      </c>
      <c r="P403" s="551" cm="1">
        <f t="array" ref="P403">_xlfn.ANCHORARRAY(P382) * $F$15</f>
        <v>606974.58160799998</v>
      </c>
      <c r="Q403" s="551" cm="1">
        <f t="array" ref="Q403">_xlfn.ANCHORARRAY(Q382) * $F$15</f>
        <v>640555.7303360001</v>
      </c>
      <c r="R403" s="551" cm="1">
        <f t="array" ref="R403">_xlfn.ANCHORARRAY(R382) * $F$15</f>
        <v>674167.14428000001</v>
      </c>
      <c r="S403" s="551" cm="1">
        <f t="array" ref="S403">_xlfn.ANCHORARRAY(S382) * $F$15</f>
        <v>707776.66664800001</v>
      </c>
      <c r="T403" s="551" cm="1">
        <f t="array" ref="T403">_xlfn.ANCHORARRAY(T382) * $F$15</f>
        <v>741505.35830400023</v>
      </c>
      <c r="U403" s="551" cm="1">
        <f t="array" ref="U403">_xlfn.ANCHORARRAY(U382) * $F$15</f>
        <v>765974.78544000001</v>
      </c>
      <c r="V403" s="551" cm="1">
        <f t="array" ref="V403">_xlfn.ANCHORARRAY(V382) * $F$15</f>
        <v>786910.74860799999</v>
      </c>
      <c r="W403" s="551" cm="1">
        <f t="array" ref="W403">_xlfn.ANCHORARRAY(W382) * $F$15</f>
        <v>807846.71177599987</v>
      </c>
      <c r="X403" s="551" cm="1">
        <f t="array" ref="X403">_xlfn.ANCHORARRAY(X382) * $F$15</f>
        <v>828782.67494399997</v>
      </c>
      <c r="Y403" s="551" cm="1">
        <f t="array" ref="Y403">_xlfn.ANCHORARRAY(Y382) * $F$15</f>
        <v>849741.33702399989</v>
      </c>
      <c r="Z403" s="551" cm="1">
        <f t="array" ref="Z403">_xlfn.ANCHORARRAY(Z382) * $F$15</f>
        <v>870677.30019199988</v>
      </c>
      <c r="AA403" s="551" cm="1">
        <f t="array" ref="AA403">_xlfn.ANCHORARRAY(AA382) * $F$15</f>
        <v>891664.33591200016</v>
      </c>
      <c r="AB403" s="551" cm="1">
        <f t="array" ref="AB403">_xlfn.ANCHORARRAY(AB382) * $F$15</f>
        <v>912600.29908000003</v>
      </c>
      <c r="AC403" s="551" cm="1">
        <f t="array" ref="AC403">_xlfn.ANCHORARRAY(AC382) * $F$15</f>
        <v>933536.26224800001</v>
      </c>
      <c r="AD403" s="551" cm="1">
        <f t="array" ref="AD403">_xlfn.ANCHORARRAY(AD382) * $F$15</f>
        <v>954494.92432799982</v>
      </c>
      <c r="AE403" s="551" cm="1">
        <f t="array" ref="AE403">_xlfn.ANCHORARRAY(AE382) * $F$15</f>
        <v>975430.88749600004</v>
      </c>
      <c r="AF403" s="551" cm="1">
        <f t="array" ref="AF403">_xlfn.ANCHORARRAY(AF382) * $F$15</f>
        <v>996366.85066400003</v>
      </c>
      <c r="AG403" s="689" cm="1">
        <f t="array" ref="AG403">_xlfn.ANCHORARRAY(AG382) * $F$15</f>
        <v>1017353.8863839998</v>
      </c>
      <c r="AH403" s="5"/>
      <c r="AI403" s="5"/>
      <c r="AJ403" s="5"/>
      <c r="AK403" s="5"/>
      <c r="AL403" s="5"/>
      <c r="AM403" s="5"/>
      <c r="AN403" s="5"/>
    </row>
    <row r="404" spans="1:40" ht="21.9" customHeight="1" x14ac:dyDescent="0.25">
      <c r="B404" s="679"/>
      <c r="C404" s="690"/>
      <c r="D404" s="694"/>
      <c r="E404" s="273" t="s">
        <v>333</v>
      </c>
      <c r="F404" s="273" t="s">
        <v>319</v>
      </c>
      <c r="G404" s="273" t="s">
        <v>308</v>
      </c>
      <c r="H404" s="551" cm="1">
        <f t="array" ref="H404">_xlfn.ANCHORARRAY(H383) * $F$15</f>
        <v>399647.12727272726</v>
      </c>
      <c r="I404" s="551" cm="1">
        <f t="array" ref="I404">_xlfn.ANCHORARRAY(I383) * $F$15</f>
        <v>405134.50435636361</v>
      </c>
      <c r="J404" s="551" cm="1">
        <f t="array" ref="J404">_xlfn.ANCHORARRAY(J383) * $F$15</f>
        <v>414619.4628436364</v>
      </c>
      <c r="K404" s="551" cm="1">
        <f t="array" ref="K404">_xlfn.ANCHORARRAY(K383) * $F$15</f>
        <v>427641.29840727278</v>
      </c>
      <c r="L404" s="551" cm="1">
        <f t="array" ref="L404">_xlfn.ANCHORARRAY(L383) * $F$15</f>
        <v>440668.6846254546</v>
      </c>
      <c r="M404" s="551" cm="1">
        <f t="array" ref="M404">_xlfn.ANCHORARRAY(M383) * $F$15</f>
        <v>453714.94306909089</v>
      </c>
      <c r="N404" s="551" cm="1">
        <f t="array" ref="N404">_xlfn.ANCHORARRAY(N383) * $F$15</f>
        <v>466736.77863272728</v>
      </c>
      <c r="O404" s="551" cm="1">
        <f t="array" ref="O404">_xlfn.ANCHORARRAY(O383) * $F$15</f>
        <v>479804.12956363644</v>
      </c>
      <c r="P404" s="551" cm="1">
        <f t="array" ref="P404">_xlfn.ANCHORARRAY(P383) * $F$15</f>
        <v>488866.12817454553</v>
      </c>
      <c r="Q404" s="551" cm="1">
        <f t="array" ref="Q404">_xlfn.ANCHORARRAY(Q383) * $F$15</f>
        <v>497929.23691636359</v>
      </c>
      <c r="R404" s="551" cm="1">
        <f t="array" ref="R404">_xlfn.ANCHORARRAY(R383) * $F$15</f>
        <v>506993.45578909089</v>
      </c>
      <c r="S404" s="551" cm="1">
        <f t="array" ref="S404">_xlfn.ANCHORARRAY(S383) * $F$15</f>
        <v>516055.4544000001</v>
      </c>
      <c r="T404" s="551" cm="1">
        <f t="array" ref="T404">_xlfn.ANCHORARRAY(T383) * $F$15</f>
        <v>525181.84060363634</v>
      </c>
      <c r="U404" s="551" cm="1">
        <f t="array" ref="U404">_xlfn.ANCHORARRAY(U383) * $F$15</f>
        <v>530669.2176872727</v>
      </c>
      <c r="V404" s="551" cm="1">
        <f t="array" ref="V404">_xlfn.ANCHORARRAY(V383) * $F$15</f>
        <v>536156.59477090894</v>
      </c>
      <c r="W404" s="551" cm="1">
        <f t="array" ref="W404">_xlfn.ANCHORARRAY(W383) * $F$15</f>
        <v>541643.97185454553</v>
      </c>
      <c r="X404" s="551" cm="1">
        <f t="array" ref="X404">_xlfn.ANCHORARRAY(X383) * $F$15</f>
        <v>547131.34893818165</v>
      </c>
      <c r="Y404" s="551" cm="1">
        <f t="array" ref="Y404">_xlfn.ANCHORARRAY(Y383) * $F$15</f>
        <v>552656.47047272732</v>
      </c>
      <c r="Z404" s="551" cm="1">
        <f t="array" ref="Z404">_xlfn.ANCHORARRAY(Z383) * $F$15</f>
        <v>558143.84755636367</v>
      </c>
      <c r="AA404" s="551" cm="1">
        <f t="array" ref="AA404">_xlfn.ANCHORARRAY(AA383) * $F$15</f>
        <v>563652.31712727284</v>
      </c>
      <c r="AB404" s="551" cm="1">
        <f t="array" ref="AB404">_xlfn.ANCHORARRAY(AB383) * $F$15</f>
        <v>569139.69421090907</v>
      </c>
      <c r="AC404" s="551" cm="1">
        <f t="array" ref="AC404">_xlfn.ANCHORARRAY(AC383) * $F$15</f>
        <v>574627.07129454555</v>
      </c>
      <c r="AD404" s="551" cm="1">
        <f t="array" ref="AD404">_xlfn.ANCHORARRAY(AD383) * $F$15</f>
        <v>580152.19282909099</v>
      </c>
      <c r="AE404" s="551" cm="1">
        <f t="array" ref="AE404">_xlfn.ANCHORARRAY(AE383) * $F$15</f>
        <v>585639.56991272734</v>
      </c>
      <c r="AF404" s="551" cm="1">
        <f t="array" ref="AF404">_xlfn.ANCHORARRAY(AF383) * $F$15</f>
        <v>591126.94699636369</v>
      </c>
      <c r="AG404" s="689" cm="1">
        <f t="array" ref="AG404">_xlfn.ANCHORARRAY(AG383) * $F$15</f>
        <v>596635.41656727274</v>
      </c>
      <c r="AH404" s="5"/>
      <c r="AI404" s="5"/>
      <c r="AJ404" s="5"/>
      <c r="AK404" s="5"/>
      <c r="AL404" s="5"/>
      <c r="AM404" s="5"/>
      <c r="AN404" s="5"/>
    </row>
    <row r="405" spans="1:40" ht="21.9" customHeight="1" x14ac:dyDescent="0.25">
      <c r="B405" s="679"/>
      <c r="C405" s="690"/>
      <c r="D405" s="694"/>
      <c r="E405" s="114" t="s">
        <v>319</v>
      </c>
      <c r="F405" s="114" t="s">
        <v>276</v>
      </c>
      <c r="G405" s="114" t="s">
        <v>333</v>
      </c>
      <c r="H405" s="551" cm="1">
        <f t="array" ref="H405">_xlfn.ANCHORARRAY(H384) * $F$15</f>
        <v>1435279.5454545456</v>
      </c>
      <c r="I405" s="551" cm="1">
        <f t="array" ref="I405">_xlfn.ANCHORARRAY(I384) * $F$15</f>
        <v>1476654.3489113641</v>
      </c>
      <c r="J405" s="551" cm="1">
        <f t="array" ref="J405">_xlfn.ANCHORARRAY(J384) * $F$15</f>
        <v>1521437.9412886368</v>
      </c>
      <c r="K405" s="551" cm="1">
        <f t="array" ref="K405">_xlfn.ANCHORARRAY(K384) * $F$15</f>
        <v>1580851.3380727274</v>
      </c>
      <c r="L405" s="551" cm="1">
        <f t="array" ref="L405">_xlfn.ANCHORARRAY(L384) * $F$15</f>
        <v>1640274.7818136362</v>
      </c>
      <c r="M405" s="551" cm="1">
        <f t="array" ref="M405">_xlfn.ANCHORARRAY(M384) * $F$15</f>
        <v>1699722.6253068182</v>
      </c>
      <c r="N405" s="551" cm="1">
        <f t="array" ref="N405">_xlfn.ANCHORARRAY(N384) * $F$15</f>
        <v>1759136.0220909095</v>
      </c>
      <c r="O405" s="551" cm="1">
        <f t="array" ref="O405">_xlfn.ANCHORARRAY(O384) * $F$15</f>
        <v>1818565.2069500005</v>
      </c>
      <c r="P405" s="551" cm="1">
        <f t="array" ref="P405">_xlfn.ANCHORARRAY(P384) * $F$15</f>
        <v>1883959.4136000006</v>
      </c>
      <c r="Q405" s="551" cm="1">
        <f t="array" ref="Q405">_xlfn.ANCHORARRAY(Q384) * $F$15</f>
        <v>1949332.0910568184</v>
      </c>
      <c r="R405" s="551" cm="1">
        <f t="array" ref="R405">_xlfn.ANCHORARRAY(R384) * $F$15</f>
        <v>2014726.2977068182</v>
      </c>
      <c r="S405" s="551" cm="1">
        <f t="array" ref="S405">_xlfn.ANCHORARRAY(S384) * $F$15</f>
        <v>2080120.5043568183</v>
      </c>
      <c r="T405" s="551" cm="1">
        <f t="array" ref="T405">_xlfn.ANCHORARRAY(T384) * $F$15</f>
        <v>2145552.0282750009</v>
      </c>
      <c r="U405" s="551" cm="1">
        <f t="array" ref="U405">_xlfn.ANCHORARRAY(U384) * $F$15</f>
        <v>2196310.6894000005</v>
      </c>
      <c r="V405" s="551" cm="1">
        <f t="array" ref="V405">_xlfn.ANCHORARRAY(V384) * $F$15</f>
        <v>2237685.4928568183</v>
      </c>
      <c r="W405" s="551" cm="1">
        <f t="array" ref="W405">_xlfn.ANCHORARRAY(W384) * $F$15</f>
        <v>2279060.2963136369</v>
      </c>
      <c r="X405" s="551" cm="1">
        <f t="array" ref="X405">_xlfn.ANCHORARRAY(X384) * $F$15</f>
        <v>2320435.0997704547</v>
      </c>
      <c r="Y405" s="551" cm="1">
        <f t="array" ref="Y405">_xlfn.ANCHORARRAY(Y384) * $F$15</f>
        <v>2361805.5973886363</v>
      </c>
      <c r="Z405" s="551" cm="1">
        <f t="array" ref="Z405">_xlfn.ANCHORARRAY(Z384) * $F$15</f>
        <v>2403180.4008454541</v>
      </c>
      <c r="AA405" s="551" cm="1">
        <f t="array" ref="AA405">_xlfn.ANCHORARRAY(AA384) * $F$15</f>
        <v>2444550.8984636357</v>
      </c>
      <c r="AB405" s="551" cm="1">
        <f t="array" ref="AB405">_xlfn.ANCHORARRAY(AB384) * $F$15</f>
        <v>2485925.7019204553</v>
      </c>
      <c r="AC405" s="551" cm="1">
        <f t="array" ref="AC405">_xlfn.ANCHORARRAY(AC384) * $F$15</f>
        <v>2527300.5053772731</v>
      </c>
      <c r="AD405" s="551" cm="1">
        <f t="array" ref="AD405">_xlfn.ANCHORARRAY(AD384) * $F$15</f>
        <v>2568671.0029954552</v>
      </c>
      <c r="AE405" s="551" cm="1">
        <f t="array" ref="AE405">_xlfn.ANCHORARRAY(AE384) * $F$15</f>
        <v>2610045.8064522729</v>
      </c>
      <c r="AF405" s="551" cm="1">
        <f t="array" ref="AF405">_xlfn.ANCHORARRAY(AF384) * $F$15</f>
        <v>2651420.6099090911</v>
      </c>
      <c r="AG405" s="689" cm="1">
        <f t="array" ref="AG405">_xlfn.ANCHORARRAY(AG384) * $F$15</f>
        <v>2692791.1075272732</v>
      </c>
      <c r="AH405" s="5"/>
      <c r="AI405" s="5"/>
      <c r="AJ405" s="5"/>
      <c r="AK405" s="5"/>
      <c r="AL405" s="5"/>
      <c r="AM405" s="5"/>
      <c r="AN405" s="5"/>
    </row>
    <row r="406" spans="1:40" ht="21.9" customHeight="1" x14ac:dyDescent="0.25">
      <c r="B406" s="679"/>
      <c r="C406" s="690"/>
      <c r="D406" s="694"/>
      <c r="E406" s="114"/>
      <c r="F406" s="114" t="s">
        <v>333</v>
      </c>
      <c r="G406" s="114" t="s">
        <v>323</v>
      </c>
      <c r="H406" s="551" cm="1">
        <f t="array" ref="H406">_xlfn.ANCHORARRAY(H385) * $F$15</f>
        <v>209029.30606060609</v>
      </c>
      <c r="I406" s="551" cm="1">
        <f t="array" ref="I406">_xlfn.ANCHORARRAY(I385) * $F$15</f>
        <v>214961.88781287879</v>
      </c>
      <c r="J406" s="551" cm="1">
        <f t="array" ref="J406">_xlfn.ANCHORARRAY(J385) * $F$15</f>
        <v>221545.48583810605</v>
      </c>
      <c r="K406" s="551" cm="1">
        <f t="array" ref="K406">_xlfn.ANCHORARRAY(K385) * $F$15</f>
        <v>230786.23139734849</v>
      </c>
      <c r="L406" s="551" cm="1">
        <f t="array" ref="L406">_xlfn.ANCHORARRAY(L385) * $F$15</f>
        <v>240028.62718795455</v>
      </c>
      <c r="M406" s="551" cm="1">
        <f t="array" ref="M406">_xlfn.ANCHORARRAY(M385) * $F$15</f>
        <v>249272.94824848481</v>
      </c>
      <c r="N406" s="551" cm="1">
        <f t="array" ref="N406">_xlfn.ANCHORARRAY(N385) * $F$15</f>
        <v>258513.69380772731</v>
      </c>
      <c r="O406" s="551" cm="1">
        <f t="array" ref="O406">_xlfn.ANCHORARRAY(O385) * $F$15</f>
        <v>267754.98944409093</v>
      </c>
      <c r="P406" s="551" cm="1">
        <f t="array" ref="P406">_xlfn.ANCHORARRAY(P385) * $F$15</f>
        <v>278141.82068537886</v>
      </c>
      <c r="Q406" s="551" cm="1">
        <f t="array" ref="Q406">_xlfn.ANCHORARRAY(Q385) * $F$15</f>
        <v>288525.07642537879</v>
      </c>
      <c r="R406" s="551" cm="1">
        <f t="array" ref="R406">_xlfn.ANCHORARRAY(R385) * $F$15</f>
        <v>298911.90766666661</v>
      </c>
      <c r="S406" s="551" cm="1">
        <f t="array" ref="S406">_xlfn.ANCHORARRAY(S385) * $F$15</f>
        <v>309298.73890795448</v>
      </c>
      <c r="T406" s="551" cm="1">
        <f t="array" ref="T406">_xlfn.ANCHORARRAY(T385) * $F$15</f>
        <v>319687.22038060613</v>
      </c>
      <c r="U406" s="551" cm="1">
        <f t="array" ref="U406">_xlfn.ANCHORARRAY(U385) * $F$15</f>
        <v>327418.00424212118</v>
      </c>
      <c r="V406" s="551" cm="1">
        <f t="array" ref="V406">_xlfn.ANCHORARRAY(V385) * $F$15</f>
        <v>333350.58599439391</v>
      </c>
      <c r="W406" s="551" cm="1">
        <f t="array" ref="W406">_xlfn.ANCHORARRAY(W385) * $F$15</f>
        <v>339283.16774666664</v>
      </c>
      <c r="X406" s="551" cm="1">
        <f t="array" ref="X406">_xlfn.ANCHORARRAY(X385) * $F$15</f>
        <v>345215.74949893937</v>
      </c>
      <c r="Y406" s="551" cm="1">
        <f t="array" ref="Y406">_xlfn.ANCHORARRAY(Y385) * $F$15</f>
        <v>351145.30582704541</v>
      </c>
      <c r="Z406" s="551" cm="1">
        <f t="array" ref="Z406">_xlfn.ANCHORARRAY(Z385) * $F$15</f>
        <v>357077.88757931819</v>
      </c>
      <c r="AA406" s="551" cm="1">
        <f t="array" ref="AA406">_xlfn.ANCHORARRAY(AA385) * $F$15</f>
        <v>363007.44390742428</v>
      </c>
      <c r="AB406" s="551" cm="1">
        <f t="array" ref="AB406">_xlfn.ANCHORARRAY(AB385) * $F$15</f>
        <v>368940.02565969696</v>
      </c>
      <c r="AC406" s="551" cm="1">
        <f t="array" ref="AC406">_xlfn.ANCHORARRAY(AC385) * $F$15</f>
        <v>374872.60741196969</v>
      </c>
      <c r="AD406" s="551" cm="1">
        <f t="array" ref="AD406">_xlfn.ANCHORARRAY(AD385) * $F$15</f>
        <v>380802.16374007572</v>
      </c>
      <c r="AE406" s="551" cm="1">
        <f t="array" ref="AE406">_xlfn.ANCHORARRAY(AE385) * $F$15</f>
        <v>386734.74549234851</v>
      </c>
      <c r="AF406" s="551" cm="1">
        <f t="array" ref="AF406">_xlfn.ANCHORARRAY(AF385) * $F$15</f>
        <v>392667.32724462118</v>
      </c>
      <c r="AG406" s="689" cm="1">
        <f t="array" ref="AG406">_xlfn.ANCHORARRAY(AG385) * $F$15</f>
        <v>398596.88357272721</v>
      </c>
      <c r="AH406" s="5"/>
      <c r="AI406" s="5"/>
      <c r="AJ406" s="5"/>
      <c r="AK406" s="5"/>
      <c r="AL406" s="5"/>
      <c r="AM406" s="5"/>
      <c r="AN406" s="5"/>
    </row>
    <row r="407" spans="1:40" ht="21.9" customHeight="1" x14ac:dyDescent="0.25">
      <c r="B407" s="679"/>
      <c r="C407" s="690"/>
      <c r="D407" s="694"/>
      <c r="E407" s="114"/>
      <c r="F407" s="114" t="s">
        <v>323</v>
      </c>
      <c r="G407" s="114" t="s">
        <v>322</v>
      </c>
      <c r="H407" s="551" cm="1">
        <f t="array" ref="H407">_xlfn.ANCHORARRAY(H386) * $F$15</f>
        <v>51697.272727272728</v>
      </c>
      <c r="I407" s="551" cm="1">
        <f t="array" ref="I407">_xlfn.ANCHORARRAY(I386) * $F$15</f>
        <v>53164.522954545457</v>
      </c>
      <c r="J407" s="551" cm="1">
        <f t="array" ref="J407">_xlfn.ANCHORARRAY(J386) * $F$15</f>
        <v>54792.782977272727</v>
      </c>
      <c r="K407" s="551" cm="1">
        <f t="array" ref="K407">_xlfn.ANCHORARRAY(K386) * $F$15</f>
        <v>57078.210568181814</v>
      </c>
      <c r="L407" s="551" cm="1">
        <f t="array" ref="L407">_xlfn.ANCHORARRAY(L386) * $F$15</f>
        <v>59364.046295454544</v>
      </c>
      <c r="M407" s="551" cm="1">
        <f t="array" ref="M407">_xlfn.ANCHORARRAY(M386) * $F$15</f>
        <v>61650.358181818177</v>
      </c>
      <c r="N407" s="551" cm="1">
        <f t="array" ref="N407">_xlfn.ANCHORARRAY(N386) * $F$15</f>
        <v>63935.785772727279</v>
      </c>
      <c r="O407" s="551" cm="1">
        <f t="array" ref="O407">_xlfn.ANCHORARRAY(O386) * $F$15</f>
        <v>66221.349409090923</v>
      </c>
      <c r="P407" s="551" cm="1">
        <f t="array" ref="P407">_xlfn.ANCHORARRAY(P386) * $F$15</f>
        <v>68790.227704545468</v>
      </c>
      <c r="Q407" s="551" cm="1">
        <f t="array" ref="Q407">_xlfn.ANCHORARRAY(Q386) * $F$15</f>
        <v>71358.221704545445</v>
      </c>
      <c r="R407" s="551" cm="1">
        <f t="array" ref="R407">_xlfn.ANCHORARRAY(R386) * $F$15</f>
        <v>73927.099999999991</v>
      </c>
      <c r="S407" s="551" cm="1">
        <f t="array" ref="S407">_xlfn.ANCHORARRAY(S386) * $F$15</f>
        <v>76495.978295454523</v>
      </c>
      <c r="T407" s="551" cm="1">
        <f t="array" ref="T407">_xlfn.ANCHORARRAY(T386) * $F$15</f>
        <v>79065.264727272734</v>
      </c>
      <c r="U407" s="551" cm="1">
        <f t="array" ref="U407">_xlfn.ANCHORARRAY(U386) * $F$15</f>
        <v>80977.247545454535</v>
      </c>
      <c r="V407" s="551" cm="1">
        <f t="array" ref="V407">_xlfn.ANCHORARRAY(V386) * $F$15</f>
        <v>82444.497772727264</v>
      </c>
      <c r="W407" s="551" cm="1">
        <f t="array" ref="W407">_xlfn.ANCHORARRAY(W386) * $F$15</f>
        <v>83911.747999999992</v>
      </c>
      <c r="X407" s="551" cm="1">
        <f t="array" ref="X407">_xlfn.ANCHORARRAY(X386) * $F$15</f>
        <v>85378.998227272721</v>
      </c>
      <c r="Y407" s="551" cm="1">
        <f t="array" ref="Y407">_xlfn.ANCHORARRAY(Y386) * $F$15</f>
        <v>86845.500204545431</v>
      </c>
      <c r="Z407" s="551" cm="1">
        <f t="array" ref="Z407">_xlfn.ANCHORARRAY(Z386) * $F$15</f>
        <v>88312.750431818175</v>
      </c>
      <c r="AA407" s="551" cm="1">
        <f t="array" ref="AA407">_xlfn.ANCHORARRAY(AA386) * $F$15</f>
        <v>89779.252409090899</v>
      </c>
      <c r="AB407" s="551" cm="1">
        <f t="array" ref="AB407">_xlfn.ANCHORARRAY(AB386) * $F$15</f>
        <v>91246.502636363643</v>
      </c>
      <c r="AC407" s="551" cm="1">
        <f t="array" ref="AC407">_xlfn.ANCHORARRAY(AC386) * $F$15</f>
        <v>92713.752863636371</v>
      </c>
      <c r="AD407" s="551" cm="1">
        <f t="array" ref="AD407">_xlfn.ANCHORARRAY(AD386) * $F$15</f>
        <v>94180.254840909096</v>
      </c>
      <c r="AE407" s="551" cm="1">
        <f t="array" ref="AE407">_xlfn.ANCHORARRAY(AE386) * $F$15</f>
        <v>95647.50506818181</v>
      </c>
      <c r="AF407" s="551" cm="1">
        <f t="array" ref="AF407">_xlfn.ANCHORARRAY(AF386) * $F$15</f>
        <v>97114.755295454539</v>
      </c>
      <c r="AG407" s="689" cm="1">
        <f t="array" ref="AG407">_xlfn.ANCHORARRAY(AG386) * $F$15</f>
        <v>98581.257272727264</v>
      </c>
      <c r="AH407" s="5"/>
      <c r="AI407" s="5"/>
      <c r="AJ407" s="5"/>
      <c r="AK407" s="5"/>
      <c r="AL407" s="5"/>
      <c r="AM407" s="5"/>
      <c r="AN407" s="5"/>
    </row>
    <row r="408" spans="1:40" ht="21.9" customHeight="1" x14ac:dyDescent="0.25">
      <c r="B408" s="679"/>
      <c r="C408" s="690"/>
      <c r="D408" s="694"/>
      <c r="E408" s="114"/>
      <c r="F408" s="114" t="s">
        <v>322</v>
      </c>
      <c r="G408" s="114" t="s">
        <v>326</v>
      </c>
      <c r="H408" s="551" cm="1">
        <f t="array" ref="H408">_xlfn.ANCHORARRAY(H387) * $F$15</f>
        <v>132644.31818181821</v>
      </c>
      <c r="I408" s="551" cm="1">
        <f t="array" ref="I408">_xlfn.ANCHORARRAY(I387) * $F$15</f>
        <v>136405.66889772727</v>
      </c>
      <c r="J408" s="551" cm="1">
        <f t="array" ref="J408">_xlfn.ANCHORARRAY(J387) * $F$15</f>
        <v>140691.62789204545</v>
      </c>
      <c r="K408" s="551" cm="1">
        <f t="array" ref="K408">_xlfn.ANCHORARRAY(K387) * $F$15</f>
        <v>146168.06964204548</v>
      </c>
      <c r="L408" s="551" cm="1">
        <f t="array" ref="L408">_xlfn.ANCHORARRAY(L387) * $F$15</f>
        <v>151646.27998295453</v>
      </c>
      <c r="M408" s="551" cm="1">
        <f t="array" ref="M408">_xlfn.ANCHORARRAY(M387) * $F$15</f>
        <v>157123.60602840918</v>
      </c>
      <c r="N408" s="551" cm="1">
        <f t="array" ref="N408">_xlfn.ANCHORARRAY(N387) * $F$15</f>
        <v>162600.04777840912</v>
      </c>
      <c r="O408" s="551" cm="1">
        <f t="array" ref="O408">_xlfn.ANCHORARRAY(O387) * $F$15</f>
        <v>168077.59489772731</v>
      </c>
      <c r="P408" s="551" cm="1">
        <f t="array" ref="P408">_xlfn.ANCHORARRAY(P387) * $F$15</f>
        <v>174268.54737499999</v>
      </c>
      <c r="Q408" s="551" cm="1">
        <f t="array" ref="Q408">_xlfn.ANCHORARRAY(Q387) * $F$15</f>
        <v>180459.27877840912</v>
      </c>
      <c r="R408" s="551" cm="1">
        <f t="array" ref="R408">_xlfn.ANCHORARRAY(R387) * $F$15</f>
        <v>186649.3469602273</v>
      </c>
      <c r="S408" s="551" cm="1">
        <f t="array" ref="S408">_xlfn.ANCHORARRAY(S387) * $F$15</f>
        <v>192840.29943750004</v>
      </c>
      <c r="T408" s="551" cm="1">
        <f t="array" ref="T408">_xlfn.ANCHORARRAY(T387) * $F$15</f>
        <v>199032.35728409089</v>
      </c>
      <c r="U408" s="551" cm="1">
        <f t="array" ref="U408">_xlfn.ANCHORARRAY(U387) * $F$15</f>
        <v>204032.60593181819</v>
      </c>
      <c r="V408" s="551" cm="1">
        <f t="array" ref="V408">_xlfn.ANCHORARRAY(V387) * $F$15</f>
        <v>207793.95664772732</v>
      </c>
      <c r="W408" s="551" cm="1">
        <f t="array" ref="W408">_xlfn.ANCHORARRAY(W387) * $F$15</f>
        <v>211555.30736363644</v>
      </c>
      <c r="X408" s="551" cm="1">
        <f t="array" ref="X408">_xlfn.ANCHORARRAY(X387) * $F$15</f>
        <v>215316.65807954551</v>
      </c>
      <c r="Y408" s="551" cm="1">
        <f t="array" ref="Y408">_xlfn.ANCHORARRAY(Y387) * $F$15</f>
        <v>219076.90342613641</v>
      </c>
      <c r="Z408" s="551" cm="1">
        <f t="array" ref="Z408">_xlfn.ANCHORARRAY(Z387) * $F$15</f>
        <v>222838.25414204542</v>
      </c>
      <c r="AA408" s="551" cm="1">
        <f t="array" ref="AA408">_xlfn.ANCHORARRAY(AA387) * $F$15</f>
        <v>226598.49948863633</v>
      </c>
      <c r="AB408" s="551" cm="1">
        <f t="array" ref="AB408">_xlfn.ANCHORARRAY(AB387) * $F$15</f>
        <v>230359.85020454542</v>
      </c>
      <c r="AC408" s="551" cm="1">
        <f t="array" ref="AC408">_xlfn.ANCHORARRAY(AC387) * $F$15</f>
        <v>234121.20092045452</v>
      </c>
      <c r="AD408" s="551" cm="1">
        <f t="array" ref="AD408">_xlfn.ANCHORARRAY(AD387) * $F$15</f>
        <v>237881.44626704539</v>
      </c>
      <c r="AE408" s="551" cm="1">
        <f t="array" ref="AE408">_xlfn.ANCHORARRAY(AE387) * $F$15</f>
        <v>241642.79698295452</v>
      </c>
      <c r="AF408" s="551" cm="1">
        <f t="array" ref="AF408">_xlfn.ANCHORARRAY(AF387) * $F$15</f>
        <v>245404.14769886358</v>
      </c>
      <c r="AG408" s="689" cm="1">
        <f t="array" ref="AG408">_xlfn.ANCHORARRAY(AG387) * $F$15</f>
        <v>249164.39304545452</v>
      </c>
      <c r="AH408" s="5"/>
      <c r="AI408" s="5"/>
      <c r="AJ408" s="5"/>
      <c r="AK408" s="5"/>
      <c r="AL408" s="5"/>
      <c r="AM408" s="5"/>
      <c r="AN408" s="5"/>
    </row>
    <row r="409" spans="1:40" ht="21.9" customHeight="1" x14ac:dyDescent="0.25">
      <c r="B409" s="680"/>
      <c r="C409" s="690"/>
      <c r="D409" s="694"/>
      <c r="E409" s="114"/>
      <c r="F409" s="114" t="s">
        <v>326</v>
      </c>
      <c r="G409" s="114" t="s">
        <v>274</v>
      </c>
      <c r="H409" s="551" cm="1">
        <f t="array" ref="H409">_xlfn.ANCHORARRAY(H388) * $F$15</f>
        <v>1101287.9545454546</v>
      </c>
      <c r="I409" s="551" cm="1">
        <f t="array" ref="I409">_xlfn.ANCHORARRAY(I388) * $F$15</f>
        <v>1132516.8099765154</v>
      </c>
      <c r="J409" s="551" cm="1">
        <f t="array" ref="J409">_xlfn.ANCHORARRAY(J388) * $F$15</f>
        <v>1168101.259267803</v>
      </c>
      <c r="K409" s="551" cm="1">
        <f t="array" ref="K409">_xlfn.ANCHORARRAY(K388) * $F$15</f>
        <v>1213569.7679511365</v>
      </c>
      <c r="L409" s="551" cm="1">
        <f t="array" ref="L409">_xlfn.ANCHORARRAY(L388) * $F$15</f>
        <v>1259052.9604738636</v>
      </c>
      <c r="M409" s="551" cm="1">
        <f t="array" ref="M409">_xlfn.ANCHORARRAY(M388) * $F$15</f>
        <v>1304528.8110768946</v>
      </c>
      <c r="N409" s="551" cm="1">
        <f t="array" ref="N409">_xlfn.ANCHORARRAY(N388) * $F$15</f>
        <v>1349997.3197602276</v>
      </c>
      <c r="O409" s="551" cm="1">
        <f t="array" ref="O409">_xlfn.ANCHORARRAY(O388) * $F$15</f>
        <v>1395475.0058431823</v>
      </c>
      <c r="P409" s="551" cm="1">
        <f t="array" ref="P409">_xlfn.ANCHORARRAY(P388) * $F$15</f>
        <v>1446875.7856416665</v>
      </c>
      <c r="Q409" s="551" cm="1">
        <f t="array" ref="Q409">_xlfn.ANCHORARRAY(Q388) * $F$15</f>
        <v>1498274.7299602276</v>
      </c>
      <c r="R409" s="551" cm="1">
        <f t="array" ref="R409">_xlfn.ANCHORARRAY(R388) * $F$15</f>
        <v>1549668.1678390154</v>
      </c>
      <c r="S409" s="551" cm="1">
        <f t="array" ref="S409">_xlfn.ANCHORARRAY(S388) * $F$15</f>
        <v>1601068.9476375005</v>
      </c>
      <c r="T409" s="551" cm="1">
        <f t="array" ref="T409">_xlfn.ANCHORARRAY(T388) * $F$15</f>
        <v>1652478.904835606</v>
      </c>
      <c r="U409" s="551" cm="1">
        <f t="array" ref="U409">_xlfn.ANCHORARRAY(U388) * $F$15</f>
        <v>1693993.7897621214</v>
      </c>
      <c r="V409" s="551" cm="1">
        <f t="array" ref="V409">_xlfn.ANCHORARRAY(V388) * $F$15</f>
        <v>1725222.6451931822</v>
      </c>
      <c r="W409" s="551" cm="1">
        <f t="array" ref="W409">_xlfn.ANCHORARRAY(W388) * $F$15</f>
        <v>1756451.5006242429</v>
      </c>
      <c r="X409" s="551" cm="1">
        <f t="array" ref="X409">_xlfn.ANCHORARRAY(X388) * $F$15</f>
        <v>1787680.3560553035</v>
      </c>
      <c r="Y409" s="551" cm="1">
        <f t="array" ref="Y409">_xlfn.ANCHORARRAY(Y388) * $F$15</f>
        <v>1818900.0340867429</v>
      </c>
      <c r="Z409" s="551" cm="1">
        <f t="array" ref="Z409">_xlfn.ANCHORARRAY(Z388) * $F$15</f>
        <v>1850128.8895178025</v>
      </c>
      <c r="AA409" s="551" cm="1">
        <f t="array" ref="AA409">_xlfn.ANCHORARRAY(AA388) * $F$15</f>
        <v>1881348.5675492419</v>
      </c>
      <c r="AB409" s="551" cm="1">
        <f t="array" ref="AB409">_xlfn.ANCHORARRAY(AB388) * $F$15</f>
        <v>1912577.4229803027</v>
      </c>
      <c r="AC409" s="551" cm="1">
        <f t="array" ref="AC409">_xlfn.ANCHORARRAY(AC388) * $F$15</f>
        <v>1943806.2784113633</v>
      </c>
      <c r="AD409" s="551" cm="1">
        <f t="array" ref="AD409">_xlfn.ANCHORARRAY(AD388) * $F$15</f>
        <v>1975025.9564428027</v>
      </c>
      <c r="AE409" s="551" cm="1">
        <f t="array" ref="AE409">_xlfn.ANCHORARRAY(AE388) * $F$15</f>
        <v>2006254.8118738635</v>
      </c>
      <c r="AF409" s="551" cm="1">
        <f t="array" ref="AF409">_xlfn.ANCHORARRAY(AF388) * $F$15</f>
        <v>2037483.667304924</v>
      </c>
      <c r="AG409" s="689" cm="1">
        <f t="array" ref="AG409">_xlfn.ANCHORARRAY(AG388) * $F$15</f>
        <v>2068703.3453363634</v>
      </c>
      <c r="AH409" s="5"/>
      <c r="AI409" s="5"/>
      <c r="AJ409" s="5"/>
      <c r="AK409" s="5"/>
      <c r="AL409" s="5"/>
      <c r="AM409" s="5"/>
      <c r="AN409" s="5"/>
    </row>
    <row r="410" spans="1:40" ht="21.9" customHeight="1" thickBot="1" x14ac:dyDescent="0.3">
      <c r="B410" s="180"/>
      <c r="C410" s="114"/>
      <c r="D410" s="694"/>
      <c r="E410" s="274"/>
      <c r="F410" s="274" t="s">
        <v>274</v>
      </c>
      <c r="G410" s="274" t="s">
        <v>317</v>
      </c>
      <c r="H410" s="551" cm="1">
        <f t="array" ref="H410">_xlfn.ANCHORARRAY(H389) * $F$15</f>
        <v>27209.090909090912</v>
      </c>
      <c r="I410" s="551" cm="1">
        <f t="array" ref="I410">_xlfn.ANCHORARRAY(I389) * $F$15</f>
        <v>27980.650030303037</v>
      </c>
      <c r="J410" s="551" cm="1">
        <f t="array" ref="J410">_xlfn.ANCHORARRAY(J389) * $F$15</f>
        <v>28859.821106060605</v>
      </c>
      <c r="K410" s="551" cm="1">
        <f t="array" ref="K410">_xlfn.ANCHORARRAY(K389) * $F$15</f>
        <v>29983.193772727278</v>
      </c>
      <c r="L410" s="551" cm="1">
        <f t="array" ref="L410">_xlfn.ANCHORARRAY(L389) * $F$15</f>
        <v>31106.929227272729</v>
      </c>
      <c r="M410" s="551" cm="1">
        <f t="array" ref="M410">_xlfn.ANCHORARRAY(M389) * $F$15</f>
        <v>32230.483287878804</v>
      </c>
      <c r="N410" s="551" cm="1">
        <f t="array" ref="N410">_xlfn.ANCHORARRAY(N389) * $F$15</f>
        <v>33353.855954545463</v>
      </c>
      <c r="O410" s="551" cm="1">
        <f t="array" ref="O410">_xlfn.ANCHORARRAY(O389) * $F$15</f>
        <v>34477.455363636378</v>
      </c>
      <c r="P410" s="551" cm="1">
        <f t="array" ref="P410">_xlfn.ANCHORARRAY(P389) * $F$15</f>
        <v>35747.39433333333</v>
      </c>
      <c r="Q410" s="551" cm="1">
        <f t="array" ref="Q410">_xlfn.ANCHORARRAY(Q389) * $F$15</f>
        <v>37017.287954545456</v>
      </c>
      <c r="R410" s="551" cm="1">
        <f t="array" ref="R410">_xlfn.ANCHORARRAY(R389) * $F$15</f>
        <v>38287.045530303039</v>
      </c>
      <c r="S410" s="551" cm="1">
        <f t="array" ref="S410">_xlfn.ANCHORARRAY(S389) * $F$15</f>
        <v>39556.984500000013</v>
      </c>
      <c r="T410" s="551" cm="1">
        <f t="array" ref="T410">_xlfn.ANCHORARRAY(T389) * $F$15</f>
        <v>40827.150212121218</v>
      </c>
      <c r="U410" s="551" cm="1">
        <f t="array" ref="U410">_xlfn.ANCHORARRAY(U389) * $F$15</f>
        <v>41852.842242424245</v>
      </c>
      <c r="V410" s="551" cm="1">
        <f t="array" ref="V410">_xlfn.ANCHORARRAY(V389) * $F$15</f>
        <v>42624.401363636374</v>
      </c>
      <c r="W410" s="551" cm="1">
        <f t="array" ref="W410">_xlfn.ANCHORARRAY(W389) * $F$15</f>
        <v>43395.960484848503</v>
      </c>
      <c r="X410" s="551" cm="1">
        <f t="array" ref="X410">_xlfn.ANCHORARRAY(X389) * $F$15</f>
        <v>44167.519606060625</v>
      </c>
      <c r="Y410" s="551" cm="1">
        <f t="array" ref="Y410">_xlfn.ANCHORARRAY(Y389) * $F$15</f>
        <v>44938.851984848494</v>
      </c>
      <c r="Z410" s="551" cm="1">
        <f t="array" ref="Z410">_xlfn.ANCHORARRAY(Z389) * $F$15</f>
        <v>45710.411106060608</v>
      </c>
      <c r="AA410" s="551" cm="1">
        <f t="array" ref="AA410">_xlfn.ANCHORARRAY(AA389) * $F$15</f>
        <v>46481.743484848477</v>
      </c>
      <c r="AB410" s="551" cm="1">
        <f t="array" ref="AB410">_xlfn.ANCHORARRAY(AB389) * $F$15</f>
        <v>47253.302606060599</v>
      </c>
      <c r="AC410" s="551" cm="1">
        <f t="array" ref="AC410">_xlfn.ANCHORARRAY(AC389) * $F$15</f>
        <v>48024.861727272728</v>
      </c>
      <c r="AD410" s="551" cm="1">
        <f t="array" ref="AD410">_xlfn.ANCHORARRAY(AD389) * $F$15</f>
        <v>48796.194106060597</v>
      </c>
      <c r="AE410" s="551" cm="1">
        <f t="array" ref="AE410">_xlfn.ANCHORARRAY(AE389) * $F$15</f>
        <v>49567.753227272726</v>
      </c>
      <c r="AF410" s="551" cm="1">
        <f t="array" ref="AF410">_xlfn.ANCHORARRAY(AF389) * $F$15</f>
        <v>50339.312348484847</v>
      </c>
      <c r="AG410" s="689" cm="1">
        <f t="array" ref="AG410">_xlfn.ANCHORARRAY(AG389) * $F$15</f>
        <v>51110.644727272716</v>
      </c>
      <c r="AH410" s="5"/>
      <c r="AI410" s="5"/>
      <c r="AJ410" s="5"/>
      <c r="AK410" s="5"/>
      <c r="AL410" s="5"/>
      <c r="AM410" s="5"/>
      <c r="AN410" s="5"/>
    </row>
    <row r="411" spans="1:40" ht="21.9" customHeight="1" x14ac:dyDescent="0.25">
      <c r="B411" s="180"/>
      <c r="C411" s="114"/>
      <c r="D411" s="695"/>
      <c r="E411" s="123" t="s">
        <v>25</v>
      </c>
      <c r="F411" s="123"/>
      <c r="G411" s="123"/>
      <c r="H411" s="691">
        <f t="shared" ref="H411:AG411" si="173">SUM(H391:H410)</f>
        <v>13110758.500606064</v>
      </c>
      <c r="I411" s="691">
        <f t="shared" si="173"/>
        <v>14186130.789736606</v>
      </c>
      <c r="J411" s="691">
        <f t="shared" si="173"/>
        <v>15591404.679361563</v>
      </c>
      <c r="K411" s="691">
        <f t="shared" si="173"/>
        <v>17946915.660448164</v>
      </c>
      <c r="L411" s="691">
        <f t="shared" si="173"/>
        <v>20303630.347772598</v>
      </c>
      <c r="M411" s="691">
        <f t="shared" si="173"/>
        <v>22660320.603736844</v>
      </c>
      <c r="N411" s="691">
        <f t="shared" si="173"/>
        <v>25015831.584823448</v>
      </c>
      <c r="O411" s="691">
        <f t="shared" si="173"/>
        <v>27373755.438615363</v>
      </c>
      <c r="P411" s="691">
        <f t="shared" si="173"/>
        <v>29542533.717691738</v>
      </c>
      <c r="Q411" s="691">
        <f t="shared" si="173"/>
        <v>31711910.585657742</v>
      </c>
      <c r="R411" s="691">
        <f t="shared" si="173"/>
        <v>33880702.299494855</v>
      </c>
      <c r="S411" s="691">
        <f t="shared" si="173"/>
        <v>36049480.57857123</v>
      </c>
      <c r="T411" s="691">
        <f t="shared" si="173"/>
        <v>38220687.117728695</v>
      </c>
      <c r="U411" s="691">
        <f t="shared" si="173"/>
        <v>39450456.81593667</v>
      </c>
      <c r="V411" s="691">
        <f t="shared" si="173"/>
        <v>40160829.462767199</v>
      </c>
      <c r="W411" s="691">
        <f t="shared" si="173"/>
        <v>40871202.109597757</v>
      </c>
      <c r="X411" s="691">
        <f t="shared" si="173"/>
        <v>41581574.756428309</v>
      </c>
      <c r="Y411" s="691">
        <f t="shared" si="173"/>
        <v>42292587.035338864</v>
      </c>
      <c r="Z411" s="691">
        <f t="shared" si="173"/>
        <v>43002959.682169415</v>
      </c>
      <c r="AA411" s="691">
        <f t="shared" si="173"/>
        <v>43713931.305256344</v>
      </c>
      <c r="AB411" s="691">
        <f t="shared" si="173"/>
        <v>44424303.952086881</v>
      </c>
      <c r="AC411" s="691">
        <f t="shared" si="173"/>
        <v>45134676.59891744</v>
      </c>
      <c r="AD411" s="691">
        <f t="shared" si="173"/>
        <v>45845688.877827995</v>
      </c>
      <c r="AE411" s="691">
        <f t="shared" si="173"/>
        <v>46556061.524658516</v>
      </c>
      <c r="AF411" s="691">
        <f t="shared" si="173"/>
        <v>47266434.171489082</v>
      </c>
      <c r="AG411" s="692">
        <f t="shared" si="173"/>
        <v>47977405.794576004</v>
      </c>
      <c r="AH411" s="47"/>
      <c r="AI411" s="47"/>
      <c r="AJ411" s="47"/>
      <c r="AK411" s="47"/>
      <c r="AL411" s="47"/>
      <c r="AM411" s="47"/>
      <c r="AN411" s="47"/>
    </row>
    <row r="412" spans="1:40" ht="21.9" customHeight="1" x14ac:dyDescent="0.25">
      <c r="A412" s="9"/>
      <c r="B412" s="680"/>
      <c r="C412" s="690"/>
      <c r="D412" s="693" t="s">
        <v>443</v>
      </c>
      <c r="E412" s="1325" t="s">
        <v>315</v>
      </c>
      <c r="F412" s="217" t="s">
        <v>316</v>
      </c>
      <c r="G412" s="217" t="s">
        <v>276</v>
      </c>
      <c r="H412" s="551">
        <f t="shared" ref="H412:AG412" si="174">H370 * (1-$F$15)</f>
        <v>372825.59999999998</v>
      </c>
      <c r="I412" s="551">
        <f t="shared" si="174"/>
        <v>389778.67907999997</v>
      </c>
      <c r="J412" s="551">
        <f t="shared" si="174"/>
        <v>413663.98416000005</v>
      </c>
      <c r="K412" s="551">
        <f t="shared" si="174"/>
        <v>448798.13664000004</v>
      </c>
      <c r="L412" s="551">
        <f t="shared" si="174"/>
        <v>483945.10499999992</v>
      </c>
      <c r="M412" s="551">
        <f t="shared" si="174"/>
        <v>519092.07335999986</v>
      </c>
      <c r="N412" s="551">
        <f t="shared" si="174"/>
        <v>554226.22583999997</v>
      </c>
      <c r="O412" s="551">
        <f t="shared" si="174"/>
        <v>589386.0100799998</v>
      </c>
      <c r="P412" s="551">
        <f t="shared" si="174"/>
        <v>624129.86075999995</v>
      </c>
      <c r="Q412" s="551">
        <f t="shared" si="174"/>
        <v>658880.7019199999</v>
      </c>
      <c r="R412" s="551">
        <f t="shared" si="174"/>
        <v>693624.55260000005</v>
      </c>
      <c r="S412" s="551">
        <f t="shared" si="174"/>
        <v>728368.40328000009</v>
      </c>
      <c r="T412" s="551">
        <f t="shared" si="174"/>
        <v>763137.8857199999</v>
      </c>
      <c r="U412" s="551">
        <f t="shared" si="174"/>
        <v>786620.07312000007</v>
      </c>
      <c r="V412" s="551">
        <f t="shared" si="174"/>
        <v>803573.15220000001</v>
      </c>
      <c r="W412" s="551">
        <f t="shared" si="174"/>
        <v>820526.23127999972</v>
      </c>
      <c r="X412" s="551">
        <f t="shared" si="174"/>
        <v>837479.31036</v>
      </c>
      <c r="Y412" s="551">
        <f t="shared" si="174"/>
        <v>854438.21483999991</v>
      </c>
      <c r="Z412" s="551">
        <f t="shared" si="174"/>
        <v>871391.29391999997</v>
      </c>
      <c r="AA412" s="551">
        <f t="shared" si="174"/>
        <v>888350.19839999988</v>
      </c>
      <c r="AB412" s="551">
        <f t="shared" si="174"/>
        <v>905303.27747999993</v>
      </c>
      <c r="AC412" s="551">
        <f t="shared" si="174"/>
        <v>922256.35655999987</v>
      </c>
      <c r="AD412" s="551">
        <f t="shared" si="174"/>
        <v>939215.26103999978</v>
      </c>
      <c r="AE412" s="551">
        <f t="shared" si="174"/>
        <v>956168.34011999972</v>
      </c>
      <c r="AF412" s="551">
        <f t="shared" si="174"/>
        <v>973121.4192</v>
      </c>
      <c r="AG412" s="689">
        <f t="shared" si="174"/>
        <v>990080.32367999991</v>
      </c>
      <c r="AH412" s="5"/>
      <c r="AI412" s="5"/>
      <c r="AJ412" s="5"/>
      <c r="AK412" s="5"/>
      <c r="AL412" s="5"/>
      <c r="AM412" s="5"/>
      <c r="AN412" s="5"/>
    </row>
    <row r="413" spans="1:40" ht="21.9" customHeight="1" x14ac:dyDescent="0.25">
      <c r="A413" s="9"/>
      <c r="B413" s="680"/>
      <c r="C413" s="690"/>
      <c r="D413" s="693"/>
      <c r="E413" s="1327"/>
      <c r="F413" s="114" t="s">
        <v>276</v>
      </c>
      <c r="G413" s="114" t="s">
        <v>274</v>
      </c>
      <c r="H413" s="551">
        <f t="shared" ref="H413:AG413" si="175">H371 * (1-$F$15)</f>
        <v>11988338.727272727</v>
      </c>
      <c r="I413" s="551">
        <f t="shared" si="175"/>
        <v>12621145.407054542</v>
      </c>
      <c r="J413" s="551">
        <f t="shared" si="175"/>
        <v>13571065.846799999</v>
      </c>
      <c r="K413" s="551">
        <f t="shared" si="175"/>
        <v>15140472.589963632</v>
      </c>
      <c r="L413" s="551">
        <f t="shared" si="175"/>
        <v>16710589.7532</v>
      </c>
      <c r="M413" s="551">
        <f t="shared" si="175"/>
        <v>18280618.113927267</v>
      </c>
      <c r="N413" s="551">
        <f t="shared" si="175"/>
        <v>19850024.857090909</v>
      </c>
      <c r="O413" s="551">
        <f t="shared" si="175"/>
        <v>21420852.440400001</v>
      </c>
      <c r="P413" s="551">
        <f t="shared" si="175"/>
        <v>23005622.017636359</v>
      </c>
      <c r="Q413" s="551">
        <f t="shared" si="175"/>
        <v>24590924.409927268</v>
      </c>
      <c r="R413" s="551">
        <f t="shared" si="175"/>
        <v>26175693.987163629</v>
      </c>
      <c r="S413" s="551">
        <f t="shared" si="175"/>
        <v>27760463.564399999</v>
      </c>
      <c r="T413" s="551">
        <f t="shared" si="175"/>
        <v>29346653.981781818</v>
      </c>
      <c r="U413" s="551">
        <f t="shared" si="175"/>
        <v>30311226.835527275</v>
      </c>
      <c r="V413" s="551">
        <f t="shared" si="175"/>
        <v>30944033.515309084</v>
      </c>
      <c r="W413" s="551">
        <f t="shared" si="175"/>
        <v>31576840.195090909</v>
      </c>
      <c r="X413" s="551">
        <f t="shared" si="175"/>
        <v>32209646.874872729</v>
      </c>
      <c r="Y413" s="551">
        <f t="shared" si="175"/>
        <v>32842808.764690906</v>
      </c>
      <c r="Z413" s="551">
        <f t="shared" si="175"/>
        <v>33475615.444472719</v>
      </c>
      <c r="AA413" s="551">
        <f t="shared" si="175"/>
        <v>34108777.334290914</v>
      </c>
      <c r="AB413" s="551">
        <f t="shared" si="175"/>
        <v>34741584.014072731</v>
      </c>
      <c r="AC413" s="551">
        <f t="shared" si="175"/>
        <v>35374390.693854541</v>
      </c>
      <c r="AD413" s="551">
        <f t="shared" si="175"/>
        <v>36007552.58367274</v>
      </c>
      <c r="AE413" s="551">
        <f t="shared" si="175"/>
        <v>36640359.263454542</v>
      </c>
      <c r="AF413" s="551">
        <f t="shared" si="175"/>
        <v>37273165.943236358</v>
      </c>
      <c r="AG413" s="689">
        <f t="shared" si="175"/>
        <v>37906327.833054543</v>
      </c>
      <c r="AH413" s="5"/>
      <c r="AI413" s="5"/>
      <c r="AJ413" s="5"/>
      <c r="AK413" s="5"/>
      <c r="AL413" s="5"/>
      <c r="AM413" s="5"/>
      <c r="AN413" s="5"/>
    </row>
    <row r="414" spans="1:40" ht="21.9" customHeight="1" x14ac:dyDescent="0.25">
      <c r="A414" s="9"/>
      <c r="B414" s="680"/>
      <c r="C414" s="690"/>
      <c r="D414" s="693"/>
      <c r="E414" s="1327"/>
      <c r="F414" s="114" t="s">
        <v>274</v>
      </c>
      <c r="G414" s="114" t="s">
        <v>317</v>
      </c>
      <c r="H414" s="551">
        <f t="shared" ref="H414:AG414" si="176">H372 * (1-$F$15)</f>
        <v>279619.19999999995</v>
      </c>
      <c r="I414" s="551">
        <f t="shared" si="176"/>
        <v>291295.6317599999</v>
      </c>
      <c r="J414" s="551">
        <f t="shared" si="176"/>
        <v>305747.2840799999</v>
      </c>
      <c r="K414" s="551">
        <f t="shared" si="176"/>
        <v>325204.12007999996</v>
      </c>
      <c r="L414" s="551">
        <f t="shared" si="176"/>
        <v>344667.94656000001</v>
      </c>
      <c r="M414" s="551">
        <f t="shared" si="176"/>
        <v>364129.44287999999</v>
      </c>
      <c r="N414" s="551">
        <f t="shared" si="176"/>
        <v>383586.27888</v>
      </c>
      <c r="O414" s="551">
        <f t="shared" si="176"/>
        <v>403057.09584000008</v>
      </c>
      <c r="P414" s="551">
        <f t="shared" si="176"/>
        <v>421922.07119999995</v>
      </c>
      <c r="Q414" s="551">
        <f t="shared" si="176"/>
        <v>440794.03703999985</v>
      </c>
      <c r="R414" s="551">
        <f t="shared" si="176"/>
        <v>459659.01239999995</v>
      </c>
      <c r="S414" s="551">
        <f t="shared" si="176"/>
        <v>478523.98775999993</v>
      </c>
      <c r="T414" s="551">
        <f t="shared" si="176"/>
        <v>497402.94408000004</v>
      </c>
      <c r="U414" s="551">
        <f t="shared" si="176"/>
        <v>511255.74527999992</v>
      </c>
      <c r="V414" s="551">
        <f t="shared" si="176"/>
        <v>522932.17703999998</v>
      </c>
      <c r="W414" s="551">
        <f t="shared" si="176"/>
        <v>534608.60879999993</v>
      </c>
      <c r="X414" s="551">
        <f t="shared" si="176"/>
        <v>546285.04055999988</v>
      </c>
      <c r="Y414" s="551">
        <f t="shared" si="176"/>
        <v>557966.13263999997</v>
      </c>
      <c r="Z414" s="551">
        <f t="shared" si="176"/>
        <v>569642.56439999992</v>
      </c>
      <c r="AA414" s="551">
        <f t="shared" si="176"/>
        <v>581323.65647999989</v>
      </c>
      <c r="AB414" s="551">
        <f t="shared" si="176"/>
        <v>593000.08824000007</v>
      </c>
      <c r="AC414" s="551">
        <f t="shared" si="176"/>
        <v>604676.5199999999</v>
      </c>
      <c r="AD414" s="551">
        <f t="shared" si="176"/>
        <v>616357.61207999999</v>
      </c>
      <c r="AE414" s="551">
        <f t="shared" si="176"/>
        <v>628034.04383999994</v>
      </c>
      <c r="AF414" s="551">
        <f t="shared" si="176"/>
        <v>639710.47559999977</v>
      </c>
      <c r="AG414" s="689">
        <f t="shared" si="176"/>
        <v>651391.56767999998</v>
      </c>
      <c r="AH414" s="5"/>
      <c r="AI414" s="5"/>
      <c r="AJ414" s="5"/>
      <c r="AK414" s="5"/>
      <c r="AL414" s="5"/>
      <c r="AM414" s="5"/>
      <c r="AN414" s="5"/>
    </row>
    <row r="415" spans="1:40" ht="21.9" customHeight="1" x14ac:dyDescent="0.25">
      <c r="A415" s="9"/>
      <c r="B415" s="680"/>
      <c r="C415" s="690"/>
      <c r="D415" s="693"/>
      <c r="E415" s="1325" t="s">
        <v>274</v>
      </c>
      <c r="F415" s="217" t="s">
        <v>275</v>
      </c>
      <c r="G415" s="217" t="s">
        <v>318</v>
      </c>
      <c r="H415" s="551">
        <f t="shared" ref="H415:AG415" si="177">H373 * (1-$F$15)</f>
        <v>2541100.7999999998</v>
      </c>
      <c r="I415" s="551">
        <f t="shared" si="177"/>
        <v>2798145.8514239998</v>
      </c>
      <c r="J415" s="551">
        <f t="shared" si="177"/>
        <v>3372828.5028479989</v>
      </c>
      <c r="K415" s="551">
        <f t="shared" si="177"/>
        <v>4527123.5412479993</v>
      </c>
      <c r="L415" s="551">
        <f t="shared" si="177"/>
        <v>5682130.0878719976</v>
      </c>
      <c r="M415" s="551">
        <f t="shared" si="177"/>
        <v>6837009.5794559978</v>
      </c>
      <c r="N415" s="551">
        <f t="shared" si="177"/>
        <v>7991304.6178559978</v>
      </c>
      <c r="O415" s="551">
        <f t="shared" si="177"/>
        <v>9147022.6727039982</v>
      </c>
      <c r="P415" s="551">
        <f t="shared" si="177"/>
        <v>10281065.137727996</v>
      </c>
      <c r="Q415" s="551">
        <f t="shared" si="177"/>
        <v>11415679.350431997</v>
      </c>
      <c r="R415" s="551">
        <f t="shared" si="177"/>
        <v>12549721.815455997</v>
      </c>
      <c r="S415" s="551">
        <f t="shared" si="177"/>
        <v>13683764.280479999</v>
      </c>
      <c r="T415" s="551">
        <f t="shared" si="177"/>
        <v>14819229.761951998</v>
      </c>
      <c r="U415" s="551">
        <f t="shared" si="177"/>
        <v>15372948.331775997</v>
      </c>
      <c r="V415" s="551">
        <f t="shared" si="177"/>
        <v>15629993.383199994</v>
      </c>
      <c r="W415" s="551">
        <f t="shared" si="177"/>
        <v>15887038.434623996</v>
      </c>
      <c r="X415" s="551">
        <f t="shared" si="177"/>
        <v>16144083.486047996</v>
      </c>
      <c r="Y415" s="551">
        <f t="shared" si="177"/>
        <v>16401522.408095995</v>
      </c>
      <c r="Z415" s="551">
        <f t="shared" si="177"/>
        <v>16658567.459519999</v>
      </c>
      <c r="AA415" s="551">
        <f t="shared" si="177"/>
        <v>16916006.381567996</v>
      </c>
      <c r="AB415" s="551">
        <f t="shared" si="177"/>
        <v>17173051.432991993</v>
      </c>
      <c r="AC415" s="551">
        <f t="shared" si="177"/>
        <v>17430096.484415997</v>
      </c>
      <c r="AD415" s="551">
        <f t="shared" si="177"/>
        <v>17687535.406463999</v>
      </c>
      <c r="AE415" s="551">
        <f t="shared" si="177"/>
        <v>17944580.457887996</v>
      </c>
      <c r="AF415" s="551">
        <f t="shared" si="177"/>
        <v>18201625.509311996</v>
      </c>
      <c r="AG415" s="689">
        <f t="shared" si="177"/>
        <v>18459064.431359995</v>
      </c>
      <c r="AH415" s="5"/>
      <c r="AI415" s="5"/>
      <c r="AJ415" s="5"/>
      <c r="AK415" s="5"/>
      <c r="AL415" s="5"/>
      <c r="AM415" s="5"/>
      <c r="AN415" s="5"/>
    </row>
    <row r="416" spans="1:40" ht="21.9" customHeight="1" x14ac:dyDescent="0.25">
      <c r="A416" s="9"/>
      <c r="B416" s="680"/>
      <c r="C416" s="690"/>
      <c r="D416" s="693"/>
      <c r="E416" s="1327"/>
      <c r="F416" s="114" t="s">
        <v>318</v>
      </c>
      <c r="G416" s="114" t="s">
        <v>308</v>
      </c>
      <c r="H416" s="551">
        <f t="shared" ref="H416:AG416" si="178">H374 * (1-$F$15)</f>
        <v>294335.99999999994</v>
      </c>
      <c r="I416" s="551">
        <f t="shared" si="178"/>
        <v>322280.75039999996</v>
      </c>
      <c r="J416" s="551">
        <f t="shared" si="178"/>
        <v>361922.90399999998</v>
      </c>
      <c r="K416" s="551">
        <f t="shared" si="178"/>
        <v>426514.93919999996</v>
      </c>
      <c r="L416" s="551">
        <f t="shared" si="178"/>
        <v>491126.59679999994</v>
      </c>
      <c r="M416" s="551">
        <f t="shared" si="178"/>
        <v>555744.38639999996</v>
      </c>
      <c r="N416" s="551">
        <f t="shared" si="178"/>
        <v>620336.4216</v>
      </c>
      <c r="O416" s="551">
        <f t="shared" si="178"/>
        <v>684998.36159999995</v>
      </c>
      <c r="P416" s="551">
        <f t="shared" si="178"/>
        <v>758565.19199999981</v>
      </c>
      <c r="Q416" s="551">
        <f t="shared" si="178"/>
        <v>832166.36160000006</v>
      </c>
      <c r="R416" s="551">
        <f t="shared" si="178"/>
        <v>905729.51280000003</v>
      </c>
      <c r="S416" s="551">
        <f t="shared" si="178"/>
        <v>979296.3432</v>
      </c>
      <c r="T416" s="551">
        <f t="shared" si="178"/>
        <v>1052930.6255999997</v>
      </c>
      <c r="U416" s="551">
        <f t="shared" si="178"/>
        <v>1101493.6128</v>
      </c>
      <c r="V416" s="551">
        <f t="shared" si="178"/>
        <v>1129438.3631999998</v>
      </c>
      <c r="W416" s="551">
        <f t="shared" si="178"/>
        <v>1157383.1135999996</v>
      </c>
      <c r="X416" s="551">
        <f t="shared" si="178"/>
        <v>1185327.8639999998</v>
      </c>
      <c r="Y416" s="551">
        <f t="shared" si="178"/>
        <v>1213304.5007999996</v>
      </c>
      <c r="Z416" s="551">
        <f t="shared" si="178"/>
        <v>1241249.2511999996</v>
      </c>
      <c r="AA416" s="551">
        <f t="shared" si="178"/>
        <v>1269225.8879999998</v>
      </c>
      <c r="AB416" s="551">
        <f t="shared" si="178"/>
        <v>1297170.6383999998</v>
      </c>
      <c r="AC416" s="551">
        <f t="shared" si="178"/>
        <v>1325115.3887999998</v>
      </c>
      <c r="AD416" s="551">
        <f t="shared" si="178"/>
        <v>1353092.0255999998</v>
      </c>
      <c r="AE416" s="551">
        <f t="shared" si="178"/>
        <v>1381036.7759999996</v>
      </c>
      <c r="AF416" s="551">
        <f t="shared" si="178"/>
        <v>1408981.5263999996</v>
      </c>
      <c r="AG416" s="689">
        <f t="shared" si="178"/>
        <v>1436958.1631999996</v>
      </c>
      <c r="AH416" s="5"/>
      <c r="AI416" s="5"/>
      <c r="AJ416" s="5"/>
      <c r="AK416" s="5"/>
      <c r="AL416" s="5"/>
      <c r="AM416" s="5"/>
      <c r="AN416" s="5"/>
    </row>
    <row r="417" spans="1:40" ht="21.9" customHeight="1" x14ac:dyDescent="0.25">
      <c r="A417" s="9"/>
      <c r="B417" s="680"/>
      <c r="C417" s="690"/>
      <c r="D417" s="693"/>
      <c r="E417" s="1339"/>
      <c r="F417" s="250" t="s">
        <v>308</v>
      </c>
      <c r="G417" s="250" t="s">
        <v>319</v>
      </c>
      <c r="H417" s="551">
        <f t="shared" ref="H417:AG417" si="179">H375 * (1-$F$15)</f>
        <v>3944102.3999999994</v>
      </c>
      <c r="I417" s="551">
        <f t="shared" si="179"/>
        <v>4054550.4142079996</v>
      </c>
      <c r="J417" s="551">
        <f t="shared" si="179"/>
        <v>4211946.3939840002</v>
      </c>
      <c r="K417" s="551">
        <f t="shared" si="179"/>
        <v>4432855.5694080004</v>
      </c>
      <c r="L417" s="551">
        <f t="shared" si="179"/>
        <v>4653856.7738879984</v>
      </c>
      <c r="M417" s="551">
        <f t="shared" si="179"/>
        <v>4874838.2578560011</v>
      </c>
      <c r="N417" s="551">
        <f t="shared" si="179"/>
        <v>5095747.4332800005</v>
      </c>
      <c r="O417" s="551">
        <f t="shared" si="179"/>
        <v>5316834.0933119999</v>
      </c>
      <c r="P417" s="551">
        <f t="shared" si="179"/>
        <v>5540017.7011199985</v>
      </c>
      <c r="Q417" s="551">
        <f t="shared" si="179"/>
        <v>5763267.0439680004</v>
      </c>
      <c r="R417" s="551">
        <f t="shared" si="179"/>
        <v>5986430.9312639991</v>
      </c>
      <c r="S417" s="551">
        <f t="shared" si="179"/>
        <v>6209614.5390720004</v>
      </c>
      <c r="T417" s="551">
        <f t="shared" si="179"/>
        <v>6432975.631488</v>
      </c>
      <c r="U417" s="551">
        <f t="shared" si="179"/>
        <v>6592540.8675840003</v>
      </c>
      <c r="V417" s="551">
        <f t="shared" si="179"/>
        <v>6702988.8817919986</v>
      </c>
      <c r="W417" s="551">
        <f t="shared" si="179"/>
        <v>6813436.8959999997</v>
      </c>
      <c r="X417" s="551">
        <f t="shared" si="179"/>
        <v>6923884.9102079989</v>
      </c>
      <c r="Y417" s="551">
        <f t="shared" si="179"/>
        <v>7034385.5124479998</v>
      </c>
      <c r="Z417" s="551">
        <f t="shared" si="179"/>
        <v>7144833.5266559999</v>
      </c>
      <c r="AA417" s="551">
        <f t="shared" si="179"/>
        <v>7255334.1288959999</v>
      </c>
      <c r="AB417" s="551">
        <f t="shared" si="179"/>
        <v>7365782.1431039991</v>
      </c>
      <c r="AC417" s="551">
        <f t="shared" si="179"/>
        <v>7476230.1573120002</v>
      </c>
      <c r="AD417" s="551">
        <f t="shared" si="179"/>
        <v>7586730.7595519992</v>
      </c>
      <c r="AE417" s="551">
        <f t="shared" si="179"/>
        <v>7697178.7737599984</v>
      </c>
      <c r="AF417" s="551">
        <f t="shared" si="179"/>
        <v>7807626.7879679995</v>
      </c>
      <c r="AG417" s="689">
        <f t="shared" si="179"/>
        <v>7918127.3902079994</v>
      </c>
      <c r="AH417" s="5"/>
      <c r="AI417" s="5"/>
      <c r="AJ417" s="5"/>
      <c r="AK417" s="5"/>
      <c r="AL417" s="5"/>
      <c r="AM417" s="5"/>
      <c r="AN417" s="5"/>
    </row>
    <row r="418" spans="1:40" ht="21.9" customHeight="1" x14ac:dyDescent="0.25">
      <c r="A418" s="9"/>
      <c r="B418" s="680"/>
      <c r="C418" s="690"/>
      <c r="D418" s="693"/>
      <c r="E418" s="114" t="s">
        <v>320</v>
      </c>
      <c r="F418" s="114" t="s">
        <v>318</v>
      </c>
      <c r="G418" s="114" t="s">
        <v>308</v>
      </c>
      <c r="H418" s="551">
        <f t="shared" ref="H418:AG418" si="180">H376 * (1-$F$15)</f>
        <v>11528.159999999998</v>
      </c>
      <c r="I418" s="551">
        <f t="shared" si="180"/>
        <v>47882.212559999993</v>
      </c>
      <c r="J418" s="551">
        <f t="shared" si="180"/>
        <v>427170.20471999998</v>
      </c>
      <c r="K418" s="551">
        <f t="shared" si="180"/>
        <v>1010362.5268799999</v>
      </c>
      <c r="L418" s="551">
        <f t="shared" si="180"/>
        <v>1593969.8628</v>
      </c>
      <c r="M418" s="551">
        <f t="shared" si="180"/>
        <v>2177346.6355199995</v>
      </c>
      <c r="N418" s="551">
        <f t="shared" si="180"/>
        <v>2760538.9576799995</v>
      </c>
      <c r="O418" s="551">
        <f t="shared" si="180"/>
        <v>3344532.4869599999</v>
      </c>
      <c r="P418" s="551">
        <f t="shared" si="180"/>
        <v>3585050.2531199995</v>
      </c>
      <c r="Q418" s="551">
        <f t="shared" si="180"/>
        <v>3825752.4698399999</v>
      </c>
      <c r="R418" s="551">
        <f t="shared" si="180"/>
        <v>4066397.0457600001</v>
      </c>
      <c r="S418" s="551">
        <f t="shared" si="180"/>
        <v>4306914.8119200002</v>
      </c>
      <c r="T418" s="551">
        <f t="shared" si="180"/>
        <v>4548003.2219999991</v>
      </c>
      <c r="U418" s="551">
        <f t="shared" si="180"/>
        <v>4584357.2745600007</v>
      </c>
      <c r="V418" s="551">
        <f t="shared" si="180"/>
        <v>4620711.3271200005</v>
      </c>
      <c r="W418" s="551">
        <f t="shared" si="180"/>
        <v>4657065.3796800002</v>
      </c>
      <c r="X418" s="551">
        <f t="shared" si="180"/>
        <v>4693419.4322399991</v>
      </c>
      <c r="Y418" s="551">
        <f t="shared" si="180"/>
        <v>4730032.8684</v>
      </c>
      <c r="Z418" s="551">
        <f t="shared" si="180"/>
        <v>4766386.9209599998</v>
      </c>
      <c r="AA418" s="551">
        <f t="shared" si="180"/>
        <v>4802856.2551200008</v>
      </c>
      <c r="AB418" s="551">
        <f t="shared" si="180"/>
        <v>4839210.3076800006</v>
      </c>
      <c r="AC418" s="551">
        <f t="shared" si="180"/>
        <v>4875564.3602400003</v>
      </c>
      <c r="AD418" s="551">
        <f t="shared" si="180"/>
        <v>4912177.7964000003</v>
      </c>
      <c r="AE418" s="551">
        <f t="shared" si="180"/>
        <v>4948531.8489600001</v>
      </c>
      <c r="AF418" s="551">
        <f t="shared" si="180"/>
        <v>4984885.9015199998</v>
      </c>
      <c r="AG418" s="689">
        <f t="shared" si="180"/>
        <v>5021355.2356799999</v>
      </c>
      <c r="AH418" s="5"/>
      <c r="AI418" s="5"/>
      <c r="AJ418" s="5"/>
      <c r="AK418" s="5"/>
      <c r="AL418" s="5"/>
      <c r="AM418" s="5"/>
      <c r="AN418" s="5"/>
    </row>
    <row r="419" spans="1:40" ht="21.9" customHeight="1" x14ac:dyDescent="0.25">
      <c r="A419" s="9"/>
      <c r="B419" s="680"/>
      <c r="C419" s="690"/>
      <c r="D419" s="693"/>
      <c r="E419" s="1325" t="s">
        <v>308</v>
      </c>
      <c r="F419" s="217" t="s">
        <v>276</v>
      </c>
      <c r="G419" s="217" t="s">
        <v>320</v>
      </c>
      <c r="H419" s="551">
        <f t="shared" ref="H419:AG419" si="181">H377 * (1-$F$15)</f>
        <v>33112.799999999996</v>
      </c>
      <c r="I419" s="551">
        <f t="shared" si="181"/>
        <v>73593.197999999989</v>
      </c>
      <c r="J419" s="551">
        <f t="shared" si="181"/>
        <v>311045.08679999999</v>
      </c>
      <c r="K419" s="551">
        <f t="shared" si="181"/>
        <v>699209.8848</v>
      </c>
      <c r="L419" s="551">
        <f t="shared" si="181"/>
        <v>1087589.9160000002</v>
      </c>
      <c r="M419" s="551">
        <f t="shared" si="181"/>
        <v>1475986.5035999995</v>
      </c>
      <c r="N419" s="551">
        <f t="shared" si="181"/>
        <v>1864151.3015999999</v>
      </c>
      <c r="O419" s="551">
        <f t="shared" si="181"/>
        <v>2252763.1223999998</v>
      </c>
      <c r="P419" s="551">
        <f t="shared" si="181"/>
        <v>2552433.9624000001</v>
      </c>
      <c r="Q419" s="551">
        <f t="shared" si="181"/>
        <v>2852154.4716000003</v>
      </c>
      <c r="R419" s="551">
        <f t="shared" si="181"/>
        <v>3151825.3115999997</v>
      </c>
      <c r="S419" s="551">
        <f t="shared" si="181"/>
        <v>3451496.1515999995</v>
      </c>
      <c r="T419" s="551">
        <f t="shared" si="181"/>
        <v>3751564.3451999999</v>
      </c>
      <c r="U419" s="551">
        <f t="shared" si="181"/>
        <v>3900290.4863999998</v>
      </c>
      <c r="V419" s="551">
        <f t="shared" si="181"/>
        <v>3940770.8843999999</v>
      </c>
      <c r="W419" s="551">
        <f t="shared" si="181"/>
        <v>3981251.2823999999</v>
      </c>
      <c r="X419" s="551">
        <f t="shared" si="181"/>
        <v>4021731.6803999995</v>
      </c>
      <c r="Y419" s="551">
        <f t="shared" si="181"/>
        <v>4062327.9732000004</v>
      </c>
      <c r="Z419" s="551">
        <f t="shared" si="181"/>
        <v>4102808.3711999999</v>
      </c>
      <c r="AA419" s="551">
        <f t="shared" si="181"/>
        <v>4143404.6639999989</v>
      </c>
      <c r="AB419" s="551">
        <f t="shared" si="181"/>
        <v>4183885.061999999</v>
      </c>
      <c r="AC419" s="551">
        <f t="shared" si="181"/>
        <v>4224365.459999999</v>
      </c>
      <c r="AD419" s="551">
        <f t="shared" si="181"/>
        <v>4264961.752799999</v>
      </c>
      <c r="AE419" s="551">
        <f t="shared" si="181"/>
        <v>4305442.150799999</v>
      </c>
      <c r="AF419" s="551">
        <f t="shared" si="181"/>
        <v>4345922.5487999991</v>
      </c>
      <c r="AG419" s="689">
        <f t="shared" si="181"/>
        <v>4386518.8415999999</v>
      </c>
      <c r="AH419" s="5"/>
      <c r="AI419" s="5"/>
      <c r="AJ419" s="5"/>
      <c r="AK419" s="5"/>
      <c r="AL419" s="5"/>
      <c r="AM419" s="5"/>
      <c r="AN419" s="5"/>
    </row>
    <row r="420" spans="1:40" ht="21.9" customHeight="1" x14ac:dyDescent="0.25">
      <c r="A420" s="9"/>
      <c r="B420" s="680"/>
      <c r="C420" s="690"/>
      <c r="D420" s="693"/>
      <c r="E420" s="1327"/>
      <c r="F420" s="114" t="s">
        <v>320</v>
      </c>
      <c r="G420" s="114" t="s">
        <v>282</v>
      </c>
      <c r="H420" s="551">
        <f t="shared" ref="H420:AG420" si="182">H378 * (1-$F$15)</f>
        <v>0</v>
      </c>
      <c r="I420" s="551">
        <f t="shared" si="182"/>
        <v>22320.479999999996</v>
      </c>
      <c r="J420" s="551">
        <f t="shared" si="182"/>
        <v>64513.055039999999</v>
      </c>
      <c r="K420" s="551">
        <f t="shared" si="182"/>
        <v>145021.30944000001</v>
      </c>
      <c r="L420" s="551">
        <f t="shared" si="182"/>
        <v>225574.20480000004</v>
      </c>
      <c r="M420" s="551">
        <f t="shared" si="182"/>
        <v>306130.5340799999</v>
      </c>
      <c r="N420" s="551">
        <f t="shared" si="182"/>
        <v>386638.78847999999</v>
      </c>
      <c r="O420" s="551">
        <f t="shared" si="182"/>
        <v>467239.75871999998</v>
      </c>
      <c r="P420" s="551">
        <f t="shared" si="182"/>
        <v>529393.71072000009</v>
      </c>
      <c r="Q420" s="551">
        <f t="shared" si="182"/>
        <v>591557.96448000008</v>
      </c>
      <c r="R420" s="551">
        <f t="shared" si="182"/>
        <v>653711.9164799999</v>
      </c>
      <c r="S420" s="551">
        <f t="shared" si="182"/>
        <v>715865.86847999995</v>
      </c>
      <c r="T420" s="551">
        <f t="shared" si="182"/>
        <v>778102.23456000001</v>
      </c>
      <c r="U420" s="551">
        <f t="shared" si="182"/>
        <v>808949.13792000001</v>
      </c>
      <c r="V420" s="551">
        <f t="shared" si="182"/>
        <v>817345.07231999992</v>
      </c>
      <c r="W420" s="551">
        <f t="shared" si="182"/>
        <v>825741.00671999995</v>
      </c>
      <c r="X420" s="551">
        <f t="shared" si="182"/>
        <v>834136.94112000009</v>
      </c>
      <c r="Y420" s="551">
        <f t="shared" si="182"/>
        <v>842556.91296000022</v>
      </c>
      <c r="Z420" s="551">
        <f t="shared" si="182"/>
        <v>850952.84736000001</v>
      </c>
      <c r="AA420" s="551">
        <f t="shared" si="182"/>
        <v>859372.81919999979</v>
      </c>
      <c r="AB420" s="551">
        <f t="shared" si="182"/>
        <v>867768.75359999982</v>
      </c>
      <c r="AC420" s="551">
        <f t="shared" si="182"/>
        <v>876164.68799999973</v>
      </c>
      <c r="AD420" s="551">
        <f t="shared" si="182"/>
        <v>884584.65983999986</v>
      </c>
      <c r="AE420" s="551">
        <f t="shared" si="182"/>
        <v>892980.59423999989</v>
      </c>
      <c r="AF420" s="551">
        <f t="shared" si="182"/>
        <v>901376.5286399998</v>
      </c>
      <c r="AG420" s="689">
        <f t="shared" si="182"/>
        <v>909796.50047999993</v>
      </c>
      <c r="AH420" s="5"/>
      <c r="AI420" s="5"/>
      <c r="AJ420" s="5"/>
      <c r="AK420" s="5"/>
      <c r="AL420" s="5"/>
      <c r="AM420" s="5"/>
      <c r="AN420" s="5"/>
    </row>
    <row r="421" spans="1:40" ht="21.9" customHeight="1" x14ac:dyDescent="0.25">
      <c r="A421" s="9"/>
      <c r="B421" s="680"/>
      <c r="C421" s="690"/>
      <c r="D421" s="693"/>
      <c r="E421" s="1327"/>
      <c r="F421" s="114" t="s">
        <v>282</v>
      </c>
      <c r="G421" s="114" t="s">
        <v>321</v>
      </c>
      <c r="H421" s="551">
        <f t="shared" ref="H421:AG421" si="183">H379 * (1-$F$15)</f>
        <v>0</v>
      </c>
      <c r="I421" s="551">
        <f t="shared" si="183"/>
        <v>58192.679999999993</v>
      </c>
      <c r="J421" s="551">
        <f t="shared" si="183"/>
        <v>168194.75063999998</v>
      </c>
      <c r="K421" s="551">
        <f t="shared" si="183"/>
        <v>378091.27103999991</v>
      </c>
      <c r="L421" s="551">
        <f t="shared" si="183"/>
        <v>588104.17680000002</v>
      </c>
      <c r="M421" s="551">
        <f t="shared" si="183"/>
        <v>798126.0352799996</v>
      </c>
      <c r="N421" s="551">
        <f t="shared" si="183"/>
        <v>1008022.5556799999</v>
      </c>
      <c r="O421" s="551">
        <f t="shared" si="183"/>
        <v>1218160.7995199999</v>
      </c>
      <c r="P421" s="551">
        <f t="shared" si="183"/>
        <v>1380205.0315200002</v>
      </c>
      <c r="Q421" s="551">
        <f t="shared" si="183"/>
        <v>1542276.1216800001</v>
      </c>
      <c r="R421" s="551">
        <f t="shared" si="183"/>
        <v>1704320.3536799995</v>
      </c>
      <c r="S421" s="551">
        <f t="shared" si="183"/>
        <v>1866364.5856799996</v>
      </c>
      <c r="T421" s="551">
        <f t="shared" si="183"/>
        <v>2028623.6829599997</v>
      </c>
      <c r="U421" s="551">
        <f t="shared" si="183"/>
        <v>2109045.9667199994</v>
      </c>
      <c r="V421" s="551">
        <f t="shared" si="183"/>
        <v>2130935.3671199996</v>
      </c>
      <c r="W421" s="551">
        <f t="shared" si="183"/>
        <v>2152824.7675199998</v>
      </c>
      <c r="X421" s="551">
        <f t="shared" si="183"/>
        <v>2174714.1679199999</v>
      </c>
      <c r="Y421" s="551">
        <f t="shared" si="183"/>
        <v>2196666.2373600001</v>
      </c>
      <c r="Z421" s="551">
        <f t="shared" si="183"/>
        <v>2218555.6377599998</v>
      </c>
      <c r="AA421" s="551">
        <f t="shared" si="183"/>
        <v>2240507.7071999991</v>
      </c>
      <c r="AB421" s="551">
        <f t="shared" si="183"/>
        <v>2262397.1075999993</v>
      </c>
      <c r="AC421" s="551">
        <f t="shared" si="183"/>
        <v>2284286.507999999</v>
      </c>
      <c r="AD421" s="551">
        <f t="shared" si="183"/>
        <v>2306238.5774399992</v>
      </c>
      <c r="AE421" s="551">
        <f t="shared" si="183"/>
        <v>2328127.9778399994</v>
      </c>
      <c r="AF421" s="551">
        <f t="shared" si="183"/>
        <v>2350017.3782399995</v>
      </c>
      <c r="AG421" s="689">
        <f t="shared" si="183"/>
        <v>2371969.4476799998</v>
      </c>
      <c r="AH421" s="5"/>
      <c r="AI421" s="5"/>
      <c r="AJ421" s="5"/>
      <c r="AK421" s="5"/>
      <c r="AL421" s="5"/>
      <c r="AM421" s="5"/>
      <c r="AN421" s="5"/>
    </row>
    <row r="422" spans="1:40" ht="21.9" customHeight="1" x14ac:dyDescent="0.25">
      <c r="A422" s="9"/>
      <c r="B422" s="680"/>
      <c r="C422" s="690"/>
      <c r="D422" s="693"/>
      <c r="E422" s="1339"/>
      <c r="F422" s="250" t="s">
        <v>321</v>
      </c>
      <c r="G422" s="250" t="s">
        <v>274</v>
      </c>
      <c r="H422" s="551">
        <f t="shared" ref="H422:AG422" si="184">H380 * (1-$F$15)</f>
        <v>77263.199999999997</v>
      </c>
      <c r="I422" s="551">
        <f t="shared" si="184"/>
        <v>114187.28327999999</v>
      </c>
      <c r="J422" s="551">
        <f t="shared" si="184"/>
        <v>160187.21711999999</v>
      </c>
      <c r="K422" s="551">
        <f t="shared" si="184"/>
        <v>258682.34448</v>
      </c>
      <c r="L422" s="551">
        <f t="shared" si="184"/>
        <v>357190.34904</v>
      </c>
      <c r="M422" s="551">
        <f t="shared" si="184"/>
        <v>455739.56063999992</v>
      </c>
      <c r="N422" s="551">
        <f t="shared" si="184"/>
        <v>554234.68799999997</v>
      </c>
      <c r="O422" s="551">
        <f t="shared" si="184"/>
        <v>652678.30656000006</v>
      </c>
      <c r="P422" s="551">
        <f t="shared" si="184"/>
        <v>850348.47743999993</v>
      </c>
      <c r="Q422" s="551">
        <f t="shared" si="184"/>
        <v>1047905.32896</v>
      </c>
      <c r="R422" s="551">
        <f t="shared" si="184"/>
        <v>1245505.9629599999</v>
      </c>
      <c r="S422" s="551">
        <f t="shared" si="184"/>
        <v>1443176.13384</v>
      </c>
      <c r="T422" s="551">
        <f t="shared" si="184"/>
        <v>1640794.7959199999</v>
      </c>
      <c r="U422" s="551">
        <f t="shared" si="184"/>
        <v>1785964.6224</v>
      </c>
      <c r="V422" s="551">
        <f t="shared" si="184"/>
        <v>1822888.7056800001</v>
      </c>
      <c r="W422" s="551">
        <f t="shared" si="184"/>
        <v>1859812.78896</v>
      </c>
      <c r="X422" s="551">
        <f t="shared" si="184"/>
        <v>1896736.8722399997</v>
      </c>
      <c r="Y422" s="551">
        <f t="shared" si="184"/>
        <v>1933550.2115999996</v>
      </c>
      <c r="Z422" s="551">
        <f t="shared" si="184"/>
        <v>1970474.2948799997</v>
      </c>
      <c r="AA422" s="551">
        <f t="shared" si="184"/>
        <v>2007287.6342399998</v>
      </c>
      <c r="AB422" s="551">
        <f t="shared" si="184"/>
        <v>2044211.7175199999</v>
      </c>
      <c r="AC422" s="551">
        <f t="shared" si="184"/>
        <v>2081135.8007999996</v>
      </c>
      <c r="AD422" s="551">
        <f t="shared" si="184"/>
        <v>2117949.1401599995</v>
      </c>
      <c r="AE422" s="551">
        <f t="shared" si="184"/>
        <v>2154873.2234399994</v>
      </c>
      <c r="AF422" s="551">
        <f t="shared" si="184"/>
        <v>2191797.3067199998</v>
      </c>
      <c r="AG422" s="689">
        <f t="shared" si="184"/>
        <v>2228610.6460799994</v>
      </c>
      <c r="AH422" s="5"/>
      <c r="AI422" s="5"/>
      <c r="AJ422" s="5"/>
      <c r="AK422" s="5"/>
      <c r="AL422" s="5"/>
      <c r="AM422" s="5"/>
      <c r="AN422" s="5"/>
    </row>
    <row r="423" spans="1:40" ht="21.9" customHeight="1" x14ac:dyDescent="0.25">
      <c r="A423" s="9"/>
      <c r="B423" s="680"/>
      <c r="C423" s="690"/>
      <c r="D423" s="693"/>
      <c r="E423" s="114" t="s">
        <v>282</v>
      </c>
      <c r="F423" s="114" t="s">
        <v>308</v>
      </c>
      <c r="G423" s="114" t="s">
        <v>324</v>
      </c>
      <c r="H423" s="551">
        <f t="shared" ref="H423:AG423" si="185">H381 * (1-$F$15)</f>
        <v>441503.99999999994</v>
      </c>
      <c r="I423" s="551">
        <f t="shared" si="185"/>
        <v>468651.59039999999</v>
      </c>
      <c r="J423" s="551">
        <f t="shared" si="185"/>
        <v>504577.75199999992</v>
      </c>
      <c r="K423" s="551">
        <f t="shared" si="185"/>
        <v>552321.50399999984</v>
      </c>
      <c r="L423" s="551">
        <f t="shared" si="185"/>
        <v>600079.97279999987</v>
      </c>
      <c r="M423" s="551">
        <f t="shared" si="185"/>
        <v>647941.45920000004</v>
      </c>
      <c r="N423" s="551">
        <f t="shared" si="185"/>
        <v>695685.21119999979</v>
      </c>
      <c r="O423" s="551">
        <f t="shared" si="185"/>
        <v>743480.47199999972</v>
      </c>
      <c r="P423" s="551">
        <f t="shared" si="185"/>
        <v>787061.82239999983</v>
      </c>
      <c r="Q423" s="551">
        <f t="shared" si="185"/>
        <v>830606.38080000004</v>
      </c>
      <c r="R423" s="551">
        <f t="shared" si="185"/>
        <v>874190.18399999989</v>
      </c>
      <c r="S423" s="551">
        <f t="shared" si="185"/>
        <v>917771.53439999989</v>
      </c>
      <c r="T423" s="551">
        <f t="shared" si="185"/>
        <v>961507.41119999997</v>
      </c>
      <c r="U423" s="551">
        <f t="shared" si="185"/>
        <v>993236.83199999994</v>
      </c>
      <c r="V423" s="551">
        <f t="shared" si="185"/>
        <v>1020384.4223999998</v>
      </c>
      <c r="W423" s="551">
        <f t="shared" si="185"/>
        <v>1047532.0127999997</v>
      </c>
      <c r="X423" s="551">
        <f t="shared" si="185"/>
        <v>1074679.6031999998</v>
      </c>
      <c r="Y423" s="551">
        <f t="shared" si="185"/>
        <v>1101856.6271999998</v>
      </c>
      <c r="Z423" s="551">
        <f t="shared" si="185"/>
        <v>1129004.2175999996</v>
      </c>
      <c r="AA423" s="551">
        <f t="shared" si="185"/>
        <v>1156218.0336</v>
      </c>
      <c r="AB423" s="551">
        <f t="shared" si="185"/>
        <v>1183365.6239999998</v>
      </c>
      <c r="AC423" s="551">
        <f t="shared" si="185"/>
        <v>1210513.2143999999</v>
      </c>
      <c r="AD423" s="551">
        <f t="shared" si="185"/>
        <v>1237690.2383999994</v>
      </c>
      <c r="AE423" s="551">
        <f t="shared" si="185"/>
        <v>1264837.8287999998</v>
      </c>
      <c r="AF423" s="551">
        <f t="shared" si="185"/>
        <v>1291985.4191999999</v>
      </c>
      <c r="AG423" s="689">
        <f t="shared" si="185"/>
        <v>1319199.2351999995</v>
      </c>
      <c r="AH423" s="5"/>
      <c r="AI423" s="5"/>
      <c r="AJ423" s="5"/>
      <c r="AK423" s="5"/>
      <c r="AL423" s="5"/>
      <c r="AM423" s="5"/>
      <c r="AN423" s="5"/>
    </row>
    <row r="424" spans="1:40" ht="21.9" customHeight="1" x14ac:dyDescent="0.25">
      <c r="A424" s="9"/>
      <c r="B424" s="680"/>
      <c r="C424" s="690"/>
      <c r="D424" s="693"/>
      <c r="E424" s="273" t="s">
        <v>321</v>
      </c>
      <c r="F424" s="273" t="s">
        <v>318</v>
      </c>
      <c r="G424" s="273" t="s">
        <v>308</v>
      </c>
      <c r="H424" s="551">
        <f t="shared" ref="H424:AG424" si="186">H382 * (1-$F$15)</f>
        <v>0</v>
      </c>
      <c r="I424" s="551">
        <f t="shared" si="186"/>
        <v>740469.51283200004</v>
      </c>
      <c r="J424" s="551">
        <f t="shared" si="186"/>
        <v>797232.84815999994</v>
      </c>
      <c r="K424" s="551">
        <f t="shared" si="186"/>
        <v>872667.97631999978</v>
      </c>
      <c r="L424" s="551">
        <f t="shared" si="186"/>
        <v>948126.35702399979</v>
      </c>
      <c r="M424" s="551">
        <f t="shared" si="186"/>
        <v>1023747.505536</v>
      </c>
      <c r="N424" s="551">
        <f t="shared" si="186"/>
        <v>1099182.6336959996</v>
      </c>
      <c r="O424" s="551">
        <f t="shared" si="186"/>
        <v>1174699.1457599995</v>
      </c>
      <c r="P424" s="551">
        <f t="shared" si="186"/>
        <v>1243557.6793919997</v>
      </c>
      <c r="Q424" s="551">
        <f t="shared" si="186"/>
        <v>1312358.0816640002</v>
      </c>
      <c r="R424" s="551">
        <f t="shared" si="186"/>
        <v>1381220.4907199999</v>
      </c>
      <c r="S424" s="551">
        <f t="shared" si="186"/>
        <v>1450079.0243519999</v>
      </c>
      <c r="T424" s="551">
        <f t="shared" si="186"/>
        <v>1519181.7096960002</v>
      </c>
      <c r="U424" s="551">
        <f t="shared" si="186"/>
        <v>1569314.1945599997</v>
      </c>
      <c r="V424" s="551">
        <f t="shared" si="186"/>
        <v>1612207.3873919998</v>
      </c>
      <c r="W424" s="551">
        <f t="shared" si="186"/>
        <v>1655100.5802239995</v>
      </c>
      <c r="X424" s="551">
        <f t="shared" si="186"/>
        <v>1697993.7730559998</v>
      </c>
      <c r="Y424" s="551">
        <f t="shared" si="186"/>
        <v>1740933.4709759997</v>
      </c>
      <c r="Z424" s="551">
        <f t="shared" si="186"/>
        <v>1783826.6638079996</v>
      </c>
      <c r="AA424" s="551">
        <f t="shared" si="186"/>
        <v>1826824.493088</v>
      </c>
      <c r="AB424" s="551">
        <f t="shared" si="186"/>
        <v>1869717.6859199996</v>
      </c>
      <c r="AC424" s="551">
        <f t="shared" si="186"/>
        <v>1912610.8787519997</v>
      </c>
      <c r="AD424" s="551">
        <f t="shared" si="186"/>
        <v>1955550.5766719992</v>
      </c>
      <c r="AE424" s="551">
        <f t="shared" si="186"/>
        <v>1998443.769504</v>
      </c>
      <c r="AF424" s="551">
        <f t="shared" si="186"/>
        <v>2041336.9623359998</v>
      </c>
      <c r="AG424" s="689">
        <f t="shared" si="186"/>
        <v>2084334.7916159993</v>
      </c>
      <c r="AH424" s="5"/>
      <c r="AI424" s="5"/>
      <c r="AJ424" s="5"/>
      <c r="AK424" s="5"/>
      <c r="AL424" s="5"/>
      <c r="AM424" s="5"/>
      <c r="AN424" s="5"/>
    </row>
    <row r="425" spans="1:40" ht="21.9" customHeight="1" x14ac:dyDescent="0.25">
      <c r="A425" s="9"/>
      <c r="B425" s="680"/>
      <c r="C425" s="690"/>
      <c r="D425" s="693"/>
      <c r="E425" s="273" t="s">
        <v>333</v>
      </c>
      <c r="F425" s="273" t="s">
        <v>319</v>
      </c>
      <c r="G425" s="273" t="s">
        <v>308</v>
      </c>
      <c r="H425" s="551">
        <f t="shared" ref="H425:AG425" si="187">H383 * (1-$F$15)</f>
        <v>818789.23636363621</v>
      </c>
      <c r="I425" s="551">
        <f t="shared" si="187"/>
        <v>830031.66746181797</v>
      </c>
      <c r="J425" s="551">
        <f t="shared" si="187"/>
        <v>849464.26533818175</v>
      </c>
      <c r="K425" s="551">
        <f t="shared" si="187"/>
        <v>876143.14795636362</v>
      </c>
      <c r="L425" s="551">
        <f t="shared" si="187"/>
        <v>902833.40264727268</v>
      </c>
      <c r="M425" s="551">
        <f t="shared" si="187"/>
        <v>929562.32238545443</v>
      </c>
      <c r="N425" s="551">
        <f t="shared" si="187"/>
        <v>956241.20500363631</v>
      </c>
      <c r="O425" s="551">
        <f t="shared" si="187"/>
        <v>983013.33861818176</v>
      </c>
      <c r="P425" s="551">
        <f t="shared" si="187"/>
        <v>1001579.3845527273</v>
      </c>
      <c r="Q425" s="551">
        <f t="shared" si="187"/>
        <v>1020147.704901818</v>
      </c>
      <c r="R425" s="551">
        <f t="shared" si="187"/>
        <v>1038718.2996654544</v>
      </c>
      <c r="S425" s="551">
        <f t="shared" si="187"/>
        <v>1057284.3456000001</v>
      </c>
      <c r="T425" s="551">
        <f t="shared" si="187"/>
        <v>1075982.3075781816</v>
      </c>
      <c r="U425" s="551">
        <f t="shared" si="187"/>
        <v>1087224.7386763634</v>
      </c>
      <c r="V425" s="551">
        <f t="shared" si="187"/>
        <v>1098467.1697745451</v>
      </c>
      <c r="W425" s="551">
        <f t="shared" si="187"/>
        <v>1109709.6008727273</v>
      </c>
      <c r="X425" s="551">
        <f t="shared" si="187"/>
        <v>1120952.0319709086</v>
      </c>
      <c r="Y425" s="551">
        <f t="shared" si="187"/>
        <v>1132271.7931636362</v>
      </c>
      <c r="Z425" s="551">
        <f t="shared" si="187"/>
        <v>1143514.224261818</v>
      </c>
      <c r="AA425" s="551">
        <f t="shared" si="187"/>
        <v>1154799.8692363636</v>
      </c>
      <c r="AB425" s="551">
        <f t="shared" si="187"/>
        <v>1166042.3003345453</v>
      </c>
      <c r="AC425" s="551">
        <f t="shared" si="187"/>
        <v>1177284.7314327273</v>
      </c>
      <c r="AD425" s="551">
        <f t="shared" si="187"/>
        <v>1188604.4926254544</v>
      </c>
      <c r="AE425" s="551">
        <f t="shared" si="187"/>
        <v>1199846.9237236364</v>
      </c>
      <c r="AF425" s="551">
        <f t="shared" si="187"/>
        <v>1211089.3548218179</v>
      </c>
      <c r="AG425" s="689">
        <f t="shared" si="187"/>
        <v>1222374.9997963635</v>
      </c>
      <c r="AH425" s="5"/>
      <c r="AI425" s="5"/>
      <c r="AJ425" s="5"/>
      <c r="AK425" s="5"/>
      <c r="AL425" s="5"/>
      <c r="AM425" s="5"/>
      <c r="AN425" s="5"/>
    </row>
    <row r="426" spans="1:40" ht="21.9" customHeight="1" x14ac:dyDescent="0.25">
      <c r="A426" s="9"/>
      <c r="B426" s="680"/>
      <c r="C426" s="690"/>
      <c r="D426" s="693"/>
      <c r="E426" s="114" t="s">
        <v>319</v>
      </c>
      <c r="F426" s="114" t="s">
        <v>276</v>
      </c>
      <c r="G426" s="114" t="s">
        <v>333</v>
      </c>
      <c r="H426" s="551">
        <f t="shared" ref="H426:AG426" si="188">H384 * (1-$F$15)</f>
        <v>2940572.7272727275</v>
      </c>
      <c r="I426" s="551">
        <f t="shared" si="188"/>
        <v>3025340.6172818188</v>
      </c>
      <c r="J426" s="551">
        <f t="shared" si="188"/>
        <v>3117092.3675181819</v>
      </c>
      <c r="K426" s="551">
        <f t="shared" si="188"/>
        <v>3238817.375563636</v>
      </c>
      <c r="L426" s="551">
        <f t="shared" si="188"/>
        <v>3360562.9676181814</v>
      </c>
      <c r="M426" s="551">
        <f t="shared" si="188"/>
        <v>3482358.5494090905</v>
      </c>
      <c r="N426" s="551">
        <f t="shared" si="188"/>
        <v>3604083.557454546</v>
      </c>
      <c r="O426" s="551">
        <f t="shared" si="188"/>
        <v>3725840.9118000004</v>
      </c>
      <c r="P426" s="551">
        <f t="shared" si="188"/>
        <v>3859819.2864000006</v>
      </c>
      <c r="Q426" s="551">
        <f t="shared" si="188"/>
        <v>3993753.5524090906</v>
      </c>
      <c r="R426" s="551">
        <f t="shared" si="188"/>
        <v>4127731.9270090903</v>
      </c>
      <c r="S426" s="551">
        <f t="shared" si="188"/>
        <v>4261710.3016090905</v>
      </c>
      <c r="T426" s="551">
        <f t="shared" si="188"/>
        <v>4395765.1311000008</v>
      </c>
      <c r="U426" s="551">
        <f t="shared" si="188"/>
        <v>4499758.4856000002</v>
      </c>
      <c r="V426" s="551">
        <f t="shared" si="188"/>
        <v>4584526.3756090906</v>
      </c>
      <c r="W426" s="551">
        <f t="shared" si="188"/>
        <v>4669294.2656181827</v>
      </c>
      <c r="X426" s="551">
        <f t="shared" si="188"/>
        <v>4754062.1556272721</v>
      </c>
      <c r="Y426" s="551">
        <f t="shared" si="188"/>
        <v>4838821.2239181809</v>
      </c>
      <c r="Z426" s="551">
        <f t="shared" si="188"/>
        <v>4923589.1139272712</v>
      </c>
      <c r="AA426" s="551">
        <f t="shared" si="188"/>
        <v>5008348.18221818</v>
      </c>
      <c r="AB426" s="551">
        <f t="shared" si="188"/>
        <v>5093116.0722272741</v>
      </c>
      <c r="AC426" s="551">
        <f t="shared" si="188"/>
        <v>5177883.9622363634</v>
      </c>
      <c r="AD426" s="551">
        <f t="shared" si="188"/>
        <v>5262643.0305272732</v>
      </c>
      <c r="AE426" s="551">
        <f t="shared" si="188"/>
        <v>5347410.9205363635</v>
      </c>
      <c r="AF426" s="551">
        <f t="shared" si="188"/>
        <v>5432178.8105454547</v>
      </c>
      <c r="AG426" s="689">
        <f t="shared" si="188"/>
        <v>5516937.8788363636</v>
      </c>
      <c r="AH426" s="5"/>
      <c r="AI426" s="5"/>
      <c r="AJ426" s="5"/>
      <c r="AK426" s="5"/>
      <c r="AL426" s="5"/>
      <c r="AM426" s="5"/>
      <c r="AN426" s="5"/>
    </row>
    <row r="427" spans="1:40" ht="21.9" customHeight="1" x14ac:dyDescent="0.25">
      <c r="A427" s="9"/>
      <c r="B427" s="680"/>
      <c r="C427" s="690"/>
      <c r="D427" s="693"/>
      <c r="E427" s="114"/>
      <c r="F427" s="114" t="s">
        <v>333</v>
      </c>
      <c r="G427" s="114" t="s">
        <v>323</v>
      </c>
      <c r="H427" s="551">
        <f t="shared" ref="H427:AG427" si="189">H385 * (1-$F$15)</f>
        <v>428255.16363636364</v>
      </c>
      <c r="I427" s="551">
        <f t="shared" si="189"/>
        <v>440409.72137272719</v>
      </c>
      <c r="J427" s="551">
        <f t="shared" si="189"/>
        <v>453898.06854636356</v>
      </c>
      <c r="K427" s="551">
        <f t="shared" si="189"/>
        <v>472830.32774090901</v>
      </c>
      <c r="L427" s="551">
        <f t="shared" si="189"/>
        <v>491765.96789727267</v>
      </c>
      <c r="M427" s="551">
        <f t="shared" si="189"/>
        <v>510705.55250909075</v>
      </c>
      <c r="N427" s="551">
        <f t="shared" si="189"/>
        <v>529637.81170363643</v>
      </c>
      <c r="O427" s="551">
        <f t="shared" si="189"/>
        <v>548571.19788545452</v>
      </c>
      <c r="P427" s="551">
        <f t="shared" si="189"/>
        <v>569851.5350627274</v>
      </c>
      <c r="Q427" s="551">
        <f t="shared" si="189"/>
        <v>591124.54682272719</v>
      </c>
      <c r="R427" s="551">
        <f t="shared" si="189"/>
        <v>612404.88399999985</v>
      </c>
      <c r="S427" s="551">
        <f t="shared" si="189"/>
        <v>633685.2211772725</v>
      </c>
      <c r="T427" s="551">
        <f t="shared" si="189"/>
        <v>654968.93931636366</v>
      </c>
      <c r="U427" s="551">
        <f t="shared" si="189"/>
        <v>670807.61844727257</v>
      </c>
      <c r="V427" s="551">
        <f t="shared" si="189"/>
        <v>682962.17618363618</v>
      </c>
      <c r="W427" s="551">
        <f t="shared" si="189"/>
        <v>695116.73391999991</v>
      </c>
      <c r="X427" s="551">
        <f t="shared" si="189"/>
        <v>707271.29165636352</v>
      </c>
      <c r="Y427" s="551">
        <f t="shared" si="189"/>
        <v>719419.65096272703</v>
      </c>
      <c r="Z427" s="551">
        <f t="shared" si="189"/>
        <v>731574.20869909076</v>
      </c>
      <c r="AA427" s="551">
        <f t="shared" si="189"/>
        <v>743722.56800545449</v>
      </c>
      <c r="AB427" s="551">
        <f t="shared" si="189"/>
        <v>755877.1257418181</v>
      </c>
      <c r="AC427" s="551">
        <f t="shared" si="189"/>
        <v>768031.68347818172</v>
      </c>
      <c r="AD427" s="551">
        <f t="shared" si="189"/>
        <v>780180.04278454522</v>
      </c>
      <c r="AE427" s="551">
        <f t="shared" si="189"/>
        <v>792334.60052090895</v>
      </c>
      <c r="AF427" s="551">
        <f t="shared" si="189"/>
        <v>804489.15825727256</v>
      </c>
      <c r="AG427" s="689">
        <f t="shared" si="189"/>
        <v>816637.51756363607</v>
      </c>
      <c r="AH427" s="5"/>
      <c r="AI427" s="5"/>
      <c r="AJ427" s="5"/>
      <c r="AK427" s="5"/>
      <c r="AL427" s="5"/>
      <c r="AM427" s="5"/>
      <c r="AN427" s="5"/>
    </row>
    <row r="428" spans="1:40" ht="21.9" customHeight="1" x14ac:dyDescent="0.25">
      <c r="A428" s="9"/>
      <c r="B428" s="680"/>
      <c r="C428" s="690"/>
      <c r="D428" s="693"/>
      <c r="E428" s="114"/>
      <c r="F428" s="114" t="s">
        <v>323</v>
      </c>
      <c r="G428" s="114" t="s">
        <v>322</v>
      </c>
      <c r="H428" s="551">
        <f t="shared" ref="H428:AG428" si="190">H386 * (1-$F$15)</f>
        <v>105916.36363636362</v>
      </c>
      <c r="I428" s="551">
        <f t="shared" si="190"/>
        <v>108922.43727272727</v>
      </c>
      <c r="J428" s="551">
        <f t="shared" si="190"/>
        <v>112258.38463636361</v>
      </c>
      <c r="K428" s="551">
        <f t="shared" si="190"/>
        <v>116940.72409090906</v>
      </c>
      <c r="L428" s="551">
        <f t="shared" si="190"/>
        <v>121623.89972727271</v>
      </c>
      <c r="M428" s="551">
        <f t="shared" si="190"/>
        <v>126308.05090909087</v>
      </c>
      <c r="N428" s="551">
        <f t="shared" si="190"/>
        <v>130990.39036363635</v>
      </c>
      <c r="O428" s="551">
        <f t="shared" si="190"/>
        <v>135673.00854545453</v>
      </c>
      <c r="P428" s="551">
        <f t="shared" si="190"/>
        <v>140936.07627272728</v>
      </c>
      <c r="Q428" s="551">
        <f t="shared" si="190"/>
        <v>146197.33227272725</v>
      </c>
      <c r="R428" s="551">
        <f t="shared" si="190"/>
        <v>151460.39999999997</v>
      </c>
      <c r="S428" s="551">
        <f t="shared" si="190"/>
        <v>156723.46772727265</v>
      </c>
      <c r="T428" s="551">
        <f t="shared" si="190"/>
        <v>161987.37163636362</v>
      </c>
      <c r="U428" s="551">
        <f t="shared" si="190"/>
        <v>165904.60472727267</v>
      </c>
      <c r="V428" s="551">
        <f t="shared" si="190"/>
        <v>168910.67836363634</v>
      </c>
      <c r="W428" s="551">
        <f t="shared" si="190"/>
        <v>171916.75199999995</v>
      </c>
      <c r="X428" s="551">
        <f t="shared" si="190"/>
        <v>174922.82563636359</v>
      </c>
      <c r="Y428" s="551">
        <f t="shared" si="190"/>
        <v>177927.3662727272</v>
      </c>
      <c r="Z428" s="551">
        <f t="shared" si="190"/>
        <v>180933.43990909087</v>
      </c>
      <c r="AA428" s="551">
        <f t="shared" si="190"/>
        <v>183937.98054545448</v>
      </c>
      <c r="AB428" s="551">
        <f t="shared" si="190"/>
        <v>186944.05418181815</v>
      </c>
      <c r="AC428" s="551">
        <f t="shared" si="190"/>
        <v>189950.12781818179</v>
      </c>
      <c r="AD428" s="551">
        <f t="shared" si="190"/>
        <v>192954.66845454543</v>
      </c>
      <c r="AE428" s="551">
        <f t="shared" si="190"/>
        <v>195960.74209090904</v>
      </c>
      <c r="AF428" s="551">
        <f t="shared" si="190"/>
        <v>198966.81572727268</v>
      </c>
      <c r="AG428" s="689">
        <f t="shared" si="190"/>
        <v>201971.35636363633</v>
      </c>
      <c r="AH428" s="5"/>
      <c r="AI428" s="5"/>
      <c r="AJ428" s="5"/>
      <c r="AK428" s="5"/>
      <c r="AL428" s="5"/>
      <c r="AM428" s="5"/>
      <c r="AN428" s="5"/>
    </row>
    <row r="429" spans="1:40" ht="21.9" customHeight="1" x14ac:dyDescent="0.25">
      <c r="B429" s="680"/>
      <c r="C429" s="690"/>
      <c r="D429" s="690"/>
      <c r="E429" s="114"/>
      <c r="F429" s="114" t="s">
        <v>322</v>
      </c>
      <c r="G429" s="114" t="s">
        <v>326</v>
      </c>
      <c r="H429" s="551">
        <f t="shared" ref="H429:AG429" si="191">H387 * (1-$F$15)</f>
        <v>271759.09090909088</v>
      </c>
      <c r="I429" s="551">
        <f t="shared" si="191"/>
        <v>279465.27286363632</v>
      </c>
      <c r="J429" s="551">
        <f t="shared" si="191"/>
        <v>288246.26202272723</v>
      </c>
      <c r="K429" s="551">
        <f t="shared" si="191"/>
        <v>299466.28902272729</v>
      </c>
      <c r="L429" s="551">
        <f t="shared" si="191"/>
        <v>310689.93947727268</v>
      </c>
      <c r="M429" s="551">
        <f t="shared" si="191"/>
        <v>321911.77820454555</v>
      </c>
      <c r="N429" s="551">
        <f t="shared" si="191"/>
        <v>333131.8052045455</v>
      </c>
      <c r="O429" s="551">
        <f t="shared" si="191"/>
        <v>344354.0968636364</v>
      </c>
      <c r="P429" s="551">
        <f t="shared" si="191"/>
        <v>357037.99949999998</v>
      </c>
      <c r="Q429" s="551">
        <f t="shared" si="191"/>
        <v>369721.44920454547</v>
      </c>
      <c r="R429" s="551">
        <f t="shared" si="191"/>
        <v>382403.54011363635</v>
      </c>
      <c r="S429" s="551">
        <f t="shared" si="191"/>
        <v>395087.44275000005</v>
      </c>
      <c r="T429" s="551">
        <f t="shared" si="191"/>
        <v>407773.61004545446</v>
      </c>
      <c r="U429" s="551">
        <f t="shared" si="191"/>
        <v>418018.02190909086</v>
      </c>
      <c r="V429" s="551">
        <f t="shared" si="191"/>
        <v>425724.20386363642</v>
      </c>
      <c r="W429" s="551">
        <f t="shared" si="191"/>
        <v>433430.38581818191</v>
      </c>
      <c r="X429" s="551">
        <f t="shared" si="191"/>
        <v>441136.56777272729</v>
      </c>
      <c r="Y429" s="551">
        <f t="shared" si="191"/>
        <v>448840.48506818188</v>
      </c>
      <c r="Z429" s="551">
        <f t="shared" si="191"/>
        <v>456546.66702272714</v>
      </c>
      <c r="AA429" s="551">
        <f t="shared" si="191"/>
        <v>464250.58431818167</v>
      </c>
      <c r="AB429" s="551">
        <f t="shared" si="191"/>
        <v>471956.76627272711</v>
      </c>
      <c r="AC429" s="551">
        <f t="shared" si="191"/>
        <v>479662.9482272726</v>
      </c>
      <c r="AD429" s="551">
        <f t="shared" si="191"/>
        <v>487366.86552272708</v>
      </c>
      <c r="AE429" s="551">
        <f t="shared" si="191"/>
        <v>495073.04747727263</v>
      </c>
      <c r="AF429" s="551">
        <f t="shared" si="191"/>
        <v>502779.22943181801</v>
      </c>
      <c r="AG429" s="689">
        <f t="shared" si="191"/>
        <v>510483.1467272726</v>
      </c>
      <c r="AH429" s="5"/>
      <c r="AI429" s="5"/>
      <c r="AJ429" s="5"/>
      <c r="AK429" s="5"/>
      <c r="AL429" s="5"/>
      <c r="AM429" s="5"/>
      <c r="AN429" s="5"/>
    </row>
    <row r="430" spans="1:40" ht="21.9" customHeight="1" x14ac:dyDescent="0.25">
      <c r="B430" s="680"/>
      <c r="C430" s="690"/>
      <c r="D430" s="690"/>
      <c r="E430" s="114"/>
      <c r="F430" s="114" t="s">
        <v>326</v>
      </c>
      <c r="G430" s="114" t="s">
        <v>274</v>
      </c>
      <c r="H430" s="551">
        <f t="shared" ref="H430:AG430" si="192">H388 * (1-$F$15)</f>
        <v>2256297.2727272725</v>
      </c>
      <c r="I430" s="551">
        <f t="shared" si="192"/>
        <v>2320278.3423909093</v>
      </c>
      <c r="J430" s="551">
        <f t="shared" si="192"/>
        <v>2393183.0677681817</v>
      </c>
      <c r="K430" s="551">
        <f t="shared" si="192"/>
        <v>2486338.0611681817</v>
      </c>
      <c r="L430" s="551">
        <f t="shared" si="192"/>
        <v>2579523.1385318176</v>
      </c>
      <c r="M430" s="551">
        <f t="shared" si="192"/>
        <v>2672693.1739136372</v>
      </c>
      <c r="N430" s="551">
        <f t="shared" si="192"/>
        <v>2765848.1673136367</v>
      </c>
      <c r="O430" s="551">
        <f t="shared" si="192"/>
        <v>2859021.9631909099</v>
      </c>
      <c r="P430" s="551">
        <f t="shared" si="192"/>
        <v>2964330.8778999993</v>
      </c>
      <c r="Q430" s="551">
        <f t="shared" si="192"/>
        <v>3069636.0321136364</v>
      </c>
      <c r="R430" s="551">
        <f t="shared" si="192"/>
        <v>3174929.9048409089</v>
      </c>
      <c r="S430" s="551">
        <f t="shared" si="192"/>
        <v>3280238.8195500006</v>
      </c>
      <c r="T430" s="551">
        <f t="shared" si="192"/>
        <v>3385566.5367363631</v>
      </c>
      <c r="U430" s="551">
        <f t="shared" si="192"/>
        <v>3470621.4229272725</v>
      </c>
      <c r="V430" s="551">
        <f t="shared" si="192"/>
        <v>3534602.4925909094</v>
      </c>
      <c r="W430" s="551">
        <f t="shared" si="192"/>
        <v>3598583.5622545462</v>
      </c>
      <c r="X430" s="551">
        <f t="shared" si="192"/>
        <v>3662564.6319181821</v>
      </c>
      <c r="Y430" s="551">
        <f t="shared" si="192"/>
        <v>3726526.8991045458</v>
      </c>
      <c r="Z430" s="551">
        <f t="shared" si="192"/>
        <v>3790507.9687681803</v>
      </c>
      <c r="AA430" s="551">
        <f t="shared" si="192"/>
        <v>3854470.235954544</v>
      </c>
      <c r="AB430" s="551">
        <f t="shared" si="192"/>
        <v>3918451.3056181809</v>
      </c>
      <c r="AC430" s="551">
        <f t="shared" si="192"/>
        <v>3982432.3752818168</v>
      </c>
      <c r="AD430" s="551">
        <f t="shared" si="192"/>
        <v>4046394.6424681805</v>
      </c>
      <c r="AE430" s="551">
        <f t="shared" si="192"/>
        <v>4110375.7121318174</v>
      </c>
      <c r="AF430" s="551">
        <f t="shared" si="192"/>
        <v>4174356.7817954537</v>
      </c>
      <c r="AG430" s="689">
        <f t="shared" si="192"/>
        <v>4238319.0489818174</v>
      </c>
      <c r="AH430" s="5"/>
      <c r="AI430" s="5"/>
      <c r="AJ430" s="5"/>
      <c r="AK430" s="5"/>
      <c r="AL430" s="5"/>
      <c r="AM430" s="5"/>
      <c r="AN430" s="5"/>
    </row>
    <row r="431" spans="1:40" ht="21.9" customHeight="1" thickBot="1" x14ac:dyDescent="0.3">
      <c r="B431" s="680"/>
      <c r="C431" s="690"/>
      <c r="D431" s="690"/>
      <c r="E431" s="274"/>
      <c r="F431" s="274" t="s">
        <v>274</v>
      </c>
      <c r="G431" s="274" t="s">
        <v>317</v>
      </c>
      <c r="H431" s="551">
        <f t="shared" ref="H431:AG431" si="193">H389 * (1-$F$15)</f>
        <v>55745.454545454544</v>
      </c>
      <c r="I431" s="551">
        <f t="shared" si="193"/>
        <v>57326.209818181822</v>
      </c>
      <c r="J431" s="551">
        <f t="shared" si="193"/>
        <v>59127.438363636349</v>
      </c>
      <c r="K431" s="551">
        <f t="shared" si="193"/>
        <v>61428.982363636365</v>
      </c>
      <c r="L431" s="551">
        <f t="shared" si="193"/>
        <v>63731.269636363635</v>
      </c>
      <c r="M431" s="551">
        <f t="shared" si="193"/>
        <v>66033.185272727293</v>
      </c>
      <c r="N431" s="551">
        <f t="shared" si="193"/>
        <v>68334.729272727287</v>
      </c>
      <c r="O431" s="551">
        <f t="shared" si="193"/>
        <v>70636.737818181835</v>
      </c>
      <c r="P431" s="551">
        <f t="shared" si="193"/>
        <v>73238.563999999984</v>
      </c>
      <c r="Q431" s="551">
        <f t="shared" si="193"/>
        <v>75840.297272727272</v>
      </c>
      <c r="R431" s="551">
        <f t="shared" si="193"/>
        <v>78441.751818181816</v>
      </c>
      <c r="S431" s="551">
        <f t="shared" si="193"/>
        <v>81043.578000000023</v>
      </c>
      <c r="T431" s="551">
        <f t="shared" si="193"/>
        <v>83645.868727272726</v>
      </c>
      <c r="U431" s="551">
        <f t="shared" si="193"/>
        <v>85747.286545454539</v>
      </c>
      <c r="V431" s="551">
        <f t="shared" si="193"/>
        <v>87328.041818181824</v>
      </c>
      <c r="W431" s="551">
        <f t="shared" si="193"/>
        <v>88908.797090909109</v>
      </c>
      <c r="X431" s="551">
        <f t="shared" si="193"/>
        <v>90489.552363636394</v>
      </c>
      <c r="Y431" s="551">
        <f t="shared" si="193"/>
        <v>92069.843090909097</v>
      </c>
      <c r="Z431" s="551">
        <f t="shared" si="193"/>
        <v>93650.598363636353</v>
      </c>
      <c r="AA431" s="551">
        <f t="shared" si="193"/>
        <v>95230.889090909055</v>
      </c>
      <c r="AB431" s="551">
        <f t="shared" si="193"/>
        <v>96811.644363636326</v>
      </c>
      <c r="AC431" s="551">
        <f t="shared" si="193"/>
        <v>98392.399636363625</v>
      </c>
      <c r="AD431" s="551">
        <f t="shared" si="193"/>
        <v>99972.690363636328</v>
      </c>
      <c r="AE431" s="551">
        <f t="shared" si="193"/>
        <v>101553.44563636361</v>
      </c>
      <c r="AF431" s="551">
        <f t="shared" si="193"/>
        <v>103134.20090909088</v>
      </c>
      <c r="AG431" s="689">
        <f t="shared" si="193"/>
        <v>104714.4916363636</v>
      </c>
      <c r="AH431" s="5"/>
      <c r="AI431" s="5"/>
      <c r="AJ431" s="5"/>
      <c r="AK431" s="5"/>
      <c r="AL431" s="5"/>
      <c r="AM431" s="5"/>
      <c r="AN431" s="5"/>
    </row>
    <row r="432" spans="1:40" ht="21.9" customHeight="1" x14ac:dyDescent="0.25">
      <c r="B432" s="181"/>
      <c r="C432" s="122"/>
      <c r="D432" s="122"/>
      <c r="E432" s="123" t="s">
        <v>25</v>
      </c>
      <c r="F432" s="123"/>
      <c r="G432" s="123"/>
      <c r="H432" s="691">
        <f t="shared" ref="H432:AG432" si="194">SUM(H412:H431)</f>
        <v>26861066.196363628</v>
      </c>
      <c r="I432" s="691">
        <f t="shared" si="194"/>
        <v>29064267.959460359</v>
      </c>
      <c r="J432" s="691">
        <f t="shared" si="194"/>
        <v>31943365.68454564</v>
      </c>
      <c r="K432" s="691">
        <f t="shared" si="194"/>
        <v>36769290.621405989</v>
      </c>
      <c r="L432" s="691">
        <f t="shared" si="194"/>
        <v>41597681.688119449</v>
      </c>
      <c r="M432" s="691">
        <f t="shared" si="194"/>
        <v>46426022.7003389</v>
      </c>
      <c r="N432" s="691">
        <f t="shared" si="194"/>
        <v>51251947.637199268</v>
      </c>
      <c r="O432" s="691">
        <f t="shared" si="194"/>
        <v>56082816.020577818</v>
      </c>
      <c r="P432" s="691">
        <f t="shared" si="194"/>
        <v>60526166.641124524</v>
      </c>
      <c r="Q432" s="691">
        <f t="shared" si="194"/>
        <v>64970743.638908528</v>
      </c>
      <c r="R432" s="691">
        <f t="shared" si="194"/>
        <v>69414121.784330875</v>
      </c>
      <c r="S432" s="691">
        <f t="shared" si="194"/>
        <v>73857472.404877648</v>
      </c>
      <c r="T432" s="691">
        <f t="shared" si="194"/>
        <v>78305797.997297809</v>
      </c>
      <c r="U432" s="691">
        <f t="shared" si="194"/>
        <v>80825326.159480006</v>
      </c>
      <c r="V432" s="691">
        <f t="shared" si="194"/>
        <v>82280723.777376711</v>
      </c>
      <c r="W432" s="691">
        <f t="shared" si="194"/>
        <v>83736121.395273417</v>
      </c>
      <c r="X432" s="691">
        <f t="shared" si="194"/>
        <v>85191519.013170168</v>
      </c>
      <c r="Y432" s="691">
        <f t="shared" si="194"/>
        <v>86648227.096791804</v>
      </c>
      <c r="Z432" s="691">
        <f t="shared" si="194"/>
        <v>88103624.71468854</v>
      </c>
      <c r="AA432" s="691">
        <f t="shared" si="194"/>
        <v>89560249.503452003</v>
      </c>
      <c r="AB432" s="691">
        <f t="shared" si="194"/>
        <v>91015647.121348724</v>
      </c>
      <c r="AC432" s="691">
        <f t="shared" si="194"/>
        <v>92471044.739245385</v>
      </c>
      <c r="AD432" s="691">
        <f t="shared" si="194"/>
        <v>93927752.822867095</v>
      </c>
      <c r="AE432" s="691">
        <f t="shared" si="194"/>
        <v>95383150.440763816</v>
      </c>
      <c r="AF432" s="691">
        <f t="shared" si="194"/>
        <v>96838548.058660567</v>
      </c>
      <c r="AG432" s="692">
        <f t="shared" si="194"/>
        <v>98295172.847423986</v>
      </c>
      <c r="AH432" s="47"/>
      <c r="AI432" s="47"/>
      <c r="AJ432" s="47"/>
      <c r="AK432" s="47"/>
      <c r="AL432" s="47"/>
      <c r="AM432" s="47"/>
      <c r="AN432" s="47"/>
    </row>
    <row r="433" spans="2:40" ht="21.9" customHeight="1" x14ac:dyDescent="0.25">
      <c r="B433" s="180"/>
      <c r="C433" s="114"/>
      <c r="D433" s="114"/>
      <c r="E433" s="237"/>
      <c r="F433" s="237"/>
      <c r="G433" s="237"/>
      <c r="H433" s="699"/>
      <c r="I433" s="699"/>
      <c r="J433" s="699"/>
      <c r="K433" s="699"/>
      <c r="L433" s="699"/>
      <c r="M433" s="699"/>
      <c r="N433" s="699"/>
      <c r="O433" s="699"/>
      <c r="P433" s="699"/>
      <c r="Q433" s="699"/>
      <c r="R433" s="699"/>
      <c r="S433" s="699"/>
      <c r="T433" s="699"/>
      <c r="U433" s="699"/>
      <c r="V433" s="699"/>
      <c r="W433" s="699"/>
      <c r="X433" s="699"/>
      <c r="Y433" s="699"/>
      <c r="Z433" s="699"/>
      <c r="AA433" s="699"/>
      <c r="AB433" s="699"/>
      <c r="AC433" s="699"/>
      <c r="AD433" s="699"/>
      <c r="AE433" s="699"/>
      <c r="AF433" s="699"/>
      <c r="AG433" s="719"/>
      <c r="AH433" s="18"/>
      <c r="AI433" s="18"/>
      <c r="AJ433" s="18"/>
      <c r="AK433" s="18"/>
      <c r="AL433" s="18"/>
      <c r="AM433" s="18"/>
      <c r="AN433" s="18"/>
    </row>
    <row r="434" spans="2:40" ht="21.9" customHeight="1" x14ac:dyDescent="0.25">
      <c r="B434" s="684"/>
      <c r="C434" s="46" t="s">
        <v>2</v>
      </c>
      <c r="D434" s="46" t="s">
        <v>440</v>
      </c>
      <c r="E434" s="46" t="s">
        <v>312</v>
      </c>
      <c r="F434" s="46" t="s">
        <v>313</v>
      </c>
      <c r="G434" s="46" t="s">
        <v>314</v>
      </c>
      <c r="H434" s="720">
        <v>2023</v>
      </c>
      <c r="I434" s="720">
        <v>2024</v>
      </c>
      <c r="J434" s="720">
        <v>2025</v>
      </c>
      <c r="K434" s="720">
        <v>2026</v>
      </c>
      <c r="L434" s="720">
        <v>2027</v>
      </c>
      <c r="M434" s="720">
        <v>2028</v>
      </c>
      <c r="N434" s="720">
        <v>2029</v>
      </c>
      <c r="O434" s="720">
        <v>2030</v>
      </c>
      <c r="P434" s="720">
        <v>2031</v>
      </c>
      <c r="Q434" s="720">
        <v>2032</v>
      </c>
      <c r="R434" s="720">
        <v>2033</v>
      </c>
      <c r="S434" s="720">
        <v>2034</v>
      </c>
      <c r="T434" s="720">
        <v>2035</v>
      </c>
      <c r="U434" s="720">
        <v>2036</v>
      </c>
      <c r="V434" s="720">
        <v>2037</v>
      </c>
      <c r="W434" s="720">
        <v>2038</v>
      </c>
      <c r="X434" s="720">
        <v>2039</v>
      </c>
      <c r="Y434" s="720">
        <v>2040</v>
      </c>
      <c r="Z434" s="720">
        <v>2041</v>
      </c>
      <c r="AA434" s="720">
        <v>2042</v>
      </c>
      <c r="AB434" s="720">
        <v>2043</v>
      </c>
      <c r="AC434" s="720">
        <v>2044</v>
      </c>
      <c r="AD434" s="720">
        <v>2045</v>
      </c>
      <c r="AE434" s="720">
        <v>2046</v>
      </c>
      <c r="AF434" s="720">
        <v>2047</v>
      </c>
      <c r="AG434" s="721">
        <v>2048</v>
      </c>
      <c r="AH434" s="18"/>
      <c r="AI434" s="18"/>
      <c r="AJ434" s="18"/>
      <c r="AK434" s="18"/>
      <c r="AL434" s="18"/>
      <c r="AM434" s="18"/>
      <c r="AN434" s="18"/>
    </row>
    <row r="435" spans="2:40" ht="21.9" customHeight="1" x14ac:dyDescent="0.25">
      <c r="B435" s="179" t="s">
        <v>449</v>
      </c>
      <c r="C435" s="114" t="s">
        <v>127</v>
      </c>
      <c r="D435" s="237" t="s">
        <v>441</v>
      </c>
      <c r="E435" s="1325" t="s">
        <v>315</v>
      </c>
      <c r="F435" s="217" t="s">
        <v>316</v>
      </c>
      <c r="G435" s="217" t="s">
        <v>276</v>
      </c>
      <c r="H435" s="552">
        <f>Speed!X128</f>
        <v>71.779575441467983</v>
      </c>
      <c r="I435" s="552">
        <f>Speed!Y128</f>
        <v>71.779337692497165</v>
      </c>
      <c r="J435" s="552">
        <f>Speed!Z128</f>
        <v>71.778799526082096</v>
      </c>
      <c r="K435" s="552">
        <f>Speed!AA128</f>
        <v>71.777287455159794</v>
      </c>
      <c r="L435" s="552">
        <f>Speed!AB128</f>
        <v>71.774234871140152</v>
      </c>
      <c r="M435" s="552">
        <f>Speed!AC128</f>
        <v>71.768378651101727</v>
      </c>
      <c r="N435" s="552">
        <f>Speed!AD128</f>
        <v>71.757632458033441</v>
      </c>
      <c r="O435" s="552">
        <f>Speed!AE128</f>
        <v>71.73863521477162</v>
      </c>
      <c r="P435" s="552">
        <f>Speed!AF128</f>
        <v>71.706685699239998</v>
      </c>
      <c r="Q435" s="552">
        <f>Speed!AG128</f>
        <v>71.65405292978302</v>
      </c>
      <c r="R435" s="552">
        <f>Speed!AH128</f>
        <v>71.56969327224563</v>
      </c>
      <c r="S435" s="552">
        <f>Speed!AI128</f>
        <v>71.437769825234398</v>
      </c>
      <c r="T435" s="552">
        <f>Speed!AJ128</f>
        <v>71.235987315589725</v>
      </c>
      <c r="U435" s="552">
        <f>Speed!AK128</f>
        <v>71.045375357220195</v>
      </c>
      <c r="V435" s="552">
        <f>Speed!AL128</f>
        <v>70.872985264960491</v>
      </c>
      <c r="W435" s="552">
        <f>Speed!AM128</f>
        <v>70.665673065412804</v>
      </c>
      <c r="X435" s="552">
        <f>Speed!AN128</f>
        <v>70.417609586805895</v>
      </c>
      <c r="Y435" s="552">
        <f>Speed!AO128</f>
        <v>70.122164682268675</v>
      </c>
      <c r="Z435" s="552">
        <f>Speed!AP128</f>
        <v>69.772318785628528</v>
      </c>
      <c r="AA435" s="552">
        <f>Speed!AQ128</f>
        <v>69.359918218350188</v>
      </c>
      <c r="AB435" s="552">
        <f>Speed!AR128</f>
        <v>68.876695017192887</v>
      </c>
      <c r="AC435" s="552">
        <f>Speed!AS128</f>
        <v>68.313413872388836</v>
      </c>
      <c r="AD435" s="552">
        <f>Speed!AT128</f>
        <v>67.660307442602388</v>
      </c>
      <c r="AE435" s="552">
        <f>Speed!AU128</f>
        <v>66.908064856115161</v>
      </c>
      <c r="AF435" s="552">
        <f>Speed!AV128</f>
        <v>66.046746067464582</v>
      </c>
      <c r="AG435" s="700">
        <f>Speed!AW128</f>
        <v>65.066609539338799</v>
      </c>
      <c r="AH435" s="18"/>
      <c r="AI435" s="18"/>
      <c r="AJ435" s="18"/>
      <c r="AK435" s="18"/>
      <c r="AL435" s="18"/>
      <c r="AM435" s="18"/>
      <c r="AN435" s="18"/>
    </row>
    <row r="436" spans="2:40" ht="21.9" customHeight="1" x14ac:dyDescent="0.25">
      <c r="B436" s="680" t="s">
        <v>451</v>
      </c>
      <c r="C436" s="114"/>
      <c r="D436" s="695"/>
      <c r="E436" s="1327"/>
      <c r="F436" s="114" t="s">
        <v>276</v>
      </c>
      <c r="G436" s="114" t="s">
        <v>274</v>
      </c>
      <c r="H436" s="552">
        <f>Speed!X129</f>
        <v>71.779922361429513</v>
      </c>
      <c r="I436" s="552">
        <f>Speed!Y129</f>
        <v>71.779870140159986</v>
      </c>
      <c r="J436" s="552">
        <f>Speed!Z129</f>
        <v>71.779731696770284</v>
      </c>
      <c r="K436" s="552">
        <f>Speed!AA129</f>
        <v>71.779198548195836</v>
      </c>
      <c r="L436" s="552">
        <f>Speed!AB129</f>
        <v>71.777850226458511</v>
      </c>
      <c r="M436" s="552">
        <f>Speed!AC129</f>
        <v>71.774723271101763</v>
      </c>
      <c r="N436" s="552">
        <f>Speed!AD129</f>
        <v>71.767976642938976</v>
      </c>
      <c r="O436" s="552">
        <f>Speed!AE129</f>
        <v>71.754254599892576</v>
      </c>
      <c r="P436" s="552">
        <f>Speed!AF129</f>
        <v>71.727457621211542</v>
      </c>
      <c r="Q436" s="552">
        <f>Speed!AG129</f>
        <v>71.677760793362395</v>
      </c>
      <c r="R436" s="552">
        <f>Speed!AH129</f>
        <v>71.58931578090673</v>
      </c>
      <c r="S436" s="552">
        <f>Speed!AI129</f>
        <v>71.437486417586626</v>
      </c>
      <c r="T436" s="552">
        <f>Speed!AJ129</f>
        <v>71.185078892135678</v>
      </c>
      <c r="U436" s="552">
        <f>Speed!AK129</f>
        <v>70.960523600555177</v>
      </c>
      <c r="V436" s="552">
        <f>Speed!AL129</f>
        <v>70.775074067968333</v>
      </c>
      <c r="W436" s="552">
        <f>Speed!AM129</f>
        <v>70.553438386344823</v>
      </c>
      <c r="X436" s="552">
        <f>Speed!AN129</f>
        <v>70.289827294499659</v>
      </c>
      <c r="Y436" s="552">
        <f>Speed!AO129</f>
        <v>69.977619125023239</v>
      </c>
      <c r="Z436" s="552">
        <f>Speed!AP129</f>
        <v>69.610086758821055</v>
      </c>
      <c r="AA436" s="552">
        <f>Speed!AQ129</f>
        <v>69.179115784248154</v>
      </c>
      <c r="AB436" s="552">
        <f>Speed!AR129</f>
        <v>68.676930328298084</v>
      </c>
      <c r="AC436" s="552">
        <f>Speed!AS129</f>
        <v>68.09458216520747</v>
      </c>
      <c r="AD436" s="552">
        <f>Speed!AT129</f>
        <v>67.422613233705889</v>
      </c>
      <c r="AE436" s="552">
        <f>Speed!AU129</f>
        <v>66.652582214756762</v>
      </c>
      <c r="AF436" s="552">
        <f>Speed!AV129</f>
        <v>65.775061244386137</v>
      </c>
      <c r="AG436" s="700">
        <f>Speed!AW129</f>
        <v>64.780806702343909</v>
      </c>
      <c r="AH436" s="18"/>
      <c r="AI436" s="18"/>
      <c r="AJ436" s="18"/>
      <c r="AK436" s="18"/>
      <c r="AL436" s="18"/>
      <c r="AM436" s="18"/>
      <c r="AN436" s="18"/>
    </row>
    <row r="437" spans="2:40" ht="21.9" customHeight="1" x14ac:dyDescent="0.25">
      <c r="B437" s="680"/>
      <c r="C437" s="114"/>
      <c r="D437" s="237"/>
      <c r="E437" s="1327"/>
      <c r="F437" s="114" t="s">
        <v>274</v>
      </c>
      <c r="G437" s="114" t="s">
        <v>317</v>
      </c>
      <c r="H437" s="552">
        <f>Speed!X130</f>
        <v>71.755526018311912</v>
      </c>
      <c r="I437" s="552">
        <f>Speed!Y130</f>
        <v>71.743161696449491</v>
      </c>
      <c r="J437" s="552">
        <f>Speed!Z130</f>
        <v>71.720234965730725</v>
      </c>
      <c r="K437" s="552">
        <f>Speed!AA130</f>
        <v>71.669319003923277</v>
      </c>
      <c r="L437" s="552">
        <f>Speed!AB130</f>
        <v>71.582305748696626</v>
      </c>
      <c r="M437" s="552">
        <f>Speed!AC130</f>
        <v>71.438281606652495</v>
      </c>
      <c r="N437" s="552">
        <f>Speed!AD130</f>
        <v>71.206766853758566</v>
      </c>
      <c r="O437" s="552">
        <f>Speed!AE130</f>
        <v>70.844271532614499</v>
      </c>
      <c r="P437" s="552">
        <f>Speed!AF130</f>
        <v>70.312644758821733</v>
      </c>
      <c r="Q437" s="552">
        <f>Speed!AG130</f>
        <v>69.532376463984818</v>
      </c>
      <c r="R437" s="552">
        <f>Speed!AH130</f>
        <v>68.417189343985243</v>
      </c>
      <c r="S437" s="552">
        <f>Speed!AI130</f>
        <v>66.866140034472735</v>
      </c>
      <c r="T437" s="552">
        <f>Speed!AJ130</f>
        <v>64.771182807847893</v>
      </c>
      <c r="U437" s="552">
        <f>Speed!AK130</f>
        <v>62.831705789659914</v>
      </c>
      <c r="V437" s="552">
        <f>Speed!AL130</f>
        <v>60.908043725249321</v>
      </c>
      <c r="W437" s="552">
        <f>Speed!AM130</f>
        <v>58.710606458403596</v>
      </c>
      <c r="X437" s="552">
        <f>Speed!AN130</f>
        <v>56.240931679326636</v>
      </c>
      <c r="Y437" s="552">
        <f>Speed!AO130</f>
        <v>53.511436807151526</v>
      </c>
      <c r="Z437" s="552">
        <f>Speed!AP130</f>
        <v>50.550864619289428</v>
      </c>
      <c r="AA437" s="552">
        <f>Speed!AQ130</f>
        <v>47.396144709908796</v>
      </c>
      <c r="AB437" s="552">
        <f>Speed!AR130</f>
        <v>44.100020621091744</v>
      </c>
      <c r="AC437" s="552">
        <f>Speed!AS130</f>
        <v>40.719320117146118</v>
      </c>
      <c r="AD437" s="552">
        <f>Speed!AT130</f>
        <v>37.314497010899572</v>
      </c>
      <c r="AE437" s="552">
        <f>Speed!AU130</f>
        <v>33.949394830545792</v>
      </c>
      <c r="AF437" s="552">
        <f>Speed!AV130</f>
        <v>30.678885671043421</v>
      </c>
      <c r="AG437" s="700">
        <f>Speed!AW130</f>
        <v>27.54978984047548</v>
      </c>
      <c r="AH437" s="18"/>
      <c r="AI437" s="18"/>
      <c r="AJ437" s="18"/>
      <c r="AK437" s="18"/>
      <c r="AL437" s="18"/>
      <c r="AM437" s="18"/>
      <c r="AN437" s="18"/>
    </row>
    <row r="438" spans="2:40" ht="21.9" customHeight="1" x14ac:dyDescent="0.25">
      <c r="B438" s="680"/>
      <c r="C438" s="114"/>
      <c r="D438" s="237"/>
      <c r="E438" s="1325" t="s">
        <v>274</v>
      </c>
      <c r="F438" s="217" t="s">
        <v>275</v>
      </c>
      <c r="G438" s="217" t="s">
        <v>318</v>
      </c>
      <c r="H438" s="552">
        <f>Speed!X131</f>
        <v>57.499999998954948</v>
      </c>
      <c r="I438" s="552">
        <f>Speed!Y131</f>
        <v>57.499999997260808</v>
      </c>
      <c r="J438" s="552">
        <f>Speed!Z131</f>
        <v>57.499999982263745</v>
      </c>
      <c r="K438" s="552">
        <f>Speed!AA131</f>
        <v>57.499999663377778</v>
      </c>
      <c r="L438" s="552">
        <f>Speed!AB131</f>
        <v>57.499996733888452</v>
      </c>
      <c r="M438" s="552">
        <f>Speed!AC131</f>
        <v>57.499979223086079</v>
      </c>
      <c r="N438" s="552">
        <f>Speed!AD131</f>
        <v>57.499901122967536</v>
      </c>
      <c r="O438" s="552">
        <f>Speed!AE131</f>
        <v>57.499618307183773</v>
      </c>
      <c r="P438" s="552">
        <f>Speed!AF131</f>
        <v>57.498771737638904</v>
      </c>
      <c r="Q438" s="552">
        <f>Speed!AG131</f>
        <v>57.496501269404725</v>
      </c>
      <c r="R438" s="552">
        <f>Speed!AH131</f>
        <v>57.490980298321674</v>
      </c>
      <c r="S438" s="552">
        <f>Speed!AI131</f>
        <v>57.478580301932901</v>
      </c>
      <c r="T438" s="552">
        <f>Speed!AJ131</f>
        <v>57.452486544796656</v>
      </c>
      <c r="U438" s="552">
        <f>Speed!AK131</f>
        <v>57.431455444181232</v>
      </c>
      <c r="V438" s="552">
        <f>Speed!AL131</f>
        <v>57.419109808126251</v>
      </c>
      <c r="W438" s="552">
        <f>Speed!AM131</f>
        <v>57.404801709008908</v>
      </c>
      <c r="X438" s="552">
        <f>Speed!AN131</f>
        <v>57.388260049648146</v>
      </c>
      <c r="Y438" s="552">
        <f>Speed!AO131</f>
        <v>57.369150669342481</v>
      </c>
      <c r="Z438" s="552">
        <f>Speed!AP131</f>
        <v>57.34719408676677</v>
      </c>
      <c r="AA438" s="552">
        <f>Speed!AQ131</f>
        <v>57.321946382980464</v>
      </c>
      <c r="AB438" s="552">
        <f>Speed!AR131</f>
        <v>57.293067715705277</v>
      </c>
      <c r="AC438" s="552">
        <f>Speed!AS131</f>
        <v>57.260060811746925</v>
      </c>
      <c r="AD438" s="552">
        <f>Speed!AT131</f>
        <v>57.222354642739909</v>
      </c>
      <c r="AE438" s="552">
        <f>Speed!AU131</f>
        <v>57.17950229063684</v>
      </c>
      <c r="AF438" s="552">
        <f>Speed!AV131</f>
        <v>57.130832240042295</v>
      </c>
      <c r="AG438" s="700">
        <f>Speed!AW131</f>
        <v>57.075577266051368</v>
      </c>
      <c r="AH438" s="18"/>
      <c r="AI438" s="18"/>
      <c r="AJ438" s="18"/>
      <c r="AK438" s="18"/>
      <c r="AL438" s="18"/>
      <c r="AM438" s="18"/>
      <c r="AN438" s="18"/>
    </row>
    <row r="439" spans="2:40" ht="21.9" customHeight="1" x14ac:dyDescent="0.25">
      <c r="B439" s="680"/>
      <c r="C439" s="114"/>
      <c r="D439" s="237"/>
      <c r="E439" s="1327"/>
      <c r="F439" s="114" t="s">
        <v>318</v>
      </c>
      <c r="G439" s="114" t="s">
        <v>308</v>
      </c>
      <c r="H439" s="552">
        <f>Speed!X132</f>
        <v>49.499913467275938</v>
      </c>
      <c r="I439" s="552">
        <f>Speed!Y132</f>
        <v>49.499785666981339</v>
      </c>
      <c r="J439" s="552">
        <f>Speed!Z132</f>
        <v>49.499316242694249</v>
      </c>
      <c r="K439" s="552">
        <f>Speed!AA132</f>
        <v>49.496467690238326</v>
      </c>
      <c r="L439" s="552">
        <f>Speed!AB132</f>
        <v>49.485527124057349</v>
      </c>
      <c r="M439" s="552">
        <f>Speed!AC132</f>
        <v>49.450219280691485</v>
      </c>
      <c r="N439" s="552">
        <f>Speed!AD132</f>
        <v>49.350820453556558</v>
      </c>
      <c r="O439" s="552">
        <f>Speed!AE132</f>
        <v>49.0999461599189</v>
      </c>
      <c r="P439" s="552">
        <f>Speed!AF132</f>
        <v>48.406115574951635</v>
      </c>
      <c r="Q439" s="552">
        <f>Speed!AG132</f>
        <v>46.82850737224696</v>
      </c>
      <c r="R439" s="552">
        <f>Speed!AH132</f>
        <v>43.686064426472953</v>
      </c>
      <c r="S439" s="552">
        <f>Speed!AI132</f>
        <v>38.354496069582517</v>
      </c>
      <c r="T439" s="552">
        <f>Speed!AJ132</f>
        <v>30.937809135873806</v>
      </c>
      <c r="U439" s="552">
        <f>Speed!AK132</f>
        <v>25.491719316982543</v>
      </c>
      <c r="V439" s="552">
        <f>Speed!AL132</f>
        <v>22.398696011530582</v>
      </c>
      <c r="W439" s="552">
        <f>Speed!AM132</f>
        <v>19.450308689114188</v>
      </c>
      <c r="X439" s="552">
        <f>Speed!AN132</f>
        <v>16.716064792628121</v>
      </c>
      <c r="Y439" s="552">
        <f>Speed!AO132</f>
        <v>14.238414913159847</v>
      </c>
      <c r="Z439" s="552">
        <f>Speed!AP132</f>
        <v>12.044389357345507</v>
      </c>
      <c r="AA439" s="552">
        <f>Speed!AQ132</f>
        <v>10.130457351435144</v>
      </c>
      <c r="AB439" s="552">
        <f>Speed!AR132</f>
        <v>10</v>
      </c>
      <c r="AC439" s="552">
        <f>Speed!AS132</f>
        <v>10</v>
      </c>
      <c r="AD439" s="552">
        <f>Speed!AT132</f>
        <v>10</v>
      </c>
      <c r="AE439" s="552">
        <f>Speed!AU132</f>
        <v>10</v>
      </c>
      <c r="AF439" s="552">
        <f>Speed!AV132</f>
        <v>10</v>
      </c>
      <c r="AG439" s="700">
        <f>Speed!AW132</f>
        <v>10</v>
      </c>
      <c r="AH439" s="18"/>
      <c r="AI439" s="18"/>
      <c r="AJ439" s="18"/>
      <c r="AK439" s="18"/>
      <c r="AL439" s="18"/>
      <c r="AM439" s="18"/>
      <c r="AN439" s="18"/>
    </row>
    <row r="440" spans="2:40" ht="21.9" customHeight="1" x14ac:dyDescent="0.25">
      <c r="B440" s="680"/>
      <c r="C440" s="114"/>
      <c r="D440" s="237"/>
      <c r="E440" s="1339"/>
      <c r="F440" s="250" t="s">
        <v>308</v>
      </c>
      <c r="G440" s="250" t="s">
        <v>319</v>
      </c>
      <c r="H440" s="552">
        <f>Speed!X133</f>
        <v>46.22928606898175</v>
      </c>
      <c r="I440" s="552">
        <f>Speed!Y133</f>
        <v>45.989400680781124</v>
      </c>
      <c r="J440" s="552">
        <f>Speed!Z133</f>
        <v>45.535554594085283</v>
      </c>
      <c r="K440" s="552">
        <f>Speed!AA133</f>
        <v>44.608096213610324</v>
      </c>
      <c r="L440" s="552">
        <f>Speed!AB133</f>
        <v>43.229455244226074</v>
      </c>
      <c r="M440" s="552">
        <f>Speed!AC133</f>
        <v>41.274908515000931</v>
      </c>
      <c r="N440" s="552">
        <f>Speed!AD133</f>
        <v>38.649428106960258</v>
      </c>
      <c r="O440" s="552">
        <f>Speed!AE133</f>
        <v>35.328018908242882</v>
      </c>
      <c r="P440" s="552">
        <f>Speed!AF133</f>
        <v>31.366125947155084</v>
      </c>
      <c r="Q440" s="552">
        <f>Speed!AG133</f>
        <v>27.012819009421765</v>
      </c>
      <c r="R440" s="552">
        <f>Speed!AH133</f>
        <v>22.575887347812159</v>
      </c>
      <c r="S440" s="552">
        <f>Speed!AI133</f>
        <v>18.358962122918228</v>
      </c>
      <c r="T440" s="552">
        <f>Speed!AJ133</f>
        <v>14.590242621737195</v>
      </c>
      <c r="U440" s="552">
        <f>Speed!AK133</f>
        <v>12.245750450281898</v>
      </c>
      <c r="V440" s="552">
        <f>Speed!AL133</f>
        <v>10.802023161382403</v>
      </c>
      <c r="W440" s="552">
        <f>Speed!AM133</f>
        <v>10</v>
      </c>
      <c r="X440" s="552">
        <f>Speed!AN133</f>
        <v>10</v>
      </c>
      <c r="Y440" s="552">
        <f>Speed!AO133</f>
        <v>10</v>
      </c>
      <c r="Z440" s="552">
        <f>Speed!AP133</f>
        <v>10</v>
      </c>
      <c r="AA440" s="552">
        <f>Speed!AQ133</f>
        <v>10</v>
      </c>
      <c r="AB440" s="552">
        <f>Speed!AR133</f>
        <v>10</v>
      </c>
      <c r="AC440" s="552">
        <f>Speed!AS133</f>
        <v>10</v>
      </c>
      <c r="AD440" s="552">
        <f>Speed!AT133</f>
        <v>10</v>
      </c>
      <c r="AE440" s="552">
        <f>Speed!AU133</f>
        <v>10</v>
      </c>
      <c r="AF440" s="552">
        <f>Speed!AV133</f>
        <v>10</v>
      </c>
      <c r="AG440" s="700">
        <f>Speed!AW133</f>
        <v>10</v>
      </c>
      <c r="AH440" s="18"/>
      <c r="AI440" s="18"/>
      <c r="AJ440" s="18"/>
      <c r="AK440" s="18"/>
      <c r="AL440" s="18"/>
      <c r="AM440" s="18"/>
      <c r="AN440" s="18"/>
    </row>
    <row r="441" spans="2:40" ht="21.9" customHeight="1" x14ac:dyDescent="0.25">
      <c r="B441" s="680"/>
      <c r="C441" s="114"/>
      <c r="D441" s="237"/>
      <c r="E441" s="114" t="s">
        <v>320</v>
      </c>
      <c r="F441" s="114" t="s">
        <v>318</v>
      </c>
      <c r="G441" s="114" t="s">
        <v>308</v>
      </c>
      <c r="H441" s="552">
        <f>Speed!X134</f>
        <v>43.2</v>
      </c>
      <c r="I441" s="552">
        <f>Speed!Y134</f>
        <v>43.2</v>
      </c>
      <c r="J441" s="552">
        <f>Speed!Z134</f>
        <v>43.199999999254835</v>
      </c>
      <c r="K441" s="552">
        <f>Speed!AA134</f>
        <v>43.199995916637803</v>
      </c>
      <c r="L441" s="552">
        <f>Speed!AB134</f>
        <v>43.199610019600925</v>
      </c>
      <c r="M441" s="552">
        <f>Speed!AC134</f>
        <v>43.19118072841755</v>
      </c>
      <c r="N441" s="552">
        <f>Speed!AD134</f>
        <v>43.105543071541632</v>
      </c>
      <c r="O441" s="552">
        <f>Speed!AE134</f>
        <v>42.564430700421724</v>
      </c>
      <c r="P441" s="552">
        <f>Speed!AF134</f>
        <v>41.945698891632006</v>
      </c>
      <c r="Q441" s="552">
        <f>Speed!AG134</f>
        <v>40.859933383409171</v>
      </c>
      <c r="R441" s="552">
        <f>Speed!AH134</f>
        <v>39.080711860249295</v>
      </c>
      <c r="S441" s="552">
        <f>Speed!AI134</f>
        <v>36.386569581847269</v>
      </c>
      <c r="T441" s="552">
        <f>Speed!AJ134</f>
        <v>32.657337473550307</v>
      </c>
      <c r="U441" s="552">
        <f>Speed!AK134</f>
        <v>32.009960963488716</v>
      </c>
      <c r="V441" s="552">
        <f>Speed!AL134</f>
        <v>31.342682856462009</v>
      </c>
      <c r="W441" s="552">
        <f>Speed!AM134</f>
        <v>30.656723819302918</v>
      </c>
      <c r="X441" s="552">
        <f>Speed!AN134</f>
        <v>29.953457761994514</v>
      </c>
      <c r="Y441" s="552">
        <f>Speed!AO134</f>
        <v>29.22921886496578</v>
      </c>
      <c r="Z441" s="552">
        <f>Speed!AP134</f>
        <v>28.495927562150335</v>
      </c>
      <c r="AA441" s="552">
        <f>Speed!AQ134</f>
        <v>27.74789102810854</v>
      </c>
      <c r="AB441" s="552">
        <f>Speed!AR134</f>
        <v>26.991708598550034</v>
      </c>
      <c r="AC441" s="552">
        <f>Speed!AS134</f>
        <v>26.226980157041623</v>
      </c>
      <c r="AD441" s="552">
        <f>Speed!AT134</f>
        <v>25.450190208634254</v>
      </c>
      <c r="AE441" s="552">
        <f>Speed!AU134</f>
        <v>24.674402204963897</v>
      </c>
      <c r="AF441" s="552">
        <f>Speed!AV134</f>
        <v>23.896196278598335</v>
      </c>
      <c r="AG441" s="700">
        <f>Speed!AW134</f>
        <v>23.115162784521527</v>
      </c>
      <c r="AH441" s="18"/>
      <c r="AI441" s="18"/>
      <c r="AJ441" s="18"/>
      <c r="AK441" s="18"/>
      <c r="AL441" s="18"/>
      <c r="AM441" s="18"/>
      <c r="AN441" s="18"/>
    </row>
    <row r="442" spans="2:40" ht="21.9" customHeight="1" x14ac:dyDescent="0.25">
      <c r="B442" s="680"/>
      <c r="C442" s="114"/>
      <c r="D442" s="237"/>
      <c r="E442" s="1325" t="s">
        <v>308</v>
      </c>
      <c r="F442" s="217" t="s">
        <v>276</v>
      </c>
      <c r="G442" s="217" t="s">
        <v>320</v>
      </c>
      <c r="H442" s="552">
        <f>Speed!X135</f>
        <v>41.1</v>
      </c>
      <c r="I442" s="552">
        <f>Speed!Y135</f>
        <v>41.1</v>
      </c>
      <c r="J442" s="552">
        <f>Speed!Z135</f>
        <v>41.1</v>
      </c>
      <c r="K442" s="552">
        <f>Speed!AA135</f>
        <v>41.099999999994417</v>
      </c>
      <c r="L442" s="552">
        <f>Speed!AB135</f>
        <v>41.099999999537111</v>
      </c>
      <c r="M442" s="552">
        <f>Speed!AC135</f>
        <v>41.099999990190398</v>
      </c>
      <c r="N442" s="552">
        <f>Speed!AD135</f>
        <v>41.099999898693142</v>
      </c>
      <c r="O442" s="552">
        <f>Speed!AE135</f>
        <v>41.099999327050369</v>
      </c>
      <c r="P442" s="552">
        <f>Speed!AF135</f>
        <v>41.099997653760163</v>
      </c>
      <c r="Q442" s="552">
        <f>Speed!AG135</f>
        <v>41.099992878726958</v>
      </c>
      <c r="R442" s="552">
        <f>Speed!AH135</f>
        <v>41.099980660356351</v>
      </c>
      <c r="S442" s="552">
        <f>Speed!AI135</f>
        <v>41.099952037621648</v>
      </c>
      <c r="T442" s="552">
        <f>Speed!AJ135</f>
        <v>41.099889604819737</v>
      </c>
      <c r="U442" s="552">
        <f>Speed!AK135</f>
        <v>41.099837147249247</v>
      </c>
      <c r="V442" s="552">
        <f>Speed!AL135</f>
        <v>41.099819433478061</v>
      </c>
      <c r="W442" s="552">
        <f>Speed!AM135</f>
        <v>41.099800004112645</v>
      </c>
      <c r="X442" s="552">
        <f>Speed!AN135</f>
        <v>41.099778713017592</v>
      </c>
      <c r="Y442" s="552">
        <f>Speed!AO135</f>
        <v>41.099755333487764</v>
      </c>
      <c r="Z442" s="552">
        <f>Speed!AP135</f>
        <v>41.099729830227254</v>
      </c>
      <c r="AA442" s="552">
        <f>Speed!AQ135</f>
        <v>41.099701875520481</v>
      </c>
      <c r="AB442" s="552">
        <f>Speed!AR135</f>
        <v>41.099671435026814</v>
      </c>
      <c r="AC442" s="552">
        <f>Speed!AS135</f>
        <v>41.099638225218428</v>
      </c>
      <c r="AD442" s="552">
        <f>Speed!AT135</f>
        <v>41.099601916217836</v>
      </c>
      <c r="AE442" s="552">
        <f>Speed!AU135</f>
        <v>41.099562477650608</v>
      </c>
      <c r="AF442" s="552">
        <f>Speed!AV135</f>
        <v>41.099519556825001</v>
      </c>
      <c r="AG442" s="700">
        <f>Speed!AW135</f>
        <v>41.099472743791047</v>
      </c>
      <c r="AH442" s="18"/>
      <c r="AI442" s="18"/>
      <c r="AJ442" s="18"/>
      <c r="AK442" s="18"/>
      <c r="AL442" s="18"/>
      <c r="AM442" s="18"/>
      <c r="AN442" s="18"/>
    </row>
    <row r="443" spans="2:40" ht="21.9" customHeight="1" x14ac:dyDescent="0.25">
      <c r="B443" s="680"/>
      <c r="C443" s="114"/>
      <c r="D443" s="237"/>
      <c r="E443" s="1327"/>
      <c r="F443" s="114" t="s">
        <v>320</v>
      </c>
      <c r="G443" s="114" t="s">
        <v>282</v>
      </c>
      <c r="H443" s="552">
        <f>Speed!X136</f>
        <v>41.1</v>
      </c>
      <c r="I443" s="552">
        <f>Speed!Y136</f>
        <v>41.1</v>
      </c>
      <c r="J443" s="552">
        <f>Speed!Z136</f>
        <v>41.1</v>
      </c>
      <c r="K443" s="552">
        <f>Speed!AA136</f>
        <v>41.099999999994417</v>
      </c>
      <c r="L443" s="552">
        <f>Speed!AB136</f>
        <v>41.099999999537111</v>
      </c>
      <c r="M443" s="552">
        <f>Speed!AC136</f>
        <v>41.099999990190398</v>
      </c>
      <c r="N443" s="552">
        <f>Speed!AD136</f>
        <v>41.099999898693142</v>
      </c>
      <c r="O443" s="552">
        <f>Speed!AE136</f>
        <v>41.099999327050369</v>
      </c>
      <c r="P443" s="552">
        <f>Speed!AF136</f>
        <v>41.099997653760163</v>
      </c>
      <c r="Q443" s="552">
        <f>Speed!AG136</f>
        <v>41.099992878726958</v>
      </c>
      <c r="R443" s="552">
        <f>Speed!AH136</f>
        <v>41.099980660356351</v>
      </c>
      <c r="S443" s="552">
        <f>Speed!AI136</f>
        <v>41.099952037621648</v>
      </c>
      <c r="T443" s="552">
        <f>Speed!AJ136</f>
        <v>41.099889604819737</v>
      </c>
      <c r="U443" s="552">
        <f>Speed!AK136</f>
        <v>41.099837147249247</v>
      </c>
      <c r="V443" s="552">
        <f>Speed!AL136</f>
        <v>41.099819433478061</v>
      </c>
      <c r="W443" s="552">
        <f>Speed!AM136</f>
        <v>41.099800004112645</v>
      </c>
      <c r="X443" s="552">
        <f>Speed!AN136</f>
        <v>41.099778713017592</v>
      </c>
      <c r="Y443" s="552">
        <f>Speed!AO136</f>
        <v>41.099755333487764</v>
      </c>
      <c r="Z443" s="552">
        <f>Speed!AP136</f>
        <v>41.099729830227254</v>
      </c>
      <c r="AA443" s="552">
        <f>Speed!AQ136</f>
        <v>41.099701875520481</v>
      </c>
      <c r="AB443" s="552">
        <f>Speed!AR136</f>
        <v>41.099671435026814</v>
      </c>
      <c r="AC443" s="552">
        <f>Speed!AS136</f>
        <v>41.099638225218428</v>
      </c>
      <c r="AD443" s="552">
        <f>Speed!AT136</f>
        <v>41.099601916217836</v>
      </c>
      <c r="AE443" s="552">
        <f>Speed!AU136</f>
        <v>41.099562477650608</v>
      </c>
      <c r="AF443" s="552">
        <f>Speed!AV136</f>
        <v>41.099519556825001</v>
      </c>
      <c r="AG443" s="700">
        <f>Speed!AW136</f>
        <v>41.099472743791047</v>
      </c>
      <c r="AH443" s="18"/>
      <c r="AI443" s="18"/>
      <c r="AJ443" s="18"/>
      <c r="AK443" s="18"/>
      <c r="AL443" s="18"/>
      <c r="AM443" s="18"/>
      <c r="AN443" s="18"/>
    </row>
    <row r="444" spans="2:40" ht="21.9" customHeight="1" x14ac:dyDescent="0.25">
      <c r="B444" s="680"/>
      <c r="C444" s="114"/>
      <c r="D444" s="237"/>
      <c r="E444" s="1327"/>
      <c r="F444" s="114" t="s">
        <v>282</v>
      </c>
      <c r="G444" s="114" t="s">
        <v>321</v>
      </c>
      <c r="H444" s="552">
        <f>Speed!X137</f>
        <v>41.1</v>
      </c>
      <c r="I444" s="552">
        <f>Speed!Y137</f>
        <v>41.1</v>
      </c>
      <c r="J444" s="552">
        <f>Speed!Z137</f>
        <v>41.1</v>
      </c>
      <c r="K444" s="552">
        <f>Speed!AA137</f>
        <v>41.099999999994417</v>
      </c>
      <c r="L444" s="552">
        <f>Speed!AB137</f>
        <v>41.099999999537111</v>
      </c>
      <c r="M444" s="552">
        <f>Speed!AC137</f>
        <v>41.099999990190398</v>
      </c>
      <c r="N444" s="552">
        <f>Speed!AD137</f>
        <v>41.099999898693142</v>
      </c>
      <c r="O444" s="552">
        <f>Speed!AE137</f>
        <v>41.099999327050369</v>
      </c>
      <c r="P444" s="552">
        <f>Speed!AF137</f>
        <v>41.099997653760163</v>
      </c>
      <c r="Q444" s="552">
        <f>Speed!AG137</f>
        <v>41.099992878726958</v>
      </c>
      <c r="R444" s="552">
        <f>Speed!AH137</f>
        <v>41.099980660356351</v>
      </c>
      <c r="S444" s="552">
        <f>Speed!AI137</f>
        <v>41.099952037621648</v>
      </c>
      <c r="T444" s="552">
        <f>Speed!AJ137</f>
        <v>41.099889604819737</v>
      </c>
      <c r="U444" s="552">
        <f>Speed!AK137</f>
        <v>41.099837147249247</v>
      </c>
      <c r="V444" s="552">
        <f>Speed!AL137</f>
        <v>41.099819433478061</v>
      </c>
      <c r="W444" s="552">
        <f>Speed!AM137</f>
        <v>41.099800004112645</v>
      </c>
      <c r="X444" s="552">
        <f>Speed!AN137</f>
        <v>41.099778713017592</v>
      </c>
      <c r="Y444" s="552">
        <f>Speed!AO137</f>
        <v>41.099755333487764</v>
      </c>
      <c r="Z444" s="552">
        <f>Speed!AP137</f>
        <v>41.099729830227254</v>
      </c>
      <c r="AA444" s="552">
        <f>Speed!AQ137</f>
        <v>41.099701875520481</v>
      </c>
      <c r="AB444" s="552">
        <f>Speed!AR137</f>
        <v>41.099671435026814</v>
      </c>
      <c r="AC444" s="552">
        <f>Speed!AS137</f>
        <v>41.099638225218428</v>
      </c>
      <c r="AD444" s="552">
        <f>Speed!AT137</f>
        <v>41.099601916217836</v>
      </c>
      <c r="AE444" s="552">
        <f>Speed!AU137</f>
        <v>41.099562477650608</v>
      </c>
      <c r="AF444" s="552">
        <f>Speed!AV137</f>
        <v>41.099519556825001</v>
      </c>
      <c r="AG444" s="700">
        <f>Speed!AW137</f>
        <v>41.099472743791047</v>
      </c>
      <c r="AH444" s="18"/>
      <c r="AI444" s="18"/>
      <c r="AJ444" s="18"/>
      <c r="AK444" s="18"/>
      <c r="AL444" s="18"/>
      <c r="AM444" s="18"/>
      <c r="AN444" s="18"/>
    </row>
    <row r="445" spans="2:40" ht="21.9" customHeight="1" x14ac:dyDescent="0.25">
      <c r="B445" s="680"/>
      <c r="C445" s="114"/>
      <c r="D445" s="237"/>
      <c r="E445" s="1339"/>
      <c r="F445" s="250" t="s">
        <v>321</v>
      </c>
      <c r="G445" s="250" t="s">
        <v>274</v>
      </c>
      <c r="H445" s="552">
        <f>Speed!X138</f>
        <v>41.1</v>
      </c>
      <c r="I445" s="552">
        <f>Speed!Y138</f>
        <v>41.1</v>
      </c>
      <c r="J445" s="552">
        <f>Speed!Z138</f>
        <v>41.1</v>
      </c>
      <c r="K445" s="552">
        <f>Speed!AA138</f>
        <v>41.1</v>
      </c>
      <c r="L445" s="552">
        <f>Speed!AB138</f>
        <v>41.099999999999916</v>
      </c>
      <c r="M445" s="552">
        <f>Speed!AC138</f>
        <v>41.099999999999042</v>
      </c>
      <c r="N445" s="552">
        <f>Speed!AD138</f>
        <v>41.099999999993258</v>
      </c>
      <c r="O445" s="552">
        <f>Speed!AE138</f>
        <v>41.099999999965384</v>
      </c>
      <c r="P445" s="552">
        <f>Speed!AF138</f>
        <v>41.099999999512207</v>
      </c>
      <c r="Q445" s="552">
        <f>Speed!AG138</f>
        <v>41.099999996060035</v>
      </c>
      <c r="R445" s="552">
        <f>Speed!AH138</f>
        <v>41.099999977831814</v>
      </c>
      <c r="S445" s="552">
        <f>Speed!AI138</f>
        <v>41.099999903291348</v>
      </c>
      <c r="T445" s="552">
        <f>Speed!AJ138</f>
        <v>41.099999651008645</v>
      </c>
      <c r="U445" s="552">
        <f>Speed!AK138</f>
        <v>41.099999185294806</v>
      </c>
      <c r="V445" s="552">
        <f>Speed!AL138</f>
        <v>41.09999900029122</v>
      </c>
      <c r="W445" s="552">
        <f>Speed!AM138</f>
        <v>41.099998778300879</v>
      </c>
      <c r="X445" s="552">
        <f>Speed!AN138</f>
        <v>41.099998512890906</v>
      </c>
      <c r="Y445" s="552">
        <f>Speed!AO138</f>
        <v>41.099998197702412</v>
      </c>
      <c r="Z445" s="552">
        <f>Speed!AP138</f>
        <v>41.099997822392055</v>
      </c>
      <c r="AA445" s="552">
        <f>Speed!AQ138</f>
        <v>41.099997379597283</v>
      </c>
      <c r="AB445" s="552">
        <f>Speed!AR138</f>
        <v>41.099996855651483</v>
      </c>
      <c r="AC445" s="552">
        <f>Speed!AS138</f>
        <v>41.099996239235494</v>
      </c>
      <c r="AD445" s="552">
        <f>Speed!AT138</f>
        <v>41.099995518460808</v>
      </c>
      <c r="AE445" s="552">
        <f>Speed!AU138</f>
        <v>41.099994672920644</v>
      </c>
      <c r="AF445" s="552">
        <f>Speed!AV138</f>
        <v>41.099993686418372</v>
      </c>
      <c r="AG445" s="700">
        <f>Speed!AW138</f>
        <v>41.0999925421455</v>
      </c>
      <c r="AH445" s="18"/>
      <c r="AI445" s="18"/>
      <c r="AJ445" s="18"/>
      <c r="AK445" s="18"/>
      <c r="AL445" s="18"/>
      <c r="AM445" s="18"/>
      <c r="AN445" s="18"/>
    </row>
    <row r="446" spans="2:40" ht="21.9" customHeight="1" x14ac:dyDescent="0.25">
      <c r="B446" s="680"/>
      <c r="C446" s="114"/>
      <c r="D446" s="237"/>
      <c r="E446" s="114" t="s">
        <v>282</v>
      </c>
      <c r="F446" s="114" t="s">
        <v>308</v>
      </c>
      <c r="G446" s="114" t="s">
        <v>324</v>
      </c>
      <c r="H446" s="552">
        <f>Speed!X139</f>
        <v>26.799999999999567</v>
      </c>
      <c r="I446" s="552">
        <f>Speed!Y139</f>
        <v>26.799999999999219</v>
      </c>
      <c r="J446" s="552">
        <f>Speed!Z139</f>
        <v>26.799999999998366</v>
      </c>
      <c r="K446" s="552">
        <f>Speed!AA139</f>
        <v>26.799999999995961</v>
      </c>
      <c r="L446" s="552">
        <f>Speed!AB139</f>
        <v>26.799999999990757</v>
      </c>
      <c r="M446" s="552">
        <f>Speed!AC139</f>
        <v>26.799999999980091</v>
      </c>
      <c r="N446" s="552">
        <f>Speed!AD139</f>
        <v>26.799999999959471</v>
      </c>
      <c r="O446" s="552">
        <f>Speed!AE139</f>
        <v>26.799999999921233</v>
      </c>
      <c r="P446" s="552">
        <f>Speed!AF139</f>
        <v>26.799999999860773</v>
      </c>
      <c r="Q446" s="552">
        <f>Speed!AG139</f>
        <v>26.799999999761447</v>
      </c>
      <c r="R446" s="552">
        <f>Speed!AH139</f>
        <v>26.799999999602182</v>
      </c>
      <c r="S446" s="552">
        <f>Speed!AI139</f>
        <v>26.799999999352895</v>
      </c>
      <c r="T446" s="552">
        <f>Speed!AJ139</f>
        <v>26.799999998969248</v>
      </c>
      <c r="U446" s="552">
        <f>Speed!AK139</f>
        <v>26.799999998573885</v>
      </c>
      <c r="V446" s="552">
        <f>Speed!AL139</f>
        <v>26.799999998132481</v>
      </c>
      <c r="W446" s="552">
        <f>Speed!AM139</f>
        <v>26.799999997571717</v>
      </c>
      <c r="X446" s="552">
        <f>Speed!AN139</f>
        <v>26.799999996863708</v>
      </c>
      <c r="Y446" s="552">
        <f>Speed!AO139</f>
        <v>26.79999999597397</v>
      </c>
      <c r="Z446" s="552">
        <f>Speed!AP139</f>
        <v>26.799999994864507</v>
      </c>
      <c r="AA446" s="552">
        <f>Speed!AQ139</f>
        <v>26.799999993483365</v>
      </c>
      <c r="AB446" s="552">
        <f>Speed!AR139</f>
        <v>26.799999991781061</v>
      </c>
      <c r="AC446" s="552">
        <f>Speed!AS139</f>
        <v>26.799999989688505</v>
      </c>
      <c r="AD446" s="552">
        <f>Speed!AT139</f>
        <v>26.799999987125041</v>
      </c>
      <c r="AE446" s="552">
        <f>Speed!AU139</f>
        <v>26.799999984005353</v>
      </c>
      <c r="AF446" s="552">
        <f>Speed!AV139</f>
        <v>26.799999980221095</v>
      </c>
      <c r="AG446" s="700">
        <f>Speed!AW139</f>
        <v>26.799999975637043</v>
      </c>
      <c r="AH446" s="18"/>
      <c r="AI446" s="18"/>
      <c r="AJ446" s="18"/>
      <c r="AK446" s="18"/>
      <c r="AL446" s="18"/>
      <c r="AM446" s="18"/>
      <c r="AN446" s="18"/>
    </row>
    <row r="447" spans="2:40" ht="21.9" customHeight="1" x14ac:dyDescent="0.25">
      <c r="B447" s="680"/>
      <c r="C447" s="114"/>
      <c r="D447" s="237"/>
      <c r="E447" s="273" t="s">
        <v>321</v>
      </c>
      <c r="F447" s="273" t="s">
        <v>318</v>
      </c>
      <c r="G447" s="273" t="s">
        <v>308</v>
      </c>
      <c r="H447" s="552">
        <f>Speed!X140</f>
        <v>43.2</v>
      </c>
      <c r="I447" s="552">
        <f>Speed!Y140</f>
        <v>43.199990330030204</v>
      </c>
      <c r="J447" s="552">
        <f>Speed!Z140</f>
        <v>43.199979760255054</v>
      </c>
      <c r="K447" s="552">
        <f>Speed!AA140</f>
        <v>43.199950014587102</v>
      </c>
      <c r="L447" s="552">
        <f>Speed!AB140</f>
        <v>43.199885444897205</v>
      </c>
      <c r="M447" s="552">
        <f>Speed!AC140</f>
        <v>43.199753237319761</v>
      </c>
      <c r="N447" s="552">
        <f>Speed!AD140</f>
        <v>43.199497603129608</v>
      </c>
      <c r="O447" s="552">
        <f>Speed!AE140</f>
        <v>43.19902363971034</v>
      </c>
      <c r="P447" s="552">
        <f>Speed!AF140</f>
        <v>43.198274180462398</v>
      </c>
      <c r="Q447" s="552">
        <f>Speed!AG140</f>
        <v>43.19704302831186</v>
      </c>
      <c r="R447" s="552">
        <f>Speed!AH140</f>
        <v>43.195069012007146</v>
      </c>
      <c r="S447" s="552">
        <f>Speed!AI140</f>
        <v>43.191979721263735</v>
      </c>
      <c r="T447" s="552">
        <f>Speed!AJ140</f>
        <v>43.18722613893847</v>
      </c>
      <c r="U447" s="552">
        <f>Speed!AK140</f>
        <v>43.182328446363329</v>
      </c>
      <c r="V447" s="552">
        <f>Speed!AL140</f>
        <v>43.176861788383917</v>
      </c>
      <c r="W447" s="552">
        <f>Speed!AM140</f>
        <v>43.169918825549892</v>
      </c>
      <c r="X447" s="552">
        <f>Speed!AN140</f>
        <v>43.161156026624681</v>
      </c>
      <c r="Y447" s="552">
        <f>Speed!AO140</f>
        <v>43.150149020332186</v>
      </c>
      <c r="Z447" s="552">
        <f>Speed!AP140</f>
        <v>43.136431732267205</v>
      </c>
      <c r="AA447" s="552">
        <f>Speed!AQ140</f>
        <v>43.119367470146734</v>
      </c>
      <c r="AB447" s="552">
        <f>Speed!AR140</f>
        <v>43.098353906779693</v>
      </c>
      <c r="AC447" s="552">
        <f>Speed!AS140</f>
        <v>43.072550992571571</v>
      </c>
      <c r="AD447" s="552">
        <f>Speed!AT140</f>
        <v>43.040983438076388</v>
      </c>
      <c r="AE447" s="552">
        <f>Speed!AU140</f>
        <v>43.002628709380055</v>
      </c>
      <c r="AF447" s="552">
        <f>Speed!AV140</f>
        <v>42.95619509044262</v>
      </c>
      <c r="AG447" s="700">
        <f>Speed!AW140</f>
        <v>42.900081988991758</v>
      </c>
      <c r="AH447" s="18"/>
      <c r="AI447" s="18"/>
      <c r="AJ447" s="18"/>
      <c r="AK447" s="18"/>
      <c r="AL447" s="18"/>
      <c r="AM447" s="18"/>
      <c r="AN447" s="18"/>
    </row>
    <row r="448" spans="2:40" ht="21.9" customHeight="1" x14ac:dyDescent="0.25">
      <c r="B448" s="680"/>
      <c r="C448" s="114"/>
      <c r="D448" s="237"/>
      <c r="E448" s="273" t="s">
        <v>333</v>
      </c>
      <c r="F448" s="273" t="s">
        <v>319</v>
      </c>
      <c r="G448" s="273" t="s">
        <v>308</v>
      </c>
      <c r="H448" s="552">
        <f>Speed!X141</f>
        <v>31.89597447271742</v>
      </c>
      <c r="I448" s="552">
        <f>Speed!Y141</f>
        <v>31.895386397882593</v>
      </c>
      <c r="J448" s="552">
        <f>Speed!Z141</f>
        <v>31.894185286739393</v>
      </c>
      <c r="K448" s="552">
        <f>Speed!AA141</f>
        <v>31.892078650684784</v>
      </c>
      <c r="L448" s="552">
        <f>Speed!AB141</f>
        <v>31.88930731133809</v>
      </c>
      <c r="M448" s="552">
        <f>Speed!AC141</f>
        <v>31.885686476842388</v>
      </c>
      <c r="N448" s="552">
        <f>Speed!AD141</f>
        <v>31.881007933094075</v>
      </c>
      <c r="O448" s="552">
        <f>Speed!AE141</f>
        <v>31.874972954449184</v>
      </c>
      <c r="P448" s="552">
        <f>Speed!AF141</f>
        <v>31.869828344256412</v>
      </c>
      <c r="Q448" s="552">
        <f>Speed!AG141</f>
        <v>31.863751242752929</v>
      </c>
      <c r="R448" s="552">
        <f>Speed!AH141</f>
        <v>31.856594693279405</v>
      </c>
      <c r="S448" s="552">
        <f>Speed!AI141</f>
        <v>31.848195379185306</v>
      </c>
      <c r="T448" s="552">
        <f>Speed!AJ141</f>
        <v>31.838288419997181</v>
      </c>
      <c r="U448" s="552">
        <f>Speed!AK141</f>
        <v>31.831543198799192</v>
      </c>
      <c r="V448" s="552">
        <f>Speed!AL141</f>
        <v>31.824143432118834</v>
      </c>
      <c r="W448" s="552">
        <f>Speed!AM141</f>
        <v>31.816033679455259</v>
      </c>
      <c r="X448" s="552">
        <f>Speed!AN141</f>
        <v>31.807154522338521</v>
      </c>
      <c r="Y448" s="552">
        <f>Speed!AO141</f>
        <v>31.797372495361824</v>
      </c>
      <c r="Z448" s="552">
        <f>Speed!AP141</f>
        <v>31.786752785984007</v>
      </c>
      <c r="AA448" s="552">
        <f>Speed!AQ141</f>
        <v>31.775112203344161</v>
      </c>
      <c r="AB448" s="552">
        <f>Speed!AR141</f>
        <v>31.762461949675718</v>
      </c>
      <c r="AC448" s="552">
        <f>Speed!AS141</f>
        <v>31.748676495119984</v>
      </c>
      <c r="AD448" s="552">
        <f>Speed!AT141</f>
        <v>31.733559842314076</v>
      </c>
      <c r="AE448" s="552">
        <f>Speed!AU141</f>
        <v>31.717223968705103</v>
      </c>
      <c r="AF448" s="552">
        <f>Speed!AV141</f>
        <v>31.699469923924529</v>
      </c>
      <c r="AG448" s="700">
        <f>Speed!AW141</f>
        <v>31.68011430277004</v>
      </c>
      <c r="AH448" s="18"/>
      <c r="AI448" s="18"/>
      <c r="AJ448" s="18"/>
      <c r="AK448" s="18"/>
      <c r="AL448" s="18"/>
      <c r="AM448" s="18"/>
      <c r="AN448" s="18"/>
    </row>
    <row r="449" spans="2:40" ht="21.9" customHeight="1" x14ac:dyDescent="0.25">
      <c r="B449" s="680"/>
      <c r="C449" s="114"/>
      <c r="D449" s="237"/>
      <c r="E449" s="114" t="s">
        <v>319</v>
      </c>
      <c r="F449" s="114" t="s">
        <v>276</v>
      </c>
      <c r="G449" s="114" t="s">
        <v>333</v>
      </c>
      <c r="H449" s="552">
        <f>Speed!X142</f>
        <v>55.89999031092723</v>
      </c>
      <c r="I449" s="552">
        <f>Speed!Y142</f>
        <v>55.899987126230656</v>
      </c>
      <c r="J449" s="552">
        <f>Speed!Z142</f>
        <v>55.899982643601014</v>
      </c>
      <c r="K449" s="552">
        <f>Speed!AA142</f>
        <v>55.899974541814309</v>
      </c>
      <c r="L449" s="552">
        <f>Speed!AB142</f>
        <v>55.899963180055515</v>
      </c>
      <c r="M449" s="552">
        <f>Speed!AC142</f>
        <v>55.899947434901584</v>
      </c>
      <c r="N449" s="552">
        <f>Speed!AD142</f>
        <v>55.899925884169683</v>
      </c>
      <c r="O449" s="552">
        <f>Speed!AE142</f>
        <v>55.899896675024308</v>
      </c>
      <c r="P449" s="552">
        <f>Speed!AF142</f>
        <v>55.899852893582882</v>
      </c>
      <c r="Q449" s="552">
        <f>Speed!AG142</f>
        <v>55.899793093538648</v>
      </c>
      <c r="R449" s="552">
        <f>Speed!AH142</f>
        <v>55.899712210031119</v>
      </c>
      <c r="S449" s="552">
        <f>Speed!AI142</f>
        <v>55.899603905138264</v>
      </c>
      <c r="T449" s="552">
        <f>Speed!AJ142</f>
        <v>55.89946011203655</v>
      </c>
      <c r="U449" s="552">
        <f>Speed!AK142</f>
        <v>55.899317897267252</v>
      </c>
      <c r="V449" s="552">
        <f>Speed!AL142</f>
        <v>55.89917794398319</v>
      </c>
      <c r="W449" s="552">
        <f>Speed!AM142</f>
        <v>55.899012657530136</v>
      </c>
      <c r="X449" s="552">
        <f>Speed!AN142</f>
        <v>55.898818040992687</v>
      </c>
      <c r="Y449" s="552">
        <f>Speed!AO142</f>
        <v>55.898589581962291</v>
      </c>
      <c r="Z449" s="552">
        <f>Speed!AP142</f>
        <v>55.898322092426035</v>
      </c>
      <c r="AA449" s="552">
        <f>Speed!AQ142</f>
        <v>55.898009818357338</v>
      </c>
      <c r="AB449" s="552">
        <f>Speed!AR142</f>
        <v>55.897646140733599</v>
      </c>
      <c r="AC449" s="552">
        <f>Speed!AS142</f>
        <v>55.897223711409815</v>
      </c>
      <c r="AD449" s="552">
        <f>Speed!AT142</f>
        <v>55.896734296175971</v>
      </c>
      <c r="AE449" s="552">
        <f>Speed!AU142</f>
        <v>55.896168499729342</v>
      </c>
      <c r="AF449" s="552">
        <f>Speed!AV142</f>
        <v>55.895515967253118</v>
      </c>
      <c r="AG449" s="700">
        <f>Speed!AW142</f>
        <v>55.894765161250419</v>
      </c>
      <c r="AH449" s="18"/>
      <c r="AI449" s="18"/>
      <c r="AJ449" s="18"/>
      <c r="AK449" s="18"/>
      <c r="AL449" s="18"/>
      <c r="AM449" s="18"/>
      <c r="AN449" s="18"/>
    </row>
    <row r="450" spans="2:40" ht="21.9" customHeight="1" x14ac:dyDescent="0.25">
      <c r="B450" s="680"/>
      <c r="C450" s="114"/>
      <c r="D450" s="237"/>
      <c r="E450" s="114"/>
      <c r="F450" s="114" t="s">
        <v>333</v>
      </c>
      <c r="G450" s="114" t="s">
        <v>323</v>
      </c>
      <c r="H450" s="552">
        <f>Speed!X143</f>
        <v>55.899999377100173</v>
      </c>
      <c r="I450" s="552">
        <f>Speed!Y143</f>
        <v>55.899999175935712</v>
      </c>
      <c r="J450" s="552">
        <f>Speed!Z143</f>
        <v>55.899998885768397</v>
      </c>
      <c r="K450" s="552">
        <f>Speed!AA143</f>
        <v>55.899998323338593</v>
      </c>
      <c r="L450" s="552">
        <f>Speed!AB143</f>
        <v>55.89999751699942</v>
      </c>
      <c r="M450" s="552">
        <f>Speed!AC143</f>
        <v>55.899996376753322</v>
      </c>
      <c r="N450" s="552">
        <f>Speed!AD143</f>
        <v>55.899994785869225</v>
      </c>
      <c r="O450" s="552">
        <f>Speed!AE143</f>
        <v>55.899992591639737</v>
      </c>
      <c r="P450" s="552">
        <f>Speed!AF143</f>
        <v>55.899989160499366</v>
      </c>
      <c r="Q450" s="552">
        <f>Speed!AG143</f>
        <v>55.899984361973189</v>
      </c>
      <c r="R450" s="552">
        <f>Speed!AH143</f>
        <v>55.89997772701539</v>
      </c>
      <c r="S450" s="552">
        <f>Speed!AI143</f>
        <v>55.899968657929954</v>
      </c>
      <c r="T450" s="552">
        <f>Speed!AJ143</f>
        <v>55.899956388718934</v>
      </c>
      <c r="U450" s="552">
        <f>Speed!AK143</f>
        <v>55.899944617626161</v>
      </c>
      <c r="V450" s="552">
        <f>Speed!AL143</f>
        <v>55.899933723717304</v>
      </c>
      <c r="W450" s="552">
        <f>Speed!AM143</f>
        <v>55.899920937788821</v>
      </c>
      <c r="X450" s="552">
        <f>Speed!AN143</f>
        <v>55.89990597318905</v>
      </c>
      <c r="Y450" s="552">
        <f>Speed!AO143</f>
        <v>55.899888515566317</v>
      </c>
      <c r="Z450" s="552">
        <f>Speed!AP143</f>
        <v>55.899868181922834</v>
      </c>
      <c r="AA450" s="552">
        <f>Speed!AQ143</f>
        <v>55.899844582281716</v>
      </c>
      <c r="AB450" s="552">
        <f>Speed!AR143</f>
        <v>55.899817230912355</v>
      </c>
      <c r="AC450" s="552">
        <f>Speed!AS143</f>
        <v>55.899785621202099</v>
      </c>
      <c r="AD450" s="552">
        <f>Speed!AT143</f>
        <v>55.899749193635479</v>
      </c>
      <c r="AE450" s="552">
        <f>Speed!AU143</f>
        <v>55.89970726403952</v>
      </c>
      <c r="AF450" s="552">
        <f>Speed!AV143</f>
        <v>55.899659127910603</v>
      </c>
      <c r="AG450" s="700">
        <f>Speed!AW143</f>
        <v>55.899604011713457</v>
      </c>
      <c r="AH450" s="18"/>
      <c r="AI450" s="18"/>
      <c r="AJ450" s="18"/>
      <c r="AK450" s="18"/>
      <c r="AL450" s="18"/>
      <c r="AM450" s="18"/>
      <c r="AN450" s="18"/>
    </row>
    <row r="451" spans="2:40" ht="21.9" customHeight="1" x14ac:dyDescent="0.25">
      <c r="B451" s="680"/>
      <c r="C451" s="114"/>
      <c r="D451" s="237"/>
      <c r="E451" s="114"/>
      <c r="F451" s="114" t="s">
        <v>323</v>
      </c>
      <c r="G451" s="114" t="s">
        <v>322</v>
      </c>
      <c r="H451" s="552">
        <f>Speed!X144</f>
        <v>45.899998608523049</v>
      </c>
      <c r="I451" s="552">
        <f>Speed!Y144</f>
        <v>45.899998159147884</v>
      </c>
      <c r="J451" s="552">
        <f>Speed!Z144</f>
        <v>45.899997510951991</v>
      </c>
      <c r="K451" s="552">
        <f>Speed!AA144</f>
        <v>45.899996254557266</v>
      </c>
      <c r="L451" s="552">
        <f>Speed!AB144</f>
        <v>45.899994453300941</v>
      </c>
      <c r="M451" s="552">
        <f>Speed!AC144</f>
        <v>45.899991906140343</v>
      </c>
      <c r="N451" s="552">
        <f>Speed!AD144</f>
        <v>45.89998835231372</v>
      </c>
      <c r="O451" s="552">
        <f>Speed!AE144</f>
        <v>45.899983450693085</v>
      </c>
      <c r="P451" s="552">
        <f>Speed!AF144</f>
        <v>45.899975785977276</v>
      </c>
      <c r="Q451" s="552">
        <f>Speed!AG144</f>
        <v>45.899965066704318</v>
      </c>
      <c r="R451" s="552">
        <f>Speed!AH144</f>
        <v>45.899950245091176</v>
      </c>
      <c r="S451" s="552">
        <f>Speed!AI144</f>
        <v>45.899929985970488</v>
      </c>
      <c r="T451" s="552">
        <f>Speed!AJ144</f>
        <v>45.899902578216363</v>
      </c>
      <c r="U451" s="552">
        <f>Speed!AK144</f>
        <v>45.899876283210311</v>
      </c>
      <c r="V451" s="552">
        <f>Speed!AL144</f>
        <v>45.899851947729779</v>
      </c>
      <c r="W451" s="552">
        <f>Speed!AM144</f>
        <v>45.899823385760769</v>
      </c>
      <c r="X451" s="552">
        <f>Speed!AN144</f>
        <v>45.899789956974537</v>
      </c>
      <c r="Y451" s="552">
        <f>Speed!AO144</f>
        <v>45.899750959168742</v>
      </c>
      <c r="Z451" s="552">
        <f>Speed!AP144</f>
        <v>45.899705536801093</v>
      </c>
      <c r="AA451" s="552">
        <f>Speed!AQ144</f>
        <v>45.899652818746638</v>
      </c>
      <c r="AB451" s="552">
        <f>Speed!AR144</f>
        <v>45.899591719990426</v>
      </c>
      <c r="AC451" s="552">
        <f>Speed!AS144</f>
        <v>45.899521108883178</v>
      </c>
      <c r="AD451" s="552">
        <f>Speed!AT144</f>
        <v>45.89943973561509</v>
      </c>
      <c r="AE451" s="552">
        <f>Speed!AU144</f>
        <v>45.899346071932868</v>
      </c>
      <c r="AF451" s="552">
        <f>Speed!AV144</f>
        <v>45.899238544195455</v>
      </c>
      <c r="AG451" s="700">
        <f>Speed!AW144</f>
        <v>45.899115424591251</v>
      </c>
      <c r="AH451" s="18"/>
      <c r="AI451" s="18"/>
      <c r="AJ451" s="18"/>
      <c r="AK451" s="18"/>
      <c r="AL451" s="18"/>
      <c r="AM451" s="18"/>
      <c r="AN451" s="18"/>
    </row>
    <row r="452" spans="2:40" ht="21.9" customHeight="1" x14ac:dyDescent="0.25">
      <c r="B452" s="680"/>
      <c r="C452" s="114"/>
      <c r="D452" s="237"/>
      <c r="E452" s="114"/>
      <c r="F452" s="114" t="s">
        <v>322</v>
      </c>
      <c r="G452" s="114" t="s">
        <v>326</v>
      </c>
      <c r="H452" s="552">
        <f>Speed!X145</f>
        <v>45.899999869126233</v>
      </c>
      <c r="I452" s="552">
        <f>Speed!Y145</f>
        <v>45.8999998269027</v>
      </c>
      <c r="J452" s="552">
        <f>Speed!Z145</f>
        <v>45.899999764143068</v>
      </c>
      <c r="K452" s="552">
        <f>Speed!AA145</f>
        <v>45.899999654465667</v>
      </c>
      <c r="L452" s="552">
        <f>Speed!AB145</f>
        <v>45.899999500789512</v>
      </c>
      <c r="M452" s="552">
        <f>Speed!AC145</f>
        <v>45.899999288163151</v>
      </c>
      <c r="N452" s="552">
        <f>Speed!AD145</f>
        <v>45.899998997295938</v>
      </c>
      <c r="O452" s="552">
        <f>Speed!AE145</f>
        <v>45.899998603424784</v>
      </c>
      <c r="P452" s="552">
        <f>Speed!AF145</f>
        <v>45.899997994806959</v>
      </c>
      <c r="Q452" s="552">
        <f>Speed!AG145</f>
        <v>45.899997157121881</v>
      </c>
      <c r="R452" s="552">
        <f>Speed!AH145</f>
        <v>45.899996016811997</v>
      </c>
      <c r="S452" s="552">
        <f>Speed!AI145</f>
        <v>45.899994479937256</v>
      </c>
      <c r="T452" s="552">
        <f>Speed!AJ145</f>
        <v>45.899992428134517</v>
      </c>
      <c r="U452" s="552">
        <f>Speed!AK145</f>
        <v>45.899990295754669</v>
      </c>
      <c r="V452" s="552">
        <f>Speed!AL145</f>
        <v>45.899988350826568</v>
      </c>
      <c r="W452" s="552">
        <f>Speed!AM145</f>
        <v>45.899986061847436</v>
      </c>
      <c r="X452" s="552">
        <f>Speed!AN145</f>
        <v>45.899983375743055</v>
      </c>
      <c r="Y452" s="552">
        <f>Speed!AO145</f>
        <v>45.899980233405877</v>
      </c>
      <c r="Z452" s="552">
        <f>Speed!AP145</f>
        <v>45.899976565087002</v>
      </c>
      <c r="AA452" s="552">
        <f>Speed!AQ145</f>
        <v>45.899972296405011</v>
      </c>
      <c r="AB452" s="552">
        <f>Speed!AR145</f>
        <v>45.899967338685457</v>
      </c>
      <c r="AC452" s="552">
        <f>Speed!AS145</f>
        <v>45.899961596291647</v>
      </c>
      <c r="AD452" s="552">
        <f>Speed!AT145</f>
        <v>45.899954962801154</v>
      </c>
      <c r="AE452" s="552">
        <f>Speed!AU145</f>
        <v>45.899947312919259</v>
      </c>
      <c r="AF452" s="552">
        <f>Speed!AV145</f>
        <v>45.899938512830701</v>
      </c>
      <c r="AG452" s="700">
        <f>Speed!AW145</f>
        <v>45.899928414475553</v>
      </c>
      <c r="AH452" s="18"/>
      <c r="AI452" s="18"/>
      <c r="AJ452" s="18"/>
      <c r="AK452" s="18"/>
      <c r="AL452" s="18"/>
      <c r="AM452" s="18"/>
      <c r="AN452" s="18"/>
    </row>
    <row r="453" spans="2:40" ht="21.9" customHeight="1" x14ac:dyDescent="0.25">
      <c r="B453" s="680"/>
      <c r="C453" s="114"/>
      <c r="D453" s="237"/>
      <c r="E453" s="114"/>
      <c r="F453" s="114" t="s">
        <v>326</v>
      </c>
      <c r="G453" s="114" t="s">
        <v>274</v>
      </c>
      <c r="H453" s="552">
        <f>Speed!X146</f>
        <v>55.899999941413874</v>
      </c>
      <c r="I453" s="552">
        <f>Speed!Y146</f>
        <v>55.89999992251235</v>
      </c>
      <c r="J453" s="552">
        <f>Speed!Z146</f>
        <v>55.899999894417768</v>
      </c>
      <c r="K453" s="552">
        <f>Speed!AA146</f>
        <v>55.899999845320266</v>
      </c>
      <c r="L453" s="552">
        <f>Speed!AB146</f>
        <v>55.899999776526577</v>
      </c>
      <c r="M453" s="552">
        <f>Speed!AC146</f>
        <v>55.899999681343601</v>
      </c>
      <c r="N453" s="552">
        <f>Speed!AD146</f>
        <v>55.899999551135799</v>
      </c>
      <c r="O453" s="552">
        <f>Speed!AE146</f>
        <v>55.899999374817924</v>
      </c>
      <c r="P453" s="552">
        <f>Speed!AF146</f>
        <v>55.899999102367879</v>
      </c>
      <c r="Q453" s="552">
        <f>Speed!AG146</f>
        <v>55.899998727375021</v>
      </c>
      <c r="R453" s="552">
        <f>Speed!AH146</f>
        <v>55.89999821691103</v>
      </c>
      <c r="S453" s="552">
        <f>Speed!AI146</f>
        <v>55.899997528923265</v>
      </c>
      <c r="T453" s="552">
        <f>Speed!AJ146</f>
        <v>55.899996610425994</v>
      </c>
      <c r="U453" s="552">
        <f>Speed!AK146</f>
        <v>55.899995655858021</v>
      </c>
      <c r="V453" s="552">
        <f>Speed!AL146</f>
        <v>55.899994785203496</v>
      </c>
      <c r="W453" s="552">
        <f>Speed!AM146</f>
        <v>55.89999376053315</v>
      </c>
      <c r="X453" s="552">
        <f>Speed!AN146</f>
        <v>55.899992558088066</v>
      </c>
      <c r="Y453" s="552">
        <f>Speed!AO146</f>
        <v>55.899991151408472</v>
      </c>
      <c r="Z453" s="552">
        <f>Speed!AP146</f>
        <v>55.899989509270952</v>
      </c>
      <c r="AA453" s="552">
        <f>Speed!AQ146</f>
        <v>55.899987598378296</v>
      </c>
      <c r="AB453" s="552">
        <f>Speed!AR146</f>
        <v>55.899985379034909</v>
      </c>
      <c r="AC453" s="552">
        <f>Speed!AS146</f>
        <v>55.899982808428518</v>
      </c>
      <c r="AD453" s="552">
        <f>Speed!AT146</f>
        <v>55.899979838918505</v>
      </c>
      <c r="AE453" s="552">
        <f>Speed!AU146</f>
        <v>55.899976414415917</v>
      </c>
      <c r="AF453" s="552">
        <f>Speed!AV146</f>
        <v>55.899972475017449</v>
      </c>
      <c r="AG453" s="700">
        <f>Speed!AW146</f>
        <v>55.899967954443063</v>
      </c>
      <c r="AH453" s="18"/>
      <c r="AI453" s="18"/>
      <c r="AJ453" s="18"/>
      <c r="AK453" s="18"/>
      <c r="AL453" s="18"/>
      <c r="AM453" s="18"/>
      <c r="AN453" s="18"/>
    </row>
    <row r="454" spans="2:40" ht="21.9" customHeight="1" thickBot="1" x14ac:dyDescent="0.3">
      <c r="B454" s="680"/>
      <c r="C454" s="114"/>
      <c r="D454" s="237"/>
      <c r="E454" s="274"/>
      <c r="F454" s="274" t="s">
        <v>274</v>
      </c>
      <c r="G454" s="274" t="s">
        <v>317</v>
      </c>
      <c r="H454" s="552">
        <f>Speed!X147</f>
        <v>55.299903328088064</v>
      </c>
      <c r="I454" s="552">
        <f>Speed!Y147</f>
        <v>55.299872139104522</v>
      </c>
      <c r="J454" s="552">
        <f>Speed!Z147</f>
        <v>55.299825780914766</v>
      </c>
      <c r="K454" s="552">
        <f>Speed!AA147</f>
        <v>55.299744766508944</v>
      </c>
      <c r="L454" s="552">
        <f>Speed!AB147</f>
        <v>55.299631252346366</v>
      </c>
      <c r="M454" s="552">
        <f>Speed!AC147</f>
        <v>55.299474194895502</v>
      </c>
      <c r="N454" s="552">
        <f>Speed!AD147</f>
        <v>55.299259345915843</v>
      </c>
      <c r="O454" s="552">
        <f>Speed!AE147</f>
        <v>55.29896841576236</v>
      </c>
      <c r="P454" s="552">
        <f>Speed!AF147</f>
        <v>55.298518870509625</v>
      </c>
      <c r="Q454" s="552">
        <f>Speed!AG147</f>
        <v>55.297900140526224</v>
      </c>
      <c r="R454" s="552">
        <f>Speed!AH147</f>
        <v>55.297057908389334</v>
      </c>
      <c r="S454" s="552">
        <f>Speed!AI147</f>
        <v>55.295922814221832</v>
      </c>
      <c r="T454" s="552">
        <f>Speed!AJ147</f>
        <v>55.294407480664205</v>
      </c>
      <c r="U454" s="552">
        <f>Speed!AK147</f>
        <v>55.292832725739309</v>
      </c>
      <c r="V454" s="552">
        <f>Speed!AL147</f>
        <v>55.291396481356756</v>
      </c>
      <c r="W454" s="552">
        <f>Speed!AM147</f>
        <v>55.289706265740314</v>
      </c>
      <c r="X454" s="552">
        <f>Speed!AN147</f>
        <v>55.287722938607139</v>
      </c>
      <c r="Y454" s="552">
        <f>Speed!AO147</f>
        <v>55.285402925155033</v>
      </c>
      <c r="Z454" s="552">
        <f>Speed!AP147</f>
        <v>55.282694820980794</v>
      </c>
      <c r="AA454" s="552">
        <f>Speed!AQ147</f>
        <v>55.279543837445445</v>
      </c>
      <c r="AB454" s="552">
        <f>Speed!AR147</f>
        <v>55.275884681881749</v>
      </c>
      <c r="AC454" s="552">
        <f>Speed!AS147</f>
        <v>55.271646984448161</v>
      </c>
      <c r="AD454" s="552">
        <f>Speed!AT147</f>
        <v>55.26675249445433</v>
      </c>
      <c r="AE454" s="552">
        <f>Speed!AU147</f>
        <v>55.26110913919279</v>
      </c>
      <c r="AF454" s="552">
        <f>Speed!AV147</f>
        <v>55.254618693819353</v>
      </c>
      <c r="AG454" s="700">
        <f>Speed!AW147</f>
        <v>55.24717259603203</v>
      </c>
      <c r="AH454" s="18"/>
      <c r="AI454" s="18"/>
      <c r="AJ454" s="18"/>
      <c r="AK454" s="18"/>
      <c r="AL454" s="18"/>
      <c r="AM454" s="18"/>
      <c r="AN454" s="18"/>
    </row>
    <row r="455" spans="2:40" ht="21.9" customHeight="1" x14ac:dyDescent="0.25">
      <c r="B455" s="179"/>
      <c r="C455" s="114"/>
      <c r="D455" s="237" t="s">
        <v>443</v>
      </c>
      <c r="E455" s="1325" t="s">
        <v>315</v>
      </c>
      <c r="F455" s="217" t="s">
        <v>316</v>
      </c>
      <c r="G455" s="217" t="s">
        <v>276</v>
      </c>
      <c r="H455" s="701">
        <f>Speed!AX128</f>
        <v>71.779999996865541</v>
      </c>
      <c r="I455" s="701">
        <f>Speed!AY128</f>
        <v>71.779999996865541</v>
      </c>
      <c r="J455" s="701">
        <f>Speed!AZ128</f>
        <v>71.779999995110273</v>
      </c>
      <c r="K455" s="701">
        <f>Speed!BA128</f>
        <v>71.779999991136975</v>
      </c>
      <c r="L455" s="701">
        <f>Speed!BB128</f>
        <v>71.779999979973041</v>
      </c>
      <c r="M455" s="701">
        <f>Speed!BC128</f>
        <v>71.779999957433731</v>
      </c>
      <c r="N455" s="701">
        <f>Speed!BD128</f>
        <v>71.779999914187897</v>
      </c>
      <c r="O455" s="701">
        <f>Speed!BE128</f>
        <v>71.779999834813211</v>
      </c>
      <c r="P455" s="701">
        <f>Speed!BF128</f>
        <v>71.77999969443556</v>
      </c>
      <c r="Q455" s="701">
        <f>Speed!BG128</f>
        <v>71.779999458181052</v>
      </c>
      <c r="R455" s="701">
        <f>Speed!BH128</f>
        <v>71.779999068522343</v>
      </c>
      <c r="S455" s="701">
        <f>Speed!BI128</f>
        <v>71.779998442782983</v>
      </c>
      <c r="T455" s="701">
        <f>Speed!BJ128</f>
        <v>71.779997461275727</v>
      </c>
      <c r="U455" s="701">
        <f>Speed!BK128</f>
        <v>71.779995952986113</v>
      </c>
      <c r="V455" s="701">
        <f>Speed!BL128</f>
        <v>71.779994520325175</v>
      </c>
      <c r="W455" s="701">
        <f>Speed!BM128</f>
        <v>71.779993217985478</v>
      </c>
      <c r="X455" s="701">
        <f>Speed!BN128</f>
        <v>71.779991643407612</v>
      </c>
      <c r="Y455" s="701">
        <f>Speed!BO128</f>
        <v>71.779989747131694</v>
      </c>
      <c r="Z455" s="701">
        <f>Speed!BP128</f>
        <v>71.779987471152083</v>
      </c>
      <c r="AA455" s="701">
        <f>Speed!BQ128</f>
        <v>71.779984751165628</v>
      </c>
      <c r="AB455" s="701">
        <f>Speed!BR128</f>
        <v>71.779981509591806</v>
      </c>
      <c r="AC455" s="701">
        <f>Speed!BS128</f>
        <v>71.779977661944514</v>
      </c>
      <c r="AD455" s="701">
        <f>Speed!BT128</f>
        <v>71.779973108131216</v>
      </c>
      <c r="AE455" s="701">
        <f>Speed!BU128</f>
        <v>71.779967733208309</v>
      </c>
      <c r="AF455" s="701">
        <f>Speed!BV128</f>
        <v>71.779961412385049</v>
      </c>
      <c r="AG455" s="702">
        <f>Speed!BW128</f>
        <v>71.77995399822241</v>
      </c>
      <c r="AH455" s="18"/>
      <c r="AI455" s="18"/>
      <c r="AJ455" s="18"/>
      <c r="AK455" s="18"/>
      <c r="AL455" s="18"/>
      <c r="AM455" s="18"/>
      <c r="AN455" s="18"/>
    </row>
    <row r="456" spans="2:40" ht="21.9" customHeight="1" x14ac:dyDescent="0.25">
      <c r="B456" s="179"/>
      <c r="C456" s="114"/>
      <c r="D456" s="237"/>
      <c r="E456" s="1327"/>
      <c r="F456" s="114" t="s">
        <v>276</v>
      </c>
      <c r="G456" s="114" t="s">
        <v>274</v>
      </c>
      <c r="H456" s="552">
        <f>Speed!AX129</f>
        <v>71.779999999426806</v>
      </c>
      <c r="I456" s="552">
        <f>Speed!AY129</f>
        <v>71.779999999426806</v>
      </c>
      <c r="J456" s="552">
        <f>Speed!AZ129</f>
        <v>71.77999999904128</v>
      </c>
      <c r="K456" s="552">
        <f>Speed!BA129</f>
        <v>71.779999998019164</v>
      </c>
      <c r="L456" s="552">
        <f>Speed!BB129</f>
        <v>71.779999994082971</v>
      </c>
      <c r="M456" s="552">
        <f>Speed!BC129</f>
        <v>71.779999984128153</v>
      </c>
      <c r="N456" s="552">
        <f>Speed!BD129</f>
        <v>71.779999961040048</v>
      </c>
      <c r="O456" s="552">
        <f>Speed!BE129</f>
        <v>71.779999911218979</v>
      </c>
      <c r="P456" s="552">
        <f>Speed!BF129</f>
        <v>71.77999980985841</v>
      </c>
      <c r="Q456" s="552">
        <f>Speed!BG129</f>
        <v>71.779999611805451</v>
      </c>
      <c r="R456" s="552">
        <f>Speed!BH129</f>
        <v>71.779999244110741</v>
      </c>
      <c r="S456" s="552">
        <f>Speed!BI129</f>
        <v>71.77999858846492</v>
      </c>
      <c r="T456" s="552">
        <f>Speed!BJ129</f>
        <v>71.779997459163283</v>
      </c>
      <c r="U456" s="552">
        <f>Speed!BK129</f>
        <v>71.779995571103598</v>
      </c>
      <c r="V456" s="552">
        <f>Speed!BL129</f>
        <v>71.779993880094111</v>
      </c>
      <c r="W456" s="552">
        <f>Speed!BM129</f>
        <v>71.779992475479744</v>
      </c>
      <c r="X456" s="552">
        <f>Speed!BN129</f>
        <v>71.779990787101838</v>
      </c>
      <c r="Y456" s="552">
        <f>Speed!BO129</f>
        <v>71.779988765100271</v>
      </c>
      <c r="Z456" s="552">
        <f>Speed!BP129</f>
        <v>71.779986350634417</v>
      </c>
      <c r="AA456" s="552">
        <f>Speed!BQ129</f>
        <v>71.779983480563246</v>
      </c>
      <c r="AB456" s="552">
        <f>Speed!BR129</f>
        <v>71.779980076252357</v>
      </c>
      <c r="AC456" s="552">
        <f>Speed!BS129</f>
        <v>71.779976055506907</v>
      </c>
      <c r="AD456" s="552">
        <f>Speed!BT129</f>
        <v>71.779971318679614</v>
      </c>
      <c r="AE456" s="552">
        <f>Speed!BU129</f>
        <v>71.779965751191895</v>
      </c>
      <c r="AF456" s="552">
        <f>Speed!BV129</f>
        <v>71.779959233200245</v>
      </c>
      <c r="AG456" s="700">
        <f>Speed!BW129</f>
        <v>71.779951619297606</v>
      </c>
      <c r="AH456" s="18"/>
      <c r="AI456" s="18"/>
      <c r="AJ456" s="18"/>
      <c r="AK456" s="18"/>
      <c r="AL456" s="18"/>
      <c r="AM456" s="18"/>
      <c r="AN456" s="18"/>
    </row>
    <row r="457" spans="2:40" ht="21.9" customHeight="1" x14ac:dyDescent="0.25">
      <c r="B457" s="179"/>
      <c r="C457" s="114"/>
      <c r="D457" s="237"/>
      <c r="E457" s="1327"/>
      <c r="F457" s="114" t="s">
        <v>274</v>
      </c>
      <c r="G457" s="114" t="s">
        <v>317</v>
      </c>
      <c r="H457" s="552">
        <f>Speed!AX130</f>
        <v>71.779999819251614</v>
      </c>
      <c r="I457" s="552">
        <f>Speed!AY130</f>
        <v>71.779999819251614</v>
      </c>
      <c r="J457" s="552">
        <f>Speed!AZ130</f>
        <v>71.779999727890157</v>
      </c>
      <c r="K457" s="552">
        <f>Speed!BA130</f>
        <v>71.77999955839843</v>
      </c>
      <c r="L457" s="552">
        <f>Speed!BB130</f>
        <v>71.779999181601326</v>
      </c>
      <c r="M457" s="552">
        <f>Speed!BC130</f>
        <v>71.779998536430028</v>
      </c>
      <c r="N457" s="552">
        <f>Speed!BD130</f>
        <v>71.779997465090375</v>
      </c>
      <c r="O457" s="552">
        <f>Speed!BE130</f>
        <v>71.779995733859622</v>
      </c>
      <c r="P457" s="552">
        <f>Speed!BF130</f>
        <v>71.779993000448698</v>
      </c>
      <c r="Q457" s="552">
        <f>Speed!BG130</f>
        <v>71.779988940718624</v>
      </c>
      <c r="R457" s="552">
        <f>Speed!BH130</f>
        <v>71.779982869835422</v>
      </c>
      <c r="S457" s="552">
        <f>Speed!BI130</f>
        <v>71.779973952732561</v>
      </c>
      <c r="T457" s="552">
        <f>Speed!BJ130</f>
        <v>71.779961055921902</v>
      </c>
      <c r="U457" s="552">
        <f>Speed!BK130</f>
        <v>71.779942656037662</v>
      </c>
      <c r="V457" s="552">
        <f>Speed!BL130</f>
        <v>71.779924527960091</v>
      </c>
      <c r="W457" s="552">
        <f>Speed!BM130</f>
        <v>71.779905407301584</v>
      </c>
      <c r="X457" s="552">
        <f>Speed!BN130</f>
        <v>71.779882032250057</v>
      </c>
      <c r="Y457" s="552">
        <f>Speed!BO130</f>
        <v>71.779853581240047</v>
      </c>
      <c r="Z457" s="552">
        <f>Speed!BP130</f>
        <v>71.779819081980165</v>
      </c>
      <c r="AA457" s="552">
        <f>Speed!BQ130</f>
        <v>71.779777450044065</v>
      </c>
      <c r="AB457" s="552">
        <f>Speed!BR130</f>
        <v>71.779727364222694</v>
      </c>
      <c r="AC457" s="552">
        <f>Speed!BS130</f>
        <v>71.779667378668378</v>
      </c>
      <c r="AD457" s="552">
        <f>Speed!BT130</f>
        <v>71.779595765724977</v>
      </c>
      <c r="AE457" s="552">
        <f>Speed!BU130</f>
        <v>71.779510526472762</v>
      </c>
      <c r="AF457" s="552">
        <f>Speed!BV130</f>
        <v>71.779409482436193</v>
      </c>
      <c r="AG457" s="700">
        <f>Speed!BW130</f>
        <v>71.779290038397932</v>
      </c>
      <c r="AH457" s="18"/>
      <c r="AI457" s="18"/>
      <c r="AJ457" s="18"/>
      <c r="AK457" s="18"/>
      <c r="AL457" s="18"/>
      <c r="AM457" s="18"/>
      <c r="AN457" s="18"/>
    </row>
    <row r="458" spans="2:40" ht="21.9" customHeight="1" x14ac:dyDescent="0.25">
      <c r="B458" s="179"/>
      <c r="C458" s="114"/>
      <c r="D458" s="237"/>
      <c r="E458" s="1325" t="s">
        <v>274</v>
      </c>
      <c r="F458" s="217" t="s">
        <v>275</v>
      </c>
      <c r="G458" s="217" t="s">
        <v>318</v>
      </c>
      <c r="H458" s="552">
        <f>Speed!AX131</f>
        <v>57.499999999999986</v>
      </c>
      <c r="I458" s="552">
        <f>Speed!AY131</f>
        <v>57.499999999999986</v>
      </c>
      <c r="J458" s="552">
        <f>Speed!AZ131</f>
        <v>57.499999999999972</v>
      </c>
      <c r="K458" s="552">
        <f>Speed!BA131</f>
        <v>57.499999999999872</v>
      </c>
      <c r="L458" s="552">
        <f>Speed!BB131</f>
        <v>57.499999999997513</v>
      </c>
      <c r="M458" s="552">
        <f>Speed!BC131</f>
        <v>57.499999999975884</v>
      </c>
      <c r="N458" s="552">
        <f>Speed!BD131</f>
        <v>57.499999999846608</v>
      </c>
      <c r="O458" s="552">
        <f>Speed!BE131</f>
        <v>57.499999999270017</v>
      </c>
      <c r="P458" s="552">
        <f>Speed!BF131</f>
        <v>57.499999997182023</v>
      </c>
      <c r="Q458" s="552">
        <f>Speed!BG131</f>
        <v>57.499999990931776</v>
      </c>
      <c r="R458" s="552">
        <f>Speed!BH131</f>
        <v>57.499999974167963</v>
      </c>
      <c r="S458" s="552">
        <f>Speed!BI131</f>
        <v>57.499999933398819</v>
      </c>
      <c r="T458" s="552">
        <f>Speed!BJ131</f>
        <v>57.499999841803515</v>
      </c>
      <c r="U458" s="552">
        <f>Speed!BK131</f>
        <v>57.499999648927094</v>
      </c>
      <c r="V458" s="552">
        <f>Speed!BL131</f>
        <v>57.499999493344603</v>
      </c>
      <c r="W458" s="552">
        <f>Speed!BM131</f>
        <v>57.49999940196178</v>
      </c>
      <c r="X458" s="552">
        <f>Speed!BN131</f>
        <v>57.499999296003573</v>
      </c>
      <c r="Y458" s="552">
        <f>Speed!BO131</f>
        <v>57.499999173438937</v>
      </c>
      <c r="Z458" s="552">
        <f>Speed!BP131</f>
        <v>57.499999031760915</v>
      </c>
      <c r="AA458" s="552">
        <f>Speed!BQ131</f>
        <v>57.499998868857006</v>
      </c>
      <c r="AB458" s="552">
        <f>Speed!BR131</f>
        <v>57.499998681380802</v>
      </c>
      <c r="AC458" s="552">
        <f>Speed!BS131</f>
        <v>57.499998466740387</v>
      </c>
      <c r="AD458" s="552">
        <f>Speed!BT131</f>
        <v>57.499998221151763</v>
      </c>
      <c r="AE458" s="552">
        <f>Speed!BU131</f>
        <v>57.49999794025144</v>
      </c>
      <c r="AF458" s="552">
        <f>Speed!BV131</f>
        <v>57.499997620563761</v>
      </c>
      <c r="AG458" s="700">
        <f>Speed!BW131</f>
        <v>57.499997256893138</v>
      </c>
      <c r="AH458" s="18"/>
      <c r="AI458" s="18"/>
      <c r="AJ458" s="18"/>
      <c r="AK458" s="18"/>
      <c r="AL458" s="18"/>
      <c r="AM458" s="18"/>
      <c r="AN458" s="18"/>
    </row>
    <row r="459" spans="2:40" ht="21.9" customHeight="1" x14ac:dyDescent="0.25">
      <c r="B459" s="179"/>
      <c r="C459" s="114"/>
      <c r="D459" s="237"/>
      <c r="E459" s="1327"/>
      <c r="F459" s="114" t="s">
        <v>318</v>
      </c>
      <c r="G459" s="114" t="s">
        <v>308</v>
      </c>
      <c r="H459" s="552">
        <f>Speed!AX132</f>
        <v>49.499999999361144</v>
      </c>
      <c r="I459" s="552">
        <f>Speed!AY132</f>
        <v>49.499999999361144</v>
      </c>
      <c r="J459" s="552">
        <f>Speed!AZ132</f>
        <v>49.499999998417621</v>
      </c>
      <c r="K459" s="552">
        <f>Speed!BA132</f>
        <v>49.499999994951878</v>
      </c>
      <c r="L459" s="552">
        <f>Speed!BB132</f>
        <v>49.499999973919763</v>
      </c>
      <c r="M459" s="552">
        <f>Speed!BC132</f>
        <v>49.499999893118265</v>
      </c>
      <c r="N459" s="552">
        <f>Speed!BD132</f>
        <v>49.499999632108434</v>
      </c>
      <c r="O459" s="552">
        <f>Speed!BE132</f>
        <v>49.499998895306547</v>
      </c>
      <c r="P459" s="552">
        <f>Speed!BF132</f>
        <v>49.499997022414185</v>
      </c>
      <c r="Q459" s="552">
        <f>Speed!BG132</f>
        <v>49.499991741559988</v>
      </c>
      <c r="R459" s="552">
        <f>Speed!BH132</f>
        <v>49.499979151713454</v>
      </c>
      <c r="S459" s="552">
        <f>Speed!BI132</f>
        <v>49.499951364458923</v>
      </c>
      <c r="T459" s="552">
        <f>Speed!BJ132</f>
        <v>49.49989380370085</v>
      </c>
      <c r="U459" s="552">
        <f>Speed!BK132</f>
        <v>49.49978073735943</v>
      </c>
      <c r="V459" s="552">
        <f>Speed!BL132</f>
        <v>49.499655819867222</v>
      </c>
      <c r="W459" s="552">
        <f>Speed!BM132</f>
        <v>49.499557828794018</v>
      </c>
      <c r="X459" s="552">
        <f>Speed!BN132</f>
        <v>49.499435407052658</v>
      </c>
      <c r="Y459" s="552">
        <f>Speed!BO132</f>
        <v>49.49928328311794</v>
      </c>
      <c r="Z459" s="552">
        <f>Speed!BP132</f>
        <v>49.499094978009765</v>
      </c>
      <c r="AA459" s="552">
        <f>Speed!BQ132</f>
        <v>49.498863553461639</v>
      </c>
      <c r="AB459" s="552">
        <f>Speed!BR132</f>
        <v>49.498579812315064</v>
      </c>
      <c r="AC459" s="552">
        <f>Speed!BS132</f>
        <v>49.498234268796423</v>
      </c>
      <c r="AD459" s="552">
        <f>Speed!BT132</f>
        <v>49.497814822153323</v>
      </c>
      <c r="AE459" s="552">
        <f>Speed!BU132</f>
        <v>49.49730710943723</v>
      </c>
      <c r="AF459" s="552">
        <f>Speed!BV132</f>
        <v>49.496696362122648</v>
      </c>
      <c r="AG459" s="700">
        <f>Speed!BW132</f>
        <v>49.49596367097466</v>
      </c>
      <c r="AH459" s="18"/>
      <c r="AI459" s="18"/>
      <c r="AJ459" s="18"/>
      <c r="AK459" s="18"/>
      <c r="AL459" s="18"/>
      <c r="AM459" s="18"/>
      <c r="AN459" s="18"/>
    </row>
    <row r="460" spans="2:40" ht="21.9" customHeight="1" x14ac:dyDescent="0.25">
      <c r="B460" s="179"/>
      <c r="C460" s="114"/>
      <c r="D460" s="237"/>
      <c r="E460" s="1339"/>
      <c r="F460" s="250" t="s">
        <v>308</v>
      </c>
      <c r="G460" s="250" t="s">
        <v>319</v>
      </c>
      <c r="H460" s="552">
        <f>Speed!AX133</f>
        <v>46.99999421510455</v>
      </c>
      <c r="I460" s="552">
        <f>Speed!AY133</f>
        <v>46.99999421510455</v>
      </c>
      <c r="J460" s="552">
        <f>Speed!AZ133</f>
        <v>46.9999923749846</v>
      </c>
      <c r="K460" s="552">
        <f>Speed!BA133</f>
        <v>46.999988840570389</v>
      </c>
      <c r="L460" s="552">
        <f>Speed!BB133</f>
        <v>46.999981394155355</v>
      </c>
      <c r="M460" s="552">
        <f>Speed!BC133</f>
        <v>46.999969734796231</v>
      </c>
      <c r="N460" s="552">
        <f>Speed!BD133</f>
        <v>46.999951870049891</v>
      </c>
      <c r="O460" s="552">
        <f>Speed!BE133</f>
        <v>46.999925029225203</v>
      </c>
      <c r="P460" s="552">
        <f>Speed!BF133</f>
        <v>46.999885357994067</v>
      </c>
      <c r="Q460" s="552">
        <f>Speed!BG133</f>
        <v>46.999827048762654</v>
      </c>
      <c r="R460" s="552">
        <f>Speed!BH133</f>
        <v>46.999743256883484</v>
      </c>
      <c r="S460" s="552">
        <f>Speed!BI133</f>
        <v>46.999624603654084</v>
      </c>
      <c r="T460" s="552">
        <f>Speed!BJ133</f>
        <v>46.999458678634817</v>
      </c>
      <c r="U460" s="552">
        <f>Speed!BK133</f>
        <v>46.999229228427964</v>
      </c>
      <c r="V460" s="552">
        <f>Speed!BL133</f>
        <v>46.999015234205181</v>
      </c>
      <c r="W460" s="552">
        <f>Speed!BM133</f>
        <v>46.998837245593748</v>
      </c>
      <c r="X460" s="552">
        <f>Speed!BN133</f>
        <v>46.998630810765583</v>
      </c>
      <c r="Y460" s="552">
        <f>Speed!BO133</f>
        <v>46.998391958352798</v>
      </c>
      <c r="Z460" s="552">
        <f>Speed!BP133</f>
        <v>46.998116099346127</v>
      </c>
      <c r="AA460" s="552">
        <f>Speed!BQ133</f>
        <v>46.997798520996518</v>
      </c>
      <c r="AB460" s="552">
        <f>Speed!BR133</f>
        <v>46.997433364432972</v>
      </c>
      <c r="AC460" s="552">
        <f>Speed!BS133</f>
        <v>46.997014790196872</v>
      </c>
      <c r="AD460" s="552">
        <f>Speed!BT133</f>
        <v>46.99653575687546</v>
      </c>
      <c r="AE460" s="552">
        <f>Speed!BU133</f>
        <v>46.99598834666201</v>
      </c>
      <c r="AF460" s="552">
        <f>Speed!BV133</f>
        <v>46.995364606057848</v>
      </c>
      <c r="AG460" s="700">
        <f>Speed!BW133</f>
        <v>46.99465491261757</v>
      </c>
      <c r="AH460" s="18"/>
      <c r="AI460" s="18"/>
      <c r="AJ460" s="18"/>
      <c r="AK460" s="18"/>
      <c r="AL460" s="18"/>
      <c r="AM460" s="18"/>
      <c r="AN460" s="18"/>
    </row>
    <row r="461" spans="2:40" ht="21.9" customHeight="1" x14ac:dyDescent="0.25">
      <c r="B461" s="179"/>
      <c r="C461" s="114"/>
      <c r="D461" s="237"/>
      <c r="E461" s="114" t="s">
        <v>320</v>
      </c>
      <c r="F461" s="114" t="s">
        <v>318</v>
      </c>
      <c r="G461" s="114" t="s">
        <v>308</v>
      </c>
      <c r="H461" s="552">
        <f>Speed!AX134</f>
        <v>43.2</v>
      </c>
      <c r="I461" s="552">
        <f>Speed!AY134</f>
        <v>43.2</v>
      </c>
      <c r="J461" s="552">
        <f>Speed!AZ134</f>
        <v>43.2</v>
      </c>
      <c r="K461" s="552">
        <f>Speed!BA134</f>
        <v>43.199999999999996</v>
      </c>
      <c r="L461" s="552">
        <f>Speed!BB134</f>
        <v>43.199999999969855</v>
      </c>
      <c r="M461" s="552">
        <f>Speed!BC134</f>
        <v>43.199999997120827</v>
      </c>
      <c r="N461" s="552">
        <f>Speed!BD134</f>
        <v>43.199999934875699</v>
      </c>
      <c r="O461" s="552">
        <f>Speed!BE134</f>
        <v>43.199999301114353</v>
      </c>
      <c r="P461" s="552">
        <f>Speed!BF134</f>
        <v>43.199995237648281</v>
      </c>
      <c r="Q461" s="552">
        <f>Speed!BG134</f>
        <v>43.199990462825944</v>
      </c>
      <c r="R461" s="552">
        <f>Speed!BH134</f>
        <v>43.199981734321192</v>
      </c>
      <c r="S461" s="552">
        <f>Speed!BI134</f>
        <v>43.199966382547409</v>
      </c>
      <c r="T461" s="552">
        <f>Speed!BJ134</f>
        <v>43.199940278659867</v>
      </c>
      <c r="U461" s="552">
        <f>Speed!BK134</f>
        <v>43.199897038720927</v>
      </c>
      <c r="V461" s="552">
        <f>Speed!BL134</f>
        <v>43.199888506186639</v>
      </c>
      <c r="W461" s="552">
        <f>Speed!BM134</f>
        <v>43.19987934245399</v>
      </c>
      <c r="X461" s="552">
        <f>Speed!BN134</f>
        <v>43.199869506354162</v>
      </c>
      <c r="Y461" s="552">
        <f>Speed!BO134</f>
        <v>43.199858954387686</v>
      </c>
      <c r="Z461" s="552">
        <f>Speed!BP134</f>
        <v>43.199847557037231</v>
      </c>
      <c r="AA461" s="552">
        <f>Speed!BQ134</f>
        <v>43.199835426989218</v>
      </c>
      <c r="AB461" s="552">
        <f>Speed!BR134</f>
        <v>43.199822392447345</v>
      </c>
      <c r="AC461" s="552">
        <f>Speed!BS134</f>
        <v>43.199808481660547</v>
      </c>
      <c r="AD461" s="552">
        <f>Speed!BT134</f>
        <v>43.199793597862858</v>
      </c>
      <c r="AE461" s="552">
        <f>Speed!BU134</f>
        <v>43.199777563594566</v>
      </c>
      <c r="AF461" s="552">
        <f>Speed!BV134</f>
        <v>43.199760542404377</v>
      </c>
      <c r="AG461" s="700">
        <f>Speed!BW134</f>
        <v>43.199742357823311</v>
      </c>
      <c r="AH461" s="18"/>
      <c r="AI461" s="18"/>
      <c r="AJ461" s="18"/>
      <c r="AK461" s="18"/>
      <c r="AL461" s="18"/>
      <c r="AM461" s="18"/>
      <c r="AN461" s="18"/>
    </row>
    <row r="462" spans="2:40" ht="21.9" customHeight="1" x14ac:dyDescent="0.25">
      <c r="B462" s="179"/>
      <c r="C462" s="114"/>
      <c r="D462" s="237"/>
      <c r="E462" s="1325" t="s">
        <v>308</v>
      </c>
      <c r="F462" s="217" t="s">
        <v>276</v>
      </c>
      <c r="G462" s="217" t="s">
        <v>320</v>
      </c>
      <c r="H462" s="552">
        <f>Speed!AX135</f>
        <v>41.1</v>
      </c>
      <c r="I462" s="552">
        <f>Speed!AY135</f>
        <v>41.1</v>
      </c>
      <c r="J462" s="552">
        <f>Speed!AZ135</f>
        <v>41.1</v>
      </c>
      <c r="K462" s="552">
        <f>Speed!BA135</f>
        <v>41.1</v>
      </c>
      <c r="L462" s="552">
        <f>Speed!BB135</f>
        <v>41.1</v>
      </c>
      <c r="M462" s="552">
        <f>Speed!BC135</f>
        <v>41.1</v>
      </c>
      <c r="N462" s="552">
        <f>Speed!BD135</f>
        <v>41.09999999999993</v>
      </c>
      <c r="O462" s="552">
        <f>Speed!BE135</f>
        <v>41.099999999999255</v>
      </c>
      <c r="P462" s="552">
        <f>Speed!BF135</f>
        <v>41.099999999995035</v>
      </c>
      <c r="Q462" s="552">
        <f>Speed!BG135</f>
        <v>41.099999999982678</v>
      </c>
      <c r="R462" s="552">
        <f>Speed!BH135</f>
        <v>41.099999999947428</v>
      </c>
      <c r="S462" s="552">
        <f>Speed!BI135</f>
        <v>41.099999999857225</v>
      </c>
      <c r="T462" s="552">
        <f>Speed!BJ135</f>
        <v>41.099999999645902</v>
      </c>
      <c r="U462" s="552">
        <f>Speed!BK135</f>
        <v>41.099999999184973</v>
      </c>
      <c r="V462" s="552">
        <f>Speed!BL135</f>
        <v>41.099999998797685</v>
      </c>
      <c r="W462" s="552">
        <f>Speed!BM135</f>
        <v>41.09999999866691</v>
      </c>
      <c r="X462" s="552">
        <f>Speed!BN135</f>
        <v>41.099999998523465</v>
      </c>
      <c r="Y462" s="552">
        <f>Speed!BO135</f>
        <v>41.099999998366279</v>
      </c>
      <c r="Z462" s="552">
        <f>Speed!BP135</f>
        <v>41.099999998193667</v>
      </c>
      <c r="AA462" s="552">
        <f>Speed!BQ135</f>
        <v>41.09999999800538</v>
      </c>
      <c r="AB462" s="552">
        <f>Speed!BR135</f>
        <v>41.099999997798982</v>
      </c>
      <c r="AC462" s="552">
        <f>Speed!BS135</f>
        <v>41.099999997574244</v>
      </c>
      <c r="AD462" s="552">
        <f>Speed!BT135</f>
        <v>41.099999997329064</v>
      </c>
      <c r="AE462" s="552">
        <f>Speed!BU135</f>
        <v>41.099999997060998</v>
      </c>
      <c r="AF462" s="552">
        <f>Speed!BV135</f>
        <v>41.099999996769824</v>
      </c>
      <c r="AG462" s="700">
        <f>Speed!BW135</f>
        <v>41.099999996452944</v>
      </c>
      <c r="AH462" s="18"/>
      <c r="AI462" s="18"/>
      <c r="AJ462" s="18"/>
      <c r="AK462" s="18"/>
      <c r="AL462" s="18"/>
      <c r="AM462" s="18"/>
      <c r="AN462" s="18"/>
    </row>
    <row r="463" spans="2:40" ht="21.9" customHeight="1" x14ac:dyDescent="0.25">
      <c r="B463" s="179"/>
      <c r="C463" s="114"/>
      <c r="D463" s="237"/>
      <c r="E463" s="1327"/>
      <c r="F463" s="114" t="s">
        <v>320</v>
      </c>
      <c r="G463" s="114" t="s">
        <v>282</v>
      </c>
      <c r="H463" s="552">
        <f>Speed!AX136</f>
        <v>41.1</v>
      </c>
      <c r="I463" s="552">
        <f>Speed!AY136</f>
        <v>41.1</v>
      </c>
      <c r="J463" s="552">
        <f>Speed!AZ136</f>
        <v>41.1</v>
      </c>
      <c r="K463" s="552">
        <f>Speed!BA136</f>
        <v>41.1</v>
      </c>
      <c r="L463" s="552">
        <f>Speed!BB136</f>
        <v>41.1</v>
      </c>
      <c r="M463" s="552">
        <f>Speed!BC136</f>
        <v>41.1</v>
      </c>
      <c r="N463" s="552">
        <f>Speed!BD136</f>
        <v>41.09999999999993</v>
      </c>
      <c r="O463" s="552">
        <f>Speed!BE136</f>
        <v>41.099999999999255</v>
      </c>
      <c r="P463" s="552">
        <f>Speed!BF136</f>
        <v>41.099999999995035</v>
      </c>
      <c r="Q463" s="552">
        <f>Speed!BG136</f>
        <v>41.099999999982678</v>
      </c>
      <c r="R463" s="552">
        <f>Speed!BH136</f>
        <v>41.099999999947428</v>
      </c>
      <c r="S463" s="552">
        <f>Speed!BI136</f>
        <v>41.099999999857225</v>
      </c>
      <c r="T463" s="552">
        <f>Speed!BJ136</f>
        <v>41.099999999645902</v>
      </c>
      <c r="U463" s="552">
        <f>Speed!BK136</f>
        <v>41.099999999184973</v>
      </c>
      <c r="V463" s="552">
        <f>Speed!BL136</f>
        <v>41.099999998797685</v>
      </c>
      <c r="W463" s="552">
        <f>Speed!BM136</f>
        <v>41.09999999866691</v>
      </c>
      <c r="X463" s="552">
        <f>Speed!BN136</f>
        <v>41.099999998523465</v>
      </c>
      <c r="Y463" s="552">
        <f>Speed!BO136</f>
        <v>41.099999998366279</v>
      </c>
      <c r="Z463" s="552">
        <f>Speed!BP136</f>
        <v>41.099999998193667</v>
      </c>
      <c r="AA463" s="552">
        <f>Speed!BQ136</f>
        <v>41.09999999800538</v>
      </c>
      <c r="AB463" s="552">
        <f>Speed!BR136</f>
        <v>41.099999997798982</v>
      </c>
      <c r="AC463" s="552">
        <f>Speed!BS136</f>
        <v>41.099999997574244</v>
      </c>
      <c r="AD463" s="552">
        <f>Speed!BT136</f>
        <v>41.099999997329064</v>
      </c>
      <c r="AE463" s="552">
        <f>Speed!BU136</f>
        <v>41.099999997060998</v>
      </c>
      <c r="AF463" s="552">
        <f>Speed!BV136</f>
        <v>41.099999996769824</v>
      </c>
      <c r="AG463" s="700">
        <f>Speed!BW136</f>
        <v>41.099999996452944</v>
      </c>
      <c r="AH463" s="18"/>
      <c r="AI463" s="18"/>
      <c r="AJ463" s="18"/>
      <c r="AK463" s="18"/>
      <c r="AL463" s="18"/>
      <c r="AM463" s="18"/>
      <c r="AN463" s="18"/>
    </row>
    <row r="464" spans="2:40" ht="21.9" customHeight="1" x14ac:dyDescent="0.25">
      <c r="B464" s="179"/>
      <c r="C464" s="114"/>
      <c r="D464" s="237"/>
      <c r="E464" s="1327"/>
      <c r="F464" s="114" t="s">
        <v>282</v>
      </c>
      <c r="G464" s="114" t="s">
        <v>321</v>
      </c>
      <c r="H464" s="552">
        <f>Speed!AX137</f>
        <v>41.1</v>
      </c>
      <c r="I464" s="552">
        <f>Speed!AY137</f>
        <v>41.1</v>
      </c>
      <c r="J464" s="552">
        <f>Speed!AZ137</f>
        <v>41.1</v>
      </c>
      <c r="K464" s="552">
        <f>Speed!BA137</f>
        <v>41.1</v>
      </c>
      <c r="L464" s="552">
        <f>Speed!BB137</f>
        <v>41.1</v>
      </c>
      <c r="M464" s="552">
        <f>Speed!BC137</f>
        <v>41.1</v>
      </c>
      <c r="N464" s="552">
        <f>Speed!BD137</f>
        <v>41.09999999999993</v>
      </c>
      <c r="O464" s="552">
        <f>Speed!BE137</f>
        <v>41.099999999999255</v>
      </c>
      <c r="P464" s="552">
        <f>Speed!BF137</f>
        <v>41.099999999995035</v>
      </c>
      <c r="Q464" s="552">
        <f>Speed!BG137</f>
        <v>41.099999999982678</v>
      </c>
      <c r="R464" s="552">
        <f>Speed!BH137</f>
        <v>41.099999999947428</v>
      </c>
      <c r="S464" s="552">
        <f>Speed!BI137</f>
        <v>41.099999999857225</v>
      </c>
      <c r="T464" s="552">
        <f>Speed!BJ137</f>
        <v>41.099999999645902</v>
      </c>
      <c r="U464" s="552">
        <f>Speed!BK137</f>
        <v>41.099999999184973</v>
      </c>
      <c r="V464" s="552">
        <f>Speed!BL137</f>
        <v>41.099999998797685</v>
      </c>
      <c r="W464" s="552">
        <f>Speed!BM137</f>
        <v>41.09999999866691</v>
      </c>
      <c r="X464" s="552">
        <f>Speed!BN137</f>
        <v>41.099999998523465</v>
      </c>
      <c r="Y464" s="552">
        <f>Speed!BO137</f>
        <v>41.099999998366279</v>
      </c>
      <c r="Z464" s="552">
        <f>Speed!BP137</f>
        <v>41.099999998193667</v>
      </c>
      <c r="AA464" s="552">
        <f>Speed!BQ137</f>
        <v>41.09999999800538</v>
      </c>
      <c r="AB464" s="552">
        <f>Speed!BR137</f>
        <v>41.099999997798982</v>
      </c>
      <c r="AC464" s="552">
        <f>Speed!BS137</f>
        <v>41.099999997574244</v>
      </c>
      <c r="AD464" s="552">
        <f>Speed!BT137</f>
        <v>41.099999997329064</v>
      </c>
      <c r="AE464" s="552">
        <f>Speed!BU137</f>
        <v>41.099999997060998</v>
      </c>
      <c r="AF464" s="552">
        <f>Speed!BV137</f>
        <v>41.099999996769824</v>
      </c>
      <c r="AG464" s="700">
        <f>Speed!BW137</f>
        <v>41.099999996452944</v>
      </c>
      <c r="AH464" s="18"/>
      <c r="AI464" s="18"/>
      <c r="AJ464" s="18"/>
      <c r="AK464" s="18"/>
      <c r="AL464" s="18"/>
      <c r="AM464" s="18"/>
      <c r="AN464" s="18"/>
    </row>
    <row r="465" spans="2:40" ht="21.9" customHeight="1" x14ac:dyDescent="0.25">
      <c r="B465" s="179"/>
      <c r="C465" s="114"/>
      <c r="D465" s="237"/>
      <c r="E465" s="1339"/>
      <c r="F465" s="250" t="s">
        <v>321</v>
      </c>
      <c r="G465" s="250" t="s">
        <v>274</v>
      </c>
      <c r="H465" s="552">
        <f>Speed!AX138</f>
        <v>41.1</v>
      </c>
      <c r="I465" s="552">
        <f>Speed!AY138</f>
        <v>41.1</v>
      </c>
      <c r="J465" s="552">
        <f>Speed!AZ138</f>
        <v>41.1</v>
      </c>
      <c r="K465" s="552">
        <f>Speed!BA138</f>
        <v>41.1</v>
      </c>
      <c r="L465" s="552">
        <f>Speed!BB138</f>
        <v>41.1</v>
      </c>
      <c r="M465" s="552">
        <f>Speed!BC138</f>
        <v>41.1</v>
      </c>
      <c r="N465" s="552">
        <f>Speed!BD138</f>
        <v>41.1</v>
      </c>
      <c r="O465" s="552">
        <f>Speed!BE138</f>
        <v>41.1</v>
      </c>
      <c r="P465" s="552">
        <f>Speed!BF138</f>
        <v>41.1</v>
      </c>
      <c r="Q465" s="552">
        <f>Speed!BG138</f>
        <v>41.1</v>
      </c>
      <c r="R465" s="552">
        <f>Speed!BH138</f>
        <v>41.099999999999973</v>
      </c>
      <c r="S465" s="552">
        <f>Speed!BI138</f>
        <v>41.099999999999838</v>
      </c>
      <c r="T465" s="552">
        <f>Speed!BJ138</f>
        <v>41.099999999999291</v>
      </c>
      <c r="U465" s="552">
        <f>Speed!BK138</f>
        <v>41.099999999997429</v>
      </c>
      <c r="V465" s="552">
        <f>Speed!BL138</f>
        <v>41.09999999999399</v>
      </c>
      <c r="W465" s="552">
        <f>Speed!BM138</f>
        <v>41.099999999992619</v>
      </c>
      <c r="X465" s="552">
        <f>Speed!BN138</f>
        <v>41.099999999990985</v>
      </c>
      <c r="Y465" s="552">
        <f>Speed!BO138</f>
        <v>41.099999999989024</v>
      </c>
      <c r="Z465" s="552">
        <f>Speed!BP138</f>
        <v>41.099999999986693</v>
      </c>
      <c r="AA465" s="552">
        <f>Speed!BQ138</f>
        <v>41.099999999983922</v>
      </c>
      <c r="AB465" s="552">
        <f>Speed!BR138</f>
        <v>41.099999999980653</v>
      </c>
      <c r="AC465" s="552">
        <f>Speed!BS138</f>
        <v>41.099999999976788</v>
      </c>
      <c r="AD465" s="552">
        <f>Speed!BT138</f>
        <v>41.099999999972241</v>
      </c>
      <c r="AE465" s="552">
        <f>Speed!BU138</f>
        <v>41.099999999966919</v>
      </c>
      <c r="AF465" s="552">
        <f>Speed!BV138</f>
        <v>41.099999999960666</v>
      </c>
      <c r="AG465" s="700">
        <f>Speed!BW138</f>
        <v>41.099999999953383</v>
      </c>
      <c r="AH465" s="18"/>
      <c r="AI465" s="18"/>
      <c r="AJ465" s="18"/>
      <c r="AK465" s="18"/>
      <c r="AL465" s="18"/>
      <c r="AM465" s="18"/>
      <c r="AN465" s="18"/>
    </row>
    <row r="466" spans="2:40" ht="21.9" customHeight="1" x14ac:dyDescent="0.25">
      <c r="B466" s="179"/>
      <c r="C466" s="114"/>
      <c r="D466" s="237"/>
      <c r="E466" s="114" t="s">
        <v>282</v>
      </c>
      <c r="F466" s="114" t="s">
        <v>308</v>
      </c>
      <c r="G466" s="114" t="s">
        <v>324</v>
      </c>
      <c r="H466" s="552">
        <f>Speed!AX139</f>
        <v>26.799999999999997</v>
      </c>
      <c r="I466" s="552">
        <f>Speed!AY139</f>
        <v>26.799999999999997</v>
      </c>
      <c r="J466" s="552">
        <f>Speed!AZ139</f>
        <v>26.799999999999997</v>
      </c>
      <c r="K466" s="552">
        <f>Speed!BA139</f>
        <v>26.799999999999997</v>
      </c>
      <c r="L466" s="552">
        <f>Speed!BB139</f>
        <v>26.799999999999997</v>
      </c>
      <c r="M466" s="552">
        <f>Speed!BC139</f>
        <v>26.799999999999997</v>
      </c>
      <c r="N466" s="552">
        <f>Speed!BD139</f>
        <v>26.799999999999997</v>
      </c>
      <c r="O466" s="552">
        <f>Speed!BE139</f>
        <v>26.799999999999997</v>
      </c>
      <c r="P466" s="552">
        <f>Speed!BF139</f>
        <v>26.799999999999997</v>
      </c>
      <c r="Q466" s="552">
        <f>Speed!BG139</f>
        <v>26.799999999999997</v>
      </c>
      <c r="R466" s="552">
        <f>Speed!BH139</f>
        <v>26.799999999999997</v>
      </c>
      <c r="S466" s="552">
        <f>Speed!BI139</f>
        <v>26.799999999999997</v>
      </c>
      <c r="T466" s="552">
        <f>Speed!BJ139</f>
        <v>26.79999999999999</v>
      </c>
      <c r="U466" s="552">
        <f>Speed!BK139</f>
        <v>26.79999999999999</v>
      </c>
      <c r="V466" s="552">
        <f>Speed!BL139</f>
        <v>26.799999999999986</v>
      </c>
      <c r="W466" s="552">
        <f>Speed!BM139</f>
        <v>26.799999999999986</v>
      </c>
      <c r="X466" s="552">
        <f>Speed!BN139</f>
        <v>26.799999999999979</v>
      </c>
      <c r="Y466" s="552">
        <f>Speed!BO139</f>
        <v>26.799999999999972</v>
      </c>
      <c r="Z466" s="552">
        <f>Speed!BP139</f>
        <v>26.799999999999969</v>
      </c>
      <c r="AA466" s="552">
        <f>Speed!BQ139</f>
        <v>26.799999999999962</v>
      </c>
      <c r="AB466" s="552">
        <f>Speed!BR139</f>
        <v>26.799999999999951</v>
      </c>
      <c r="AC466" s="552">
        <f>Speed!BS139</f>
        <v>26.799999999999937</v>
      </c>
      <c r="AD466" s="552">
        <f>Speed!BT139</f>
        <v>26.799999999999919</v>
      </c>
      <c r="AE466" s="552">
        <f>Speed!BU139</f>
        <v>26.799999999999901</v>
      </c>
      <c r="AF466" s="552">
        <f>Speed!BV139</f>
        <v>26.79999999999988</v>
      </c>
      <c r="AG466" s="700">
        <f>Speed!BW139</f>
        <v>26.799999999999848</v>
      </c>
      <c r="AH466" s="18"/>
      <c r="AI466" s="18"/>
      <c r="AJ466" s="18"/>
      <c r="AK466" s="18"/>
      <c r="AL466" s="18"/>
      <c r="AM466" s="18"/>
      <c r="AN466" s="18"/>
    </row>
    <row r="467" spans="2:40" ht="21.9" customHeight="1" x14ac:dyDescent="0.25">
      <c r="B467" s="179"/>
      <c r="C467" s="114"/>
      <c r="D467" s="237"/>
      <c r="E467" s="273" t="s">
        <v>321</v>
      </c>
      <c r="F467" s="273" t="s">
        <v>318</v>
      </c>
      <c r="G467" s="273" t="s">
        <v>308</v>
      </c>
      <c r="H467" s="552">
        <f>Speed!AX140</f>
        <v>43.2</v>
      </c>
      <c r="I467" s="552">
        <f>Speed!AY140</f>
        <v>43.2</v>
      </c>
      <c r="J467" s="552">
        <f>Speed!AZ140</f>
        <v>43.199999999928608</v>
      </c>
      <c r="K467" s="552">
        <f>Speed!BA140</f>
        <v>43.199999999850576</v>
      </c>
      <c r="L467" s="552">
        <f>Speed!BB140</f>
        <v>43.199999999630968</v>
      </c>
      <c r="M467" s="552">
        <f>Speed!BC140</f>
        <v>43.199999999154265</v>
      </c>
      <c r="N467" s="552">
        <f>Speed!BD140</f>
        <v>43.199999998178193</v>
      </c>
      <c r="O467" s="552">
        <f>Speed!BE140</f>
        <v>43.199999996290863</v>
      </c>
      <c r="P467" s="552">
        <f>Speed!BF140</f>
        <v>43.199999992791561</v>
      </c>
      <c r="Q467" s="552">
        <f>Speed!BG140</f>
        <v>43.199999987258096</v>
      </c>
      <c r="R467" s="552">
        <f>Speed!BH140</f>
        <v>43.199999978167753</v>
      </c>
      <c r="S467" s="552">
        <f>Speed!BI140</f>
        <v>43.199999963591303</v>
      </c>
      <c r="T467" s="552">
        <f>Speed!BJ140</f>
        <v>43.199999940776813</v>
      </c>
      <c r="U467" s="552">
        <f>Speed!BK140</f>
        <v>43.199999905665116</v>
      </c>
      <c r="V467" s="552">
        <f>Speed!BL140</f>
        <v>43.199999869480891</v>
      </c>
      <c r="W467" s="552">
        <f>Speed!BM140</f>
        <v>43.199999829083445</v>
      </c>
      <c r="X467" s="552">
        <f>Speed!BN140</f>
        <v>43.199999777761661</v>
      </c>
      <c r="Y467" s="552">
        <f>Speed!BO140</f>
        <v>43.199999712964242</v>
      </c>
      <c r="Z467" s="552">
        <f>Speed!BP140</f>
        <v>43.19999963153451</v>
      </c>
      <c r="AA467" s="552">
        <f>Speed!BQ140</f>
        <v>43.199999529995971</v>
      </c>
      <c r="AB467" s="552">
        <f>Speed!BR140</f>
        <v>43.19999940359218</v>
      </c>
      <c r="AC467" s="552">
        <f>Speed!BS140</f>
        <v>43.199999247796356</v>
      </c>
      <c r="AD467" s="552">
        <f>Speed!BT140</f>
        <v>43.199999056284071</v>
      </c>
      <c r="AE467" s="552">
        <f>Speed!BU140</f>
        <v>43.199998821673638</v>
      </c>
      <c r="AF467" s="552">
        <f>Speed!BV140</f>
        <v>43.199998536157359</v>
      </c>
      <c r="AG467" s="700">
        <f>Speed!BW140</f>
        <v>43.199998189818778</v>
      </c>
      <c r="AH467" s="18"/>
      <c r="AI467" s="18"/>
      <c r="AJ467" s="18"/>
      <c r="AK467" s="18"/>
      <c r="AL467" s="18"/>
      <c r="AM467" s="18"/>
      <c r="AN467" s="18"/>
    </row>
    <row r="468" spans="2:40" ht="21.9" customHeight="1" x14ac:dyDescent="0.25">
      <c r="B468" s="179"/>
      <c r="C468" s="114"/>
      <c r="D468" s="237"/>
      <c r="E468" s="273" t="s">
        <v>333</v>
      </c>
      <c r="F468" s="273" t="s">
        <v>319</v>
      </c>
      <c r="G468" s="273" t="s">
        <v>308</v>
      </c>
      <c r="H468" s="552">
        <f>Speed!AX141</f>
        <v>31.899999970276543</v>
      </c>
      <c r="I468" s="552">
        <f>Speed!AY141</f>
        <v>31.899999970276543</v>
      </c>
      <c r="J468" s="552">
        <f>Speed!AZ141</f>
        <v>31.899999965933727</v>
      </c>
      <c r="K468" s="552">
        <f>Speed!BA141</f>
        <v>31.899999957063251</v>
      </c>
      <c r="L468" s="552">
        <f>Speed!BB141</f>
        <v>31.899999941503655</v>
      </c>
      <c r="M468" s="552">
        <f>Speed!BC141</f>
        <v>31.899999921031441</v>
      </c>
      <c r="N468" s="552">
        <f>Speed!BD141</f>
        <v>31.89999989427854</v>
      </c>
      <c r="O468" s="552">
        <f>Speed!BE141</f>
        <v>31.899999859701655</v>
      </c>
      <c r="P468" s="552">
        <f>Speed!BF141</f>
        <v>31.899999815085007</v>
      </c>
      <c r="Q468" s="552">
        <f>Speed!BG141</f>
        <v>31.899999777037518</v>
      </c>
      <c r="R468" s="552">
        <f>Speed!BH141</f>
        <v>31.899999732077866</v>
      </c>
      <c r="S468" s="552">
        <f>Speed!BI141</f>
        <v>31.899999679110248</v>
      </c>
      <c r="T468" s="552">
        <f>Speed!BJ141</f>
        <v>31.899999616914211</v>
      </c>
      <c r="U468" s="552">
        <f>Speed!BK141</f>
        <v>31.899999543512052</v>
      </c>
      <c r="V468" s="552">
        <f>Speed!BL141</f>
        <v>31.899999493509537</v>
      </c>
      <c r="W468" s="552">
        <f>Speed!BM141</f>
        <v>31.899999438630484</v>
      </c>
      <c r="X468" s="552">
        <f>Speed!BN141</f>
        <v>31.899999378456616</v>
      </c>
      <c r="Y468" s="552">
        <f>Speed!BO141</f>
        <v>31.899999312538629</v>
      </c>
      <c r="Z468" s="552">
        <f>Speed!BP141</f>
        <v>31.899999239875214</v>
      </c>
      <c r="AA468" s="552">
        <f>Speed!BQ141</f>
        <v>31.899999160938641</v>
      </c>
      <c r="AB468" s="552">
        <f>Speed!BR141</f>
        <v>31.899999074353271</v>
      </c>
      <c r="AC468" s="552">
        <f>Speed!BS141</f>
        <v>31.899998980185782</v>
      </c>
      <c r="AD468" s="552">
        <f>Speed!BT141</f>
        <v>31.899998877482499</v>
      </c>
      <c r="AE468" s="552">
        <f>Speed!BU141</f>
        <v>31.899998764759058</v>
      </c>
      <c r="AF468" s="552">
        <f>Speed!BV141</f>
        <v>31.899998642823206</v>
      </c>
      <c r="AG468" s="700">
        <f>Speed!BW141</f>
        <v>31.899998510159186</v>
      </c>
      <c r="AH468" s="18"/>
      <c r="AI468" s="18"/>
      <c r="AJ468" s="18"/>
      <c r="AK468" s="18"/>
      <c r="AL468" s="18"/>
      <c r="AM468" s="18"/>
      <c r="AN468" s="18"/>
    </row>
    <row r="469" spans="2:40" ht="21.9" customHeight="1" x14ac:dyDescent="0.25">
      <c r="B469" s="179"/>
      <c r="C469" s="114"/>
      <c r="D469" s="237"/>
      <c r="E469" s="114" t="s">
        <v>319</v>
      </c>
      <c r="F469" s="114" t="s">
        <v>276</v>
      </c>
      <c r="G469" s="114" t="s">
        <v>333</v>
      </c>
      <c r="H469" s="552">
        <f>Speed!AX142</f>
        <v>55.899999999928468</v>
      </c>
      <c r="I469" s="552">
        <f>Speed!AY142</f>
        <v>55.899999999928468</v>
      </c>
      <c r="J469" s="552">
        <f>Speed!AZ142</f>
        <v>55.899999999904956</v>
      </c>
      <c r="K469" s="552">
        <f>Speed!BA142</f>
        <v>55.899999999871852</v>
      </c>
      <c r="L469" s="552">
        <f>Speed!BB142</f>
        <v>55.899999999812053</v>
      </c>
      <c r="M469" s="552">
        <f>Speed!BC142</f>
        <v>55.899999999728166</v>
      </c>
      <c r="N469" s="552">
        <f>Speed!BD142</f>
        <v>55.899999999611914</v>
      </c>
      <c r="O469" s="552">
        <f>Speed!BE142</f>
        <v>55.899999999452817</v>
      </c>
      <c r="P469" s="552">
        <f>Speed!BF142</f>
        <v>55.899999999237167</v>
      </c>
      <c r="Q469" s="552">
        <f>Speed!BG142</f>
        <v>55.899999998913934</v>
      </c>
      <c r="R469" s="552">
        <f>Speed!BH142</f>
        <v>55.899999998472445</v>
      </c>
      <c r="S469" s="552">
        <f>Speed!BI142</f>
        <v>55.899999997875284</v>
      </c>
      <c r="T469" s="552">
        <f>Speed!BJ142</f>
        <v>55.899999997075689</v>
      </c>
      <c r="U469" s="552">
        <f>Speed!BK142</f>
        <v>55.899999996014074</v>
      </c>
      <c r="V469" s="552">
        <f>Speed!BL142</f>
        <v>55.899999994964105</v>
      </c>
      <c r="W469" s="552">
        <f>Speed!BM142</f>
        <v>55.89999999393082</v>
      </c>
      <c r="X469" s="552">
        <f>Speed!BN142</f>
        <v>55.899999992710505</v>
      </c>
      <c r="Y469" s="552">
        <f>Speed!BO142</f>
        <v>55.899999991273638</v>
      </c>
      <c r="Z469" s="552">
        <f>Speed!BP142</f>
        <v>55.899999989586888</v>
      </c>
      <c r="AA469" s="552">
        <f>Speed!BQ142</f>
        <v>55.899999987611956</v>
      </c>
      <c r="AB469" s="552">
        <f>Speed!BR142</f>
        <v>55.899999985306337</v>
      </c>
      <c r="AC469" s="552">
        <f>Speed!BS142</f>
        <v>55.899999982621175</v>
      </c>
      <c r="AD469" s="552">
        <f>Speed!BT142</f>
        <v>55.899999979502162</v>
      </c>
      <c r="AE469" s="552">
        <f>Speed!BU142</f>
        <v>55.89999997588852</v>
      </c>
      <c r="AF469" s="552">
        <f>Speed!BV142</f>
        <v>55.89999997171082</v>
      </c>
      <c r="AG469" s="700">
        <f>Speed!BW142</f>
        <v>55.89999996689258</v>
      </c>
      <c r="AH469" s="18"/>
      <c r="AI469" s="18"/>
      <c r="AJ469" s="18"/>
      <c r="AK469" s="18"/>
      <c r="AL469" s="18"/>
      <c r="AM469" s="18"/>
      <c r="AN469" s="18"/>
    </row>
    <row r="470" spans="2:40" ht="21.9" customHeight="1" x14ac:dyDescent="0.25">
      <c r="B470" s="179"/>
      <c r="C470" s="114"/>
      <c r="D470" s="237"/>
      <c r="E470" s="114"/>
      <c r="F470" s="114" t="s">
        <v>333</v>
      </c>
      <c r="G470" s="114" t="s">
        <v>323</v>
      </c>
      <c r="H470" s="552">
        <f>Speed!AX143</f>
        <v>55.899999999995408</v>
      </c>
      <c r="I470" s="552">
        <f>Speed!AY143</f>
        <v>55.899999999995408</v>
      </c>
      <c r="J470" s="552">
        <f>Speed!AZ143</f>
        <v>55.899999999993916</v>
      </c>
      <c r="K470" s="552">
        <f>Speed!BA143</f>
        <v>55.89999999999177</v>
      </c>
      <c r="L470" s="552">
        <f>Speed!BB143</f>
        <v>55.899999999987621</v>
      </c>
      <c r="M470" s="552">
        <f>Speed!BC143</f>
        <v>55.899999999981667</v>
      </c>
      <c r="N470" s="552">
        <f>Speed!BD143</f>
        <v>55.899999999973247</v>
      </c>
      <c r="O470" s="552">
        <f>Speed!BE143</f>
        <v>55.899999999961508</v>
      </c>
      <c r="P470" s="552">
        <f>Speed!BF143</f>
        <v>55.899999999945308</v>
      </c>
      <c r="Q470" s="552">
        <f>Speed!BG143</f>
        <v>55.899999999919977</v>
      </c>
      <c r="R470" s="552">
        <f>Speed!BH143</f>
        <v>55.89999999988455</v>
      </c>
      <c r="S470" s="552">
        <f>Speed!BI143</f>
        <v>55.899999999835558</v>
      </c>
      <c r="T470" s="552">
        <f>Speed!BJ143</f>
        <v>55.89999999976861</v>
      </c>
      <c r="U470" s="552">
        <f>Speed!BK143</f>
        <v>55.899999999678023</v>
      </c>
      <c r="V470" s="552">
        <f>Speed!BL143</f>
        <v>55.899999999591124</v>
      </c>
      <c r="W470" s="552">
        <f>Speed!BM143</f>
        <v>55.89999999951069</v>
      </c>
      <c r="X470" s="552">
        <f>Speed!BN143</f>
        <v>55.899999999416295</v>
      </c>
      <c r="Y470" s="552">
        <f>Speed!BO143</f>
        <v>55.89999999930582</v>
      </c>
      <c r="Z470" s="552">
        <f>Speed!BP143</f>
        <v>55.899999999176927</v>
      </c>
      <c r="AA470" s="552">
        <f>Speed!BQ143</f>
        <v>55.899999999026811</v>
      </c>
      <c r="AB470" s="552">
        <f>Speed!BR143</f>
        <v>55.899999998852579</v>
      </c>
      <c r="AC470" s="552">
        <f>Speed!BS143</f>
        <v>55.899999998650642</v>
      </c>
      <c r="AD470" s="552">
        <f>Speed!BT143</f>
        <v>55.899999998417272</v>
      </c>
      <c r="AE470" s="552">
        <f>Speed!BU143</f>
        <v>55.899999998148331</v>
      </c>
      <c r="AF470" s="552">
        <f>Speed!BV143</f>
        <v>55.899999997838769</v>
      </c>
      <c r="AG470" s="700">
        <f>Speed!BW143</f>
        <v>55.899999997483391</v>
      </c>
      <c r="AH470" s="18"/>
      <c r="AI470" s="18"/>
      <c r="AJ470" s="18"/>
      <c r="AK470" s="18"/>
      <c r="AL470" s="18"/>
      <c r="AM470" s="18"/>
      <c r="AN470" s="18"/>
    </row>
    <row r="471" spans="2:40" ht="21.9" customHeight="1" x14ac:dyDescent="0.25">
      <c r="B471" s="179"/>
      <c r="C471" s="114"/>
      <c r="D471" s="237"/>
      <c r="E471" s="114"/>
      <c r="F471" s="114" t="s">
        <v>323</v>
      </c>
      <c r="G471" s="114" t="s">
        <v>322</v>
      </c>
      <c r="H471" s="552">
        <f>Speed!AX144</f>
        <v>45.899999999989724</v>
      </c>
      <c r="I471" s="552">
        <f>Speed!AY144</f>
        <v>45.899999999989724</v>
      </c>
      <c r="J471" s="552">
        <f>Speed!AZ144</f>
        <v>45.899999999986413</v>
      </c>
      <c r="K471" s="552">
        <f>Speed!BA144</f>
        <v>45.899999999981624</v>
      </c>
      <c r="L471" s="552">
        <f>Speed!BB144</f>
        <v>45.899999999972351</v>
      </c>
      <c r="M471" s="552">
        <f>Speed!BC144</f>
        <v>45.89999999995905</v>
      </c>
      <c r="N471" s="552">
        <f>Speed!BD144</f>
        <v>45.899999999940242</v>
      </c>
      <c r="O471" s="552">
        <f>Speed!BE144</f>
        <v>45.899999999914009</v>
      </c>
      <c r="P471" s="552">
        <f>Speed!BF144</f>
        <v>45.899999999877821</v>
      </c>
      <c r="Q471" s="552">
        <f>Speed!BG144</f>
        <v>45.899999999821233</v>
      </c>
      <c r="R471" s="552">
        <f>Speed!BH144</f>
        <v>45.899999999742093</v>
      </c>
      <c r="S471" s="552">
        <f>Speed!BI144</f>
        <v>45.899999999632662</v>
      </c>
      <c r="T471" s="552">
        <f>Speed!BJ144</f>
        <v>45.8999999994831</v>
      </c>
      <c r="U471" s="552">
        <f>Speed!BK144</f>
        <v>45.899999999280752</v>
      </c>
      <c r="V471" s="552">
        <f>Speed!BL144</f>
        <v>45.899999999086617</v>
      </c>
      <c r="W471" s="552">
        <f>Speed!BM144</f>
        <v>45.899999998906956</v>
      </c>
      <c r="X471" s="552">
        <f>Speed!BN144</f>
        <v>45.899999998696082</v>
      </c>
      <c r="Y471" s="552">
        <f>Speed!BO144</f>
        <v>45.899999998449289</v>
      </c>
      <c r="Z471" s="552">
        <f>Speed!BP144</f>
        <v>45.89999999816137</v>
      </c>
      <c r="AA471" s="552">
        <f>Speed!BQ144</f>
        <v>45.899999997826015</v>
      </c>
      <c r="AB471" s="552">
        <f>Speed!BR144</f>
        <v>45.899999997436808</v>
      </c>
      <c r="AC471" s="552">
        <f>Speed!BS144</f>
        <v>45.89999999698572</v>
      </c>
      <c r="AD471" s="552">
        <f>Speed!BT144</f>
        <v>45.899999996464395</v>
      </c>
      <c r="AE471" s="552">
        <f>Speed!BU144</f>
        <v>45.899999995863624</v>
      </c>
      <c r="AF471" s="552">
        <f>Speed!BV144</f>
        <v>45.899999995172102</v>
      </c>
      <c r="AG471" s="700">
        <f>Speed!BW144</f>
        <v>45.899999994378227</v>
      </c>
      <c r="AH471" s="18"/>
      <c r="AI471" s="18"/>
      <c r="AJ471" s="18"/>
      <c r="AK471" s="18"/>
      <c r="AL471" s="18"/>
      <c r="AM471" s="18"/>
      <c r="AN471" s="18"/>
    </row>
    <row r="472" spans="2:40" ht="21.9" customHeight="1" x14ac:dyDescent="0.25">
      <c r="B472" s="179"/>
      <c r="C472" s="114"/>
      <c r="D472" s="237"/>
      <c r="E472" s="114"/>
      <c r="F472" s="114" t="s">
        <v>322</v>
      </c>
      <c r="G472" s="114" t="s">
        <v>326</v>
      </c>
      <c r="H472" s="552">
        <f>Speed!AX145</f>
        <v>45.899999999999032</v>
      </c>
      <c r="I472" s="552">
        <f>Speed!AY145</f>
        <v>45.899999999999032</v>
      </c>
      <c r="J472" s="552">
        <f>Speed!AZ145</f>
        <v>45.899999999998727</v>
      </c>
      <c r="K472" s="552">
        <f>Speed!BA145</f>
        <v>45.899999999998258</v>
      </c>
      <c r="L472" s="552">
        <f>Speed!BB145</f>
        <v>45.899999999997448</v>
      </c>
      <c r="M472" s="552">
        <f>Speed!BC145</f>
        <v>45.899999999996311</v>
      </c>
      <c r="N472" s="552">
        <f>Speed!BD145</f>
        <v>45.899999999994741</v>
      </c>
      <c r="O472" s="552">
        <f>Speed!BE145</f>
        <v>45.899999999992602</v>
      </c>
      <c r="P472" s="552">
        <f>Speed!BF145</f>
        <v>45.899999999989681</v>
      </c>
      <c r="Q472" s="552">
        <f>Speed!BG145</f>
        <v>45.899999999985191</v>
      </c>
      <c r="R472" s="552">
        <f>Speed!BH145</f>
        <v>45.899999999979016</v>
      </c>
      <c r="S472" s="552">
        <f>Speed!BI145</f>
        <v>45.899999999970596</v>
      </c>
      <c r="T472" s="552">
        <f>Speed!BJ145</f>
        <v>45.899999999959242</v>
      </c>
      <c r="U472" s="552">
        <f>Speed!BK145</f>
        <v>45.899999999944093</v>
      </c>
      <c r="V472" s="552">
        <f>Speed!BL145</f>
        <v>45.899999999928347</v>
      </c>
      <c r="W472" s="552">
        <f>Speed!BM145</f>
        <v>45.899999999914002</v>
      </c>
      <c r="X472" s="552">
        <f>Speed!BN145</f>
        <v>45.899999999897091</v>
      </c>
      <c r="Y472" s="552">
        <f>Speed!BO145</f>
        <v>45.899999999877267</v>
      </c>
      <c r="Z472" s="552">
        <f>Speed!BP145</f>
        <v>45.89999999985406</v>
      </c>
      <c r="AA472" s="552">
        <f>Speed!BQ145</f>
        <v>45.899999999826981</v>
      </c>
      <c r="AB472" s="552">
        <f>Speed!BR145</f>
        <v>45.899999999795469</v>
      </c>
      <c r="AC472" s="552">
        <f>Speed!BS145</f>
        <v>45.899999999758869</v>
      </c>
      <c r="AD472" s="552">
        <f>Speed!BT145</f>
        <v>45.899999999716471</v>
      </c>
      <c r="AE472" s="552">
        <f>Speed!BU145</f>
        <v>45.8999999996675</v>
      </c>
      <c r="AF472" s="552">
        <f>Speed!BV145</f>
        <v>45.899999999611019</v>
      </c>
      <c r="AG472" s="700">
        <f>Speed!BW145</f>
        <v>45.899999999546054</v>
      </c>
      <c r="AH472" s="18"/>
      <c r="AI472" s="18"/>
      <c r="AJ472" s="18"/>
      <c r="AK472" s="18"/>
      <c r="AL472" s="18"/>
      <c r="AM472" s="18"/>
      <c r="AN472" s="18"/>
    </row>
    <row r="473" spans="2:40" ht="21.9" customHeight="1" x14ac:dyDescent="0.25">
      <c r="B473" s="179"/>
      <c r="C473" s="114"/>
      <c r="D473" s="237"/>
      <c r="E473" s="114"/>
      <c r="F473" s="114" t="s">
        <v>326</v>
      </c>
      <c r="G473" s="114" t="s">
        <v>274</v>
      </c>
      <c r="H473" s="552">
        <f>Speed!AX146</f>
        <v>55.899999999999565</v>
      </c>
      <c r="I473" s="552">
        <f>Speed!AY146</f>
        <v>55.899999999999565</v>
      </c>
      <c r="J473" s="552">
        <f>Speed!AZ146</f>
        <v>55.89999999999943</v>
      </c>
      <c r="K473" s="552">
        <f>Speed!BA146</f>
        <v>55.899999999999217</v>
      </c>
      <c r="L473" s="552">
        <f>Speed!BB146</f>
        <v>55.899999999998855</v>
      </c>
      <c r="M473" s="552">
        <f>Speed!BC146</f>
        <v>55.89999999999835</v>
      </c>
      <c r="N473" s="552">
        <f>Speed!BD146</f>
        <v>55.89999999999764</v>
      </c>
      <c r="O473" s="552">
        <f>Speed!BE146</f>
        <v>55.899999999996687</v>
      </c>
      <c r="P473" s="552">
        <f>Speed!BF146</f>
        <v>55.89999999999538</v>
      </c>
      <c r="Q473" s="552">
        <f>Speed!BG146</f>
        <v>55.899999999993369</v>
      </c>
      <c r="R473" s="552">
        <f>Speed!BH146</f>
        <v>55.899999999990605</v>
      </c>
      <c r="S473" s="552">
        <f>Speed!BI146</f>
        <v>55.899999999986832</v>
      </c>
      <c r="T473" s="552">
        <f>Speed!BJ146</f>
        <v>55.899999999981752</v>
      </c>
      <c r="U473" s="552">
        <f>Speed!BK146</f>
        <v>55.899999999974973</v>
      </c>
      <c r="V473" s="552">
        <f>Speed!BL146</f>
        <v>55.899999999967925</v>
      </c>
      <c r="W473" s="552">
        <f>Speed!BM146</f>
        <v>55.899999999961494</v>
      </c>
      <c r="X473" s="552">
        <f>Speed!BN146</f>
        <v>55.899999999953934</v>
      </c>
      <c r="Y473" s="552">
        <f>Speed!BO146</f>
        <v>55.899999999945059</v>
      </c>
      <c r="Z473" s="552">
        <f>Speed!BP146</f>
        <v>55.899999999934671</v>
      </c>
      <c r="AA473" s="552">
        <f>Speed!BQ146</f>
        <v>55.899999999922549</v>
      </c>
      <c r="AB473" s="552">
        <f>Speed!BR146</f>
        <v>55.899999999908445</v>
      </c>
      <c r="AC473" s="552">
        <f>Speed!BS146</f>
        <v>55.899999999892046</v>
      </c>
      <c r="AD473" s="552">
        <f>Speed!BT146</f>
        <v>55.899999999873067</v>
      </c>
      <c r="AE473" s="552">
        <f>Speed!BU146</f>
        <v>55.899999999851147</v>
      </c>
      <c r="AF473" s="552">
        <f>Speed!BV146</f>
        <v>55.899999999825866</v>
      </c>
      <c r="AG473" s="700">
        <f>Speed!BW146</f>
        <v>55.899999999796783</v>
      </c>
      <c r="AH473" s="18"/>
      <c r="AI473" s="18"/>
      <c r="AJ473" s="18"/>
      <c r="AK473" s="18"/>
      <c r="AL473" s="18"/>
      <c r="AM473" s="18"/>
      <c r="AN473" s="18"/>
    </row>
    <row r="474" spans="2:40" ht="21.9" customHeight="1" thickBot="1" x14ac:dyDescent="0.3">
      <c r="B474" s="681"/>
      <c r="C474" s="122"/>
      <c r="D474" s="122"/>
      <c r="E474" s="274"/>
      <c r="F474" s="274" t="s">
        <v>274</v>
      </c>
      <c r="G474" s="274" t="s">
        <v>317</v>
      </c>
      <c r="H474" s="710">
        <f>Speed!AX147</f>
        <v>55.299999999286285</v>
      </c>
      <c r="I474" s="710">
        <f>Speed!AY147</f>
        <v>55.299999999286285</v>
      </c>
      <c r="J474" s="710">
        <f>Speed!AZ147</f>
        <v>55.29999999905602</v>
      </c>
      <c r="K474" s="710">
        <f>Speed!BA147</f>
        <v>55.299999998713766</v>
      </c>
      <c r="L474" s="710">
        <f>Speed!BB147</f>
        <v>55.299999998115652</v>
      </c>
      <c r="M474" s="710">
        <f>Speed!BC147</f>
        <v>55.299999997277581</v>
      </c>
      <c r="N474" s="710">
        <f>Speed!BD147</f>
        <v>55.299999996118046</v>
      </c>
      <c r="O474" s="710">
        <f>Speed!BE147</f>
        <v>55.299999994531809</v>
      </c>
      <c r="P474" s="710">
        <f>Speed!BF147</f>
        <v>55.299999992383867</v>
      </c>
      <c r="Q474" s="710">
        <f>Speed!BG147</f>
        <v>55.299999989064801</v>
      </c>
      <c r="R474" s="710">
        <f>Speed!BH147</f>
        <v>55.299999984496544</v>
      </c>
      <c r="S474" s="710">
        <f>Speed!BI147</f>
        <v>55.299999978277938</v>
      </c>
      <c r="T474" s="710">
        <f>Speed!BJ147</f>
        <v>55.299999969896689</v>
      </c>
      <c r="U474" s="710">
        <f>Speed!BK147</f>
        <v>55.299999958707311</v>
      </c>
      <c r="V474" s="710">
        <f>Speed!BL147</f>
        <v>55.299999947078511</v>
      </c>
      <c r="W474" s="710">
        <f>Speed!BM147</f>
        <v>55.299999936471977</v>
      </c>
      <c r="X474" s="710">
        <f>Speed!BN147</f>
        <v>55.299999923989162</v>
      </c>
      <c r="Y474" s="710">
        <f>Speed!BO147</f>
        <v>55.299999909340663</v>
      </c>
      <c r="Z474" s="710">
        <f>Speed!BP147</f>
        <v>55.299999892204113</v>
      </c>
      <c r="AA474" s="710">
        <f>Speed!BQ147</f>
        <v>55.299999872199152</v>
      </c>
      <c r="AB474" s="710">
        <f>Speed!BR147</f>
        <v>55.299999848920152</v>
      </c>
      <c r="AC474" s="710">
        <f>Speed!BS147</f>
        <v>55.299999821883517</v>
      </c>
      <c r="AD474" s="710">
        <f>Speed!BT147</f>
        <v>55.299999790567696</v>
      </c>
      <c r="AE474" s="710">
        <f>Speed!BU147</f>
        <v>55.299999754392317</v>
      </c>
      <c r="AF474" s="710">
        <f>Speed!BV147</f>
        <v>55.299999712674101</v>
      </c>
      <c r="AG474" s="711">
        <f>Speed!BW147</f>
        <v>55.29999966468327</v>
      </c>
      <c r="AH474" s="18"/>
      <c r="AI474" s="18"/>
      <c r="AJ474" s="18"/>
      <c r="AK474" s="18"/>
      <c r="AL474" s="18"/>
      <c r="AM474" s="18"/>
      <c r="AN474" s="18"/>
    </row>
    <row r="475" spans="2:40" ht="21.9" customHeight="1" x14ac:dyDescent="0.25">
      <c r="B475" s="179" t="s">
        <v>210</v>
      </c>
      <c r="C475" s="114" t="s">
        <v>156</v>
      </c>
      <c r="D475" s="237" t="s">
        <v>441</v>
      </c>
      <c r="E475" s="1325" t="s">
        <v>315</v>
      </c>
      <c r="F475" s="217" t="s">
        <v>316</v>
      </c>
      <c r="G475" s="217" t="s">
        <v>276</v>
      </c>
      <c r="H475" s="701">
        <f t="shared" ref="H475:AG475" si="195">H391/H435</f>
        <v>2535.1835655309692</v>
      </c>
      <c r="I475" s="701">
        <f t="shared" si="195"/>
        <v>2650.4718946422663</v>
      </c>
      <c r="J475" s="701">
        <f t="shared" si="195"/>
        <v>2812.9116420599016</v>
      </c>
      <c r="K475" s="701">
        <f t="shared" si="195"/>
        <v>3051.8878760478001</v>
      </c>
      <c r="L475" s="701">
        <f t="shared" si="195"/>
        <v>3291.0319653575116</v>
      </c>
      <c r="M475" s="701">
        <f t="shared" si="195"/>
        <v>3530.3343046347404</v>
      </c>
      <c r="N475" s="701">
        <f t="shared" si="195"/>
        <v>3769.8454142589981</v>
      </c>
      <c r="O475" s="701">
        <f t="shared" si="195"/>
        <v>4010.0638109263164</v>
      </c>
      <c r="P475" s="701">
        <f t="shared" si="195"/>
        <v>4248.3460226809611</v>
      </c>
      <c r="Q475" s="701">
        <f t="shared" si="195"/>
        <v>4488.1834303936266</v>
      </c>
      <c r="R475" s="701">
        <f t="shared" si="195"/>
        <v>4730.421854152195</v>
      </c>
      <c r="S475" s="701">
        <f t="shared" si="195"/>
        <v>4976.5432220200692</v>
      </c>
      <c r="T475" s="701">
        <f t="shared" si="195"/>
        <v>5228.8735239931648</v>
      </c>
      <c r="U475" s="701">
        <f t="shared" si="195"/>
        <v>5404.2294793925739</v>
      </c>
      <c r="V475" s="701">
        <f t="shared" si="195"/>
        <v>5534.1288021617056</v>
      </c>
      <c r="W475" s="701">
        <f t="shared" si="195"/>
        <v>5667.4610011748618</v>
      </c>
      <c r="X475" s="701">
        <f t="shared" si="195"/>
        <v>5804.9352397584225</v>
      </c>
      <c r="Y475" s="701">
        <f t="shared" si="195"/>
        <v>5947.4379577368627</v>
      </c>
      <c r="Z475" s="701">
        <f t="shared" si="195"/>
        <v>6095.8550394000449</v>
      </c>
      <c r="AA475" s="701">
        <f t="shared" si="195"/>
        <v>6251.4419384837865</v>
      </c>
      <c r="AB475" s="701">
        <f t="shared" si="195"/>
        <v>6415.4387584900833</v>
      </c>
      <c r="AC475" s="701">
        <f t="shared" si="195"/>
        <v>6589.4662617928807</v>
      </c>
      <c r="AD475" s="701">
        <f t="shared" si="195"/>
        <v>6775.4125540870837</v>
      </c>
      <c r="AE475" s="701">
        <f t="shared" si="195"/>
        <v>6975.2609738995479</v>
      </c>
      <c r="AF475" s="701">
        <f t="shared" si="195"/>
        <v>7191.5114533398464</v>
      </c>
      <c r="AG475" s="702">
        <f t="shared" si="195"/>
        <v>7427.0581292210791</v>
      </c>
      <c r="AH475" s="18"/>
      <c r="AI475" s="18"/>
      <c r="AJ475" s="18"/>
      <c r="AK475" s="18"/>
      <c r="AL475" s="18"/>
      <c r="AM475" s="18"/>
      <c r="AN475" s="18"/>
    </row>
    <row r="476" spans="2:40" ht="21.9" customHeight="1" x14ac:dyDescent="0.25">
      <c r="B476" s="680" t="s">
        <v>450</v>
      </c>
      <c r="C476" s="690"/>
      <c r="D476" s="690"/>
      <c r="E476" s="1327"/>
      <c r="F476" s="114" t="s">
        <v>276</v>
      </c>
      <c r="G476" s="114" t="s">
        <v>274</v>
      </c>
      <c r="H476" s="552">
        <f t="shared" ref="H476:AG476" si="196">H392/H436</f>
        <v>81519.328148490531</v>
      </c>
      <c r="I476" s="552">
        <f t="shared" si="196"/>
        <v>85822.403418424146</v>
      </c>
      <c r="J476" s="552">
        <f t="shared" si="196"/>
        <v>92281.936127633162</v>
      </c>
      <c r="K476" s="552">
        <f t="shared" si="196"/>
        <v>102954.51500075955</v>
      </c>
      <c r="L476" s="552">
        <f t="shared" si="196"/>
        <v>113633.37378546105</v>
      </c>
      <c r="M476" s="552">
        <f t="shared" si="196"/>
        <v>124315.11044833162</v>
      </c>
      <c r="N476" s="552">
        <f t="shared" si="196"/>
        <v>135000.35896262687</v>
      </c>
      <c r="O476" s="552">
        <f t="shared" si="196"/>
        <v>145711.44429553667</v>
      </c>
      <c r="P476" s="552">
        <f t="shared" si="196"/>
        <v>156550.0148566064</v>
      </c>
      <c r="Q476" s="552">
        <f t="shared" si="196"/>
        <v>167453.79559843818</v>
      </c>
      <c r="R476" s="552">
        <f t="shared" si="196"/>
        <v>178465.61947977464</v>
      </c>
      <c r="S476" s="552">
        <f t="shared" si="196"/>
        <v>189672.82798690823</v>
      </c>
      <c r="T476" s="552">
        <f t="shared" si="196"/>
        <v>201221.41164219225</v>
      </c>
      <c r="U476" s="552">
        <f t="shared" si="196"/>
        <v>208492.90180730441</v>
      </c>
      <c r="V476" s="552">
        <f t="shared" si="196"/>
        <v>213403.31472881467</v>
      </c>
      <c r="W476" s="552">
        <f t="shared" si="196"/>
        <v>218451.51258143611</v>
      </c>
      <c r="X476" s="552">
        <f t="shared" si="196"/>
        <v>223665.01477497275</v>
      </c>
      <c r="Y476" s="552">
        <f t="shared" si="196"/>
        <v>229079.22224501459</v>
      </c>
      <c r="Z476" s="552">
        <f t="shared" si="196"/>
        <v>234725.87453260162</v>
      </c>
      <c r="AA476" s="552">
        <f t="shared" si="196"/>
        <v>240655.45801481543</v>
      </c>
      <c r="AB476" s="552">
        <f t="shared" si="196"/>
        <v>246912.633399507</v>
      </c>
      <c r="AC476" s="552">
        <f t="shared" si="196"/>
        <v>253560.1379607688</v>
      </c>
      <c r="AD476" s="552">
        <f t="shared" si="196"/>
        <v>260670.92491111581</v>
      </c>
      <c r="AE476" s="552">
        <f t="shared" si="196"/>
        <v>268316.45953292755</v>
      </c>
      <c r="AF476" s="552">
        <f t="shared" si="196"/>
        <v>276591.98579887336</v>
      </c>
      <c r="AG476" s="700">
        <f t="shared" si="196"/>
        <v>285607.71393298305</v>
      </c>
      <c r="AH476" s="18"/>
      <c r="AI476" s="18"/>
      <c r="AJ476" s="18"/>
      <c r="AK476" s="18"/>
      <c r="AL476" s="18"/>
      <c r="AM476" s="18"/>
      <c r="AN476" s="18"/>
    </row>
    <row r="477" spans="2:40" ht="21.9" customHeight="1" x14ac:dyDescent="0.25">
      <c r="B477" s="680"/>
      <c r="C477" s="690"/>
      <c r="D477" s="690"/>
      <c r="E477" s="1327"/>
      <c r="F477" s="114" t="s">
        <v>274</v>
      </c>
      <c r="G477" s="114" t="s">
        <v>317</v>
      </c>
      <c r="H477" s="552">
        <f t="shared" ref="H477:AG477" si="197">H393/H437</f>
        <v>1902.0249390293691</v>
      </c>
      <c r="I477" s="552">
        <f t="shared" si="197"/>
        <v>1981.791816501953</v>
      </c>
      <c r="J477" s="552">
        <f t="shared" si="197"/>
        <v>2080.7766942105904</v>
      </c>
      <c r="K477" s="552">
        <f t="shared" si="197"/>
        <v>2214.7633691246724</v>
      </c>
      <c r="L477" s="552">
        <f t="shared" si="197"/>
        <v>2350.1727372488722</v>
      </c>
      <c r="M477" s="552">
        <f t="shared" si="197"/>
        <v>2487.8796511176079</v>
      </c>
      <c r="N477" s="552">
        <f t="shared" si="197"/>
        <v>2629.3376934880098</v>
      </c>
      <c r="O477" s="552">
        <f t="shared" si="197"/>
        <v>2776.9394039069421</v>
      </c>
      <c r="P477" s="552">
        <f t="shared" si="197"/>
        <v>2928.8921573976509</v>
      </c>
      <c r="Q477" s="552">
        <f t="shared" si="197"/>
        <v>3094.234389808888</v>
      </c>
      <c r="R477" s="552">
        <f t="shared" si="197"/>
        <v>3279.2544863540779</v>
      </c>
      <c r="S477" s="552">
        <f t="shared" si="197"/>
        <v>3493.0277060943818</v>
      </c>
      <c r="T477" s="552">
        <f t="shared" si="197"/>
        <v>3748.2719613170939</v>
      </c>
      <c r="U477" s="552">
        <f t="shared" si="197"/>
        <v>3971.5855487893909</v>
      </c>
      <c r="V477" s="552">
        <f t="shared" si="197"/>
        <v>4190.5910918985965</v>
      </c>
      <c r="W477" s="552">
        <f t="shared" si="197"/>
        <v>4444.5106589875822</v>
      </c>
      <c r="X477" s="552">
        <f t="shared" si="197"/>
        <v>4741.0154664634183</v>
      </c>
      <c r="Y477" s="552">
        <f t="shared" si="197"/>
        <v>5089.3907659680544</v>
      </c>
      <c r="Z477" s="552">
        <f t="shared" si="197"/>
        <v>5500.1991596777616</v>
      </c>
      <c r="AA477" s="552">
        <f t="shared" si="197"/>
        <v>5986.5904760114408</v>
      </c>
      <c r="AB477" s="552">
        <f t="shared" si="197"/>
        <v>6563.2740117488556</v>
      </c>
      <c r="AC477" s="552">
        <f t="shared" si="197"/>
        <v>7248.1497517863108</v>
      </c>
      <c r="AD477" s="552">
        <f t="shared" si="197"/>
        <v>8062.3146369124106</v>
      </c>
      <c r="AE477" s="552">
        <f t="shared" si="197"/>
        <v>9029.3340334948134</v>
      </c>
      <c r="AF477" s="552">
        <f t="shared" si="197"/>
        <v>10177.672039591402</v>
      </c>
      <c r="AG477" s="700">
        <f t="shared" si="197"/>
        <v>11540.600642001584</v>
      </c>
      <c r="AH477" s="18"/>
      <c r="AI477" s="18"/>
      <c r="AJ477" s="18"/>
      <c r="AK477" s="18"/>
      <c r="AL477" s="18"/>
      <c r="AM477" s="18"/>
      <c r="AN477" s="18"/>
    </row>
    <row r="478" spans="2:40" ht="21.9" customHeight="1" x14ac:dyDescent="0.25">
      <c r="B478" s="680"/>
      <c r="C478" s="690"/>
      <c r="D478" s="690"/>
      <c r="E478" s="1325" t="s">
        <v>274</v>
      </c>
      <c r="F478" s="217" t="s">
        <v>275</v>
      </c>
      <c r="G478" s="217" t="s">
        <v>318</v>
      </c>
      <c r="H478" s="558">
        <f t="shared" ref="H478:AG478" si="198">H394/H438</f>
        <v>21570.420869957255</v>
      </c>
      <c r="I478" s="558">
        <f t="shared" si="198"/>
        <v>23752.376793757605</v>
      </c>
      <c r="J478" s="558">
        <f t="shared" si="198"/>
        <v>28630.635333213912</v>
      </c>
      <c r="K478" s="558">
        <f t="shared" si="198"/>
        <v>38428.999229357476</v>
      </c>
      <c r="L478" s="558">
        <f t="shared" si="198"/>
        <v>48233.405141977062</v>
      </c>
      <c r="M478" s="558">
        <f t="shared" si="198"/>
        <v>58036.748249887343</v>
      </c>
      <c r="N478" s="558">
        <f t="shared" si="198"/>
        <v>67835.20760848737</v>
      </c>
      <c r="O478" s="558">
        <f t="shared" si="198"/>
        <v>77646.049499744389</v>
      </c>
      <c r="P478" s="558">
        <f t="shared" si="198"/>
        <v>87273.845764380167</v>
      </c>
      <c r="Q478" s="558">
        <f t="shared" si="198"/>
        <v>96909.178950910573</v>
      </c>
      <c r="R478" s="558">
        <f t="shared" si="198"/>
        <v>106546.44303782762</v>
      </c>
      <c r="S478" s="558">
        <f t="shared" si="198"/>
        <v>116199.4633380915</v>
      </c>
      <c r="T478" s="558">
        <f t="shared" si="198"/>
        <v>125898.73674846359</v>
      </c>
      <c r="U478" s="558">
        <f t="shared" si="198"/>
        <v>130650.75259178766</v>
      </c>
      <c r="V478" s="558">
        <f t="shared" si="198"/>
        <v>132863.87349600313</v>
      </c>
      <c r="W478" s="558">
        <f t="shared" si="198"/>
        <v>135082.56411517318</v>
      </c>
      <c r="X478" s="558">
        <f t="shared" si="198"/>
        <v>137307.70485348269</v>
      </c>
      <c r="Y478" s="558">
        <f t="shared" si="198"/>
        <v>139543.72500728103</v>
      </c>
      <c r="Z478" s="558">
        <f t="shared" si="198"/>
        <v>141784.92217383435</v>
      </c>
      <c r="AA478" s="558">
        <f t="shared" si="198"/>
        <v>144039.45928960087</v>
      </c>
      <c r="AB478" s="558">
        <f t="shared" si="198"/>
        <v>146301.89937813865</v>
      </c>
      <c r="AC478" s="558">
        <f t="shared" si="198"/>
        <v>148577.33248929196</v>
      </c>
      <c r="AD478" s="558">
        <f t="shared" si="198"/>
        <v>150871.13872604922</v>
      </c>
      <c r="AE478" s="558">
        <f t="shared" si="198"/>
        <v>153178.39295964342</v>
      </c>
      <c r="AF478" s="558">
        <f t="shared" si="198"/>
        <v>155504.9416987352</v>
      </c>
      <c r="AG478" s="703">
        <f t="shared" si="198"/>
        <v>157857.03588492706</v>
      </c>
      <c r="AH478" s="18"/>
      <c r="AI478" s="18"/>
      <c r="AJ478" s="18"/>
      <c r="AK478" s="18"/>
      <c r="AL478" s="18"/>
      <c r="AM478" s="18"/>
      <c r="AN478" s="18"/>
    </row>
    <row r="479" spans="2:40" ht="21.9" customHeight="1" x14ac:dyDescent="0.25">
      <c r="B479" s="680"/>
      <c r="C479" s="690"/>
      <c r="D479" s="690"/>
      <c r="E479" s="1327"/>
      <c r="F479" s="114" t="s">
        <v>318</v>
      </c>
      <c r="G479" s="114" t="s">
        <v>308</v>
      </c>
      <c r="H479" s="552">
        <f t="shared" ref="H479:AG479" si="199">H395/H439</f>
        <v>2902.3081039318445</v>
      </c>
      <c r="I479" s="552">
        <f t="shared" si="199"/>
        <v>3177.8662772054968</v>
      </c>
      <c r="J479" s="552">
        <f t="shared" si="199"/>
        <v>3568.7936603785461</v>
      </c>
      <c r="K479" s="552">
        <f t="shared" si="199"/>
        <v>4205.9548997080692</v>
      </c>
      <c r="L479" s="552">
        <f t="shared" si="199"/>
        <v>4844.1749968439162</v>
      </c>
      <c r="M479" s="552">
        <f t="shared" si="199"/>
        <v>5485.4395500307874</v>
      </c>
      <c r="N479" s="552">
        <f t="shared" si="199"/>
        <v>6135.3235998365135</v>
      </c>
      <c r="O479" s="552">
        <f t="shared" si="199"/>
        <v>6809.4664973977297</v>
      </c>
      <c r="P479" s="552">
        <f t="shared" si="199"/>
        <v>7648.8694373070421</v>
      </c>
      <c r="Q479" s="552">
        <f t="shared" si="199"/>
        <v>8673.7002990772598</v>
      </c>
      <c r="R479" s="552">
        <f t="shared" si="199"/>
        <v>10119.525940453137</v>
      </c>
      <c r="S479" s="552">
        <f t="shared" si="199"/>
        <v>12462.421118317743</v>
      </c>
      <c r="T479" s="552">
        <f t="shared" si="199"/>
        <v>16611.726516990955</v>
      </c>
      <c r="U479" s="552">
        <f t="shared" si="199"/>
        <v>21090.526712406929</v>
      </c>
      <c r="V479" s="552">
        <f t="shared" si="199"/>
        <v>24611.856266820665</v>
      </c>
      <c r="W479" s="552">
        <f t="shared" si="199"/>
        <v>29043.918810202049</v>
      </c>
      <c r="X479" s="552">
        <f t="shared" si="199"/>
        <v>34610.591259202643</v>
      </c>
      <c r="Y479" s="552">
        <f t="shared" si="199"/>
        <v>41592.280658477779</v>
      </c>
      <c r="Z479" s="552">
        <f t="shared" si="199"/>
        <v>50301.250717248833</v>
      </c>
      <c r="AA479" s="552">
        <f t="shared" si="199"/>
        <v>61152.531471072951</v>
      </c>
      <c r="AB479" s="552">
        <f t="shared" si="199"/>
        <v>63314.281159999999</v>
      </c>
      <c r="AC479" s="552">
        <f t="shared" si="199"/>
        <v>64678.251119999994</v>
      </c>
      <c r="AD479" s="552">
        <f t="shared" si="199"/>
        <v>66043.777440000005</v>
      </c>
      <c r="AE479" s="552">
        <f t="shared" si="199"/>
        <v>67407.747399999993</v>
      </c>
      <c r="AF479" s="552">
        <f t="shared" si="199"/>
        <v>68771.717359999995</v>
      </c>
      <c r="AG479" s="700">
        <f t="shared" si="199"/>
        <v>70137.243679999985</v>
      </c>
      <c r="AH479" s="18"/>
      <c r="AI479" s="18"/>
      <c r="AJ479" s="18"/>
      <c r="AK479" s="18"/>
      <c r="AL479" s="18"/>
      <c r="AM479" s="18"/>
      <c r="AN479" s="18"/>
    </row>
    <row r="480" spans="2:40" ht="21.9" customHeight="1" x14ac:dyDescent="0.25">
      <c r="B480" s="680"/>
      <c r="C480" s="690"/>
      <c r="D480" s="690"/>
      <c r="E480" s="1339"/>
      <c r="F480" s="250" t="s">
        <v>308</v>
      </c>
      <c r="G480" s="250" t="s">
        <v>319</v>
      </c>
      <c r="H480" s="562">
        <f t="shared" ref="H480:AG480" si="200">H396/H440</f>
        <v>41642.382214759615</v>
      </c>
      <c r="I480" s="562">
        <f t="shared" si="200"/>
        <v>43031.801251957237</v>
      </c>
      <c r="J480" s="562">
        <f t="shared" si="200"/>
        <v>45147.819024983102</v>
      </c>
      <c r="K480" s="562">
        <f t="shared" si="200"/>
        <v>48503.654678090701</v>
      </c>
      <c r="L480" s="562">
        <f t="shared" si="200"/>
        <v>52545.777347388503</v>
      </c>
      <c r="M480" s="562">
        <f t="shared" si="200"/>
        <v>57647.258970404218</v>
      </c>
      <c r="N480" s="562">
        <f t="shared" si="200"/>
        <v>64353.088222593564</v>
      </c>
      <c r="O480" s="562">
        <f t="shared" si="200"/>
        <v>73457.880823385087</v>
      </c>
      <c r="P480" s="562">
        <f t="shared" si="200"/>
        <v>86209.443379642442</v>
      </c>
      <c r="Q480" s="562">
        <f t="shared" si="200"/>
        <v>104136.60266449235</v>
      </c>
      <c r="R480" s="562">
        <f t="shared" si="200"/>
        <v>129427.84421801112</v>
      </c>
      <c r="S480" s="562">
        <f t="shared" si="200"/>
        <v>165090.12146958063</v>
      </c>
      <c r="T480" s="562">
        <f t="shared" si="200"/>
        <v>215205.79567566823</v>
      </c>
      <c r="U480" s="562">
        <f t="shared" si="200"/>
        <v>262767.71011138213</v>
      </c>
      <c r="V480" s="562">
        <f t="shared" si="200"/>
        <v>302878.1650741527</v>
      </c>
      <c r="W480" s="562">
        <f t="shared" si="200"/>
        <v>332560.61040000001</v>
      </c>
      <c r="X480" s="562">
        <f t="shared" si="200"/>
        <v>337951.5253792</v>
      </c>
      <c r="Y480" s="562">
        <f t="shared" si="200"/>
        <v>343345.00715520006</v>
      </c>
      <c r="Z480" s="562">
        <f t="shared" si="200"/>
        <v>348735.92213440005</v>
      </c>
      <c r="AA480" s="562">
        <f t="shared" si="200"/>
        <v>354129.40391040005</v>
      </c>
      <c r="AB480" s="562">
        <f t="shared" si="200"/>
        <v>359520.31888960005</v>
      </c>
      <c r="AC480" s="562">
        <f t="shared" si="200"/>
        <v>364911.23386880005</v>
      </c>
      <c r="AD480" s="562">
        <f t="shared" si="200"/>
        <v>370304.71564479999</v>
      </c>
      <c r="AE480" s="562">
        <f t="shared" si="200"/>
        <v>375695.63062399992</v>
      </c>
      <c r="AF480" s="562">
        <f t="shared" si="200"/>
        <v>381086.54560320004</v>
      </c>
      <c r="AG480" s="704">
        <f t="shared" si="200"/>
        <v>386480.02737920004</v>
      </c>
      <c r="AH480" s="18"/>
      <c r="AI480" s="18"/>
      <c r="AJ480" s="18"/>
      <c r="AK480" s="18"/>
      <c r="AL480" s="18"/>
      <c r="AM480" s="18"/>
      <c r="AN480" s="18"/>
    </row>
    <row r="481" spans="1:40" ht="21.9" customHeight="1" x14ac:dyDescent="0.25">
      <c r="B481" s="680"/>
      <c r="C481" s="690"/>
      <c r="D481" s="690"/>
      <c r="E481" s="114" t="s">
        <v>320</v>
      </c>
      <c r="F481" s="114" t="s">
        <v>318</v>
      </c>
      <c r="G481" s="114" t="s">
        <v>308</v>
      </c>
      <c r="H481" s="552">
        <f t="shared" ref="H481:AG481" si="201">H397/H441</f>
        <v>130.25092592592591</v>
      </c>
      <c r="I481" s="552">
        <f t="shared" si="201"/>
        <v>540.99722083333324</v>
      </c>
      <c r="J481" s="552">
        <f t="shared" si="201"/>
        <v>4826.3829348054733</v>
      </c>
      <c r="K481" s="552">
        <f t="shared" si="201"/>
        <v>11415.582979952778</v>
      </c>
      <c r="L481" s="552">
        <f t="shared" si="201"/>
        <v>18009.632479251424</v>
      </c>
      <c r="M481" s="552">
        <f t="shared" si="201"/>
        <v>24605.776145887208</v>
      </c>
      <c r="N481" s="552">
        <f t="shared" si="201"/>
        <v>31258.298209669469</v>
      </c>
      <c r="O481" s="552">
        <f t="shared" si="201"/>
        <v>38352.454236485915</v>
      </c>
      <c r="P481" s="552">
        <f t="shared" si="201"/>
        <v>41716.934110474125</v>
      </c>
      <c r="Q481" s="552">
        <f t="shared" si="201"/>
        <v>45700.798019857139</v>
      </c>
      <c r="R481" s="552">
        <f t="shared" si="201"/>
        <v>50786.921214165915</v>
      </c>
      <c r="S481" s="552">
        <f t="shared" si="201"/>
        <v>57773.641064222487</v>
      </c>
      <c r="T481" s="552">
        <f t="shared" si="201"/>
        <v>67974.271242960283</v>
      </c>
      <c r="U481" s="552">
        <f t="shared" si="201"/>
        <v>69903.332840432427</v>
      </c>
      <c r="V481" s="552">
        <f t="shared" si="201"/>
        <v>71957.694422926827</v>
      </c>
      <c r="W481" s="552">
        <f t="shared" si="201"/>
        <v>74146.586853770568</v>
      </c>
      <c r="X481" s="552">
        <f t="shared" si="201"/>
        <v>76479.840606804777</v>
      </c>
      <c r="Y481" s="552">
        <f t="shared" si="201"/>
        <v>78986.254465637554</v>
      </c>
      <c r="Z481" s="552">
        <f t="shared" si="201"/>
        <v>81641.517159459108</v>
      </c>
      <c r="AA481" s="552">
        <f t="shared" si="201"/>
        <v>84483.943842985405</v>
      </c>
      <c r="AB481" s="552">
        <f t="shared" si="201"/>
        <v>87508.187882810962</v>
      </c>
      <c r="AC481" s="552">
        <f t="shared" si="201"/>
        <v>90736.323168379313</v>
      </c>
      <c r="AD481" s="552">
        <f t="shared" si="201"/>
        <v>94207.963533670758</v>
      </c>
      <c r="AE481" s="552">
        <f t="shared" si="201"/>
        <v>97889.09214400698</v>
      </c>
      <c r="AF481" s="552">
        <f t="shared" si="201"/>
        <v>101819.51313980072</v>
      </c>
      <c r="AG481" s="700">
        <f t="shared" si="201"/>
        <v>106029.95108306925</v>
      </c>
      <c r="AH481" s="18"/>
      <c r="AI481" s="18"/>
      <c r="AJ481" s="18"/>
      <c r="AK481" s="18"/>
      <c r="AL481" s="18"/>
      <c r="AM481" s="18"/>
      <c r="AN481" s="18"/>
    </row>
    <row r="482" spans="1:40" ht="21.9" customHeight="1" x14ac:dyDescent="0.25">
      <c r="B482" s="680"/>
      <c r="C482" s="690"/>
      <c r="D482" s="690"/>
      <c r="E482" s="1325" t="s">
        <v>308</v>
      </c>
      <c r="F482" s="217" t="s">
        <v>276</v>
      </c>
      <c r="G482" s="217" t="s">
        <v>320</v>
      </c>
      <c r="H482" s="558">
        <f t="shared" ref="H482:AG482" si="202">H398/H442</f>
        <v>393.24087591240874</v>
      </c>
      <c r="I482" s="558">
        <f t="shared" si="202"/>
        <v>873.97784671532838</v>
      </c>
      <c r="J482" s="558">
        <f t="shared" si="202"/>
        <v>3693.9081678832117</v>
      </c>
      <c r="K482" s="558">
        <f t="shared" si="202"/>
        <v>8303.6743357675514</v>
      </c>
      <c r="L482" s="558">
        <f t="shared" si="202"/>
        <v>12915.996569488536</v>
      </c>
      <c r="M482" s="558">
        <f t="shared" si="202"/>
        <v>17528.515427541301</v>
      </c>
      <c r="N482" s="558">
        <f t="shared" si="202"/>
        <v>22138.281645809242</v>
      </c>
      <c r="O482" s="558">
        <f t="shared" si="202"/>
        <v>26753.356948994206</v>
      </c>
      <c r="P482" s="558">
        <f t="shared" si="202"/>
        <v>30312.188168361648</v>
      </c>
      <c r="Q482" s="558">
        <f t="shared" si="202"/>
        <v>33871.612095109449</v>
      </c>
      <c r="R482" s="558">
        <f t="shared" si="202"/>
        <v>37430.453766219885</v>
      </c>
      <c r="S482" s="558">
        <f t="shared" si="202"/>
        <v>40989.313913503218</v>
      </c>
      <c r="T482" s="558">
        <f t="shared" si="202"/>
        <v>44552.934567621487</v>
      </c>
      <c r="U482" s="558">
        <f t="shared" si="202"/>
        <v>46319.239825197532</v>
      </c>
      <c r="V482" s="558">
        <f t="shared" si="202"/>
        <v>46799.998871363088</v>
      </c>
      <c r="W482" s="558">
        <f t="shared" si="202"/>
        <v>47280.76030553801</v>
      </c>
      <c r="X482" s="558">
        <f t="shared" si="202"/>
        <v>47761.524357751841</v>
      </c>
      <c r="Y482" s="558">
        <f t="shared" si="202"/>
        <v>48243.667710703572</v>
      </c>
      <c r="Z482" s="558">
        <f t="shared" si="202"/>
        <v>48724.437777865736</v>
      </c>
      <c r="AA482" s="558">
        <f t="shared" si="202"/>
        <v>49206.587729643688</v>
      </c>
      <c r="AB482" s="558">
        <f t="shared" si="202"/>
        <v>49687.364988509609</v>
      </c>
      <c r="AC482" s="558">
        <f t="shared" si="202"/>
        <v>50168.146339907151</v>
      </c>
      <c r="AD482" s="558">
        <f t="shared" si="202"/>
        <v>50650.308643952136</v>
      </c>
      <c r="AE482" s="558">
        <f t="shared" si="202"/>
        <v>51131.099335734994</v>
      </c>
      <c r="AF482" s="558">
        <f t="shared" si="202"/>
        <v>51611.89532318386</v>
      </c>
      <c r="AG482" s="703">
        <f t="shared" si="202"/>
        <v>52094.073608850616</v>
      </c>
      <c r="AH482" s="18"/>
      <c r="AI482" s="18"/>
      <c r="AJ482" s="18"/>
      <c r="AK482" s="18"/>
      <c r="AL482" s="18"/>
      <c r="AM482" s="18"/>
      <c r="AN482" s="18"/>
    </row>
    <row r="483" spans="1:40" ht="21.9" customHeight="1" x14ac:dyDescent="0.25">
      <c r="B483" s="680"/>
      <c r="C483" s="690"/>
      <c r="D483" s="690"/>
      <c r="E483" s="1327"/>
      <c r="F483" s="114" t="s">
        <v>320</v>
      </c>
      <c r="G483" s="114" t="s">
        <v>282</v>
      </c>
      <c r="H483" s="552">
        <f t="shared" ref="H483:AG483" si="203">H399/H443</f>
        <v>0</v>
      </c>
      <c r="I483" s="552">
        <f t="shared" si="203"/>
        <v>265.07347931873477</v>
      </c>
      <c r="J483" s="552">
        <f t="shared" si="203"/>
        <v>766.14391630170326</v>
      </c>
      <c r="K483" s="552">
        <f t="shared" si="203"/>
        <v>1722.2435659369737</v>
      </c>
      <c r="L483" s="552">
        <f t="shared" si="203"/>
        <v>2678.8733625605851</v>
      </c>
      <c r="M483" s="552">
        <f t="shared" si="203"/>
        <v>3635.5439405270854</v>
      </c>
      <c r="N483" s="552">
        <f t="shared" si="203"/>
        <v>4591.6436006122876</v>
      </c>
      <c r="O483" s="552">
        <f t="shared" si="203"/>
        <v>5548.8444042358351</v>
      </c>
      <c r="P483" s="552">
        <f t="shared" si="203"/>
        <v>6286.9723608453796</v>
      </c>
      <c r="Q483" s="552">
        <f t="shared" si="203"/>
        <v>7025.2232493560341</v>
      </c>
      <c r="R483" s="552">
        <f t="shared" si="203"/>
        <v>7763.353373734496</v>
      </c>
      <c r="S483" s="552">
        <f t="shared" si="203"/>
        <v>8501.4873302080759</v>
      </c>
      <c r="T483" s="552">
        <f t="shared" si="203"/>
        <v>9240.6086510622354</v>
      </c>
      <c r="U483" s="552">
        <f t="shared" si="203"/>
        <v>9606.9534452261541</v>
      </c>
      <c r="V483" s="552">
        <f t="shared" si="203"/>
        <v>9706.6664325790116</v>
      </c>
      <c r="W483" s="552">
        <f t="shared" si="203"/>
        <v>9806.3799152226984</v>
      </c>
      <c r="X483" s="552">
        <f t="shared" si="203"/>
        <v>9906.0939408670492</v>
      </c>
      <c r="Y483" s="552">
        <f t="shared" si="203"/>
        <v>10006.094043701481</v>
      </c>
      <c r="Z483" s="552">
        <f t="shared" si="203"/>
        <v>10105.809316890673</v>
      </c>
      <c r="AA483" s="552">
        <f t="shared" si="203"/>
        <v>10205.810788370543</v>
      </c>
      <c r="AB483" s="552">
        <f t="shared" si="203"/>
        <v>10305.527553172364</v>
      </c>
      <c r="AC483" s="552">
        <f t="shared" si="203"/>
        <v>10405.245166795556</v>
      </c>
      <c r="AD483" s="552">
        <f t="shared" si="203"/>
        <v>10505.24920022711</v>
      </c>
      <c r="AE483" s="552">
        <f t="shared" si="203"/>
        <v>10604.968751115406</v>
      </c>
      <c r="AF483" s="552">
        <f t="shared" si="203"/>
        <v>10704.689400364059</v>
      </c>
      <c r="AG483" s="700">
        <f t="shared" si="203"/>
        <v>10804.696748502349</v>
      </c>
      <c r="AH483" s="18"/>
      <c r="AI483" s="18"/>
      <c r="AJ483" s="18"/>
      <c r="AK483" s="18"/>
      <c r="AL483" s="18"/>
      <c r="AM483" s="18"/>
      <c r="AN483" s="18"/>
    </row>
    <row r="484" spans="1:40" ht="21.9" customHeight="1" x14ac:dyDescent="0.25">
      <c r="B484" s="680"/>
      <c r="C484" s="690"/>
      <c r="D484" s="690"/>
      <c r="E484" s="1327"/>
      <c r="F484" s="114" t="s">
        <v>282</v>
      </c>
      <c r="G484" s="114" t="s">
        <v>321</v>
      </c>
      <c r="H484" s="552">
        <f t="shared" ref="H484:AG484" si="204">H400/H444</f>
        <v>0</v>
      </c>
      <c r="I484" s="552">
        <f t="shared" si="204"/>
        <v>691.08442822384427</v>
      </c>
      <c r="J484" s="552">
        <f t="shared" si="204"/>
        <v>1997.4466389294403</v>
      </c>
      <c r="K484" s="552">
        <f t="shared" si="204"/>
        <v>4490.1350111928241</v>
      </c>
      <c r="L484" s="552">
        <f t="shared" si="204"/>
        <v>6984.2055523900972</v>
      </c>
      <c r="M484" s="552">
        <f t="shared" si="204"/>
        <v>9478.3824163741847</v>
      </c>
      <c r="N484" s="552">
        <f t="shared" si="204"/>
        <v>11971.070815882034</v>
      </c>
      <c r="O484" s="552">
        <f t="shared" si="204"/>
        <v>14466.63005390057</v>
      </c>
      <c r="P484" s="552">
        <f t="shared" si="204"/>
        <v>16391.035083632596</v>
      </c>
      <c r="Q484" s="552">
        <f t="shared" si="204"/>
        <v>18315.760614392519</v>
      </c>
      <c r="R484" s="552">
        <f t="shared" si="204"/>
        <v>20240.171295807788</v>
      </c>
      <c r="S484" s="552">
        <f t="shared" si="204"/>
        <v>22164.591968042478</v>
      </c>
      <c r="T484" s="552">
        <f t="shared" si="204"/>
        <v>24091.586840269392</v>
      </c>
      <c r="U484" s="552">
        <f t="shared" si="204"/>
        <v>25046.700053625329</v>
      </c>
      <c r="V484" s="552">
        <f t="shared" si="204"/>
        <v>25306.666056366706</v>
      </c>
      <c r="W484" s="552">
        <f t="shared" si="204"/>
        <v>25566.633350402037</v>
      </c>
      <c r="X484" s="552">
        <f t="shared" si="204"/>
        <v>25826.602060117657</v>
      </c>
      <c r="Y484" s="552">
        <f t="shared" si="204"/>
        <v>26087.316613936004</v>
      </c>
      <c r="Z484" s="552">
        <f t="shared" si="204"/>
        <v>26347.28857617925</v>
      </c>
      <c r="AA484" s="552">
        <f t="shared" si="204"/>
        <v>26608.006698251771</v>
      </c>
      <c r="AB484" s="552">
        <f t="shared" si="204"/>
        <v>26867.982549342232</v>
      </c>
      <c r="AC484" s="552">
        <f t="shared" si="204"/>
        <v>27127.960613431271</v>
      </c>
      <c r="AD484" s="552">
        <f t="shared" si="204"/>
        <v>27388.685414877811</v>
      </c>
      <c r="AE484" s="552">
        <f t="shared" si="204"/>
        <v>27648.668529693736</v>
      </c>
      <c r="AF484" s="552">
        <f t="shared" si="204"/>
        <v>27908.654508092015</v>
      </c>
      <c r="AG484" s="700">
        <f t="shared" si="204"/>
        <v>28169.387951452551</v>
      </c>
      <c r="AH484" s="18"/>
      <c r="AI484" s="18"/>
      <c r="AJ484" s="18"/>
      <c r="AK484" s="18"/>
      <c r="AL484" s="18"/>
      <c r="AM484" s="18"/>
      <c r="AN484" s="18"/>
    </row>
    <row r="485" spans="1:40" ht="21.9" customHeight="1" x14ac:dyDescent="0.25">
      <c r="B485" s="680"/>
      <c r="C485" s="690"/>
      <c r="D485" s="690"/>
      <c r="E485" s="1339"/>
      <c r="F485" s="250" t="s">
        <v>321</v>
      </c>
      <c r="G485" s="250" t="s">
        <v>274</v>
      </c>
      <c r="H485" s="562">
        <f t="shared" ref="H485:AG485" si="205">H401/H445</f>
        <v>917.56204379562053</v>
      </c>
      <c r="I485" s="562">
        <f t="shared" si="205"/>
        <v>1356.0649445255474</v>
      </c>
      <c r="J485" s="562">
        <f t="shared" si="205"/>
        <v>1902.3508000000002</v>
      </c>
      <c r="K485" s="562">
        <f t="shared" si="205"/>
        <v>3072.058893430657</v>
      </c>
      <c r="L485" s="562">
        <f t="shared" si="205"/>
        <v>4241.9199138686226</v>
      </c>
      <c r="M485" s="562">
        <f t="shared" si="205"/>
        <v>5412.2703007300533</v>
      </c>
      <c r="N485" s="562">
        <f t="shared" si="205"/>
        <v>6581.9783941616643</v>
      </c>
      <c r="O485" s="562">
        <f t="shared" si="205"/>
        <v>7751.0747795685729</v>
      </c>
      <c r="P485" s="562">
        <f t="shared" si="205"/>
        <v>10098.565512528614</v>
      </c>
      <c r="Q485" s="562">
        <f t="shared" si="205"/>
        <v>12444.710488784229</v>
      </c>
      <c r="R485" s="562">
        <f t="shared" si="205"/>
        <v>14791.375422576595</v>
      </c>
      <c r="S485" s="562">
        <f t="shared" si="205"/>
        <v>17138.866187773157</v>
      </c>
      <c r="T485" s="562">
        <f t="shared" si="205"/>
        <v>19485.745337721579</v>
      </c>
      <c r="U485" s="562">
        <f t="shared" si="205"/>
        <v>21209.752916780923</v>
      </c>
      <c r="V485" s="562">
        <f t="shared" si="205"/>
        <v>21648.255923648459</v>
      </c>
      <c r="W485" s="562">
        <f t="shared" si="205"/>
        <v>22086.758954340003</v>
      </c>
      <c r="X485" s="562">
        <f t="shared" si="205"/>
        <v>22525.26201356501</v>
      </c>
      <c r="Y485" s="562">
        <f t="shared" si="205"/>
        <v>22962.449933945696</v>
      </c>
      <c r="Z485" s="562">
        <f t="shared" si="205"/>
        <v>23400.953067593709</v>
      </c>
      <c r="AA485" s="562">
        <f t="shared" si="205"/>
        <v>23838.141076046948</v>
      </c>
      <c r="AB485" s="562">
        <f t="shared" si="205"/>
        <v>24276.644314214856</v>
      </c>
      <c r="AC485" s="562">
        <f t="shared" si="205"/>
        <v>24715.1476191691</v>
      </c>
      <c r="AD485" s="562">
        <f t="shared" si="205"/>
        <v>25152.335828739142</v>
      </c>
      <c r="AE485" s="562">
        <f t="shared" si="205"/>
        <v>25590.839303757461</v>
      </c>
      <c r="AF485" s="562">
        <f t="shared" si="205"/>
        <v>26029.342886091996</v>
      </c>
      <c r="AG485" s="704">
        <f t="shared" si="205"/>
        <v>26466.531418577626</v>
      </c>
      <c r="AH485" s="18"/>
      <c r="AI485" s="18"/>
      <c r="AJ485" s="18"/>
      <c r="AK485" s="18"/>
      <c r="AL485" s="18"/>
      <c r="AM485" s="18"/>
      <c r="AN485" s="18"/>
    </row>
    <row r="486" spans="1:40" ht="21.9" customHeight="1" x14ac:dyDescent="0.25">
      <c r="B486" s="680"/>
      <c r="C486" s="690"/>
      <c r="D486" s="690"/>
      <c r="E486" s="114" t="s">
        <v>282</v>
      </c>
      <c r="F486" s="114" t="s">
        <v>308</v>
      </c>
      <c r="G486" s="114" t="s">
        <v>324</v>
      </c>
      <c r="H486" s="568">
        <f t="shared" ref="H486:AG486" si="206">H402/H446</f>
        <v>8040.8955223881894</v>
      </c>
      <c r="I486" s="568">
        <f t="shared" si="206"/>
        <v>8535.3212537315922</v>
      </c>
      <c r="J486" s="568">
        <f t="shared" si="206"/>
        <v>9189.6267910453371</v>
      </c>
      <c r="K486" s="568">
        <f t="shared" si="206"/>
        <v>10059.160298508978</v>
      </c>
      <c r="L486" s="568">
        <f t="shared" si="206"/>
        <v>10928.961835824664</v>
      </c>
      <c r="M486" s="568">
        <f t="shared" si="206"/>
        <v>11800.63958209832</v>
      </c>
      <c r="N486" s="568">
        <f t="shared" si="206"/>
        <v>12670.173089571397</v>
      </c>
      <c r="O486" s="568">
        <f t="shared" si="206"/>
        <v>13540.644701532332</v>
      </c>
      <c r="P486" s="568">
        <f t="shared" si="206"/>
        <v>14334.370432910289</v>
      </c>
      <c r="Q486" s="568">
        <f t="shared" si="206"/>
        <v>15127.426089686893</v>
      </c>
      <c r="R486" s="568">
        <f t="shared" si="206"/>
        <v>15921.196492773646</v>
      </c>
      <c r="S486" s="568">
        <f t="shared" si="206"/>
        <v>16714.92222428419</v>
      </c>
      <c r="T486" s="568">
        <f t="shared" si="206"/>
        <v>17511.462269330226</v>
      </c>
      <c r="U486" s="568">
        <f t="shared" si="206"/>
        <v>18089.334627828266</v>
      </c>
      <c r="V486" s="568">
        <f t="shared" si="206"/>
        <v>18583.76035950394</v>
      </c>
      <c r="W486" s="568">
        <f t="shared" si="206"/>
        <v>19078.186091280866</v>
      </c>
      <c r="X486" s="568">
        <f t="shared" si="206"/>
        <v>19572.611823186024</v>
      </c>
      <c r="Y486" s="568">
        <f t="shared" si="206"/>
        <v>20067.573614954948</v>
      </c>
      <c r="Z486" s="568">
        <f t="shared" si="206"/>
        <v>20561.999347223726</v>
      </c>
      <c r="AA486" s="568">
        <f t="shared" si="206"/>
        <v>21057.631214075558</v>
      </c>
      <c r="AB486" s="568">
        <f t="shared" si="206"/>
        <v>21552.056946908022</v>
      </c>
      <c r="AC486" s="568">
        <f t="shared" si="206"/>
        <v>22046.482680124336</v>
      </c>
      <c r="AD486" s="568">
        <f t="shared" si="206"/>
        <v>22541.444473515672</v>
      </c>
      <c r="AE486" s="568">
        <f t="shared" si="206"/>
        <v>23035.870207778007</v>
      </c>
      <c r="AF486" s="568">
        <f t="shared" si="206"/>
        <v>23530.295942738936</v>
      </c>
      <c r="AG486" s="705">
        <f t="shared" si="206"/>
        <v>24025.927812885915</v>
      </c>
      <c r="AH486" s="18"/>
      <c r="AI486" s="18"/>
      <c r="AJ486" s="18"/>
      <c r="AK486" s="18"/>
      <c r="AL486" s="18"/>
      <c r="AM486" s="18"/>
      <c r="AN486" s="18"/>
    </row>
    <row r="487" spans="1:40" ht="21.9" customHeight="1" x14ac:dyDescent="0.25">
      <c r="B487" s="680"/>
      <c r="C487" s="690"/>
      <c r="D487" s="690"/>
      <c r="E487" s="273" t="s">
        <v>321</v>
      </c>
      <c r="F487" s="273" t="s">
        <v>318</v>
      </c>
      <c r="G487" s="273" t="s">
        <v>308</v>
      </c>
      <c r="H487" s="552">
        <f t="shared" ref="H487:AG487" si="207">H403/H447</f>
        <v>0</v>
      </c>
      <c r="I487" s="552">
        <f t="shared" si="207"/>
        <v>8366.1973164091542</v>
      </c>
      <c r="J487" s="552">
        <f t="shared" si="207"/>
        <v>9007.5402581092003</v>
      </c>
      <c r="K487" s="552">
        <f t="shared" si="207"/>
        <v>9859.851308535619</v>
      </c>
      <c r="L487" s="552">
        <f t="shared" si="207"/>
        <v>10712.434887501844</v>
      </c>
      <c r="M487" s="552">
        <f t="shared" si="207"/>
        <v>11566.878165228198</v>
      </c>
      <c r="N487" s="552">
        <f t="shared" si="207"/>
        <v>12419.260386609971</v>
      </c>
      <c r="O487" s="552">
        <f t="shared" si="207"/>
        <v>13272.639308286098</v>
      </c>
      <c r="P487" s="552">
        <f t="shared" si="207"/>
        <v>14050.898863976396</v>
      </c>
      <c r="Q487" s="552">
        <f t="shared" si="207"/>
        <v>14828.693943614895</v>
      </c>
      <c r="R487" s="552">
        <f t="shared" si="207"/>
        <v>15607.502423311291</v>
      </c>
      <c r="S487" s="552">
        <f t="shared" si="207"/>
        <v>16386.761413011969</v>
      </c>
      <c r="T487" s="552">
        <f t="shared" si="207"/>
        <v>17169.552772815019</v>
      </c>
      <c r="U487" s="552">
        <f t="shared" si="207"/>
        <v>17738.15384669253</v>
      </c>
      <c r="V487" s="552">
        <f t="shared" si="207"/>
        <v>18225.288175522437</v>
      </c>
      <c r="W487" s="552">
        <f t="shared" si="207"/>
        <v>18713.185795889891</v>
      </c>
      <c r="X487" s="552">
        <f t="shared" si="207"/>
        <v>19202.049973655747</v>
      </c>
      <c r="Y487" s="552">
        <f t="shared" si="207"/>
        <v>19692.662860181666</v>
      </c>
      <c r="Z487" s="552">
        <f t="shared" si="207"/>
        <v>20184.268035798381</v>
      </c>
      <c r="AA487" s="552">
        <f t="shared" si="207"/>
        <v>20678.975324239975</v>
      </c>
      <c r="AB487" s="552">
        <f t="shared" si="207"/>
        <v>21174.829578269375</v>
      </c>
      <c r="AC487" s="552">
        <f t="shared" si="207"/>
        <v>21673.577272193623</v>
      </c>
      <c r="AD487" s="552">
        <f t="shared" si="207"/>
        <v>22176.419962644297</v>
      </c>
      <c r="AE487" s="552">
        <f t="shared" si="207"/>
        <v>22683.052566115144</v>
      </c>
      <c r="AF487" s="552">
        <f t="shared" si="207"/>
        <v>23194.95124198472</v>
      </c>
      <c r="AG487" s="700">
        <f t="shared" si="207"/>
        <v>23714.497483828931</v>
      </c>
      <c r="AH487" s="18"/>
      <c r="AI487" s="18"/>
      <c r="AJ487" s="18"/>
      <c r="AK487" s="18"/>
      <c r="AL487" s="18"/>
      <c r="AM487" s="18"/>
      <c r="AN487" s="18"/>
    </row>
    <row r="488" spans="1:40" ht="21.9" customHeight="1" x14ac:dyDescent="0.25">
      <c r="B488" s="680"/>
      <c r="C488" s="690"/>
      <c r="D488" s="690"/>
      <c r="E488" s="273" t="s">
        <v>333</v>
      </c>
      <c r="F488" s="273" t="s">
        <v>319</v>
      </c>
      <c r="G488" s="273" t="s">
        <v>308</v>
      </c>
      <c r="H488" s="568">
        <f t="shared" ref="H488:AG488" si="208">H404/H448</f>
        <v>12529.704261412986</v>
      </c>
      <c r="I488" s="568">
        <f t="shared" si="208"/>
        <v>12701.978251727933</v>
      </c>
      <c r="J488" s="568">
        <f t="shared" si="208"/>
        <v>12999.844928348812</v>
      </c>
      <c r="K488" s="568">
        <f t="shared" si="208"/>
        <v>13409.013037100687</v>
      </c>
      <c r="L488" s="568">
        <f t="shared" si="208"/>
        <v>13818.69729320765</v>
      </c>
      <c r="M488" s="568">
        <f t="shared" si="208"/>
        <v>14229.423707048314</v>
      </c>
      <c r="N488" s="568">
        <f t="shared" si="208"/>
        <v>14639.963065541326</v>
      </c>
      <c r="O488" s="568">
        <f t="shared" si="208"/>
        <v>15052.691346571457</v>
      </c>
      <c r="P488" s="568">
        <f t="shared" si="208"/>
        <v>15339.465368116709</v>
      </c>
      <c r="Q488" s="568">
        <f t="shared" si="208"/>
        <v>15626.824133885124</v>
      </c>
      <c r="R488" s="568">
        <f t="shared" si="208"/>
        <v>15914.866628731295</v>
      </c>
      <c r="S488" s="568">
        <f t="shared" si="208"/>
        <v>16203.601122632936</v>
      </c>
      <c r="T488" s="568">
        <f t="shared" si="208"/>
        <v>16495.291256730277</v>
      </c>
      <c r="U488" s="568">
        <f t="shared" si="208"/>
        <v>16671.17470155489</v>
      </c>
      <c r="V488" s="568">
        <f t="shared" si="208"/>
        <v>16847.479207556222</v>
      </c>
      <c r="W488" s="568">
        <f t="shared" si="208"/>
        <v>17024.245615012165</v>
      </c>
      <c r="X488" s="568">
        <f t="shared" si="208"/>
        <v>17201.51824816411</v>
      </c>
      <c r="Y488" s="568">
        <f t="shared" si="208"/>
        <v>17380.570377421638</v>
      </c>
      <c r="Z488" s="568">
        <f t="shared" si="208"/>
        <v>17559.008034393202</v>
      </c>
      <c r="AA488" s="568">
        <f t="shared" si="208"/>
        <v>17738.79863964576</v>
      </c>
      <c r="AB488" s="568">
        <f t="shared" si="208"/>
        <v>17918.626557117994</v>
      </c>
      <c r="AC488" s="568">
        <f t="shared" si="208"/>
        <v>18099.244904992185</v>
      </c>
      <c r="AD488" s="568">
        <f t="shared" si="208"/>
        <v>18281.97642218211</v>
      </c>
      <c r="AE488" s="568">
        <f t="shared" si="208"/>
        <v>18464.401881153561</v>
      </c>
      <c r="AF488" s="568">
        <f t="shared" si="208"/>
        <v>18647.849582816609</v>
      </c>
      <c r="AG488" s="705">
        <f t="shared" si="208"/>
        <v>18833.120703579792</v>
      </c>
      <c r="AH488" s="18"/>
      <c r="AI488" s="18"/>
      <c r="AJ488" s="18"/>
      <c r="AK488" s="18"/>
      <c r="AL488" s="18"/>
      <c r="AM488" s="18"/>
      <c r="AN488" s="18"/>
    </row>
    <row r="489" spans="1:40" ht="21.9" customHeight="1" x14ac:dyDescent="0.25">
      <c r="B489" s="680"/>
      <c r="C489" s="690"/>
      <c r="D489" s="690"/>
      <c r="E489" s="114" t="s">
        <v>319</v>
      </c>
      <c r="F489" s="114" t="s">
        <v>276</v>
      </c>
      <c r="G489" s="114" t="s">
        <v>333</v>
      </c>
      <c r="H489" s="552">
        <f t="shared" ref="H489:AG489" si="209">H405/H449</f>
        <v>25675.846050620508</v>
      </c>
      <c r="I489" s="552">
        <f t="shared" si="209"/>
        <v>26416.005169676595</v>
      </c>
      <c r="J489" s="552">
        <f t="shared" si="209"/>
        <v>27217.145146337516</v>
      </c>
      <c r="K489" s="552">
        <f t="shared" si="209"/>
        <v>28280.001038108145</v>
      </c>
      <c r="L489" s="552">
        <f t="shared" si="209"/>
        <v>29343.038680191261</v>
      </c>
      <c r="M489" s="552">
        <f t="shared" si="209"/>
        <v>30406.515628413323</v>
      </c>
      <c r="N489" s="552">
        <f t="shared" si="209"/>
        <v>31469.380223079683</v>
      </c>
      <c r="O489" s="552">
        <f t="shared" si="209"/>
        <v>32532.532529036373</v>
      </c>
      <c r="P489" s="552">
        <f t="shared" si="209"/>
        <v>33702.403782466354</v>
      </c>
      <c r="Q489" s="552">
        <f t="shared" si="209"/>
        <v>34871.901722336392</v>
      </c>
      <c r="R489" s="552">
        <f t="shared" si="209"/>
        <v>36041.800897595291</v>
      </c>
      <c r="S489" s="552">
        <f t="shared" si="209"/>
        <v>37211.721712497048</v>
      </c>
      <c r="T489" s="552">
        <f t="shared" si="209"/>
        <v>38382.339006043636</v>
      </c>
      <c r="U489" s="552">
        <f t="shared" si="209"/>
        <v>39290.473873695897</v>
      </c>
      <c r="V489" s="552">
        <f t="shared" si="209"/>
        <v>40030.74061481213</v>
      </c>
      <c r="W489" s="552">
        <f t="shared" si="209"/>
        <v>40771.029539939926</v>
      </c>
      <c r="X489" s="552">
        <f t="shared" si="209"/>
        <v>41511.344623938079</v>
      </c>
      <c r="Y489" s="552">
        <f t="shared" si="209"/>
        <v>42251.613413708721</v>
      </c>
      <c r="Z489" s="552">
        <f t="shared" si="209"/>
        <v>42991.995303041018</v>
      </c>
      <c r="AA489" s="552">
        <f t="shared" si="209"/>
        <v>43732.342285660881</v>
      </c>
      <c r="AB489" s="552">
        <f t="shared" si="209"/>
        <v>44472.81546814397</v>
      </c>
      <c r="AC489" s="552">
        <f t="shared" si="209"/>
        <v>45213.345808110273</v>
      </c>
      <c r="AD489" s="552">
        <f t="shared" si="209"/>
        <v>45953.865379415984</v>
      </c>
      <c r="AE489" s="552">
        <f t="shared" si="209"/>
        <v>46694.538758321352</v>
      </c>
      <c r="AF489" s="552">
        <f t="shared" si="209"/>
        <v>47435.300739731058</v>
      </c>
      <c r="AG489" s="700">
        <f t="shared" si="209"/>
        <v>48176.087684756501</v>
      </c>
      <c r="AH489" s="18"/>
      <c r="AI489" s="18"/>
      <c r="AJ489" s="18"/>
      <c r="AK489" s="18"/>
      <c r="AL489" s="18"/>
      <c r="AM489" s="18"/>
      <c r="AN489" s="18"/>
    </row>
    <row r="490" spans="1:40" ht="21.9" customHeight="1" x14ac:dyDescent="0.25">
      <c r="B490" s="680"/>
      <c r="C490" s="690"/>
      <c r="D490" s="690"/>
      <c r="E490" s="114"/>
      <c r="F490" s="114" t="s">
        <v>333</v>
      </c>
      <c r="G490" s="114" t="s">
        <v>323</v>
      </c>
      <c r="H490" s="552">
        <f t="shared" ref="H490:AG490" si="210">H406/H450</f>
        <v>3739.3436205696348</v>
      </c>
      <c r="I490" s="552">
        <f t="shared" si="210"/>
        <v>3845.4721105866734</v>
      </c>
      <c r="J490" s="552">
        <f t="shared" si="210"/>
        <v>3963.2466950640564</v>
      </c>
      <c r="K490" s="552">
        <f t="shared" si="210"/>
        <v>4128.555247218922</v>
      </c>
      <c r="L490" s="552">
        <f t="shared" si="210"/>
        <v>4293.8933425705582</v>
      </c>
      <c r="M490" s="552">
        <f t="shared" si="210"/>
        <v>4459.2659106530446</v>
      </c>
      <c r="N490" s="552">
        <f t="shared" si="210"/>
        <v>4624.5745603016785</v>
      </c>
      <c r="O490" s="552">
        <f t="shared" si="210"/>
        <v>4789.8931114372936</v>
      </c>
      <c r="P490" s="552">
        <f t="shared" si="210"/>
        <v>4975.7043760202077</v>
      </c>
      <c r="Q490" s="552">
        <f t="shared" si="210"/>
        <v>5161.4518271967954</v>
      </c>
      <c r="R490" s="552">
        <f t="shared" si="210"/>
        <v>5347.2634484111468</v>
      </c>
      <c r="S490" s="552">
        <f t="shared" si="210"/>
        <v>5533.0753546688702</v>
      </c>
      <c r="T490" s="552">
        <f t="shared" si="210"/>
        <v>5718.9171697658358</v>
      </c>
      <c r="U490" s="552">
        <f t="shared" si="210"/>
        <v>5857.2151811914491</v>
      </c>
      <c r="V490" s="552">
        <f t="shared" si="210"/>
        <v>5963.3449234835043</v>
      </c>
      <c r="W490" s="552">
        <f t="shared" si="210"/>
        <v>6069.4749125719845</v>
      </c>
      <c r="X490" s="552">
        <f t="shared" si="210"/>
        <v>6175.6051909016305</v>
      </c>
      <c r="Y490" s="552">
        <f t="shared" si="210"/>
        <v>6281.6816840209394</v>
      </c>
      <c r="Z490" s="552">
        <f t="shared" si="210"/>
        <v>6387.8126942487452</v>
      </c>
      <c r="AA490" s="552">
        <f t="shared" si="210"/>
        <v>6493.8900388729326</v>
      </c>
      <c r="AB490" s="552">
        <f t="shared" si="210"/>
        <v>6600.0220382773405</v>
      </c>
      <c r="AC490" s="552">
        <f t="shared" si="210"/>
        <v>6706.1546524032665</v>
      </c>
      <c r="AD490" s="552">
        <f t="shared" si="210"/>
        <v>6812.233851371775</v>
      </c>
      <c r="AE490" s="552">
        <f t="shared" si="210"/>
        <v>6918.3679919042497</v>
      </c>
      <c r="AF490" s="552">
        <f t="shared" si="210"/>
        <v>7024.5030715860494</v>
      </c>
      <c r="AG490" s="700">
        <f t="shared" si="210"/>
        <v>7130.5851019839674</v>
      </c>
      <c r="AH490" s="18"/>
      <c r="AI490" s="18"/>
      <c r="AJ490" s="18"/>
      <c r="AK490" s="18"/>
      <c r="AL490" s="18"/>
      <c r="AM490" s="18"/>
      <c r="AN490" s="18"/>
    </row>
    <row r="491" spans="1:40" ht="21.9" customHeight="1" x14ac:dyDescent="0.25">
      <c r="B491" s="680"/>
      <c r="C491" s="690"/>
      <c r="D491" s="690"/>
      <c r="E491" s="114"/>
      <c r="F491" s="114" t="s">
        <v>323</v>
      </c>
      <c r="G491" s="114" t="s">
        <v>322</v>
      </c>
      <c r="H491" s="552">
        <f t="shared" ref="H491:AG491" si="211">H407/H451</f>
        <v>1126.3022722112501</v>
      </c>
      <c r="I491" s="552">
        <f t="shared" si="211"/>
        <v>1158.2685204084207</v>
      </c>
      <c r="J491" s="552">
        <f t="shared" si="211"/>
        <v>1193.7426132582875</v>
      </c>
      <c r="K491" s="552">
        <f t="shared" si="211"/>
        <v>1243.5341007792501</v>
      </c>
      <c r="L491" s="552">
        <f t="shared" si="211"/>
        <v>1293.3344982394724</v>
      </c>
      <c r="M491" s="552">
        <f t="shared" si="211"/>
        <v>1343.1452952733703</v>
      </c>
      <c r="N491" s="552">
        <f t="shared" si="211"/>
        <v>1392.9368626845069</v>
      </c>
      <c r="O491" s="552">
        <f t="shared" si="211"/>
        <v>1442.7314441241042</v>
      </c>
      <c r="P491" s="552">
        <f t="shared" si="211"/>
        <v>1498.6985619622333</v>
      </c>
      <c r="Q491" s="552">
        <f t="shared" si="211"/>
        <v>1554.6465362412325</v>
      </c>
      <c r="R491" s="552">
        <f t="shared" si="211"/>
        <v>1610.6139463169943</v>
      </c>
      <c r="S491" s="552">
        <f t="shared" si="211"/>
        <v>1666.5815899683475</v>
      </c>
      <c r="T491" s="552">
        <f t="shared" si="211"/>
        <v>1722.5584431805814</v>
      </c>
      <c r="U491" s="552">
        <f t="shared" si="211"/>
        <v>1764.2149413608583</v>
      </c>
      <c r="V491" s="552">
        <f t="shared" si="211"/>
        <v>1796.1822157207414</v>
      </c>
      <c r="W491" s="552">
        <f t="shared" si="211"/>
        <v>1828.1496923151874</v>
      </c>
      <c r="X491" s="552">
        <f t="shared" si="211"/>
        <v>1860.1174059250627</v>
      </c>
      <c r="Y491" s="552">
        <f t="shared" si="211"/>
        <v>1892.0690938345394</v>
      </c>
      <c r="Z491" s="552">
        <f t="shared" si="211"/>
        <v>1924.0374071901506</v>
      </c>
      <c r="AA491" s="552">
        <f t="shared" si="211"/>
        <v>1955.9897928557461</v>
      </c>
      <c r="AB491" s="552">
        <f t="shared" si="211"/>
        <v>1987.9589167810288</v>
      </c>
      <c r="AC491" s="552">
        <f t="shared" si="211"/>
        <v>2019.9285444329612</v>
      </c>
      <c r="AD491" s="552">
        <f t="shared" si="211"/>
        <v>2051.8824496202101</v>
      </c>
      <c r="AE491" s="552">
        <f t="shared" si="211"/>
        <v>2083.853328068863</v>
      </c>
      <c r="AF491" s="552">
        <f t="shared" si="211"/>
        <v>2115.8249760928975</v>
      </c>
      <c r="AG491" s="700">
        <f t="shared" si="211"/>
        <v>2147.7812014632123</v>
      </c>
      <c r="AH491" s="18"/>
      <c r="AI491" s="18"/>
      <c r="AJ491" s="18"/>
      <c r="AK491" s="18"/>
      <c r="AL491" s="18"/>
      <c r="AM491" s="18"/>
      <c r="AN491" s="18"/>
    </row>
    <row r="492" spans="1:40" ht="21.9" customHeight="1" x14ac:dyDescent="0.25">
      <c r="B492" s="680"/>
      <c r="C492" s="690"/>
      <c r="D492" s="690"/>
      <c r="E492" s="114"/>
      <c r="F492" s="114" t="s">
        <v>322</v>
      </c>
      <c r="G492" s="114" t="s">
        <v>326</v>
      </c>
      <c r="H492" s="552">
        <f t="shared" ref="H492:AG492" si="212">H408/H452</f>
        <v>2889.854434858918</v>
      </c>
      <c r="I492" s="552">
        <f t="shared" si="212"/>
        <v>2971.801076517168</v>
      </c>
      <c r="J492" s="552">
        <f t="shared" si="212"/>
        <v>3065.1770940084689</v>
      </c>
      <c r="K492" s="552">
        <f t="shared" si="212"/>
        <v>3184.4895586578641</v>
      </c>
      <c r="L492" s="552">
        <f t="shared" si="212"/>
        <v>3303.8405584371762</v>
      </c>
      <c r="M492" s="552">
        <f t="shared" si="212"/>
        <v>3423.1722977156724</v>
      </c>
      <c r="N492" s="552">
        <f t="shared" si="212"/>
        <v>3542.4847784416775</v>
      </c>
      <c r="O492" s="552">
        <f t="shared" si="212"/>
        <v>3661.821351018219</v>
      </c>
      <c r="P492" s="552">
        <f t="shared" si="212"/>
        <v>3796.7005444034316</v>
      </c>
      <c r="Q492" s="552">
        <f t="shared" si="212"/>
        <v>3931.5749445620372</v>
      </c>
      <c r="R492" s="552">
        <f t="shared" si="212"/>
        <v>4066.4349271808737</v>
      </c>
      <c r="S492" s="552">
        <f t="shared" si="212"/>
        <v>4201.3142184971275</v>
      </c>
      <c r="T492" s="552">
        <f t="shared" si="212"/>
        <v>4336.217649615417</v>
      </c>
      <c r="U492" s="552">
        <f t="shared" si="212"/>
        <v>4445.1557531307226</v>
      </c>
      <c r="V492" s="552">
        <f t="shared" si="212"/>
        <v>4527.1026009745237</v>
      </c>
      <c r="W492" s="552">
        <f t="shared" si="212"/>
        <v>4609.0494903109238</v>
      </c>
      <c r="X492" s="552">
        <f t="shared" si="212"/>
        <v>4690.9964284068728</v>
      </c>
      <c r="Y492" s="552">
        <f t="shared" si="212"/>
        <v>4772.9193414051379</v>
      </c>
      <c r="Z492" s="552">
        <f t="shared" si="212"/>
        <v>4854.8664033859959</v>
      </c>
      <c r="AA492" s="552">
        <f t="shared" si="212"/>
        <v>4936.7894609030955</v>
      </c>
      <c r="AB492" s="552">
        <f t="shared" si="212"/>
        <v>5018.7366911347081</v>
      </c>
      <c r="AC492" s="552">
        <f t="shared" si="212"/>
        <v>5100.6840262665855</v>
      </c>
      <c r="AD492" s="552">
        <f t="shared" si="212"/>
        <v>5182.6074003739741</v>
      </c>
      <c r="AE492" s="552">
        <f t="shared" si="212"/>
        <v>5264.5549968842852</v>
      </c>
      <c r="AF492" s="552">
        <f t="shared" si="212"/>
        <v>5346.5027546880965</v>
      </c>
      <c r="AG492" s="700">
        <f t="shared" si="212"/>
        <v>5428.4266152989258</v>
      </c>
      <c r="AH492" s="18"/>
      <c r="AI492" s="18"/>
      <c r="AJ492" s="18"/>
      <c r="AK492" s="18"/>
      <c r="AL492" s="18"/>
      <c r="AM492" s="18"/>
      <c r="AN492" s="18"/>
    </row>
    <row r="493" spans="1:40" ht="21.9" customHeight="1" x14ac:dyDescent="0.25">
      <c r="B493" s="680"/>
      <c r="C493" s="690"/>
      <c r="D493" s="690"/>
      <c r="E493" s="114"/>
      <c r="F493" s="114" t="s">
        <v>326</v>
      </c>
      <c r="G493" s="114" t="s">
        <v>274</v>
      </c>
      <c r="H493" s="552">
        <f t="shared" ref="H493:AG493" si="213">H409/H453</f>
        <v>19701.036774591448</v>
      </c>
      <c r="I493" s="552">
        <f t="shared" si="213"/>
        <v>20259.692514246715</v>
      </c>
      <c r="J493" s="552">
        <f t="shared" si="213"/>
        <v>20896.265858212475</v>
      </c>
      <c r="K493" s="552">
        <f t="shared" si="213"/>
        <v>21709.656016264405</v>
      </c>
      <c r="L493" s="552">
        <f t="shared" si="213"/>
        <v>22523.308864172173</v>
      </c>
      <c r="M493" s="552">
        <f t="shared" si="213"/>
        <v>23336.830384853754</v>
      </c>
      <c r="N493" s="552">
        <f t="shared" si="213"/>
        <v>24150.22058319136</v>
      </c>
      <c r="O493" s="552">
        <f t="shared" si="213"/>
        <v>24963.774981218015</v>
      </c>
      <c r="P493" s="552">
        <f t="shared" si="213"/>
        <v>25883.288173082958</v>
      </c>
      <c r="Q493" s="552">
        <f t="shared" si="213"/>
        <v>26802.768588016108</v>
      </c>
      <c r="R493" s="552">
        <f t="shared" si="213"/>
        <v>27722.150577282224</v>
      </c>
      <c r="S493" s="552">
        <f t="shared" si="213"/>
        <v>28641.664014548303</v>
      </c>
      <c r="T493" s="552">
        <f t="shared" si="213"/>
        <v>29561.341771662999</v>
      </c>
      <c r="U493" s="552">
        <f t="shared" si="213"/>
        <v>30304.005749678443</v>
      </c>
      <c r="V493" s="552">
        <f t="shared" si="213"/>
        <v>30862.662006005081</v>
      </c>
      <c r="W493" s="552">
        <f t="shared" si="213"/>
        <v>31421.318366306212</v>
      </c>
      <c r="X493" s="552">
        <f t="shared" si="213"/>
        <v>31979.974848791771</v>
      </c>
      <c r="Y493" s="552">
        <f t="shared" si="213"/>
        <v>32538.467298861342</v>
      </c>
      <c r="Z493" s="552">
        <f t="shared" si="213"/>
        <v>33097.124091784681</v>
      </c>
      <c r="AA493" s="552">
        <f t="shared" si="213"/>
        <v>33655.616903997696</v>
      </c>
      <c r="AB493" s="552">
        <f t="shared" si="213"/>
        <v>34214.274118533278</v>
      </c>
      <c r="AC493" s="552">
        <f t="shared" si="213"/>
        <v>34772.931595933856</v>
      </c>
      <c r="AD493" s="552">
        <f t="shared" si="213"/>
        <v>35331.425201476661</v>
      </c>
      <c r="AE493" s="552">
        <f t="shared" si="213"/>
        <v>35890.083333854054</v>
      </c>
      <c r="AF493" s="552">
        <f t="shared" si="213"/>
        <v>36448.741870409802</v>
      </c>
      <c r="AG493" s="700">
        <f t="shared" si="213"/>
        <v>37007.236695060361</v>
      </c>
      <c r="AH493" s="18"/>
      <c r="AI493" s="18"/>
      <c r="AJ493" s="18"/>
      <c r="AK493" s="18"/>
      <c r="AL493" s="18"/>
      <c r="AM493" s="18"/>
      <c r="AN493" s="18"/>
    </row>
    <row r="494" spans="1:40" ht="21.9" customHeight="1" thickBot="1" x14ac:dyDescent="0.3">
      <c r="B494" s="680"/>
      <c r="C494" s="690"/>
      <c r="D494" s="690"/>
      <c r="E494" s="114"/>
      <c r="F494" s="114" t="s">
        <v>274</v>
      </c>
      <c r="G494" s="114" t="s">
        <v>317</v>
      </c>
      <c r="H494" s="552">
        <f t="shared" ref="H494:AG494" si="214">H410/H454</f>
        <v>492.027820512858</v>
      </c>
      <c r="I494" s="552">
        <f t="shared" si="214"/>
        <v>505.98037478131738</v>
      </c>
      <c r="J494" s="552">
        <f t="shared" si="214"/>
        <v>521.87906016913325</v>
      </c>
      <c r="K494" s="552">
        <f t="shared" si="214"/>
        <v>542.19407158793854</v>
      </c>
      <c r="L494" s="552">
        <f t="shared" si="214"/>
        <v>562.51603352152301</v>
      </c>
      <c r="M494" s="552">
        <f t="shared" si="214"/>
        <v>582.83525760637133</v>
      </c>
      <c r="N494" s="552">
        <f t="shared" si="214"/>
        <v>603.15194722420506</v>
      </c>
      <c r="O494" s="552">
        <f t="shared" si="214"/>
        <v>623.47375279081984</v>
      </c>
      <c r="P494" s="552">
        <f t="shared" si="214"/>
        <v>646.44397469381784</v>
      </c>
      <c r="Q494" s="552">
        <f t="shared" si="214"/>
        <v>669.4157980768706</v>
      </c>
      <c r="R494" s="552">
        <f t="shared" si="214"/>
        <v>692.38847379065282</v>
      </c>
      <c r="S494" s="552">
        <f t="shared" si="214"/>
        <v>715.36891848066159</v>
      </c>
      <c r="T494" s="552">
        <f t="shared" si="214"/>
        <v>738.35948466213301</v>
      </c>
      <c r="U494" s="552">
        <f t="shared" si="214"/>
        <v>756.93069389337643</v>
      </c>
      <c r="V494" s="552">
        <f t="shared" si="214"/>
        <v>770.90477137810296</v>
      </c>
      <c r="W494" s="552">
        <f t="shared" si="214"/>
        <v>784.88318017595179</v>
      </c>
      <c r="X494" s="552">
        <f t="shared" si="214"/>
        <v>798.86667886657835</v>
      </c>
      <c r="Y494" s="552">
        <f t="shared" si="214"/>
        <v>812.85202977875326</v>
      </c>
      <c r="Z494" s="552">
        <f t="shared" si="214"/>
        <v>826.84846051883619</v>
      </c>
      <c r="AA494" s="552">
        <f t="shared" si="214"/>
        <v>840.84889740646736</v>
      </c>
      <c r="AB494" s="552">
        <f t="shared" si="214"/>
        <v>854.86289144005718</v>
      </c>
      <c r="AC494" s="552">
        <f t="shared" si="214"/>
        <v>868.88783576117305</v>
      </c>
      <c r="AD494" s="552">
        <f t="shared" si="214"/>
        <v>882.921320751694</v>
      </c>
      <c r="AE494" s="552">
        <f t="shared" si="214"/>
        <v>896.97354974219706</v>
      </c>
      <c r="AF494" s="552">
        <f t="shared" si="214"/>
        <v>911.04261577531577</v>
      </c>
      <c r="AG494" s="700">
        <f t="shared" si="214"/>
        <v>925.12688569593138</v>
      </c>
      <c r="AH494" s="18"/>
      <c r="AI494" s="18"/>
      <c r="AJ494" s="18"/>
      <c r="AK494" s="18"/>
      <c r="AL494" s="18"/>
      <c r="AM494" s="18"/>
      <c r="AN494" s="18"/>
    </row>
    <row r="495" spans="1:40" ht="21.9" customHeight="1" thickBot="1" x14ac:dyDescent="0.3">
      <c r="A495" s="445"/>
      <c r="B495" s="682"/>
      <c r="C495" s="706"/>
      <c r="D495" s="706"/>
      <c r="E495" s="707" t="s">
        <v>25</v>
      </c>
      <c r="F495" s="707"/>
      <c r="G495" s="707"/>
      <c r="H495" s="708">
        <f t="shared" ref="H495:AG495" si="215">SUM(H475:H486,H488:H494)</f>
        <v>227707.7124444994</v>
      </c>
      <c r="I495" s="708">
        <f t="shared" si="215"/>
        <v>240538.4286437819</v>
      </c>
      <c r="J495" s="708">
        <f t="shared" si="215"/>
        <v>266756.03312684316</v>
      </c>
      <c r="K495" s="708">
        <f t="shared" si="215"/>
        <v>310920.07320759527</v>
      </c>
      <c r="L495" s="708">
        <f t="shared" si="215"/>
        <v>355796.15495800058</v>
      </c>
      <c r="M495" s="708">
        <f t="shared" si="215"/>
        <v>401745.08746912831</v>
      </c>
      <c r="N495" s="708">
        <f t="shared" si="215"/>
        <v>449357.31927746197</v>
      </c>
      <c r="O495" s="708">
        <f t="shared" si="215"/>
        <v>499891.76797181088</v>
      </c>
      <c r="P495" s="708">
        <f t="shared" si="215"/>
        <v>549842.182067513</v>
      </c>
      <c r="Q495" s="708">
        <f t="shared" si="215"/>
        <v>605859.80944062176</v>
      </c>
      <c r="R495" s="708">
        <f t="shared" si="215"/>
        <v>670898.09948115936</v>
      </c>
      <c r="S495" s="708">
        <f t="shared" si="215"/>
        <v>749350.55446033936</v>
      </c>
      <c r="T495" s="708">
        <f t="shared" si="215"/>
        <v>847726.44975925144</v>
      </c>
      <c r="U495" s="708">
        <f t="shared" si="215"/>
        <v>921642.1908546593</v>
      </c>
      <c r="V495" s="708">
        <f t="shared" si="215"/>
        <v>978283.38786617003</v>
      </c>
      <c r="W495" s="708">
        <f t="shared" si="215"/>
        <v>1025724.0338341602</v>
      </c>
      <c r="X495" s="708">
        <f t="shared" si="215"/>
        <v>1050371.1452003664</v>
      </c>
      <c r="Y495" s="708">
        <f t="shared" si="215"/>
        <v>1076880.5934115888</v>
      </c>
      <c r="Z495" s="708">
        <f t="shared" si="215"/>
        <v>1105567.7213969373</v>
      </c>
      <c r="AA495" s="708">
        <f t="shared" si="215"/>
        <v>1136969.2824691008</v>
      </c>
      <c r="AB495" s="708">
        <f t="shared" si="215"/>
        <v>1160292.9065138709</v>
      </c>
      <c r="AC495" s="708">
        <f t="shared" si="215"/>
        <v>1183545.0544081468</v>
      </c>
      <c r="AD495" s="708">
        <f t="shared" si="215"/>
        <v>1207671.1830331394</v>
      </c>
      <c r="AE495" s="708">
        <f t="shared" si="215"/>
        <v>1232716.1376359805</v>
      </c>
      <c r="AF495" s="708">
        <f t="shared" si="215"/>
        <v>1258858.5307651113</v>
      </c>
      <c r="AG495" s="709">
        <f t="shared" si="215"/>
        <v>1286288.6131595096</v>
      </c>
      <c r="AH495" s="18"/>
      <c r="AI495" s="18"/>
      <c r="AJ495" s="18"/>
      <c r="AK495" s="18"/>
      <c r="AL495" s="18"/>
      <c r="AM495" s="18"/>
      <c r="AN495" s="18"/>
    </row>
    <row r="496" spans="1:40" ht="21.9" customHeight="1" x14ac:dyDescent="0.25">
      <c r="B496" s="179" t="s">
        <v>210</v>
      </c>
      <c r="C496" s="114" t="s">
        <v>156</v>
      </c>
      <c r="D496" s="237" t="s">
        <v>443</v>
      </c>
      <c r="E496" s="1325" t="s">
        <v>315</v>
      </c>
      <c r="F496" s="217" t="s">
        <v>316</v>
      </c>
      <c r="G496" s="217" t="s">
        <v>276</v>
      </c>
      <c r="H496" s="701">
        <f t="shared" ref="H496:AG496" si="216">H412/H455</f>
        <v>5194.0039010348337</v>
      </c>
      <c r="I496" s="701">
        <f t="shared" si="216"/>
        <v>5430.1849971722022</v>
      </c>
      <c r="J496" s="701">
        <f t="shared" si="216"/>
        <v>5762.9421034853613</v>
      </c>
      <c r="K496" s="701">
        <f t="shared" si="216"/>
        <v>6252.412046467196</v>
      </c>
      <c r="L496" s="701">
        <f t="shared" si="216"/>
        <v>6742.0605340627317</v>
      </c>
      <c r="M496" s="701">
        <f t="shared" si="216"/>
        <v>7231.7090229566275</v>
      </c>
      <c r="N496" s="701">
        <f t="shared" si="216"/>
        <v>7721.1789705011224</v>
      </c>
      <c r="O496" s="701">
        <f t="shared" si="216"/>
        <v>8211.0060105370503</v>
      </c>
      <c r="P496" s="701">
        <f t="shared" si="216"/>
        <v>8695.0384984242755</v>
      </c>
      <c r="Q496" s="701">
        <f t="shared" si="216"/>
        <v>9179.1683880391101</v>
      </c>
      <c r="R496" s="701">
        <f t="shared" si="216"/>
        <v>9663.2009139183028</v>
      </c>
      <c r="S496" s="701">
        <f t="shared" si="216"/>
        <v>10147.233478426369</v>
      </c>
      <c r="T496" s="701">
        <f t="shared" si="216"/>
        <v>10631.623191846751</v>
      </c>
      <c r="U496" s="701">
        <f t="shared" si="216"/>
        <v>10958.764523130012</v>
      </c>
      <c r="V496" s="701">
        <f t="shared" si="216"/>
        <v>11194.945856013694</v>
      </c>
      <c r="W496" s="701">
        <f t="shared" si="216"/>
        <v>11431.127177571332</v>
      </c>
      <c r="X496" s="701">
        <f t="shared" si="216"/>
        <v>11667.308551949594</v>
      </c>
      <c r="Y496" s="701">
        <f t="shared" si="216"/>
        <v>11903.571146360369</v>
      </c>
      <c r="Z496" s="701">
        <f t="shared" si="216"/>
        <v>12139.752661146766</v>
      </c>
      <c r="AA496" s="701">
        <f t="shared" si="216"/>
        <v>12376.015423792272</v>
      </c>
      <c r="AB496" s="701">
        <f t="shared" si="216"/>
        <v>12612.197139658307</v>
      </c>
      <c r="AC496" s="701">
        <f t="shared" si="216"/>
        <v>12848.378985341356</v>
      </c>
      <c r="AD496" s="701">
        <f t="shared" si="216"/>
        <v>13084.642141410968</v>
      </c>
      <c r="AE496" s="701">
        <f t="shared" si="216"/>
        <v>13320.824323492105</v>
      </c>
      <c r="AF496" s="701">
        <f t="shared" si="216"/>
        <v>13557.006719595363</v>
      </c>
      <c r="AG496" s="702">
        <f t="shared" si="216"/>
        <v>13793.270523752615</v>
      </c>
      <c r="AH496" s="18"/>
      <c r="AI496" s="18"/>
      <c r="AJ496" s="18"/>
      <c r="AK496" s="18"/>
      <c r="AL496" s="18"/>
      <c r="AM496" s="18"/>
      <c r="AN496" s="18"/>
    </row>
    <row r="497" spans="2:40" ht="21.9" customHeight="1" x14ac:dyDescent="0.25">
      <c r="B497" s="680" t="s">
        <v>450</v>
      </c>
      <c r="C497" s="690"/>
      <c r="D497" s="690"/>
      <c r="E497" s="1327"/>
      <c r="F497" s="114" t="s">
        <v>276</v>
      </c>
      <c r="G497" s="114" t="s">
        <v>274</v>
      </c>
      <c r="H497" s="552">
        <f t="shared" ref="H497:AG497" si="217">H413/H456</f>
        <v>167015.02824419696</v>
      </c>
      <c r="I497" s="552">
        <f t="shared" si="217"/>
        <v>175830.94743877579</v>
      </c>
      <c r="J497" s="552">
        <f t="shared" si="217"/>
        <v>189064.72341851852</v>
      </c>
      <c r="K497" s="552">
        <f t="shared" si="217"/>
        <v>210928.84634134086</v>
      </c>
      <c r="L497" s="552">
        <f t="shared" si="217"/>
        <v>232802.86646109642</v>
      </c>
      <c r="M497" s="552">
        <f t="shared" si="217"/>
        <v>254675.64945624743</v>
      </c>
      <c r="N497" s="552">
        <f t="shared" si="217"/>
        <v>276539.77246955817</v>
      </c>
      <c r="O497" s="552">
        <f t="shared" si="217"/>
        <v>298423.68998181052</v>
      </c>
      <c r="P497" s="552">
        <f t="shared" si="217"/>
        <v>320501.84004704776</v>
      </c>
      <c r="Q497" s="552">
        <f t="shared" si="217"/>
        <v>342587.41352630028</v>
      </c>
      <c r="R497" s="552">
        <f t="shared" si="217"/>
        <v>364665.56509905844</v>
      </c>
      <c r="S497" s="552">
        <f t="shared" si="217"/>
        <v>386743.71844946122</v>
      </c>
      <c r="T497" s="552">
        <f t="shared" si="217"/>
        <v>408841.66927530989</v>
      </c>
      <c r="U497" s="552">
        <f t="shared" si="217"/>
        <v>422279.58631596289</v>
      </c>
      <c r="V497" s="552">
        <f t="shared" si="217"/>
        <v>431095.51621026848</v>
      </c>
      <c r="W497" s="552">
        <f t="shared" si="217"/>
        <v>439911.44476474624</v>
      </c>
      <c r="X497" s="552">
        <f t="shared" si="217"/>
        <v>448727.37543817697</v>
      </c>
      <c r="Y497" s="552">
        <f t="shared" si="217"/>
        <v>457548.25724713982</v>
      </c>
      <c r="Z497" s="552">
        <f t="shared" si="217"/>
        <v>466364.19350861089</v>
      </c>
      <c r="AA497" s="552">
        <f t="shared" si="217"/>
        <v>475185.08197382034</v>
      </c>
      <c r="AB497" s="552">
        <f t="shared" si="217"/>
        <v>484001.02615195088</v>
      </c>
      <c r="AC497" s="552">
        <f t="shared" si="217"/>
        <v>492816.97539854003</v>
      </c>
      <c r="AD497" s="552">
        <f t="shared" si="217"/>
        <v>501637.87923250865</v>
      </c>
      <c r="AE497" s="552">
        <f t="shared" si="217"/>
        <v>510453.84154207591</v>
      </c>
      <c r="AF497" s="552">
        <f t="shared" si="217"/>
        <v>519269.81209535815</v>
      </c>
      <c r="AG497" s="700">
        <f t="shared" si="217"/>
        <v>528090.74090910447</v>
      </c>
      <c r="AH497" s="18"/>
      <c r="AI497" s="18"/>
      <c r="AJ497" s="18"/>
      <c r="AK497" s="18"/>
      <c r="AL497" s="18"/>
      <c r="AM497" s="18"/>
      <c r="AN497" s="18"/>
    </row>
    <row r="498" spans="2:40" ht="21.9" customHeight="1" x14ac:dyDescent="0.25">
      <c r="B498" s="680"/>
      <c r="C498" s="690"/>
      <c r="D498" s="690"/>
      <c r="E498" s="1327"/>
      <c r="F498" s="114" t="s">
        <v>274</v>
      </c>
      <c r="G498" s="114" t="s">
        <v>317</v>
      </c>
      <c r="H498" s="552">
        <f t="shared" ref="H498:AG498" si="218">H414/H457</f>
        <v>3895.5029354152384</v>
      </c>
      <c r="I498" s="552">
        <f t="shared" si="218"/>
        <v>4058.1726454932859</v>
      </c>
      <c r="J498" s="552">
        <f t="shared" si="218"/>
        <v>4259.5052276268207</v>
      </c>
      <c r="K498" s="552">
        <f t="shared" si="218"/>
        <v>4530.5673179256837</v>
      </c>
      <c r="L498" s="552">
        <f t="shared" si="218"/>
        <v>4801.7268109463203</v>
      </c>
      <c r="M498" s="552">
        <f t="shared" si="218"/>
        <v>5072.8538632554555</v>
      </c>
      <c r="N498" s="552">
        <f t="shared" si="218"/>
        <v>5343.9160271154105</v>
      </c>
      <c r="O498" s="552">
        <f t="shared" si="218"/>
        <v>5615.1730258444759</v>
      </c>
      <c r="P498" s="552">
        <f t="shared" si="218"/>
        <v>5877.9898626816876</v>
      </c>
      <c r="Q498" s="552">
        <f t="shared" si="218"/>
        <v>6140.9042205905198</v>
      </c>
      <c r="R498" s="552">
        <f t="shared" si="218"/>
        <v>6403.721400066891</v>
      </c>
      <c r="S498" s="552">
        <f t="shared" si="218"/>
        <v>6666.5388883410596</v>
      </c>
      <c r="T498" s="552">
        <f t="shared" si="218"/>
        <v>6929.5516013513343</v>
      </c>
      <c r="U498" s="552">
        <f t="shared" si="218"/>
        <v>7122.5432392707044</v>
      </c>
      <c r="V498" s="552">
        <f t="shared" si="218"/>
        <v>7285.2149187800369</v>
      </c>
      <c r="W498" s="552">
        <f t="shared" si="218"/>
        <v>7447.8867834453649</v>
      </c>
      <c r="X498" s="552">
        <f t="shared" si="218"/>
        <v>7610.5591858532016</v>
      </c>
      <c r="Y498" s="552">
        <f t="shared" si="218"/>
        <v>7773.2971690795794</v>
      </c>
      <c r="Z498" s="552">
        <f t="shared" si="218"/>
        <v>7935.9710248002675</v>
      </c>
      <c r="AA498" s="552">
        <f t="shared" si="218"/>
        <v>8098.7107668950148</v>
      </c>
      <c r="AB498" s="552">
        <f t="shared" si="218"/>
        <v>8261.3867454666633</v>
      </c>
      <c r="AC498" s="552">
        <f t="shared" si="218"/>
        <v>8424.064112892489</v>
      </c>
      <c r="AD498" s="552">
        <f t="shared" si="218"/>
        <v>8586.8080685725035</v>
      </c>
      <c r="AE498" s="552">
        <f t="shared" si="218"/>
        <v>8749.4890844703768</v>
      </c>
      <c r="AF498" s="552">
        <f t="shared" si="218"/>
        <v>8912.1724490716442</v>
      </c>
      <c r="AG498" s="700">
        <f t="shared" si="218"/>
        <v>9074.923523645075</v>
      </c>
      <c r="AH498" s="18"/>
      <c r="AI498" s="18"/>
      <c r="AJ498" s="18"/>
      <c r="AK498" s="18"/>
      <c r="AL498" s="18"/>
      <c r="AM498" s="18"/>
      <c r="AN498" s="18"/>
    </row>
    <row r="499" spans="2:40" ht="21.9" customHeight="1" x14ac:dyDescent="0.25">
      <c r="B499" s="680"/>
      <c r="C499" s="690"/>
      <c r="D499" s="690"/>
      <c r="E499" s="1325" t="s">
        <v>274</v>
      </c>
      <c r="F499" s="217" t="s">
        <v>275</v>
      </c>
      <c r="G499" s="217" t="s">
        <v>318</v>
      </c>
      <c r="H499" s="558">
        <f t="shared" ref="H499:AG499" si="219">H415/H458</f>
        <v>44193.057391304355</v>
      </c>
      <c r="I499" s="558">
        <f t="shared" si="219"/>
        <v>48663.40611172175</v>
      </c>
      <c r="J499" s="558">
        <f t="shared" si="219"/>
        <v>58657.88700605218</v>
      </c>
      <c r="K499" s="558">
        <f t="shared" si="219"/>
        <v>78732.583326052336</v>
      </c>
      <c r="L499" s="558">
        <f t="shared" si="219"/>
        <v>98819.653702125972</v>
      </c>
      <c r="M499" s="558">
        <f t="shared" si="219"/>
        <v>118904.51442537157</v>
      </c>
      <c r="N499" s="558">
        <f t="shared" si="219"/>
        <v>138979.21074569246</v>
      </c>
      <c r="O499" s="558">
        <f t="shared" si="219"/>
        <v>159078.65517948041</v>
      </c>
      <c r="P499" s="558">
        <f t="shared" si="219"/>
        <v>178801.13283881484</v>
      </c>
      <c r="Q499" s="558">
        <f t="shared" si="219"/>
        <v>198533.55395186684</v>
      </c>
      <c r="R499" s="558">
        <f t="shared" si="219"/>
        <v>218256.03167119992</v>
      </c>
      <c r="S499" s="558">
        <f t="shared" si="219"/>
        <v>237978.50950138521</v>
      </c>
      <c r="T499" s="558">
        <f t="shared" si="219"/>
        <v>257725.73569953573</v>
      </c>
      <c r="U499" s="558">
        <f t="shared" si="219"/>
        <v>267355.62479369238</v>
      </c>
      <c r="V499" s="558">
        <f t="shared" si="219"/>
        <v>271825.97427690594</v>
      </c>
      <c r="W499" s="558">
        <f t="shared" si="219"/>
        <v>276296.32347582188</v>
      </c>
      <c r="X499" s="558">
        <f t="shared" si="219"/>
        <v>280766.67276011704</v>
      </c>
      <c r="Y499" s="558">
        <f t="shared" si="219"/>
        <v>285243.87206726038</v>
      </c>
      <c r="Z499" s="558">
        <f t="shared" si="219"/>
        <v>289714.22156578489</v>
      </c>
      <c r="AA499" s="558">
        <f t="shared" si="219"/>
        <v>294191.4211189663</v>
      </c>
      <c r="AB499" s="558">
        <f t="shared" si="219"/>
        <v>298661.77090109803</v>
      </c>
      <c r="AC499" s="558">
        <f t="shared" si="219"/>
        <v>303132.12085558672</v>
      </c>
      <c r="AD499" s="558">
        <f t="shared" si="219"/>
        <v>307609.32093311823</v>
      </c>
      <c r="AE499" s="558">
        <f t="shared" si="219"/>
        <v>312079.67131641129</v>
      </c>
      <c r="AF499" s="558">
        <f t="shared" si="219"/>
        <v>316550.02195691463</v>
      </c>
      <c r="AG499" s="703">
        <f t="shared" si="219"/>
        <v>321027.2228169039</v>
      </c>
      <c r="AH499" s="18"/>
      <c r="AI499" s="18"/>
      <c r="AJ499" s="18"/>
      <c r="AK499" s="18"/>
      <c r="AL499" s="18"/>
      <c r="AM499" s="18"/>
      <c r="AN499" s="18"/>
    </row>
    <row r="500" spans="2:40" ht="21.9" customHeight="1" x14ac:dyDescent="0.25">
      <c r="B500" s="680"/>
      <c r="C500" s="690"/>
      <c r="D500" s="690"/>
      <c r="E500" s="1327"/>
      <c r="F500" s="114" t="s">
        <v>318</v>
      </c>
      <c r="G500" s="114" t="s">
        <v>308</v>
      </c>
      <c r="H500" s="552">
        <f t="shared" ref="H500:AG500" si="220">H416/H459</f>
        <v>5946.1818182585594</v>
      </c>
      <c r="I500" s="552">
        <f t="shared" si="220"/>
        <v>6510.7222303870585</v>
      </c>
      <c r="J500" s="552">
        <f t="shared" si="220"/>
        <v>7311.5738184155489</v>
      </c>
      <c r="K500" s="552">
        <f t="shared" si="220"/>
        <v>8616.4634190605448</v>
      </c>
      <c r="L500" s="552">
        <f t="shared" si="220"/>
        <v>9921.7494355305353</v>
      </c>
      <c r="M500" s="552">
        <f t="shared" si="220"/>
        <v>11227.159345454105</v>
      </c>
      <c r="N500" s="552">
        <f t="shared" si="220"/>
        <v>12532.049014352226</v>
      </c>
      <c r="O500" s="552">
        <f t="shared" si="220"/>
        <v>13838.351048224964</v>
      </c>
      <c r="P500" s="552">
        <f t="shared" si="220"/>
        <v>15324.550255154814</v>
      </c>
      <c r="Q500" s="552">
        <f t="shared" si="220"/>
        <v>16811.4444532587</v>
      </c>
      <c r="R500" s="552">
        <f t="shared" si="220"/>
        <v>18297.573621677941</v>
      </c>
      <c r="S500" s="552">
        <f t="shared" si="220"/>
        <v>19783.783947374483</v>
      </c>
      <c r="T500" s="552">
        <f t="shared" si="220"/>
        <v>21271.371404867084</v>
      </c>
      <c r="U500" s="552">
        <f t="shared" si="220"/>
        <v>22252.494786682146</v>
      </c>
      <c r="V500" s="552">
        <f t="shared" si="220"/>
        <v>22817.0952806239</v>
      </c>
      <c r="W500" s="552">
        <f t="shared" si="220"/>
        <v>23381.685905217255</v>
      </c>
      <c r="X500" s="552">
        <f t="shared" si="220"/>
        <v>23946.290583975326</v>
      </c>
      <c r="Y500" s="552">
        <f t="shared" si="220"/>
        <v>24511.556942356885</v>
      </c>
      <c r="Z500" s="552">
        <f t="shared" si="220"/>
        <v>25076.200923500342</v>
      </c>
      <c r="AA500" s="552">
        <f t="shared" si="220"/>
        <v>25641.515721450098</v>
      </c>
      <c r="AB500" s="552">
        <f t="shared" si="220"/>
        <v>26206.21931616043</v>
      </c>
      <c r="AC500" s="552">
        <f t="shared" si="220"/>
        <v>26770.962810593621</v>
      </c>
      <c r="AD500" s="552">
        <f t="shared" si="220"/>
        <v>27336.399201897853</v>
      </c>
      <c r="AE500" s="552">
        <f t="shared" si="220"/>
        <v>27901.25072757118</v>
      </c>
      <c r="AF500" s="552">
        <f t="shared" si="220"/>
        <v>28466.173097528645</v>
      </c>
      <c r="AG500" s="700">
        <f t="shared" si="220"/>
        <v>29031.825155525927</v>
      </c>
      <c r="AH500" s="18"/>
      <c r="AI500" s="18"/>
      <c r="AJ500" s="18"/>
      <c r="AK500" s="18"/>
      <c r="AL500" s="18"/>
      <c r="AM500" s="18"/>
      <c r="AN500" s="18"/>
    </row>
    <row r="501" spans="2:40" ht="21.9" customHeight="1" x14ac:dyDescent="0.25">
      <c r="B501" s="680"/>
      <c r="C501" s="690"/>
      <c r="D501" s="690"/>
      <c r="E501" s="1339"/>
      <c r="F501" s="250" t="s">
        <v>308</v>
      </c>
      <c r="G501" s="250" t="s">
        <v>319</v>
      </c>
      <c r="H501" s="562">
        <f t="shared" ref="H501:AG501" si="221">H417/H460</f>
        <v>83917.082669181895</v>
      </c>
      <c r="I501" s="562">
        <f t="shared" si="221"/>
        <v>86267.040707527893</v>
      </c>
      <c r="J501" s="562">
        <f t="shared" si="221"/>
        <v>89615.895261842161</v>
      </c>
      <c r="K501" s="562">
        <f t="shared" si="221"/>
        <v>94316.098338762997</v>
      </c>
      <c r="L501" s="562">
        <f t="shared" si="221"/>
        <v>99018.268429925913</v>
      </c>
      <c r="M501" s="562">
        <f t="shared" si="221"/>
        <v>103720.0297226348</v>
      </c>
      <c r="N501" s="562">
        <f t="shared" si="221"/>
        <v>108420.2691817478</v>
      </c>
      <c r="O501" s="562">
        <f t="shared" si="221"/>
        <v>113124.31009211013</v>
      </c>
      <c r="P501" s="562">
        <f t="shared" si="221"/>
        <v>117873.00455995077</v>
      </c>
      <c r="Q501" s="562">
        <f t="shared" si="221"/>
        <v>122623.15429349495</v>
      </c>
      <c r="R501" s="562">
        <f t="shared" si="221"/>
        <v>127371.56666036126</v>
      </c>
      <c r="S501" s="562">
        <f t="shared" si="221"/>
        <v>132120.51354531926</v>
      </c>
      <c r="T501" s="562">
        <f t="shared" si="221"/>
        <v>136873.39838261425</v>
      </c>
      <c r="U501" s="562">
        <f t="shared" si="221"/>
        <v>140269.12729871823</v>
      </c>
      <c r="V501" s="562">
        <f t="shared" si="221"/>
        <v>142619.77295459723</v>
      </c>
      <c r="W501" s="562">
        <f t="shared" si="221"/>
        <v>144970.32895508019</v>
      </c>
      <c r="X501" s="562">
        <f t="shared" si="221"/>
        <v>147320.99192604571</v>
      </c>
      <c r="Y501" s="562">
        <f t="shared" si="221"/>
        <v>149672.89771704227</v>
      </c>
      <c r="Z501" s="562">
        <f t="shared" si="221"/>
        <v>152023.82817968749</v>
      </c>
      <c r="AA501" s="562">
        <f t="shared" si="221"/>
        <v>154376.04222365096</v>
      </c>
      <c r="AB501" s="562">
        <f t="shared" si="221"/>
        <v>156727.32776676107</v>
      </c>
      <c r="AC501" s="562">
        <f t="shared" si="221"/>
        <v>159078.83065950542</v>
      </c>
      <c r="AD501" s="562">
        <f t="shared" si="221"/>
        <v>161431.70208970312</v>
      </c>
      <c r="AE501" s="562">
        <f t="shared" si="221"/>
        <v>163783.74079469076</v>
      </c>
      <c r="AF501" s="562">
        <f t="shared" si="221"/>
        <v>166136.1041331632</v>
      </c>
      <c r="AG501" s="704">
        <f t="shared" si="221"/>
        <v>168489.9571011014</v>
      </c>
      <c r="AH501" s="18"/>
      <c r="AI501" s="18"/>
      <c r="AJ501" s="18"/>
      <c r="AK501" s="18"/>
      <c r="AL501" s="18"/>
      <c r="AM501" s="18"/>
      <c r="AN501" s="18"/>
    </row>
    <row r="502" spans="2:40" ht="21.9" customHeight="1" x14ac:dyDescent="0.25">
      <c r="B502" s="680"/>
      <c r="C502" s="690"/>
      <c r="D502" s="690"/>
      <c r="E502" s="114" t="s">
        <v>320</v>
      </c>
      <c r="F502" s="114" t="s">
        <v>318</v>
      </c>
      <c r="G502" s="114" t="s">
        <v>308</v>
      </c>
      <c r="H502" s="552">
        <f t="shared" ref="H502:AG502" si="222">H418/H461</f>
        <v>266.8555555555555</v>
      </c>
      <c r="I502" s="552">
        <f t="shared" si="222"/>
        <v>1108.3845499999998</v>
      </c>
      <c r="J502" s="552">
        <f t="shared" si="222"/>
        <v>9888.1991833333323</v>
      </c>
      <c r="K502" s="552">
        <f t="shared" si="222"/>
        <v>23388.021455555554</v>
      </c>
      <c r="L502" s="552">
        <f t="shared" si="222"/>
        <v>36897.450527803529</v>
      </c>
      <c r="M502" s="552">
        <f t="shared" si="222"/>
        <v>50401.542492248016</v>
      </c>
      <c r="N502" s="552">
        <f t="shared" si="222"/>
        <v>63901.364857442852</v>
      </c>
      <c r="O502" s="552">
        <f t="shared" si="222"/>
        <v>77419.734746933827</v>
      </c>
      <c r="P502" s="552">
        <f t="shared" si="222"/>
        <v>82987.283526264626</v>
      </c>
      <c r="Q502" s="552">
        <f t="shared" si="222"/>
        <v>88559.104501009118</v>
      </c>
      <c r="R502" s="552">
        <f t="shared" si="222"/>
        <v>94129.601044006005</v>
      </c>
      <c r="S502" s="552">
        <f t="shared" si="222"/>
        <v>99697.179710305849</v>
      </c>
      <c r="T502" s="552">
        <f t="shared" si="222"/>
        <v>105277.99790146112</v>
      </c>
      <c r="U502" s="552">
        <f t="shared" si="222"/>
        <v>106119.63427715928</v>
      </c>
      <c r="V502" s="552">
        <f t="shared" si="222"/>
        <v>106961.18640348506</v>
      </c>
      <c r="W502" s="552">
        <f t="shared" si="222"/>
        <v>107802.74043736377</v>
      </c>
      <c r="X502" s="552">
        <f t="shared" si="222"/>
        <v>108644.2965192211</v>
      </c>
      <c r="Y502" s="552">
        <f t="shared" si="222"/>
        <v>109491.85906820152</v>
      </c>
      <c r="Z502" s="552">
        <f t="shared" si="222"/>
        <v>110333.41991929224</v>
      </c>
      <c r="AA502" s="552">
        <f t="shared" si="222"/>
        <v>111177.65166576082</v>
      </c>
      <c r="AB502" s="552">
        <f t="shared" si="222"/>
        <v>112019.21766525695</v>
      </c>
      <c r="AC502" s="552">
        <f t="shared" si="222"/>
        <v>112860.78646181511</v>
      </c>
      <c r="AD502" s="552">
        <f t="shared" si="222"/>
        <v>113708.36264002454</v>
      </c>
      <c r="AE502" s="552">
        <f t="shared" si="222"/>
        <v>114549.93817214097</v>
      </c>
      <c r="AF502" s="552">
        <f t="shared" si="222"/>
        <v>115391.51696516684</v>
      </c>
      <c r="AG502" s="700">
        <f t="shared" si="222"/>
        <v>116235.76812306269</v>
      </c>
      <c r="AH502" s="18"/>
      <c r="AI502" s="18"/>
      <c r="AJ502" s="18"/>
      <c r="AK502" s="18"/>
      <c r="AL502" s="18"/>
      <c r="AM502" s="18"/>
      <c r="AN502" s="18"/>
    </row>
    <row r="503" spans="2:40" ht="21.9" customHeight="1" x14ac:dyDescent="0.25">
      <c r="B503" s="680"/>
      <c r="C503" s="690"/>
      <c r="D503" s="690"/>
      <c r="E503" s="1325" t="s">
        <v>308</v>
      </c>
      <c r="F503" s="217" t="s">
        <v>276</v>
      </c>
      <c r="G503" s="217" t="s">
        <v>320</v>
      </c>
      <c r="H503" s="558">
        <f t="shared" ref="H503:AG503" si="223">H419/H462</f>
        <v>805.66423357664223</v>
      </c>
      <c r="I503" s="558">
        <f t="shared" si="223"/>
        <v>1790.5887591240873</v>
      </c>
      <c r="J503" s="558">
        <f t="shared" si="223"/>
        <v>7568.0069781021894</v>
      </c>
      <c r="K503" s="558">
        <f t="shared" si="223"/>
        <v>17012.40595620438</v>
      </c>
      <c r="L503" s="558">
        <f t="shared" si="223"/>
        <v>26462.041751824821</v>
      </c>
      <c r="M503" s="558">
        <f t="shared" si="223"/>
        <v>35912.08037956203</v>
      </c>
      <c r="N503" s="558">
        <f t="shared" si="223"/>
        <v>45356.479357664306</v>
      </c>
      <c r="O503" s="558">
        <f t="shared" si="223"/>
        <v>54811.754802920696</v>
      </c>
      <c r="P503" s="558">
        <f t="shared" si="223"/>
        <v>62103.016116795829</v>
      </c>
      <c r="Q503" s="558">
        <f t="shared" si="223"/>
        <v>69395.485927036556</v>
      </c>
      <c r="R503" s="558">
        <f t="shared" si="223"/>
        <v>76686.747240974</v>
      </c>
      <c r="S503" s="558">
        <f t="shared" si="223"/>
        <v>83978.008555036242</v>
      </c>
      <c r="T503" s="558">
        <f t="shared" si="223"/>
        <v>91278.937840202474</v>
      </c>
      <c r="U503" s="558">
        <f t="shared" si="223"/>
        <v>94897.578746407395</v>
      </c>
      <c r="V503" s="558">
        <f t="shared" si="223"/>
        <v>95882.503272877875</v>
      </c>
      <c r="W503" s="558">
        <f t="shared" si="223"/>
        <v>96867.427798762365</v>
      </c>
      <c r="X503" s="558">
        <f t="shared" si="223"/>
        <v>97852.352324683263</v>
      </c>
      <c r="Y503" s="558">
        <f t="shared" si="223"/>
        <v>98840.09667546174</v>
      </c>
      <c r="Z503" s="558">
        <f t="shared" si="223"/>
        <v>99825.021201467578</v>
      </c>
      <c r="AA503" s="558">
        <f t="shared" si="223"/>
        <v>100812.76555233776</v>
      </c>
      <c r="AB503" s="558">
        <f t="shared" si="223"/>
        <v>101797.69007844423</v>
      </c>
      <c r="AC503" s="558">
        <f t="shared" si="223"/>
        <v>102782.61460460644</v>
      </c>
      <c r="AD503" s="558">
        <f t="shared" si="223"/>
        <v>103770.35895564873</v>
      </c>
      <c r="AE503" s="558">
        <f t="shared" si="223"/>
        <v>104755.28348194344</v>
      </c>
      <c r="AF503" s="558">
        <f t="shared" si="223"/>
        <v>105740.20800831042</v>
      </c>
      <c r="AG503" s="703">
        <f t="shared" si="223"/>
        <v>106727.95235957591</v>
      </c>
      <c r="AH503" s="18"/>
      <c r="AI503" s="18"/>
      <c r="AJ503" s="18"/>
      <c r="AK503" s="18"/>
      <c r="AL503" s="18"/>
      <c r="AM503" s="18"/>
      <c r="AN503" s="18"/>
    </row>
    <row r="504" spans="2:40" ht="21.9" customHeight="1" x14ac:dyDescent="0.25">
      <c r="B504" s="680"/>
      <c r="C504" s="690"/>
      <c r="D504" s="690"/>
      <c r="E504" s="1327"/>
      <c r="F504" s="114" t="s">
        <v>320</v>
      </c>
      <c r="G504" s="114" t="s">
        <v>282</v>
      </c>
      <c r="H504" s="552">
        <f t="shared" ref="H504:AG504" si="224">H420/H463</f>
        <v>0</v>
      </c>
      <c r="I504" s="552">
        <f t="shared" si="224"/>
        <v>543.07737226277357</v>
      </c>
      <c r="J504" s="552">
        <f t="shared" si="224"/>
        <v>1569.6607065693429</v>
      </c>
      <c r="K504" s="552">
        <f t="shared" si="224"/>
        <v>3528.4990131386862</v>
      </c>
      <c r="L504" s="552">
        <f t="shared" si="224"/>
        <v>5488.4234744525556</v>
      </c>
      <c r="M504" s="552">
        <f t="shared" si="224"/>
        <v>7448.4314861313842</v>
      </c>
      <c r="N504" s="552">
        <f t="shared" si="224"/>
        <v>9407.2697927007448</v>
      </c>
      <c r="O504" s="552">
        <f t="shared" si="224"/>
        <v>11368.363959124294</v>
      </c>
      <c r="P504" s="552">
        <f t="shared" si="224"/>
        <v>12880.625564965061</v>
      </c>
      <c r="Q504" s="552">
        <f t="shared" si="224"/>
        <v>14393.137821903878</v>
      </c>
      <c r="R504" s="552">
        <f t="shared" si="224"/>
        <v>15905.399427757569</v>
      </c>
      <c r="S504" s="552">
        <f t="shared" si="224"/>
        <v>17417.661033637149</v>
      </c>
      <c r="T504" s="552">
        <f t="shared" si="224"/>
        <v>18931.927848338291</v>
      </c>
      <c r="U504" s="552">
        <f t="shared" si="224"/>
        <v>19682.460777032647</v>
      </c>
      <c r="V504" s="552">
        <f t="shared" si="224"/>
        <v>19886.741419559854</v>
      </c>
      <c r="W504" s="552">
        <f t="shared" si="224"/>
        <v>20091.022061965527</v>
      </c>
      <c r="X504" s="552">
        <f t="shared" si="224"/>
        <v>20295.302704378755</v>
      </c>
      <c r="Y504" s="552">
        <f t="shared" si="224"/>
        <v>20500.16819935503</v>
      </c>
      <c r="Z504" s="552">
        <f t="shared" si="224"/>
        <v>20704.448841785867</v>
      </c>
      <c r="AA504" s="552">
        <f t="shared" si="224"/>
        <v>20909.314336781164</v>
      </c>
      <c r="AB504" s="552">
        <f t="shared" si="224"/>
        <v>21113.594979232876</v>
      </c>
      <c r="AC504" s="552">
        <f t="shared" si="224"/>
        <v>21317.875621696148</v>
      </c>
      <c r="AD504" s="552">
        <f t="shared" si="224"/>
        <v>21522.741116727146</v>
      </c>
      <c r="AE504" s="552">
        <f t="shared" si="224"/>
        <v>21727.0217592179</v>
      </c>
      <c r="AF504" s="552">
        <f t="shared" si="224"/>
        <v>21931.302401723642</v>
      </c>
      <c r="AG504" s="700">
        <f t="shared" si="224"/>
        <v>22136.167896800929</v>
      </c>
      <c r="AH504" s="18"/>
      <c r="AI504" s="18"/>
      <c r="AJ504" s="18"/>
      <c r="AK504" s="18"/>
      <c r="AL504" s="18"/>
      <c r="AM504" s="18"/>
      <c r="AN504" s="18"/>
    </row>
    <row r="505" spans="2:40" ht="21.9" customHeight="1" x14ac:dyDescent="0.25">
      <c r="B505" s="680"/>
      <c r="C505" s="690"/>
      <c r="D505" s="690"/>
      <c r="E505" s="1327"/>
      <c r="F505" s="114" t="s">
        <v>282</v>
      </c>
      <c r="G505" s="114" t="s">
        <v>321</v>
      </c>
      <c r="H505" s="552">
        <f t="shared" ref="H505:AG505" si="225">H421/H464</f>
        <v>0</v>
      </c>
      <c r="I505" s="552">
        <f t="shared" si="225"/>
        <v>1415.8802919708028</v>
      </c>
      <c r="J505" s="552">
        <f t="shared" si="225"/>
        <v>4092.3296992700725</v>
      </c>
      <c r="K505" s="552">
        <f t="shared" si="225"/>
        <v>9199.3009985401441</v>
      </c>
      <c r="L505" s="552">
        <f t="shared" si="225"/>
        <v>14309.104058394161</v>
      </c>
      <c r="M505" s="552">
        <f t="shared" si="225"/>
        <v>19419.12494598539</v>
      </c>
      <c r="N505" s="552">
        <f t="shared" si="225"/>
        <v>24526.096245255514</v>
      </c>
      <c r="O505" s="552">
        <f t="shared" si="225"/>
        <v>29638.948893431192</v>
      </c>
      <c r="P505" s="552">
        <f t="shared" si="225"/>
        <v>33581.630937230337</v>
      </c>
      <c r="Q505" s="552">
        <f t="shared" si="225"/>
        <v>37524.966464249395</v>
      </c>
      <c r="R505" s="552">
        <f t="shared" si="225"/>
        <v>41467.648508082224</v>
      </c>
      <c r="S505" s="552">
        <f t="shared" si="225"/>
        <v>45410.330551982552</v>
      </c>
      <c r="T505" s="552">
        <f t="shared" si="225"/>
        <v>49358.240461739108</v>
      </c>
      <c r="U505" s="552">
        <f t="shared" si="225"/>
        <v>51314.9870258351</v>
      </c>
      <c r="V505" s="552">
        <f t="shared" si="225"/>
        <v>51847.575843852472</v>
      </c>
      <c r="W505" s="552">
        <f t="shared" si="225"/>
        <v>52380.164661552975</v>
      </c>
      <c r="X505" s="552">
        <f t="shared" si="225"/>
        <v>52912.753479273175</v>
      </c>
      <c r="Y505" s="552">
        <f t="shared" si="225"/>
        <v>53446.867091175605</v>
      </c>
      <c r="Z505" s="552">
        <f t="shared" si="225"/>
        <v>53979.455908941723</v>
      </c>
      <c r="AA505" s="552">
        <f t="shared" si="225"/>
        <v>54513.569520893747</v>
      </c>
      <c r="AB505" s="552">
        <f t="shared" si="225"/>
        <v>55046.158338714282</v>
      </c>
      <c r="AC505" s="552">
        <f t="shared" si="225"/>
        <v>55578.747156564954</v>
      </c>
      <c r="AD505" s="552">
        <f t="shared" si="225"/>
        <v>56112.860768610051</v>
      </c>
      <c r="AE505" s="552">
        <f t="shared" si="225"/>
        <v>56645.44958653237</v>
      </c>
      <c r="AF505" s="552">
        <f t="shared" si="225"/>
        <v>57178.038404493789</v>
      </c>
      <c r="AG505" s="700">
        <f t="shared" si="225"/>
        <v>57712.152016659566</v>
      </c>
      <c r="AH505" s="18"/>
      <c r="AI505" s="18"/>
      <c r="AJ505" s="18"/>
      <c r="AK505" s="18"/>
      <c r="AL505" s="18"/>
      <c r="AM505" s="18"/>
      <c r="AN505" s="18"/>
    </row>
    <row r="506" spans="2:40" ht="21.9" customHeight="1" x14ac:dyDescent="0.25">
      <c r="B506" s="680"/>
      <c r="C506" s="690"/>
      <c r="D506" s="690"/>
      <c r="E506" s="1339"/>
      <c r="F506" s="250" t="s">
        <v>321</v>
      </c>
      <c r="G506" s="250" t="s">
        <v>274</v>
      </c>
      <c r="H506" s="562">
        <f t="shared" ref="H506:AG506" si="226">H422/H465</f>
        <v>1879.8832116788319</v>
      </c>
      <c r="I506" s="562">
        <f t="shared" si="226"/>
        <v>2778.2793985401454</v>
      </c>
      <c r="J506" s="562">
        <f t="shared" si="226"/>
        <v>3897.4991999999997</v>
      </c>
      <c r="K506" s="562">
        <f t="shared" si="226"/>
        <v>6293.9743182481752</v>
      </c>
      <c r="L506" s="562">
        <f t="shared" si="226"/>
        <v>8690.7627503649637</v>
      </c>
      <c r="M506" s="562">
        <f t="shared" si="226"/>
        <v>11088.553786861312</v>
      </c>
      <c r="N506" s="562">
        <f t="shared" si="226"/>
        <v>13485.028905109488</v>
      </c>
      <c r="O506" s="562">
        <f t="shared" si="226"/>
        <v>15880.250767883212</v>
      </c>
      <c r="P506" s="562">
        <f t="shared" si="226"/>
        <v>20689.743976642334</v>
      </c>
      <c r="Q506" s="562">
        <f t="shared" si="226"/>
        <v>25496.480023357661</v>
      </c>
      <c r="R506" s="562">
        <f t="shared" si="226"/>
        <v>30304.281337226294</v>
      </c>
      <c r="S506" s="562">
        <f t="shared" si="226"/>
        <v>35113.774545985543</v>
      </c>
      <c r="T506" s="562">
        <f t="shared" si="226"/>
        <v>39922.014499270757</v>
      </c>
      <c r="U506" s="562">
        <f t="shared" si="226"/>
        <v>43454.12706569615</v>
      </c>
      <c r="V506" s="562">
        <f t="shared" si="226"/>
        <v>44352.52325256123</v>
      </c>
      <c r="W506" s="562">
        <f t="shared" si="226"/>
        <v>45250.919439424186</v>
      </c>
      <c r="X506" s="562">
        <f t="shared" si="226"/>
        <v>46149.315626287491</v>
      </c>
      <c r="Y506" s="562">
        <f t="shared" si="226"/>
        <v>47045.017313881166</v>
      </c>
      <c r="Z506" s="562">
        <f t="shared" si="226"/>
        <v>47943.413500745446</v>
      </c>
      <c r="AA506" s="562">
        <f t="shared" si="226"/>
        <v>48839.115188340271</v>
      </c>
      <c r="AB506" s="562">
        <f t="shared" si="226"/>
        <v>49737.51137520589</v>
      </c>
      <c r="AC506" s="562">
        <f t="shared" si="226"/>
        <v>50635.907562072382</v>
      </c>
      <c r="AD506" s="562">
        <f t="shared" si="226"/>
        <v>51531.609249669826</v>
      </c>
      <c r="AE506" s="562">
        <f t="shared" si="226"/>
        <v>52430.005436538537</v>
      </c>
      <c r="AF506" s="562">
        <f t="shared" si="226"/>
        <v>53328.401623408696</v>
      </c>
      <c r="AG506" s="704">
        <f t="shared" si="226"/>
        <v>54224.103311010396</v>
      </c>
      <c r="AH506" s="18"/>
      <c r="AI506" s="18"/>
      <c r="AJ506" s="18"/>
      <c r="AK506" s="18"/>
      <c r="AL506" s="18"/>
      <c r="AM506" s="18"/>
      <c r="AN506" s="18"/>
    </row>
    <row r="507" spans="2:40" ht="21.9" customHeight="1" x14ac:dyDescent="0.25">
      <c r="B507" s="680"/>
      <c r="C507" s="690"/>
      <c r="D507" s="690"/>
      <c r="E507" s="114" t="s">
        <v>282</v>
      </c>
      <c r="F507" s="114" t="s">
        <v>308</v>
      </c>
      <c r="G507" s="114" t="s">
        <v>324</v>
      </c>
      <c r="H507" s="568">
        <f t="shared" ref="H507:AG507" si="227">H423/H466</f>
        <v>16474.029850746268</v>
      </c>
      <c r="I507" s="568">
        <f t="shared" si="227"/>
        <v>17486.999641791048</v>
      </c>
      <c r="J507" s="568">
        <f t="shared" si="227"/>
        <v>18827.52805970149</v>
      </c>
      <c r="K507" s="568">
        <f t="shared" si="227"/>
        <v>20609.011343283579</v>
      </c>
      <c r="L507" s="568">
        <f t="shared" si="227"/>
        <v>22391.043761194029</v>
      </c>
      <c r="M507" s="568">
        <f t="shared" si="227"/>
        <v>24176.920119402988</v>
      </c>
      <c r="N507" s="568">
        <f t="shared" si="227"/>
        <v>25958.40340298507</v>
      </c>
      <c r="O507" s="568">
        <f t="shared" si="227"/>
        <v>27741.80865671641</v>
      </c>
      <c r="P507" s="568">
        <f t="shared" si="227"/>
        <v>29367.97844776119</v>
      </c>
      <c r="Q507" s="568">
        <f t="shared" si="227"/>
        <v>30992.77540298508</v>
      </c>
      <c r="R507" s="568">
        <f t="shared" si="227"/>
        <v>32619.036716417912</v>
      </c>
      <c r="S507" s="568">
        <f t="shared" si="227"/>
        <v>34245.206507462688</v>
      </c>
      <c r="T507" s="568">
        <f t="shared" si="227"/>
        <v>35877.142208955236</v>
      </c>
      <c r="U507" s="568">
        <f t="shared" si="227"/>
        <v>37061.07582089553</v>
      </c>
      <c r="V507" s="568">
        <f t="shared" si="227"/>
        <v>38074.04561194031</v>
      </c>
      <c r="W507" s="568">
        <f t="shared" si="227"/>
        <v>39087.015402985082</v>
      </c>
      <c r="X507" s="568">
        <f t="shared" si="227"/>
        <v>40099.985194029876</v>
      </c>
      <c r="Y507" s="568">
        <f t="shared" si="227"/>
        <v>41114.053253731377</v>
      </c>
      <c r="Z507" s="568">
        <f t="shared" si="227"/>
        <v>42127.023044776157</v>
      </c>
      <c r="AA507" s="568">
        <f t="shared" si="227"/>
        <v>43142.46394029857</v>
      </c>
      <c r="AB507" s="568">
        <f t="shared" si="227"/>
        <v>44155.433731343357</v>
      </c>
      <c r="AC507" s="568">
        <f t="shared" si="227"/>
        <v>45168.403522388166</v>
      </c>
      <c r="AD507" s="568">
        <f t="shared" si="227"/>
        <v>46182.471582089674</v>
      </c>
      <c r="AE507" s="568">
        <f t="shared" si="227"/>
        <v>47195.441373134498</v>
      </c>
      <c r="AF507" s="568">
        <f t="shared" si="227"/>
        <v>48208.411164179313</v>
      </c>
      <c r="AG507" s="705">
        <f t="shared" si="227"/>
        <v>49223.852059701756</v>
      </c>
      <c r="AH507" s="18"/>
      <c r="AI507" s="18"/>
      <c r="AJ507" s="18"/>
      <c r="AK507" s="18"/>
      <c r="AL507" s="18"/>
      <c r="AM507" s="18"/>
      <c r="AN507" s="18"/>
    </row>
    <row r="508" spans="2:40" ht="21.9" customHeight="1" x14ac:dyDescent="0.25">
      <c r="B508" s="680"/>
      <c r="C508" s="690"/>
      <c r="D508" s="690"/>
      <c r="E508" s="273" t="s">
        <v>321</v>
      </c>
      <c r="F508" s="273" t="s">
        <v>318</v>
      </c>
      <c r="G508" s="273" t="s">
        <v>308</v>
      </c>
      <c r="H508" s="552">
        <f t="shared" ref="H508:AG508" si="228">H424/H467</f>
        <v>0</v>
      </c>
      <c r="I508" s="552">
        <f t="shared" si="228"/>
        <v>17140.497982222223</v>
      </c>
      <c r="J508" s="552">
        <f t="shared" si="228"/>
        <v>18454.464077808276</v>
      </c>
      <c r="K508" s="552">
        <f t="shared" si="228"/>
        <v>20200.647600069868</v>
      </c>
      <c r="L508" s="552">
        <f t="shared" si="228"/>
        <v>21947.369375743034</v>
      </c>
      <c r="M508" s="552">
        <f t="shared" si="228"/>
        <v>23697.858924908382</v>
      </c>
      <c r="N508" s="552">
        <f t="shared" si="228"/>
        <v>25444.04244773967</v>
      </c>
      <c r="O508" s="552">
        <f t="shared" si="228"/>
        <v>27192.109857890249</v>
      </c>
      <c r="P508" s="552">
        <f t="shared" si="228"/>
        <v>28786.057398136625</v>
      </c>
      <c r="Q508" s="552">
        <f t="shared" si="228"/>
        <v>30378.659306738013</v>
      </c>
      <c r="R508" s="552">
        <f t="shared" si="228"/>
        <v>31972.696560602679</v>
      </c>
      <c r="S508" s="552">
        <f t="shared" si="228"/>
        <v>33566.644110511981</v>
      </c>
      <c r="T508" s="552">
        <f t="shared" si="228"/>
        <v>35166.243328209661</v>
      </c>
      <c r="U508" s="552">
        <f t="shared" si="228"/>
        <v>36326.717545992513</v>
      </c>
      <c r="V508" s="552">
        <f t="shared" si="228"/>
        <v>37319.615561641731</v>
      </c>
      <c r="W508" s="552">
        <f t="shared" si="228"/>
        <v>38312.513582690794</v>
      </c>
      <c r="X508" s="552">
        <f t="shared" si="228"/>
        <v>39305.411615536323</v>
      </c>
      <c r="Y508" s="552">
        <f t="shared" si="228"/>
        <v>40299.386169985293</v>
      </c>
      <c r="Z508" s="552">
        <f t="shared" si="228"/>
        <v>41292.284236638458</v>
      </c>
      <c r="AA508" s="552">
        <f t="shared" si="228"/>
        <v>42287.604466744087</v>
      </c>
      <c r="AB508" s="552">
        <f t="shared" si="228"/>
        <v>43280.502586408096</v>
      </c>
      <c r="AC508" s="552">
        <f t="shared" si="228"/>
        <v>44273.400742004931</v>
      </c>
      <c r="AD508" s="552">
        <f t="shared" si="228"/>
        <v>45267.375448878294</v>
      </c>
      <c r="AE508" s="552">
        <f t="shared" si="228"/>
        <v>46260.27370402083</v>
      </c>
      <c r="AF508" s="552">
        <f t="shared" si="228"/>
        <v>47253.172025629814</v>
      </c>
      <c r="AG508" s="700">
        <f t="shared" si="228"/>
        <v>48248.492568391543</v>
      </c>
      <c r="AH508" s="18"/>
      <c r="AI508" s="18"/>
      <c r="AJ508" s="18"/>
      <c r="AK508" s="18"/>
      <c r="AL508" s="18"/>
      <c r="AM508" s="18"/>
      <c r="AN508" s="18"/>
    </row>
    <row r="509" spans="2:40" ht="21.9" customHeight="1" x14ac:dyDescent="0.25">
      <c r="B509" s="680"/>
      <c r="C509" s="690"/>
      <c r="D509" s="690"/>
      <c r="E509" s="273" t="s">
        <v>333</v>
      </c>
      <c r="F509" s="273" t="s">
        <v>319</v>
      </c>
      <c r="G509" s="273" t="s">
        <v>308</v>
      </c>
      <c r="H509" s="568">
        <f t="shared" ref="H509:AG509" si="229">H425/H468</f>
        <v>25667.374204594336</v>
      </c>
      <c r="I509" s="568">
        <f t="shared" si="229"/>
        <v>26019.801512075748</v>
      </c>
      <c r="J509" s="568">
        <f t="shared" si="229"/>
        <v>26628.97386349002</v>
      </c>
      <c r="K509" s="568">
        <f t="shared" si="229"/>
        <v>27465.302480740891</v>
      </c>
      <c r="L509" s="568">
        <f t="shared" si="229"/>
        <v>28301.987595700171</v>
      </c>
      <c r="M509" s="568">
        <f t="shared" si="229"/>
        <v>29139.884786413451</v>
      </c>
      <c r="N509" s="568">
        <f t="shared" si="229"/>
        <v>29976.213422343742</v>
      </c>
      <c r="O509" s="568">
        <f t="shared" si="229"/>
        <v>30815.465295973059</v>
      </c>
      <c r="P509" s="568">
        <f t="shared" si="229"/>
        <v>31397.473051993442</v>
      </c>
      <c r="Q509" s="568">
        <f t="shared" si="229"/>
        <v>31979.552101318441</v>
      </c>
      <c r="R509" s="568">
        <f t="shared" si="229"/>
        <v>32561.702457349693</v>
      </c>
      <c r="S509" s="568">
        <f t="shared" si="229"/>
        <v>33143.710226817464</v>
      </c>
      <c r="T509" s="568">
        <f t="shared" si="229"/>
        <v>33729.85330719778</v>
      </c>
      <c r="U509" s="568">
        <f t="shared" si="229"/>
        <v>34082.280697006703</v>
      </c>
      <c r="V509" s="568">
        <f t="shared" si="229"/>
        <v>34434.708063178572</v>
      </c>
      <c r="W509" s="568">
        <f t="shared" si="229"/>
        <v>34787.135435773191</v>
      </c>
      <c r="X509" s="568">
        <f t="shared" si="229"/>
        <v>35139.562815412894</v>
      </c>
      <c r="Y509" s="568">
        <f t="shared" si="229"/>
        <v>35494.414343720222</v>
      </c>
      <c r="Z509" s="568">
        <f t="shared" si="229"/>
        <v>35846.84174012197</v>
      </c>
      <c r="AA509" s="568">
        <f t="shared" si="229"/>
        <v>36200.623812254176</v>
      </c>
      <c r="AB509" s="568">
        <f t="shared" si="229"/>
        <v>36553.051227892087</v>
      </c>
      <c r="AC509" s="568">
        <f t="shared" si="229"/>
        <v>36905.478654215018</v>
      </c>
      <c r="AD509" s="568">
        <f t="shared" si="229"/>
        <v>37260.330233568253</v>
      </c>
      <c r="AE509" s="568">
        <f t="shared" si="229"/>
        <v>37612.757686033059</v>
      </c>
      <c r="AF509" s="568">
        <f t="shared" si="229"/>
        <v>37965.185151952544</v>
      </c>
      <c r="AG509" s="705">
        <f t="shared" si="229"/>
        <v>38318.967300486678</v>
      </c>
      <c r="AH509" s="18"/>
      <c r="AI509" s="18"/>
      <c r="AJ509" s="18"/>
      <c r="AK509" s="18"/>
      <c r="AL509" s="18"/>
      <c r="AM509" s="18"/>
      <c r="AN509" s="18"/>
    </row>
    <row r="510" spans="2:40" ht="21.9" customHeight="1" x14ac:dyDescent="0.25">
      <c r="B510" s="680"/>
      <c r="C510" s="690"/>
      <c r="D510" s="690"/>
      <c r="E510" s="114" t="s">
        <v>319</v>
      </c>
      <c r="F510" s="114" t="s">
        <v>276</v>
      </c>
      <c r="G510" s="114" t="s">
        <v>333</v>
      </c>
      <c r="H510" s="552">
        <f t="shared" ref="H510:AG510" si="230">H426/H469</f>
        <v>52604.163278649205</v>
      </c>
      <c r="I510" s="552">
        <f t="shared" si="230"/>
        <v>54120.583493482831</v>
      </c>
      <c r="J510" s="552">
        <f t="shared" si="230"/>
        <v>55761.938596126689</v>
      </c>
      <c r="K510" s="552">
        <f t="shared" si="230"/>
        <v>57939.48793508159</v>
      </c>
      <c r="L510" s="552">
        <f t="shared" si="230"/>
        <v>60117.405503210735</v>
      </c>
      <c r="M510" s="552">
        <f t="shared" si="230"/>
        <v>62296.217342147131</v>
      </c>
      <c r="N510" s="552">
        <f t="shared" si="230"/>
        <v>64473.766681208719</v>
      </c>
      <c r="O510" s="552">
        <f t="shared" si="230"/>
        <v>66651.894666126493</v>
      </c>
      <c r="P510" s="552">
        <f t="shared" si="230"/>
        <v>69048.645553715076</v>
      </c>
      <c r="Q510" s="552">
        <f t="shared" si="230"/>
        <v>71444.607379010456</v>
      </c>
      <c r="R510" s="552">
        <f t="shared" si="230"/>
        <v>73841.358266938943</v>
      </c>
      <c r="S510" s="552">
        <f t="shared" si="230"/>
        <v>76238.109155117621</v>
      </c>
      <c r="T510" s="552">
        <f t="shared" si="230"/>
        <v>78636.227751877595</v>
      </c>
      <c r="U510" s="552">
        <f t="shared" si="230"/>
        <v>80496.573987850687</v>
      </c>
      <c r="V510" s="552">
        <f t="shared" si="230"/>
        <v>82012.994204330942</v>
      </c>
      <c r="W510" s="552">
        <f t="shared" si="230"/>
        <v>83529.414420843255</v>
      </c>
      <c r="X510" s="552">
        <f t="shared" si="230"/>
        <v>85045.834637696127</v>
      </c>
      <c r="Y510" s="552">
        <f t="shared" si="230"/>
        <v>86562.097042460693</v>
      </c>
      <c r="Z510" s="552">
        <f t="shared" si="230"/>
        <v>88078.517260186811</v>
      </c>
      <c r="AA510" s="552">
        <f t="shared" si="230"/>
        <v>89594.779665976457</v>
      </c>
      <c r="AB510" s="552">
        <f t="shared" si="230"/>
        <v>91111.199884902177</v>
      </c>
      <c r="AC510" s="552">
        <f t="shared" si="230"/>
        <v>92627.620104581802</v>
      </c>
      <c r="AD510" s="552">
        <f t="shared" si="230"/>
        <v>94143.882512647935</v>
      </c>
      <c r="AE510" s="552">
        <f t="shared" si="230"/>
        <v>95660.302734219586</v>
      </c>
      <c r="AF510" s="552">
        <f t="shared" si="230"/>
        <v>97176.722956967875</v>
      </c>
      <c r="AG510" s="700">
        <f t="shared" si="230"/>
        <v>98692.985368583788</v>
      </c>
      <c r="AH510" s="18"/>
      <c r="AI510" s="18"/>
      <c r="AJ510" s="18"/>
      <c r="AK510" s="18"/>
      <c r="AL510" s="18"/>
      <c r="AM510" s="18"/>
      <c r="AN510" s="18"/>
    </row>
    <row r="511" spans="2:40" ht="21.9" customHeight="1" x14ac:dyDescent="0.25">
      <c r="B511" s="680"/>
      <c r="C511" s="690"/>
      <c r="D511" s="690"/>
      <c r="E511" s="114"/>
      <c r="F511" s="114" t="s">
        <v>333</v>
      </c>
      <c r="G511" s="114" t="s">
        <v>323</v>
      </c>
      <c r="H511" s="552">
        <f t="shared" ref="H511:AG511" si="231">H427/H470</f>
        <v>7661.0941616529308</v>
      </c>
      <c r="I511" s="552">
        <f t="shared" si="231"/>
        <v>7878.5281104251053</v>
      </c>
      <c r="J511" s="552">
        <f t="shared" si="231"/>
        <v>8119.8223353562244</v>
      </c>
      <c r="K511" s="552">
        <f t="shared" si="231"/>
        <v>8458.5031796239473</v>
      </c>
      <c r="L511" s="552">
        <f t="shared" si="231"/>
        <v>8797.2445062143397</v>
      </c>
      <c r="M511" s="552">
        <f t="shared" si="231"/>
        <v>9136.0563955144589</v>
      </c>
      <c r="N511" s="552">
        <f t="shared" si="231"/>
        <v>9474.7372397833624</v>
      </c>
      <c r="O511" s="552">
        <f t="shared" si="231"/>
        <v>9813.4382448270535</v>
      </c>
      <c r="P511" s="552">
        <f t="shared" si="231"/>
        <v>10194.124061955008</v>
      </c>
      <c r="Q511" s="552">
        <f t="shared" si="231"/>
        <v>10574.678834053191</v>
      </c>
      <c r="R511" s="552">
        <f t="shared" si="231"/>
        <v>10955.364651185415</v>
      </c>
      <c r="S511" s="552">
        <f t="shared" si="231"/>
        <v>11336.050468320869</v>
      </c>
      <c r="T511" s="552">
        <f t="shared" si="231"/>
        <v>11716.796767783091</v>
      </c>
      <c r="U511" s="552">
        <f t="shared" si="231"/>
        <v>12000.136287140185</v>
      </c>
      <c r="V511" s="552">
        <f t="shared" si="231"/>
        <v>12217.570235932588</v>
      </c>
      <c r="W511" s="552">
        <f t="shared" si="231"/>
        <v>12435.00418472423</v>
      </c>
      <c r="X511" s="552">
        <f t="shared" si="231"/>
        <v>12652.438133519658</v>
      </c>
      <c r="Y511" s="552">
        <f t="shared" si="231"/>
        <v>12869.761198061913</v>
      </c>
      <c r="Z511" s="552">
        <f t="shared" si="231"/>
        <v>13087.195146866949</v>
      </c>
      <c r="AA511" s="552">
        <f t="shared" si="231"/>
        <v>13304.518211420434</v>
      </c>
      <c r="AB511" s="552">
        <f t="shared" si="231"/>
        <v>13521.952160238523</v>
      </c>
      <c r="AC511" s="552">
        <f t="shared" si="231"/>
        <v>13739.386109064777</v>
      </c>
      <c r="AD511" s="552">
        <f t="shared" si="231"/>
        <v>13956.709173642843</v>
      </c>
      <c r="AE511" s="552">
        <f t="shared" si="231"/>
        <v>14174.143122489351</v>
      </c>
      <c r="AF511" s="552">
        <f t="shared" si="231"/>
        <v>14391.577071348409</v>
      </c>
      <c r="AG511" s="700">
        <f t="shared" si="231"/>
        <v>14608.900135964239</v>
      </c>
      <c r="AH511" s="18"/>
      <c r="AI511" s="18"/>
      <c r="AJ511" s="18"/>
      <c r="AK511" s="18"/>
      <c r="AL511" s="18"/>
      <c r="AM511" s="18"/>
      <c r="AN511" s="18"/>
    </row>
    <row r="512" spans="2:40" ht="21.9" customHeight="1" x14ac:dyDescent="0.25">
      <c r="B512" s="680"/>
      <c r="C512" s="690"/>
      <c r="D512" s="690"/>
      <c r="E512" s="114"/>
      <c r="F512" s="114" t="s">
        <v>323</v>
      </c>
      <c r="G512" s="114" t="s">
        <v>322</v>
      </c>
      <c r="H512" s="552">
        <f t="shared" ref="H512:AG512" si="232">H428/H471</f>
        <v>2307.5460487230357</v>
      </c>
      <c r="I512" s="552">
        <f t="shared" si="232"/>
        <v>2373.037849079557</v>
      </c>
      <c r="J512" s="552">
        <f t="shared" si="232"/>
        <v>2445.7164408801054</v>
      </c>
      <c r="K512" s="552">
        <f t="shared" si="232"/>
        <v>2547.7281937027424</v>
      </c>
      <c r="L512" s="552">
        <f t="shared" si="232"/>
        <v>2649.7581639944656</v>
      </c>
      <c r="M512" s="552">
        <f t="shared" si="232"/>
        <v>2751.8093880000774</v>
      </c>
      <c r="N512" s="552">
        <f t="shared" si="232"/>
        <v>2853.8211408236798</v>
      </c>
      <c r="O512" s="552">
        <f t="shared" si="232"/>
        <v>2955.8389661374445</v>
      </c>
      <c r="P512" s="552">
        <f t="shared" si="232"/>
        <v>3070.5027510479831</v>
      </c>
      <c r="Q512" s="552">
        <f t="shared" si="232"/>
        <v>3185.1270647777046</v>
      </c>
      <c r="R512" s="552">
        <f t="shared" si="232"/>
        <v>3299.790849691743</v>
      </c>
      <c r="S512" s="552">
        <f t="shared" si="232"/>
        <v>3414.4546346084294</v>
      </c>
      <c r="T512" s="552">
        <f t="shared" si="232"/>
        <v>3529.1366369975563</v>
      </c>
      <c r="U512" s="552">
        <f t="shared" si="232"/>
        <v>3614.4794058795724</v>
      </c>
      <c r="V512" s="552">
        <f t="shared" si="232"/>
        <v>3679.9712062526701</v>
      </c>
      <c r="W512" s="552">
        <f t="shared" si="232"/>
        <v>3745.4630066251393</v>
      </c>
      <c r="X512" s="552">
        <f t="shared" si="232"/>
        <v>3810.9548070007136</v>
      </c>
      <c r="Y512" s="552">
        <f t="shared" si="232"/>
        <v>3876.4132086871109</v>
      </c>
      <c r="Z512" s="552">
        <f t="shared" si="232"/>
        <v>3941.9050090705573</v>
      </c>
      <c r="AA512" s="552">
        <f t="shared" si="232"/>
        <v>4007.3634107661533</v>
      </c>
      <c r="AB512" s="552">
        <f t="shared" si="232"/>
        <v>4072.8552111602976</v>
      </c>
      <c r="AC512" s="552">
        <f t="shared" si="232"/>
        <v>4138.3470115611317</v>
      </c>
      <c r="AD512" s="552">
        <f t="shared" si="232"/>
        <v>4203.8054132768721</v>
      </c>
      <c r="AE512" s="552">
        <f t="shared" si="232"/>
        <v>4269.2972136943017</v>
      </c>
      <c r="AF512" s="552">
        <f t="shared" si="232"/>
        <v>4334.7890141220178</v>
      </c>
      <c r="AG512" s="700">
        <f t="shared" si="232"/>
        <v>4400.2474158687037</v>
      </c>
      <c r="AH512" s="18"/>
      <c r="AI512" s="18"/>
      <c r="AJ512" s="18"/>
      <c r="AK512" s="18"/>
      <c r="AL512" s="18"/>
      <c r="AM512" s="18"/>
      <c r="AN512" s="18"/>
    </row>
    <row r="513" spans="1:40" ht="21.9" customHeight="1" x14ac:dyDescent="0.25">
      <c r="B513" s="680"/>
      <c r="C513" s="690"/>
      <c r="D513" s="690"/>
      <c r="E513" s="114"/>
      <c r="F513" s="114" t="s">
        <v>322</v>
      </c>
      <c r="G513" s="114" t="s">
        <v>326</v>
      </c>
      <c r="H513" s="552">
        <f t="shared" ref="H513:AG513" si="233">H429/H472</f>
        <v>5920.6773618539564</v>
      </c>
      <c r="I513" s="552">
        <f t="shared" si="233"/>
        <v>6088.5680362449284</v>
      </c>
      <c r="J513" s="552">
        <f t="shared" si="233"/>
        <v>6279.8749896020745</v>
      </c>
      <c r="K513" s="552">
        <f t="shared" si="233"/>
        <v>6524.3200222818878</v>
      </c>
      <c r="L513" s="552">
        <f t="shared" si="233"/>
        <v>6768.8439973265786</v>
      </c>
      <c r="M513" s="552">
        <f t="shared" si="233"/>
        <v>7013.3285011889202</v>
      </c>
      <c r="N513" s="552">
        <f t="shared" si="233"/>
        <v>7257.7735338689254</v>
      </c>
      <c r="O513" s="552">
        <f t="shared" si="233"/>
        <v>7502.2679055270564</v>
      </c>
      <c r="P513" s="552">
        <f t="shared" si="233"/>
        <v>7778.605653596519</v>
      </c>
      <c r="Q513" s="552">
        <f t="shared" si="233"/>
        <v>8054.9335338706915</v>
      </c>
      <c r="R513" s="552">
        <f t="shared" si="233"/>
        <v>8331.2318107584142</v>
      </c>
      <c r="S513" s="552">
        <f t="shared" si="233"/>
        <v>8607.5695588290437</v>
      </c>
      <c r="T513" s="552">
        <f t="shared" si="233"/>
        <v>8883.9566458783556</v>
      </c>
      <c r="U513" s="552">
        <f t="shared" si="233"/>
        <v>9107.1464468322447</v>
      </c>
      <c r="V513" s="552">
        <f t="shared" si="233"/>
        <v>9275.0371212266018</v>
      </c>
      <c r="W513" s="552">
        <f t="shared" si="233"/>
        <v>9442.9277956207843</v>
      </c>
      <c r="X513" s="552">
        <f t="shared" si="233"/>
        <v>9610.8184700156071</v>
      </c>
      <c r="Y513" s="552">
        <f t="shared" si="233"/>
        <v>9778.6598054331607</v>
      </c>
      <c r="Z513" s="552">
        <f t="shared" si="233"/>
        <v>9946.5504798296024</v>
      </c>
      <c r="AA513" s="552">
        <f t="shared" si="233"/>
        <v>10114.391815249055</v>
      </c>
      <c r="AB513" s="552">
        <f t="shared" si="233"/>
        <v>10282.282489647716</v>
      </c>
      <c r="AC513" s="552">
        <f t="shared" si="233"/>
        <v>10450.173164047766</v>
      </c>
      <c r="AD513" s="552">
        <f t="shared" si="233"/>
        <v>10618.014499471406</v>
      </c>
      <c r="AE513" s="552">
        <f t="shared" si="233"/>
        <v>10785.905173874922</v>
      </c>
      <c r="AF513" s="552">
        <f t="shared" si="233"/>
        <v>10953.795848280584</v>
      </c>
      <c r="AG513" s="700">
        <f t="shared" si="233"/>
        <v>11121.637183710702</v>
      </c>
      <c r="AH513" s="18"/>
      <c r="AI513" s="18"/>
      <c r="AJ513" s="18"/>
      <c r="AK513" s="18"/>
      <c r="AL513" s="18"/>
      <c r="AM513" s="18"/>
      <c r="AN513" s="18"/>
    </row>
    <row r="514" spans="1:40" ht="21.9" customHeight="1" x14ac:dyDescent="0.25">
      <c r="B514" s="680"/>
      <c r="C514" s="690"/>
      <c r="D514" s="690"/>
      <c r="E514" s="114"/>
      <c r="F514" s="114" t="s">
        <v>326</v>
      </c>
      <c r="G514" s="114" t="s">
        <v>274</v>
      </c>
      <c r="H514" s="552">
        <f t="shared" ref="H514:AG514" si="234">H430/H473</f>
        <v>40363.099691006981</v>
      </c>
      <c r="I514" s="552">
        <f t="shared" si="234"/>
        <v>41507.662654578307</v>
      </c>
      <c r="J514" s="552">
        <f t="shared" si="234"/>
        <v>42811.86167742766</v>
      </c>
      <c r="K514" s="552">
        <f t="shared" si="234"/>
        <v>44478.319520003875</v>
      </c>
      <c r="L514" s="552">
        <f t="shared" si="234"/>
        <v>46145.315537242765</v>
      </c>
      <c r="M514" s="552">
        <f t="shared" si="234"/>
        <v>47812.042467150553</v>
      </c>
      <c r="N514" s="552">
        <f t="shared" si="234"/>
        <v>49478.500309727257</v>
      </c>
      <c r="O514" s="552">
        <f t="shared" si="234"/>
        <v>51145.294511468324</v>
      </c>
      <c r="P514" s="552">
        <f t="shared" si="234"/>
        <v>53029.174917714568</v>
      </c>
      <c r="Q514" s="552">
        <f t="shared" si="234"/>
        <v>54912.988052128807</v>
      </c>
      <c r="R514" s="552">
        <f t="shared" si="234"/>
        <v>56796.599371045486</v>
      </c>
      <c r="S514" s="552">
        <f t="shared" si="234"/>
        <v>58680.479777294691</v>
      </c>
      <c r="T514" s="552">
        <f t="shared" si="234"/>
        <v>60564.696542709629</v>
      </c>
      <c r="U514" s="552">
        <f t="shared" si="234"/>
        <v>62086.250857402978</v>
      </c>
      <c r="V514" s="552">
        <f t="shared" si="234"/>
        <v>63230.813820982781</v>
      </c>
      <c r="W514" s="552">
        <f t="shared" si="234"/>
        <v>64375.376784562162</v>
      </c>
      <c r="X514" s="552">
        <f t="shared" si="234"/>
        <v>65519.939748143122</v>
      </c>
      <c r="Y514" s="552">
        <f t="shared" si="234"/>
        <v>66664.166352561864</v>
      </c>
      <c r="Z514" s="552">
        <f t="shared" si="234"/>
        <v>67808.72931614687</v>
      </c>
      <c r="AA514" s="552">
        <f t="shared" si="234"/>
        <v>68952.955920570384</v>
      </c>
      <c r="AB514" s="552">
        <f t="shared" si="234"/>
        <v>70097.518884160978</v>
      </c>
      <c r="AC514" s="552">
        <f t="shared" si="234"/>
        <v>71242.081847755064</v>
      </c>
      <c r="AD514" s="552">
        <f t="shared" si="234"/>
        <v>72386.308452189071</v>
      </c>
      <c r="AE514" s="552">
        <f t="shared" si="234"/>
        <v>73530.871415791815</v>
      </c>
      <c r="AF514" s="552">
        <f t="shared" si="234"/>
        <v>74675.434379399958</v>
      </c>
      <c r="AG514" s="700">
        <f t="shared" si="234"/>
        <v>75819.66098385019</v>
      </c>
      <c r="AH514" s="18"/>
      <c r="AI514" s="18"/>
      <c r="AJ514" s="18"/>
      <c r="AK514" s="18"/>
      <c r="AL514" s="18"/>
      <c r="AM514" s="18"/>
      <c r="AN514" s="18"/>
    </row>
    <row r="515" spans="1:40" ht="21.9" customHeight="1" thickBot="1" x14ac:dyDescent="0.3">
      <c r="B515" s="680"/>
      <c r="C515" s="690"/>
      <c r="D515" s="690"/>
      <c r="E515" s="114"/>
      <c r="F515" s="114" t="s">
        <v>274</v>
      </c>
      <c r="G515" s="114" t="s">
        <v>317</v>
      </c>
      <c r="H515" s="710">
        <f t="shared" ref="H515:AG515" si="235">H431/H474</f>
        <v>1008.0552359163473</v>
      </c>
      <c r="I515" s="710">
        <f t="shared" si="235"/>
        <v>1036.6403222228153</v>
      </c>
      <c r="J515" s="710">
        <f t="shared" si="235"/>
        <v>1069.2122669917842</v>
      </c>
      <c r="K515" s="710">
        <f t="shared" si="235"/>
        <v>1110.8315075056989</v>
      </c>
      <c r="L515" s="710">
        <f t="shared" si="235"/>
        <v>1152.46418876194</v>
      </c>
      <c r="M515" s="710">
        <f t="shared" si="235"/>
        <v>1194.0901496560236</v>
      </c>
      <c r="N515" s="710">
        <f t="shared" si="235"/>
        <v>1235.709390190312</v>
      </c>
      <c r="O515" s="710">
        <f t="shared" si="235"/>
        <v>1277.337031196502</v>
      </c>
      <c r="P515" s="710">
        <f t="shared" si="235"/>
        <v>1324.3863292963235</v>
      </c>
      <c r="Q515" s="710">
        <f t="shared" si="235"/>
        <v>1371.4339473367843</v>
      </c>
      <c r="R515" s="710">
        <f t="shared" si="235"/>
        <v>1418.4765251387541</v>
      </c>
      <c r="S515" s="710">
        <f t="shared" si="235"/>
        <v>1465.525823360475</v>
      </c>
      <c r="T515" s="710">
        <f t="shared" si="235"/>
        <v>1512.5835221122331</v>
      </c>
      <c r="U515" s="710">
        <f t="shared" si="235"/>
        <v>1550.5838446560997</v>
      </c>
      <c r="V515" s="710">
        <f t="shared" si="235"/>
        <v>1579.1689313156201</v>
      </c>
      <c r="W515" s="710">
        <f t="shared" si="235"/>
        <v>1607.7540179574421</v>
      </c>
      <c r="X515" s="710">
        <f t="shared" si="235"/>
        <v>1636.3391046657487</v>
      </c>
      <c r="Y515" s="710">
        <f t="shared" si="235"/>
        <v>1664.9157909918492</v>
      </c>
      <c r="Z515" s="710">
        <f t="shared" si="235"/>
        <v>1693.5008778695983</v>
      </c>
      <c r="AA515" s="710">
        <f t="shared" si="235"/>
        <v>1722.0775643940692</v>
      </c>
      <c r="AB515" s="710">
        <f t="shared" si="235"/>
        <v>1750.6626515031858</v>
      </c>
      <c r="AC515" s="710">
        <f t="shared" si="235"/>
        <v>1779.247738757269</v>
      </c>
      <c r="AD515" s="710">
        <f t="shared" si="235"/>
        <v>1807.8244257188637</v>
      </c>
      <c r="AE515" s="710">
        <f t="shared" si="235"/>
        <v>1836.409513334537</v>
      </c>
      <c r="AF515" s="710">
        <f t="shared" si="235"/>
        <v>1864.9946011745412</v>
      </c>
      <c r="AG515" s="711">
        <f t="shared" si="235"/>
        <v>1893.5712888121109</v>
      </c>
      <c r="AH515" s="18"/>
      <c r="AI515" s="18"/>
      <c r="AJ515" s="18"/>
      <c r="AK515" s="18"/>
      <c r="AL515" s="18"/>
      <c r="AM515" s="18"/>
      <c r="AN515" s="18"/>
    </row>
    <row r="516" spans="1:40" ht="21.9" customHeight="1" thickBot="1" x14ac:dyDescent="0.3">
      <c r="A516" s="445"/>
      <c r="B516" s="682"/>
      <c r="C516" s="706"/>
      <c r="D516" s="706"/>
      <c r="E516" s="707" t="s">
        <v>25</v>
      </c>
      <c r="F516" s="707"/>
      <c r="G516" s="707"/>
      <c r="H516" s="708">
        <f t="shared" ref="H516:AG516" si="236">SUM(H496:H507,H509:H515)</f>
        <v>465119.29979334591</v>
      </c>
      <c r="I516" s="708">
        <f t="shared" si="236"/>
        <v>490908.50612287631</v>
      </c>
      <c r="J516" s="708">
        <f t="shared" si="236"/>
        <v>543633.15083279158</v>
      </c>
      <c r="K516" s="708">
        <f t="shared" si="236"/>
        <v>631932.67671352078</v>
      </c>
      <c r="L516" s="708">
        <f t="shared" si="236"/>
        <v>720278.1711901729</v>
      </c>
      <c r="M516" s="708">
        <f t="shared" si="236"/>
        <v>808621.99807618186</v>
      </c>
      <c r="N516" s="708">
        <f t="shared" si="236"/>
        <v>896921.56068807142</v>
      </c>
      <c r="O516" s="708">
        <f t="shared" si="236"/>
        <v>985313.58378627326</v>
      </c>
      <c r="P516" s="708">
        <f t="shared" si="236"/>
        <v>1064526.7469510525</v>
      </c>
      <c r="Q516" s="708">
        <f t="shared" si="236"/>
        <v>1143760.9098865883</v>
      </c>
      <c r="R516" s="708">
        <f t="shared" si="236"/>
        <v>1222974.8975728555</v>
      </c>
      <c r="S516" s="708">
        <f t="shared" si="236"/>
        <v>1302188.3583590663</v>
      </c>
      <c r="T516" s="708">
        <f t="shared" si="236"/>
        <v>1381492.8614900482</v>
      </c>
      <c r="U516" s="708">
        <f t="shared" si="236"/>
        <v>1425705.4561972509</v>
      </c>
      <c r="V516" s="708">
        <f t="shared" si="236"/>
        <v>1450273.3588846854</v>
      </c>
      <c r="W516" s="708">
        <f t="shared" si="236"/>
        <v>1474841.162510043</v>
      </c>
      <c r="X516" s="708">
        <f t="shared" si="236"/>
        <v>1499409.0920104457</v>
      </c>
      <c r="Y516" s="708">
        <f t="shared" si="236"/>
        <v>1524001.9416329628</v>
      </c>
      <c r="Z516" s="708">
        <f t="shared" si="236"/>
        <v>1548570.190110632</v>
      </c>
      <c r="AA516" s="708">
        <f t="shared" si="236"/>
        <v>1573160.3778336183</v>
      </c>
      <c r="AB516" s="708">
        <f t="shared" si="236"/>
        <v>1597729.0566987982</v>
      </c>
      <c r="AC516" s="708">
        <f t="shared" si="236"/>
        <v>1622298.0023815855</v>
      </c>
      <c r="AD516" s="708">
        <f t="shared" si="236"/>
        <v>1646892.030690497</v>
      </c>
      <c r="AE516" s="708">
        <f t="shared" si="236"/>
        <v>1671461.6444576569</v>
      </c>
      <c r="AF516" s="708">
        <f t="shared" si="236"/>
        <v>1696031.6680421603</v>
      </c>
      <c r="AG516" s="709">
        <f t="shared" si="236"/>
        <v>1720623.9054741212</v>
      </c>
      <c r="AH516" s="18"/>
      <c r="AI516" s="18"/>
      <c r="AJ516" s="18"/>
      <c r="AK516" s="18"/>
      <c r="AL516" s="18"/>
      <c r="AM516" s="18"/>
      <c r="AN516" s="18"/>
    </row>
    <row r="517" spans="1:40" ht="21.9" customHeight="1" x14ac:dyDescent="0.25">
      <c r="B517" s="179" t="s">
        <v>210</v>
      </c>
      <c r="C517" s="114" t="s">
        <v>156</v>
      </c>
      <c r="D517" s="237" t="s">
        <v>23</v>
      </c>
      <c r="E517" s="1325" t="s">
        <v>315</v>
      </c>
      <c r="F517" s="217" t="s">
        <v>316</v>
      </c>
      <c r="G517" s="217" t="s">
        <v>276</v>
      </c>
      <c r="H517" s="701">
        <f t="shared" ref="H517:AG517" si="237">H475+H496</f>
        <v>7729.1874665658033</v>
      </c>
      <c r="I517" s="701">
        <f t="shared" si="237"/>
        <v>8080.6568918144685</v>
      </c>
      <c r="J517" s="701">
        <f t="shared" si="237"/>
        <v>8575.8537455452624</v>
      </c>
      <c r="K517" s="701">
        <f t="shared" si="237"/>
        <v>9304.2999225149961</v>
      </c>
      <c r="L517" s="701">
        <f t="shared" si="237"/>
        <v>10033.092499420243</v>
      </c>
      <c r="M517" s="701">
        <f t="shared" si="237"/>
        <v>10762.043327591367</v>
      </c>
      <c r="N517" s="701">
        <f t="shared" si="237"/>
        <v>11491.02438476012</v>
      </c>
      <c r="O517" s="701">
        <f t="shared" si="237"/>
        <v>12221.069821463367</v>
      </c>
      <c r="P517" s="701">
        <f t="shared" si="237"/>
        <v>12943.384521105236</v>
      </c>
      <c r="Q517" s="701">
        <f t="shared" si="237"/>
        <v>13667.351818432737</v>
      </c>
      <c r="R517" s="701">
        <f t="shared" si="237"/>
        <v>14393.622768070498</v>
      </c>
      <c r="S517" s="701">
        <f t="shared" si="237"/>
        <v>15123.776700446439</v>
      </c>
      <c r="T517" s="701">
        <f t="shared" si="237"/>
        <v>15860.496715839916</v>
      </c>
      <c r="U517" s="701">
        <f t="shared" si="237"/>
        <v>16362.994002522586</v>
      </c>
      <c r="V517" s="701">
        <f t="shared" si="237"/>
        <v>16729.074658175399</v>
      </c>
      <c r="W517" s="701">
        <f t="shared" si="237"/>
        <v>17098.588178746195</v>
      </c>
      <c r="X517" s="701">
        <f t="shared" si="237"/>
        <v>17472.243791708017</v>
      </c>
      <c r="Y517" s="701">
        <f t="shared" si="237"/>
        <v>17851.009104097233</v>
      </c>
      <c r="Z517" s="701">
        <f t="shared" si="237"/>
        <v>18235.607700546811</v>
      </c>
      <c r="AA517" s="701">
        <f t="shared" si="237"/>
        <v>18627.457362276058</v>
      </c>
      <c r="AB517" s="701">
        <f t="shared" si="237"/>
        <v>19027.63589814839</v>
      </c>
      <c r="AC517" s="701">
        <f t="shared" si="237"/>
        <v>19437.845247134239</v>
      </c>
      <c r="AD517" s="701">
        <f t="shared" si="237"/>
        <v>19860.054695498053</v>
      </c>
      <c r="AE517" s="701">
        <f t="shared" si="237"/>
        <v>20296.085297391652</v>
      </c>
      <c r="AF517" s="701">
        <f t="shared" si="237"/>
        <v>20748.518172935212</v>
      </c>
      <c r="AG517" s="702">
        <f t="shared" si="237"/>
        <v>21220.328652973694</v>
      </c>
      <c r="AH517" s="18"/>
      <c r="AI517" s="18"/>
      <c r="AJ517" s="18"/>
      <c r="AK517" s="18"/>
      <c r="AL517" s="18"/>
      <c r="AM517" s="18"/>
      <c r="AN517" s="18"/>
    </row>
    <row r="518" spans="1:40" ht="21.9" customHeight="1" x14ac:dyDescent="0.25">
      <c r="B518" s="680" t="s">
        <v>450</v>
      </c>
      <c r="C518" s="690"/>
      <c r="D518" s="690"/>
      <c r="E518" s="1327"/>
      <c r="F518" s="114" t="s">
        <v>276</v>
      </c>
      <c r="G518" s="114" t="s">
        <v>274</v>
      </c>
      <c r="H518" s="552">
        <f t="shared" ref="H518:AG518" si="238">H476+H497</f>
        <v>248534.35639268748</v>
      </c>
      <c r="I518" s="552">
        <f t="shared" si="238"/>
        <v>261653.35085719993</v>
      </c>
      <c r="J518" s="552">
        <f t="shared" si="238"/>
        <v>281346.6595461517</v>
      </c>
      <c r="K518" s="552">
        <f t="shared" si="238"/>
        <v>313883.36134210043</v>
      </c>
      <c r="L518" s="552">
        <f t="shared" si="238"/>
        <v>346436.24024655746</v>
      </c>
      <c r="M518" s="552">
        <f t="shared" si="238"/>
        <v>378990.75990457903</v>
      </c>
      <c r="N518" s="552">
        <f t="shared" si="238"/>
        <v>411540.13143218507</v>
      </c>
      <c r="O518" s="552">
        <f t="shared" si="238"/>
        <v>444135.13427734718</v>
      </c>
      <c r="P518" s="552">
        <f t="shared" si="238"/>
        <v>477051.8549036542</v>
      </c>
      <c r="Q518" s="552">
        <f t="shared" si="238"/>
        <v>510041.20912473847</v>
      </c>
      <c r="R518" s="552">
        <f t="shared" si="238"/>
        <v>543131.18457883305</v>
      </c>
      <c r="S518" s="552">
        <f t="shared" si="238"/>
        <v>576416.54643636942</v>
      </c>
      <c r="T518" s="552">
        <f t="shared" si="238"/>
        <v>610063.08091750217</v>
      </c>
      <c r="U518" s="552">
        <f t="shared" si="238"/>
        <v>630772.48812326731</v>
      </c>
      <c r="V518" s="552">
        <f t="shared" si="238"/>
        <v>644498.83093908313</v>
      </c>
      <c r="W518" s="552">
        <f t="shared" si="238"/>
        <v>658362.95734618232</v>
      </c>
      <c r="X518" s="552">
        <f t="shared" si="238"/>
        <v>672392.39021314972</v>
      </c>
      <c r="Y518" s="552">
        <f t="shared" si="238"/>
        <v>686627.47949215444</v>
      </c>
      <c r="Z518" s="552">
        <f t="shared" si="238"/>
        <v>701090.06804121251</v>
      </c>
      <c r="AA518" s="552">
        <f t="shared" si="238"/>
        <v>715840.53998863581</v>
      </c>
      <c r="AB518" s="552">
        <f t="shared" si="238"/>
        <v>730913.65955145785</v>
      </c>
      <c r="AC518" s="552">
        <f t="shared" si="238"/>
        <v>746377.1133593088</v>
      </c>
      <c r="AD518" s="552">
        <f t="shared" si="238"/>
        <v>762308.8041436245</v>
      </c>
      <c r="AE518" s="552">
        <f t="shared" si="238"/>
        <v>778770.30107500346</v>
      </c>
      <c r="AF518" s="552">
        <f t="shared" si="238"/>
        <v>795861.79789423151</v>
      </c>
      <c r="AG518" s="700">
        <f t="shared" si="238"/>
        <v>813698.45484208758</v>
      </c>
      <c r="AH518" s="18"/>
      <c r="AI518" s="18"/>
      <c r="AJ518" s="18"/>
      <c r="AK518" s="18"/>
      <c r="AL518" s="18"/>
      <c r="AM518" s="18"/>
      <c r="AN518" s="18"/>
    </row>
    <row r="519" spans="1:40" ht="21.9" customHeight="1" x14ac:dyDescent="0.25">
      <c r="B519" s="680"/>
      <c r="C519" s="690"/>
      <c r="D519" s="690"/>
      <c r="E519" s="1327"/>
      <c r="F519" s="114" t="s">
        <v>274</v>
      </c>
      <c r="G519" s="114" t="s">
        <v>317</v>
      </c>
      <c r="H519" s="552">
        <f t="shared" ref="H519:AG519" si="239">H477+H498</f>
        <v>5797.5278744446077</v>
      </c>
      <c r="I519" s="552">
        <f t="shared" si="239"/>
        <v>6039.9644619952387</v>
      </c>
      <c r="J519" s="552">
        <f t="shared" si="239"/>
        <v>6340.2819218374116</v>
      </c>
      <c r="K519" s="552">
        <f t="shared" si="239"/>
        <v>6745.3306870503566</v>
      </c>
      <c r="L519" s="552">
        <f t="shared" si="239"/>
        <v>7151.8995481951924</v>
      </c>
      <c r="M519" s="552">
        <f t="shared" si="239"/>
        <v>7560.7335143730634</v>
      </c>
      <c r="N519" s="552">
        <f t="shared" si="239"/>
        <v>7973.2537206034203</v>
      </c>
      <c r="O519" s="552">
        <f t="shared" si="239"/>
        <v>8392.1124297514179</v>
      </c>
      <c r="P519" s="552">
        <f t="shared" si="239"/>
        <v>8806.882020079338</v>
      </c>
      <c r="Q519" s="552">
        <f t="shared" si="239"/>
        <v>9235.1386103994082</v>
      </c>
      <c r="R519" s="552">
        <f t="shared" si="239"/>
        <v>9682.9758864209689</v>
      </c>
      <c r="S519" s="552">
        <f t="shared" si="239"/>
        <v>10159.56659443544</v>
      </c>
      <c r="T519" s="552">
        <f t="shared" si="239"/>
        <v>10677.823562668429</v>
      </c>
      <c r="U519" s="552">
        <f t="shared" si="239"/>
        <v>11094.128788060096</v>
      </c>
      <c r="V519" s="552">
        <f t="shared" si="239"/>
        <v>11475.806010678632</v>
      </c>
      <c r="W519" s="552">
        <f t="shared" si="239"/>
        <v>11892.397442432946</v>
      </c>
      <c r="X519" s="552">
        <f t="shared" si="239"/>
        <v>12351.57465231662</v>
      </c>
      <c r="Y519" s="552">
        <f t="shared" si="239"/>
        <v>12862.687935047634</v>
      </c>
      <c r="Z519" s="552">
        <f t="shared" si="239"/>
        <v>13436.170184478029</v>
      </c>
      <c r="AA519" s="552">
        <f t="shared" si="239"/>
        <v>14085.301242906455</v>
      </c>
      <c r="AB519" s="552">
        <f t="shared" si="239"/>
        <v>14824.660757215519</v>
      </c>
      <c r="AC519" s="552">
        <f t="shared" si="239"/>
        <v>15672.213864678801</v>
      </c>
      <c r="AD519" s="552">
        <f t="shared" si="239"/>
        <v>16649.122705484915</v>
      </c>
      <c r="AE519" s="552">
        <f t="shared" si="239"/>
        <v>17778.823117965192</v>
      </c>
      <c r="AF519" s="552">
        <f t="shared" si="239"/>
        <v>19089.844488663046</v>
      </c>
      <c r="AG519" s="700">
        <f t="shared" si="239"/>
        <v>20615.524165646661</v>
      </c>
      <c r="AH519" s="18"/>
      <c r="AI519" s="18"/>
      <c r="AJ519" s="18"/>
      <c r="AK519" s="18"/>
      <c r="AL519" s="18"/>
      <c r="AM519" s="18"/>
      <c r="AN519" s="18"/>
    </row>
    <row r="520" spans="1:40" ht="21.9" customHeight="1" x14ac:dyDescent="0.25">
      <c r="B520" s="680"/>
      <c r="C520" s="690"/>
      <c r="D520" s="690"/>
      <c r="E520" s="1325" t="s">
        <v>274</v>
      </c>
      <c r="F520" s="217" t="s">
        <v>275</v>
      </c>
      <c r="G520" s="217" t="s">
        <v>318</v>
      </c>
      <c r="H520" s="558">
        <f t="shared" ref="H520:AG520" si="240">H478+H499</f>
        <v>65763.478261261611</v>
      </c>
      <c r="I520" s="558">
        <f t="shared" si="240"/>
        <v>72415.782905479355</v>
      </c>
      <c r="J520" s="558">
        <f t="shared" si="240"/>
        <v>87288.522339266085</v>
      </c>
      <c r="K520" s="558">
        <f t="shared" si="240"/>
        <v>117161.58255540981</v>
      </c>
      <c r="L520" s="558">
        <f t="shared" si="240"/>
        <v>147053.05884410304</v>
      </c>
      <c r="M520" s="558">
        <f t="shared" si="240"/>
        <v>176941.26267525891</v>
      </c>
      <c r="N520" s="558">
        <f t="shared" si="240"/>
        <v>206814.41835417983</v>
      </c>
      <c r="O520" s="558">
        <f t="shared" si="240"/>
        <v>236724.70467922481</v>
      </c>
      <c r="P520" s="558">
        <f t="shared" si="240"/>
        <v>266074.97860319499</v>
      </c>
      <c r="Q520" s="558">
        <f t="shared" si="240"/>
        <v>295442.73290277738</v>
      </c>
      <c r="R520" s="558">
        <f t="shared" si="240"/>
        <v>324802.47470902756</v>
      </c>
      <c r="S520" s="558">
        <f t="shared" si="240"/>
        <v>354177.97283947672</v>
      </c>
      <c r="T520" s="558">
        <f t="shared" si="240"/>
        <v>383624.47244799929</v>
      </c>
      <c r="U520" s="558">
        <f t="shared" si="240"/>
        <v>398006.37738548004</v>
      </c>
      <c r="V520" s="558">
        <f t="shared" si="240"/>
        <v>404689.8477729091</v>
      </c>
      <c r="W520" s="558">
        <f t="shared" si="240"/>
        <v>411378.88759099506</v>
      </c>
      <c r="X520" s="558">
        <f t="shared" si="240"/>
        <v>418074.37761359976</v>
      </c>
      <c r="Y520" s="558">
        <f t="shared" si="240"/>
        <v>424787.59707454138</v>
      </c>
      <c r="Z520" s="558">
        <f t="shared" si="240"/>
        <v>431499.14373961923</v>
      </c>
      <c r="AA520" s="558">
        <f t="shared" si="240"/>
        <v>438230.88040856714</v>
      </c>
      <c r="AB520" s="558">
        <f t="shared" si="240"/>
        <v>444963.67027923669</v>
      </c>
      <c r="AC520" s="558">
        <f t="shared" si="240"/>
        <v>451709.45334487868</v>
      </c>
      <c r="AD520" s="558">
        <f t="shared" si="240"/>
        <v>458480.45965916745</v>
      </c>
      <c r="AE520" s="558">
        <f t="shared" si="240"/>
        <v>465258.06427605473</v>
      </c>
      <c r="AF520" s="558">
        <f t="shared" si="240"/>
        <v>472054.9636556498</v>
      </c>
      <c r="AG520" s="703">
        <f t="shared" si="240"/>
        <v>478884.25870183099</v>
      </c>
      <c r="AH520" s="18"/>
      <c r="AI520" s="18"/>
      <c r="AJ520" s="18"/>
      <c r="AK520" s="18"/>
      <c r="AL520" s="18"/>
      <c r="AM520" s="18"/>
      <c r="AN520" s="18"/>
    </row>
    <row r="521" spans="1:40" ht="21.9" customHeight="1" x14ac:dyDescent="0.25">
      <c r="B521" s="680"/>
      <c r="C521" s="690"/>
      <c r="D521" s="690"/>
      <c r="E521" s="1327"/>
      <c r="F521" s="114" t="s">
        <v>318</v>
      </c>
      <c r="G521" s="114" t="s">
        <v>308</v>
      </c>
      <c r="H521" s="552">
        <f t="shared" ref="H521:AG521" si="241">H479+H500</f>
        <v>8848.4899221904034</v>
      </c>
      <c r="I521" s="552">
        <f t="shared" si="241"/>
        <v>9688.5885075925544</v>
      </c>
      <c r="J521" s="552">
        <f t="shared" si="241"/>
        <v>10880.367478794094</v>
      </c>
      <c r="K521" s="552">
        <f t="shared" si="241"/>
        <v>12822.418318768614</v>
      </c>
      <c r="L521" s="552">
        <f t="shared" si="241"/>
        <v>14765.924432374451</v>
      </c>
      <c r="M521" s="552">
        <f t="shared" si="241"/>
        <v>16712.598895484894</v>
      </c>
      <c r="N521" s="552">
        <f t="shared" si="241"/>
        <v>18667.372614188738</v>
      </c>
      <c r="O521" s="552">
        <f t="shared" si="241"/>
        <v>20647.817545622693</v>
      </c>
      <c r="P521" s="552">
        <f t="shared" si="241"/>
        <v>22973.419692461855</v>
      </c>
      <c r="Q521" s="552">
        <f t="shared" si="241"/>
        <v>25485.14475233596</v>
      </c>
      <c r="R521" s="552">
        <f t="shared" si="241"/>
        <v>28417.099562131079</v>
      </c>
      <c r="S521" s="552">
        <f t="shared" si="241"/>
        <v>32246.205065692226</v>
      </c>
      <c r="T521" s="552">
        <f t="shared" si="241"/>
        <v>37883.09792185804</v>
      </c>
      <c r="U521" s="552">
        <f t="shared" si="241"/>
        <v>43343.021499089074</v>
      </c>
      <c r="V521" s="552">
        <f t="shared" si="241"/>
        <v>47428.951547444565</v>
      </c>
      <c r="W521" s="552">
        <f t="shared" si="241"/>
        <v>52425.604715419307</v>
      </c>
      <c r="X521" s="552">
        <f t="shared" si="241"/>
        <v>58556.881843177965</v>
      </c>
      <c r="Y521" s="552">
        <f t="shared" si="241"/>
        <v>66103.837600834668</v>
      </c>
      <c r="Z521" s="552">
        <f t="shared" si="241"/>
        <v>75377.451640749176</v>
      </c>
      <c r="AA521" s="552">
        <f t="shared" si="241"/>
        <v>86794.047192523052</v>
      </c>
      <c r="AB521" s="552">
        <f t="shared" si="241"/>
        <v>89520.500476160436</v>
      </c>
      <c r="AC521" s="552">
        <f t="shared" si="241"/>
        <v>91449.213930593614</v>
      </c>
      <c r="AD521" s="552">
        <f t="shared" si="241"/>
        <v>93380.176641897851</v>
      </c>
      <c r="AE521" s="552">
        <f t="shared" si="241"/>
        <v>95308.998127571176</v>
      </c>
      <c r="AF521" s="552">
        <f t="shared" si="241"/>
        <v>97237.890457528643</v>
      </c>
      <c r="AG521" s="700">
        <f t="shared" si="241"/>
        <v>99169.068835525919</v>
      </c>
      <c r="AH521" s="18"/>
      <c r="AI521" s="18"/>
      <c r="AJ521" s="18"/>
      <c r="AK521" s="18"/>
      <c r="AL521" s="18"/>
      <c r="AM521" s="18"/>
      <c r="AN521" s="18"/>
    </row>
    <row r="522" spans="1:40" ht="21.9" customHeight="1" x14ac:dyDescent="0.25">
      <c r="B522" s="680"/>
      <c r="C522" s="690"/>
      <c r="D522" s="690"/>
      <c r="E522" s="1339"/>
      <c r="F522" s="250" t="s">
        <v>308</v>
      </c>
      <c r="G522" s="250" t="s">
        <v>319</v>
      </c>
      <c r="H522" s="562">
        <f t="shared" ref="H522:AG522" si="242">H480+H501</f>
        <v>125559.46488394152</v>
      </c>
      <c r="I522" s="562">
        <f t="shared" si="242"/>
        <v>129298.84195948513</v>
      </c>
      <c r="J522" s="562">
        <f t="shared" si="242"/>
        <v>134763.71428682527</v>
      </c>
      <c r="K522" s="562">
        <f t="shared" si="242"/>
        <v>142819.75301685371</v>
      </c>
      <c r="L522" s="562">
        <f t="shared" si="242"/>
        <v>151564.0457773144</v>
      </c>
      <c r="M522" s="562">
        <f t="shared" si="242"/>
        <v>161367.28869303904</v>
      </c>
      <c r="N522" s="562">
        <f t="shared" si="242"/>
        <v>172773.35740434137</v>
      </c>
      <c r="O522" s="562">
        <f t="shared" si="242"/>
        <v>186582.19091549522</v>
      </c>
      <c r="P522" s="562">
        <f t="shared" si="242"/>
        <v>204082.44793959323</v>
      </c>
      <c r="Q522" s="562">
        <f t="shared" si="242"/>
        <v>226759.75695798732</v>
      </c>
      <c r="R522" s="562">
        <f t="shared" si="242"/>
        <v>256799.41087837238</v>
      </c>
      <c r="S522" s="562">
        <f t="shared" si="242"/>
        <v>297210.63501489989</v>
      </c>
      <c r="T522" s="562">
        <f t="shared" si="242"/>
        <v>352079.19405828248</v>
      </c>
      <c r="U522" s="562">
        <f t="shared" si="242"/>
        <v>403036.83741010039</v>
      </c>
      <c r="V522" s="562">
        <f t="shared" si="242"/>
        <v>445497.93802874989</v>
      </c>
      <c r="W522" s="562">
        <f t="shared" si="242"/>
        <v>477530.93935508019</v>
      </c>
      <c r="X522" s="562">
        <f t="shared" si="242"/>
        <v>485272.51730524574</v>
      </c>
      <c r="Y522" s="562">
        <f t="shared" si="242"/>
        <v>493017.90487224236</v>
      </c>
      <c r="Z522" s="562">
        <f t="shared" si="242"/>
        <v>500759.75031408755</v>
      </c>
      <c r="AA522" s="562">
        <f t="shared" si="242"/>
        <v>508505.44613405102</v>
      </c>
      <c r="AB522" s="562">
        <f t="shared" si="242"/>
        <v>516247.64665636112</v>
      </c>
      <c r="AC522" s="562">
        <f t="shared" si="242"/>
        <v>523990.06452830543</v>
      </c>
      <c r="AD522" s="562">
        <f t="shared" si="242"/>
        <v>531736.41773450305</v>
      </c>
      <c r="AE522" s="562">
        <f t="shared" si="242"/>
        <v>539479.37141869066</v>
      </c>
      <c r="AF522" s="562">
        <f t="shared" si="242"/>
        <v>547222.64973636321</v>
      </c>
      <c r="AG522" s="704">
        <f t="shared" si="242"/>
        <v>554969.98448030138</v>
      </c>
      <c r="AH522" s="18"/>
      <c r="AI522" s="18"/>
      <c r="AJ522" s="18"/>
      <c r="AK522" s="18"/>
      <c r="AL522" s="18"/>
      <c r="AM522" s="18"/>
      <c r="AN522" s="18"/>
    </row>
    <row r="523" spans="1:40" ht="21.9" customHeight="1" x14ac:dyDescent="0.25">
      <c r="B523" s="680"/>
      <c r="C523" s="690"/>
      <c r="D523" s="690"/>
      <c r="E523" s="114" t="s">
        <v>320</v>
      </c>
      <c r="F523" s="114" t="s">
        <v>318</v>
      </c>
      <c r="G523" s="114" t="s">
        <v>308</v>
      </c>
      <c r="H523" s="552">
        <f t="shared" ref="H523:AG523" si="243">H481+H502</f>
        <v>397.10648148148141</v>
      </c>
      <c r="I523" s="552">
        <f t="shared" si="243"/>
        <v>1649.3817708333331</v>
      </c>
      <c r="J523" s="552">
        <f t="shared" si="243"/>
        <v>14714.582118138806</v>
      </c>
      <c r="K523" s="552">
        <f t="shared" si="243"/>
        <v>34803.604435508329</v>
      </c>
      <c r="L523" s="552">
        <f t="shared" si="243"/>
        <v>54907.083007054956</v>
      </c>
      <c r="M523" s="552">
        <f t="shared" si="243"/>
        <v>75007.318638135228</v>
      </c>
      <c r="N523" s="552">
        <f t="shared" si="243"/>
        <v>95159.663067112328</v>
      </c>
      <c r="O523" s="552">
        <f t="shared" si="243"/>
        <v>115772.18898341974</v>
      </c>
      <c r="P523" s="552">
        <f t="shared" si="243"/>
        <v>124704.21763673876</v>
      </c>
      <c r="Q523" s="552">
        <f t="shared" si="243"/>
        <v>134259.90252086625</v>
      </c>
      <c r="R523" s="552">
        <f t="shared" si="243"/>
        <v>144916.52225817193</v>
      </c>
      <c r="S523" s="552">
        <f t="shared" si="243"/>
        <v>157470.82077452834</v>
      </c>
      <c r="T523" s="552">
        <f t="shared" si="243"/>
        <v>173252.26914442139</v>
      </c>
      <c r="U523" s="552">
        <f t="shared" si="243"/>
        <v>176022.9671175917</v>
      </c>
      <c r="V523" s="552">
        <f t="shared" si="243"/>
        <v>178918.88082641189</v>
      </c>
      <c r="W523" s="552">
        <f t="shared" si="243"/>
        <v>181949.32729113434</v>
      </c>
      <c r="X523" s="552">
        <f t="shared" si="243"/>
        <v>185124.13712602586</v>
      </c>
      <c r="Y523" s="552">
        <f t="shared" si="243"/>
        <v>188478.11353383906</v>
      </c>
      <c r="Z523" s="552">
        <f t="shared" si="243"/>
        <v>191974.93707875133</v>
      </c>
      <c r="AA523" s="552">
        <f t="shared" si="243"/>
        <v>195661.59550874622</v>
      </c>
      <c r="AB523" s="552">
        <f t="shared" si="243"/>
        <v>199527.40554806791</v>
      </c>
      <c r="AC523" s="552">
        <f t="shared" si="243"/>
        <v>203597.10963019443</v>
      </c>
      <c r="AD523" s="552">
        <f t="shared" si="243"/>
        <v>207916.3261736953</v>
      </c>
      <c r="AE523" s="552">
        <f t="shared" si="243"/>
        <v>212439.03031614795</v>
      </c>
      <c r="AF523" s="552">
        <f t="shared" si="243"/>
        <v>217211.03010496756</v>
      </c>
      <c r="AG523" s="700">
        <f t="shared" si="243"/>
        <v>222265.71920613194</v>
      </c>
      <c r="AH523" s="18"/>
      <c r="AI523" s="18"/>
      <c r="AJ523" s="18"/>
      <c r="AK523" s="18"/>
      <c r="AL523" s="18"/>
      <c r="AM523" s="18"/>
      <c r="AN523" s="18"/>
    </row>
    <row r="524" spans="1:40" ht="21.9" customHeight="1" x14ac:dyDescent="0.25">
      <c r="B524" s="680"/>
      <c r="C524" s="690"/>
      <c r="D524" s="690"/>
      <c r="E524" s="1325" t="s">
        <v>308</v>
      </c>
      <c r="F524" s="217" t="s">
        <v>276</v>
      </c>
      <c r="G524" s="217" t="s">
        <v>320</v>
      </c>
      <c r="H524" s="558">
        <f t="shared" ref="H524:AG524" si="244">H482+H503</f>
        <v>1198.905109489051</v>
      </c>
      <c r="I524" s="558">
        <f t="shared" si="244"/>
        <v>2664.5666058394158</v>
      </c>
      <c r="J524" s="558">
        <f t="shared" si="244"/>
        <v>11261.9151459854</v>
      </c>
      <c r="K524" s="558">
        <f t="shared" si="244"/>
        <v>25316.080291971932</v>
      </c>
      <c r="L524" s="558">
        <f t="shared" si="244"/>
        <v>39378.038321313361</v>
      </c>
      <c r="M524" s="558">
        <f t="shared" si="244"/>
        <v>53440.595807103331</v>
      </c>
      <c r="N524" s="558">
        <f t="shared" si="244"/>
        <v>67494.761003473541</v>
      </c>
      <c r="O524" s="558">
        <f t="shared" si="244"/>
        <v>81565.111751914897</v>
      </c>
      <c r="P524" s="558">
        <f t="shared" si="244"/>
        <v>92415.204285157481</v>
      </c>
      <c r="Q524" s="558">
        <f t="shared" si="244"/>
        <v>103267.098022146</v>
      </c>
      <c r="R524" s="558">
        <f t="shared" si="244"/>
        <v>114117.20100719389</v>
      </c>
      <c r="S524" s="558">
        <f t="shared" si="244"/>
        <v>124967.32246853947</v>
      </c>
      <c r="T524" s="558">
        <f t="shared" si="244"/>
        <v>135831.87240782398</v>
      </c>
      <c r="U524" s="558">
        <f t="shared" si="244"/>
        <v>141216.81857160493</v>
      </c>
      <c r="V524" s="558">
        <f t="shared" si="244"/>
        <v>142682.50214424095</v>
      </c>
      <c r="W524" s="558">
        <f t="shared" si="244"/>
        <v>144148.18810430038</v>
      </c>
      <c r="X524" s="558">
        <f t="shared" si="244"/>
        <v>145613.8766824351</v>
      </c>
      <c r="Y524" s="558">
        <f t="shared" si="244"/>
        <v>147083.76438616531</v>
      </c>
      <c r="Z524" s="558">
        <f t="shared" si="244"/>
        <v>148549.45897933331</v>
      </c>
      <c r="AA524" s="558">
        <f t="shared" si="244"/>
        <v>150019.35328198146</v>
      </c>
      <c r="AB524" s="558">
        <f t="shared" si="244"/>
        <v>151485.05506695382</v>
      </c>
      <c r="AC524" s="558">
        <f t="shared" si="244"/>
        <v>152950.7609445136</v>
      </c>
      <c r="AD524" s="558">
        <f t="shared" si="244"/>
        <v>154420.66759960086</v>
      </c>
      <c r="AE524" s="558">
        <f t="shared" si="244"/>
        <v>155886.38281767844</v>
      </c>
      <c r="AF524" s="558">
        <f t="shared" si="244"/>
        <v>157352.10333149429</v>
      </c>
      <c r="AG524" s="703">
        <f t="shared" si="244"/>
        <v>158822.02596842652</v>
      </c>
      <c r="AH524" s="18"/>
      <c r="AI524" s="18"/>
      <c r="AJ524" s="18"/>
      <c r="AK524" s="18"/>
      <c r="AL524" s="18"/>
      <c r="AM524" s="18"/>
      <c r="AN524" s="18"/>
    </row>
    <row r="525" spans="1:40" ht="21.9" customHeight="1" x14ac:dyDescent="0.25">
      <c r="B525" s="680"/>
      <c r="C525" s="690"/>
      <c r="D525" s="690"/>
      <c r="E525" s="1327"/>
      <c r="F525" s="114" t="s">
        <v>320</v>
      </c>
      <c r="G525" s="114" t="s">
        <v>282</v>
      </c>
      <c r="H525" s="552">
        <f t="shared" ref="H525:AG525" si="245">H483+H504</f>
        <v>0</v>
      </c>
      <c r="I525" s="552">
        <f t="shared" si="245"/>
        <v>808.15085158150828</v>
      </c>
      <c r="J525" s="552">
        <f t="shared" si="245"/>
        <v>2335.8046228710464</v>
      </c>
      <c r="K525" s="552">
        <f t="shared" si="245"/>
        <v>5250.7425790756597</v>
      </c>
      <c r="L525" s="552">
        <f t="shared" si="245"/>
        <v>8167.2968370131402</v>
      </c>
      <c r="M525" s="552">
        <f t="shared" si="245"/>
        <v>11083.97542665847</v>
      </c>
      <c r="N525" s="552">
        <f t="shared" si="245"/>
        <v>13998.913393313032</v>
      </c>
      <c r="O525" s="552">
        <f t="shared" si="245"/>
        <v>16917.208363360129</v>
      </c>
      <c r="P525" s="552">
        <f t="shared" si="245"/>
        <v>19167.597925810442</v>
      </c>
      <c r="Q525" s="552">
        <f t="shared" si="245"/>
        <v>21418.361071259911</v>
      </c>
      <c r="R525" s="552">
        <f t="shared" si="245"/>
        <v>23668.752801492064</v>
      </c>
      <c r="S525" s="552">
        <f t="shared" si="245"/>
        <v>25919.148363845226</v>
      </c>
      <c r="T525" s="552">
        <f t="shared" si="245"/>
        <v>28172.536499400529</v>
      </c>
      <c r="U525" s="552">
        <f t="shared" si="245"/>
        <v>29289.414222258802</v>
      </c>
      <c r="V525" s="552">
        <f t="shared" si="245"/>
        <v>29593.407852138866</v>
      </c>
      <c r="W525" s="552">
        <f t="shared" si="245"/>
        <v>29897.401977188223</v>
      </c>
      <c r="X525" s="552">
        <f t="shared" si="245"/>
        <v>30201.396645245804</v>
      </c>
      <c r="Y525" s="552">
        <f t="shared" si="245"/>
        <v>30506.26224305651</v>
      </c>
      <c r="Z525" s="552">
        <f t="shared" si="245"/>
        <v>30810.258158676537</v>
      </c>
      <c r="AA525" s="552">
        <f t="shared" si="245"/>
        <v>31115.12512515171</v>
      </c>
      <c r="AB525" s="552">
        <f t="shared" si="245"/>
        <v>31419.122532405239</v>
      </c>
      <c r="AC525" s="552">
        <f t="shared" si="245"/>
        <v>31723.120788491702</v>
      </c>
      <c r="AD525" s="552">
        <f t="shared" si="245"/>
        <v>32027.990316954256</v>
      </c>
      <c r="AE525" s="552">
        <f t="shared" si="245"/>
        <v>32331.990510333308</v>
      </c>
      <c r="AF525" s="552">
        <f t="shared" si="245"/>
        <v>32635.991802087701</v>
      </c>
      <c r="AG525" s="700">
        <f t="shared" si="245"/>
        <v>32940.864645303278</v>
      </c>
      <c r="AH525" s="18"/>
      <c r="AI525" s="18"/>
      <c r="AJ525" s="18"/>
      <c r="AK525" s="18"/>
      <c r="AL525" s="18"/>
      <c r="AM525" s="18"/>
      <c r="AN525" s="18"/>
    </row>
    <row r="526" spans="1:40" ht="21.9" customHeight="1" x14ac:dyDescent="0.25">
      <c r="B526" s="680"/>
      <c r="C526" s="690"/>
      <c r="D526" s="690"/>
      <c r="E526" s="1327"/>
      <c r="F526" s="114" t="s">
        <v>282</v>
      </c>
      <c r="G526" s="114" t="s">
        <v>321</v>
      </c>
      <c r="H526" s="552">
        <f t="shared" ref="H526:AG526" si="246">H484+H505</f>
        <v>0</v>
      </c>
      <c r="I526" s="552">
        <f t="shared" si="246"/>
        <v>2106.9647201946473</v>
      </c>
      <c r="J526" s="552">
        <f t="shared" si="246"/>
        <v>6089.7763381995128</v>
      </c>
      <c r="K526" s="552">
        <f t="shared" si="246"/>
        <v>13689.436009732968</v>
      </c>
      <c r="L526" s="552">
        <f t="shared" si="246"/>
        <v>21293.309610784258</v>
      </c>
      <c r="M526" s="552">
        <f t="shared" si="246"/>
        <v>28897.507362359574</v>
      </c>
      <c r="N526" s="552">
        <f t="shared" si="246"/>
        <v>36497.167061137545</v>
      </c>
      <c r="O526" s="552">
        <f t="shared" si="246"/>
        <v>44105.578947331764</v>
      </c>
      <c r="P526" s="552">
        <f t="shared" si="246"/>
        <v>49972.666020862933</v>
      </c>
      <c r="Q526" s="552">
        <f t="shared" si="246"/>
        <v>55840.72707864191</v>
      </c>
      <c r="R526" s="552">
        <f t="shared" si="246"/>
        <v>61707.819803890015</v>
      </c>
      <c r="S526" s="552">
        <f t="shared" si="246"/>
        <v>67574.922520025022</v>
      </c>
      <c r="T526" s="552">
        <f t="shared" si="246"/>
        <v>73449.827302008503</v>
      </c>
      <c r="U526" s="552">
        <f t="shared" si="246"/>
        <v>76361.687079460433</v>
      </c>
      <c r="V526" s="552">
        <f t="shared" si="246"/>
        <v>77154.241900219175</v>
      </c>
      <c r="W526" s="552">
        <f t="shared" si="246"/>
        <v>77946.798011955019</v>
      </c>
      <c r="X526" s="552">
        <f t="shared" si="246"/>
        <v>78739.355539390832</v>
      </c>
      <c r="Y526" s="552">
        <f t="shared" si="246"/>
        <v>79534.183705111616</v>
      </c>
      <c r="Z526" s="552">
        <f t="shared" si="246"/>
        <v>80326.744485120973</v>
      </c>
      <c r="AA526" s="552">
        <f t="shared" si="246"/>
        <v>81121.576219145514</v>
      </c>
      <c r="AB526" s="552">
        <f t="shared" si="246"/>
        <v>81914.140888056514</v>
      </c>
      <c r="AC526" s="552">
        <f t="shared" si="246"/>
        <v>82706.707769996225</v>
      </c>
      <c r="AD526" s="552">
        <f t="shared" si="246"/>
        <v>83501.546183487866</v>
      </c>
      <c r="AE526" s="552">
        <f t="shared" si="246"/>
        <v>84294.118116226105</v>
      </c>
      <c r="AF526" s="552">
        <f t="shared" si="246"/>
        <v>85086.692912585801</v>
      </c>
      <c r="AG526" s="700">
        <f t="shared" si="246"/>
        <v>85881.53996811212</v>
      </c>
      <c r="AH526" s="18"/>
      <c r="AI526" s="18"/>
      <c r="AJ526" s="18"/>
      <c r="AK526" s="18"/>
      <c r="AL526" s="18"/>
      <c r="AM526" s="18"/>
      <c r="AN526" s="18"/>
    </row>
    <row r="527" spans="1:40" ht="21.9" customHeight="1" x14ac:dyDescent="0.25">
      <c r="B527" s="680"/>
      <c r="C527" s="690"/>
      <c r="D527" s="690"/>
      <c r="E527" s="1339"/>
      <c r="F527" s="250" t="s">
        <v>321</v>
      </c>
      <c r="G527" s="250" t="s">
        <v>274</v>
      </c>
      <c r="H527" s="562">
        <f t="shared" ref="H527:AG527" si="247">H485+H506</f>
        <v>2797.4452554744526</v>
      </c>
      <c r="I527" s="562">
        <f t="shared" si="247"/>
        <v>4134.3443430656926</v>
      </c>
      <c r="J527" s="562">
        <f t="shared" si="247"/>
        <v>5799.85</v>
      </c>
      <c r="K527" s="562">
        <f t="shared" si="247"/>
        <v>9366.0332116788322</v>
      </c>
      <c r="L527" s="562">
        <f t="shared" si="247"/>
        <v>12932.682664233587</v>
      </c>
      <c r="M527" s="562">
        <f t="shared" si="247"/>
        <v>16500.824087591365</v>
      </c>
      <c r="N527" s="562">
        <f t="shared" si="247"/>
        <v>20067.00729927115</v>
      </c>
      <c r="O527" s="562">
        <f t="shared" si="247"/>
        <v>23631.325547451786</v>
      </c>
      <c r="P527" s="562">
        <f t="shared" si="247"/>
        <v>30788.309489170948</v>
      </c>
      <c r="Q527" s="562">
        <f t="shared" si="247"/>
        <v>37941.190512141889</v>
      </c>
      <c r="R527" s="562">
        <f t="shared" si="247"/>
        <v>45095.656759802892</v>
      </c>
      <c r="S527" s="562">
        <f t="shared" si="247"/>
        <v>52252.640733758701</v>
      </c>
      <c r="T527" s="562">
        <f t="shared" si="247"/>
        <v>59407.759836992336</v>
      </c>
      <c r="U527" s="562">
        <f t="shared" si="247"/>
        <v>64663.879982477069</v>
      </c>
      <c r="V527" s="562">
        <f t="shared" si="247"/>
        <v>66000.779176209689</v>
      </c>
      <c r="W527" s="562">
        <f t="shared" si="247"/>
        <v>67337.678393764189</v>
      </c>
      <c r="X527" s="562">
        <f t="shared" si="247"/>
        <v>68674.577639852505</v>
      </c>
      <c r="Y527" s="562">
        <f t="shared" si="247"/>
        <v>70007.467247826862</v>
      </c>
      <c r="Z527" s="562">
        <f t="shared" si="247"/>
        <v>71344.366568339159</v>
      </c>
      <c r="AA527" s="562">
        <f t="shared" si="247"/>
        <v>72677.256264387222</v>
      </c>
      <c r="AB527" s="562">
        <f t="shared" si="247"/>
        <v>74014.155689420746</v>
      </c>
      <c r="AC527" s="562">
        <f t="shared" si="247"/>
        <v>75351.055181241478</v>
      </c>
      <c r="AD527" s="562">
        <f t="shared" si="247"/>
        <v>76683.945078408971</v>
      </c>
      <c r="AE527" s="562">
        <f t="shared" si="247"/>
        <v>78020.844740296001</v>
      </c>
      <c r="AF527" s="562">
        <f t="shared" si="247"/>
        <v>79357.744509500684</v>
      </c>
      <c r="AG527" s="704">
        <f t="shared" si="247"/>
        <v>80690.634729588026</v>
      </c>
      <c r="AH527" s="18"/>
      <c r="AI527" s="18"/>
      <c r="AJ527" s="18"/>
      <c r="AK527" s="18"/>
      <c r="AL527" s="18"/>
      <c r="AM527" s="18"/>
      <c r="AN527" s="18"/>
    </row>
    <row r="528" spans="1:40" ht="21.9" customHeight="1" x14ac:dyDescent="0.25">
      <c r="B528" s="680"/>
      <c r="C528" s="690"/>
      <c r="D528" s="690"/>
      <c r="E528" s="114" t="s">
        <v>282</v>
      </c>
      <c r="F528" s="114" t="s">
        <v>308</v>
      </c>
      <c r="G528" s="114" t="s">
        <v>324</v>
      </c>
      <c r="H528" s="568">
        <f t="shared" ref="H528:AG528" si="248">H486+H507</f>
        <v>24514.925373134458</v>
      </c>
      <c r="I528" s="568">
        <f t="shared" si="248"/>
        <v>26022.32089552264</v>
      </c>
      <c r="J528" s="568">
        <f t="shared" si="248"/>
        <v>28017.154850746825</v>
      </c>
      <c r="K528" s="568">
        <f t="shared" si="248"/>
        <v>30668.171641792556</v>
      </c>
      <c r="L528" s="568">
        <f t="shared" si="248"/>
        <v>33320.005597018695</v>
      </c>
      <c r="M528" s="568">
        <f t="shared" si="248"/>
        <v>35977.559701501305</v>
      </c>
      <c r="N528" s="568">
        <f t="shared" si="248"/>
        <v>38628.576492556465</v>
      </c>
      <c r="O528" s="568">
        <f t="shared" si="248"/>
        <v>41282.453358248742</v>
      </c>
      <c r="P528" s="568">
        <f t="shared" si="248"/>
        <v>43702.348880671481</v>
      </c>
      <c r="Q528" s="568">
        <f t="shared" si="248"/>
        <v>46120.201492671971</v>
      </c>
      <c r="R528" s="568">
        <f t="shared" si="248"/>
        <v>48540.23320919156</v>
      </c>
      <c r="S528" s="568">
        <f t="shared" si="248"/>
        <v>50960.128731746881</v>
      </c>
      <c r="T528" s="568">
        <f t="shared" si="248"/>
        <v>53388.604478285459</v>
      </c>
      <c r="U528" s="568">
        <f t="shared" si="248"/>
        <v>55150.410448723793</v>
      </c>
      <c r="V528" s="568">
        <f t="shared" si="248"/>
        <v>56657.80597144425</v>
      </c>
      <c r="W528" s="568">
        <f t="shared" si="248"/>
        <v>58165.201494265944</v>
      </c>
      <c r="X528" s="568">
        <f t="shared" si="248"/>
        <v>59672.5970172159</v>
      </c>
      <c r="Y528" s="568">
        <f t="shared" si="248"/>
        <v>61181.626868686326</v>
      </c>
      <c r="Z528" s="568">
        <f t="shared" si="248"/>
        <v>62689.022391999883</v>
      </c>
      <c r="AA528" s="568">
        <f t="shared" si="248"/>
        <v>64200.095154374125</v>
      </c>
      <c r="AB528" s="568">
        <f t="shared" si="248"/>
        <v>65707.490678251372</v>
      </c>
      <c r="AC528" s="568">
        <f t="shared" si="248"/>
        <v>67214.886202512498</v>
      </c>
      <c r="AD528" s="568">
        <f t="shared" si="248"/>
        <v>68723.916055605339</v>
      </c>
      <c r="AE528" s="568">
        <f t="shared" si="248"/>
        <v>70231.311580912501</v>
      </c>
      <c r="AF528" s="568">
        <f t="shared" si="248"/>
        <v>71738.707106918242</v>
      </c>
      <c r="AG528" s="705">
        <f t="shared" si="248"/>
        <v>73249.779872587678</v>
      </c>
      <c r="AH528" s="18"/>
      <c r="AI528" s="18"/>
      <c r="AJ528" s="18"/>
      <c r="AK528" s="18"/>
      <c r="AL528" s="18"/>
      <c r="AM528" s="18"/>
      <c r="AN528" s="18"/>
    </row>
    <row r="529" spans="1:40" ht="21.9" customHeight="1" x14ac:dyDescent="0.25">
      <c r="B529" s="680"/>
      <c r="C529" s="690"/>
      <c r="D529" s="690"/>
      <c r="E529" s="273" t="s">
        <v>321</v>
      </c>
      <c r="F529" s="273" t="s">
        <v>318</v>
      </c>
      <c r="G529" s="273" t="s">
        <v>308</v>
      </c>
      <c r="H529" s="552">
        <f t="shared" ref="H529:AG529" si="249">H487+H508</f>
        <v>0</v>
      </c>
      <c r="I529" s="552">
        <f t="shared" si="249"/>
        <v>25506.695298631377</v>
      </c>
      <c r="J529" s="552">
        <f t="shared" si="249"/>
        <v>27462.004335917474</v>
      </c>
      <c r="K529" s="552">
        <f t="shared" si="249"/>
        <v>30060.498908605485</v>
      </c>
      <c r="L529" s="552">
        <f t="shared" si="249"/>
        <v>32659.804263244878</v>
      </c>
      <c r="M529" s="552">
        <f t="shared" si="249"/>
        <v>35264.737090136579</v>
      </c>
      <c r="N529" s="552">
        <f t="shared" si="249"/>
        <v>37863.302834349641</v>
      </c>
      <c r="O529" s="552">
        <f t="shared" si="249"/>
        <v>40464.749166176349</v>
      </c>
      <c r="P529" s="552">
        <f t="shared" si="249"/>
        <v>42836.956262113017</v>
      </c>
      <c r="Q529" s="552">
        <f t="shared" si="249"/>
        <v>45207.353250352906</v>
      </c>
      <c r="R529" s="552">
        <f t="shared" si="249"/>
        <v>47580.198983913971</v>
      </c>
      <c r="S529" s="552">
        <f t="shared" si="249"/>
        <v>49953.40552352395</v>
      </c>
      <c r="T529" s="552">
        <f t="shared" si="249"/>
        <v>52335.79610102468</v>
      </c>
      <c r="U529" s="552">
        <f t="shared" si="249"/>
        <v>54064.871392685047</v>
      </c>
      <c r="V529" s="552">
        <f t="shared" si="249"/>
        <v>55544.903737164168</v>
      </c>
      <c r="W529" s="552">
        <f t="shared" si="249"/>
        <v>57025.699378580684</v>
      </c>
      <c r="X529" s="552">
        <f t="shared" si="249"/>
        <v>58507.461589192069</v>
      </c>
      <c r="Y529" s="552">
        <f t="shared" si="249"/>
        <v>59992.049030166963</v>
      </c>
      <c r="Z529" s="552">
        <f t="shared" si="249"/>
        <v>61476.552272436835</v>
      </c>
      <c r="AA529" s="552">
        <f t="shared" si="249"/>
        <v>62966.579790984062</v>
      </c>
      <c r="AB529" s="552">
        <f t="shared" si="249"/>
        <v>64455.332164677471</v>
      </c>
      <c r="AC529" s="552">
        <f t="shared" si="249"/>
        <v>65946.978014198554</v>
      </c>
      <c r="AD529" s="552">
        <f t="shared" si="249"/>
        <v>67443.795411522588</v>
      </c>
      <c r="AE529" s="552">
        <f t="shared" si="249"/>
        <v>68943.326270135978</v>
      </c>
      <c r="AF529" s="552">
        <f t="shared" si="249"/>
        <v>70448.12326761453</v>
      </c>
      <c r="AG529" s="700">
        <f t="shared" si="249"/>
        <v>71962.99005222047</v>
      </c>
      <c r="AH529" s="18"/>
      <c r="AI529" s="18"/>
      <c r="AJ529" s="18"/>
      <c r="AK529" s="18"/>
      <c r="AL529" s="18"/>
      <c r="AM529" s="18"/>
      <c r="AN529" s="18"/>
    </row>
    <row r="530" spans="1:40" ht="21.9" customHeight="1" x14ac:dyDescent="0.25">
      <c r="B530" s="680"/>
      <c r="C530" s="690"/>
      <c r="D530" s="690"/>
      <c r="E530" s="273" t="s">
        <v>333</v>
      </c>
      <c r="F530" s="273" t="s">
        <v>319</v>
      </c>
      <c r="G530" s="273" t="s">
        <v>308</v>
      </c>
      <c r="H530" s="568">
        <f t="shared" ref="H530:AG530" si="250">H488+H509</f>
        <v>38197.078466007326</v>
      </c>
      <c r="I530" s="568">
        <f t="shared" si="250"/>
        <v>38721.779763803679</v>
      </c>
      <c r="J530" s="568">
        <f t="shared" si="250"/>
        <v>39628.818791838828</v>
      </c>
      <c r="K530" s="568">
        <f t="shared" si="250"/>
        <v>40874.315517841576</v>
      </c>
      <c r="L530" s="568">
        <f t="shared" si="250"/>
        <v>42120.684888907825</v>
      </c>
      <c r="M530" s="568">
        <f t="shared" si="250"/>
        <v>43369.308493461765</v>
      </c>
      <c r="N530" s="568">
        <f t="shared" si="250"/>
        <v>44616.176487885066</v>
      </c>
      <c r="O530" s="568">
        <f t="shared" si="250"/>
        <v>45868.15664254452</v>
      </c>
      <c r="P530" s="568">
        <f t="shared" si="250"/>
        <v>46736.938420110149</v>
      </c>
      <c r="Q530" s="568">
        <f t="shared" si="250"/>
        <v>47606.376235203563</v>
      </c>
      <c r="R530" s="568">
        <f t="shared" si="250"/>
        <v>48476.569086080985</v>
      </c>
      <c r="S530" s="568">
        <f t="shared" si="250"/>
        <v>49347.3113494504</v>
      </c>
      <c r="T530" s="568">
        <f t="shared" si="250"/>
        <v>50225.144563928057</v>
      </c>
      <c r="U530" s="568">
        <f t="shared" si="250"/>
        <v>50753.455398561593</v>
      </c>
      <c r="V530" s="568">
        <f t="shared" si="250"/>
        <v>51282.187270734794</v>
      </c>
      <c r="W530" s="568">
        <f t="shared" si="250"/>
        <v>51811.381050785356</v>
      </c>
      <c r="X530" s="568">
        <f t="shared" si="250"/>
        <v>52341.081063577003</v>
      </c>
      <c r="Y530" s="568">
        <f t="shared" si="250"/>
        <v>52874.98472114186</v>
      </c>
      <c r="Z530" s="568">
        <f t="shared" si="250"/>
        <v>53405.849774515169</v>
      </c>
      <c r="AA530" s="568">
        <f t="shared" si="250"/>
        <v>53939.42245189994</v>
      </c>
      <c r="AB530" s="568">
        <f t="shared" si="250"/>
        <v>54471.677785010077</v>
      </c>
      <c r="AC530" s="568">
        <f t="shared" si="250"/>
        <v>55004.723559207203</v>
      </c>
      <c r="AD530" s="568">
        <f t="shared" si="250"/>
        <v>55542.306655750363</v>
      </c>
      <c r="AE530" s="568">
        <f t="shared" si="250"/>
        <v>56077.159567186623</v>
      </c>
      <c r="AF530" s="568">
        <f t="shared" si="250"/>
        <v>56613.034734769157</v>
      </c>
      <c r="AG530" s="705">
        <f t="shared" si="250"/>
        <v>57152.088004066471</v>
      </c>
      <c r="AH530" s="18"/>
      <c r="AI530" s="18"/>
      <c r="AJ530" s="18"/>
      <c r="AK530" s="18"/>
      <c r="AL530" s="18"/>
      <c r="AM530" s="18"/>
      <c r="AN530" s="18"/>
    </row>
    <row r="531" spans="1:40" ht="21.9" customHeight="1" x14ac:dyDescent="0.25">
      <c r="B531" s="680"/>
      <c r="C531" s="690"/>
      <c r="D531" s="690"/>
      <c r="E531" s="114" t="s">
        <v>319</v>
      </c>
      <c r="F531" s="114" t="s">
        <v>276</v>
      </c>
      <c r="G531" s="114" t="s">
        <v>333</v>
      </c>
      <c r="H531" s="552">
        <f t="shared" ref="H531:AG531" si="251">H489+H510</f>
        <v>78280.009329269713</v>
      </c>
      <c r="I531" s="552">
        <f t="shared" si="251"/>
        <v>80536.588663159433</v>
      </c>
      <c r="J531" s="552">
        <f t="shared" si="251"/>
        <v>82979.083742464209</v>
      </c>
      <c r="K531" s="552">
        <f t="shared" si="251"/>
        <v>86219.488973189727</v>
      </c>
      <c r="L531" s="552">
        <f t="shared" si="251"/>
        <v>89460.444183401996</v>
      </c>
      <c r="M531" s="552">
        <f t="shared" si="251"/>
        <v>92702.73297056045</v>
      </c>
      <c r="N531" s="552">
        <f t="shared" si="251"/>
        <v>95943.146904288398</v>
      </c>
      <c r="O531" s="552">
        <f t="shared" si="251"/>
        <v>99184.427195162862</v>
      </c>
      <c r="P531" s="552">
        <f t="shared" si="251"/>
        <v>102751.04933618143</v>
      </c>
      <c r="Q531" s="552">
        <f t="shared" si="251"/>
        <v>106316.50910134685</v>
      </c>
      <c r="R531" s="552">
        <f t="shared" si="251"/>
        <v>109883.15916453424</v>
      </c>
      <c r="S531" s="552">
        <f t="shared" si="251"/>
        <v>113449.83086761467</v>
      </c>
      <c r="T531" s="552">
        <f t="shared" si="251"/>
        <v>117018.56675792123</v>
      </c>
      <c r="U531" s="552">
        <f t="shared" si="251"/>
        <v>119787.04786154658</v>
      </c>
      <c r="V531" s="552">
        <f t="shared" si="251"/>
        <v>122043.73481914308</v>
      </c>
      <c r="W531" s="552">
        <f t="shared" si="251"/>
        <v>124300.44396078319</v>
      </c>
      <c r="X531" s="552">
        <f t="shared" si="251"/>
        <v>126557.17926163421</v>
      </c>
      <c r="Y531" s="552">
        <f t="shared" si="251"/>
        <v>128813.71045616941</v>
      </c>
      <c r="Z531" s="552">
        <f t="shared" si="251"/>
        <v>131070.51256322782</v>
      </c>
      <c r="AA531" s="552">
        <f t="shared" si="251"/>
        <v>133327.12195163732</v>
      </c>
      <c r="AB531" s="552">
        <f t="shared" si="251"/>
        <v>135584.01535304615</v>
      </c>
      <c r="AC531" s="552">
        <f t="shared" si="251"/>
        <v>137840.96591269207</v>
      </c>
      <c r="AD531" s="552">
        <f t="shared" si="251"/>
        <v>140097.74789206393</v>
      </c>
      <c r="AE531" s="552">
        <f t="shared" si="251"/>
        <v>142354.84149254093</v>
      </c>
      <c r="AF531" s="552">
        <f t="shared" si="251"/>
        <v>144612.02369669895</v>
      </c>
      <c r="AG531" s="700">
        <f t="shared" si="251"/>
        <v>146869.07305334028</v>
      </c>
      <c r="AH531" s="18"/>
      <c r="AI531" s="18"/>
      <c r="AJ531" s="18"/>
      <c r="AK531" s="18"/>
      <c r="AL531" s="18"/>
      <c r="AM531" s="18"/>
      <c r="AN531" s="18"/>
    </row>
    <row r="532" spans="1:40" ht="21.9" customHeight="1" x14ac:dyDescent="0.25">
      <c r="B532" s="680"/>
      <c r="C532" s="690"/>
      <c r="D532" s="690"/>
      <c r="E532" s="114"/>
      <c r="F532" s="114" t="s">
        <v>333</v>
      </c>
      <c r="G532" s="114" t="s">
        <v>323</v>
      </c>
      <c r="H532" s="552">
        <f t="shared" ref="H532:AG532" si="252">H490+H511</f>
        <v>11400.437782222565</v>
      </c>
      <c r="I532" s="552">
        <f t="shared" si="252"/>
        <v>11724.000221011778</v>
      </c>
      <c r="J532" s="552">
        <f t="shared" si="252"/>
        <v>12083.06903042028</v>
      </c>
      <c r="K532" s="552">
        <f t="shared" si="252"/>
        <v>12587.058426842868</v>
      </c>
      <c r="L532" s="552">
        <f t="shared" si="252"/>
        <v>13091.137848784898</v>
      </c>
      <c r="M532" s="552">
        <f t="shared" si="252"/>
        <v>13595.322306167503</v>
      </c>
      <c r="N532" s="552">
        <f t="shared" si="252"/>
        <v>14099.311800085041</v>
      </c>
      <c r="O532" s="552">
        <f t="shared" si="252"/>
        <v>14603.331356264347</v>
      </c>
      <c r="P532" s="552">
        <f t="shared" si="252"/>
        <v>15169.828437975215</v>
      </c>
      <c r="Q532" s="552">
        <f t="shared" si="252"/>
        <v>15736.130661249987</v>
      </c>
      <c r="R532" s="552">
        <f t="shared" si="252"/>
        <v>16302.628099596561</v>
      </c>
      <c r="S532" s="552">
        <f t="shared" si="252"/>
        <v>16869.125822989739</v>
      </c>
      <c r="T532" s="552">
        <f t="shared" si="252"/>
        <v>17435.713937548928</v>
      </c>
      <c r="U532" s="552">
        <f t="shared" si="252"/>
        <v>17857.351468331635</v>
      </c>
      <c r="V532" s="552">
        <f t="shared" si="252"/>
        <v>18180.915159416094</v>
      </c>
      <c r="W532" s="552">
        <f t="shared" si="252"/>
        <v>18504.479097296215</v>
      </c>
      <c r="X532" s="552">
        <f t="shared" si="252"/>
        <v>18828.043324421287</v>
      </c>
      <c r="Y532" s="552">
        <f t="shared" si="252"/>
        <v>19151.442882082854</v>
      </c>
      <c r="Z532" s="552">
        <f t="shared" si="252"/>
        <v>19475.007841115694</v>
      </c>
      <c r="AA532" s="552">
        <f t="shared" si="252"/>
        <v>19798.408250293367</v>
      </c>
      <c r="AB532" s="552">
        <f t="shared" si="252"/>
        <v>20121.974198515862</v>
      </c>
      <c r="AC532" s="552">
        <f t="shared" si="252"/>
        <v>20445.540761468044</v>
      </c>
      <c r="AD532" s="552">
        <f t="shared" si="252"/>
        <v>20768.943025014618</v>
      </c>
      <c r="AE532" s="552">
        <f t="shared" si="252"/>
        <v>21092.511114393601</v>
      </c>
      <c r="AF532" s="552">
        <f t="shared" si="252"/>
        <v>21416.080142934457</v>
      </c>
      <c r="AG532" s="700">
        <f t="shared" si="252"/>
        <v>21739.485237948207</v>
      </c>
      <c r="AH532" s="18"/>
      <c r="AI532" s="18"/>
      <c r="AJ532" s="18"/>
      <c r="AK532" s="18"/>
      <c r="AL532" s="18"/>
      <c r="AM532" s="18"/>
      <c r="AN532" s="18"/>
    </row>
    <row r="533" spans="1:40" ht="21.9" customHeight="1" x14ac:dyDescent="0.25">
      <c r="B533" s="680"/>
      <c r="C533" s="690"/>
      <c r="D533" s="690"/>
      <c r="E533" s="114"/>
      <c r="F533" s="114" t="s">
        <v>323</v>
      </c>
      <c r="G533" s="114" t="s">
        <v>322</v>
      </c>
      <c r="H533" s="552">
        <f t="shared" ref="H533:AG533" si="253">H491+H512</f>
        <v>3433.8483209342858</v>
      </c>
      <c r="I533" s="552">
        <f t="shared" si="253"/>
        <v>3531.3063694879775</v>
      </c>
      <c r="J533" s="552">
        <f t="shared" si="253"/>
        <v>3639.4590541383932</v>
      </c>
      <c r="K533" s="552">
        <f t="shared" si="253"/>
        <v>3791.2622944819923</v>
      </c>
      <c r="L533" s="552">
        <f t="shared" si="253"/>
        <v>3943.092662233938</v>
      </c>
      <c r="M533" s="552">
        <f t="shared" si="253"/>
        <v>4094.9546832734477</v>
      </c>
      <c r="N533" s="552">
        <f t="shared" si="253"/>
        <v>4246.7580035081864</v>
      </c>
      <c r="O533" s="552">
        <f t="shared" si="253"/>
        <v>4398.5704102615491</v>
      </c>
      <c r="P533" s="552">
        <f t="shared" si="253"/>
        <v>4569.2013130102168</v>
      </c>
      <c r="Q533" s="552">
        <f t="shared" si="253"/>
        <v>4739.7736010189374</v>
      </c>
      <c r="R533" s="552">
        <f t="shared" si="253"/>
        <v>4910.4047960087373</v>
      </c>
      <c r="S533" s="552">
        <f t="shared" si="253"/>
        <v>5081.0362245767774</v>
      </c>
      <c r="T533" s="552">
        <f t="shared" si="253"/>
        <v>5251.6950801781377</v>
      </c>
      <c r="U533" s="552">
        <f t="shared" si="253"/>
        <v>5378.6943472404309</v>
      </c>
      <c r="V533" s="552">
        <f t="shared" si="253"/>
        <v>5476.1534219734112</v>
      </c>
      <c r="W533" s="552">
        <f t="shared" si="253"/>
        <v>5573.6126989403265</v>
      </c>
      <c r="X533" s="552">
        <f t="shared" si="253"/>
        <v>5671.0722129257765</v>
      </c>
      <c r="Y533" s="552">
        <f t="shared" si="253"/>
        <v>5768.4823025216501</v>
      </c>
      <c r="Z533" s="552">
        <f t="shared" si="253"/>
        <v>5865.9424162607083</v>
      </c>
      <c r="AA533" s="552">
        <f t="shared" si="253"/>
        <v>5963.3532036218994</v>
      </c>
      <c r="AB533" s="552">
        <f t="shared" si="253"/>
        <v>6060.8141279413267</v>
      </c>
      <c r="AC533" s="552">
        <f t="shared" si="253"/>
        <v>6158.2755559940924</v>
      </c>
      <c r="AD533" s="552">
        <f t="shared" si="253"/>
        <v>6255.6878628970826</v>
      </c>
      <c r="AE533" s="552">
        <f t="shared" si="253"/>
        <v>6353.1505417631652</v>
      </c>
      <c r="AF533" s="552">
        <f t="shared" si="253"/>
        <v>6450.6139902149152</v>
      </c>
      <c r="AG533" s="700">
        <f t="shared" si="253"/>
        <v>6548.0286173319164</v>
      </c>
      <c r="AH533" s="18"/>
      <c r="AI533" s="18"/>
      <c r="AJ533" s="18"/>
      <c r="AK533" s="18"/>
      <c r="AL533" s="18"/>
      <c r="AM533" s="18"/>
      <c r="AN533" s="18"/>
    </row>
    <row r="534" spans="1:40" ht="21.9" customHeight="1" x14ac:dyDescent="0.25">
      <c r="B534" s="680"/>
      <c r="C534" s="690"/>
      <c r="D534" s="690"/>
      <c r="E534" s="114"/>
      <c r="F534" s="114" t="s">
        <v>322</v>
      </c>
      <c r="G534" s="114" t="s">
        <v>326</v>
      </c>
      <c r="H534" s="552">
        <f t="shared" ref="H534:AG534" si="254">H492+H513</f>
        <v>8810.531796712874</v>
      </c>
      <c r="I534" s="552">
        <f t="shared" si="254"/>
        <v>9060.3691127620968</v>
      </c>
      <c r="J534" s="552">
        <f t="shared" si="254"/>
        <v>9345.0520836105425</v>
      </c>
      <c r="K534" s="552">
        <f t="shared" si="254"/>
        <v>9708.8095809397528</v>
      </c>
      <c r="L534" s="552">
        <f t="shared" si="254"/>
        <v>10072.684555763755</v>
      </c>
      <c r="M534" s="552">
        <f t="shared" si="254"/>
        <v>10436.500798904592</v>
      </c>
      <c r="N534" s="552">
        <f t="shared" si="254"/>
        <v>10800.258312310603</v>
      </c>
      <c r="O534" s="552">
        <f t="shared" si="254"/>
        <v>11164.089256545276</v>
      </c>
      <c r="P534" s="552">
        <f t="shared" si="254"/>
        <v>11575.306197999951</v>
      </c>
      <c r="Q534" s="552">
        <f t="shared" si="254"/>
        <v>11986.508478432728</v>
      </c>
      <c r="R534" s="552">
        <f t="shared" si="254"/>
        <v>12397.666737939287</v>
      </c>
      <c r="S534" s="552">
        <f t="shared" si="254"/>
        <v>12808.883777326171</v>
      </c>
      <c r="T534" s="552">
        <f t="shared" si="254"/>
        <v>13220.174295493773</v>
      </c>
      <c r="U534" s="552">
        <f t="shared" si="254"/>
        <v>13552.302199962967</v>
      </c>
      <c r="V534" s="552">
        <f t="shared" si="254"/>
        <v>13802.139722201126</v>
      </c>
      <c r="W534" s="552">
        <f t="shared" si="254"/>
        <v>14051.977285931709</v>
      </c>
      <c r="X534" s="552">
        <f t="shared" si="254"/>
        <v>14301.814898422479</v>
      </c>
      <c r="Y534" s="552">
        <f t="shared" si="254"/>
        <v>14551.579146838299</v>
      </c>
      <c r="Z534" s="552">
        <f t="shared" si="254"/>
        <v>14801.416883215599</v>
      </c>
      <c r="AA534" s="552">
        <f t="shared" si="254"/>
        <v>15051.181276152151</v>
      </c>
      <c r="AB534" s="552">
        <f t="shared" si="254"/>
        <v>15301.019180782423</v>
      </c>
      <c r="AC534" s="552">
        <f t="shared" si="254"/>
        <v>15550.857190314353</v>
      </c>
      <c r="AD534" s="552">
        <f t="shared" si="254"/>
        <v>15800.621899845381</v>
      </c>
      <c r="AE534" s="552">
        <f t="shared" si="254"/>
        <v>16050.460170759208</v>
      </c>
      <c r="AF534" s="552">
        <f t="shared" si="254"/>
        <v>16300.29860296868</v>
      </c>
      <c r="AG534" s="700">
        <f t="shared" si="254"/>
        <v>16550.063799009629</v>
      </c>
      <c r="AH534" s="18"/>
      <c r="AI534" s="18"/>
      <c r="AJ534" s="18"/>
      <c r="AK534" s="18"/>
      <c r="AL534" s="18"/>
      <c r="AM534" s="18"/>
      <c r="AN534" s="18"/>
    </row>
    <row r="535" spans="1:40" ht="21.9" customHeight="1" x14ac:dyDescent="0.25">
      <c r="B535" s="680"/>
      <c r="C535" s="690"/>
      <c r="D535" s="690"/>
      <c r="E535" s="114"/>
      <c r="F535" s="114" t="s">
        <v>326</v>
      </c>
      <c r="G535" s="114" t="s">
        <v>274</v>
      </c>
      <c r="H535" s="552">
        <f t="shared" ref="H535:AG535" si="255">H493+H514</f>
        <v>60064.136465598429</v>
      </c>
      <c r="I535" s="552">
        <f t="shared" si="255"/>
        <v>61767.355168825023</v>
      </c>
      <c r="J535" s="552">
        <f t="shared" si="255"/>
        <v>63708.127535640131</v>
      </c>
      <c r="K535" s="552">
        <f t="shared" si="255"/>
        <v>66187.975536268277</v>
      </c>
      <c r="L535" s="552">
        <f t="shared" si="255"/>
        <v>68668.624401414942</v>
      </c>
      <c r="M535" s="552">
        <f t="shared" si="255"/>
        <v>71148.872852004308</v>
      </c>
      <c r="N535" s="552">
        <f t="shared" si="255"/>
        <v>73628.720892918616</v>
      </c>
      <c r="O535" s="552">
        <f t="shared" si="255"/>
        <v>76109.069492686336</v>
      </c>
      <c r="P535" s="552">
        <f t="shared" si="255"/>
        <v>78912.463090797522</v>
      </c>
      <c r="Q535" s="552">
        <f t="shared" si="255"/>
        <v>81715.756640144915</v>
      </c>
      <c r="R535" s="552">
        <f t="shared" si="255"/>
        <v>84518.749948327706</v>
      </c>
      <c r="S535" s="552">
        <f t="shared" si="255"/>
        <v>87322.143791843002</v>
      </c>
      <c r="T535" s="552">
        <f t="shared" si="255"/>
        <v>90126.038314372621</v>
      </c>
      <c r="U535" s="552">
        <f t="shared" si="255"/>
        <v>92390.256607081421</v>
      </c>
      <c r="V535" s="552">
        <f t="shared" si="255"/>
        <v>94093.475826987866</v>
      </c>
      <c r="W535" s="552">
        <f t="shared" si="255"/>
        <v>95796.695150868371</v>
      </c>
      <c r="X535" s="552">
        <f t="shared" si="255"/>
        <v>97499.91459693489</v>
      </c>
      <c r="Y535" s="552">
        <f t="shared" si="255"/>
        <v>99202.63365142321</v>
      </c>
      <c r="Z535" s="552">
        <f t="shared" si="255"/>
        <v>100905.85340793154</v>
      </c>
      <c r="AA535" s="552">
        <f t="shared" si="255"/>
        <v>102608.57282456808</v>
      </c>
      <c r="AB535" s="552">
        <f t="shared" si="255"/>
        <v>104311.79300269426</v>
      </c>
      <c r="AC535" s="552">
        <f t="shared" si="255"/>
        <v>106015.01344368892</v>
      </c>
      <c r="AD535" s="552">
        <f t="shared" si="255"/>
        <v>107717.73365366572</v>
      </c>
      <c r="AE535" s="552">
        <f t="shared" si="255"/>
        <v>109420.95474964587</v>
      </c>
      <c r="AF535" s="552">
        <f t="shared" si="255"/>
        <v>111124.17624980977</v>
      </c>
      <c r="AG535" s="700">
        <f t="shared" si="255"/>
        <v>112826.89767891055</v>
      </c>
      <c r="AH535" s="18"/>
      <c r="AI535" s="18"/>
      <c r="AJ535" s="18"/>
      <c r="AK535" s="18"/>
      <c r="AL535" s="18"/>
      <c r="AM535" s="18"/>
      <c r="AN535" s="18"/>
    </row>
    <row r="536" spans="1:40" ht="21.9" customHeight="1" thickBot="1" x14ac:dyDescent="0.3">
      <c r="B536" s="680"/>
      <c r="C536" s="690"/>
      <c r="D536" s="690"/>
      <c r="E536" s="114"/>
      <c r="F536" s="114" t="s">
        <v>274</v>
      </c>
      <c r="G536" s="114" t="s">
        <v>317</v>
      </c>
      <c r="H536" s="552">
        <f t="shared" ref="H536:AG536" si="256">H494+H515</f>
        <v>1500.0830564292053</v>
      </c>
      <c r="I536" s="552">
        <f t="shared" si="256"/>
        <v>1542.6206970041326</v>
      </c>
      <c r="J536" s="552">
        <f t="shared" si="256"/>
        <v>1591.0913271609174</v>
      </c>
      <c r="K536" s="552">
        <f t="shared" si="256"/>
        <v>1653.0255790936376</v>
      </c>
      <c r="L536" s="552">
        <f t="shared" si="256"/>
        <v>1714.980222283463</v>
      </c>
      <c r="M536" s="552">
        <f t="shared" si="256"/>
        <v>1776.9254072623949</v>
      </c>
      <c r="N536" s="552">
        <f t="shared" si="256"/>
        <v>1838.861337414517</v>
      </c>
      <c r="O536" s="552">
        <f t="shared" si="256"/>
        <v>1900.8107839873219</v>
      </c>
      <c r="P536" s="552">
        <f t="shared" si="256"/>
        <v>1970.8303039901414</v>
      </c>
      <c r="Q536" s="552">
        <f t="shared" si="256"/>
        <v>2040.849745413655</v>
      </c>
      <c r="R536" s="552">
        <f t="shared" si="256"/>
        <v>2110.8649989294072</v>
      </c>
      <c r="S536" s="552">
        <f t="shared" si="256"/>
        <v>2180.8947418411367</v>
      </c>
      <c r="T536" s="552">
        <f t="shared" si="256"/>
        <v>2250.943006774366</v>
      </c>
      <c r="U536" s="552">
        <f t="shared" si="256"/>
        <v>2307.5145385494761</v>
      </c>
      <c r="V536" s="552">
        <f t="shared" si="256"/>
        <v>2350.0737026937231</v>
      </c>
      <c r="W536" s="552">
        <f t="shared" si="256"/>
        <v>2392.6371981333941</v>
      </c>
      <c r="X536" s="552">
        <f t="shared" si="256"/>
        <v>2435.2057835323271</v>
      </c>
      <c r="Y536" s="552">
        <f t="shared" si="256"/>
        <v>2477.7678207706026</v>
      </c>
      <c r="Z536" s="552">
        <f t="shared" si="256"/>
        <v>2520.3493383884343</v>
      </c>
      <c r="AA536" s="552">
        <f t="shared" si="256"/>
        <v>2562.9264618005363</v>
      </c>
      <c r="AB536" s="552">
        <f t="shared" si="256"/>
        <v>2605.5255429432427</v>
      </c>
      <c r="AC536" s="552">
        <f t="shared" si="256"/>
        <v>2648.1355745184419</v>
      </c>
      <c r="AD536" s="552">
        <f t="shared" si="256"/>
        <v>2690.7457464705576</v>
      </c>
      <c r="AE536" s="552">
        <f t="shared" si="256"/>
        <v>2733.3830630767343</v>
      </c>
      <c r="AF536" s="552">
        <f t="shared" si="256"/>
        <v>2776.0372169498569</v>
      </c>
      <c r="AG536" s="700">
        <f t="shared" si="256"/>
        <v>2818.698174508042</v>
      </c>
      <c r="AH536" s="18"/>
      <c r="AI536" s="18"/>
      <c r="AJ536" s="18"/>
      <c r="AK536" s="18"/>
      <c r="AL536" s="18"/>
      <c r="AM536" s="18"/>
      <c r="AN536" s="18"/>
    </row>
    <row r="537" spans="1:40" ht="21.9" customHeight="1" thickBot="1" x14ac:dyDescent="0.3">
      <c r="A537" s="445"/>
      <c r="B537" s="682"/>
      <c r="C537" s="706"/>
      <c r="D537" s="706"/>
      <c r="E537" s="707" t="s">
        <v>181</v>
      </c>
      <c r="F537" s="707"/>
      <c r="G537" s="707"/>
      <c r="H537" s="722">
        <f t="shared" ref="H537:AG537" si="257">SUM(H517:H528,H530:H536)</f>
        <v>692827.01223784534</v>
      </c>
      <c r="I537" s="722">
        <f t="shared" si="257"/>
        <v>731446.93476665812</v>
      </c>
      <c r="J537" s="722">
        <f t="shared" si="257"/>
        <v>810389.18395963486</v>
      </c>
      <c r="K537" s="722">
        <f t="shared" si="257"/>
        <v>942852.74992111605</v>
      </c>
      <c r="L537" s="722">
        <f t="shared" si="257"/>
        <v>1076074.3261481733</v>
      </c>
      <c r="M537" s="722">
        <f t="shared" si="257"/>
        <v>1210367.0855453101</v>
      </c>
      <c r="N537" s="722">
        <f t="shared" si="257"/>
        <v>1346278.8799655323</v>
      </c>
      <c r="O537" s="722">
        <f t="shared" si="257"/>
        <v>1485205.3517580843</v>
      </c>
      <c r="P537" s="722">
        <f t="shared" si="257"/>
        <v>1614368.9290185652</v>
      </c>
      <c r="Q537" s="722">
        <f t="shared" si="257"/>
        <v>1749620.7193272095</v>
      </c>
      <c r="R537" s="722">
        <f t="shared" si="257"/>
        <v>1893872.9970540148</v>
      </c>
      <c r="S537" s="722">
        <f t="shared" si="257"/>
        <v>2051538.9128194056</v>
      </c>
      <c r="T537" s="722">
        <f t="shared" si="257"/>
        <v>2229219.3112492999</v>
      </c>
      <c r="U537" s="722">
        <f t="shared" si="257"/>
        <v>2347347.6470519104</v>
      </c>
      <c r="V537" s="722">
        <f t="shared" si="257"/>
        <v>2428556.7467508554</v>
      </c>
      <c r="W537" s="722">
        <f t="shared" si="257"/>
        <v>2500565.1963442019</v>
      </c>
      <c r="X537" s="722">
        <f t="shared" si="257"/>
        <v>2549780.237210812</v>
      </c>
      <c r="Y537" s="722">
        <f t="shared" si="257"/>
        <v>2600882.5350445514</v>
      </c>
      <c r="Z537" s="722">
        <f t="shared" si="257"/>
        <v>2654137.9115075693</v>
      </c>
      <c r="AA537" s="722">
        <f t="shared" si="257"/>
        <v>2710129.6603027186</v>
      </c>
      <c r="AB537" s="722">
        <f t="shared" si="257"/>
        <v>2758021.9632126698</v>
      </c>
      <c r="AC537" s="722">
        <f t="shared" si="257"/>
        <v>2805843.0567897321</v>
      </c>
      <c r="AD537" s="722">
        <f t="shared" si="257"/>
        <v>2854563.2137236362</v>
      </c>
      <c r="AE537" s="722">
        <f t="shared" si="257"/>
        <v>2904177.7820936376</v>
      </c>
      <c r="AF537" s="722">
        <f t="shared" si="257"/>
        <v>2954890.1988072698</v>
      </c>
      <c r="AG537" s="723">
        <f t="shared" si="257"/>
        <v>3006912.5186336306</v>
      </c>
      <c r="AH537" s="18"/>
      <c r="AI537" s="18"/>
      <c r="AJ537" s="18"/>
      <c r="AK537" s="18"/>
      <c r="AL537" s="18"/>
      <c r="AM537" s="18"/>
      <c r="AN537" s="18"/>
    </row>
    <row r="538" spans="1:40" ht="21.75" customHeight="1" x14ac:dyDescent="0.25">
      <c r="B538" s="180"/>
      <c r="C538" s="114"/>
      <c r="D538" s="114"/>
      <c r="E538" s="237"/>
      <c r="F538" s="237"/>
      <c r="G538" s="237"/>
      <c r="H538" s="716"/>
      <c r="I538" s="716"/>
      <c r="J538" s="716"/>
      <c r="K538" s="716"/>
      <c r="L538" s="716"/>
      <c r="M538" s="716"/>
      <c r="N538" s="716"/>
      <c r="O538" s="716"/>
      <c r="P538" s="716"/>
      <c r="Q538" s="716"/>
      <c r="R538" s="716"/>
      <c r="S538" s="716"/>
      <c r="T538" s="716"/>
      <c r="U538" s="716"/>
      <c r="V538" s="716"/>
      <c r="W538" s="716"/>
      <c r="X538" s="716"/>
      <c r="Y538" s="716"/>
      <c r="Z538" s="716"/>
      <c r="AA538" s="716"/>
      <c r="AB538" s="716"/>
      <c r="AC538" s="716"/>
      <c r="AD538" s="716"/>
      <c r="AE538" s="716"/>
      <c r="AF538" s="716"/>
      <c r="AG538" s="724"/>
      <c r="AH538" s="18"/>
      <c r="AI538" s="18"/>
      <c r="AJ538" s="18"/>
      <c r="AK538" s="18"/>
      <c r="AL538" s="18"/>
      <c r="AM538" s="18"/>
      <c r="AN538" s="18"/>
    </row>
    <row r="539" spans="1:40" ht="21.9" customHeight="1" x14ac:dyDescent="0.25">
      <c r="A539" s="526"/>
      <c r="B539" s="685" t="s">
        <v>38</v>
      </c>
      <c r="C539" s="114"/>
      <c r="D539" s="114"/>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c r="AA539" s="225"/>
      <c r="AB539" s="114"/>
      <c r="AC539" s="114"/>
      <c r="AD539" s="114"/>
      <c r="AE539" s="114"/>
      <c r="AF539" s="114"/>
      <c r="AG539" s="725"/>
    </row>
    <row r="540" spans="1:40" ht="21.75" customHeight="1" thickBot="1" x14ac:dyDescent="0.3">
      <c r="B540" s="180"/>
      <c r="C540" s="114"/>
      <c r="D540" s="114"/>
      <c r="E540" s="237"/>
      <c r="F540" s="237"/>
      <c r="G540" s="237"/>
      <c r="H540" s="716"/>
      <c r="I540" s="716"/>
      <c r="J540" s="716"/>
      <c r="K540" s="716"/>
      <c r="L540" s="716"/>
      <c r="M540" s="716"/>
      <c r="N540" s="716"/>
      <c r="O540" s="716"/>
      <c r="P540" s="716"/>
      <c r="Q540" s="716"/>
      <c r="R540" s="716"/>
      <c r="S540" s="716"/>
      <c r="T540" s="716"/>
      <c r="U540" s="716"/>
      <c r="V540" s="716"/>
      <c r="W540" s="716"/>
      <c r="X540" s="716"/>
      <c r="Y540" s="716"/>
      <c r="Z540" s="716"/>
      <c r="AA540" s="716"/>
      <c r="AB540" s="716"/>
      <c r="AC540" s="716"/>
      <c r="AD540" s="716"/>
      <c r="AE540" s="716"/>
      <c r="AF540" s="716"/>
      <c r="AG540" s="724"/>
      <c r="AH540" s="18"/>
      <c r="AI540" s="18"/>
      <c r="AJ540" s="18"/>
      <c r="AK540" s="18"/>
      <c r="AL540" s="18"/>
      <c r="AM540" s="18"/>
      <c r="AN540" s="18"/>
    </row>
    <row r="541" spans="1:40" ht="21.9" customHeight="1" thickBot="1" x14ac:dyDescent="0.3">
      <c r="B541" s="179" t="s">
        <v>454</v>
      </c>
      <c r="C541" s="114" t="s">
        <v>156</v>
      </c>
      <c r="D541" s="237" t="s">
        <v>23</v>
      </c>
      <c r="E541" s="1325" t="s">
        <v>315</v>
      </c>
      <c r="F541" s="217" t="s">
        <v>316</v>
      </c>
      <c r="G541" s="217" t="s">
        <v>276</v>
      </c>
      <c r="H541" s="701">
        <f t="shared" ref="H541:AG541" si="258">H344-H169</f>
        <v>0</v>
      </c>
      <c r="I541" s="701">
        <f t="shared" si="258"/>
        <v>-4.1304143925017343</v>
      </c>
      <c r="J541" s="701">
        <f t="shared" si="258"/>
        <v>-8.2852090866308572</v>
      </c>
      <c r="K541" s="701">
        <f t="shared" si="258"/>
        <v>-12.416687417840876</v>
      </c>
      <c r="L541" s="701">
        <f t="shared" si="258"/>
        <v>-16.550094494246878</v>
      </c>
      <c r="M541" s="701">
        <f t="shared" si="258"/>
        <v>-20.711900637366853</v>
      </c>
      <c r="N541" s="701">
        <f t="shared" si="258"/>
        <v>-24.858195439777774</v>
      </c>
      <c r="O541" s="701">
        <f t="shared" si="258"/>
        <v>-29.045416290933645</v>
      </c>
      <c r="P541" s="701">
        <f t="shared" si="258"/>
        <v>-33.238405869162307</v>
      </c>
      <c r="Q541" s="701">
        <f t="shared" si="258"/>
        <v>-37.484399260803912</v>
      </c>
      <c r="R541" s="701">
        <f t="shared" si="258"/>
        <v>-41.820258800235024</v>
      </c>
      <c r="S541" s="701">
        <f t="shared" si="258"/>
        <v>-46.304009486315408</v>
      </c>
      <c r="T541" s="701">
        <f t="shared" si="258"/>
        <v>-51.074767318510567</v>
      </c>
      <c r="U541" s="701">
        <f t="shared" si="258"/>
        <v>-55.855520974810133</v>
      </c>
      <c r="V541" s="701">
        <f t="shared" si="258"/>
        <v>-60.667243781848811</v>
      </c>
      <c r="W541" s="701">
        <f t="shared" si="258"/>
        <v>-65.671833296539262</v>
      </c>
      <c r="X541" s="701">
        <f t="shared" si="258"/>
        <v>-70.915834002877091</v>
      </c>
      <c r="Y541" s="701">
        <f t="shared" si="258"/>
        <v>-76.482049035163072</v>
      </c>
      <c r="Z541" s="701">
        <f t="shared" si="258"/>
        <v>-82.384914854188537</v>
      </c>
      <c r="AA541" s="701">
        <f t="shared" si="258"/>
        <v>-88.759032818612468</v>
      </c>
      <c r="AB541" s="701">
        <f t="shared" si="258"/>
        <v>-95.644865765501891</v>
      </c>
      <c r="AC541" s="701">
        <f t="shared" si="258"/>
        <v>-103.18300761464343</v>
      </c>
      <c r="AD541" s="701">
        <f t="shared" si="258"/>
        <v>-111.53817505622283</v>
      </c>
      <c r="AE541" s="701">
        <f t="shared" si="258"/>
        <v>-120.80709267743077</v>
      </c>
      <c r="AF541" s="701">
        <f t="shared" si="258"/>
        <v>-131.20398269116413</v>
      </c>
      <c r="AG541" s="702">
        <f t="shared" si="258"/>
        <v>-142.98023665518485</v>
      </c>
      <c r="AH541" s="18"/>
      <c r="AI541" s="18"/>
      <c r="AJ541" s="18"/>
      <c r="AK541" s="18"/>
      <c r="AL541" s="18"/>
      <c r="AM541" s="18"/>
      <c r="AN541" s="18"/>
    </row>
    <row r="542" spans="1:40" ht="21.9" customHeight="1" thickBot="1" x14ac:dyDescent="0.3">
      <c r="B542" s="179" t="s">
        <v>455</v>
      </c>
      <c r="C542" s="690"/>
      <c r="D542" s="690"/>
      <c r="E542" s="1327"/>
      <c r="F542" s="114" t="s">
        <v>276</v>
      </c>
      <c r="G542" s="114" t="s">
        <v>274</v>
      </c>
      <c r="H542" s="701">
        <f t="shared" ref="H542:AG542" si="259">H345-H170</f>
        <v>0</v>
      </c>
      <c r="I542" s="701">
        <f t="shared" si="259"/>
        <v>-648.95487810886698</v>
      </c>
      <c r="J542" s="701">
        <f t="shared" si="259"/>
        <v>3078.1822512985673</v>
      </c>
      <c r="K542" s="701">
        <f t="shared" si="259"/>
        <v>5822.3593181597535</v>
      </c>
      <c r="L542" s="701">
        <f t="shared" si="259"/>
        <v>8570.6493869427359</v>
      </c>
      <c r="M542" s="701">
        <f t="shared" si="259"/>
        <v>11312.740383979108</v>
      </c>
      <c r="N542" s="701">
        <f t="shared" si="259"/>
        <v>14061.336043534975</v>
      </c>
      <c r="O542" s="701">
        <f t="shared" si="259"/>
        <v>16817.142828267941</v>
      </c>
      <c r="P542" s="701">
        <f t="shared" si="259"/>
        <v>14337.145737925661</v>
      </c>
      <c r="Q542" s="701">
        <f t="shared" si="259"/>
        <v>11865.110731984489</v>
      </c>
      <c r="R542" s="701">
        <f t="shared" si="259"/>
        <v>9398.5831816277932</v>
      </c>
      <c r="S542" s="701">
        <f t="shared" si="259"/>
        <v>6933.0651380144991</v>
      </c>
      <c r="T542" s="701">
        <f t="shared" si="259"/>
        <v>4447.5204638786381</v>
      </c>
      <c r="U542" s="701">
        <f t="shared" si="259"/>
        <v>2927.662350778468</v>
      </c>
      <c r="V542" s="701">
        <f t="shared" si="259"/>
        <v>2273.1049172887579</v>
      </c>
      <c r="W542" s="701">
        <f t="shared" si="259"/>
        <v>1609.0843865742208</v>
      </c>
      <c r="X542" s="701">
        <f t="shared" si="259"/>
        <v>932.01691473240498</v>
      </c>
      <c r="Y542" s="701">
        <f t="shared" si="259"/>
        <v>235.38237221853342</v>
      </c>
      <c r="Z542" s="701">
        <f t="shared" si="259"/>
        <v>-482.46844433748629</v>
      </c>
      <c r="AA542" s="701">
        <f t="shared" si="259"/>
        <v>-1232.5686971133109</v>
      </c>
      <c r="AB542" s="701">
        <f t="shared" si="259"/>
        <v>-2019.2895922182361</v>
      </c>
      <c r="AC542" s="701">
        <f t="shared" si="259"/>
        <v>-2855.06814105378</v>
      </c>
      <c r="AD542" s="701">
        <f t="shared" si="259"/>
        <v>-3754.8274703475181</v>
      </c>
      <c r="AE542" s="701">
        <f t="shared" si="259"/>
        <v>-4729.0850793131394</v>
      </c>
      <c r="AF542" s="701">
        <f t="shared" si="259"/>
        <v>-5798.1937646979932</v>
      </c>
      <c r="AG542" s="702">
        <f t="shared" si="259"/>
        <v>-6986.4908936114516</v>
      </c>
      <c r="AH542" s="18"/>
      <c r="AI542" s="18"/>
      <c r="AJ542" s="18"/>
      <c r="AK542" s="18"/>
      <c r="AL542" s="18"/>
      <c r="AM542" s="18"/>
      <c r="AN542" s="18"/>
    </row>
    <row r="543" spans="1:40" ht="21.9" customHeight="1" thickBot="1" x14ac:dyDescent="0.3">
      <c r="B543" s="680"/>
      <c r="C543" s="690"/>
      <c r="D543" s="690"/>
      <c r="E543" s="1327"/>
      <c r="F543" s="114" t="s">
        <v>274</v>
      </c>
      <c r="G543" s="114" t="s">
        <v>317</v>
      </c>
      <c r="H543" s="701">
        <f t="shared" ref="H543:AG543" si="260">H346-H171</f>
        <v>0</v>
      </c>
      <c r="I543" s="701">
        <f t="shared" si="260"/>
        <v>0</v>
      </c>
      <c r="J543" s="701">
        <f t="shared" si="260"/>
        <v>0</v>
      </c>
      <c r="K543" s="701">
        <f t="shared" si="260"/>
        <v>0</v>
      </c>
      <c r="L543" s="701">
        <f t="shared" si="260"/>
        <v>0</v>
      </c>
      <c r="M543" s="701">
        <f t="shared" si="260"/>
        <v>0</v>
      </c>
      <c r="N543" s="701">
        <f t="shared" si="260"/>
        <v>0</v>
      </c>
      <c r="O543" s="701">
        <f t="shared" si="260"/>
        <v>0</v>
      </c>
      <c r="P543" s="701">
        <f t="shared" si="260"/>
        <v>0</v>
      </c>
      <c r="Q543" s="701">
        <f t="shared" si="260"/>
        <v>0</v>
      </c>
      <c r="R543" s="701">
        <f t="shared" si="260"/>
        <v>0</v>
      </c>
      <c r="S543" s="701">
        <f t="shared" si="260"/>
        <v>0</v>
      </c>
      <c r="T543" s="701">
        <f t="shared" si="260"/>
        <v>0</v>
      </c>
      <c r="U543" s="701">
        <f t="shared" si="260"/>
        <v>0</v>
      </c>
      <c r="V543" s="701">
        <f t="shared" si="260"/>
        <v>0</v>
      </c>
      <c r="W543" s="701">
        <f t="shared" si="260"/>
        <v>0</v>
      </c>
      <c r="X543" s="701">
        <f t="shared" si="260"/>
        <v>0</v>
      </c>
      <c r="Y543" s="701">
        <f t="shared" si="260"/>
        <v>0</v>
      </c>
      <c r="Z543" s="701">
        <f t="shared" si="260"/>
        <v>0</v>
      </c>
      <c r="AA543" s="701">
        <f t="shared" si="260"/>
        <v>0</v>
      </c>
      <c r="AB543" s="701">
        <f t="shared" si="260"/>
        <v>0</v>
      </c>
      <c r="AC543" s="701">
        <f t="shared" si="260"/>
        <v>0</v>
      </c>
      <c r="AD543" s="701">
        <f t="shared" si="260"/>
        <v>0</v>
      </c>
      <c r="AE543" s="701">
        <f t="shared" si="260"/>
        <v>0</v>
      </c>
      <c r="AF543" s="701">
        <f t="shared" si="260"/>
        <v>0</v>
      </c>
      <c r="AG543" s="702">
        <f t="shared" si="260"/>
        <v>0</v>
      </c>
      <c r="AH543" s="18"/>
      <c r="AI543" s="18"/>
      <c r="AJ543" s="18"/>
      <c r="AK543" s="18"/>
      <c r="AL543" s="18"/>
      <c r="AM543" s="18"/>
      <c r="AN543" s="18"/>
    </row>
    <row r="544" spans="1:40" ht="21.9" customHeight="1" thickBot="1" x14ac:dyDescent="0.3">
      <c r="B544" s="680"/>
      <c r="C544" s="690"/>
      <c r="D544" s="690"/>
      <c r="E544" s="1325" t="s">
        <v>274</v>
      </c>
      <c r="F544" s="217" t="s">
        <v>275</v>
      </c>
      <c r="G544" s="217" t="s">
        <v>318</v>
      </c>
      <c r="H544" s="701">
        <f t="shared" ref="H544:AG544" si="261">H347-H172</f>
        <v>2204.5103856809728</v>
      </c>
      <c r="I544" s="701">
        <f t="shared" si="261"/>
        <v>1909.5933186467737</v>
      </c>
      <c r="J544" s="701">
        <f t="shared" si="261"/>
        <v>9421.9473262739048</v>
      </c>
      <c r="K544" s="701">
        <f t="shared" si="261"/>
        <v>15752.797166668999</v>
      </c>
      <c r="L544" s="701">
        <f t="shared" si="261"/>
        <v>15170.881138749275</v>
      </c>
      <c r="M544" s="701">
        <f t="shared" si="261"/>
        <v>-24926.042474592832</v>
      </c>
      <c r="N544" s="701">
        <f t="shared" si="261"/>
        <v>-235296.07815026509</v>
      </c>
      <c r="O544" s="701">
        <f t="shared" si="261"/>
        <v>-264944.13761200255</v>
      </c>
      <c r="P544" s="701">
        <f t="shared" si="261"/>
        <v>-315526.26321117044</v>
      </c>
      <c r="Q544" s="701">
        <f t="shared" si="261"/>
        <v>-366189.79640462383</v>
      </c>
      <c r="R544" s="701">
        <f t="shared" si="261"/>
        <v>-417046.72675526509</v>
      </c>
      <c r="S544" s="701">
        <f t="shared" si="261"/>
        <v>-468564.27875414555</v>
      </c>
      <c r="T544" s="701">
        <f t="shared" si="261"/>
        <v>-521951.05822731217</v>
      </c>
      <c r="U544" s="701">
        <f t="shared" si="261"/>
        <v>-554016.2587915347</v>
      </c>
      <c r="V544" s="701">
        <f t="shared" si="261"/>
        <v>-571756.54373922769</v>
      </c>
      <c r="W544" s="701">
        <f t="shared" si="261"/>
        <v>-587296.62430475559</v>
      </c>
      <c r="X544" s="701">
        <f t="shared" si="261"/>
        <v>-603670.94313693559</v>
      </c>
      <c r="Y544" s="701">
        <f t="shared" si="261"/>
        <v>-621052.81319213496</v>
      </c>
      <c r="Z544" s="701">
        <f t="shared" si="261"/>
        <v>-639591.9746455272</v>
      </c>
      <c r="AA544" s="701">
        <f t="shared" si="261"/>
        <v>-659514.16006397433</v>
      </c>
      <c r="AB544" s="701">
        <f t="shared" si="261"/>
        <v>-681042.30159774888</v>
      </c>
      <c r="AC544" s="701">
        <f t="shared" si="261"/>
        <v>-704441.33123656013</v>
      </c>
      <c r="AD544" s="701">
        <f t="shared" si="261"/>
        <v>-730060.23734404414</v>
      </c>
      <c r="AE544" s="701">
        <f t="shared" si="261"/>
        <v>-758244.04053361295</v>
      </c>
      <c r="AF544" s="701">
        <f t="shared" si="261"/>
        <v>-789377.18809707882</v>
      </c>
      <c r="AG544" s="702">
        <f t="shared" si="261"/>
        <v>-823974.4209936118</v>
      </c>
      <c r="AH544" s="18"/>
      <c r="AI544" s="18"/>
      <c r="AJ544" s="18"/>
      <c r="AK544" s="18"/>
      <c r="AL544" s="18"/>
      <c r="AM544" s="18"/>
      <c r="AN544" s="18"/>
    </row>
    <row r="545" spans="2:40" ht="21.9" customHeight="1" thickBot="1" x14ac:dyDescent="0.3">
      <c r="B545" s="680"/>
      <c r="C545" s="690"/>
      <c r="D545" s="690"/>
      <c r="E545" s="1327"/>
      <c r="F545" s="114" t="s">
        <v>318</v>
      </c>
      <c r="G545" s="114" t="s">
        <v>308</v>
      </c>
      <c r="H545" s="701">
        <f t="shared" ref="H545:AG545" si="262">H348-H173</f>
        <v>0</v>
      </c>
      <c r="I545" s="701">
        <f t="shared" si="262"/>
        <v>-252.33418748323493</v>
      </c>
      <c r="J545" s="701">
        <f t="shared" si="262"/>
        <v>-154.04695981641453</v>
      </c>
      <c r="K545" s="701">
        <f t="shared" si="262"/>
        <v>-1795.1032452724357</v>
      </c>
      <c r="L545" s="701">
        <f t="shared" si="262"/>
        <v>-3455.5320095457246</v>
      </c>
      <c r="M545" s="701">
        <f t="shared" si="262"/>
        <v>-5262.5861369661652</v>
      </c>
      <c r="N545" s="701">
        <f t="shared" si="262"/>
        <v>-7807.780214355269</v>
      </c>
      <c r="O545" s="701">
        <f t="shared" si="262"/>
        <v>-13347.24514812079</v>
      </c>
      <c r="P545" s="701">
        <f t="shared" si="262"/>
        <v>-47489.926369894994</v>
      </c>
      <c r="Q545" s="701">
        <f t="shared" si="262"/>
        <v>-67152.001390285062</v>
      </c>
      <c r="R545" s="701">
        <f t="shared" si="262"/>
        <v>-71281.479433685323</v>
      </c>
      <c r="S545" s="701">
        <f t="shared" si="262"/>
        <v>-63836.744046945489</v>
      </c>
      <c r="T545" s="701">
        <f t="shared" si="262"/>
        <v>-50792.269688294487</v>
      </c>
      <c r="U545" s="701">
        <f t="shared" si="262"/>
        <v>-53212.149887217151</v>
      </c>
      <c r="V545" s="701">
        <f t="shared" si="262"/>
        <v>-53900.492173487844</v>
      </c>
      <c r="W545" s="701">
        <f t="shared" si="262"/>
        <v>-54536.491120113424</v>
      </c>
      <c r="X545" s="701">
        <f t="shared" si="262"/>
        <v>-55183.473547883768</v>
      </c>
      <c r="Y545" s="701">
        <f t="shared" si="262"/>
        <v>-55843.490078866918</v>
      </c>
      <c r="Z545" s="701">
        <f t="shared" si="262"/>
        <v>-56518.408474383192</v>
      </c>
      <c r="AA545" s="701">
        <f t="shared" si="262"/>
        <v>-57210.94188771426</v>
      </c>
      <c r="AB545" s="701">
        <f t="shared" si="262"/>
        <v>-57923.698146624141</v>
      </c>
      <c r="AC545" s="701">
        <f t="shared" si="262"/>
        <v>-58659.927154475678</v>
      </c>
      <c r="AD545" s="701">
        <f t="shared" si="262"/>
        <v>-59423.551956637908</v>
      </c>
      <c r="AE545" s="701">
        <f t="shared" si="262"/>
        <v>-60218.519261268579</v>
      </c>
      <c r="AF545" s="701">
        <f t="shared" si="262"/>
        <v>-61049.496730159561</v>
      </c>
      <c r="AG545" s="702">
        <f t="shared" si="262"/>
        <v>-61922.140858908591</v>
      </c>
      <c r="AH545" s="18"/>
      <c r="AI545" s="18"/>
      <c r="AJ545" s="18"/>
      <c r="AK545" s="18"/>
      <c r="AL545" s="18"/>
      <c r="AM545" s="18"/>
      <c r="AN545" s="18"/>
    </row>
    <row r="546" spans="2:40" ht="21.9" customHeight="1" thickBot="1" x14ac:dyDescent="0.3">
      <c r="B546" s="680"/>
      <c r="C546" s="690"/>
      <c r="D546" s="690"/>
      <c r="E546" s="1339"/>
      <c r="F546" s="250" t="s">
        <v>308</v>
      </c>
      <c r="G546" s="250" t="s">
        <v>319</v>
      </c>
      <c r="H546" s="701">
        <f t="shared" ref="H546:AG546" si="263">H349-H174</f>
        <v>0</v>
      </c>
      <c r="I546" s="701">
        <f t="shared" si="263"/>
        <v>-1228.5343021394801</v>
      </c>
      <c r="J546" s="701">
        <f t="shared" si="263"/>
        <v>-879.34982749799383</v>
      </c>
      <c r="K546" s="701">
        <f t="shared" si="263"/>
        <v>-3388.2234328789636</v>
      </c>
      <c r="L546" s="701">
        <f t="shared" si="263"/>
        <v>-6581.1453573207255</v>
      </c>
      <c r="M546" s="701">
        <f t="shared" si="263"/>
        <v>-11070.984256223397</v>
      </c>
      <c r="N546" s="701">
        <f t="shared" si="263"/>
        <v>-17899.353293876193</v>
      </c>
      <c r="O546" s="701">
        <f t="shared" si="263"/>
        <v>-28778.123403477017</v>
      </c>
      <c r="P546" s="701">
        <f t="shared" si="263"/>
        <v>-63608.477422900032</v>
      </c>
      <c r="Q546" s="701">
        <f t="shared" si="263"/>
        <v>-129825.35324856942</v>
      </c>
      <c r="R546" s="701">
        <f t="shared" si="263"/>
        <v>-222831.23239318526</v>
      </c>
      <c r="S546" s="701">
        <f t="shared" si="263"/>
        <v>-210098.56488012086</v>
      </c>
      <c r="T546" s="701">
        <f t="shared" si="263"/>
        <v>-182934.71462432126</v>
      </c>
      <c r="U546" s="701">
        <f t="shared" si="263"/>
        <v>-149981.33736476128</v>
      </c>
      <c r="V546" s="701">
        <f t="shared" si="263"/>
        <v>-117778.81717548403</v>
      </c>
      <c r="W546" s="701">
        <f t="shared" si="263"/>
        <v>-96002.856516371306</v>
      </c>
      <c r="X546" s="701">
        <f t="shared" si="263"/>
        <v>-98519.281554687885</v>
      </c>
      <c r="Y546" s="701">
        <f t="shared" si="263"/>
        <v>-101039.47892746842</v>
      </c>
      <c r="Z546" s="701">
        <f t="shared" si="263"/>
        <v>-103558.10004229686</v>
      </c>
      <c r="AA546" s="701">
        <f t="shared" si="263"/>
        <v>-106080.86852294678</v>
      </c>
      <c r="AB546" s="701">
        <f t="shared" si="263"/>
        <v>-108602.49837497558</v>
      </c>
      <c r="AC546" s="701">
        <f t="shared" si="263"/>
        <v>-111126.00945099595</v>
      </c>
      <c r="AD546" s="701">
        <f t="shared" si="263"/>
        <v>-113654.4780905107</v>
      </c>
      <c r="AE546" s="701">
        <f t="shared" si="263"/>
        <v>-116182.73368039343</v>
      </c>
      <c r="AF546" s="701">
        <f t="shared" si="263"/>
        <v>-118713.91872769641</v>
      </c>
      <c r="AG546" s="702">
        <f t="shared" si="263"/>
        <v>-121251.25960035389</v>
      </c>
      <c r="AH546" s="18"/>
      <c r="AI546" s="18"/>
      <c r="AJ546" s="18"/>
      <c r="AK546" s="18"/>
      <c r="AL546" s="18"/>
      <c r="AM546" s="18"/>
      <c r="AN546" s="18"/>
    </row>
    <row r="547" spans="2:40" ht="21.9" customHeight="1" thickBot="1" x14ac:dyDescent="0.3">
      <c r="B547" s="680"/>
      <c r="C547" s="690"/>
      <c r="D547" s="690"/>
      <c r="E547" s="114" t="s">
        <v>320</v>
      </c>
      <c r="F547" s="114" t="s">
        <v>318</v>
      </c>
      <c r="G547" s="114" t="s">
        <v>308</v>
      </c>
      <c r="H547" s="701">
        <f t="shared" ref="H547:AG547" si="264">H350-H175</f>
        <v>-447.96741014413419</v>
      </c>
      <c r="I547" s="701">
        <f t="shared" si="264"/>
        <v>1641.4953926062763</v>
      </c>
      <c r="J547" s="701">
        <f t="shared" si="264"/>
        <v>13533.152190490204</v>
      </c>
      <c r="K547" s="701">
        <f t="shared" si="264"/>
        <v>31907.58337757154</v>
      </c>
      <c r="L547" s="701">
        <f t="shared" si="264"/>
        <v>50293.644513941254</v>
      </c>
      <c r="M547" s="701">
        <f t="shared" si="264"/>
        <v>68702.74595468957</v>
      </c>
      <c r="N547" s="701">
        <f t="shared" si="264"/>
        <v>87343.197233698505</v>
      </c>
      <c r="O547" s="701">
        <f t="shared" si="264"/>
        <v>107794.41748677236</v>
      </c>
      <c r="P547" s="701">
        <f t="shared" si="264"/>
        <v>122400.32711321647</v>
      </c>
      <c r="Q547" s="701">
        <f t="shared" si="264"/>
        <v>142929.27190605688</v>
      </c>
      <c r="R547" s="701">
        <f t="shared" si="264"/>
        <v>176099.57277916363</v>
      </c>
      <c r="S547" s="701">
        <f t="shared" si="264"/>
        <v>234704.5517614233</v>
      </c>
      <c r="T547" s="701">
        <f t="shared" si="264"/>
        <v>342366.62669938843</v>
      </c>
      <c r="U547" s="701">
        <f t="shared" si="264"/>
        <v>378863.7186835364</v>
      </c>
      <c r="V547" s="701">
        <f t="shared" si="264"/>
        <v>383798.93188296788</v>
      </c>
      <c r="W547" s="701">
        <f t="shared" si="264"/>
        <v>388733.92983421317</v>
      </c>
      <c r="X547" s="701">
        <f t="shared" si="264"/>
        <v>393669.00467074232</v>
      </c>
      <c r="Y547" s="701">
        <f t="shared" si="264"/>
        <v>398623.19887932448</v>
      </c>
      <c r="Z547" s="701">
        <f t="shared" si="264"/>
        <v>403558.45988414827</v>
      </c>
      <c r="AA547" s="701">
        <f t="shared" si="264"/>
        <v>408512.85956126405</v>
      </c>
      <c r="AB547" s="701">
        <f t="shared" si="264"/>
        <v>413448.35113644751</v>
      </c>
      <c r="AC547" s="701">
        <f t="shared" si="264"/>
        <v>418383.97427594039</v>
      </c>
      <c r="AD547" s="701">
        <f t="shared" si="264"/>
        <v>423338.78131081117</v>
      </c>
      <c r="AE547" s="701">
        <f t="shared" si="264"/>
        <v>428274.72844445892</v>
      </c>
      <c r="AF547" s="701">
        <f t="shared" si="264"/>
        <v>433210.85691519629</v>
      </c>
      <c r="AG547" s="702">
        <f t="shared" si="264"/>
        <v>438166.22590411844</v>
      </c>
      <c r="AH547" s="18"/>
      <c r="AI547" s="18"/>
      <c r="AJ547" s="18"/>
      <c r="AK547" s="18"/>
      <c r="AL547" s="18"/>
      <c r="AM547" s="18"/>
      <c r="AN547" s="18"/>
    </row>
    <row r="548" spans="2:40" ht="21.9" customHeight="1" thickBot="1" x14ac:dyDescent="0.3">
      <c r="B548" s="680"/>
      <c r="C548" s="690"/>
      <c r="D548" s="690"/>
      <c r="E548" s="1325" t="s">
        <v>308</v>
      </c>
      <c r="F548" s="217" t="s">
        <v>276</v>
      </c>
      <c r="G548" s="217" t="s">
        <v>320</v>
      </c>
      <c r="H548" s="701">
        <f t="shared" ref="H548:AG548" si="265">H351-H176</f>
        <v>-1228.4347919887814</v>
      </c>
      <c r="I548" s="701">
        <f t="shared" si="265"/>
        <v>237.22670436158342</v>
      </c>
      <c r="J548" s="701">
        <f t="shared" si="265"/>
        <v>-17140.389056677748</v>
      </c>
      <c r="K548" s="701">
        <f t="shared" si="265"/>
        <v>-29061.207779354558</v>
      </c>
      <c r="L548" s="701">
        <f t="shared" si="265"/>
        <v>-40997.482299702286</v>
      </c>
      <c r="M548" s="701">
        <f t="shared" si="265"/>
        <v>-52939.830670673568</v>
      </c>
      <c r="N548" s="701">
        <f t="shared" si="265"/>
        <v>-65176.507070401218</v>
      </c>
      <c r="O548" s="701">
        <f t="shared" si="265"/>
        <v>-79253.457005352568</v>
      </c>
      <c r="P548" s="701">
        <f t="shared" si="265"/>
        <v>-68403.395967880366</v>
      </c>
      <c r="Q548" s="701">
        <f t="shared" si="265"/>
        <v>-57551.502230891841</v>
      </c>
      <c r="R548" s="701">
        <f t="shared" si="265"/>
        <v>-46701.399245843961</v>
      </c>
      <c r="S548" s="701">
        <f t="shared" si="265"/>
        <v>-35851.277784498379</v>
      </c>
      <c r="T548" s="701">
        <f t="shared" si="265"/>
        <v>-24986.727845213871</v>
      </c>
      <c r="U548" s="701">
        <f t="shared" si="265"/>
        <v>-19601.781681432913</v>
      </c>
      <c r="V548" s="701">
        <f t="shared" si="265"/>
        <v>-18136.098108796898</v>
      </c>
      <c r="W548" s="701">
        <f t="shared" si="265"/>
        <v>-16670.412148737465</v>
      </c>
      <c r="X548" s="701">
        <f t="shared" si="265"/>
        <v>-15204.723570602742</v>
      </c>
      <c r="Y548" s="701">
        <f t="shared" si="265"/>
        <v>-13734.835866872541</v>
      </c>
      <c r="Z548" s="701">
        <f t="shared" si="265"/>
        <v>-12269.141273704532</v>
      </c>
      <c r="AA548" s="701">
        <f t="shared" si="265"/>
        <v>-10799.246971056389</v>
      </c>
      <c r="AB548" s="701">
        <f t="shared" si="265"/>
        <v>-9333.5451860840258</v>
      </c>
      <c r="AC548" s="701">
        <f t="shared" si="265"/>
        <v>-7867.8393085242424</v>
      </c>
      <c r="AD548" s="701">
        <f t="shared" si="265"/>
        <v>-6397.9326534369902</v>
      </c>
      <c r="AE548" s="701">
        <f t="shared" si="265"/>
        <v>-4932.2174353594019</v>
      </c>
      <c r="AF548" s="701">
        <f t="shared" si="265"/>
        <v>-3466.4969215435558</v>
      </c>
      <c r="AG548" s="702">
        <f t="shared" si="265"/>
        <v>-1996.574284611328</v>
      </c>
      <c r="AH548" s="18"/>
      <c r="AI548" s="18"/>
      <c r="AJ548" s="18"/>
      <c r="AK548" s="18"/>
      <c r="AL548" s="18"/>
      <c r="AM548" s="18"/>
      <c r="AN548" s="18"/>
    </row>
    <row r="549" spans="2:40" ht="21.9" customHeight="1" thickBot="1" x14ac:dyDescent="0.3">
      <c r="B549" s="680"/>
      <c r="C549" s="690"/>
      <c r="D549" s="690"/>
      <c r="E549" s="1327"/>
      <c r="F549" s="114" t="s">
        <v>320</v>
      </c>
      <c r="G549" s="114" t="s">
        <v>282</v>
      </c>
      <c r="H549" s="701">
        <f t="shared" ref="H549:AG549" si="266">H352-H177</f>
        <v>-609.32249322493226</v>
      </c>
      <c r="I549" s="701">
        <f t="shared" si="266"/>
        <v>-342.10203153128555</v>
      </c>
      <c r="J549" s="701">
        <f t="shared" si="266"/>
        <v>629.70164183971656</v>
      </c>
      <c r="K549" s="701">
        <f t="shared" si="266"/>
        <v>1539.4146579529702</v>
      </c>
      <c r="L549" s="701">
        <f t="shared" si="266"/>
        <v>2453.5127358398731</v>
      </c>
      <c r="M549" s="701">
        <f t="shared" si="266"/>
        <v>3362.1728414919698</v>
      </c>
      <c r="N549" s="701">
        <f t="shared" si="266"/>
        <v>4271.5962992409059</v>
      </c>
      <c r="O549" s="701">
        <f t="shared" si="266"/>
        <v>5182.509698362268</v>
      </c>
      <c r="P549" s="701">
        <f t="shared" si="266"/>
        <v>3905.1319111666398</v>
      </c>
      <c r="Q549" s="701">
        <f t="shared" si="266"/>
        <v>2297.2678075510921</v>
      </c>
      <c r="R549" s="701">
        <f t="shared" si="266"/>
        <v>-1253.6315026963966</v>
      </c>
      <c r="S549" s="701">
        <f t="shared" si="266"/>
        <v>-13377.42275851802</v>
      </c>
      <c r="T549" s="701">
        <f t="shared" si="266"/>
        <v>-56275.760889425692</v>
      </c>
      <c r="U549" s="701">
        <f t="shared" si="266"/>
        <v>-67176.403108798433</v>
      </c>
      <c r="V549" s="701">
        <f t="shared" si="266"/>
        <v>-68560.707029151468</v>
      </c>
      <c r="W549" s="701">
        <f t="shared" si="266"/>
        <v>-69953.060968968784</v>
      </c>
      <c r="X549" s="701">
        <f t="shared" si="266"/>
        <v>-71345.48674259946</v>
      </c>
      <c r="Y549" s="701">
        <f t="shared" si="266"/>
        <v>-72737.124156936115</v>
      </c>
      <c r="Z549" s="701">
        <f t="shared" si="266"/>
        <v>-74129.727311422466</v>
      </c>
      <c r="AA549" s="701">
        <f t="shared" si="266"/>
        <v>-75521.570884537752</v>
      </c>
      <c r="AB549" s="701">
        <f t="shared" si="266"/>
        <v>-76914.413057932034</v>
      </c>
      <c r="AC549" s="701">
        <f t="shared" si="266"/>
        <v>-78307.403415591718</v>
      </c>
      <c r="AD549" s="701">
        <f t="shared" si="266"/>
        <v>-79691.12813012641</v>
      </c>
      <c r="AE549" s="701">
        <f t="shared" si="266"/>
        <v>-81084.478783657454</v>
      </c>
      <c r="AF549" s="701">
        <f t="shared" si="266"/>
        <v>-82478.060616106697</v>
      </c>
      <c r="AG549" s="702">
        <f t="shared" si="266"/>
        <v>-83871.030108990817</v>
      </c>
      <c r="AH549" s="18"/>
      <c r="AI549" s="18"/>
      <c r="AJ549" s="18"/>
      <c r="AK549" s="18"/>
      <c r="AL549" s="18"/>
      <c r="AM549" s="18"/>
      <c r="AN549" s="18"/>
    </row>
    <row r="550" spans="2:40" ht="21.9" customHeight="1" thickBot="1" x14ac:dyDescent="0.3">
      <c r="B550" s="680"/>
      <c r="C550" s="690"/>
      <c r="D550" s="690"/>
      <c r="E550" s="1327"/>
      <c r="F550" s="114" t="s">
        <v>282</v>
      </c>
      <c r="G550" s="114" t="s">
        <v>321</v>
      </c>
      <c r="H550" s="701">
        <f t="shared" ref="H550:AG550" si="267">H353-H178</f>
        <v>-1944.8905109489051</v>
      </c>
      <c r="I550" s="701">
        <f t="shared" si="267"/>
        <v>-1568.0355596107056</v>
      </c>
      <c r="J550" s="701">
        <f t="shared" si="267"/>
        <v>646.35194647201843</v>
      </c>
      <c r="K550" s="701">
        <f t="shared" si="267"/>
        <v>1847.5163260345489</v>
      </c>
      <c r="L550" s="701">
        <f t="shared" si="267"/>
        <v>3052.6353163660242</v>
      </c>
      <c r="M550" s="701">
        <f t="shared" si="267"/>
        <v>4249.9099167109125</v>
      </c>
      <c r="N550" s="701">
        <f t="shared" si="267"/>
        <v>5451.0743189321038</v>
      </c>
      <c r="O550" s="701">
        <f t="shared" si="267"/>
        <v>6657.1010979515704</v>
      </c>
      <c r="P550" s="701">
        <f t="shared" si="267"/>
        <v>1397.663401666221</v>
      </c>
      <c r="Q550" s="701">
        <f t="shared" si="267"/>
        <v>-3856.2675173036769</v>
      </c>
      <c r="R550" s="701">
        <f t="shared" si="267"/>
        <v>-9114.8928635102202</v>
      </c>
      <c r="S550" s="701">
        <f t="shared" si="267"/>
        <v>-14374.486733204074</v>
      </c>
      <c r="T550" s="701">
        <f t="shared" si="267"/>
        <v>-19634.870365366951</v>
      </c>
      <c r="U550" s="701">
        <f t="shared" si="267"/>
        <v>-23196.500856509738</v>
      </c>
      <c r="V550" s="701">
        <f t="shared" si="267"/>
        <v>-24153.892497315566</v>
      </c>
      <c r="W550" s="701">
        <f t="shared" si="267"/>
        <v>-25111.355922454168</v>
      </c>
      <c r="X550" s="701">
        <f t="shared" si="267"/>
        <v>-26068.903187870994</v>
      </c>
      <c r="Y550" s="701">
        <f t="shared" si="267"/>
        <v>-27023.69531165529</v>
      </c>
      <c r="Z550" s="701">
        <f t="shared" si="267"/>
        <v>-27981.453609884687</v>
      </c>
      <c r="AA550" s="701">
        <f t="shared" si="267"/>
        <v>-28936.490454961939</v>
      </c>
      <c r="AB550" s="701">
        <f t="shared" si="267"/>
        <v>-29894.532061971782</v>
      </c>
      <c r="AC550" s="701">
        <f t="shared" si="267"/>
        <v>-30852.748883966444</v>
      </c>
      <c r="AD550" s="701">
        <f t="shared" si="267"/>
        <v>-31808.314223598471</v>
      </c>
      <c r="AE550" s="701">
        <f t="shared" si="267"/>
        <v>-32766.964061963576</v>
      </c>
      <c r="AF550" s="701">
        <f t="shared" si="267"/>
        <v>-33725.879117610239</v>
      </c>
      <c r="AG550" s="702">
        <f t="shared" si="267"/>
        <v>-34682.244010246824</v>
      </c>
      <c r="AH550" s="18"/>
      <c r="AI550" s="18"/>
      <c r="AJ550" s="18"/>
      <c r="AK550" s="18"/>
      <c r="AL550" s="18"/>
      <c r="AM550" s="18"/>
      <c r="AN550" s="18"/>
    </row>
    <row r="551" spans="2:40" ht="21.9" customHeight="1" thickBot="1" x14ac:dyDescent="0.3">
      <c r="B551" s="680"/>
      <c r="C551" s="690"/>
      <c r="D551" s="690"/>
      <c r="E551" s="1339"/>
      <c r="F551" s="250" t="s">
        <v>321</v>
      </c>
      <c r="G551" s="250" t="s">
        <v>274</v>
      </c>
      <c r="H551" s="701">
        <f t="shared" ref="H551:AG551" si="268">H354-H179</f>
        <v>0</v>
      </c>
      <c r="I551" s="701">
        <f t="shared" si="268"/>
        <v>-1143.7821167883203</v>
      </c>
      <c r="J551" s="701">
        <f t="shared" si="268"/>
        <v>-1958.3049270073006</v>
      </c>
      <c r="K551" s="701">
        <f t="shared" si="268"/>
        <v>-6861.2007299271827</v>
      </c>
      <c r="L551" s="701">
        <f t="shared" si="268"/>
        <v>-11764.003284692131</v>
      </c>
      <c r="M551" s="701">
        <f t="shared" si="268"/>
        <v>-16676.410402024881</v>
      </c>
      <c r="N551" s="701">
        <f t="shared" si="268"/>
        <v>-21579.306211536365</v>
      </c>
      <c r="O551" s="701">
        <f t="shared" si="268"/>
        <v>-26489.195676732837</v>
      </c>
      <c r="P551" s="701">
        <f t="shared" si="268"/>
        <v>-31550.334560428382</v>
      </c>
      <c r="Q551" s="701">
        <f t="shared" si="268"/>
        <v>-36609.243070896766</v>
      </c>
      <c r="R551" s="701">
        <f t="shared" si="268"/>
        <v>-41674.350115821013</v>
      </c>
      <c r="S551" s="701">
        <f t="shared" si="268"/>
        <v>-46735.735123902647</v>
      </c>
      <c r="T551" s="701">
        <f t="shared" si="268"/>
        <v>-51810.873380949342</v>
      </c>
      <c r="U551" s="701">
        <f t="shared" si="268"/>
        <v>-52781.836973347657</v>
      </c>
      <c r="V551" s="701">
        <f t="shared" si="268"/>
        <v>-53926.173838631978</v>
      </c>
      <c r="W551" s="701">
        <f t="shared" si="268"/>
        <v>-55070.615323987222</v>
      </c>
      <c r="X551" s="701">
        <f t="shared" si="268"/>
        <v>-56215.178879649669</v>
      </c>
      <c r="Y551" s="701">
        <f t="shared" si="268"/>
        <v>-57363.241093614284</v>
      </c>
      <c r="Z551" s="701">
        <f t="shared" si="268"/>
        <v>-58508.111508842834</v>
      </c>
      <c r="AA551" s="701">
        <f t="shared" si="268"/>
        <v>-59656.529310847734</v>
      </c>
      <c r="AB551" s="701">
        <f t="shared" si="268"/>
        <v>-60801.811064255278</v>
      </c>
      <c r="AC551" s="701">
        <f t="shared" si="268"/>
        <v>-61947.34696504625</v>
      </c>
      <c r="AD551" s="701">
        <f t="shared" si="268"/>
        <v>-63096.531364702852</v>
      </c>
      <c r="AE551" s="701">
        <f t="shared" si="268"/>
        <v>-64242.69482222409</v>
      </c>
      <c r="AF551" s="701">
        <f t="shared" si="268"/>
        <v>-65389.2423560397</v>
      </c>
      <c r="AG551" s="702">
        <f t="shared" si="268"/>
        <v>-66539.584669125004</v>
      </c>
      <c r="AH551" s="18"/>
      <c r="AI551" s="18"/>
      <c r="AJ551" s="18"/>
      <c r="AK551" s="18"/>
      <c r="AL551" s="18"/>
      <c r="AM551" s="18"/>
      <c r="AN551" s="18"/>
    </row>
    <row r="552" spans="2:40" ht="21.9" customHeight="1" thickBot="1" x14ac:dyDescent="0.3">
      <c r="B552" s="680"/>
      <c r="C552" s="690"/>
      <c r="D552" s="690"/>
      <c r="E552" s="114" t="s">
        <v>282</v>
      </c>
      <c r="F552" s="114" t="s">
        <v>308</v>
      </c>
      <c r="G552" s="114" t="s">
        <v>324</v>
      </c>
      <c r="H552" s="701">
        <f t="shared" ref="H552:AG552" si="269">H355-H181</f>
        <v>0</v>
      </c>
      <c r="I552" s="701">
        <f t="shared" si="269"/>
        <v>567.19465425650196</v>
      </c>
      <c r="J552" s="701">
        <f t="shared" si="269"/>
        <v>1135.0465263519545</v>
      </c>
      <c r="K552" s="701">
        <f t="shared" si="269"/>
        <v>-615.11975891324619</v>
      </c>
      <c r="L552" s="701">
        <f t="shared" si="269"/>
        <v>-2365.1805828177894</v>
      </c>
      <c r="M552" s="701">
        <f t="shared" si="269"/>
        <v>-4114.417017077074</v>
      </c>
      <c r="N552" s="701">
        <f t="shared" si="269"/>
        <v>-5864.9885422194347</v>
      </c>
      <c r="O552" s="701">
        <f t="shared" si="269"/>
        <v>-7617.7567354814673</v>
      </c>
      <c r="P552" s="701">
        <f t="shared" si="269"/>
        <v>-10968.554757366001</v>
      </c>
      <c r="Q552" s="701">
        <f t="shared" si="269"/>
        <v>-14329.144339347462</v>
      </c>
      <c r="R552" s="701">
        <f t="shared" si="269"/>
        <v>-17712.75597573242</v>
      </c>
      <c r="S552" s="701">
        <f t="shared" si="269"/>
        <v>-21148.360888620271</v>
      </c>
      <c r="T552" s="701">
        <f t="shared" si="269"/>
        <v>-24694.243022373368</v>
      </c>
      <c r="U552" s="701">
        <f t="shared" si="269"/>
        <v>-25887.031367223761</v>
      </c>
      <c r="V552" s="701">
        <f t="shared" si="269"/>
        <v>-25385.886289856484</v>
      </c>
      <c r="W552" s="701">
        <f t="shared" si="269"/>
        <v>-24892.073281571356</v>
      </c>
      <c r="X552" s="701">
        <f t="shared" si="269"/>
        <v>-24406.242563091218</v>
      </c>
      <c r="Y552" s="701">
        <f t="shared" si="269"/>
        <v>-23928.516511506867</v>
      </c>
      <c r="Z552" s="701">
        <f t="shared" si="269"/>
        <v>-23460.732938291658</v>
      </c>
      <c r="AA552" s="701">
        <f t="shared" si="269"/>
        <v>-23000.539657668589</v>
      </c>
      <c r="AB552" s="701">
        <f t="shared" si="269"/>
        <v>-22553.742728257181</v>
      </c>
      <c r="AC552" s="701">
        <f t="shared" si="269"/>
        <v>-22118.584671633827</v>
      </c>
      <c r="AD552" s="701">
        <f t="shared" si="269"/>
        <v>-21695.341800974362</v>
      </c>
      <c r="AE552" s="701">
        <f t="shared" si="269"/>
        <v>-21285.802935430649</v>
      </c>
      <c r="AF552" s="701">
        <f t="shared" si="269"/>
        <v>-20890.211552849069</v>
      </c>
      <c r="AG552" s="702">
        <f t="shared" si="269"/>
        <v>-20506.818520075234</v>
      </c>
      <c r="AH552" s="18"/>
      <c r="AI552" s="18"/>
      <c r="AJ552" s="18"/>
      <c r="AK552" s="18"/>
      <c r="AL552" s="18"/>
      <c r="AM552" s="18"/>
      <c r="AN552" s="18"/>
    </row>
    <row r="553" spans="2:40" ht="21.9" customHeight="1" thickBot="1" x14ac:dyDescent="0.3">
      <c r="B553" s="680"/>
      <c r="C553" s="690"/>
      <c r="D553" s="690"/>
      <c r="E553" s="273" t="s">
        <v>321</v>
      </c>
      <c r="F553" s="273" t="s">
        <v>318</v>
      </c>
      <c r="G553" s="273" t="s">
        <v>308</v>
      </c>
      <c r="H553" s="701" t="e">
        <f t="shared" ref="H553:AG553" si="270">H356-H182</f>
        <v>#DIV/0!</v>
      </c>
      <c r="I553" s="701" t="e">
        <f t="shared" si="270"/>
        <v>#DIV/0!</v>
      </c>
      <c r="J553" s="701" t="e">
        <f t="shared" si="270"/>
        <v>#DIV/0!</v>
      </c>
      <c r="K553" s="701" t="e">
        <f t="shared" si="270"/>
        <v>#DIV/0!</v>
      </c>
      <c r="L553" s="701" t="e">
        <f t="shared" si="270"/>
        <v>#DIV/0!</v>
      </c>
      <c r="M553" s="701" t="e">
        <f t="shared" si="270"/>
        <v>#DIV/0!</v>
      </c>
      <c r="N553" s="701" t="e">
        <f t="shared" si="270"/>
        <v>#DIV/0!</v>
      </c>
      <c r="O553" s="701" t="e">
        <f t="shared" si="270"/>
        <v>#DIV/0!</v>
      </c>
      <c r="P553" s="701" t="e">
        <f t="shared" si="270"/>
        <v>#DIV/0!</v>
      </c>
      <c r="Q553" s="701" t="e">
        <f t="shared" si="270"/>
        <v>#DIV/0!</v>
      </c>
      <c r="R553" s="701" t="e">
        <f t="shared" si="270"/>
        <v>#DIV/0!</v>
      </c>
      <c r="S553" s="701" t="e">
        <f t="shared" si="270"/>
        <v>#DIV/0!</v>
      </c>
      <c r="T553" s="701" t="e">
        <f t="shared" si="270"/>
        <v>#DIV/0!</v>
      </c>
      <c r="U553" s="701" t="e">
        <f t="shared" si="270"/>
        <v>#DIV/0!</v>
      </c>
      <c r="V553" s="701" t="e">
        <f t="shared" si="270"/>
        <v>#DIV/0!</v>
      </c>
      <c r="W553" s="701" t="e">
        <f t="shared" si="270"/>
        <v>#DIV/0!</v>
      </c>
      <c r="X553" s="701" t="e">
        <f t="shared" si="270"/>
        <v>#DIV/0!</v>
      </c>
      <c r="Y553" s="701" t="e">
        <f t="shared" si="270"/>
        <v>#DIV/0!</v>
      </c>
      <c r="Z553" s="701" t="e">
        <f t="shared" si="270"/>
        <v>#DIV/0!</v>
      </c>
      <c r="AA553" s="701" t="e">
        <f t="shared" si="270"/>
        <v>#DIV/0!</v>
      </c>
      <c r="AB553" s="701" t="e">
        <f t="shared" si="270"/>
        <v>#DIV/0!</v>
      </c>
      <c r="AC553" s="701" t="e">
        <f t="shared" si="270"/>
        <v>#DIV/0!</v>
      </c>
      <c r="AD553" s="701" t="e">
        <f t="shared" si="270"/>
        <v>#DIV/0!</v>
      </c>
      <c r="AE553" s="701" t="e">
        <f t="shared" si="270"/>
        <v>#DIV/0!</v>
      </c>
      <c r="AF553" s="701" t="e">
        <f t="shared" si="270"/>
        <v>#DIV/0!</v>
      </c>
      <c r="AG553" s="702" t="e">
        <f t="shared" si="270"/>
        <v>#DIV/0!</v>
      </c>
      <c r="AH553" s="18"/>
      <c r="AI553" s="18"/>
      <c r="AJ553" s="18"/>
      <c r="AK553" s="18"/>
      <c r="AL553" s="18"/>
      <c r="AM553" s="18"/>
      <c r="AN553" s="18"/>
    </row>
    <row r="554" spans="2:40" ht="21.9" customHeight="1" thickBot="1" x14ac:dyDescent="0.3">
      <c r="B554" s="680"/>
      <c r="C554" s="690"/>
      <c r="D554" s="690"/>
      <c r="E554" s="273" t="s">
        <v>333</v>
      </c>
      <c r="F554" s="273" t="s">
        <v>319</v>
      </c>
      <c r="G554" s="273" t="s">
        <v>308</v>
      </c>
      <c r="H554" s="701">
        <f t="shared" ref="H554:AG554" si="271">H357-H183</f>
        <v>0</v>
      </c>
      <c r="I554" s="701">
        <f t="shared" si="271"/>
        <v>-65.921912804813473</v>
      </c>
      <c r="J554" s="701">
        <f t="shared" si="271"/>
        <v>-129.42067434794444</v>
      </c>
      <c r="K554" s="701">
        <f t="shared" si="271"/>
        <v>-2183.956981537398</v>
      </c>
      <c r="L554" s="701">
        <f t="shared" si="271"/>
        <v>-4241.9862040008011</v>
      </c>
      <c r="M554" s="701">
        <f t="shared" si="271"/>
        <v>-6309.2246539809712</v>
      </c>
      <c r="N554" s="701">
        <f t="shared" si="271"/>
        <v>-8388.0563256912865</v>
      </c>
      <c r="O554" s="701">
        <f t="shared" si="271"/>
        <v>-10490.629324432535</v>
      </c>
      <c r="P554" s="701">
        <f t="shared" si="271"/>
        <v>-13654.223331220826</v>
      </c>
      <c r="Q554" s="701">
        <f t="shared" si="271"/>
        <v>-16927.713116521867</v>
      </c>
      <c r="R554" s="701">
        <f t="shared" si="271"/>
        <v>-20398.413191751519</v>
      </c>
      <c r="S554" s="701">
        <f t="shared" si="271"/>
        <v>-24200.464072297509</v>
      </c>
      <c r="T554" s="701">
        <f t="shared" si="271"/>
        <v>-28553.11933353066</v>
      </c>
      <c r="U554" s="701">
        <f t="shared" si="271"/>
        <v>-30364.526911623456</v>
      </c>
      <c r="V554" s="701">
        <f t="shared" si="271"/>
        <v>-30751.615350838925</v>
      </c>
      <c r="W554" s="701">
        <f t="shared" si="271"/>
        <v>-31163.832700063467</v>
      </c>
      <c r="X554" s="701">
        <f t="shared" si="271"/>
        <v>-31602.938738240424</v>
      </c>
      <c r="Y554" s="701">
        <f t="shared" si="271"/>
        <v>-32069.148745121849</v>
      </c>
      <c r="Z554" s="701">
        <f t="shared" si="271"/>
        <v>-32567.788283181711</v>
      </c>
      <c r="AA554" s="701">
        <f t="shared" si="271"/>
        <v>-33099.341286424606</v>
      </c>
      <c r="AB554" s="701">
        <f t="shared" si="271"/>
        <v>-33665.913992303787</v>
      </c>
      <c r="AC554" s="701">
        <f t="shared" si="271"/>
        <v>-34269.884161906397</v>
      </c>
      <c r="AD554" s="701">
        <f t="shared" si="271"/>
        <v>-34912.437494929938</v>
      </c>
      <c r="AE554" s="701">
        <f t="shared" si="271"/>
        <v>-35598.902815461275</v>
      </c>
      <c r="AF554" s="701">
        <f t="shared" si="271"/>
        <v>-36330.688471757909</v>
      </c>
      <c r="AG554" s="702">
        <f t="shared" si="271"/>
        <v>-37111.334502184116</v>
      </c>
      <c r="AH554" s="18"/>
      <c r="AI554" s="18"/>
      <c r="AJ554" s="18"/>
      <c r="AK554" s="18"/>
      <c r="AL554" s="18"/>
      <c r="AM554" s="18"/>
      <c r="AN554" s="18"/>
    </row>
    <row r="555" spans="2:40" ht="21.9" customHeight="1" thickBot="1" x14ac:dyDescent="0.3">
      <c r="B555" s="680"/>
      <c r="C555" s="690"/>
      <c r="D555" s="690"/>
      <c r="E555" s="114" t="s">
        <v>319</v>
      </c>
      <c r="F555" s="114" t="s">
        <v>276</v>
      </c>
      <c r="G555" s="114" t="s">
        <v>333</v>
      </c>
      <c r="H555" s="701">
        <f t="shared" ref="H555:AG555" si="272">H358-H184</f>
        <v>0</v>
      </c>
      <c r="I555" s="701">
        <f t="shared" si="272"/>
        <v>-654.2648470501299</v>
      </c>
      <c r="J555" s="701">
        <f t="shared" si="272"/>
        <v>-1310.3305911369389</v>
      </c>
      <c r="K555" s="701">
        <f t="shared" si="272"/>
        <v>-4943.9411715206807</v>
      </c>
      <c r="L555" s="701">
        <f t="shared" si="272"/>
        <v>-8578.7393285453145</v>
      </c>
      <c r="M555" s="701">
        <f t="shared" si="272"/>
        <v>-12215.990876454729</v>
      </c>
      <c r="N555" s="701">
        <f t="shared" si="272"/>
        <v>-15849.69169966066</v>
      </c>
      <c r="O555" s="701">
        <f t="shared" si="272"/>
        <v>-19488.649370922591</v>
      </c>
      <c r="P555" s="701">
        <f t="shared" si="272"/>
        <v>-25172.147740762011</v>
      </c>
      <c r="Q555" s="701">
        <f t="shared" si="272"/>
        <v>-30857.785956303167</v>
      </c>
      <c r="R555" s="701">
        <f t="shared" si="272"/>
        <v>-36542.936476900242</v>
      </c>
      <c r="S555" s="701">
        <f t="shared" si="272"/>
        <v>-42230.027170689849</v>
      </c>
      <c r="T555" s="701">
        <f t="shared" si="272"/>
        <v>-47927.069228787805</v>
      </c>
      <c r="U555" s="701">
        <f t="shared" si="272"/>
        <v>-50635.381734474809</v>
      </c>
      <c r="V555" s="701">
        <f t="shared" si="272"/>
        <v>-51294.276319420809</v>
      </c>
      <c r="W555" s="701">
        <f t="shared" si="272"/>
        <v>-51954.015284546331</v>
      </c>
      <c r="X555" s="701">
        <f t="shared" si="272"/>
        <v>-52614.734791634051</v>
      </c>
      <c r="Y555" s="701">
        <f t="shared" si="272"/>
        <v>-53278.395112978469</v>
      </c>
      <c r="Z555" s="701">
        <f t="shared" si="272"/>
        <v>-53941.563810808584</v>
      </c>
      <c r="AA555" s="701">
        <f t="shared" si="272"/>
        <v>-54608.052686525538</v>
      </c>
      <c r="AB555" s="701">
        <f t="shared" si="272"/>
        <v>-55274.477086582221</v>
      </c>
      <c r="AC555" s="701">
        <f t="shared" si="272"/>
        <v>-55942.900403852691</v>
      </c>
      <c r="AD555" s="701">
        <f t="shared" si="272"/>
        <v>-56615.423853337823</v>
      </c>
      <c r="AE555" s="701">
        <f t="shared" si="272"/>
        <v>-57288.756453095819</v>
      </c>
      <c r="AF555" s="701">
        <f t="shared" si="272"/>
        <v>-57965.076229072089</v>
      </c>
      <c r="AG555" s="702">
        <f t="shared" si="272"/>
        <v>-58646.613468210358</v>
      </c>
      <c r="AH555" s="18"/>
      <c r="AI555" s="18"/>
      <c r="AJ555" s="18"/>
      <c r="AK555" s="18"/>
      <c r="AL555" s="18"/>
      <c r="AM555" s="18"/>
      <c r="AN555" s="18"/>
    </row>
    <row r="556" spans="2:40" ht="21.9" customHeight="1" thickBot="1" x14ac:dyDescent="0.3">
      <c r="B556" s="680"/>
      <c r="C556" s="690"/>
      <c r="D556" s="690"/>
      <c r="E556" s="114"/>
      <c r="F556" s="114" t="s">
        <v>333</v>
      </c>
      <c r="G556" s="114" t="s">
        <v>323</v>
      </c>
      <c r="H556" s="701">
        <f t="shared" ref="H556:AG556" si="273">H359-H185</f>
        <v>0</v>
      </c>
      <c r="I556" s="701">
        <f t="shared" si="273"/>
        <v>-82.128157984434438</v>
      </c>
      <c r="J556" s="701">
        <f t="shared" si="273"/>
        <v>-164.571331690644</v>
      </c>
      <c r="K556" s="701">
        <f t="shared" si="273"/>
        <v>-504.70944623348623</v>
      </c>
      <c r="L556" s="701">
        <f t="shared" si="273"/>
        <v>-845.08763748643469</v>
      </c>
      <c r="M556" s="701">
        <f t="shared" si="273"/>
        <v>-1185.4809546592205</v>
      </c>
      <c r="N556" s="701">
        <f t="shared" si="273"/>
        <v>-1525.6194831081229</v>
      </c>
      <c r="O556" s="701">
        <f t="shared" si="273"/>
        <v>-1866.4334138136892</v>
      </c>
      <c r="P556" s="701">
        <f t="shared" si="273"/>
        <v>-2459.0334906264943</v>
      </c>
      <c r="Q556" s="701">
        <f t="shared" si="273"/>
        <v>-3052.0558934166293</v>
      </c>
      <c r="R556" s="701">
        <f t="shared" si="273"/>
        <v>-3644.5124106963267</v>
      </c>
      <c r="S556" s="701">
        <f t="shared" si="273"/>
        <v>-4237.1260793069596</v>
      </c>
      <c r="T556" s="701">
        <f t="shared" si="273"/>
        <v>-4830.5617462964583</v>
      </c>
      <c r="U556" s="701">
        <f t="shared" si="273"/>
        <v>-5164.90741196409</v>
      </c>
      <c r="V556" s="701">
        <f t="shared" si="273"/>
        <v>-5247.0544037356231</v>
      </c>
      <c r="W556" s="701">
        <f t="shared" si="273"/>
        <v>-5329.2049489165438</v>
      </c>
      <c r="X556" s="701">
        <f t="shared" si="273"/>
        <v>-5411.3596399756789</v>
      </c>
      <c r="Y556" s="701">
        <f t="shared" si="273"/>
        <v>-5493.8341821174545</v>
      </c>
      <c r="Z556" s="701">
        <f t="shared" si="273"/>
        <v>-5575.9992999328679</v>
      </c>
      <c r="AA556" s="701">
        <f t="shared" si="273"/>
        <v>-5658.4859346032608</v>
      </c>
      <c r="AB556" s="701">
        <f t="shared" si="273"/>
        <v>-5740.665031323686</v>
      </c>
      <c r="AC556" s="701">
        <f t="shared" si="273"/>
        <v>-5822.8527623877126</v>
      </c>
      <c r="AD556" s="701">
        <f t="shared" si="273"/>
        <v>-5905.3654676373335</v>
      </c>
      <c r="AE556" s="701">
        <f t="shared" si="273"/>
        <v>-5987.5745289095794</v>
      </c>
      <c r="AF556" s="701">
        <f t="shared" si="273"/>
        <v>-6069.7966406607629</v>
      </c>
      <c r="AG556" s="702">
        <f t="shared" si="273"/>
        <v>-6152.3487303774491</v>
      </c>
      <c r="AH556" s="18"/>
      <c r="AI556" s="18"/>
      <c r="AJ556" s="18"/>
      <c r="AK556" s="18"/>
      <c r="AL556" s="18"/>
      <c r="AM556" s="18"/>
      <c r="AN556" s="18"/>
    </row>
    <row r="557" spans="2:40" ht="21.9" customHeight="1" thickBot="1" x14ac:dyDescent="0.3">
      <c r="B557" s="680"/>
      <c r="C557" s="690"/>
      <c r="D557" s="690"/>
      <c r="E557" s="114"/>
      <c r="F557" s="114" t="s">
        <v>323</v>
      </c>
      <c r="G557" s="114" t="s">
        <v>322</v>
      </c>
      <c r="H557" s="701">
        <f t="shared" ref="H557:AG557" si="274">H360-H186</f>
        <v>0</v>
      </c>
      <c r="I557" s="701">
        <f t="shared" si="274"/>
        <v>-24.737266036741403</v>
      </c>
      <c r="J557" s="701">
        <f t="shared" si="274"/>
        <v>-49.569417695055563</v>
      </c>
      <c r="K557" s="701">
        <f t="shared" si="274"/>
        <v>-152.02013313438238</v>
      </c>
      <c r="L557" s="701">
        <f t="shared" si="274"/>
        <v>-254.54319542421536</v>
      </c>
      <c r="M557" s="701">
        <f t="shared" si="274"/>
        <v>-357.07087864709683</v>
      </c>
      <c r="N557" s="701">
        <f t="shared" si="274"/>
        <v>-459.5219332571105</v>
      </c>
      <c r="O557" s="701">
        <f t="shared" si="274"/>
        <v>-562.17661621725983</v>
      </c>
      <c r="P557" s="701">
        <f t="shared" si="274"/>
        <v>-740.67085731895168</v>
      </c>
      <c r="Q557" s="701">
        <f t="shared" si="274"/>
        <v>-919.2935014013774</v>
      </c>
      <c r="R557" s="701">
        <f t="shared" si="274"/>
        <v>-1097.7478425768641</v>
      </c>
      <c r="S557" s="701">
        <f t="shared" si="274"/>
        <v>-1276.253221324806</v>
      </c>
      <c r="T557" s="701">
        <f t="shared" si="274"/>
        <v>-1455.0123904802385</v>
      </c>
      <c r="U557" s="701">
        <f t="shared" si="274"/>
        <v>-1555.732795591457</v>
      </c>
      <c r="V557" s="701">
        <f t="shared" si="274"/>
        <v>-1580.485494763755</v>
      </c>
      <c r="W557" s="701">
        <f t="shared" si="274"/>
        <v>-1605.241105737513</v>
      </c>
      <c r="X557" s="701">
        <f t="shared" si="274"/>
        <v>-1630.0001140046616</v>
      </c>
      <c r="Y557" s="701">
        <f t="shared" si="274"/>
        <v>-1654.8579701755953</v>
      </c>
      <c r="Z557" s="701">
        <f t="shared" si="274"/>
        <v>-1679.6255225312125</v>
      </c>
      <c r="AA557" s="701">
        <f t="shared" si="274"/>
        <v>-1704.493287789066</v>
      </c>
      <c r="AB557" s="701">
        <f t="shared" si="274"/>
        <v>-1729.2722950015632</v>
      </c>
      <c r="AC557" s="701">
        <f t="shared" si="274"/>
        <v>-1754.0583775300729</v>
      </c>
      <c r="AD557" s="701">
        <f t="shared" si="274"/>
        <v>-1778.9475060316017</v>
      </c>
      <c r="AE557" s="701">
        <f t="shared" si="274"/>
        <v>-1803.7510673599527</v>
      </c>
      <c r="AF557" s="701">
        <f t="shared" si="274"/>
        <v>-1828.5653227568509</v>
      </c>
      <c r="AG557" s="702">
        <f t="shared" si="274"/>
        <v>-1853.4867244180969</v>
      </c>
      <c r="AH557" s="18"/>
      <c r="AI557" s="18"/>
      <c r="AJ557" s="18"/>
      <c r="AK557" s="18"/>
      <c r="AL557" s="18"/>
      <c r="AM557" s="18"/>
      <c r="AN557" s="18"/>
    </row>
    <row r="558" spans="2:40" ht="21.9" customHeight="1" thickBot="1" x14ac:dyDescent="0.3">
      <c r="B558" s="680"/>
      <c r="C558" s="690"/>
      <c r="D558" s="690"/>
      <c r="E558" s="114"/>
      <c r="F558" s="114" t="s">
        <v>322</v>
      </c>
      <c r="G558" s="114" t="s">
        <v>326</v>
      </c>
      <c r="H558" s="701">
        <f t="shared" ref="H558:AG558" si="275">H361-H187</f>
        <v>0</v>
      </c>
      <c r="I558" s="701">
        <f t="shared" si="275"/>
        <v>-53.582718244580974</v>
      </c>
      <c r="J558" s="701">
        <f t="shared" si="275"/>
        <v>-107.41506883108013</v>
      </c>
      <c r="K558" s="701">
        <f t="shared" si="275"/>
        <v>-335.00579788026516</v>
      </c>
      <c r="L558" s="701">
        <f t="shared" si="275"/>
        <v>-562.83148428343156</v>
      </c>
      <c r="M558" s="701">
        <f t="shared" si="275"/>
        <v>-790.51034593533223</v>
      </c>
      <c r="N558" s="701">
        <f t="shared" si="275"/>
        <v>-1018.1011318904948</v>
      </c>
      <c r="O558" s="701">
        <f t="shared" si="275"/>
        <v>-1246.2205984887933</v>
      </c>
      <c r="P558" s="701">
        <f t="shared" si="275"/>
        <v>-1597.379303389107</v>
      </c>
      <c r="Q558" s="701">
        <f t="shared" si="275"/>
        <v>-1948.978770561318</v>
      </c>
      <c r="R558" s="701">
        <f t="shared" si="275"/>
        <v>-2300.0500016402621</v>
      </c>
      <c r="S558" s="701">
        <f t="shared" si="275"/>
        <v>-2651.2099851948569</v>
      </c>
      <c r="T558" s="701">
        <f t="shared" si="275"/>
        <v>-3002.9436846544395</v>
      </c>
      <c r="U558" s="701">
        <f t="shared" si="275"/>
        <v>-3179.9644800260394</v>
      </c>
      <c r="V558" s="701">
        <f t="shared" si="275"/>
        <v>-3233.5490757780499</v>
      </c>
      <c r="W558" s="701">
        <f t="shared" si="275"/>
        <v>-3287.134036878906</v>
      </c>
      <c r="X558" s="701">
        <f t="shared" si="275"/>
        <v>-3340.7194261063669</v>
      </c>
      <c r="Y558" s="701">
        <f t="shared" si="275"/>
        <v>-3394.5549497086431</v>
      </c>
      <c r="Z558" s="701">
        <f t="shared" si="275"/>
        <v>-3448.1414227512541</v>
      </c>
      <c r="AA558" s="701">
        <f t="shared" si="275"/>
        <v>-3501.9782087059939</v>
      </c>
      <c r="AB558" s="701">
        <f t="shared" si="275"/>
        <v>-3555.5661463549004</v>
      </c>
      <c r="AC558" s="701">
        <f t="shared" si="275"/>
        <v>-3609.1549935131516</v>
      </c>
      <c r="AD558" s="701">
        <f t="shared" si="275"/>
        <v>-3662.9945274047095</v>
      </c>
      <c r="AE558" s="701">
        <f t="shared" si="275"/>
        <v>-3716.5856339965394</v>
      </c>
      <c r="AF558" s="701">
        <f t="shared" si="275"/>
        <v>-3770.1781297411944</v>
      </c>
      <c r="AG558" s="702">
        <f t="shared" si="275"/>
        <v>-3824.0218584149952</v>
      </c>
      <c r="AH558" s="18"/>
      <c r="AI558" s="18"/>
      <c r="AJ558" s="18"/>
      <c r="AK558" s="18"/>
      <c r="AL558" s="18"/>
      <c r="AM558" s="18"/>
      <c r="AN558" s="18"/>
    </row>
    <row r="559" spans="2:40" ht="21.9" customHeight="1" thickBot="1" x14ac:dyDescent="0.3">
      <c r="B559" s="680"/>
      <c r="C559" s="690"/>
      <c r="D559" s="690"/>
      <c r="E559" s="114"/>
      <c r="F559" s="114" t="s">
        <v>326</v>
      </c>
      <c r="G559" s="114" t="s">
        <v>274</v>
      </c>
      <c r="H559" s="701">
        <f t="shared" ref="H559:AG559" si="276">H362-H188</f>
        <v>0</v>
      </c>
      <c r="I559" s="701">
        <f t="shared" si="276"/>
        <v>-365.29005836130091</v>
      </c>
      <c r="J559" s="701">
        <f t="shared" si="276"/>
        <v>-732.28193544523674</v>
      </c>
      <c r="K559" s="701">
        <f t="shared" si="276"/>
        <v>-2283.8387085967406</v>
      </c>
      <c r="L559" s="701">
        <f t="shared" si="276"/>
        <v>-3836.9972167101078</v>
      </c>
      <c r="M559" s="701">
        <f t="shared" si="276"/>
        <v>-5389.1546995979152</v>
      </c>
      <c r="N559" s="701">
        <f t="shared" si="276"/>
        <v>-6940.7116153475945</v>
      </c>
      <c r="O559" s="701">
        <f t="shared" si="276"/>
        <v>-8495.8725014089723</v>
      </c>
      <c r="P559" s="701">
        <f t="shared" si="276"/>
        <v>-10889.829458562119</v>
      </c>
      <c r="Q559" s="701">
        <f t="shared" si="276"/>
        <v>-13286.790213123881</v>
      </c>
      <c r="R559" s="701">
        <f t="shared" si="276"/>
        <v>-15680.148111352071</v>
      </c>
      <c r="S559" s="701">
        <f t="shared" si="276"/>
        <v>-18074.10827262915</v>
      </c>
      <c r="T559" s="701">
        <f t="shared" si="276"/>
        <v>-20471.975187161966</v>
      </c>
      <c r="U559" s="701">
        <f t="shared" si="276"/>
        <v>-21678.770128841046</v>
      </c>
      <c r="V559" s="701">
        <f t="shared" si="276"/>
        <v>-22044.064891966336</v>
      </c>
      <c r="W559" s="701">
        <f t="shared" si="276"/>
        <v>-22409.360570603356</v>
      </c>
      <c r="X559" s="701">
        <f t="shared" si="276"/>
        <v>-22774.657322064202</v>
      </c>
      <c r="Y559" s="701">
        <f t="shared" si="276"/>
        <v>-23141.657150269981</v>
      </c>
      <c r="Z559" s="701">
        <f t="shared" si="276"/>
        <v>-23506.956617615942</v>
      </c>
      <c r="AA559" s="701">
        <f t="shared" si="276"/>
        <v>-23873.959609095691</v>
      </c>
      <c r="AB559" s="701">
        <f t="shared" si="276"/>
        <v>-24239.26274653466</v>
      </c>
      <c r="AC559" s="701">
        <f t="shared" si="276"/>
        <v>-24604.568163073403</v>
      </c>
      <c r="AD559" s="701">
        <f t="shared" si="276"/>
        <v>-24971.57804048821</v>
      </c>
      <c r="AE559" s="701">
        <f t="shared" si="276"/>
        <v>-25336.889118843043</v>
      </c>
      <c r="AF559" s="701">
        <f t="shared" si="276"/>
        <v>-25702.203678215301</v>
      </c>
      <c r="AG559" s="702">
        <f t="shared" si="276"/>
        <v>-26069.224067151954</v>
      </c>
      <c r="AH559" s="18"/>
      <c r="AI559" s="18"/>
      <c r="AJ559" s="18"/>
      <c r="AK559" s="18"/>
      <c r="AL559" s="18"/>
      <c r="AM559" s="18"/>
      <c r="AN559" s="18"/>
    </row>
    <row r="560" spans="2:40" ht="21.9" customHeight="1" thickBot="1" x14ac:dyDescent="0.3">
      <c r="B560" s="680"/>
      <c r="C560" s="690"/>
      <c r="D560" s="690"/>
      <c r="E560" s="114"/>
      <c r="F560" s="114" t="s">
        <v>274</v>
      </c>
      <c r="G560" s="114" t="s">
        <v>317</v>
      </c>
      <c r="H560" s="701">
        <f t="shared" ref="H560:AG560" si="277">H363-H189</f>
        <v>0</v>
      </c>
      <c r="I560" s="701">
        <f t="shared" si="277"/>
        <v>-9.1230782871330121</v>
      </c>
      <c r="J560" s="701">
        <f t="shared" si="277"/>
        <v>-18.288722361826785</v>
      </c>
      <c r="K560" s="701">
        <f t="shared" si="277"/>
        <v>-57.039257275483806</v>
      </c>
      <c r="L560" s="701">
        <f t="shared" si="277"/>
        <v>-95.83082151520216</v>
      </c>
      <c r="M560" s="701">
        <f t="shared" si="277"/>
        <v>-134.59920544890474</v>
      </c>
      <c r="N560" s="701">
        <f t="shared" si="277"/>
        <v>-173.35568064073777</v>
      </c>
      <c r="O560" s="701">
        <f t="shared" si="277"/>
        <v>-212.20724818122017</v>
      </c>
      <c r="P560" s="701">
        <f t="shared" si="277"/>
        <v>-272.0243614402541</v>
      </c>
      <c r="Q560" s="701">
        <f t="shared" si="277"/>
        <v>-331.94108113821494</v>
      </c>
      <c r="R560" s="701">
        <f t="shared" si="277"/>
        <v>-391.8091139860976</v>
      </c>
      <c r="S560" s="701">
        <f t="shared" si="277"/>
        <v>-451.75970290582018</v>
      </c>
      <c r="T560" s="701">
        <f t="shared" si="277"/>
        <v>-511.91545615117047</v>
      </c>
      <c r="U560" s="701">
        <f t="shared" si="277"/>
        <v>-542.31844953676</v>
      </c>
      <c r="V560" s="701">
        <f t="shared" si="277"/>
        <v>-551.63751633291668</v>
      </c>
      <c r="W560" s="701">
        <f t="shared" si="277"/>
        <v>-560.99472102083382</v>
      </c>
      <c r="X560" s="701">
        <f t="shared" si="277"/>
        <v>-570.39661682043561</v>
      </c>
      <c r="Y560" s="701">
        <f t="shared" si="277"/>
        <v>-579.89348442024857</v>
      </c>
      <c r="Z560" s="701">
        <f t="shared" si="277"/>
        <v>-589.4085170904259</v>
      </c>
      <c r="AA560" s="701">
        <f t="shared" si="277"/>
        <v>-599.0371586437368</v>
      </c>
      <c r="AB560" s="701">
        <f t="shared" si="277"/>
        <v>-608.7050780607924</v>
      </c>
      <c r="AC560" s="701">
        <f t="shared" si="277"/>
        <v>-618.46793898291708</v>
      </c>
      <c r="AD560" s="701">
        <f t="shared" si="277"/>
        <v>-628.38343108585377</v>
      </c>
      <c r="AE560" s="701">
        <f t="shared" si="277"/>
        <v>-638.38214887327695</v>
      </c>
      <c r="AF560" s="701">
        <f t="shared" si="277"/>
        <v>-648.52587699979085</v>
      </c>
      <c r="AG560" s="702">
        <f t="shared" si="277"/>
        <v>-658.879252385575</v>
      </c>
      <c r="AH560" s="18"/>
      <c r="AI560" s="18"/>
      <c r="AJ560" s="18"/>
      <c r="AK560" s="18"/>
      <c r="AL560" s="18"/>
      <c r="AM560" s="18"/>
      <c r="AN560" s="18"/>
    </row>
    <row r="561" spans="1:40" ht="21.9" customHeight="1" thickBot="1" x14ac:dyDescent="0.3">
      <c r="A561" s="445"/>
      <c r="B561" s="682"/>
      <c r="C561" s="706"/>
      <c r="D561" s="706"/>
      <c r="E561" s="707" t="s">
        <v>181</v>
      </c>
      <c r="F561" s="707"/>
      <c r="G561" s="707"/>
      <c r="H561" s="722">
        <f t="shared" ref="H561:AG561" si="278">SUM(H541:H552,H554:H560)</f>
        <v>-2026.1048206257801</v>
      </c>
      <c r="I561" s="722">
        <f t="shared" si="278"/>
        <v>-2087.4114589523938</v>
      </c>
      <c r="J561" s="722">
        <f t="shared" si="278"/>
        <v>5792.1281611315499</v>
      </c>
      <c r="K561" s="722">
        <f t="shared" si="278"/>
        <v>4675.887716445146</v>
      </c>
      <c r="L561" s="722">
        <f t="shared" si="278"/>
        <v>-4054.5864246992505</v>
      </c>
      <c r="M561" s="722">
        <f t="shared" si="278"/>
        <v>-53765.445376047901</v>
      </c>
      <c r="N561" s="722">
        <f t="shared" si="278"/>
        <v>-276876.72565228282</v>
      </c>
      <c r="O561" s="722">
        <f t="shared" si="278"/>
        <v>-326369.97895956913</v>
      </c>
      <c r="P561" s="722">
        <f t="shared" si="278"/>
        <v>-450325.23107485421</v>
      </c>
      <c r="Q561" s="722">
        <f t="shared" si="278"/>
        <v>-585783.70068805269</v>
      </c>
      <c r="R561" s="722">
        <f t="shared" si="278"/>
        <v>-722215.74973265198</v>
      </c>
      <c r="S561" s="722">
        <f t="shared" si="278"/>
        <v>-725516.50658435281</v>
      </c>
      <c r="T561" s="722">
        <f t="shared" si="278"/>
        <v>-693070.04267437127</v>
      </c>
      <c r="U561" s="722">
        <f t="shared" si="278"/>
        <v>-677239.37642954336</v>
      </c>
      <c r="V561" s="722">
        <f t="shared" si="278"/>
        <v>-662289.92434831348</v>
      </c>
      <c r="W561" s="722">
        <f t="shared" si="278"/>
        <v>-655565.93056723534</v>
      </c>
      <c r="X561" s="722">
        <f t="shared" si="278"/>
        <v>-674028.93408069527</v>
      </c>
      <c r="Y561" s="722">
        <f t="shared" si="278"/>
        <v>-693553.43753133982</v>
      </c>
      <c r="Z561" s="722">
        <f t="shared" si="278"/>
        <v>-714333.52675330872</v>
      </c>
      <c r="AA561" s="722">
        <f t="shared" si="278"/>
        <v>-736574.16409416357</v>
      </c>
      <c r="AB561" s="722">
        <f t="shared" si="278"/>
        <v>-760546.98791554652</v>
      </c>
      <c r="AC561" s="722">
        <f t="shared" si="278"/>
        <v>-786517.35476076859</v>
      </c>
      <c r="AD561" s="722">
        <f t="shared" si="278"/>
        <v>-814830.23021953972</v>
      </c>
      <c r="AE561" s="722">
        <f t="shared" si="278"/>
        <v>-845903.45700798125</v>
      </c>
      <c r="AF561" s="722">
        <f t="shared" si="278"/>
        <v>-880124.069300481</v>
      </c>
      <c r="AG561" s="723">
        <f t="shared" si="278"/>
        <v>-918023.22687521414</v>
      </c>
      <c r="AH561" s="18"/>
      <c r="AI561" s="18"/>
      <c r="AJ561" s="18"/>
      <c r="AK561" s="18"/>
      <c r="AL561" s="18"/>
      <c r="AM561" s="18"/>
      <c r="AN561" s="18"/>
    </row>
    <row r="562" spans="1:40" ht="21.75" customHeight="1" thickBot="1" x14ac:dyDescent="0.3">
      <c r="B562" s="180"/>
      <c r="C562" s="114"/>
      <c r="D562" s="114"/>
      <c r="E562" s="237"/>
      <c r="F562" s="237"/>
      <c r="G562" s="237"/>
      <c r="H562" s="716"/>
      <c r="I562" s="716"/>
      <c r="J562" s="716"/>
      <c r="K562" s="716"/>
      <c r="L562" s="716"/>
      <c r="M562" s="716"/>
      <c r="N562" s="716"/>
      <c r="O562" s="716"/>
      <c r="P562" s="716"/>
      <c r="Q562" s="716"/>
      <c r="R562" s="716"/>
      <c r="S562" s="716"/>
      <c r="T562" s="716"/>
      <c r="U562" s="716"/>
      <c r="V562" s="716"/>
      <c r="W562" s="716"/>
      <c r="X562" s="716"/>
      <c r="Y562" s="716"/>
      <c r="Z562" s="716"/>
      <c r="AA562" s="716"/>
      <c r="AB562" s="716"/>
      <c r="AC562" s="716"/>
      <c r="AD562" s="716"/>
      <c r="AE562" s="716"/>
      <c r="AF562" s="716"/>
      <c r="AG562" s="724"/>
      <c r="AH562" s="18"/>
      <c r="AI562" s="18"/>
      <c r="AJ562" s="18"/>
      <c r="AK562" s="18"/>
      <c r="AL562" s="18"/>
      <c r="AM562" s="18"/>
      <c r="AN562" s="18"/>
    </row>
    <row r="563" spans="1:40" ht="21.9" customHeight="1" thickBot="1" x14ac:dyDescent="0.3">
      <c r="B563" s="179" t="s">
        <v>454</v>
      </c>
      <c r="C563" s="114" t="s">
        <v>156</v>
      </c>
      <c r="D563" s="237" t="s">
        <v>23</v>
      </c>
      <c r="E563" s="1325" t="s">
        <v>315</v>
      </c>
      <c r="F563" s="217" t="s">
        <v>316</v>
      </c>
      <c r="G563" s="217" t="s">
        <v>276</v>
      </c>
      <c r="H563" s="701">
        <f t="shared" ref="H563:AG563" si="279">H517-H169</f>
        <v>0</v>
      </c>
      <c r="I563" s="701">
        <f t="shared" si="279"/>
        <v>-4.1304143925017343</v>
      </c>
      <c r="J563" s="701">
        <f t="shared" si="279"/>
        <v>-8.2852090866308572</v>
      </c>
      <c r="K563" s="701">
        <f t="shared" si="279"/>
        <v>-12.416687417840876</v>
      </c>
      <c r="L563" s="701">
        <f t="shared" si="279"/>
        <v>-16.550094494246878</v>
      </c>
      <c r="M563" s="701">
        <f t="shared" si="279"/>
        <v>-20.711900637366853</v>
      </c>
      <c r="N563" s="701">
        <f t="shared" si="279"/>
        <v>-24.858195439777774</v>
      </c>
      <c r="O563" s="701">
        <f t="shared" si="279"/>
        <v>-29.045416290933645</v>
      </c>
      <c r="P563" s="701">
        <f t="shared" si="279"/>
        <v>-33.238405869162307</v>
      </c>
      <c r="Q563" s="701">
        <f t="shared" si="279"/>
        <v>-37.484399260803912</v>
      </c>
      <c r="R563" s="701">
        <f t="shared" si="279"/>
        <v>-41.820258800235024</v>
      </c>
      <c r="S563" s="701">
        <f t="shared" si="279"/>
        <v>-46.304009486315408</v>
      </c>
      <c r="T563" s="701">
        <f t="shared" si="279"/>
        <v>-51.074767318510567</v>
      </c>
      <c r="U563" s="701">
        <f t="shared" si="279"/>
        <v>-55.855520974810133</v>
      </c>
      <c r="V563" s="701">
        <f t="shared" si="279"/>
        <v>-60.667243781848811</v>
      </c>
      <c r="W563" s="701">
        <f t="shared" si="279"/>
        <v>-65.671833296539262</v>
      </c>
      <c r="X563" s="701">
        <f t="shared" si="279"/>
        <v>-70.915834002877091</v>
      </c>
      <c r="Y563" s="701">
        <f t="shared" si="279"/>
        <v>-76.482049035163072</v>
      </c>
      <c r="Z563" s="701">
        <f t="shared" si="279"/>
        <v>-82.384914854188537</v>
      </c>
      <c r="AA563" s="701">
        <f t="shared" si="279"/>
        <v>-88.759032818612468</v>
      </c>
      <c r="AB563" s="701">
        <f t="shared" si="279"/>
        <v>-95.644865765501891</v>
      </c>
      <c r="AC563" s="701">
        <f t="shared" si="279"/>
        <v>-103.18300761464343</v>
      </c>
      <c r="AD563" s="701">
        <f t="shared" si="279"/>
        <v>-111.53817505622283</v>
      </c>
      <c r="AE563" s="701">
        <f t="shared" si="279"/>
        <v>-120.80709267743077</v>
      </c>
      <c r="AF563" s="701">
        <f t="shared" si="279"/>
        <v>-131.20398269116413</v>
      </c>
      <c r="AG563" s="702">
        <f t="shared" si="279"/>
        <v>-142.98023665518485</v>
      </c>
      <c r="AH563" s="18"/>
      <c r="AI563" s="18"/>
      <c r="AJ563" s="18"/>
      <c r="AK563" s="18"/>
      <c r="AL563" s="18"/>
      <c r="AM563" s="18"/>
      <c r="AN563" s="18"/>
    </row>
    <row r="564" spans="1:40" ht="21.9" customHeight="1" thickBot="1" x14ac:dyDescent="0.3">
      <c r="B564" s="179" t="s">
        <v>456</v>
      </c>
      <c r="C564" s="690"/>
      <c r="D564" s="690"/>
      <c r="E564" s="1327"/>
      <c r="F564" s="114" t="s">
        <v>276</v>
      </c>
      <c r="G564" s="114" t="s">
        <v>274</v>
      </c>
      <c r="H564" s="701">
        <f t="shared" ref="H564:AG564" si="280">H518-H170</f>
        <v>0</v>
      </c>
      <c r="I564" s="701">
        <f t="shared" si="280"/>
        <v>-648.95487810886698</v>
      </c>
      <c r="J564" s="701">
        <f t="shared" si="280"/>
        <v>3078.1822512985673</v>
      </c>
      <c r="K564" s="701">
        <f t="shared" si="280"/>
        <v>5822.3593181597535</v>
      </c>
      <c r="L564" s="701">
        <f t="shared" si="280"/>
        <v>8570.6493869427359</v>
      </c>
      <c r="M564" s="701">
        <f t="shared" si="280"/>
        <v>11312.740383979108</v>
      </c>
      <c r="N564" s="701">
        <f t="shared" si="280"/>
        <v>14061.336043534975</v>
      </c>
      <c r="O564" s="701">
        <f t="shared" si="280"/>
        <v>16817.142828267941</v>
      </c>
      <c r="P564" s="701">
        <f t="shared" si="280"/>
        <v>14337.145737925661</v>
      </c>
      <c r="Q564" s="701">
        <f t="shared" si="280"/>
        <v>11865.110731984489</v>
      </c>
      <c r="R564" s="701">
        <f t="shared" si="280"/>
        <v>9398.5831816277932</v>
      </c>
      <c r="S564" s="701">
        <f t="shared" si="280"/>
        <v>6933.0651380144991</v>
      </c>
      <c r="T564" s="701">
        <f t="shared" si="280"/>
        <v>4447.5204638786381</v>
      </c>
      <c r="U564" s="701">
        <f t="shared" si="280"/>
        <v>2927.662350778468</v>
      </c>
      <c r="V564" s="701">
        <f t="shared" si="280"/>
        <v>2273.1049172887579</v>
      </c>
      <c r="W564" s="701">
        <f t="shared" si="280"/>
        <v>1609.0843865742208</v>
      </c>
      <c r="X564" s="701">
        <f t="shared" si="280"/>
        <v>932.01691473240498</v>
      </c>
      <c r="Y564" s="701">
        <f t="shared" si="280"/>
        <v>235.38237221853342</v>
      </c>
      <c r="Z564" s="701">
        <f t="shared" si="280"/>
        <v>-482.46844433748629</v>
      </c>
      <c r="AA564" s="701">
        <f t="shared" si="280"/>
        <v>-1232.5686971133109</v>
      </c>
      <c r="AB564" s="701">
        <f t="shared" si="280"/>
        <v>-2019.2895922182361</v>
      </c>
      <c r="AC564" s="701">
        <f t="shared" si="280"/>
        <v>-2855.06814105378</v>
      </c>
      <c r="AD564" s="701">
        <f t="shared" si="280"/>
        <v>-3754.8274703475181</v>
      </c>
      <c r="AE564" s="701">
        <f t="shared" si="280"/>
        <v>-4729.0850793131394</v>
      </c>
      <c r="AF564" s="701">
        <f t="shared" si="280"/>
        <v>-5798.1937646979932</v>
      </c>
      <c r="AG564" s="702">
        <f t="shared" si="280"/>
        <v>-6986.4908936114516</v>
      </c>
      <c r="AH564" s="18"/>
      <c r="AI564" s="18"/>
      <c r="AJ564" s="18"/>
      <c r="AK564" s="18"/>
      <c r="AL564" s="18"/>
      <c r="AM564" s="18"/>
      <c r="AN564" s="18"/>
    </row>
    <row r="565" spans="1:40" ht="21.9" customHeight="1" thickBot="1" x14ac:dyDescent="0.3">
      <c r="B565" s="680"/>
      <c r="C565" s="690"/>
      <c r="D565" s="690"/>
      <c r="E565" s="1327"/>
      <c r="F565" s="114" t="s">
        <v>274</v>
      </c>
      <c r="G565" s="114" t="s">
        <v>317</v>
      </c>
      <c r="H565" s="701">
        <f t="shared" ref="H565:AG565" si="281">H519-H171</f>
        <v>0.64788754306755436</v>
      </c>
      <c r="I565" s="701">
        <f t="shared" si="281"/>
        <v>1.0160948248549175</v>
      </c>
      <c r="J565" s="701">
        <f t="shared" si="281"/>
        <v>1.7308080983639229</v>
      </c>
      <c r="K565" s="701">
        <f t="shared" si="281"/>
        <v>3.4117418165415074</v>
      </c>
      <c r="L565" s="701">
        <f t="shared" si="281"/>
        <v>6.4665065394628982</v>
      </c>
      <c r="M565" s="701">
        <f t="shared" si="281"/>
        <v>11.832424431606341</v>
      </c>
      <c r="N565" s="701">
        <f t="shared" si="281"/>
        <v>20.977502838078181</v>
      </c>
      <c r="O565" s="701">
        <f t="shared" si="281"/>
        <v>36.165333301005376</v>
      </c>
      <c r="P565" s="701">
        <f t="shared" si="281"/>
        <v>59.815677957558364</v>
      </c>
      <c r="Q565" s="701">
        <f t="shared" si="281"/>
        <v>96.795071249369357</v>
      </c>
      <c r="R565" s="701">
        <f t="shared" si="281"/>
        <v>153.48080893775114</v>
      </c>
      <c r="S565" s="701">
        <f t="shared" si="281"/>
        <v>238.89189909561537</v>
      </c>
      <c r="T565" s="701">
        <f t="shared" si="281"/>
        <v>365.63899884781858</v>
      </c>
      <c r="U565" s="701">
        <f t="shared" si="281"/>
        <v>494.63106764366967</v>
      </c>
      <c r="V565" s="701">
        <f t="shared" si="281"/>
        <v>634.10393281067809</v>
      </c>
      <c r="W565" s="701">
        <f t="shared" si="281"/>
        <v>808.45691120610718</v>
      </c>
      <c r="X565" s="701">
        <f t="shared" si="281"/>
        <v>1025.354080056939</v>
      </c>
      <c r="Y565" s="701">
        <f t="shared" si="281"/>
        <v>1294.0400826283258</v>
      </c>
      <c r="Z565" s="701">
        <f t="shared" si="281"/>
        <v>1625.1306650106999</v>
      </c>
      <c r="AA565" s="701">
        <f t="shared" si="281"/>
        <v>2031.6996602954223</v>
      </c>
      <c r="AB565" s="701">
        <f t="shared" si="281"/>
        <v>2528.505518039974</v>
      </c>
      <c r="AC565" s="701">
        <f t="shared" si="281"/>
        <v>3133.3993111329382</v>
      </c>
      <c r="AD565" s="701">
        <f t="shared" si="281"/>
        <v>3867.4259933047433</v>
      </c>
      <c r="AE565" s="701">
        <f t="shared" si="281"/>
        <v>4754.1915569371449</v>
      </c>
      <c r="AF565" s="701">
        <f t="shared" si="281"/>
        <v>5822.1010075388658</v>
      </c>
      <c r="AG565" s="702">
        <f t="shared" si="281"/>
        <v>7104.3626168684677</v>
      </c>
      <c r="AH565" s="18"/>
      <c r="AI565" s="18"/>
      <c r="AJ565" s="18"/>
      <c r="AK565" s="18"/>
      <c r="AL565" s="18"/>
      <c r="AM565" s="18"/>
      <c r="AN565" s="18"/>
    </row>
    <row r="566" spans="1:40" ht="21.9" customHeight="1" thickBot="1" x14ac:dyDescent="0.3">
      <c r="B566" s="680"/>
      <c r="C566" s="690"/>
      <c r="D566" s="690"/>
      <c r="E566" s="1325" t="s">
        <v>274</v>
      </c>
      <c r="F566" s="217" t="s">
        <v>275</v>
      </c>
      <c r="G566" s="217" t="s">
        <v>318</v>
      </c>
      <c r="H566" s="701">
        <f t="shared" ref="H566:AG566" si="282">H520-H172</f>
        <v>2204.5103858268121</v>
      </c>
      <c r="I566" s="701">
        <f t="shared" si="282"/>
        <v>1909.5933190677024</v>
      </c>
      <c r="J566" s="701">
        <f t="shared" si="282"/>
        <v>9421.9473295590724</v>
      </c>
      <c r="K566" s="701">
        <f t="shared" si="282"/>
        <v>15752.797250357617</v>
      </c>
      <c r="L566" s="701">
        <f t="shared" si="282"/>
        <v>15170.882157912536</v>
      </c>
      <c r="M566" s="701">
        <f t="shared" si="282"/>
        <v>-24926.034673610848</v>
      </c>
      <c r="N566" s="701">
        <f t="shared" si="282"/>
        <v>-235296.03475762322</v>
      </c>
      <c r="O566" s="701">
        <f t="shared" si="282"/>
        <v>-264943.94587798079</v>
      </c>
      <c r="P566" s="701">
        <f t="shared" si="282"/>
        <v>-315525.56971921393</v>
      </c>
      <c r="Q566" s="701">
        <f t="shared" si="282"/>
        <v>-366187.60288334102</v>
      </c>
      <c r="R566" s="701">
        <f t="shared" si="282"/>
        <v>-417040.50951276673</v>
      </c>
      <c r="S566" s="701">
        <f t="shared" si="282"/>
        <v>-468548.17658582173</v>
      </c>
      <c r="T566" s="701">
        <f t="shared" si="282"/>
        <v>-521912.35875209083</v>
      </c>
      <c r="U566" s="701">
        <f t="shared" si="282"/>
        <v>-553958.32211702014</v>
      </c>
      <c r="V566" s="701">
        <f t="shared" si="282"/>
        <v>-571687.01370068896</v>
      </c>
      <c r="W566" s="701">
        <f t="shared" si="282"/>
        <v>-587213.42912629945</v>
      </c>
      <c r="X566" s="701">
        <f t="shared" si="282"/>
        <v>-603571.68340306496</v>
      </c>
      <c r="Y566" s="701">
        <f t="shared" si="282"/>
        <v>-620934.68554472795</v>
      </c>
      <c r="Z566" s="701">
        <f t="shared" si="282"/>
        <v>-639451.80952251842</v>
      </c>
      <c r="AA566" s="701">
        <f t="shared" si="282"/>
        <v>-659348.23879997456</v>
      </c>
      <c r="AB566" s="701">
        <f t="shared" si="282"/>
        <v>-680846.44058519485</v>
      </c>
      <c r="AC566" s="701">
        <f t="shared" si="282"/>
        <v>-704210.6971289611</v>
      </c>
      <c r="AD566" s="701">
        <f t="shared" si="282"/>
        <v>-729789.23915622931</v>
      </c>
      <c r="AE566" s="701">
        <f t="shared" si="282"/>
        <v>-757926.43193257507</v>
      </c>
      <c r="AF566" s="701">
        <f t="shared" si="282"/>
        <v>-789005.79161231767</v>
      </c>
      <c r="AG566" s="702">
        <f t="shared" si="282"/>
        <v>-823540.97756785003</v>
      </c>
      <c r="AH566" s="18"/>
      <c r="AI566" s="18"/>
      <c r="AJ566" s="18"/>
      <c r="AK566" s="18"/>
      <c r="AL566" s="18"/>
      <c r="AM566" s="18"/>
      <c r="AN566" s="18"/>
    </row>
    <row r="567" spans="1:40" ht="21.9" customHeight="1" thickBot="1" x14ac:dyDescent="0.3">
      <c r="B567" s="680"/>
      <c r="C567" s="690"/>
      <c r="D567" s="690"/>
      <c r="E567" s="1327"/>
      <c r="F567" s="114" t="s">
        <v>318</v>
      </c>
      <c r="G567" s="114" t="s">
        <v>308</v>
      </c>
      <c r="H567" s="701">
        <f t="shared" ref="H567:AG567" si="283">H521-H173</f>
        <v>0</v>
      </c>
      <c r="I567" s="701">
        <f t="shared" si="283"/>
        <v>-335.73251760279527</v>
      </c>
      <c r="J567" s="701">
        <f t="shared" si="283"/>
        <v>-320.55491286569668</v>
      </c>
      <c r="K567" s="701">
        <f t="shared" si="283"/>
        <v>-2361.1463582544202</v>
      </c>
      <c r="L567" s="701">
        <f t="shared" si="283"/>
        <v>-4422.2542349707237</v>
      </c>
      <c r="M567" s="701">
        <f t="shared" si="283"/>
        <v>-6635.1462466095545</v>
      </c>
      <c r="N567" s="701">
        <f t="shared" si="283"/>
        <v>-9603.6204907521569</v>
      </c>
      <c r="O567" s="701">
        <f t="shared" si="283"/>
        <v>-15621.130498506533</v>
      </c>
      <c r="P567" s="701">
        <f t="shared" si="283"/>
        <v>-51396.695632395873</v>
      </c>
      <c r="Q567" s="701">
        <f t="shared" si="283"/>
        <v>-74028.032516128587</v>
      </c>
      <c r="R567" s="701">
        <f t="shared" si="283"/>
        <v>-85143.298007573525</v>
      </c>
      <c r="S567" s="701">
        <f t="shared" si="283"/>
        <v>-95369.777858842048</v>
      </c>
      <c r="T567" s="701">
        <f t="shared" si="283"/>
        <v>-103828.06630570884</v>
      </c>
      <c r="U567" s="701">
        <f t="shared" si="283"/>
        <v>-106070.68892745167</v>
      </c>
      <c r="V567" s="701">
        <f t="shared" si="283"/>
        <v>-104793.99335140758</v>
      </c>
      <c r="W567" s="701">
        <f t="shared" si="283"/>
        <v>-102553.86573669709</v>
      </c>
      <c r="X567" s="701">
        <f t="shared" si="283"/>
        <v>-99190.23449723098</v>
      </c>
      <c r="Y567" s="701">
        <f t="shared" si="283"/>
        <v>-94425.647977511224</v>
      </c>
      <c r="Z567" s="701">
        <f t="shared" si="283"/>
        <v>-87947.982250697765</v>
      </c>
      <c r="AA567" s="701">
        <f t="shared" si="283"/>
        <v>-79346.713207003108</v>
      </c>
      <c r="AB567" s="701">
        <f t="shared" si="283"/>
        <v>-79454.574579765584</v>
      </c>
      <c r="AC567" s="701">
        <f t="shared" si="283"/>
        <v>-80383.990818719045</v>
      </c>
      <c r="AD567" s="701">
        <f t="shared" si="283"/>
        <v>-81340.485306268296</v>
      </c>
      <c r="AE567" s="701">
        <f t="shared" si="283"/>
        <v>-82329.425623203264</v>
      </c>
      <c r="AF567" s="701">
        <f t="shared" si="283"/>
        <v>-83354.875010117248</v>
      </c>
      <c r="AG567" s="702">
        <f t="shared" si="283"/>
        <v>-84421.901785409107</v>
      </c>
      <c r="AH567" s="18"/>
      <c r="AI567" s="18"/>
      <c r="AJ567" s="18"/>
      <c r="AK567" s="18"/>
      <c r="AL567" s="18"/>
      <c r="AM567" s="18"/>
      <c r="AN567" s="18"/>
    </row>
    <row r="568" spans="1:40" ht="21.9" customHeight="1" thickBot="1" x14ac:dyDescent="0.3">
      <c r="B568" s="680"/>
      <c r="C568" s="690"/>
      <c r="D568" s="690"/>
      <c r="E568" s="1339"/>
      <c r="F568" s="250" t="s">
        <v>308</v>
      </c>
      <c r="G568" s="250" t="s">
        <v>319</v>
      </c>
      <c r="H568" s="701">
        <f t="shared" ref="H568:AG568" si="284">H522-H174</f>
        <v>0</v>
      </c>
      <c r="I568" s="701">
        <f t="shared" si="284"/>
        <v>-1228.5343021394801</v>
      </c>
      <c r="J568" s="701">
        <f t="shared" si="284"/>
        <v>-879.34982749799383</v>
      </c>
      <c r="K568" s="701">
        <f t="shared" si="284"/>
        <v>-3388.2234328789636</v>
      </c>
      <c r="L568" s="701">
        <f t="shared" si="284"/>
        <v>-6581.1453573207255</v>
      </c>
      <c r="M568" s="701">
        <f t="shared" si="284"/>
        <v>-11070.984256223397</v>
      </c>
      <c r="N568" s="701">
        <f t="shared" si="284"/>
        <v>-17899.353293876193</v>
      </c>
      <c r="O568" s="701">
        <f t="shared" si="284"/>
        <v>-28778.123403477017</v>
      </c>
      <c r="P568" s="701">
        <f t="shared" si="284"/>
        <v>-63608.477422900032</v>
      </c>
      <c r="Q568" s="701">
        <f t="shared" si="284"/>
        <v>-129825.35324856942</v>
      </c>
      <c r="R568" s="701">
        <f t="shared" si="284"/>
        <v>-222831.23239318526</v>
      </c>
      <c r="S568" s="701">
        <f t="shared" si="284"/>
        <v>-210098.56488012086</v>
      </c>
      <c r="T568" s="701">
        <f t="shared" si="284"/>
        <v>-182934.71462432126</v>
      </c>
      <c r="U568" s="701">
        <f t="shared" si="284"/>
        <v>-149981.33736476128</v>
      </c>
      <c r="V568" s="701">
        <f t="shared" si="284"/>
        <v>-117778.81717548403</v>
      </c>
      <c r="W568" s="701">
        <f t="shared" si="284"/>
        <v>-96002.856516371306</v>
      </c>
      <c r="X568" s="701">
        <f t="shared" si="284"/>
        <v>-98519.281554687885</v>
      </c>
      <c r="Y568" s="701">
        <f t="shared" si="284"/>
        <v>-101039.47892746842</v>
      </c>
      <c r="Z568" s="701">
        <f t="shared" si="284"/>
        <v>-103558.10004229686</v>
      </c>
      <c r="AA568" s="701">
        <f t="shared" si="284"/>
        <v>-106080.86852294678</v>
      </c>
      <c r="AB568" s="701">
        <f t="shared" si="284"/>
        <v>-108602.49837497558</v>
      </c>
      <c r="AC568" s="701">
        <f t="shared" si="284"/>
        <v>-111126.00945099595</v>
      </c>
      <c r="AD568" s="701">
        <f t="shared" si="284"/>
        <v>-113654.4780905107</v>
      </c>
      <c r="AE568" s="701">
        <f t="shared" si="284"/>
        <v>-116182.73368039343</v>
      </c>
      <c r="AF568" s="701">
        <f t="shared" si="284"/>
        <v>-118713.91872769641</v>
      </c>
      <c r="AG568" s="702">
        <f t="shared" si="284"/>
        <v>-121251.25960035389</v>
      </c>
      <c r="AH568" s="18"/>
      <c r="AI568" s="18"/>
      <c r="AJ568" s="18"/>
      <c r="AK568" s="18"/>
      <c r="AL568" s="18"/>
      <c r="AM568" s="18"/>
      <c r="AN568" s="18"/>
    </row>
    <row r="569" spans="1:40" ht="21.9" customHeight="1" thickBot="1" x14ac:dyDescent="0.3">
      <c r="B569" s="680"/>
      <c r="C569" s="690"/>
      <c r="D569" s="690"/>
      <c r="E569" s="114" t="s">
        <v>320</v>
      </c>
      <c r="F569" s="114" t="s">
        <v>318</v>
      </c>
      <c r="G569" s="114" t="s">
        <v>308</v>
      </c>
      <c r="H569" s="701">
        <f t="shared" ref="H569:AG569" si="285">H523-H175</f>
        <v>-447.96741014413419</v>
      </c>
      <c r="I569" s="701">
        <f t="shared" si="285"/>
        <v>281.2071402914612</v>
      </c>
      <c r="J569" s="701">
        <f t="shared" si="285"/>
        <v>10811.185812720087</v>
      </c>
      <c r="K569" s="701">
        <f t="shared" si="285"/>
        <v>26550.612809892566</v>
      </c>
      <c r="L569" s="701">
        <f t="shared" si="285"/>
        <v>42301.11576567564</v>
      </c>
      <c r="M569" s="701">
        <f t="shared" si="285"/>
        <v>58050.06592877541</v>
      </c>
      <c r="N569" s="701">
        <f t="shared" si="285"/>
        <v>73852.815037553111</v>
      </c>
      <c r="O569" s="701">
        <f t="shared" si="285"/>
        <v>90108.985042513188</v>
      </c>
      <c r="P569" s="701">
        <f t="shared" si="285"/>
        <v>96701.004089888898</v>
      </c>
      <c r="Q569" s="701">
        <f t="shared" si="285"/>
        <v>103913.29907246493</v>
      </c>
      <c r="R569" s="701">
        <f t="shared" si="285"/>
        <v>112229.064129809</v>
      </c>
      <c r="S569" s="701">
        <f t="shared" si="285"/>
        <v>122443.35303993036</v>
      </c>
      <c r="T569" s="701">
        <f t="shared" si="285"/>
        <v>135878.87628603837</v>
      </c>
      <c r="U569" s="701">
        <f t="shared" si="285"/>
        <v>138126.47352008754</v>
      </c>
      <c r="V569" s="701">
        <f t="shared" si="285"/>
        <v>140499.28648975625</v>
      </c>
      <c r="W569" s="701">
        <f t="shared" si="285"/>
        <v>143006.63221529295</v>
      </c>
      <c r="X569" s="701">
        <f t="shared" si="285"/>
        <v>145658.34131095998</v>
      </c>
      <c r="Y569" s="701">
        <f t="shared" si="285"/>
        <v>148486.68175782831</v>
      </c>
      <c r="Z569" s="701">
        <f t="shared" si="285"/>
        <v>151460.40456342296</v>
      </c>
      <c r="AA569" s="701">
        <f t="shared" si="285"/>
        <v>154621.42703236768</v>
      </c>
      <c r="AB569" s="701">
        <f t="shared" si="285"/>
        <v>157964.13633225407</v>
      </c>
      <c r="AC569" s="701">
        <f t="shared" si="285"/>
        <v>161510.73967487569</v>
      </c>
      <c r="AD569" s="701">
        <f t="shared" si="285"/>
        <v>165304.32025711541</v>
      </c>
      <c r="AE569" s="701">
        <f t="shared" si="285"/>
        <v>169303.92365989776</v>
      </c>
      <c r="AF569" s="701">
        <f t="shared" si="285"/>
        <v>173552.82270894983</v>
      </c>
      <c r="AG569" s="702">
        <f t="shared" si="285"/>
        <v>178081.8758485585</v>
      </c>
      <c r="AH569" s="18"/>
      <c r="AI569" s="18"/>
      <c r="AJ569" s="18"/>
      <c r="AK569" s="18"/>
      <c r="AL569" s="18"/>
      <c r="AM569" s="18"/>
      <c r="AN569" s="18"/>
    </row>
    <row r="570" spans="1:40" ht="21.9" customHeight="1" thickBot="1" x14ac:dyDescent="0.3">
      <c r="B570" s="680"/>
      <c r="C570" s="690"/>
      <c r="D570" s="690"/>
      <c r="E570" s="1325" t="s">
        <v>308</v>
      </c>
      <c r="F570" s="217" t="s">
        <v>276</v>
      </c>
      <c r="G570" s="217" t="s">
        <v>320</v>
      </c>
      <c r="H570" s="701">
        <f t="shared" ref="H570:AG570" si="286">H524-H176</f>
        <v>-1228.4347919887814</v>
      </c>
      <c r="I570" s="701">
        <f t="shared" si="286"/>
        <v>237.22670436158342</v>
      </c>
      <c r="J570" s="701">
        <f t="shared" si="286"/>
        <v>-17140.389056677748</v>
      </c>
      <c r="K570" s="701">
        <f t="shared" si="286"/>
        <v>-29061.207779354558</v>
      </c>
      <c r="L570" s="701">
        <f t="shared" si="286"/>
        <v>-40997.482299702286</v>
      </c>
      <c r="M570" s="701">
        <f t="shared" si="286"/>
        <v>-52939.830670673568</v>
      </c>
      <c r="N570" s="701">
        <f t="shared" si="286"/>
        <v>-65176.507070401218</v>
      </c>
      <c r="O570" s="701">
        <f t="shared" si="286"/>
        <v>-79253.457005352568</v>
      </c>
      <c r="P570" s="701">
        <f t="shared" si="286"/>
        <v>-68403.395967880366</v>
      </c>
      <c r="Q570" s="701">
        <f t="shared" si="286"/>
        <v>-57551.502230891841</v>
      </c>
      <c r="R570" s="701">
        <f t="shared" si="286"/>
        <v>-46701.399245843961</v>
      </c>
      <c r="S570" s="701">
        <f t="shared" si="286"/>
        <v>-35851.277784498379</v>
      </c>
      <c r="T570" s="701">
        <f t="shared" si="286"/>
        <v>-24986.727845213871</v>
      </c>
      <c r="U570" s="701">
        <f t="shared" si="286"/>
        <v>-19601.781681432913</v>
      </c>
      <c r="V570" s="701">
        <f t="shared" si="286"/>
        <v>-18136.098108796898</v>
      </c>
      <c r="W570" s="701">
        <f t="shared" si="286"/>
        <v>-16670.412148737465</v>
      </c>
      <c r="X570" s="701">
        <f t="shared" si="286"/>
        <v>-15204.723570602742</v>
      </c>
      <c r="Y570" s="701">
        <f t="shared" si="286"/>
        <v>-13734.835866872541</v>
      </c>
      <c r="Z570" s="701">
        <f t="shared" si="286"/>
        <v>-12269.141273704532</v>
      </c>
      <c r="AA570" s="701">
        <f t="shared" si="286"/>
        <v>-10799.246971056389</v>
      </c>
      <c r="AB570" s="701">
        <f t="shared" si="286"/>
        <v>-9333.5451860840258</v>
      </c>
      <c r="AC570" s="701">
        <f t="shared" si="286"/>
        <v>-7867.8393085242424</v>
      </c>
      <c r="AD570" s="701">
        <f t="shared" si="286"/>
        <v>-6397.9326534369902</v>
      </c>
      <c r="AE570" s="701">
        <f t="shared" si="286"/>
        <v>-4932.2174353594019</v>
      </c>
      <c r="AF570" s="701">
        <f t="shared" si="286"/>
        <v>-3466.4969215435558</v>
      </c>
      <c r="AG570" s="702">
        <f t="shared" si="286"/>
        <v>-1996.574284611328</v>
      </c>
      <c r="AH570" s="18"/>
      <c r="AI570" s="18"/>
      <c r="AJ570" s="18"/>
      <c r="AK570" s="18"/>
      <c r="AL570" s="18"/>
      <c r="AM570" s="18"/>
      <c r="AN570" s="18"/>
    </row>
    <row r="571" spans="1:40" ht="21.9" customHeight="1" thickBot="1" x14ac:dyDescent="0.3">
      <c r="B571" s="680"/>
      <c r="C571" s="690"/>
      <c r="D571" s="690"/>
      <c r="E571" s="1327"/>
      <c r="F571" s="114" t="s">
        <v>320</v>
      </c>
      <c r="G571" s="114" t="s">
        <v>282</v>
      </c>
      <c r="H571" s="701">
        <f t="shared" ref="H571:AG571" si="287">H525-H177</f>
        <v>-609.32249322493226</v>
      </c>
      <c r="I571" s="701">
        <f t="shared" si="287"/>
        <v>-349.56188554588448</v>
      </c>
      <c r="J571" s="701">
        <f t="shared" si="287"/>
        <v>629.70164183971656</v>
      </c>
      <c r="K571" s="701">
        <f t="shared" si="287"/>
        <v>1539.4146579529702</v>
      </c>
      <c r="L571" s="701">
        <f t="shared" si="287"/>
        <v>2453.5127358398731</v>
      </c>
      <c r="M571" s="701">
        <f t="shared" si="287"/>
        <v>3362.1728414919698</v>
      </c>
      <c r="N571" s="701">
        <f t="shared" si="287"/>
        <v>4271.5962992409059</v>
      </c>
      <c r="O571" s="701">
        <f t="shared" si="287"/>
        <v>5182.509698362268</v>
      </c>
      <c r="P571" s="701">
        <f t="shared" si="287"/>
        <v>3905.1319111666398</v>
      </c>
      <c r="Q571" s="701">
        <f t="shared" si="287"/>
        <v>2297.2678075510921</v>
      </c>
      <c r="R571" s="701">
        <f t="shared" si="287"/>
        <v>-1253.6315026963966</v>
      </c>
      <c r="S571" s="701">
        <f t="shared" si="287"/>
        <v>-13377.42275851802</v>
      </c>
      <c r="T571" s="701">
        <f t="shared" si="287"/>
        <v>-56275.760889425692</v>
      </c>
      <c r="U571" s="701">
        <f t="shared" si="287"/>
        <v>-67176.403108798433</v>
      </c>
      <c r="V571" s="701">
        <f t="shared" si="287"/>
        <v>-68560.707029151468</v>
      </c>
      <c r="W571" s="701">
        <f t="shared" si="287"/>
        <v>-69953.060968968784</v>
      </c>
      <c r="X571" s="701">
        <f t="shared" si="287"/>
        <v>-71345.48674259946</v>
      </c>
      <c r="Y571" s="701">
        <f t="shared" si="287"/>
        <v>-72737.124156936115</v>
      </c>
      <c r="Z571" s="701">
        <f t="shared" si="287"/>
        <v>-74129.727311422466</v>
      </c>
      <c r="AA571" s="701">
        <f t="shared" si="287"/>
        <v>-75521.570884537752</v>
      </c>
      <c r="AB571" s="701">
        <f t="shared" si="287"/>
        <v>-76914.413057932034</v>
      </c>
      <c r="AC571" s="701">
        <f t="shared" si="287"/>
        <v>-78307.403415591718</v>
      </c>
      <c r="AD571" s="701">
        <f t="shared" si="287"/>
        <v>-79691.12813012641</v>
      </c>
      <c r="AE571" s="701">
        <f t="shared" si="287"/>
        <v>-81084.478783657454</v>
      </c>
      <c r="AF571" s="701">
        <f t="shared" si="287"/>
        <v>-82478.060616106697</v>
      </c>
      <c r="AG571" s="702">
        <f t="shared" si="287"/>
        <v>-83871.030108990817</v>
      </c>
      <c r="AH571" s="18"/>
      <c r="AI571" s="18"/>
      <c r="AJ571" s="18"/>
      <c r="AK571" s="18"/>
      <c r="AL571" s="18"/>
      <c r="AM571" s="18"/>
      <c r="AN571" s="18"/>
    </row>
    <row r="572" spans="1:40" ht="21.9" customHeight="1" thickBot="1" x14ac:dyDescent="0.3">
      <c r="B572" s="680"/>
      <c r="C572" s="690"/>
      <c r="D572" s="690"/>
      <c r="E572" s="1327"/>
      <c r="F572" s="114" t="s">
        <v>282</v>
      </c>
      <c r="G572" s="114" t="s">
        <v>321</v>
      </c>
      <c r="H572" s="701">
        <f t="shared" ref="H572:AG572" si="288">H526-H178</f>
        <v>-1944.8905109489051</v>
      </c>
      <c r="I572" s="701">
        <f t="shared" si="288"/>
        <v>-1587.4844647201944</v>
      </c>
      <c r="J572" s="701">
        <f t="shared" si="288"/>
        <v>646.35194647201843</v>
      </c>
      <c r="K572" s="701">
        <f t="shared" si="288"/>
        <v>1847.5163260345489</v>
      </c>
      <c r="L572" s="701">
        <f t="shared" si="288"/>
        <v>3052.6353163660242</v>
      </c>
      <c r="M572" s="701">
        <f t="shared" si="288"/>
        <v>4249.9099167109125</v>
      </c>
      <c r="N572" s="701">
        <f t="shared" si="288"/>
        <v>5451.0743189321038</v>
      </c>
      <c r="O572" s="701">
        <f t="shared" si="288"/>
        <v>6657.1010979515704</v>
      </c>
      <c r="P572" s="701">
        <f t="shared" si="288"/>
        <v>1397.663401666221</v>
      </c>
      <c r="Q572" s="701">
        <f t="shared" si="288"/>
        <v>-3856.2675173036769</v>
      </c>
      <c r="R572" s="701">
        <f t="shared" si="288"/>
        <v>-9114.8928635102202</v>
      </c>
      <c r="S572" s="701">
        <f t="shared" si="288"/>
        <v>-14374.486733204074</v>
      </c>
      <c r="T572" s="701">
        <f t="shared" si="288"/>
        <v>-19634.870365366951</v>
      </c>
      <c r="U572" s="701">
        <f t="shared" si="288"/>
        <v>-23196.500856509738</v>
      </c>
      <c r="V572" s="701">
        <f t="shared" si="288"/>
        <v>-24153.892497315566</v>
      </c>
      <c r="W572" s="701">
        <f t="shared" si="288"/>
        <v>-25111.355922454168</v>
      </c>
      <c r="X572" s="701">
        <f t="shared" si="288"/>
        <v>-26068.903187870994</v>
      </c>
      <c r="Y572" s="701">
        <f t="shared" si="288"/>
        <v>-27023.69531165529</v>
      </c>
      <c r="Z572" s="701">
        <f t="shared" si="288"/>
        <v>-27981.453609884687</v>
      </c>
      <c r="AA572" s="701">
        <f t="shared" si="288"/>
        <v>-28936.490454961939</v>
      </c>
      <c r="AB572" s="701">
        <f t="shared" si="288"/>
        <v>-29894.532061971782</v>
      </c>
      <c r="AC572" s="701">
        <f t="shared" si="288"/>
        <v>-30852.748883966444</v>
      </c>
      <c r="AD572" s="701">
        <f t="shared" si="288"/>
        <v>-31808.314223598471</v>
      </c>
      <c r="AE572" s="701">
        <f t="shared" si="288"/>
        <v>-32766.964061963576</v>
      </c>
      <c r="AF572" s="701">
        <f t="shared" si="288"/>
        <v>-33725.879117610239</v>
      </c>
      <c r="AG572" s="702">
        <f t="shared" si="288"/>
        <v>-34682.244010246824</v>
      </c>
      <c r="AH572" s="18"/>
      <c r="AI572" s="18"/>
      <c r="AJ572" s="18"/>
      <c r="AK572" s="18"/>
      <c r="AL572" s="18"/>
      <c r="AM572" s="18"/>
      <c r="AN572" s="18"/>
    </row>
    <row r="573" spans="1:40" ht="21.9" customHeight="1" thickBot="1" x14ac:dyDescent="0.3">
      <c r="B573" s="680"/>
      <c r="C573" s="690"/>
      <c r="D573" s="690"/>
      <c r="E573" s="1339"/>
      <c r="F573" s="250" t="s">
        <v>321</v>
      </c>
      <c r="G573" s="250" t="s">
        <v>274</v>
      </c>
      <c r="H573" s="701">
        <f t="shared" ref="H573:AG573" si="289">H527-H179</f>
        <v>0</v>
      </c>
      <c r="I573" s="701">
        <f t="shared" si="289"/>
        <v>-1179.5894160583939</v>
      </c>
      <c r="J573" s="701">
        <f t="shared" si="289"/>
        <v>-2029.7330291970811</v>
      </c>
      <c r="K573" s="701">
        <f t="shared" si="289"/>
        <v>-7666.8649635038255</v>
      </c>
      <c r="L573" s="701">
        <f t="shared" si="289"/>
        <v>-13303.903649655651</v>
      </c>
      <c r="M573" s="701">
        <f t="shared" si="289"/>
        <v>-18951.199635601919</v>
      </c>
      <c r="N573" s="701">
        <f t="shared" si="289"/>
        <v>-24588.331576503813</v>
      </c>
      <c r="O573" s="701">
        <f t="shared" si="289"/>
        <v>-30232.923413985489</v>
      </c>
      <c r="P573" s="701">
        <f t="shared" si="289"/>
        <v>-39079.844963098294</v>
      </c>
      <c r="Q573" s="701">
        <f t="shared" si="289"/>
        <v>-47924.349660108615</v>
      </c>
      <c r="R573" s="701">
        <f t="shared" si="289"/>
        <v>-56772.628583718004</v>
      </c>
      <c r="S573" s="701">
        <f t="shared" si="289"/>
        <v>-65619.79723321466</v>
      </c>
      <c r="T573" s="701">
        <f t="shared" si="289"/>
        <v>-74481.188862657291</v>
      </c>
      <c r="U573" s="701">
        <f t="shared" si="289"/>
        <v>-78536.25335008277</v>
      </c>
      <c r="V573" s="701">
        <f t="shared" si="289"/>
        <v>-79716.400436682758</v>
      </c>
      <c r="W573" s="701">
        <f t="shared" si="289"/>
        <v>-80896.652607783268</v>
      </c>
      <c r="X573" s="701">
        <f t="shared" si="289"/>
        <v>-82077.027378811763</v>
      </c>
      <c r="Y573" s="701">
        <f t="shared" si="289"/>
        <v>-83260.714899577608</v>
      </c>
      <c r="Z573" s="701">
        <f t="shared" si="289"/>
        <v>-84441.397814888172</v>
      </c>
      <c r="AA573" s="701">
        <f t="shared" si="289"/>
        <v>-85625.442376452265</v>
      </c>
      <c r="AB573" s="701">
        <f t="shared" si="289"/>
        <v>-86806.538279798042</v>
      </c>
      <c r="AC573" s="701">
        <f t="shared" si="289"/>
        <v>-87987.88932103361</v>
      </c>
      <c r="AD573" s="701">
        <f t="shared" si="289"/>
        <v>-89172.70345233164</v>
      </c>
      <c r="AE573" s="701">
        <f t="shared" si="289"/>
        <v>-90354.684420113816</v>
      </c>
      <c r="AF573" s="701">
        <f t="shared" si="289"/>
        <v>-91537.050876397756</v>
      </c>
      <c r="AG573" s="702">
        <f t="shared" si="289"/>
        <v>-92723.027157092671</v>
      </c>
      <c r="AH573" s="18"/>
      <c r="AI573" s="18"/>
      <c r="AJ573" s="18"/>
      <c r="AK573" s="18"/>
      <c r="AL573" s="18"/>
      <c r="AM573" s="18"/>
      <c r="AN573" s="18"/>
    </row>
    <row r="574" spans="1:40" ht="21.9" customHeight="1" thickBot="1" x14ac:dyDescent="0.3">
      <c r="B574" s="680"/>
      <c r="C574" s="690"/>
      <c r="D574" s="690"/>
      <c r="E574" s="114" t="s">
        <v>282</v>
      </c>
      <c r="F574" s="114" t="s">
        <v>308</v>
      </c>
      <c r="G574" s="114" t="s">
        <v>324</v>
      </c>
      <c r="H574" s="701">
        <f t="shared" ref="H574:AG574" si="290">H528-H181</f>
        <v>881.83089254867809</v>
      </c>
      <c r="I574" s="701">
        <f t="shared" si="290"/>
        <v>1503.247520875826</v>
      </c>
      <c r="J574" s="701">
        <f t="shared" si="290"/>
        <v>2142.8537013034293</v>
      </c>
      <c r="K574" s="701">
        <f t="shared" si="290"/>
        <v>488.0406623220515</v>
      </c>
      <c r="L574" s="701">
        <f t="shared" si="290"/>
        <v>-1166.6471689376776</v>
      </c>
      <c r="M574" s="701">
        <f t="shared" si="290"/>
        <v>-2820.3251758321348</v>
      </c>
      <c r="N574" s="701">
        <f t="shared" si="290"/>
        <v>-4475.6134530849013</v>
      </c>
      <c r="O574" s="701">
        <f t="shared" si="290"/>
        <v>-6133.0714306617956</v>
      </c>
      <c r="P574" s="701">
        <f t="shared" si="290"/>
        <v>-9397.0798982609267</v>
      </c>
      <c r="Q574" s="701">
        <f t="shared" si="290"/>
        <v>-12671.142564716785</v>
      </c>
      <c r="R574" s="701">
        <f t="shared" si="290"/>
        <v>-15968.456563669621</v>
      </c>
      <c r="S574" s="701">
        <f t="shared" si="290"/>
        <v>-19318.254891966615</v>
      </c>
      <c r="T574" s="701">
        <f t="shared" si="290"/>
        <v>-22778.782874391749</v>
      </c>
      <c r="U574" s="701">
        <f t="shared" si="290"/>
        <v>-23910.340164561218</v>
      </c>
      <c r="V574" s="701">
        <f t="shared" si="290"/>
        <v>-23357.436511962282</v>
      </c>
      <c r="W574" s="701">
        <f t="shared" si="290"/>
        <v>-22812.615643845944</v>
      </c>
      <c r="X574" s="701">
        <f t="shared" si="290"/>
        <v>-22276.727702625562</v>
      </c>
      <c r="Y574" s="701">
        <f t="shared" si="290"/>
        <v>-21750.088761826388</v>
      </c>
      <c r="Z574" s="701">
        <f t="shared" si="290"/>
        <v>-21234.943816696832</v>
      </c>
      <c r="AA574" s="701">
        <f t="shared" si="290"/>
        <v>-20729.145144641152</v>
      </c>
      <c r="AB574" s="701">
        <f t="shared" si="290"/>
        <v>-20239.165935673489</v>
      </c>
      <c r="AC574" s="701">
        <f t="shared" si="290"/>
        <v>-19763.671381728971</v>
      </c>
      <c r="AD574" s="701">
        <f t="shared" si="290"/>
        <v>-19303.543990013786</v>
      </c>
      <c r="AE574" s="701">
        <f t="shared" si="290"/>
        <v>-18861.423666463204</v>
      </c>
      <c r="AF574" s="701">
        <f t="shared" si="290"/>
        <v>-18438.430162189557</v>
      </c>
      <c r="AG574" s="702">
        <f t="shared" si="290"/>
        <v>-18033.861574723793</v>
      </c>
      <c r="AH574" s="18"/>
      <c r="AI574" s="18"/>
      <c r="AJ574" s="18"/>
      <c r="AK574" s="18"/>
      <c r="AL574" s="18"/>
      <c r="AM574" s="18"/>
      <c r="AN574" s="18"/>
    </row>
    <row r="575" spans="1:40" ht="21.9" customHeight="1" thickBot="1" x14ac:dyDescent="0.3">
      <c r="B575" s="680"/>
      <c r="C575" s="690"/>
      <c r="D575" s="690"/>
      <c r="E575" s="273" t="s">
        <v>321</v>
      </c>
      <c r="F575" s="273" t="s">
        <v>318</v>
      </c>
      <c r="G575" s="273" t="s">
        <v>308</v>
      </c>
      <c r="H575" s="701" t="e">
        <f t="shared" ref="H575:AG575" si="291">H529-H182</f>
        <v>#DIV/0!</v>
      </c>
      <c r="I575" s="701" t="e">
        <f t="shared" si="291"/>
        <v>#DIV/0!</v>
      </c>
      <c r="J575" s="701" t="e">
        <f t="shared" si="291"/>
        <v>#DIV/0!</v>
      </c>
      <c r="K575" s="701" t="e">
        <f t="shared" si="291"/>
        <v>#DIV/0!</v>
      </c>
      <c r="L575" s="701" t="e">
        <f t="shared" si="291"/>
        <v>#DIV/0!</v>
      </c>
      <c r="M575" s="701" t="e">
        <f t="shared" si="291"/>
        <v>#DIV/0!</v>
      </c>
      <c r="N575" s="701" t="e">
        <f t="shared" si="291"/>
        <v>#DIV/0!</v>
      </c>
      <c r="O575" s="701" t="e">
        <f t="shared" si="291"/>
        <v>#DIV/0!</v>
      </c>
      <c r="P575" s="701" t="e">
        <f t="shared" si="291"/>
        <v>#DIV/0!</v>
      </c>
      <c r="Q575" s="701" t="e">
        <f t="shared" si="291"/>
        <v>#DIV/0!</v>
      </c>
      <c r="R575" s="701" t="e">
        <f t="shared" si="291"/>
        <v>#DIV/0!</v>
      </c>
      <c r="S575" s="701" t="e">
        <f t="shared" si="291"/>
        <v>#DIV/0!</v>
      </c>
      <c r="T575" s="701" t="e">
        <f t="shared" si="291"/>
        <v>#DIV/0!</v>
      </c>
      <c r="U575" s="701" t="e">
        <f t="shared" si="291"/>
        <v>#DIV/0!</v>
      </c>
      <c r="V575" s="701" t="e">
        <f t="shared" si="291"/>
        <v>#DIV/0!</v>
      </c>
      <c r="W575" s="701" t="e">
        <f t="shared" si="291"/>
        <v>#DIV/0!</v>
      </c>
      <c r="X575" s="701" t="e">
        <f t="shared" si="291"/>
        <v>#DIV/0!</v>
      </c>
      <c r="Y575" s="701" t="e">
        <f t="shared" si="291"/>
        <v>#DIV/0!</v>
      </c>
      <c r="Z575" s="701" t="e">
        <f t="shared" si="291"/>
        <v>#DIV/0!</v>
      </c>
      <c r="AA575" s="701" t="e">
        <f t="shared" si="291"/>
        <v>#DIV/0!</v>
      </c>
      <c r="AB575" s="701" t="e">
        <f t="shared" si="291"/>
        <v>#DIV/0!</v>
      </c>
      <c r="AC575" s="701" t="e">
        <f t="shared" si="291"/>
        <v>#DIV/0!</v>
      </c>
      <c r="AD575" s="701" t="e">
        <f t="shared" si="291"/>
        <v>#DIV/0!</v>
      </c>
      <c r="AE575" s="701" t="e">
        <f t="shared" si="291"/>
        <v>#DIV/0!</v>
      </c>
      <c r="AF575" s="701" t="e">
        <f t="shared" si="291"/>
        <v>#DIV/0!</v>
      </c>
      <c r="AG575" s="702" t="e">
        <f t="shared" si="291"/>
        <v>#DIV/0!</v>
      </c>
      <c r="AH575" s="18"/>
      <c r="AI575" s="18"/>
      <c r="AJ575" s="18"/>
      <c r="AK575" s="18"/>
      <c r="AL575" s="18"/>
      <c r="AM575" s="18"/>
      <c r="AN575" s="18"/>
    </row>
    <row r="576" spans="1:40" ht="21.9" customHeight="1" thickBot="1" x14ac:dyDescent="0.3">
      <c r="B576" s="680"/>
      <c r="C576" s="690"/>
      <c r="D576" s="690"/>
      <c r="E576" s="273" t="s">
        <v>333</v>
      </c>
      <c r="F576" s="273" t="s">
        <v>319</v>
      </c>
      <c r="G576" s="273" t="s">
        <v>308</v>
      </c>
      <c r="H576" s="701">
        <f t="shared" ref="H576:AG576" si="292">H530-H183</f>
        <v>0</v>
      </c>
      <c r="I576" s="701">
        <f t="shared" si="292"/>
        <v>-65.921912804813473</v>
      </c>
      <c r="J576" s="701">
        <f t="shared" si="292"/>
        <v>-129.42067434794444</v>
      </c>
      <c r="K576" s="701">
        <f t="shared" si="292"/>
        <v>-2183.956981537398</v>
      </c>
      <c r="L576" s="701">
        <f t="shared" si="292"/>
        <v>-4241.9862040008011</v>
      </c>
      <c r="M576" s="701">
        <f t="shared" si="292"/>
        <v>-6309.2246539809712</v>
      </c>
      <c r="N576" s="701">
        <f t="shared" si="292"/>
        <v>-8388.0563256912865</v>
      </c>
      <c r="O576" s="701">
        <f t="shared" si="292"/>
        <v>-10490.629324432535</v>
      </c>
      <c r="P576" s="701">
        <f t="shared" si="292"/>
        <v>-13654.223331220826</v>
      </c>
      <c r="Q576" s="701">
        <f t="shared" si="292"/>
        <v>-16927.713116521867</v>
      </c>
      <c r="R576" s="701">
        <f t="shared" si="292"/>
        <v>-20398.413191751519</v>
      </c>
      <c r="S576" s="701">
        <f t="shared" si="292"/>
        <v>-24200.464072297509</v>
      </c>
      <c r="T576" s="701">
        <f t="shared" si="292"/>
        <v>-28553.11933353066</v>
      </c>
      <c r="U576" s="701">
        <f t="shared" si="292"/>
        <v>-30364.526911623456</v>
      </c>
      <c r="V576" s="701">
        <f t="shared" si="292"/>
        <v>-30751.615350838925</v>
      </c>
      <c r="W576" s="701">
        <f t="shared" si="292"/>
        <v>-31163.832700063467</v>
      </c>
      <c r="X576" s="701">
        <f t="shared" si="292"/>
        <v>-31602.938738240424</v>
      </c>
      <c r="Y576" s="701">
        <f t="shared" si="292"/>
        <v>-32069.148745121849</v>
      </c>
      <c r="Z576" s="701">
        <f t="shared" si="292"/>
        <v>-32567.788283181711</v>
      </c>
      <c r="AA576" s="701">
        <f t="shared" si="292"/>
        <v>-33099.341286424606</v>
      </c>
      <c r="AB576" s="701">
        <f t="shared" si="292"/>
        <v>-33665.913992303787</v>
      </c>
      <c r="AC576" s="701">
        <f t="shared" si="292"/>
        <v>-34269.884161906397</v>
      </c>
      <c r="AD576" s="701">
        <f t="shared" si="292"/>
        <v>-34912.437494929938</v>
      </c>
      <c r="AE576" s="701">
        <f t="shared" si="292"/>
        <v>-35598.902815461275</v>
      </c>
      <c r="AF576" s="701">
        <f t="shared" si="292"/>
        <v>-36330.688471757909</v>
      </c>
      <c r="AG576" s="702">
        <f t="shared" si="292"/>
        <v>-37111.334502184116</v>
      </c>
      <c r="AH576" s="18"/>
      <c r="AI576" s="18"/>
      <c r="AJ576" s="18"/>
      <c r="AK576" s="18"/>
      <c r="AL576" s="18"/>
      <c r="AM576" s="18"/>
      <c r="AN576" s="18"/>
    </row>
    <row r="577" spans="1:40" ht="21.9" customHeight="1" thickBot="1" x14ac:dyDescent="0.3">
      <c r="B577" s="680"/>
      <c r="C577" s="690"/>
      <c r="D577" s="690"/>
      <c r="E577" s="114" t="s">
        <v>319</v>
      </c>
      <c r="F577" s="114" t="s">
        <v>276</v>
      </c>
      <c r="G577" s="114" t="s">
        <v>333</v>
      </c>
      <c r="H577" s="701">
        <f t="shared" ref="H577:AG577" si="293">H531-H184</f>
        <v>0</v>
      </c>
      <c r="I577" s="701">
        <f t="shared" si="293"/>
        <v>-654.2648470501299</v>
      </c>
      <c r="J577" s="701">
        <f t="shared" si="293"/>
        <v>-1310.3305911369389</v>
      </c>
      <c r="K577" s="701">
        <f t="shared" si="293"/>
        <v>-4943.9411715206807</v>
      </c>
      <c r="L577" s="701">
        <f t="shared" si="293"/>
        <v>-8578.7393285453145</v>
      </c>
      <c r="M577" s="701">
        <f t="shared" si="293"/>
        <v>-12215.990876454729</v>
      </c>
      <c r="N577" s="701">
        <f t="shared" si="293"/>
        <v>-15849.69169966066</v>
      </c>
      <c r="O577" s="701">
        <f t="shared" si="293"/>
        <v>-19488.649370922591</v>
      </c>
      <c r="P577" s="701">
        <f t="shared" si="293"/>
        <v>-25172.147740762011</v>
      </c>
      <c r="Q577" s="701">
        <f t="shared" si="293"/>
        <v>-30857.785956303167</v>
      </c>
      <c r="R577" s="701">
        <f t="shared" si="293"/>
        <v>-36542.936476900242</v>
      </c>
      <c r="S577" s="701">
        <f t="shared" si="293"/>
        <v>-42230.027170689849</v>
      </c>
      <c r="T577" s="701">
        <f t="shared" si="293"/>
        <v>-47927.069228787805</v>
      </c>
      <c r="U577" s="701">
        <f t="shared" si="293"/>
        <v>-50635.381734474809</v>
      </c>
      <c r="V577" s="701">
        <f t="shared" si="293"/>
        <v>-51294.276319420809</v>
      </c>
      <c r="W577" s="701">
        <f t="shared" si="293"/>
        <v>-51954.015284546331</v>
      </c>
      <c r="X577" s="701">
        <f t="shared" si="293"/>
        <v>-52614.734791634051</v>
      </c>
      <c r="Y577" s="701">
        <f t="shared" si="293"/>
        <v>-53278.395112978469</v>
      </c>
      <c r="Z577" s="701">
        <f t="shared" si="293"/>
        <v>-53941.563810808584</v>
      </c>
      <c r="AA577" s="701">
        <f t="shared" si="293"/>
        <v>-54608.052686525538</v>
      </c>
      <c r="AB577" s="701">
        <f t="shared" si="293"/>
        <v>-55274.477086582221</v>
      </c>
      <c r="AC577" s="701">
        <f t="shared" si="293"/>
        <v>-55942.900403852691</v>
      </c>
      <c r="AD577" s="701">
        <f t="shared" si="293"/>
        <v>-56615.423853337823</v>
      </c>
      <c r="AE577" s="701">
        <f t="shared" si="293"/>
        <v>-57288.756453095819</v>
      </c>
      <c r="AF577" s="701">
        <f t="shared" si="293"/>
        <v>-57965.076229072089</v>
      </c>
      <c r="AG577" s="702">
        <f t="shared" si="293"/>
        <v>-58646.613468210358</v>
      </c>
      <c r="AH577" s="18"/>
      <c r="AI577" s="18"/>
      <c r="AJ577" s="18"/>
      <c r="AK577" s="18"/>
      <c r="AL577" s="18"/>
      <c r="AM577" s="18"/>
      <c r="AN577" s="18"/>
    </row>
    <row r="578" spans="1:40" ht="21.9" customHeight="1" thickBot="1" x14ac:dyDescent="0.3">
      <c r="B578" s="680"/>
      <c r="C578" s="690"/>
      <c r="D578" s="690"/>
      <c r="E578" s="114"/>
      <c r="F578" s="114" t="s">
        <v>333</v>
      </c>
      <c r="G578" s="114" t="s">
        <v>323</v>
      </c>
      <c r="H578" s="701">
        <f t="shared" ref="H578:AG578" si="294">H532-H185</f>
        <v>0</v>
      </c>
      <c r="I578" s="701">
        <f t="shared" si="294"/>
        <v>-82.128157984434438</v>
      </c>
      <c r="J578" s="701">
        <f t="shared" si="294"/>
        <v>-164.571331690644</v>
      </c>
      <c r="K578" s="701">
        <f t="shared" si="294"/>
        <v>-504.70944623348623</v>
      </c>
      <c r="L578" s="701">
        <f t="shared" si="294"/>
        <v>-845.08763748643469</v>
      </c>
      <c r="M578" s="701">
        <f t="shared" si="294"/>
        <v>-1185.4809546592205</v>
      </c>
      <c r="N578" s="701">
        <f t="shared" si="294"/>
        <v>-1525.6194831081229</v>
      </c>
      <c r="O578" s="701">
        <f t="shared" si="294"/>
        <v>-1866.4334138136892</v>
      </c>
      <c r="P578" s="701">
        <f t="shared" si="294"/>
        <v>-2459.0334906264943</v>
      </c>
      <c r="Q578" s="701">
        <f t="shared" si="294"/>
        <v>-3052.0558934166293</v>
      </c>
      <c r="R578" s="701">
        <f t="shared" si="294"/>
        <v>-3644.5124106963267</v>
      </c>
      <c r="S578" s="701">
        <f t="shared" si="294"/>
        <v>-4237.1260793069596</v>
      </c>
      <c r="T578" s="701">
        <f t="shared" si="294"/>
        <v>-4830.5617462964583</v>
      </c>
      <c r="U578" s="701">
        <f t="shared" si="294"/>
        <v>-5164.90741196409</v>
      </c>
      <c r="V578" s="701">
        <f t="shared" si="294"/>
        <v>-5247.0544037356231</v>
      </c>
      <c r="W578" s="701">
        <f t="shared" si="294"/>
        <v>-5329.2049489165438</v>
      </c>
      <c r="X578" s="701">
        <f t="shared" si="294"/>
        <v>-5411.3596399756789</v>
      </c>
      <c r="Y578" s="701">
        <f t="shared" si="294"/>
        <v>-5493.8341821174545</v>
      </c>
      <c r="Z578" s="701">
        <f t="shared" si="294"/>
        <v>-5575.9992999328679</v>
      </c>
      <c r="AA578" s="701">
        <f t="shared" si="294"/>
        <v>-5658.4859346032608</v>
      </c>
      <c r="AB578" s="701">
        <f t="shared" si="294"/>
        <v>-5740.665031323686</v>
      </c>
      <c r="AC578" s="701">
        <f t="shared" si="294"/>
        <v>-5822.8527623877126</v>
      </c>
      <c r="AD578" s="701">
        <f t="shared" si="294"/>
        <v>-5905.3654676373335</v>
      </c>
      <c r="AE578" s="701">
        <f t="shared" si="294"/>
        <v>-5987.5745289095794</v>
      </c>
      <c r="AF578" s="701">
        <f t="shared" si="294"/>
        <v>-6069.7966406607629</v>
      </c>
      <c r="AG578" s="702">
        <f t="shared" si="294"/>
        <v>-6152.3487303774491</v>
      </c>
      <c r="AH578" s="18"/>
      <c r="AI578" s="18"/>
      <c r="AJ578" s="18"/>
      <c r="AK578" s="18"/>
      <c r="AL578" s="18"/>
      <c r="AM578" s="18"/>
      <c r="AN578" s="18"/>
    </row>
    <row r="579" spans="1:40" ht="21.9" customHeight="1" thickBot="1" x14ac:dyDescent="0.3">
      <c r="B579" s="680"/>
      <c r="C579" s="690"/>
      <c r="D579" s="690"/>
      <c r="E579" s="114"/>
      <c r="F579" s="114" t="s">
        <v>323</v>
      </c>
      <c r="G579" s="114" t="s">
        <v>322</v>
      </c>
      <c r="H579" s="701">
        <f t="shared" ref="H579:AG579" si="295">H533-H186</f>
        <v>0</v>
      </c>
      <c r="I579" s="701">
        <f t="shared" si="295"/>
        <v>-24.737266036741403</v>
      </c>
      <c r="J579" s="701">
        <f t="shared" si="295"/>
        <v>-49.569417695055563</v>
      </c>
      <c r="K579" s="701">
        <f t="shared" si="295"/>
        <v>-152.02013313438238</v>
      </c>
      <c r="L579" s="701">
        <f t="shared" si="295"/>
        <v>-254.54319542421536</v>
      </c>
      <c r="M579" s="701">
        <f t="shared" si="295"/>
        <v>-357.07087864709683</v>
      </c>
      <c r="N579" s="701">
        <f t="shared" si="295"/>
        <v>-459.5219332571105</v>
      </c>
      <c r="O579" s="701">
        <f t="shared" si="295"/>
        <v>-562.17661621725983</v>
      </c>
      <c r="P579" s="701">
        <f t="shared" si="295"/>
        <v>-740.67085731895168</v>
      </c>
      <c r="Q579" s="701">
        <f t="shared" si="295"/>
        <v>-919.2935014013774</v>
      </c>
      <c r="R579" s="701">
        <f t="shared" si="295"/>
        <v>-1097.7478425768641</v>
      </c>
      <c r="S579" s="701">
        <f t="shared" si="295"/>
        <v>-1276.253221324806</v>
      </c>
      <c r="T579" s="701">
        <f t="shared" si="295"/>
        <v>-1455.0123904802385</v>
      </c>
      <c r="U579" s="701">
        <f t="shared" si="295"/>
        <v>-1555.732795591457</v>
      </c>
      <c r="V579" s="701">
        <f t="shared" si="295"/>
        <v>-1580.485494763755</v>
      </c>
      <c r="W579" s="701">
        <f t="shared" si="295"/>
        <v>-1605.241105737513</v>
      </c>
      <c r="X579" s="701">
        <f t="shared" si="295"/>
        <v>-1630.0001140046616</v>
      </c>
      <c r="Y579" s="701">
        <f t="shared" si="295"/>
        <v>-1654.8579701755953</v>
      </c>
      <c r="Z579" s="701">
        <f t="shared" si="295"/>
        <v>-1679.6255225312125</v>
      </c>
      <c r="AA579" s="701">
        <f t="shared" si="295"/>
        <v>-1704.493287789066</v>
      </c>
      <c r="AB579" s="701">
        <f t="shared" si="295"/>
        <v>-1729.2722950015632</v>
      </c>
      <c r="AC579" s="701">
        <f t="shared" si="295"/>
        <v>-1754.0583775300729</v>
      </c>
      <c r="AD579" s="701">
        <f t="shared" si="295"/>
        <v>-1778.9475060316017</v>
      </c>
      <c r="AE579" s="701">
        <f t="shared" si="295"/>
        <v>-1803.7510673599527</v>
      </c>
      <c r="AF579" s="701">
        <f t="shared" si="295"/>
        <v>-1828.5653227568509</v>
      </c>
      <c r="AG579" s="702">
        <f t="shared" si="295"/>
        <v>-1853.4867244180969</v>
      </c>
      <c r="AH579" s="18"/>
      <c r="AI579" s="18"/>
      <c r="AJ579" s="18"/>
      <c r="AK579" s="18"/>
      <c r="AL579" s="18"/>
      <c r="AM579" s="18"/>
      <c r="AN579" s="18"/>
    </row>
    <row r="580" spans="1:40" ht="21.9" customHeight="1" thickBot="1" x14ac:dyDescent="0.3">
      <c r="B580" s="680"/>
      <c r="C580" s="690"/>
      <c r="D580" s="690"/>
      <c r="E580" s="114"/>
      <c r="F580" s="114" t="s">
        <v>322</v>
      </c>
      <c r="G580" s="114" t="s">
        <v>326</v>
      </c>
      <c r="H580" s="701">
        <f t="shared" ref="H580:AG580" si="296">H534-H187</f>
        <v>0</v>
      </c>
      <c r="I580" s="701">
        <f t="shared" si="296"/>
        <v>-53.582718244580974</v>
      </c>
      <c r="J580" s="701">
        <f t="shared" si="296"/>
        <v>-107.41506883108013</v>
      </c>
      <c r="K580" s="701">
        <f t="shared" si="296"/>
        <v>-335.00579788026516</v>
      </c>
      <c r="L580" s="701">
        <f t="shared" si="296"/>
        <v>-562.83148428343156</v>
      </c>
      <c r="M580" s="701">
        <f t="shared" si="296"/>
        <v>-790.51034593533223</v>
      </c>
      <c r="N580" s="701">
        <f t="shared" si="296"/>
        <v>-1018.1011318904948</v>
      </c>
      <c r="O580" s="701">
        <f t="shared" si="296"/>
        <v>-1246.2205984887933</v>
      </c>
      <c r="P580" s="701">
        <f t="shared" si="296"/>
        <v>-1597.379303389107</v>
      </c>
      <c r="Q580" s="701">
        <f t="shared" si="296"/>
        <v>-1948.978770561318</v>
      </c>
      <c r="R580" s="701">
        <f t="shared" si="296"/>
        <v>-2300.0500016402621</v>
      </c>
      <c r="S580" s="701">
        <f t="shared" si="296"/>
        <v>-2651.2099851948569</v>
      </c>
      <c r="T580" s="701">
        <f t="shared" si="296"/>
        <v>-3002.9436846544395</v>
      </c>
      <c r="U580" s="701">
        <f t="shared" si="296"/>
        <v>-3179.9644800260394</v>
      </c>
      <c r="V580" s="701">
        <f t="shared" si="296"/>
        <v>-3233.5490757780499</v>
      </c>
      <c r="W580" s="701">
        <f t="shared" si="296"/>
        <v>-3287.134036878906</v>
      </c>
      <c r="X580" s="701">
        <f t="shared" si="296"/>
        <v>-3340.7194261063669</v>
      </c>
      <c r="Y580" s="701">
        <f t="shared" si="296"/>
        <v>-3394.5549497086431</v>
      </c>
      <c r="Z580" s="701">
        <f t="shared" si="296"/>
        <v>-3448.1414227512541</v>
      </c>
      <c r="AA580" s="701">
        <f t="shared" si="296"/>
        <v>-3501.9782087059939</v>
      </c>
      <c r="AB580" s="701">
        <f t="shared" si="296"/>
        <v>-3555.5661463549004</v>
      </c>
      <c r="AC580" s="701">
        <f t="shared" si="296"/>
        <v>-3609.1549935131516</v>
      </c>
      <c r="AD580" s="701">
        <f t="shared" si="296"/>
        <v>-3662.9945274047095</v>
      </c>
      <c r="AE580" s="701">
        <f t="shared" si="296"/>
        <v>-3716.5856339965394</v>
      </c>
      <c r="AF580" s="701">
        <f t="shared" si="296"/>
        <v>-3770.1781297411944</v>
      </c>
      <c r="AG580" s="702">
        <f t="shared" si="296"/>
        <v>-3824.0218584149952</v>
      </c>
      <c r="AH580" s="18"/>
      <c r="AI580" s="18"/>
      <c r="AJ580" s="18"/>
      <c r="AK580" s="18"/>
      <c r="AL580" s="18"/>
      <c r="AM580" s="18"/>
      <c r="AN580" s="18"/>
    </row>
    <row r="581" spans="1:40" ht="21.9" customHeight="1" thickBot="1" x14ac:dyDescent="0.3">
      <c r="B581" s="680"/>
      <c r="C581" s="690"/>
      <c r="D581" s="690"/>
      <c r="E581" s="114"/>
      <c r="F581" s="114" t="s">
        <v>326</v>
      </c>
      <c r="G581" s="114" t="s">
        <v>274</v>
      </c>
      <c r="H581" s="701">
        <f t="shared" ref="H581:AG581" si="297">H535-H188</f>
        <v>0</v>
      </c>
      <c r="I581" s="701">
        <f t="shared" si="297"/>
        <v>-365.29005836130091</v>
      </c>
      <c r="J581" s="701">
        <f t="shared" si="297"/>
        <v>-732.28193544523674</v>
      </c>
      <c r="K581" s="701">
        <f t="shared" si="297"/>
        <v>-2283.8387085967406</v>
      </c>
      <c r="L581" s="701">
        <f t="shared" si="297"/>
        <v>-3836.9972167101078</v>
      </c>
      <c r="M581" s="701">
        <f t="shared" si="297"/>
        <v>-5389.1546995979152</v>
      </c>
      <c r="N581" s="701">
        <f t="shared" si="297"/>
        <v>-6940.7116153475945</v>
      </c>
      <c r="O581" s="701">
        <f t="shared" si="297"/>
        <v>-8495.8725014089723</v>
      </c>
      <c r="P581" s="701">
        <f t="shared" si="297"/>
        <v>-10889.829458562119</v>
      </c>
      <c r="Q581" s="701">
        <f t="shared" si="297"/>
        <v>-13286.790213123881</v>
      </c>
      <c r="R581" s="701">
        <f t="shared" si="297"/>
        <v>-15680.148111352071</v>
      </c>
      <c r="S581" s="701">
        <f t="shared" si="297"/>
        <v>-18074.10827262915</v>
      </c>
      <c r="T581" s="701">
        <f t="shared" si="297"/>
        <v>-20471.975187161966</v>
      </c>
      <c r="U581" s="701">
        <f t="shared" si="297"/>
        <v>-21678.770128841046</v>
      </c>
      <c r="V581" s="701">
        <f t="shared" si="297"/>
        <v>-22044.064891966336</v>
      </c>
      <c r="W581" s="701">
        <f t="shared" si="297"/>
        <v>-22409.360570603356</v>
      </c>
      <c r="X581" s="701">
        <f t="shared" si="297"/>
        <v>-22774.657322064202</v>
      </c>
      <c r="Y581" s="701">
        <f t="shared" si="297"/>
        <v>-23141.657150269981</v>
      </c>
      <c r="Z581" s="701">
        <f t="shared" si="297"/>
        <v>-23506.956617615942</v>
      </c>
      <c r="AA581" s="701">
        <f t="shared" si="297"/>
        <v>-23873.959609095691</v>
      </c>
      <c r="AB581" s="701">
        <f t="shared" si="297"/>
        <v>-24239.26274653466</v>
      </c>
      <c r="AC581" s="701">
        <f t="shared" si="297"/>
        <v>-24604.568163073403</v>
      </c>
      <c r="AD581" s="701">
        <f t="shared" si="297"/>
        <v>-24971.57804048821</v>
      </c>
      <c r="AE581" s="701">
        <f t="shared" si="297"/>
        <v>-25336.889118843043</v>
      </c>
      <c r="AF581" s="701">
        <f t="shared" si="297"/>
        <v>-25702.203678215301</v>
      </c>
      <c r="AG581" s="702">
        <f t="shared" si="297"/>
        <v>-26069.224067151954</v>
      </c>
      <c r="AH581" s="18"/>
      <c r="AI581" s="18"/>
      <c r="AJ581" s="18"/>
      <c r="AK581" s="18"/>
      <c r="AL581" s="18"/>
      <c r="AM581" s="18"/>
      <c r="AN581" s="18"/>
    </row>
    <row r="582" spans="1:40" ht="21.9" customHeight="1" thickBot="1" x14ac:dyDescent="0.3">
      <c r="B582" s="680"/>
      <c r="C582" s="690"/>
      <c r="D582" s="690"/>
      <c r="E582" s="114"/>
      <c r="F582" s="114" t="s">
        <v>274</v>
      </c>
      <c r="G582" s="114" t="s">
        <v>317</v>
      </c>
      <c r="H582" s="701">
        <f t="shared" ref="H582:AG582" si="298">H536-H189</f>
        <v>0</v>
      </c>
      <c r="I582" s="701">
        <f t="shared" si="298"/>
        <v>-9.1230782871330121</v>
      </c>
      <c r="J582" s="701">
        <f t="shared" si="298"/>
        <v>-18.288722361826785</v>
      </c>
      <c r="K582" s="701">
        <f t="shared" si="298"/>
        <v>-57.039257275483806</v>
      </c>
      <c r="L582" s="701">
        <f t="shared" si="298"/>
        <v>-95.83082151520216</v>
      </c>
      <c r="M582" s="701">
        <f t="shared" si="298"/>
        <v>-134.59920544890474</v>
      </c>
      <c r="N582" s="701">
        <f t="shared" si="298"/>
        <v>-173.35568064073777</v>
      </c>
      <c r="O582" s="701">
        <f t="shared" si="298"/>
        <v>-212.20724818122017</v>
      </c>
      <c r="P582" s="701">
        <f t="shared" si="298"/>
        <v>-272.0243614402541</v>
      </c>
      <c r="Q582" s="701">
        <f t="shared" si="298"/>
        <v>-331.94108113821494</v>
      </c>
      <c r="R582" s="701">
        <f t="shared" si="298"/>
        <v>-391.8091139860976</v>
      </c>
      <c r="S582" s="701">
        <f t="shared" si="298"/>
        <v>-451.75970290582018</v>
      </c>
      <c r="T582" s="701">
        <f t="shared" si="298"/>
        <v>-511.91545615117047</v>
      </c>
      <c r="U582" s="701">
        <f t="shared" si="298"/>
        <v>-542.31844953676</v>
      </c>
      <c r="V582" s="701">
        <f t="shared" si="298"/>
        <v>-551.63751633291668</v>
      </c>
      <c r="W582" s="701">
        <f t="shared" si="298"/>
        <v>-560.99472102083382</v>
      </c>
      <c r="X582" s="701">
        <f t="shared" si="298"/>
        <v>-570.39661682043561</v>
      </c>
      <c r="Y582" s="701">
        <f t="shared" si="298"/>
        <v>-579.89348442024857</v>
      </c>
      <c r="Z582" s="701">
        <f t="shared" si="298"/>
        <v>-589.4085170904259</v>
      </c>
      <c r="AA582" s="701">
        <f t="shared" si="298"/>
        <v>-599.0371586437368</v>
      </c>
      <c r="AB582" s="701">
        <f t="shared" si="298"/>
        <v>-608.7050780607924</v>
      </c>
      <c r="AC582" s="701">
        <f t="shared" si="298"/>
        <v>-618.46793898291708</v>
      </c>
      <c r="AD582" s="701">
        <f t="shared" si="298"/>
        <v>-628.38343108585377</v>
      </c>
      <c r="AE582" s="701">
        <f t="shared" si="298"/>
        <v>-638.38214887327695</v>
      </c>
      <c r="AF582" s="701">
        <f t="shared" si="298"/>
        <v>-648.52587699979085</v>
      </c>
      <c r="AG582" s="702">
        <f t="shared" si="298"/>
        <v>-658.879252385575</v>
      </c>
      <c r="AH582" s="18"/>
      <c r="AI582" s="18"/>
      <c r="AJ582" s="18"/>
      <c r="AK582" s="18"/>
      <c r="AL582" s="18"/>
      <c r="AM582" s="18"/>
      <c r="AN582" s="18"/>
    </row>
    <row r="583" spans="1:40" ht="21.9" customHeight="1" thickBot="1" x14ac:dyDescent="0.3">
      <c r="A583" s="445"/>
      <c r="B583" s="683"/>
      <c r="C583" s="712"/>
      <c r="D583" s="712"/>
      <c r="E583" s="713" t="s">
        <v>181</v>
      </c>
      <c r="F583" s="713"/>
      <c r="G583" s="713"/>
      <c r="H583" s="714">
        <f t="shared" ref="H583:AG583" si="299">SUM(H563:H574,H576:H582)</f>
        <v>-1143.6260403881952</v>
      </c>
      <c r="I583" s="714">
        <f t="shared" si="299"/>
        <v>-2656.7451379158229</v>
      </c>
      <c r="J583" s="714">
        <f t="shared" si="299"/>
        <v>3841.7637144573787</v>
      </c>
      <c r="K583" s="714">
        <f t="shared" si="299"/>
        <v>-946.21795105200022</v>
      </c>
      <c r="L583" s="714">
        <f t="shared" si="299"/>
        <v>-13348.736823770547</v>
      </c>
      <c r="M583" s="714">
        <f t="shared" si="299"/>
        <v>-66759.542678523954</v>
      </c>
      <c r="N583" s="714">
        <f t="shared" si="299"/>
        <v>-293761.57750517811</v>
      </c>
      <c r="O583" s="714">
        <f t="shared" si="299"/>
        <v>-348551.98211932415</v>
      </c>
      <c r="P583" s="714">
        <f t="shared" si="299"/>
        <v>-485828.8497343334</v>
      </c>
      <c r="Q583" s="714">
        <f t="shared" si="299"/>
        <v>-641233.82086953707</v>
      </c>
      <c r="R583" s="714">
        <f t="shared" si="299"/>
        <v>-813142.35796029284</v>
      </c>
      <c r="S583" s="714">
        <f t="shared" si="299"/>
        <v>-886109.7011629811</v>
      </c>
      <c r="T583" s="714">
        <f t="shared" si="299"/>
        <v>-972944.10656479269</v>
      </c>
      <c r="U583" s="714">
        <f t="shared" si="299"/>
        <v>-994060.31806514109</v>
      </c>
      <c r="V583" s="714">
        <f t="shared" si="299"/>
        <v>-979541.21376825206</v>
      </c>
      <c r="W583" s="714">
        <f t="shared" si="299"/>
        <v>-972165.5303591477</v>
      </c>
      <c r="X583" s="714">
        <f t="shared" si="299"/>
        <v>-988654.07821459346</v>
      </c>
      <c r="Y583" s="714">
        <f t="shared" si="299"/>
        <v>-1004578.9908777279</v>
      </c>
      <c r="Z583" s="714">
        <f t="shared" si="299"/>
        <v>-1019803.3572467798</v>
      </c>
      <c r="AA583" s="714">
        <f t="shared" si="299"/>
        <v>-1034101.2655706306</v>
      </c>
      <c r="AB583" s="714">
        <f t="shared" si="299"/>
        <v>-1058527.8630452466</v>
      </c>
      <c r="AC583" s="714">
        <f t="shared" si="299"/>
        <v>-1085436.2486734272</v>
      </c>
      <c r="AD583" s="714">
        <f t="shared" si="299"/>
        <v>-1114327.5747184146</v>
      </c>
      <c r="AE583" s="714">
        <f t="shared" si="299"/>
        <v>-1145600.9783254243</v>
      </c>
      <c r="AF583" s="714">
        <f t="shared" si="299"/>
        <v>-1179590.0114240837</v>
      </c>
      <c r="AG583" s="715">
        <f t="shared" si="299"/>
        <v>-1216780.0173572609</v>
      </c>
      <c r="AH583" s="18"/>
      <c r="AI583" s="18"/>
      <c r="AJ583" s="18"/>
      <c r="AK583" s="18"/>
      <c r="AL583" s="18"/>
      <c r="AM583" s="18"/>
      <c r="AN583" s="18"/>
    </row>
    <row r="584" spans="1:40" ht="21.75" customHeight="1" x14ac:dyDescent="0.25">
      <c r="E584" s="1"/>
      <c r="F584" s="1"/>
      <c r="G584" s="1"/>
      <c r="H584" s="447"/>
      <c r="I584" s="447"/>
      <c r="J584" s="447"/>
      <c r="K584" s="447"/>
      <c r="L584" s="447"/>
      <c r="M584" s="447"/>
      <c r="N584" s="447"/>
      <c r="O584" s="447"/>
      <c r="P584" s="447"/>
      <c r="Q584" s="447"/>
      <c r="R584" s="447"/>
      <c r="S584" s="447"/>
      <c r="T584" s="447"/>
      <c r="U584" s="447"/>
      <c r="V584" s="447"/>
      <c r="W584" s="447"/>
      <c r="X584" s="447"/>
      <c r="Y584" s="447"/>
      <c r="Z584" s="447"/>
      <c r="AA584" s="447"/>
      <c r="AB584" s="447"/>
      <c r="AC584" s="447"/>
      <c r="AD584" s="447"/>
      <c r="AE584" s="447"/>
      <c r="AF584" s="447"/>
      <c r="AG584" s="110"/>
      <c r="AH584" s="18"/>
      <c r="AI584" s="18"/>
      <c r="AJ584" s="18"/>
      <c r="AK584" s="18"/>
      <c r="AL584" s="18"/>
      <c r="AM584" s="18"/>
      <c r="AN584" s="18"/>
    </row>
    <row r="585" spans="1:40" ht="21.75" customHeight="1" x14ac:dyDescent="0.25">
      <c r="E585" s="1"/>
      <c r="F585" s="1"/>
      <c r="G585" s="1"/>
      <c r="H585" s="447"/>
      <c r="I585" s="447"/>
      <c r="J585" s="447"/>
      <c r="K585" s="447"/>
      <c r="L585" s="447"/>
      <c r="M585" s="447"/>
      <c r="N585" s="447"/>
      <c r="O585" s="447"/>
      <c r="P585" s="447"/>
      <c r="Q585" s="447"/>
      <c r="R585" s="447"/>
      <c r="S585" s="447"/>
      <c r="T585" s="447"/>
      <c r="U585" s="447"/>
      <c r="V585" s="447"/>
      <c r="W585" s="447"/>
      <c r="X585" s="447"/>
      <c r="Y585" s="447"/>
      <c r="Z585" s="447"/>
      <c r="AA585" s="447"/>
      <c r="AB585" s="447"/>
      <c r="AC585" s="447"/>
      <c r="AD585" s="447"/>
      <c r="AE585" s="447"/>
      <c r="AF585" s="447"/>
      <c r="AG585" s="12"/>
      <c r="AH585" s="18"/>
      <c r="AI585" s="18"/>
      <c r="AJ585" s="18"/>
      <c r="AK585" s="18"/>
      <c r="AL585" s="18"/>
      <c r="AM585" s="18"/>
      <c r="AN585" s="18"/>
    </row>
    <row r="586" spans="1:40" ht="21.75" customHeight="1" x14ac:dyDescent="0.25">
      <c r="E586" s="1"/>
      <c r="F586" s="1"/>
      <c r="G586" s="1"/>
      <c r="H586" s="447"/>
      <c r="I586" s="447"/>
      <c r="J586" s="447"/>
      <c r="K586" s="447"/>
      <c r="L586" s="447"/>
      <c r="M586" s="447"/>
      <c r="N586" s="447"/>
      <c r="O586" s="447"/>
      <c r="P586" s="447"/>
      <c r="Q586" s="447"/>
      <c r="R586" s="447"/>
      <c r="S586" s="447"/>
      <c r="T586" s="447"/>
      <c r="U586" s="447"/>
      <c r="V586" s="447"/>
      <c r="W586" s="447"/>
      <c r="X586" s="447"/>
      <c r="Y586" s="447"/>
      <c r="Z586" s="447"/>
      <c r="AA586" s="447"/>
      <c r="AB586" s="447"/>
      <c r="AC586" s="447"/>
      <c r="AD586" s="447"/>
      <c r="AE586" s="447"/>
      <c r="AF586" s="447"/>
      <c r="AG586" s="12"/>
      <c r="AH586" s="18"/>
      <c r="AI586" s="18"/>
      <c r="AJ586" s="18"/>
      <c r="AK586" s="18"/>
      <c r="AL586" s="18"/>
      <c r="AM586" s="18"/>
      <c r="AN586" s="18"/>
    </row>
    <row r="587" spans="1:40" ht="21.75" customHeight="1" x14ac:dyDescent="0.25">
      <c r="E587" s="1"/>
      <c r="F587" s="1"/>
      <c r="G587" s="1"/>
      <c r="H587" s="447"/>
      <c r="I587" s="447"/>
      <c r="J587" s="447"/>
      <c r="K587" s="447"/>
      <c r="L587" s="447"/>
      <c r="M587" s="447"/>
      <c r="N587" s="447"/>
      <c r="O587" s="447"/>
      <c r="P587" s="447"/>
      <c r="Q587" s="447"/>
      <c r="R587" s="447"/>
      <c r="S587" s="447"/>
      <c r="T587" s="447"/>
      <c r="U587" s="447"/>
      <c r="V587" s="447"/>
      <c r="W587" s="447"/>
      <c r="X587" s="447"/>
      <c r="Y587" s="447"/>
      <c r="Z587" s="447"/>
      <c r="AA587" s="447"/>
      <c r="AB587" s="447"/>
      <c r="AC587" s="447"/>
      <c r="AD587" s="447"/>
      <c r="AE587" s="447"/>
      <c r="AF587" s="447"/>
      <c r="AG587" s="110"/>
      <c r="AH587" s="18"/>
      <c r="AI587" s="18"/>
      <c r="AJ587" s="18"/>
      <c r="AK587" s="18"/>
      <c r="AL587" s="18"/>
      <c r="AM587" s="18"/>
      <c r="AN587" s="18"/>
    </row>
    <row r="588" spans="1:40" ht="21.75" customHeight="1" x14ac:dyDescent="0.25">
      <c r="E588" s="1"/>
      <c r="F588" s="1"/>
      <c r="G588" s="1"/>
      <c r="H588" s="447"/>
      <c r="I588" s="447"/>
      <c r="J588" s="447"/>
      <c r="K588" s="447"/>
      <c r="L588" s="447"/>
      <c r="M588" s="447"/>
      <c r="N588" s="447"/>
      <c r="O588" s="447"/>
      <c r="P588" s="447"/>
      <c r="Q588" s="447"/>
      <c r="R588" s="447"/>
      <c r="S588" s="447"/>
      <c r="T588" s="447"/>
      <c r="U588" s="447"/>
      <c r="V588" s="447"/>
      <c r="W588" s="447"/>
      <c r="X588" s="447"/>
      <c r="Y588" s="447"/>
      <c r="Z588" s="447"/>
      <c r="AA588" s="447"/>
      <c r="AB588" s="447"/>
      <c r="AC588" s="447"/>
      <c r="AD588" s="447"/>
      <c r="AE588" s="447"/>
      <c r="AF588" s="447"/>
      <c r="AG588" s="447"/>
      <c r="AH588" s="18"/>
      <c r="AI588" s="18"/>
      <c r="AJ588" s="18"/>
      <c r="AK588" s="18"/>
      <c r="AL588" s="18"/>
      <c r="AM588" s="18"/>
      <c r="AN588" s="18"/>
    </row>
    <row r="589" spans="1:40" ht="21.75" customHeight="1" x14ac:dyDescent="0.25">
      <c r="E589" s="1"/>
      <c r="F589" s="1"/>
      <c r="G589" s="1"/>
      <c r="H589" s="447"/>
      <c r="I589" s="447"/>
      <c r="J589" s="447"/>
      <c r="K589" s="447"/>
      <c r="L589" s="447"/>
      <c r="M589" s="447"/>
      <c r="N589" s="447"/>
      <c r="O589" s="447"/>
      <c r="P589" s="447"/>
      <c r="Q589" s="447"/>
      <c r="R589" s="447"/>
      <c r="S589" s="447"/>
      <c r="T589" s="447"/>
      <c r="U589" s="447"/>
      <c r="V589" s="447"/>
      <c r="W589" s="447"/>
      <c r="X589" s="447"/>
      <c r="Y589" s="447"/>
      <c r="Z589" s="447"/>
      <c r="AA589" s="447"/>
      <c r="AB589" s="447"/>
      <c r="AC589" s="447"/>
      <c r="AD589" s="447"/>
      <c r="AE589" s="447"/>
      <c r="AF589" s="447"/>
      <c r="AG589" s="447"/>
      <c r="AH589" s="18"/>
      <c r="AI589" s="18"/>
      <c r="AJ589" s="18"/>
      <c r="AK589" s="18"/>
      <c r="AL589" s="18"/>
      <c r="AM589" s="18"/>
      <c r="AN589" s="18"/>
    </row>
    <row r="590" spans="1:40" ht="21.75" customHeight="1" x14ac:dyDescent="0.25">
      <c r="E590" s="1"/>
      <c r="F590" s="1"/>
      <c r="G590" s="1"/>
      <c r="H590" s="447"/>
      <c r="I590" s="447"/>
      <c r="J590" s="447"/>
      <c r="K590" s="447"/>
      <c r="L590" s="447"/>
      <c r="M590" s="447"/>
      <c r="N590" s="447"/>
      <c r="O590" s="447"/>
      <c r="P590" s="447"/>
      <c r="Q590" s="447"/>
      <c r="R590" s="447"/>
      <c r="S590" s="447"/>
      <c r="T590" s="447"/>
      <c r="U590" s="447"/>
      <c r="V590" s="447"/>
      <c r="W590" s="447"/>
      <c r="X590" s="447"/>
      <c r="Y590" s="447"/>
      <c r="Z590" s="447"/>
      <c r="AA590" s="447"/>
      <c r="AB590" s="447"/>
      <c r="AC590" s="447"/>
      <c r="AD590" s="447"/>
      <c r="AE590" s="447"/>
      <c r="AF590" s="447"/>
      <c r="AG590" s="447"/>
      <c r="AH590" s="18"/>
      <c r="AI590" s="18"/>
      <c r="AJ590" s="18"/>
      <c r="AK590" s="18"/>
      <c r="AL590" s="18"/>
      <c r="AM590" s="18"/>
      <c r="AN590" s="18"/>
    </row>
  </sheetData>
  <mergeCells count="78">
    <mergeCell ref="E563:E565"/>
    <mergeCell ref="E566:E568"/>
    <mergeCell ref="E570:E573"/>
    <mergeCell ref="E541:E543"/>
    <mergeCell ref="E544:E546"/>
    <mergeCell ref="E548:E551"/>
    <mergeCell ref="E503:E506"/>
    <mergeCell ref="E517:E519"/>
    <mergeCell ref="E520:E522"/>
    <mergeCell ref="E524:E527"/>
    <mergeCell ref="E478:E480"/>
    <mergeCell ref="E482:E485"/>
    <mergeCell ref="E496:E498"/>
    <mergeCell ref="E499:E501"/>
    <mergeCell ref="E455:E457"/>
    <mergeCell ref="E458:E460"/>
    <mergeCell ref="E462:E465"/>
    <mergeCell ref="E475:E477"/>
    <mergeCell ref="E435:E437"/>
    <mergeCell ref="E438:E440"/>
    <mergeCell ref="E442:E445"/>
    <mergeCell ref="E398:E401"/>
    <mergeCell ref="E412:E414"/>
    <mergeCell ref="E415:E417"/>
    <mergeCell ref="E419:E422"/>
    <mergeCell ref="E373:E375"/>
    <mergeCell ref="E377:E380"/>
    <mergeCell ref="E391:E393"/>
    <mergeCell ref="E394:E396"/>
    <mergeCell ref="E344:E346"/>
    <mergeCell ref="E347:E349"/>
    <mergeCell ref="E351:E354"/>
    <mergeCell ref="E370:E372"/>
    <mergeCell ref="E323:E325"/>
    <mergeCell ref="E326:E328"/>
    <mergeCell ref="E330:E333"/>
    <mergeCell ref="E289:E292"/>
    <mergeCell ref="E302:E304"/>
    <mergeCell ref="E305:E307"/>
    <mergeCell ref="E309:E312"/>
    <mergeCell ref="E265:E267"/>
    <mergeCell ref="E269:E272"/>
    <mergeCell ref="E282:E284"/>
    <mergeCell ref="E285:E287"/>
    <mergeCell ref="E242:E244"/>
    <mergeCell ref="E246:E249"/>
    <mergeCell ref="E262:E264"/>
    <mergeCell ref="E218:E220"/>
    <mergeCell ref="E221:E223"/>
    <mergeCell ref="E225:E228"/>
    <mergeCell ref="E239:E241"/>
    <mergeCell ref="E197:E199"/>
    <mergeCell ref="E200:E202"/>
    <mergeCell ref="E204:E207"/>
    <mergeCell ref="E151:E153"/>
    <mergeCell ref="E155:E158"/>
    <mergeCell ref="E169:E171"/>
    <mergeCell ref="E172:E174"/>
    <mergeCell ref="E148:E150"/>
    <mergeCell ref="E107:E109"/>
    <mergeCell ref="E110:E112"/>
    <mergeCell ref="E114:E117"/>
    <mergeCell ref="E176:E179"/>
    <mergeCell ref="E127:E129"/>
    <mergeCell ref="E130:E132"/>
    <mergeCell ref="E134:E137"/>
    <mergeCell ref="E94:E97"/>
    <mergeCell ref="E46:E48"/>
    <mergeCell ref="E50:E53"/>
    <mergeCell ref="E64:E66"/>
    <mergeCell ref="E67:E69"/>
    <mergeCell ref="E87:E89"/>
    <mergeCell ref="E90:E92"/>
    <mergeCell ref="E22:E24"/>
    <mergeCell ref="E25:E27"/>
    <mergeCell ref="E29:E32"/>
    <mergeCell ref="E43:E45"/>
    <mergeCell ref="E71:E74"/>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CF7D5-4FC2-4AEE-A734-816805E55AC4}">
  <sheetPr>
    <tabColor theme="4" tint="0.59999389629810485"/>
    <pageSetUpPr fitToPage="1"/>
  </sheetPr>
  <dimension ref="A2:AB59"/>
  <sheetViews>
    <sheetView tabSelected="1" workbookViewId="0">
      <selection activeCell="K11" sqref="K11"/>
    </sheetView>
  </sheetViews>
  <sheetFormatPr defaultColWidth="10.59765625" defaultRowHeight="21.9" customHeight="1" x14ac:dyDescent="0.25"/>
  <cols>
    <col min="1" max="1" width="7.69921875" customWidth="1"/>
    <col min="2" max="2" width="33.69921875" customWidth="1"/>
    <col min="3" max="3" width="12" customWidth="1"/>
    <col min="4" max="10" width="16.69921875" style="12" customWidth="1"/>
    <col min="11" max="11" width="20.69921875" style="12" customWidth="1"/>
    <col min="12" max="13" width="16.69921875" style="12" customWidth="1"/>
    <col min="14" max="28" width="12.19921875" style="12" customWidth="1"/>
    <col min="29" max="39" width="12.19921875" customWidth="1"/>
  </cols>
  <sheetData>
    <row r="2" spans="1:28" ht="22.8" x14ac:dyDescent="0.25">
      <c r="B2" s="371" t="s">
        <v>166</v>
      </c>
      <c r="C2" s="106"/>
    </row>
    <row r="3" spans="1:28" ht="22.8" x14ac:dyDescent="0.25">
      <c r="B3" s="107"/>
      <c r="C3" s="106"/>
    </row>
    <row r="4" spans="1:28" ht="22.8" x14ac:dyDescent="0.25">
      <c r="B4" s="141" t="s">
        <v>267</v>
      </c>
      <c r="C4" s="106"/>
    </row>
    <row r="5" spans="1:28" ht="22.8" x14ac:dyDescent="0.25">
      <c r="B5" s="107"/>
      <c r="C5" s="106"/>
    </row>
    <row r="6" spans="1:28" ht="22.8" x14ac:dyDescent="0.25">
      <c r="A6" s="189"/>
      <c r="B6" s="189" t="s">
        <v>53</v>
      </c>
      <c r="C6" s="106"/>
    </row>
    <row r="7" spans="1:28" ht="21.9" customHeight="1" thickBot="1" x14ac:dyDescent="0.3"/>
    <row r="8" spans="1:28" ht="33.6" customHeight="1" x14ac:dyDescent="0.25">
      <c r="B8" s="805" t="s">
        <v>269</v>
      </c>
      <c r="C8" s="734" t="s">
        <v>159</v>
      </c>
      <c r="D8" s="734" t="s">
        <v>160</v>
      </c>
      <c r="E8" s="872" t="s">
        <v>695</v>
      </c>
      <c r="F8" s="734" t="s">
        <v>161</v>
      </c>
      <c r="G8" s="877" t="s">
        <v>162</v>
      </c>
      <c r="H8" s="734" t="s">
        <v>163</v>
      </c>
      <c r="I8" s="806" t="s">
        <v>164</v>
      </c>
    </row>
    <row r="9" spans="1:28" ht="21.9" customHeight="1" x14ac:dyDescent="0.25">
      <c r="B9" s="878" t="s">
        <v>398</v>
      </c>
      <c r="C9" s="879" t="s">
        <v>281</v>
      </c>
      <c r="D9" s="880">
        <f>15000000</f>
        <v>15000000</v>
      </c>
      <c r="E9" s="880">
        <f t="shared" ref="E9:E15" si="0">D9*0.09</f>
        <v>1350000</v>
      </c>
      <c r="F9" s="880">
        <f>D9*0.06</f>
        <v>900000</v>
      </c>
      <c r="G9" s="881">
        <v>760000</v>
      </c>
      <c r="H9" s="209">
        <v>0</v>
      </c>
      <c r="I9" s="210">
        <v>0</v>
      </c>
      <c r="R9"/>
      <c r="S9"/>
      <c r="T9"/>
      <c r="U9"/>
      <c r="V9"/>
      <c r="W9"/>
      <c r="X9"/>
      <c r="Y9"/>
      <c r="Z9"/>
      <c r="AA9"/>
      <c r="AB9"/>
    </row>
    <row r="10" spans="1:28" s="4" customFormat="1" ht="21.9" customHeight="1" x14ac:dyDescent="0.25">
      <c r="A10"/>
      <c r="B10" s="878" t="s">
        <v>399</v>
      </c>
      <c r="C10" s="879" t="s">
        <v>270</v>
      </c>
      <c r="D10" s="880">
        <v>5600000</v>
      </c>
      <c r="E10" s="880">
        <f t="shared" si="0"/>
        <v>504000</v>
      </c>
      <c r="F10" s="880">
        <f t="shared" ref="F10:F15" si="1">D10*0.06</f>
        <v>336000</v>
      </c>
      <c r="G10" s="881">
        <f>D10*0.09</f>
        <v>504000</v>
      </c>
      <c r="H10" s="209">
        <v>0</v>
      </c>
      <c r="I10" s="210">
        <f>D10*0.05</f>
        <v>280000</v>
      </c>
      <c r="J10" s="13"/>
      <c r="L10" s="13"/>
      <c r="M10" s="13"/>
      <c r="N10" s="13"/>
      <c r="O10" s="13"/>
      <c r="P10" s="13"/>
      <c r="Q10" s="13"/>
    </row>
    <row r="11" spans="1:28" s="4" customFormat="1" ht="21.9" customHeight="1" x14ac:dyDescent="0.25">
      <c r="A11"/>
      <c r="B11" s="878" t="s">
        <v>400</v>
      </c>
      <c r="C11" s="879">
        <v>2.35</v>
      </c>
      <c r="D11" s="880">
        <v>10800000</v>
      </c>
      <c r="E11" s="880">
        <f t="shared" si="0"/>
        <v>972000</v>
      </c>
      <c r="F11" s="880">
        <f>D11*0.06</f>
        <v>648000</v>
      </c>
      <c r="G11" s="881">
        <f>D11*0.09</f>
        <v>972000</v>
      </c>
      <c r="H11" s="209">
        <v>0</v>
      </c>
      <c r="I11" s="210">
        <f>D11*0.05</f>
        <v>540000</v>
      </c>
      <c r="J11" s="13"/>
      <c r="L11" s="13"/>
      <c r="M11" s="13"/>
      <c r="N11" s="13"/>
      <c r="O11" s="13"/>
      <c r="P11" s="13"/>
      <c r="Q11" s="13"/>
    </row>
    <row r="12" spans="1:28" s="4" customFormat="1" ht="21.9" customHeight="1" x14ac:dyDescent="0.25">
      <c r="A12"/>
      <c r="B12" s="878" t="s">
        <v>401</v>
      </c>
      <c r="C12" s="879">
        <v>1.53</v>
      </c>
      <c r="D12" s="880">
        <v>13600000</v>
      </c>
      <c r="E12" s="880">
        <f t="shared" si="0"/>
        <v>1224000</v>
      </c>
      <c r="F12" s="880">
        <f>D12*0.06</f>
        <v>816000</v>
      </c>
      <c r="G12" s="881">
        <f>D12*0.09</f>
        <v>1224000</v>
      </c>
      <c r="H12" s="209">
        <v>0</v>
      </c>
      <c r="I12" s="210">
        <f>D12*0.05</f>
        <v>680000</v>
      </c>
      <c r="J12" s="13"/>
      <c r="L12" s="13"/>
      <c r="M12" s="13"/>
      <c r="N12" s="13"/>
      <c r="O12" s="13"/>
      <c r="P12" s="13"/>
      <c r="Q12" s="13"/>
    </row>
    <row r="13" spans="1:28" ht="21.9" customHeight="1" x14ac:dyDescent="0.25">
      <c r="B13" s="1225" t="s">
        <v>688</v>
      </c>
      <c r="C13" s="879">
        <v>5.27</v>
      </c>
      <c r="D13" s="880">
        <f>16800000</f>
        <v>16800000</v>
      </c>
      <c r="E13" s="880">
        <f t="shared" si="0"/>
        <v>1512000</v>
      </c>
      <c r="F13" s="880">
        <f>D13*0.06</f>
        <v>1008000</v>
      </c>
      <c r="G13" s="881">
        <f>D13*0.09</f>
        <v>1512000</v>
      </c>
      <c r="H13" s="209">
        <v>0</v>
      </c>
      <c r="I13" s="210">
        <f>D13*0.05</f>
        <v>840000</v>
      </c>
      <c r="R13"/>
      <c r="S13"/>
      <c r="T13"/>
      <c r="U13"/>
      <c r="V13"/>
      <c r="W13"/>
      <c r="X13"/>
      <c r="Y13"/>
      <c r="Z13"/>
      <c r="AA13"/>
      <c r="AB13"/>
    </row>
    <row r="14" spans="1:28" ht="21.9" customHeight="1" x14ac:dyDescent="0.25">
      <c r="B14" s="878" t="s">
        <v>403</v>
      </c>
      <c r="C14" s="879">
        <v>0.94</v>
      </c>
      <c r="D14" s="880">
        <v>6340000</v>
      </c>
      <c r="E14" s="880">
        <f t="shared" si="0"/>
        <v>570600</v>
      </c>
      <c r="F14" s="880">
        <f t="shared" si="1"/>
        <v>380400</v>
      </c>
      <c r="G14" s="881">
        <f t="shared" ref="G14:G15" si="2">D14*0.09</f>
        <v>570600</v>
      </c>
      <c r="H14" s="209">
        <v>0</v>
      </c>
      <c r="I14" s="210">
        <f>900000</f>
        <v>900000</v>
      </c>
      <c r="R14"/>
      <c r="S14"/>
      <c r="T14"/>
      <c r="U14"/>
      <c r="V14"/>
      <c r="W14"/>
      <c r="X14"/>
      <c r="Y14"/>
      <c r="Z14"/>
      <c r="AA14"/>
      <c r="AB14"/>
    </row>
    <row r="15" spans="1:28" ht="21.9" customHeight="1" x14ac:dyDescent="0.25">
      <c r="B15" s="878" t="s">
        <v>404</v>
      </c>
      <c r="C15" s="879">
        <v>1.58</v>
      </c>
      <c r="D15" s="880">
        <v>6700000</v>
      </c>
      <c r="E15" s="880">
        <f t="shared" si="0"/>
        <v>603000</v>
      </c>
      <c r="F15" s="880">
        <f t="shared" si="1"/>
        <v>402000</v>
      </c>
      <c r="G15" s="881">
        <f t="shared" si="2"/>
        <v>603000</v>
      </c>
      <c r="H15" s="209">
        <v>0</v>
      </c>
      <c r="I15" s="210">
        <f t="shared" ref="I15" si="3">D15*0.05</f>
        <v>335000</v>
      </c>
      <c r="R15"/>
      <c r="S15"/>
      <c r="T15"/>
      <c r="U15"/>
      <c r="V15"/>
      <c r="W15"/>
      <c r="X15"/>
      <c r="Y15"/>
      <c r="Z15"/>
      <c r="AA15"/>
      <c r="AB15"/>
    </row>
    <row r="16" spans="1:28" ht="21.9" customHeight="1" x14ac:dyDescent="0.25">
      <c r="B16" s="781" t="s">
        <v>25</v>
      </c>
      <c r="C16" s="882"/>
      <c r="D16" s="883">
        <f>SUM(D9:D15)*1.09</f>
        <v>81575600</v>
      </c>
      <c r="E16" s="883">
        <f>SUM(E9:E15)</f>
        <v>6735600</v>
      </c>
      <c r="F16" s="883">
        <f>SUM(F9:F15)</f>
        <v>4490400</v>
      </c>
      <c r="G16" s="884">
        <f>SUM(G9:G15)</f>
        <v>6145600</v>
      </c>
      <c r="H16" s="885">
        <f>SUM(H9:H15)</f>
        <v>0</v>
      </c>
      <c r="I16" s="886">
        <f>SUM(I9:I15)</f>
        <v>3575000</v>
      </c>
      <c r="R16"/>
      <c r="S16"/>
      <c r="T16"/>
      <c r="U16"/>
      <c r="V16"/>
      <c r="W16"/>
      <c r="X16"/>
      <c r="Y16"/>
      <c r="Z16"/>
      <c r="AA16"/>
      <c r="AB16"/>
    </row>
    <row r="17" spans="1:28" ht="21.9" customHeight="1" thickBot="1" x14ac:dyDescent="0.6">
      <c r="B17" s="887"/>
      <c r="C17" s="888"/>
      <c r="D17" s="889"/>
      <c r="E17" s="889"/>
      <c r="F17" s="890">
        <f>D16+F16</f>
        <v>86066000</v>
      </c>
      <c r="G17" s="891"/>
      <c r="H17" s="892">
        <f>G16+H16+I16</f>
        <v>9720600</v>
      </c>
      <c r="I17" s="893">
        <f>F17+H17</f>
        <v>95786600</v>
      </c>
      <c r="R17"/>
      <c r="S17"/>
      <c r="T17"/>
      <c r="U17"/>
      <c r="V17"/>
      <c r="W17"/>
      <c r="X17"/>
      <c r="Y17"/>
      <c r="Z17"/>
      <c r="AA17"/>
      <c r="AB17"/>
    </row>
    <row r="18" spans="1:28" ht="21.9" customHeight="1" x14ac:dyDescent="0.25">
      <c r="B18" s="43"/>
      <c r="C18" s="43"/>
      <c r="D18" s="43"/>
      <c r="E18" s="43"/>
      <c r="F18" s="43"/>
      <c r="G18" s="43"/>
      <c r="H18" s="43"/>
      <c r="I18" s="43"/>
      <c r="R18"/>
      <c r="S18"/>
      <c r="T18"/>
      <c r="U18"/>
      <c r="V18"/>
      <c r="W18"/>
      <c r="X18"/>
      <c r="Y18"/>
      <c r="Z18"/>
      <c r="AA18"/>
      <c r="AB18"/>
    </row>
    <row r="19" spans="1:28" ht="21.9" customHeight="1" x14ac:dyDescent="0.25">
      <c r="D19" s="43"/>
      <c r="E19" s="43"/>
      <c r="F19" s="43"/>
      <c r="G19" s="43"/>
    </row>
    <row r="20" spans="1:28" ht="21.9" customHeight="1" x14ac:dyDescent="0.25">
      <c r="A20" s="189"/>
      <c r="B20" s="190" t="s">
        <v>207</v>
      </c>
      <c r="D20" s="43"/>
      <c r="E20" s="43"/>
      <c r="F20" s="43"/>
      <c r="L20" s="242"/>
      <c r="M20" s="242"/>
      <c r="N20" s="242"/>
    </row>
    <row r="21" spans="1:28" ht="21.9" customHeight="1" x14ac:dyDescent="0.25">
      <c r="D21" s="43"/>
      <c r="E21" s="43"/>
      <c r="F21" s="43"/>
      <c r="L21" s="242"/>
      <c r="M21" s="242"/>
      <c r="N21" s="242"/>
    </row>
    <row r="22" spans="1:28" ht="21.9" customHeight="1" x14ac:dyDescent="0.25">
      <c r="B22" s="43"/>
      <c r="C22" s="43"/>
      <c r="D22" s="43"/>
      <c r="E22" s="43"/>
      <c r="F22" s="43"/>
      <c r="G22" s="43"/>
      <c r="H22" s="43"/>
      <c r="I22" s="43"/>
      <c r="J22" s="43"/>
      <c r="K22" s="43"/>
      <c r="L22" s="242"/>
      <c r="M22" s="242"/>
      <c r="N22" s="242"/>
    </row>
    <row r="23" spans="1:28" ht="21.9" customHeight="1" x14ac:dyDescent="0.25">
      <c r="B23" s="43"/>
      <c r="C23" s="1343" t="s">
        <v>126</v>
      </c>
      <c r="D23" s="1343"/>
      <c r="E23" s="43"/>
      <c r="G23" s="1340" t="s">
        <v>335</v>
      </c>
      <c r="H23" s="1341"/>
      <c r="I23" s="1342"/>
      <c r="K23" s="1340" t="s">
        <v>287</v>
      </c>
      <c r="L23" s="1341"/>
      <c r="M23" s="1342"/>
      <c r="R23" s="43"/>
    </row>
    <row r="24" spans="1:28" ht="35.4" customHeight="1" x14ac:dyDescent="0.25">
      <c r="B24" s="43"/>
      <c r="C24" s="204" t="s">
        <v>205</v>
      </c>
      <c r="D24" s="203" t="s">
        <v>25</v>
      </c>
      <c r="E24" s="43"/>
      <c r="G24" s="203" t="s">
        <v>53</v>
      </c>
      <c r="H24" s="204" t="s">
        <v>205</v>
      </c>
      <c r="I24" s="203" t="s">
        <v>25</v>
      </c>
      <c r="K24" s="203" t="s">
        <v>53</v>
      </c>
      <c r="L24" s="204" t="s">
        <v>205</v>
      </c>
      <c r="M24" s="203" t="s">
        <v>25</v>
      </c>
      <c r="R24" s="518"/>
    </row>
    <row r="25" spans="1:28" ht="21.9" customHeight="1" x14ac:dyDescent="0.25">
      <c r="B25" s="43">
        <v>2024</v>
      </c>
      <c r="C25" s="894"/>
      <c r="D25" s="894">
        <f t="shared" ref="D25:D50" si="4">C25</f>
        <v>0</v>
      </c>
      <c r="E25" s="43"/>
      <c r="G25" s="896">
        <f>(SUM($D$9:$D$12))/3</f>
        <v>15000000</v>
      </c>
      <c r="H25" s="894"/>
      <c r="I25" s="894">
        <f t="shared" ref="I25:I50" si="5">SUM(G25:H25)</f>
        <v>15000000</v>
      </c>
      <c r="K25" s="896">
        <f>F17/3</f>
        <v>28688666.666666668</v>
      </c>
      <c r="L25" s="894"/>
      <c r="M25" s="894">
        <f>SUM(K25:L25)</f>
        <v>28688666.666666668</v>
      </c>
      <c r="R25" s="519"/>
    </row>
    <row r="26" spans="1:28" ht="21.9" customHeight="1" x14ac:dyDescent="0.25">
      <c r="B26" s="43">
        <f>B25+1</f>
        <v>2025</v>
      </c>
      <c r="C26" s="894">
        <v>2525000</v>
      </c>
      <c r="D26" s="894">
        <f>C26</f>
        <v>2525000</v>
      </c>
      <c r="E26" s="1219"/>
      <c r="G26" s="896">
        <f>(SUM($D$9:$D$12))/3</f>
        <v>15000000</v>
      </c>
      <c r="H26" s="894"/>
      <c r="I26" s="894">
        <f t="shared" si="5"/>
        <v>15000000</v>
      </c>
      <c r="K26" s="896">
        <f>F17/3</f>
        <v>28688666.666666668</v>
      </c>
      <c r="L26" s="894"/>
      <c r="M26" s="894">
        <f t="shared" ref="M26:M50" si="6">SUM(K26:L26)</f>
        <v>28688666.666666668</v>
      </c>
      <c r="R26" s="519"/>
    </row>
    <row r="27" spans="1:28" ht="21.9" customHeight="1" x14ac:dyDescent="0.25">
      <c r="B27" s="43">
        <f t="shared" ref="B27:B50" si="7">B26+1</f>
        <v>2026</v>
      </c>
      <c r="C27" s="894"/>
      <c r="D27" s="894">
        <f t="shared" si="4"/>
        <v>0</v>
      </c>
      <c r="E27" s="1219"/>
      <c r="G27" s="896">
        <f>(SUM($D$9:$D$12))/3</f>
        <v>15000000</v>
      </c>
      <c r="H27" s="894"/>
      <c r="I27" s="894">
        <f t="shared" si="5"/>
        <v>15000000</v>
      </c>
      <c r="K27" s="896">
        <f>F17/3</f>
        <v>28688666.666666668</v>
      </c>
      <c r="L27" s="894"/>
      <c r="M27" s="894">
        <f t="shared" si="6"/>
        <v>28688666.666666668</v>
      </c>
      <c r="R27" s="519"/>
    </row>
    <row r="28" spans="1:28" ht="21.9" customHeight="1" x14ac:dyDescent="0.25">
      <c r="B28" s="43">
        <f t="shared" si="7"/>
        <v>2027</v>
      </c>
      <c r="C28" s="894"/>
      <c r="D28" s="894">
        <f t="shared" si="4"/>
        <v>0</v>
      </c>
      <c r="E28" s="1219"/>
      <c r="G28" s="894"/>
      <c r="H28" s="897"/>
      <c r="I28" s="894">
        <f t="shared" si="5"/>
        <v>0</v>
      </c>
      <c r="K28" s="894"/>
      <c r="L28" s="897"/>
      <c r="M28" s="894">
        <f t="shared" si="6"/>
        <v>0</v>
      </c>
      <c r="R28" s="519"/>
    </row>
    <row r="29" spans="1:28" ht="21.9" customHeight="1" x14ac:dyDescent="0.25">
      <c r="B29" s="43">
        <f t="shared" si="7"/>
        <v>2028</v>
      </c>
      <c r="C29" s="894"/>
      <c r="D29" s="894">
        <f t="shared" si="4"/>
        <v>0</v>
      </c>
      <c r="E29" s="1219"/>
      <c r="G29" s="894"/>
      <c r="H29" s="894"/>
      <c r="I29" s="894">
        <f t="shared" si="5"/>
        <v>0</v>
      </c>
      <c r="K29" s="894"/>
      <c r="L29" s="894"/>
      <c r="M29" s="894">
        <f t="shared" si="6"/>
        <v>0</v>
      </c>
      <c r="R29" s="519"/>
    </row>
    <row r="30" spans="1:28" ht="21.9" customHeight="1" x14ac:dyDescent="0.25">
      <c r="B30" s="43">
        <f t="shared" si="7"/>
        <v>2029</v>
      </c>
      <c r="C30" s="894"/>
      <c r="D30" s="894">
        <f t="shared" si="4"/>
        <v>0</v>
      </c>
      <c r="E30" s="1219"/>
      <c r="G30" s="894"/>
      <c r="H30" s="894"/>
      <c r="I30" s="894">
        <f t="shared" si="5"/>
        <v>0</v>
      </c>
      <c r="K30" s="894"/>
      <c r="L30" s="894"/>
      <c r="M30" s="894">
        <f t="shared" si="6"/>
        <v>0</v>
      </c>
      <c r="R30" s="519"/>
    </row>
    <row r="31" spans="1:28" ht="21.9" customHeight="1" x14ac:dyDescent="0.25">
      <c r="B31" s="43">
        <f t="shared" si="7"/>
        <v>2030</v>
      </c>
      <c r="C31" s="894">
        <v>125000</v>
      </c>
      <c r="D31" s="894">
        <f t="shared" si="4"/>
        <v>125000</v>
      </c>
      <c r="E31" s="1219"/>
      <c r="G31" s="894"/>
      <c r="H31" s="894">
        <v>250000</v>
      </c>
      <c r="I31" s="894">
        <f t="shared" si="5"/>
        <v>250000</v>
      </c>
      <c r="K31" s="894"/>
      <c r="L31" s="894">
        <v>300000</v>
      </c>
      <c r="M31" s="894">
        <f t="shared" si="6"/>
        <v>300000</v>
      </c>
      <c r="R31" s="519"/>
    </row>
    <row r="32" spans="1:28" ht="21.9" customHeight="1" x14ac:dyDescent="0.25">
      <c r="B32" s="43">
        <f t="shared" si="7"/>
        <v>2031</v>
      </c>
      <c r="C32" s="894"/>
      <c r="D32" s="894">
        <f t="shared" si="4"/>
        <v>0</v>
      </c>
      <c r="E32" s="1219"/>
      <c r="G32" s="894"/>
      <c r="H32" s="894"/>
      <c r="I32" s="894">
        <f t="shared" si="5"/>
        <v>0</v>
      </c>
      <c r="K32" s="894"/>
      <c r="L32" s="894"/>
      <c r="M32" s="894">
        <f t="shared" si="6"/>
        <v>0</v>
      </c>
      <c r="R32" s="519"/>
    </row>
    <row r="33" spans="2:18" ht="21.9" customHeight="1" x14ac:dyDescent="0.25">
      <c r="B33" s="43">
        <f t="shared" si="7"/>
        <v>2032</v>
      </c>
      <c r="C33" s="894"/>
      <c r="D33" s="894">
        <f t="shared" si="4"/>
        <v>0</v>
      </c>
      <c r="E33" s="1219"/>
      <c r="G33" s="894"/>
      <c r="H33" s="894"/>
      <c r="I33" s="894">
        <f t="shared" si="5"/>
        <v>0</v>
      </c>
      <c r="K33" s="894"/>
      <c r="L33" s="894"/>
      <c r="M33" s="894">
        <f t="shared" si="6"/>
        <v>0</v>
      </c>
      <c r="R33" s="519"/>
    </row>
    <row r="34" spans="2:18" ht="21.9" customHeight="1" x14ac:dyDescent="0.25">
      <c r="B34" s="43">
        <f t="shared" si="7"/>
        <v>2033</v>
      </c>
      <c r="C34" s="894"/>
      <c r="D34" s="894">
        <f t="shared" si="4"/>
        <v>0</v>
      </c>
      <c r="E34" s="1219"/>
      <c r="G34" s="894"/>
      <c r="H34" s="894"/>
      <c r="I34" s="894">
        <f t="shared" si="5"/>
        <v>0</v>
      </c>
      <c r="K34" s="894"/>
      <c r="L34" s="894"/>
      <c r="M34" s="894">
        <f t="shared" si="6"/>
        <v>0</v>
      </c>
      <c r="R34" s="519"/>
    </row>
    <row r="35" spans="2:18" ht="21.9" customHeight="1" x14ac:dyDescent="0.25">
      <c r="B35" s="43">
        <f t="shared" si="7"/>
        <v>2034</v>
      </c>
      <c r="C35" s="894"/>
      <c r="D35" s="894">
        <f t="shared" si="4"/>
        <v>0</v>
      </c>
      <c r="E35" s="1219"/>
      <c r="G35" s="894"/>
      <c r="H35" s="894"/>
      <c r="I35" s="894">
        <f t="shared" si="5"/>
        <v>0</v>
      </c>
      <c r="K35" s="894"/>
      <c r="L35" s="894"/>
      <c r="M35" s="894">
        <f t="shared" si="6"/>
        <v>0</v>
      </c>
      <c r="R35" s="519"/>
    </row>
    <row r="36" spans="2:18" ht="21.9" customHeight="1" x14ac:dyDescent="0.25">
      <c r="B36" s="43">
        <f t="shared" si="7"/>
        <v>2035</v>
      </c>
      <c r="C36" s="894">
        <v>8400000</v>
      </c>
      <c r="D36" s="894">
        <f t="shared" si="4"/>
        <v>8400000</v>
      </c>
      <c r="E36" s="1219"/>
      <c r="G36" s="894"/>
      <c r="H36" s="894">
        <v>250000</v>
      </c>
      <c r="I36" s="894">
        <f t="shared" si="5"/>
        <v>250000</v>
      </c>
      <c r="K36" s="894"/>
      <c r="L36" s="894">
        <v>300000</v>
      </c>
      <c r="M36" s="894">
        <f t="shared" si="6"/>
        <v>300000</v>
      </c>
      <c r="R36" s="519"/>
    </row>
    <row r="37" spans="2:18" ht="21.9" customHeight="1" x14ac:dyDescent="0.25">
      <c r="B37" s="43">
        <f t="shared" si="7"/>
        <v>2036</v>
      </c>
      <c r="C37" s="894"/>
      <c r="D37" s="894">
        <f t="shared" si="4"/>
        <v>0</v>
      </c>
      <c r="E37" s="1219"/>
      <c r="G37" s="894"/>
      <c r="H37" s="894"/>
      <c r="I37" s="894">
        <f t="shared" si="5"/>
        <v>0</v>
      </c>
      <c r="K37" s="894"/>
      <c r="L37" s="894"/>
      <c r="M37" s="894">
        <f t="shared" si="6"/>
        <v>0</v>
      </c>
      <c r="R37" s="519"/>
    </row>
    <row r="38" spans="2:18" ht="21.9" customHeight="1" x14ac:dyDescent="0.25">
      <c r="B38" s="43">
        <f t="shared" si="7"/>
        <v>2037</v>
      </c>
      <c r="C38" s="894"/>
      <c r="D38" s="894">
        <f t="shared" si="4"/>
        <v>0</v>
      </c>
      <c r="E38" s="1219"/>
      <c r="G38" s="894"/>
      <c r="H38" s="894"/>
      <c r="I38" s="894">
        <f t="shared" si="5"/>
        <v>0</v>
      </c>
      <c r="K38" s="894"/>
      <c r="L38" s="894"/>
      <c r="M38" s="894">
        <f t="shared" si="6"/>
        <v>0</v>
      </c>
      <c r="R38" s="519"/>
    </row>
    <row r="39" spans="2:18" ht="21.9" customHeight="1" x14ac:dyDescent="0.25">
      <c r="B39" s="43">
        <f t="shared" si="7"/>
        <v>2038</v>
      </c>
      <c r="C39" s="894"/>
      <c r="D39" s="894">
        <f t="shared" si="4"/>
        <v>0</v>
      </c>
      <c r="E39" s="1219"/>
      <c r="G39" s="894"/>
      <c r="H39" s="894"/>
      <c r="I39" s="894">
        <f t="shared" si="5"/>
        <v>0</v>
      </c>
      <c r="K39" s="894"/>
      <c r="L39" s="894"/>
      <c r="M39" s="894">
        <f t="shared" si="6"/>
        <v>0</v>
      </c>
      <c r="R39" s="519"/>
    </row>
    <row r="40" spans="2:18" ht="21.9" customHeight="1" x14ac:dyDescent="0.25">
      <c r="B40" s="43">
        <f t="shared" si="7"/>
        <v>2039</v>
      </c>
      <c r="C40" s="894"/>
      <c r="D40" s="894">
        <f t="shared" si="4"/>
        <v>0</v>
      </c>
      <c r="E40" s="1219"/>
      <c r="G40" s="894"/>
      <c r="H40" s="894"/>
      <c r="I40" s="894">
        <f t="shared" si="5"/>
        <v>0</v>
      </c>
      <c r="K40" s="894"/>
      <c r="L40" s="894"/>
      <c r="M40" s="894">
        <f t="shared" si="6"/>
        <v>0</v>
      </c>
      <c r="R40" s="519"/>
    </row>
    <row r="41" spans="2:18" ht="21.9" customHeight="1" x14ac:dyDescent="0.25">
      <c r="B41" s="43">
        <f t="shared" si="7"/>
        <v>2040</v>
      </c>
      <c r="C41" s="894">
        <v>125000</v>
      </c>
      <c r="D41" s="894">
        <f t="shared" si="4"/>
        <v>125000</v>
      </c>
      <c r="E41" s="1219"/>
      <c r="G41" s="894"/>
      <c r="H41" s="894">
        <v>250000</v>
      </c>
      <c r="I41" s="894">
        <f t="shared" si="5"/>
        <v>250000</v>
      </c>
      <c r="K41" s="894"/>
      <c r="L41" s="894">
        <v>300000</v>
      </c>
      <c r="M41" s="894">
        <f t="shared" si="6"/>
        <v>300000</v>
      </c>
      <c r="R41" s="519"/>
    </row>
    <row r="42" spans="2:18" ht="21.9" customHeight="1" x14ac:dyDescent="0.25">
      <c r="B42" s="43">
        <f t="shared" si="7"/>
        <v>2041</v>
      </c>
      <c r="C42" s="894"/>
      <c r="D42" s="894">
        <f t="shared" si="4"/>
        <v>0</v>
      </c>
      <c r="E42" s="1219"/>
      <c r="G42" s="894"/>
      <c r="H42" s="894"/>
      <c r="I42" s="894">
        <f t="shared" si="5"/>
        <v>0</v>
      </c>
      <c r="K42" s="894"/>
      <c r="L42" s="894"/>
      <c r="M42" s="894">
        <f t="shared" si="6"/>
        <v>0</v>
      </c>
      <c r="R42" s="519"/>
    </row>
    <row r="43" spans="2:18" ht="21.9" customHeight="1" x14ac:dyDescent="0.25">
      <c r="B43" s="43">
        <f t="shared" si="7"/>
        <v>2042</v>
      </c>
      <c r="C43" s="894"/>
      <c r="D43" s="894">
        <f t="shared" si="4"/>
        <v>0</v>
      </c>
      <c r="E43" s="1219"/>
      <c r="G43" s="894"/>
      <c r="H43" s="894"/>
      <c r="I43" s="894">
        <f t="shared" si="5"/>
        <v>0</v>
      </c>
      <c r="K43" s="894"/>
      <c r="L43" s="894"/>
      <c r="M43" s="894">
        <f t="shared" si="6"/>
        <v>0</v>
      </c>
      <c r="R43" s="519"/>
    </row>
    <row r="44" spans="2:18" ht="21.9" customHeight="1" x14ac:dyDescent="0.25">
      <c r="B44" s="43">
        <f t="shared" si="7"/>
        <v>2043</v>
      </c>
      <c r="C44" s="894"/>
      <c r="D44" s="894">
        <f t="shared" si="4"/>
        <v>0</v>
      </c>
      <c r="E44" s="1219"/>
      <c r="G44" s="894"/>
      <c r="H44" s="894"/>
      <c r="I44" s="894">
        <f t="shared" si="5"/>
        <v>0</v>
      </c>
      <c r="K44" s="894"/>
      <c r="L44" s="894"/>
      <c r="M44" s="894">
        <f t="shared" si="6"/>
        <v>0</v>
      </c>
      <c r="R44" s="519"/>
    </row>
    <row r="45" spans="2:18" ht="21.9" customHeight="1" x14ac:dyDescent="0.25">
      <c r="B45" s="43">
        <f t="shared" si="7"/>
        <v>2044</v>
      </c>
      <c r="C45" s="894"/>
      <c r="D45" s="894">
        <f t="shared" si="4"/>
        <v>0</v>
      </c>
      <c r="E45" s="1219"/>
      <c r="G45" s="894"/>
      <c r="H45" s="894"/>
      <c r="I45" s="894">
        <f>SUM(G45:H45)</f>
        <v>0</v>
      </c>
      <c r="K45" s="894"/>
      <c r="L45" s="894"/>
      <c r="M45" s="894">
        <f t="shared" si="6"/>
        <v>0</v>
      </c>
      <c r="R45" s="519"/>
    </row>
    <row r="46" spans="2:18" ht="21.9" customHeight="1" x14ac:dyDescent="0.25">
      <c r="B46" s="43">
        <f t="shared" si="7"/>
        <v>2045</v>
      </c>
      <c r="C46" s="894">
        <v>1700000</v>
      </c>
      <c r="D46" s="894">
        <f t="shared" si="4"/>
        <v>1700000</v>
      </c>
      <c r="E46" s="1219"/>
      <c r="G46" s="894"/>
      <c r="H46" s="894">
        <v>2150000</v>
      </c>
      <c r="I46" s="894">
        <f t="shared" si="5"/>
        <v>2150000</v>
      </c>
      <c r="K46" s="894"/>
      <c r="L46" s="894">
        <v>2775000</v>
      </c>
      <c r="M46" s="894">
        <f t="shared" si="6"/>
        <v>2775000</v>
      </c>
      <c r="R46" s="519"/>
    </row>
    <row r="47" spans="2:18" ht="21.9" customHeight="1" x14ac:dyDescent="0.25">
      <c r="B47" s="43">
        <f t="shared" si="7"/>
        <v>2046</v>
      </c>
      <c r="C47" s="894"/>
      <c r="D47" s="894">
        <f t="shared" si="4"/>
        <v>0</v>
      </c>
      <c r="E47" s="1219"/>
      <c r="G47" s="894"/>
      <c r="H47" s="894">
        <v>2150000</v>
      </c>
      <c r="I47" s="894">
        <f t="shared" si="5"/>
        <v>2150000</v>
      </c>
      <c r="K47" s="894"/>
      <c r="L47" s="894">
        <v>2775000</v>
      </c>
      <c r="M47" s="894">
        <f t="shared" si="6"/>
        <v>2775000</v>
      </c>
      <c r="R47" s="519"/>
    </row>
    <row r="48" spans="2:18" ht="21.9" customHeight="1" x14ac:dyDescent="0.25">
      <c r="B48" s="43">
        <f t="shared" si="7"/>
        <v>2047</v>
      </c>
      <c r="C48" s="894"/>
      <c r="D48" s="894">
        <f t="shared" si="4"/>
        <v>0</v>
      </c>
      <c r="E48" s="1219"/>
      <c r="G48" s="894"/>
      <c r="H48" s="225"/>
      <c r="I48" s="894">
        <f t="shared" si="5"/>
        <v>0</v>
      </c>
      <c r="K48" s="894"/>
      <c r="L48" s="894"/>
      <c r="M48" s="894">
        <f t="shared" si="6"/>
        <v>0</v>
      </c>
      <c r="R48" s="519"/>
    </row>
    <row r="49" spans="2:18" ht="21.9" customHeight="1" x14ac:dyDescent="0.25">
      <c r="B49" s="43">
        <f t="shared" si="7"/>
        <v>2048</v>
      </c>
      <c r="C49" s="894"/>
      <c r="D49" s="894">
        <f t="shared" si="4"/>
        <v>0</v>
      </c>
      <c r="E49" s="1219"/>
      <c r="G49" s="894"/>
      <c r="H49" s="894"/>
      <c r="I49" s="894">
        <f t="shared" si="5"/>
        <v>0</v>
      </c>
      <c r="K49" s="894"/>
      <c r="L49" s="894"/>
      <c r="M49" s="894">
        <f t="shared" si="6"/>
        <v>0</v>
      </c>
      <c r="R49" s="519"/>
    </row>
    <row r="50" spans="2:18" ht="21.9" customHeight="1" x14ac:dyDescent="0.25">
      <c r="B50" s="43">
        <f t="shared" si="7"/>
        <v>2049</v>
      </c>
      <c r="C50" s="894"/>
      <c r="D50" s="894">
        <f t="shared" si="4"/>
        <v>0</v>
      </c>
      <c r="E50" s="1219"/>
      <c r="G50" s="894"/>
      <c r="H50" s="894"/>
      <c r="I50" s="894">
        <f t="shared" si="5"/>
        <v>0</v>
      </c>
      <c r="K50" s="894"/>
      <c r="L50" s="894"/>
      <c r="M50" s="894">
        <f t="shared" si="6"/>
        <v>0</v>
      </c>
      <c r="R50" s="519"/>
    </row>
    <row r="51" spans="2:18" ht="21.9" customHeight="1" x14ac:dyDescent="0.25">
      <c r="B51" s="43"/>
      <c r="C51" s="879"/>
      <c r="D51" s="895">
        <f>SUM(D25:D50)</f>
        <v>12875000</v>
      </c>
      <c r="E51" s="895"/>
      <c r="G51" s="879"/>
      <c r="H51" s="879"/>
      <c r="I51" s="898">
        <f>SUM(I25:I50)-(SUM(G25:G27))</f>
        <v>5050000</v>
      </c>
      <c r="K51" s="879"/>
      <c r="L51" s="879"/>
      <c r="M51" s="898">
        <f>SUM(M25:M50)-(SUM(K25:K27))</f>
        <v>6450000</v>
      </c>
      <c r="R51" s="142"/>
    </row>
    <row r="52" spans="2:18" ht="21.9" customHeight="1" x14ac:dyDescent="0.25">
      <c r="B52" s="43"/>
      <c r="C52" s="150" t="s">
        <v>301</v>
      </c>
      <c r="D52" s="43"/>
      <c r="E52" s="43"/>
      <c r="G52" s="43" t="s">
        <v>299</v>
      </c>
      <c r="I52" s="43"/>
      <c r="K52" s="43" t="s">
        <v>280</v>
      </c>
      <c r="M52" s="43"/>
      <c r="R52" s="43"/>
    </row>
    <row r="53" spans="2:18" ht="21.9" customHeight="1" x14ac:dyDescent="0.25">
      <c r="B53" s="43"/>
      <c r="C53" s="205" t="s">
        <v>278</v>
      </c>
      <c r="D53" s="43"/>
      <c r="E53" s="43"/>
      <c r="G53" s="43" t="s">
        <v>272</v>
      </c>
      <c r="I53" s="43"/>
      <c r="K53" s="43" t="s">
        <v>279</v>
      </c>
      <c r="M53" s="43"/>
      <c r="R53" s="43"/>
    </row>
    <row r="54" spans="2:18" ht="21.9" customHeight="1" x14ac:dyDescent="0.25">
      <c r="B54" s="43"/>
      <c r="C54" s="43" t="s">
        <v>277</v>
      </c>
      <c r="D54" s="43"/>
      <c r="E54" s="43"/>
      <c r="I54" s="43"/>
      <c r="J54" s="43"/>
      <c r="K54" s="43" t="s">
        <v>272</v>
      </c>
      <c r="L54" s="43"/>
      <c r="M54" s="43"/>
      <c r="R54" s="43"/>
    </row>
    <row r="55" spans="2:18" ht="21.9" customHeight="1" x14ac:dyDescent="0.25">
      <c r="B55" s="43"/>
      <c r="C55" s="43" t="s">
        <v>300</v>
      </c>
      <c r="D55" s="43"/>
      <c r="E55" s="43"/>
      <c r="H55" s="43"/>
      <c r="I55" s="43"/>
      <c r="J55" s="43"/>
      <c r="K55" s="43"/>
      <c r="L55" s="43"/>
      <c r="M55" s="43"/>
      <c r="O55" s="43"/>
      <c r="P55" s="43"/>
      <c r="Q55" s="43"/>
      <c r="R55" s="43"/>
    </row>
    <row r="56" spans="2:18" ht="21.9" customHeight="1" x14ac:dyDescent="0.25">
      <c r="B56" s="43"/>
      <c r="C56" s="241" t="s">
        <v>302</v>
      </c>
      <c r="D56" s="43"/>
      <c r="E56" s="43"/>
      <c r="H56" s="43"/>
      <c r="I56" s="43"/>
      <c r="J56" s="43"/>
      <c r="K56" s="43"/>
      <c r="L56" s="241"/>
      <c r="M56" s="43"/>
      <c r="O56" s="43"/>
      <c r="P56" s="43"/>
      <c r="Q56" s="43"/>
      <c r="R56" s="43"/>
    </row>
    <row r="57" spans="2:18" ht="21.9" customHeight="1" x14ac:dyDescent="0.25">
      <c r="B57" s="43"/>
      <c r="C57" s="150" t="s">
        <v>272</v>
      </c>
      <c r="D57" s="43"/>
      <c r="E57" s="43"/>
      <c r="H57" s="43"/>
      <c r="I57" s="43"/>
      <c r="J57" s="43"/>
      <c r="K57" s="43"/>
      <c r="L57" s="150"/>
      <c r="M57" s="43"/>
      <c r="O57" s="43"/>
      <c r="P57" s="43"/>
      <c r="Q57" s="43"/>
      <c r="R57" s="43"/>
    </row>
    <row r="58" spans="2:18" ht="21.9" customHeight="1" x14ac:dyDescent="0.25">
      <c r="B58" s="43"/>
      <c r="H58" s="43"/>
      <c r="I58" s="43"/>
      <c r="J58" s="43"/>
      <c r="K58" s="43"/>
      <c r="L58" s="43"/>
      <c r="M58" s="43"/>
      <c r="N58" s="43"/>
      <c r="O58" s="43"/>
      <c r="P58" s="43"/>
      <c r="Q58" s="43"/>
      <c r="R58" s="43"/>
    </row>
    <row r="59" spans="2:18" ht="21.9" customHeight="1" x14ac:dyDescent="0.25">
      <c r="B59" s="43"/>
      <c r="C59" s="43" t="s">
        <v>273</v>
      </c>
      <c r="D59" s="124">
        <v>40000</v>
      </c>
      <c r="E59" s="124"/>
      <c r="G59" s="43" t="s">
        <v>273</v>
      </c>
      <c r="H59" s="43"/>
      <c r="I59" s="124">
        <v>45000</v>
      </c>
      <c r="K59" s="43" t="s">
        <v>273</v>
      </c>
      <c r="L59" s="43"/>
      <c r="M59" s="124">
        <v>50000</v>
      </c>
    </row>
  </sheetData>
  <mergeCells count="3">
    <mergeCell ref="K23:M23"/>
    <mergeCell ref="C23:D23"/>
    <mergeCell ref="G23:I23"/>
  </mergeCells>
  <pageMargins left="0.7" right="0.7" top="0.75" bottom="0.75" header="0.3" footer="0.3"/>
  <pageSetup paperSize="3" scale="52" orientation="landscape" horizontalDpi="90" verticalDpi="9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5A865-56E9-4A4F-B015-6CDBEB34C144}">
  <sheetPr>
    <tabColor theme="4" tint="0.59999389629810485"/>
  </sheetPr>
  <dimension ref="A2:AA30"/>
  <sheetViews>
    <sheetView workbookViewId="0"/>
  </sheetViews>
  <sheetFormatPr defaultColWidth="10.59765625" defaultRowHeight="21.9" customHeight="1" x14ac:dyDescent="0.25"/>
  <cols>
    <col min="1" max="1" width="3.3984375" customWidth="1"/>
    <col min="2" max="2" width="45.3984375" customWidth="1"/>
    <col min="3" max="3" width="16.69921875" customWidth="1"/>
    <col min="4" max="9" width="16.69921875" style="12" customWidth="1"/>
    <col min="10" max="27" width="12.19921875" style="12" customWidth="1"/>
    <col min="28" max="38" width="12.19921875" customWidth="1"/>
  </cols>
  <sheetData>
    <row r="2" spans="1:27" ht="21.9" customHeight="1" x14ac:dyDescent="0.25">
      <c r="B2" s="1344" t="s">
        <v>217</v>
      </c>
      <c r="C2" s="1344"/>
      <c r="D2" s="1344"/>
    </row>
    <row r="4" spans="1:27" ht="22.8" x14ac:dyDescent="0.25">
      <c r="B4" s="371" t="s">
        <v>192</v>
      </c>
      <c r="C4" s="106"/>
    </row>
    <row r="5" spans="1:27" ht="22.8" x14ac:dyDescent="0.25">
      <c r="B5" s="10"/>
      <c r="C5" s="106"/>
    </row>
    <row r="6" spans="1:27" ht="21.9" customHeight="1" thickBot="1" x14ac:dyDescent="0.3">
      <c r="B6" s="191" t="s">
        <v>190</v>
      </c>
      <c r="D6"/>
      <c r="E6"/>
      <c r="F6"/>
      <c r="G6"/>
      <c r="H6"/>
      <c r="I6"/>
      <c r="J6"/>
      <c r="K6"/>
      <c r="L6" s="43"/>
      <c r="Q6"/>
      <c r="R6"/>
      <c r="S6"/>
      <c r="T6"/>
      <c r="U6"/>
      <c r="V6"/>
      <c r="W6"/>
      <c r="X6"/>
      <c r="Y6"/>
      <c r="Z6"/>
      <c r="AA6"/>
    </row>
    <row r="7" spans="1:27" s="4" customFormat="1" ht="21.9" customHeight="1" x14ac:dyDescent="0.25">
      <c r="A7"/>
      <c r="B7" s="805" t="s">
        <v>10</v>
      </c>
      <c r="C7" s="734" t="s">
        <v>699</v>
      </c>
      <c r="D7" s="734" t="s">
        <v>700</v>
      </c>
      <c r="E7" s="806" t="s">
        <v>701</v>
      </c>
      <c r="F7" s="2"/>
      <c r="G7" s="2"/>
      <c r="H7" s="2"/>
      <c r="I7" s="2"/>
      <c r="J7" s="2"/>
      <c r="K7" s="2"/>
      <c r="M7" s="13"/>
      <c r="N7" s="13"/>
      <c r="O7" s="13"/>
      <c r="P7" s="13"/>
    </row>
    <row r="8" spans="1:27" ht="21.9" customHeight="1" thickBot="1" x14ac:dyDescent="0.3">
      <c r="B8" s="768" t="s">
        <v>119</v>
      </c>
      <c r="C8" s="274">
        <v>115.13500000000001</v>
      </c>
      <c r="D8" s="274">
        <v>121.261</v>
      </c>
      <c r="E8" s="748">
        <v>124.224</v>
      </c>
      <c r="F8" s="2"/>
      <c r="G8" s="5"/>
      <c r="H8" s="2"/>
      <c r="I8" s="2"/>
      <c r="J8" s="2"/>
      <c r="K8" s="2"/>
      <c r="Q8"/>
      <c r="R8"/>
      <c r="S8"/>
      <c r="T8"/>
      <c r="U8"/>
      <c r="V8"/>
      <c r="W8"/>
      <c r="X8"/>
      <c r="Y8"/>
      <c r="Z8"/>
      <c r="AA8"/>
    </row>
    <row r="9" spans="1:27" ht="21.9" customHeight="1" x14ac:dyDescent="0.25">
      <c r="B9" s="107" t="s">
        <v>191</v>
      </c>
      <c r="D9"/>
      <c r="E9"/>
      <c r="F9"/>
      <c r="G9"/>
      <c r="H9"/>
      <c r="I9"/>
      <c r="J9"/>
      <c r="K9"/>
      <c r="Q9"/>
      <c r="R9"/>
      <c r="S9"/>
      <c r="T9"/>
      <c r="U9"/>
      <c r="V9"/>
      <c r="W9"/>
      <c r="X9"/>
      <c r="Y9"/>
      <c r="Z9"/>
      <c r="AA9"/>
    </row>
    <row r="10" spans="1:27" ht="21.9" customHeight="1" x14ac:dyDescent="0.25">
      <c r="B10" s="9" t="s">
        <v>697</v>
      </c>
      <c r="D10"/>
      <c r="E10"/>
      <c r="F10"/>
      <c r="G10"/>
      <c r="H10"/>
      <c r="I10"/>
      <c r="J10"/>
      <c r="K10"/>
      <c r="Q10"/>
      <c r="R10"/>
      <c r="S10"/>
      <c r="T10"/>
      <c r="U10"/>
      <c r="V10"/>
      <c r="W10"/>
      <c r="X10"/>
      <c r="Y10"/>
      <c r="Z10"/>
      <c r="AA10"/>
    </row>
    <row r="11" spans="1:27" ht="21.9" customHeight="1" x14ac:dyDescent="0.25">
      <c r="B11" s="9" t="s">
        <v>698</v>
      </c>
      <c r="D11"/>
      <c r="E11"/>
      <c r="F11"/>
      <c r="G11"/>
      <c r="H11"/>
      <c r="I11"/>
      <c r="J11"/>
      <c r="K11"/>
      <c r="Q11"/>
      <c r="R11"/>
      <c r="S11"/>
      <c r="T11"/>
      <c r="U11"/>
      <c r="V11"/>
      <c r="W11"/>
      <c r="X11"/>
      <c r="Y11"/>
      <c r="Z11"/>
      <c r="AA11"/>
    </row>
    <row r="12" spans="1:27" ht="21.9" customHeight="1" x14ac:dyDescent="0.25">
      <c r="D12"/>
      <c r="E12"/>
      <c r="F12"/>
      <c r="G12"/>
      <c r="H12"/>
      <c r="I12"/>
      <c r="J12"/>
      <c r="K12"/>
      <c r="Q12"/>
      <c r="R12"/>
      <c r="S12"/>
      <c r="T12"/>
      <c r="U12"/>
      <c r="V12"/>
      <c r="W12"/>
      <c r="X12"/>
      <c r="Y12"/>
      <c r="Z12"/>
      <c r="AA12"/>
    </row>
    <row r="13" spans="1:27" ht="21.9" customHeight="1" x14ac:dyDescent="0.25">
      <c r="D13"/>
      <c r="E13"/>
      <c r="F13"/>
      <c r="G13"/>
      <c r="H13"/>
      <c r="I13"/>
      <c r="J13"/>
      <c r="K13"/>
      <c r="Q13"/>
      <c r="R13"/>
      <c r="S13"/>
      <c r="T13"/>
      <c r="U13"/>
      <c r="V13"/>
      <c r="W13"/>
      <c r="X13"/>
      <c r="Y13"/>
      <c r="Z13"/>
      <c r="AA13"/>
    </row>
    <row r="14" spans="1:27" ht="21.9" customHeight="1" thickBot="1" x14ac:dyDescent="0.3">
      <c r="B14" s="191" t="s">
        <v>189</v>
      </c>
      <c r="D14"/>
      <c r="E14"/>
      <c r="F14"/>
      <c r="G14"/>
      <c r="H14"/>
      <c r="I14"/>
      <c r="J14"/>
      <c r="K14"/>
    </row>
    <row r="15" spans="1:27" ht="21.9" customHeight="1" x14ac:dyDescent="0.25">
      <c r="B15" s="805" t="s">
        <v>10</v>
      </c>
      <c r="C15" s="734">
        <v>2022</v>
      </c>
      <c r="D15" s="734">
        <v>2023</v>
      </c>
      <c r="E15" s="806">
        <v>2024</v>
      </c>
      <c r="F15"/>
      <c r="G15"/>
      <c r="H15"/>
      <c r="I15"/>
      <c r="J15"/>
      <c r="K15"/>
    </row>
    <row r="16" spans="1:27" ht="21.9" customHeight="1" thickBot="1" x14ac:dyDescent="0.3">
      <c r="B16" s="768" t="s">
        <v>696</v>
      </c>
      <c r="C16" s="416">
        <f>$C$8/C8</f>
        <v>1</v>
      </c>
      <c r="D16" s="416">
        <f>$C$8/D8</f>
        <v>0.94948087183843122</v>
      </c>
      <c r="E16" s="417">
        <f>$C$8/E8</f>
        <v>0.92683378413189077</v>
      </c>
      <c r="F16"/>
      <c r="G16"/>
      <c r="H16"/>
      <c r="I16"/>
      <c r="J16"/>
      <c r="K16"/>
    </row>
    <row r="17" spans="4:11" ht="21.9" customHeight="1" x14ac:dyDescent="0.25">
      <c r="D17"/>
      <c r="E17"/>
      <c r="F17"/>
      <c r="G17"/>
      <c r="H17"/>
      <c r="I17"/>
      <c r="J17"/>
      <c r="K17"/>
    </row>
    <row r="18" spans="4:11" ht="21.9" customHeight="1" x14ac:dyDescent="0.25">
      <c r="D18"/>
      <c r="E18"/>
      <c r="F18"/>
      <c r="G18"/>
      <c r="H18"/>
      <c r="I18"/>
      <c r="J18"/>
      <c r="K18"/>
    </row>
    <row r="19" spans="4:11" ht="21.9" customHeight="1" x14ac:dyDescent="0.25">
      <c r="D19"/>
      <c r="E19"/>
      <c r="F19"/>
      <c r="G19"/>
      <c r="H19"/>
      <c r="I19"/>
      <c r="J19"/>
      <c r="K19"/>
    </row>
    <row r="20" spans="4:11" ht="21.9" customHeight="1" x14ac:dyDescent="0.25">
      <c r="D20"/>
      <c r="E20"/>
      <c r="F20"/>
      <c r="G20"/>
      <c r="H20"/>
      <c r="I20"/>
      <c r="J20"/>
      <c r="K20"/>
    </row>
    <row r="21" spans="4:11" ht="21.9" customHeight="1" x14ac:dyDescent="0.25">
      <c r="D21"/>
      <c r="E21"/>
      <c r="F21"/>
      <c r="G21"/>
      <c r="H21"/>
      <c r="I21"/>
      <c r="J21"/>
      <c r="K21"/>
    </row>
    <row r="22" spans="4:11" ht="21.9" customHeight="1" x14ac:dyDescent="0.25">
      <c r="D22"/>
      <c r="E22"/>
      <c r="F22"/>
      <c r="G22"/>
      <c r="H22"/>
      <c r="I22"/>
      <c r="J22"/>
      <c r="K22"/>
    </row>
    <row r="23" spans="4:11" ht="21.9" customHeight="1" x14ac:dyDescent="0.25">
      <c r="D23"/>
      <c r="E23"/>
      <c r="F23"/>
      <c r="G23"/>
      <c r="H23"/>
      <c r="I23"/>
      <c r="J23"/>
      <c r="K23"/>
    </row>
    <row r="24" spans="4:11" ht="21.9" customHeight="1" x14ac:dyDescent="0.25">
      <c r="D24"/>
      <c r="E24"/>
      <c r="F24"/>
      <c r="G24"/>
      <c r="H24"/>
      <c r="I24"/>
      <c r="J24"/>
      <c r="K24"/>
    </row>
    <row r="25" spans="4:11" ht="21.9" customHeight="1" x14ac:dyDescent="0.25">
      <c r="D25"/>
      <c r="E25"/>
      <c r="F25"/>
      <c r="G25"/>
      <c r="H25"/>
      <c r="I25"/>
      <c r="J25"/>
      <c r="K25"/>
    </row>
    <row r="26" spans="4:11" ht="21.9" customHeight="1" x14ac:dyDescent="0.25">
      <c r="D26"/>
      <c r="E26"/>
      <c r="F26"/>
      <c r="G26"/>
      <c r="H26"/>
      <c r="I26"/>
      <c r="J26"/>
      <c r="K26"/>
    </row>
    <row r="27" spans="4:11" ht="21.9" customHeight="1" x14ac:dyDescent="0.25">
      <c r="D27"/>
      <c r="E27"/>
      <c r="F27"/>
      <c r="G27"/>
      <c r="H27"/>
      <c r="I27"/>
      <c r="J27"/>
      <c r="K27"/>
    </row>
    <row r="28" spans="4:11" ht="21.9" customHeight="1" x14ac:dyDescent="0.25">
      <c r="D28"/>
      <c r="E28"/>
      <c r="F28"/>
      <c r="G28"/>
      <c r="H28"/>
      <c r="I28"/>
      <c r="J28"/>
      <c r="K28"/>
    </row>
    <row r="29" spans="4:11" ht="21.9" customHeight="1" x14ac:dyDescent="0.25">
      <c r="D29"/>
      <c r="E29"/>
      <c r="F29"/>
      <c r="G29"/>
      <c r="H29"/>
      <c r="I29"/>
      <c r="J29"/>
      <c r="K29"/>
    </row>
    <row r="30" spans="4:11" ht="21.9" customHeight="1" x14ac:dyDescent="0.25">
      <c r="D30"/>
      <c r="E30"/>
      <c r="F30"/>
      <c r="G30"/>
      <c r="H30"/>
      <c r="I30"/>
      <c r="J30"/>
      <c r="K30"/>
    </row>
  </sheetData>
  <mergeCells count="1">
    <mergeCell ref="B2:D2"/>
  </mergeCells>
  <hyperlinks>
    <hyperlink ref="B2" location="Emissions!A1" display="Back to Emissions Tab" xr:uid="{20A91F54-C8EB-47BB-A489-5C2DC987E9CC}"/>
    <hyperlink ref="B2:D2" location="Inputs!A1" display="Back to Inputs Tab" xr:uid="{D664BCB7-507D-4DD9-B720-F4EB9CB43272}"/>
  </hyperlinks>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64E9A-3A62-4C6D-9B90-09F7C5FD1CDC}">
  <sheetPr codeName="Sheet16">
    <tabColor theme="4" tint="0.59999389629810485"/>
  </sheetPr>
  <dimension ref="B2:AA83"/>
  <sheetViews>
    <sheetView zoomScale="80" zoomScaleNormal="80" workbookViewId="0"/>
  </sheetViews>
  <sheetFormatPr defaultColWidth="11.59765625" defaultRowHeight="21.9" customHeight="1" x14ac:dyDescent="0.25"/>
  <cols>
    <col min="1" max="1" width="3.3984375" customWidth="1"/>
    <col min="2" max="2" width="27.19921875" bestFit="1" customWidth="1"/>
    <col min="3" max="10" width="9.69921875" customWidth="1"/>
    <col min="11" max="13" width="11.5" customWidth="1"/>
    <col min="14" max="14" width="17.5" customWidth="1"/>
    <col min="15" max="23" width="11.5" customWidth="1"/>
    <col min="25" max="25" width="26.69921875" customWidth="1"/>
    <col min="28" max="28" width="18.69921875" customWidth="1"/>
    <col min="29" max="29" width="20.59765625" customWidth="1"/>
    <col min="30" max="30" width="23.19921875" customWidth="1"/>
    <col min="31" max="31" width="12.19921875" customWidth="1"/>
  </cols>
  <sheetData>
    <row r="2" spans="2:20" ht="21.9" customHeight="1" x14ac:dyDescent="0.25">
      <c r="B2" s="1344" t="s">
        <v>70</v>
      </c>
      <c r="C2" s="1344"/>
      <c r="D2" s="1344"/>
    </row>
    <row r="4" spans="2:20" ht="22.8" x14ac:dyDescent="0.25">
      <c r="B4" s="371" t="s">
        <v>372</v>
      </c>
      <c r="C4" s="10"/>
    </row>
    <row r="5" spans="2:20" ht="22.8" x14ac:dyDescent="0.25">
      <c r="B5" s="10"/>
      <c r="C5" s="10"/>
      <c r="J5" s="239"/>
    </row>
    <row r="6" spans="2:20" ht="23.4" customHeight="1" x14ac:dyDescent="0.25">
      <c r="B6" t="s">
        <v>202</v>
      </c>
      <c r="J6" s="239"/>
    </row>
    <row r="7" spans="2:20" ht="23.4" customHeight="1" x14ac:dyDescent="0.25">
      <c r="J7" s="239"/>
    </row>
    <row r="8" spans="2:20" ht="23.4" customHeight="1" thickBot="1" x14ac:dyDescent="0.3">
      <c r="B8" s="191" t="s">
        <v>483</v>
      </c>
      <c r="J8" s="239"/>
      <c r="K8" s="191" t="s">
        <v>48</v>
      </c>
    </row>
    <row r="9" spans="2:20" ht="23.4" customHeight="1" x14ac:dyDescent="0.25">
      <c r="B9" s="1349" t="s">
        <v>10</v>
      </c>
      <c r="C9" s="1351" t="s">
        <v>184</v>
      </c>
      <c r="D9" s="1351"/>
      <c r="E9" s="1351"/>
      <c r="F9" s="1351"/>
      <c r="G9" s="1351"/>
      <c r="H9" s="1345" t="s">
        <v>25</v>
      </c>
      <c r="J9" s="239"/>
      <c r="K9" s="193"/>
      <c r="L9" s="197"/>
      <c r="M9" s="197"/>
      <c r="N9" s="197" t="s">
        <v>18</v>
      </c>
      <c r="O9" s="238" t="s">
        <v>373</v>
      </c>
      <c r="P9" s="197"/>
      <c r="Q9" s="202" t="s">
        <v>3</v>
      </c>
    </row>
    <row r="10" spans="2:20" ht="23.4" customHeight="1" x14ac:dyDescent="0.25">
      <c r="B10" s="1350"/>
      <c r="C10" s="121">
        <v>1</v>
      </c>
      <c r="D10" s="121">
        <v>2</v>
      </c>
      <c r="E10" s="121">
        <v>3</v>
      </c>
      <c r="F10" s="121">
        <v>4</v>
      </c>
      <c r="G10" s="121">
        <v>5</v>
      </c>
      <c r="H10" s="1352"/>
      <c r="J10" s="239"/>
      <c r="K10" s="201" t="s">
        <v>374</v>
      </c>
      <c r="L10" s="183"/>
      <c r="M10" s="183"/>
      <c r="N10" s="183" t="s">
        <v>484</v>
      </c>
      <c r="O10" s="183" t="s">
        <v>32</v>
      </c>
      <c r="P10" s="183"/>
      <c r="Q10" s="219">
        <f>G18</f>
        <v>0</v>
      </c>
      <c r="S10">
        <v>2017</v>
      </c>
      <c r="T10">
        <f>H11+H24+H37+H50+H76+H63</f>
        <v>6</v>
      </c>
    </row>
    <row r="11" spans="2:20" ht="23.4" customHeight="1" x14ac:dyDescent="0.25">
      <c r="B11" s="211">
        <v>2017</v>
      </c>
      <c r="C11" s="217">
        <v>0</v>
      </c>
      <c r="D11" s="217">
        <v>0</v>
      </c>
      <c r="E11" s="217">
        <v>1</v>
      </c>
      <c r="F11" s="217">
        <v>1</v>
      </c>
      <c r="G11" s="217">
        <v>0</v>
      </c>
      <c r="H11" s="218">
        <f>SUM(C11:G11)</f>
        <v>2</v>
      </c>
      <c r="J11" s="239"/>
      <c r="K11" s="194"/>
      <c r="N11" t="s">
        <v>289</v>
      </c>
      <c r="O11" t="s">
        <v>33</v>
      </c>
      <c r="Q11" s="220">
        <f>SUM(D18:F18)</f>
        <v>0.55000000000000004</v>
      </c>
      <c r="S11">
        <v>2018</v>
      </c>
      <c r="T11">
        <f>H12+H25+H38+H51+H77+H64</f>
        <v>12</v>
      </c>
    </row>
    <row r="12" spans="2:20" ht="23.4" customHeight="1" x14ac:dyDescent="0.25">
      <c r="B12" s="194">
        <f>B11+1</f>
        <v>2018</v>
      </c>
      <c r="C12" s="114">
        <v>2</v>
      </c>
      <c r="D12" s="114">
        <v>1</v>
      </c>
      <c r="E12" s="114">
        <v>3</v>
      </c>
      <c r="F12" s="114">
        <v>0</v>
      </c>
      <c r="G12" s="114">
        <v>0</v>
      </c>
      <c r="H12" s="212">
        <f>SUM(C12:G12)</f>
        <v>6</v>
      </c>
      <c r="J12" s="239"/>
      <c r="K12" s="194"/>
      <c r="N12" s="45"/>
      <c r="O12" s="45" t="s">
        <v>30</v>
      </c>
      <c r="P12" s="45"/>
      <c r="Q12" s="221">
        <f>C18</f>
        <v>0.45</v>
      </c>
      <c r="S12">
        <v>2019</v>
      </c>
      <c r="T12">
        <f>H13+H26+H39+H52+H78+H65</f>
        <v>11</v>
      </c>
    </row>
    <row r="13" spans="2:20" ht="23.4" customHeight="1" x14ac:dyDescent="0.25">
      <c r="B13" s="194">
        <f>B12+1</f>
        <v>2019</v>
      </c>
      <c r="C13" s="114">
        <v>5</v>
      </c>
      <c r="D13" s="114">
        <v>0</v>
      </c>
      <c r="E13" s="114">
        <v>1</v>
      </c>
      <c r="F13" s="114">
        <v>0</v>
      </c>
      <c r="G13" s="114">
        <v>0</v>
      </c>
      <c r="H13" s="212">
        <f>SUM(C13:G13)</f>
        <v>6</v>
      </c>
      <c r="J13" s="239"/>
      <c r="K13" s="194"/>
      <c r="N13" t="s">
        <v>485</v>
      </c>
      <c r="O13" t="s">
        <v>32</v>
      </c>
      <c r="Q13" s="220">
        <v>0</v>
      </c>
      <c r="S13">
        <v>2020</v>
      </c>
      <c r="T13">
        <f>H14+H27+H40+H53+H79+H66</f>
        <v>11</v>
      </c>
    </row>
    <row r="14" spans="2:20" ht="23.4" customHeight="1" x14ac:dyDescent="0.25">
      <c r="B14" s="194">
        <f>B13+1</f>
        <v>2020</v>
      </c>
      <c r="C14" s="114">
        <v>1</v>
      </c>
      <c r="D14" s="114">
        <v>2</v>
      </c>
      <c r="E14" s="114">
        <v>0</v>
      </c>
      <c r="F14" s="114">
        <v>0</v>
      </c>
      <c r="G14" s="114">
        <v>0</v>
      </c>
      <c r="H14" s="212">
        <f>SUM(C14:G14)</f>
        <v>3</v>
      </c>
      <c r="J14" s="239"/>
      <c r="K14" s="194"/>
      <c r="N14" t="s">
        <v>290</v>
      </c>
      <c r="O14" t="s">
        <v>33</v>
      </c>
      <c r="Q14" s="220">
        <v>0</v>
      </c>
      <c r="S14">
        <v>2021</v>
      </c>
      <c r="T14">
        <f>H15+H28+H41+H54+H80+H67</f>
        <v>9</v>
      </c>
    </row>
    <row r="15" spans="2:20" ht="23.4" customHeight="1" x14ac:dyDescent="0.25">
      <c r="B15" s="194">
        <f>B14+1</f>
        <v>2021</v>
      </c>
      <c r="C15" s="122">
        <v>1</v>
      </c>
      <c r="D15" s="122">
        <v>1</v>
      </c>
      <c r="E15" s="122">
        <v>0</v>
      </c>
      <c r="F15" s="122">
        <v>1</v>
      </c>
      <c r="G15" s="122">
        <v>0</v>
      </c>
      <c r="H15" s="212">
        <f>SUM(C15:G15)</f>
        <v>3</v>
      </c>
      <c r="J15" s="239"/>
      <c r="K15" s="194"/>
      <c r="N15" s="45"/>
      <c r="O15" s="45" t="s">
        <v>30</v>
      </c>
      <c r="P15" s="45"/>
      <c r="Q15" s="221">
        <v>0</v>
      </c>
    </row>
    <row r="16" spans="2:20" ht="23.4" customHeight="1" x14ac:dyDescent="0.25">
      <c r="B16" s="213" t="s">
        <v>181</v>
      </c>
      <c r="C16" s="123">
        <f t="shared" ref="C16:G16" si="0">SUM(C11:C15)</f>
        <v>9</v>
      </c>
      <c r="D16" s="123">
        <f t="shared" si="0"/>
        <v>4</v>
      </c>
      <c r="E16" s="123">
        <f t="shared" si="0"/>
        <v>5</v>
      </c>
      <c r="F16" s="123">
        <f t="shared" si="0"/>
        <v>2</v>
      </c>
      <c r="G16" s="123">
        <f t="shared" si="0"/>
        <v>0</v>
      </c>
      <c r="H16" s="214">
        <f>SUM(H11:H15)</f>
        <v>20</v>
      </c>
      <c r="I16" s="346"/>
      <c r="J16" s="239"/>
      <c r="K16" s="194"/>
      <c r="N16" t="s">
        <v>320</v>
      </c>
      <c r="O16" t="s">
        <v>32</v>
      </c>
      <c r="Q16" s="220">
        <f>G44</f>
        <v>0</v>
      </c>
    </row>
    <row r="17" spans="2:25" ht="21.9" customHeight="1" x14ac:dyDescent="0.25">
      <c r="B17" s="196" t="s">
        <v>85</v>
      </c>
      <c r="C17" s="143">
        <f>AVERAGE(C11:C15)</f>
        <v>1.8</v>
      </c>
      <c r="D17" s="143">
        <f t="shared" ref="D17:G17" si="1">AVERAGE(D11:D15)</f>
        <v>0.8</v>
      </c>
      <c r="E17" s="143">
        <f t="shared" si="1"/>
        <v>1</v>
      </c>
      <c r="F17" s="143">
        <f t="shared" si="1"/>
        <v>0.4</v>
      </c>
      <c r="G17" s="143">
        <f t="shared" si="1"/>
        <v>0</v>
      </c>
      <c r="H17" s="212">
        <f>AVERAGE(H11:H15)</f>
        <v>4</v>
      </c>
      <c r="J17" s="239"/>
      <c r="K17" s="194"/>
      <c r="O17" t="s">
        <v>33</v>
      </c>
      <c r="Q17" s="220">
        <f>SUM(D44:F44)</f>
        <v>1</v>
      </c>
    </row>
    <row r="18" spans="2:25" ht="21.9" customHeight="1" thickBot="1" x14ac:dyDescent="0.3">
      <c r="B18" s="208" t="s">
        <v>201</v>
      </c>
      <c r="C18" s="215">
        <f>C17/$H17</f>
        <v>0.45</v>
      </c>
      <c r="D18" s="215">
        <f t="shared" ref="D18:F18" si="2">D17/$H17</f>
        <v>0.2</v>
      </c>
      <c r="E18" s="215">
        <f t="shared" si="2"/>
        <v>0.25</v>
      </c>
      <c r="F18" s="215">
        <f t="shared" si="2"/>
        <v>0.1</v>
      </c>
      <c r="G18" s="215">
        <f>G17/$H17</f>
        <v>0</v>
      </c>
      <c r="H18" s="216">
        <f>H16/($H$16+$H$31+$H$42+$H$55+$H$81+$H$68)</f>
        <v>0.40816326530612246</v>
      </c>
      <c r="J18" s="239"/>
      <c r="K18" s="194"/>
      <c r="N18" s="45"/>
      <c r="O18" s="45" t="s">
        <v>30</v>
      </c>
      <c r="P18" s="45"/>
      <c r="Q18" s="221">
        <f>C44</f>
        <v>0</v>
      </c>
    </row>
    <row r="19" spans="2:25" ht="21.9" customHeight="1" x14ac:dyDescent="0.25">
      <c r="J19" s="239"/>
      <c r="K19" s="194"/>
      <c r="N19" t="s">
        <v>308</v>
      </c>
      <c r="O19" t="s">
        <v>32</v>
      </c>
      <c r="Q19" s="220">
        <v>0</v>
      </c>
    </row>
    <row r="20" spans="2:25" ht="21.9" customHeight="1" x14ac:dyDescent="0.25">
      <c r="J20" s="239"/>
      <c r="K20" s="194"/>
      <c r="O20" t="s">
        <v>33</v>
      </c>
      <c r="Q20" s="220">
        <v>0</v>
      </c>
    </row>
    <row r="21" spans="2:25" ht="21.9" customHeight="1" thickBot="1" x14ac:dyDescent="0.3">
      <c r="B21" s="192" t="s">
        <v>399</v>
      </c>
      <c r="J21" s="239"/>
      <c r="K21" s="194"/>
      <c r="O21" t="s">
        <v>30</v>
      </c>
      <c r="Q21" s="220">
        <v>0</v>
      </c>
    </row>
    <row r="22" spans="2:25" ht="21.9" customHeight="1" x14ac:dyDescent="0.25">
      <c r="B22" s="1360" t="s">
        <v>10</v>
      </c>
      <c r="C22" s="1356" t="s">
        <v>184</v>
      </c>
      <c r="D22" s="1356"/>
      <c r="E22" s="1356"/>
      <c r="F22" s="1356"/>
      <c r="G22" s="1356"/>
      <c r="H22" s="1357" t="s">
        <v>25</v>
      </c>
      <c r="J22" s="239"/>
      <c r="K22" s="194"/>
      <c r="N22" s="183" t="s">
        <v>486</v>
      </c>
      <c r="O22" s="183" t="s">
        <v>32</v>
      </c>
      <c r="P22" s="183"/>
      <c r="Q22" s="219">
        <f>G70</f>
        <v>0</v>
      </c>
    </row>
    <row r="23" spans="2:25" ht="21.9" customHeight="1" x14ac:dyDescent="0.25">
      <c r="B23" s="1361"/>
      <c r="C23" s="236">
        <v>1</v>
      </c>
      <c r="D23" s="236">
        <v>2</v>
      </c>
      <c r="E23" s="236">
        <v>3</v>
      </c>
      <c r="F23" s="236">
        <v>4</v>
      </c>
      <c r="G23" s="236">
        <v>5</v>
      </c>
      <c r="H23" s="1358"/>
      <c r="J23" s="239"/>
      <c r="K23" s="194"/>
      <c r="N23" t="s">
        <v>363</v>
      </c>
      <c r="O23" t="s">
        <v>33</v>
      </c>
      <c r="Q23" s="220">
        <f>SUM(D70:F70)</f>
        <v>0.47826086956521741</v>
      </c>
    </row>
    <row r="24" spans="2:25" ht="21.9" customHeight="1" x14ac:dyDescent="0.25">
      <c r="B24" s="211">
        <v>2017</v>
      </c>
      <c r="C24" s="217">
        <v>0</v>
      </c>
      <c r="D24" s="217">
        <v>0</v>
      </c>
      <c r="E24" s="217">
        <v>0</v>
      </c>
      <c r="F24" s="217">
        <v>0</v>
      </c>
      <c r="G24" s="217">
        <v>0</v>
      </c>
      <c r="H24" s="218">
        <f>SUM(C24:G24)</f>
        <v>0</v>
      </c>
      <c r="J24" s="239"/>
      <c r="K24" s="194"/>
      <c r="O24" t="s">
        <v>30</v>
      </c>
      <c r="Q24" s="220">
        <f>C70</f>
        <v>0.52173913043478259</v>
      </c>
    </row>
    <row r="25" spans="2:25" ht="21.9" customHeight="1" x14ac:dyDescent="0.25">
      <c r="B25" s="194">
        <f>B24+1</f>
        <v>2018</v>
      </c>
      <c r="C25" s="114">
        <v>0</v>
      </c>
      <c r="D25" s="114">
        <v>0</v>
      </c>
      <c r="E25" s="114">
        <v>0</v>
      </c>
      <c r="F25" s="114">
        <v>0</v>
      </c>
      <c r="G25" s="114">
        <v>0</v>
      </c>
      <c r="H25" s="212">
        <f>SUM(C25:G25)</f>
        <v>0</v>
      </c>
      <c r="J25" s="239"/>
      <c r="K25" s="194"/>
      <c r="N25" s="183" t="s">
        <v>282</v>
      </c>
      <c r="O25" s="183" t="s">
        <v>32</v>
      </c>
      <c r="P25" s="183"/>
      <c r="Q25" s="219">
        <f>G83</f>
        <v>0.2</v>
      </c>
    </row>
    <row r="26" spans="2:25" ht="21.9" customHeight="1" x14ac:dyDescent="0.25">
      <c r="B26" s="194">
        <f t="shared" ref="B26:B28" si="3">B25+1</f>
        <v>2019</v>
      </c>
      <c r="C26" s="114">
        <v>0</v>
      </c>
      <c r="D26" s="114">
        <v>0</v>
      </c>
      <c r="E26" s="114">
        <v>0</v>
      </c>
      <c r="F26" s="114">
        <v>0</v>
      </c>
      <c r="G26" s="114">
        <v>0</v>
      </c>
      <c r="H26" s="212">
        <f t="shared" ref="H26:H28" si="4">SUM(C26:G26)</f>
        <v>0</v>
      </c>
      <c r="J26" s="239"/>
      <c r="K26" s="194"/>
      <c r="O26" t="s">
        <v>33</v>
      </c>
      <c r="Q26" s="220">
        <f>SUM(D83:F83)</f>
        <v>0.6</v>
      </c>
    </row>
    <row r="27" spans="2:25" ht="21.9" customHeight="1" x14ac:dyDescent="0.25">
      <c r="B27" s="194">
        <f t="shared" si="3"/>
        <v>2020</v>
      </c>
      <c r="C27" s="114">
        <v>0</v>
      </c>
      <c r="D27" s="114">
        <v>0</v>
      </c>
      <c r="E27" s="114">
        <v>0</v>
      </c>
      <c r="F27" s="114">
        <v>0</v>
      </c>
      <c r="G27" s="114">
        <v>0</v>
      </c>
      <c r="H27" s="212">
        <f t="shared" si="4"/>
        <v>0</v>
      </c>
      <c r="J27" s="239"/>
      <c r="K27" s="194"/>
      <c r="O27" t="s">
        <v>30</v>
      </c>
      <c r="Q27" s="220">
        <f>C83</f>
        <v>0.2</v>
      </c>
    </row>
    <row r="28" spans="2:25" ht="21.9" customHeight="1" x14ac:dyDescent="0.25">
      <c r="B28" s="194">
        <f t="shared" si="3"/>
        <v>2021</v>
      </c>
      <c r="C28" s="122">
        <v>0</v>
      </c>
      <c r="D28" s="122">
        <v>0</v>
      </c>
      <c r="E28" s="122">
        <v>0</v>
      </c>
      <c r="F28" s="122">
        <v>0</v>
      </c>
      <c r="G28" s="122">
        <v>0</v>
      </c>
      <c r="H28" s="212">
        <f t="shared" si="4"/>
        <v>0</v>
      </c>
      <c r="I28" s="191"/>
      <c r="J28" s="239"/>
      <c r="K28" s="201" t="s">
        <v>375</v>
      </c>
      <c r="L28" s="183"/>
      <c r="M28" s="183"/>
      <c r="N28" s="183" t="s">
        <v>484</v>
      </c>
      <c r="O28" s="183" t="s">
        <v>23</v>
      </c>
      <c r="P28" s="183"/>
      <c r="Q28" s="222">
        <f>H17</f>
        <v>4</v>
      </c>
    </row>
    <row r="29" spans="2:25" ht="21.9" customHeight="1" x14ac:dyDescent="0.25">
      <c r="B29" s="213" t="s">
        <v>181</v>
      </c>
      <c r="C29" s="123">
        <f>SUM(C24:C28)</f>
        <v>0</v>
      </c>
      <c r="D29" s="123">
        <f t="shared" ref="D29:F29" si="5">SUM(D24:D28)</f>
        <v>0</v>
      </c>
      <c r="E29" s="123">
        <f t="shared" si="5"/>
        <v>0</v>
      </c>
      <c r="F29" s="123">
        <f t="shared" si="5"/>
        <v>0</v>
      </c>
      <c r="G29" s="123">
        <f>SUM(G24:G28)</f>
        <v>0</v>
      </c>
      <c r="H29" s="214">
        <f t="shared" ref="H29" si="6">SUM(H24:H28)</f>
        <v>0</v>
      </c>
      <c r="J29" s="239"/>
      <c r="K29" s="196" t="s">
        <v>291</v>
      </c>
      <c r="N29" t="s">
        <v>292</v>
      </c>
      <c r="O29" t="s">
        <v>23</v>
      </c>
      <c r="Q29" s="206">
        <f>H30</f>
        <v>0</v>
      </c>
    </row>
    <row r="30" spans="2:25" ht="21.9" customHeight="1" x14ac:dyDescent="0.25">
      <c r="B30" s="196" t="s">
        <v>85</v>
      </c>
      <c r="C30" s="143">
        <f>AVERAGE(C24:C28)</f>
        <v>0</v>
      </c>
      <c r="D30" s="143">
        <f t="shared" ref="D30:H30" si="7">AVERAGE(D24:D28)</f>
        <v>0</v>
      </c>
      <c r="E30" s="143">
        <f t="shared" si="7"/>
        <v>0</v>
      </c>
      <c r="F30" s="143">
        <f t="shared" si="7"/>
        <v>0</v>
      </c>
      <c r="G30" s="143">
        <f t="shared" si="7"/>
        <v>0</v>
      </c>
      <c r="H30" s="212">
        <f t="shared" si="7"/>
        <v>0</v>
      </c>
      <c r="J30" s="239"/>
      <c r="K30" s="196"/>
      <c r="N30" t="s">
        <v>320</v>
      </c>
      <c r="O30" t="s">
        <v>23</v>
      </c>
      <c r="Q30" s="206">
        <f>H43</f>
        <v>0.2</v>
      </c>
    </row>
    <row r="31" spans="2:25" ht="21.9" customHeight="1" thickBot="1" x14ac:dyDescent="0.3">
      <c r="B31" s="208" t="s">
        <v>201</v>
      </c>
      <c r="C31" s="1050" t="e">
        <f>C30/$H30</f>
        <v>#DIV/0!</v>
      </c>
      <c r="D31" s="1050" t="e">
        <f>D30/$H30</f>
        <v>#DIV/0!</v>
      </c>
      <c r="E31" s="1050" t="e">
        <f>E30/$H30</f>
        <v>#DIV/0!</v>
      </c>
      <c r="F31" s="1050" t="e">
        <f>F30/$H30</f>
        <v>#DIV/0!</v>
      </c>
      <c r="G31" s="1050" t="e">
        <f>G30/$H30</f>
        <v>#DIV/0!</v>
      </c>
      <c r="H31" s="1051">
        <f>H29/($H$16+$H$42+$H$55+$H$81+$H$68)</f>
        <v>0</v>
      </c>
      <c r="J31" s="239"/>
      <c r="K31" s="194"/>
      <c r="N31" t="s">
        <v>308</v>
      </c>
      <c r="O31" t="s">
        <v>23</v>
      </c>
      <c r="Q31" s="206">
        <f>H56</f>
        <v>0</v>
      </c>
      <c r="W31" t="s">
        <v>694</v>
      </c>
    </row>
    <row r="32" spans="2:25" ht="21.9" customHeight="1" x14ac:dyDescent="0.25">
      <c r="J32" s="239"/>
      <c r="K32" s="196"/>
      <c r="N32" t="s">
        <v>487</v>
      </c>
      <c r="O32" t="s">
        <v>23</v>
      </c>
      <c r="Q32" s="359">
        <f>H69</f>
        <v>4.5999999999999996</v>
      </c>
      <c r="W32" s="178" t="s">
        <v>692</v>
      </c>
      <c r="X32" s="178" t="s">
        <v>693</v>
      </c>
      <c r="Y32" s="178" t="s">
        <v>30</v>
      </c>
    </row>
    <row r="33" spans="2:27" ht="21.9" customHeight="1" thickBot="1" x14ac:dyDescent="0.3">
      <c r="J33" s="239"/>
      <c r="K33" s="198"/>
      <c r="L33" s="199"/>
      <c r="M33" s="199"/>
      <c r="N33" s="199" t="s">
        <v>282</v>
      </c>
      <c r="O33" s="199" t="s">
        <v>23</v>
      </c>
      <c r="P33" s="199"/>
      <c r="Q33" s="207">
        <f>H82</f>
        <v>1</v>
      </c>
      <c r="W33" s="178">
        <f>SUM(G29,G42,G55,G68,G81,G16)</f>
        <v>1</v>
      </c>
      <c r="X33" s="178">
        <f>SUM(D16:F16,D29:F29,D42:F42,D55:F55,D68:F68,D81:F81)</f>
        <v>26</v>
      </c>
      <c r="Y33" s="178">
        <f>SUM(C16,C29,C42,C55,C68,C81)</f>
        <v>22</v>
      </c>
      <c r="AA33">
        <f>SUM(W33:Y33)</f>
        <v>49</v>
      </c>
    </row>
    <row r="34" spans="2:27" ht="21.9" customHeight="1" thickBot="1" x14ac:dyDescent="0.3">
      <c r="B34" s="191" t="s">
        <v>400</v>
      </c>
      <c r="J34" s="239"/>
    </row>
    <row r="35" spans="2:27" ht="21.9" customHeight="1" x14ac:dyDescent="0.25">
      <c r="B35" s="1349" t="s">
        <v>10</v>
      </c>
      <c r="C35" s="1351" t="s">
        <v>184</v>
      </c>
      <c r="D35" s="1351"/>
      <c r="E35" s="1351"/>
      <c r="F35" s="1351"/>
      <c r="G35" s="1351"/>
      <c r="H35" s="1345" t="s">
        <v>25</v>
      </c>
      <c r="J35" s="239"/>
    </row>
    <row r="36" spans="2:27" ht="21.9" customHeight="1" x14ac:dyDescent="0.25">
      <c r="B36" s="1350"/>
      <c r="C36" s="46">
        <v>1</v>
      </c>
      <c r="D36" s="46">
        <v>2</v>
      </c>
      <c r="E36" s="46">
        <v>3</v>
      </c>
      <c r="F36" s="46">
        <v>4</v>
      </c>
      <c r="G36" s="46">
        <v>5</v>
      </c>
      <c r="H36" s="1352"/>
      <c r="J36" s="239"/>
    </row>
    <row r="37" spans="2:27" ht="21.9" customHeight="1" x14ac:dyDescent="0.25">
      <c r="B37" s="211">
        <v>2017</v>
      </c>
      <c r="C37" s="217">
        <v>0</v>
      </c>
      <c r="D37" s="217">
        <v>0</v>
      </c>
      <c r="E37" s="217">
        <v>0</v>
      </c>
      <c r="F37" s="217">
        <v>0</v>
      </c>
      <c r="G37" s="217">
        <v>0</v>
      </c>
      <c r="H37" s="218">
        <f>SUM(C37:G37)</f>
        <v>0</v>
      </c>
      <c r="J37" s="239"/>
    </row>
    <row r="38" spans="2:27" ht="21.9" customHeight="1" x14ac:dyDescent="0.25">
      <c r="B38" s="194">
        <f>B37+1</f>
        <v>2018</v>
      </c>
      <c r="C38" s="114">
        <v>0</v>
      </c>
      <c r="D38" s="114">
        <v>0</v>
      </c>
      <c r="E38" s="114">
        <v>0</v>
      </c>
      <c r="F38" s="114">
        <v>0</v>
      </c>
      <c r="G38" s="114">
        <v>0</v>
      </c>
      <c r="H38" s="212">
        <f>SUM(C38:G38)</f>
        <v>0</v>
      </c>
      <c r="J38" s="239"/>
    </row>
    <row r="39" spans="2:27" ht="21.9" customHeight="1" x14ac:dyDescent="0.25">
      <c r="B39" s="194">
        <f t="shared" ref="B39:B41" si="8">B38+1</f>
        <v>2019</v>
      </c>
      <c r="C39" s="114">
        <v>0</v>
      </c>
      <c r="D39" s="114">
        <v>0</v>
      </c>
      <c r="E39" s="114">
        <v>1</v>
      </c>
      <c r="F39" s="114">
        <v>0</v>
      </c>
      <c r="G39" s="114">
        <v>0</v>
      </c>
      <c r="H39" s="212">
        <f t="shared" ref="H39:H41" si="9">SUM(C39:G39)</f>
        <v>1</v>
      </c>
      <c r="J39" s="239"/>
      <c r="N39" s="236"/>
      <c r="O39" s="236"/>
      <c r="P39" s="1355"/>
    </row>
    <row r="40" spans="2:27" ht="21.9" customHeight="1" x14ac:dyDescent="0.25">
      <c r="B40" s="194">
        <f t="shared" si="8"/>
        <v>2020</v>
      </c>
      <c r="C40" s="114">
        <v>0</v>
      </c>
      <c r="D40" s="114">
        <v>0</v>
      </c>
      <c r="E40" s="114">
        <v>0</v>
      </c>
      <c r="F40" s="114">
        <v>0</v>
      </c>
      <c r="G40" s="114">
        <v>0</v>
      </c>
      <c r="H40" s="212">
        <f t="shared" si="9"/>
        <v>0</v>
      </c>
      <c r="J40" s="239"/>
      <c r="N40" s="236"/>
      <c r="O40" s="236"/>
      <c r="P40" s="1355"/>
    </row>
    <row r="41" spans="2:27" ht="21.9" customHeight="1" x14ac:dyDescent="0.25">
      <c r="B41" s="194">
        <f t="shared" si="8"/>
        <v>2021</v>
      </c>
      <c r="C41" s="122">
        <v>0</v>
      </c>
      <c r="D41" s="122">
        <v>0</v>
      </c>
      <c r="E41" s="122">
        <v>0</v>
      </c>
      <c r="F41" s="122">
        <v>0</v>
      </c>
      <c r="G41" s="122">
        <v>0</v>
      </c>
      <c r="H41" s="212">
        <f t="shared" si="9"/>
        <v>0</v>
      </c>
      <c r="J41" s="239"/>
      <c r="K41" s="236"/>
      <c r="L41" s="236"/>
      <c r="M41" s="236"/>
      <c r="N41" s="114"/>
      <c r="O41" s="114"/>
      <c r="P41" s="237"/>
    </row>
    <row r="42" spans="2:27" ht="21.9" customHeight="1" x14ac:dyDescent="0.25">
      <c r="B42" s="213" t="s">
        <v>181</v>
      </c>
      <c r="C42" s="123">
        <f>SUM(C37:C41)</f>
        <v>0</v>
      </c>
      <c r="D42" s="123">
        <f t="shared" ref="D42:F42" si="10">SUM(D37:D41)</f>
        <v>0</v>
      </c>
      <c r="E42" s="123">
        <f t="shared" si="10"/>
        <v>1</v>
      </c>
      <c r="F42" s="123">
        <f t="shared" si="10"/>
        <v>0</v>
      </c>
      <c r="G42" s="123">
        <f>SUM(G37:G41)</f>
        <v>0</v>
      </c>
      <c r="H42" s="214">
        <f t="shared" ref="H42" si="11">SUM(H37:H41)</f>
        <v>1</v>
      </c>
      <c r="J42" s="239"/>
      <c r="K42" s="236"/>
      <c r="L42" s="236"/>
      <c r="M42" s="236"/>
    </row>
    <row r="43" spans="2:27" ht="21.9" customHeight="1" x14ac:dyDescent="0.25">
      <c r="B43" s="196" t="s">
        <v>85</v>
      </c>
      <c r="C43" s="143">
        <f>AVERAGE(C37:C41)</f>
        <v>0</v>
      </c>
      <c r="D43" s="143">
        <f t="shared" ref="D43:G43" si="12">AVERAGE(D37:D41)</f>
        <v>0</v>
      </c>
      <c r="E43" s="143">
        <f t="shared" si="12"/>
        <v>0.2</v>
      </c>
      <c r="F43" s="143">
        <f t="shared" si="12"/>
        <v>0</v>
      </c>
      <c r="G43" s="143">
        <f t="shared" si="12"/>
        <v>0</v>
      </c>
      <c r="H43" s="212">
        <f>AVERAGE(H37:H41)</f>
        <v>0.2</v>
      </c>
      <c r="J43" s="239"/>
      <c r="K43" s="114"/>
      <c r="L43" s="114"/>
      <c r="M43" s="114"/>
    </row>
    <row r="44" spans="2:27" ht="21.9" customHeight="1" thickBot="1" x14ac:dyDescent="0.3">
      <c r="B44" s="208" t="s">
        <v>201</v>
      </c>
      <c r="C44" s="215">
        <f>C43/$H43</f>
        <v>0</v>
      </c>
      <c r="D44" s="215">
        <f>D43/$H43</f>
        <v>0</v>
      </c>
      <c r="E44" s="215">
        <f>E43/$H43</f>
        <v>1</v>
      </c>
      <c r="F44" s="215">
        <f>F43/$H43</f>
        <v>0</v>
      </c>
      <c r="G44" s="215">
        <f>G43/$H43</f>
        <v>0</v>
      </c>
      <c r="H44" s="216">
        <f>H42/($H$16+$H$42+$H$55+$H$81+$H$68)</f>
        <v>2.0408163265306121E-2</v>
      </c>
      <c r="J44" s="239"/>
    </row>
    <row r="46" spans="2:27" ht="21.9" customHeight="1" x14ac:dyDescent="0.25">
      <c r="J46" s="192"/>
    </row>
    <row r="47" spans="2:27" ht="21.9" customHeight="1" thickBot="1" x14ac:dyDescent="0.3">
      <c r="B47" s="192" t="s">
        <v>401</v>
      </c>
      <c r="J47" s="1359"/>
    </row>
    <row r="48" spans="2:27" ht="21.9" customHeight="1" x14ac:dyDescent="0.25">
      <c r="B48" s="1353" t="s">
        <v>10</v>
      </c>
      <c r="C48" s="1356" t="s">
        <v>184</v>
      </c>
      <c r="D48" s="1356"/>
      <c r="E48" s="1356"/>
      <c r="F48" s="1356"/>
      <c r="G48" s="1356"/>
      <c r="H48" s="1357" t="s">
        <v>25</v>
      </c>
      <c r="J48" s="1359"/>
    </row>
    <row r="49" spans="2:10" ht="21.9" customHeight="1" x14ac:dyDescent="0.25">
      <c r="B49" s="1354"/>
      <c r="C49" s="236">
        <v>1</v>
      </c>
      <c r="D49" s="236">
        <v>2</v>
      </c>
      <c r="E49" s="236">
        <v>3</v>
      </c>
      <c r="F49" s="236">
        <v>4</v>
      </c>
      <c r="G49" s="236">
        <v>5</v>
      </c>
      <c r="H49" s="1358"/>
    </row>
    <row r="50" spans="2:10" ht="21.9" customHeight="1" x14ac:dyDescent="0.25">
      <c r="B50" s="211">
        <v>2017</v>
      </c>
      <c r="C50" s="217">
        <v>0</v>
      </c>
      <c r="D50" s="217">
        <v>0</v>
      </c>
      <c r="E50" s="217">
        <v>0</v>
      </c>
      <c r="F50" s="217">
        <v>0</v>
      </c>
      <c r="G50" s="217">
        <v>0</v>
      </c>
      <c r="H50" s="218">
        <f>SUM(C50:G50)</f>
        <v>0</v>
      </c>
    </row>
    <row r="51" spans="2:10" ht="21.9" customHeight="1" x14ac:dyDescent="0.25">
      <c r="B51" s="194">
        <f>B50+1</f>
        <v>2018</v>
      </c>
      <c r="C51" s="114">
        <v>0</v>
      </c>
      <c r="D51" s="114">
        <v>0</v>
      </c>
      <c r="E51" s="114">
        <v>0</v>
      </c>
      <c r="F51" s="114">
        <v>0</v>
      </c>
      <c r="G51" s="114">
        <v>0</v>
      </c>
      <c r="H51" s="212">
        <f>SUM(C51:G51)</f>
        <v>0</v>
      </c>
    </row>
    <row r="52" spans="2:10" ht="21.9" customHeight="1" x14ac:dyDescent="0.25">
      <c r="B52" s="194">
        <f t="shared" ref="B52:B54" si="13">B51+1</f>
        <v>2019</v>
      </c>
      <c r="C52" s="114">
        <v>0</v>
      </c>
      <c r="D52" s="114">
        <v>0</v>
      </c>
      <c r="E52" s="114">
        <v>0</v>
      </c>
      <c r="F52" s="114">
        <v>0</v>
      </c>
      <c r="G52" s="114">
        <v>0</v>
      </c>
      <c r="H52" s="212">
        <f t="shared" ref="H52:H54" si="14">SUM(C52:G52)</f>
        <v>0</v>
      </c>
    </row>
    <row r="53" spans="2:10" ht="21.9" customHeight="1" x14ac:dyDescent="0.25">
      <c r="B53" s="194">
        <f t="shared" si="13"/>
        <v>2020</v>
      </c>
      <c r="C53" s="114">
        <v>0</v>
      </c>
      <c r="D53" s="114">
        <v>0</v>
      </c>
      <c r="E53" s="114">
        <v>0</v>
      </c>
      <c r="F53" s="114">
        <v>0</v>
      </c>
      <c r="G53" s="114">
        <v>0</v>
      </c>
      <c r="H53" s="212">
        <f t="shared" si="14"/>
        <v>0</v>
      </c>
    </row>
    <row r="54" spans="2:10" ht="21.9" customHeight="1" x14ac:dyDescent="0.25">
      <c r="B54" s="194">
        <f t="shared" si="13"/>
        <v>2021</v>
      </c>
      <c r="C54" s="122">
        <v>0</v>
      </c>
      <c r="D54" s="122">
        <v>0</v>
      </c>
      <c r="E54" s="122">
        <v>0</v>
      </c>
      <c r="F54" s="122">
        <v>0</v>
      </c>
      <c r="G54" s="122">
        <v>0</v>
      </c>
      <c r="H54" s="212">
        <f t="shared" si="14"/>
        <v>0</v>
      </c>
      <c r="J54" s="1"/>
    </row>
    <row r="55" spans="2:10" ht="21.9" customHeight="1" x14ac:dyDescent="0.25">
      <c r="B55" s="213" t="s">
        <v>181</v>
      </c>
      <c r="C55" s="123">
        <f>SUM(C50:C54)</f>
        <v>0</v>
      </c>
      <c r="D55" s="123">
        <f t="shared" ref="D55" si="15">SUM(D50:D54)</f>
        <v>0</v>
      </c>
      <c r="E55" s="123">
        <f t="shared" ref="E55" si="16">SUM(E50:E54)</f>
        <v>0</v>
      </c>
      <c r="F55" s="123">
        <f t="shared" ref="F55" si="17">SUM(F50:F54)</f>
        <v>0</v>
      </c>
      <c r="G55" s="123">
        <f>SUM(G50:G54)</f>
        <v>0</v>
      </c>
      <c r="H55" s="214">
        <f t="shared" ref="H55" si="18">SUM(H50:H54)</f>
        <v>0</v>
      </c>
      <c r="J55" s="1"/>
    </row>
    <row r="56" spans="2:10" ht="21.9" customHeight="1" x14ac:dyDescent="0.25">
      <c r="B56" s="196" t="s">
        <v>85</v>
      </c>
      <c r="C56" s="143">
        <f>AVERAGE(C50:C54)</f>
        <v>0</v>
      </c>
      <c r="D56" s="143">
        <f t="shared" ref="D56:H56" si="19">AVERAGE(D50:D54)</f>
        <v>0</v>
      </c>
      <c r="E56" s="143">
        <f t="shared" si="19"/>
        <v>0</v>
      </c>
      <c r="F56" s="143">
        <f t="shared" si="19"/>
        <v>0</v>
      </c>
      <c r="G56" s="143">
        <f t="shared" si="19"/>
        <v>0</v>
      </c>
      <c r="H56" s="212">
        <f t="shared" si="19"/>
        <v>0</v>
      </c>
      <c r="J56" s="1"/>
    </row>
    <row r="57" spans="2:10" ht="21.9" customHeight="1" thickBot="1" x14ac:dyDescent="0.3">
      <c r="B57" s="208" t="s">
        <v>201</v>
      </c>
      <c r="C57" s="1050" t="e">
        <f>C56/$H56</f>
        <v>#DIV/0!</v>
      </c>
      <c r="D57" s="1050" t="e">
        <f>D56/$H56</f>
        <v>#DIV/0!</v>
      </c>
      <c r="E57" s="1050" t="e">
        <f>E56/$H56</f>
        <v>#DIV/0!</v>
      </c>
      <c r="F57" s="1050" t="e">
        <f>F56/$H56</f>
        <v>#DIV/0!</v>
      </c>
      <c r="G57" s="1050" t="e">
        <f>G56/$H56</f>
        <v>#DIV/0!</v>
      </c>
      <c r="H57" s="1051">
        <f>H55/($H$16+ $H$42+$H$55+$H$81+$H$68)</f>
        <v>0</v>
      </c>
    </row>
    <row r="60" spans="2:10" ht="21.9" customHeight="1" thickBot="1" x14ac:dyDescent="0.3">
      <c r="B60" s="191" t="s">
        <v>688</v>
      </c>
    </row>
    <row r="61" spans="2:10" ht="21.9" customHeight="1" x14ac:dyDescent="0.25">
      <c r="B61" s="1349" t="s">
        <v>10</v>
      </c>
      <c r="C61" s="1351" t="s">
        <v>184</v>
      </c>
      <c r="D61" s="1351"/>
      <c r="E61" s="1351"/>
      <c r="F61" s="1351"/>
      <c r="G61" s="1351"/>
      <c r="H61" s="1345" t="s">
        <v>25</v>
      </c>
    </row>
    <row r="62" spans="2:10" ht="21.9" customHeight="1" x14ac:dyDescent="0.25">
      <c r="B62" s="1350"/>
      <c r="C62" s="121">
        <v>1</v>
      </c>
      <c r="D62" s="121">
        <v>2</v>
      </c>
      <c r="E62" s="121">
        <v>3</v>
      </c>
      <c r="F62" s="121">
        <v>4</v>
      </c>
      <c r="G62" s="121">
        <v>5</v>
      </c>
      <c r="H62" s="1352"/>
    </row>
    <row r="63" spans="2:10" ht="21.9" customHeight="1" x14ac:dyDescent="0.25">
      <c r="B63" s="211">
        <v>2017</v>
      </c>
      <c r="C63" s="217">
        <v>4</v>
      </c>
      <c r="D63" s="217">
        <v>0</v>
      </c>
      <c r="E63" s="217">
        <v>0</v>
      </c>
      <c r="F63" s="217">
        <v>0</v>
      </c>
      <c r="G63" s="217">
        <v>0</v>
      </c>
      <c r="H63" s="218">
        <f>SUM(C63:G63)</f>
        <v>4</v>
      </c>
    </row>
    <row r="64" spans="2:10" ht="21.9" customHeight="1" x14ac:dyDescent="0.25">
      <c r="B64" s="194">
        <f>B63+1</f>
        <v>2018</v>
      </c>
      <c r="C64" s="114">
        <v>3</v>
      </c>
      <c r="D64" s="114">
        <v>1</v>
      </c>
      <c r="E64" s="114">
        <v>2</v>
      </c>
      <c r="F64" s="114">
        <v>0</v>
      </c>
      <c r="G64" s="114">
        <v>0</v>
      </c>
      <c r="H64" s="212">
        <f>SUM(C64:G64)</f>
        <v>6</v>
      </c>
    </row>
    <row r="65" spans="2:8" ht="21.9" customHeight="1" x14ac:dyDescent="0.25">
      <c r="B65" s="194">
        <f>B64+1</f>
        <v>2019</v>
      </c>
      <c r="C65" s="114">
        <v>2</v>
      </c>
      <c r="D65" s="114">
        <v>1</v>
      </c>
      <c r="E65" s="114">
        <v>0</v>
      </c>
      <c r="F65" s="114">
        <v>0</v>
      </c>
      <c r="G65" s="114">
        <v>0</v>
      </c>
      <c r="H65" s="212">
        <f>SUM(C65:G65)</f>
        <v>3</v>
      </c>
    </row>
    <row r="66" spans="2:8" ht="21.9" customHeight="1" x14ac:dyDescent="0.25">
      <c r="B66" s="194">
        <f>B65+1</f>
        <v>2020</v>
      </c>
      <c r="C66" s="114">
        <v>2</v>
      </c>
      <c r="D66" s="114">
        <v>4</v>
      </c>
      <c r="E66" s="114">
        <v>0</v>
      </c>
      <c r="F66" s="114">
        <v>0</v>
      </c>
      <c r="G66" s="114">
        <v>0</v>
      </c>
      <c r="H66" s="212">
        <f>SUM(C66:G66)</f>
        <v>6</v>
      </c>
    </row>
    <row r="67" spans="2:8" ht="21.9" customHeight="1" x14ac:dyDescent="0.25">
      <c r="B67" s="194">
        <f>B66+1</f>
        <v>2021</v>
      </c>
      <c r="C67" s="122">
        <v>1</v>
      </c>
      <c r="D67" s="122">
        <v>1</v>
      </c>
      <c r="E67" s="122">
        <v>2</v>
      </c>
      <c r="F67" s="122">
        <v>0</v>
      </c>
      <c r="G67" s="122">
        <v>0</v>
      </c>
      <c r="H67" s="212">
        <f>SUM(C67:G67)</f>
        <v>4</v>
      </c>
    </row>
    <row r="68" spans="2:8" ht="21.9" customHeight="1" x14ac:dyDescent="0.25">
      <c r="B68" s="213" t="s">
        <v>181</v>
      </c>
      <c r="C68" s="123">
        <f t="shared" ref="C68:H68" si="20">SUM(C63:C67)</f>
        <v>12</v>
      </c>
      <c r="D68" s="123">
        <f t="shared" si="20"/>
        <v>7</v>
      </c>
      <c r="E68" s="123">
        <f t="shared" si="20"/>
        <v>4</v>
      </c>
      <c r="F68" s="123">
        <f t="shared" si="20"/>
        <v>0</v>
      </c>
      <c r="G68" s="123">
        <f t="shared" si="20"/>
        <v>0</v>
      </c>
      <c r="H68" s="214">
        <f t="shared" si="20"/>
        <v>23</v>
      </c>
    </row>
    <row r="69" spans="2:8" ht="21.9" customHeight="1" x14ac:dyDescent="0.25">
      <c r="B69" s="196" t="s">
        <v>85</v>
      </c>
      <c r="C69" s="143">
        <f t="shared" ref="C69:H69" si="21">AVERAGE(C63:C67)</f>
        <v>2.4</v>
      </c>
      <c r="D69" s="143">
        <f t="shared" si="21"/>
        <v>1.4</v>
      </c>
      <c r="E69" s="143">
        <f t="shared" si="21"/>
        <v>0.8</v>
      </c>
      <c r="F69" s="143">
        <f t="shared" si="21"/>
        <v>0</v>
      </c>
      <c r="G69" s="143">
        <f t="shared" si="21"/>
        <v>0</v>
      </c>
      <c r="H69" s="212">
        <f t="shared" si="21"/>
        <v>4.5999999999999996</v>
      </c>
    </row>
    <row r="70" spans="2:8" ht="21.9" customHeight="1" thickBot="1" x14ac:dyDescent="0.3">
      <c r="B70" s="208" t="s">
        <v>201</v>
      </c>
      <c r="C70" s="215">
        <f>C69/$H69</f>
        <v>0.52173913043478259</v>
      </c>
      <c r="D70" s="215">
        <f>D69/$H69</f>
        <v>0.30434782608695654</v>
      </c>
      <c r="E70" s="215">
        <f>E69/$H69</f>
        <v>0.17391304347826089</v>
      </c>
      <c r="F70" s="215">
        <f>F69/$H69</f>
        <v>0</v>
      </c>
      <c r="G70" s="215">
        <f>G69/$H69</f>
        <v>0</v>
      </c>
      <c r="H70" s="216" t="e">
        <f>H68/($H$16 +#REF!+$H$42+$H$55+$H$81+$H$68)</f>
        <v>#REF!</v>
      </c>
    </row>
    <row r="73" spans="2:8" ht="21.9" customHeight="1" thickBot="1" x14ac:dyDescent="0.3">
      <c r="B73" s="191" t="s">
        <v>403</v>
      </c>
    </row>
    <row r="74" spans="2:8" ht="21.9" customHeight="1" x14ac:dyDescent="0.25">
      <c r="B74" s="1347" t="s">
        <v>10</v>
      </c>
      <c r="C74" s="235" t="s">
        <v>184</v>
      </c>
      <c r="D74" s="235"/>
      <c r="E74" s="235"/>
      <c r="F74" s="235"/>
      <c r="G74" s="235"/>
      <c r="H74" s="1345" t="s">
        <v>25</v>
      </c>
    </row>
    <row r="75" spans="2:8" ht="21.9" customHeight="1" x14ac:dyDescent="0.25">
      <c r="B75" s="1348"/>
      <c r="C75" s="121">
        <v>1</v>
      </c>
      <c r="D75" s="121">
        <v>2</v>
      </c>
      <c r="E75" s="121">
        <v>3</v>
      </c>
      <c r="F75" s="121">
        <v>4</v>
      </c>
      <c r="G75" s="121">
        <v>5</v>
      </c>
      <c r="H75" s="1346"/>
    </row>
    <row r="76" spans="2:8" ht="21.9" customHeight="1" x14ac:dyDescent="0.25">
      <c r="B76" s="211">
        <v>2017</v>
      </c>
      <c r="C76" s="217">
        <v>0</v>
      </c>
      <c r="D76" s="217">
        <v>0</v>
      </c>
      <c r="E76" s="217">
        <v>0</v>
      </c>
      <c r="F76" s="217">
        <v>0</v>
      </c>
      <c r="G76" s="217">
        <v>0</v>
      </c>
      <c r="H76" s="218">
        <f>SUM(C76:G76)</f>
        <v>0</v>
      </c>
    </row>
    <row r="77" spans="2:8" ht="21.9" customHeight="1" x14ac:dyDescent="0.25">
      <c r="B77" s="194">
        <f>B76+1</f>
        <v>2018</v>
      </c>
      <c r="C77" s="114">
        <v>0</v>
      </c>
      <c r="D77" s="114">
        <v>0</v>
      </c>
      <c r="E77" s="114">
        <v>0</v>
      </c>
      <c r="F77" s="114">
        <v>0</v>
      </c>
      <c r="G77" s="114">
        <v>0</v>
      </c>
      <c r="H77" s="212">
        <f>SUM(C77:G77)</f>
        <v>0</v>
      </c>
    </row>
    <row r="78" spans="2:8" ht="21.9" customHeight="1" x14ac:dyDescent="0.25">
      <c r="B78" s="194">
        <f>B77+1</f>
        <v>2019</v>
      </c>
      <c r="C78" s="114">
        <v>0</v>
      </c>
      <c r="D78" s="114">
        <v>0</v>
      </c>
      <c r="E78" s="114">
        <v>1</v>
      </c>
      <c r="F78" s="114">
        <v>0</v>
      </c>
      <c r="G78" s="114">
        <v>0</v>
      </c>
      <c r="H78" s="212">
        <f>SUM(C78:G78)</f>
        <v>1</v>
      </c>
    </row>
    <row r="79" spans="2:8" ht="21.9" customHeight="1" x14ac:dyDescent="0.25">
      <c r="B79" s="194">
        <f>B78+1</f>
        <v>2020</v>
      </c>
      <c r="C79" s="114">
        <v>1</v>
      </c>
      <c r="D79" s="114">
        <v>0</v>
      </c>
      <c r="E79" s="114">
        <v>1</v>
      </c>
      <c r="F79" s="114">
        <v>0</v>
      </c>
      <c r="G79" s="114">
        <v>0</v>
      </c>
      <c r="H79" s="212">
        <f>SUM(C79:G79)</f>
        <v>2</v>
      </c>
    </row>
    <row r="80" spans="2:8" ht="21.9" customHeight="1" x14ac:dyDescent="0.25">
      <c r="B80" s="194">
        <f>B79+1</f>
        <v>2021</v>
      </c>
      <c r="C80" s="122">
        <v>0</v>
      </c>
      <c r="D80" s="122">
        <v>0</v>
      </c>
      <c r="E80" s="122">
        <v>1</v>
      </c>
      <c r="F80" s="122">
        <v>0</v>
      </c>
      <c r="G80" s="122">
        <v>1</v>
      </c>
      <c r="H80" s="212">
        <f>SUM(C80:G80)</f>
        <v>2</v>
      </c>
    </row>
    <row r="81" spans="2:8" ht="21.9" customHeight="1" x14ac:dyDescent="0.25">
      <c r="B81" s="213" t="s">
        <v>181</v>
      </c>
      <c r="C81" s="123">
        <f t="shared" ref="C81:H81" si="22">SUM(C76:C80)</f>
        <v>1</v>
      </c>
      <c r="D81" s="123">
        <f t="shared" si="22"/>
        <v>0</v>
      </c>
      <c r="E81" s="123">
        <f t="shared" si="22"/>
        <v>3</v>
      </c>
      <c r="F81" s="123">
        <f t="shared" si="22"/>
        <v>0</v>
      </c>
      <c r="G81" s="123">
        <f t="shared" si="22"/>
        <v>1</v>
      </c>
      <c r="H81" s="214">
        <f t="shared" si="22"/>
        <v>5</v>
      </c>
    </row>
    <row r="82" spans="2:8" ht="21.9" customHeight="1" x14ac:dyDescent="0.25">
      <c r="B82" s="196" t="s">
        <v>85</v>
      </c>
      <c r="C82" s="143">
        <f t="shared" ref="C82:H82" si="23">AVERAGE(C76:C80)</f>
        <v>0.2</v>
      </c>
      <c r="D82" s="143">
        <f t="shared" si="23"/>
        <v>0</v>
      </c>
      <c r="E82" s="143">
        <f t="shared" si="23"/>
        <v>0.6</v>
      </c>
      <c r="F82" s="143">
        <f t="shared" si="23"/>
        <v>0</v>
      </c>
      <c r="G82" s="143">
        <f t="shared" si="23"/>
        <v>0.2</v>
      </c>
      <c r="H82" s="212">
        <f t="shared" si="23"/>
        <v>1</v>
      </c>
    </row>
    <row r="83" spans="2:8" ht="21.9" customHeight="1" thickBot="1" x14ac:dyDescent="0.3">
      <c r="B83" s="208" t="s">
        <v>201</v>
      </c>
      <c r="C83" s="215">
        <f>C82/$H82</f>
        <v>0.2</v>
      </c>
      <c r="D83" s="215">
        <f>D82/$H82</f>
        <v>0</v>
      </c>
      <c r="E83" s="215">
        <f>E82/$H82</f>
        <v>0.6</v>
      </c>
      <c r="F83" s="215">
        <f>F82/$H82</f>
        <v>0</v>
      </c>
      <c r="G83" s="215">
        <f>G82/$H82</f>
        <v>0.2</v>
      </c>
      <c r="H83" s="216">
        <f>H81/($H$16+ $H$42+$H$55+$H$81+$H$68)</f>
        <v>0.10204081632653061</v>
      </c>
    </row>
  </sheetData>
  <mergeCells count="20">
    <mergeCell ref="P39:P40"/>
    <mergeCell ref="C22:G22"/>
    <mergeCell ref="H22:H23"/>
    <mergeCell ref="J47:J48"/>
    <mergeCell ref="B2:D2"/>
    <mergeCell ref="C48:G48"/>
    <mergeCell ref="H48:H49"/>
    <mergeCell ref="B9:B10"/>
    <mergeCell ref="C9:G9"/>
    <mergeCell ref="H9:H10"/>
    <mergeCell ref="B22:B23"/>
    <mergeCell ref="H74:H75"/>
    <mergeCell ref="B74:B75"/>
    <mergeCell ref="B35:B36"/>
    <mergeCell ref="C35:G35"/>
    <mergeCell ref="H35:H36"/>
    <mergeCell ref="B48:B49"/>
    <mergeCell ref="B61:B62"/>
    <mergeCell ref="C61:G61"/>
    <mergeCell ref="H61:H62"/>
  </mergeCells>
  <hyperlinks>
    <hyperlink ref="B2" location="Emissions!A1" display="Back to Emissions Tab" xr:uid="{1E0B82D1-0EFD-4BE2-A756-EA33154C2AED}"/>
    <hyperlink ref="B2:D2" location="Safety!A1" display="Back to Safety Tab" xr:uid="{2B991986-226B-4A03-902D-CBD5563A3759}"/>
  </hyperlink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9D706-1525-4014-A332-80125F7C9569}">
  <sheetPr>
    <tabColor theme="4" tint="0.59999389629810485"/>
  </sheetPr>
  <dimension ref="A2:DA91"/>
  <sheetViews>
    <sheetView topLeftCell="AA29" zoomScale="60" zoomScaleNormal="60" workbookViewId="0">
      <selection activeCell="AO73" sqref="AO73"/>
    </sheetView>
  </sheetViews>
  <sheetFormatPr defaultColWidth="10.59765625" defaultRowHeight="21.9" customHeight="1" x14ac:dyDescent="0.25"/>
  <cols>
    <col min="1" max="1" width="3.3984375" customWidth="1"/>
    <col min="2" max="2" width="13.69921875" customWidth="1"/>
    <col min="3" max="3" width="16.69921875" customWidth="1"/>
    <col min="4" max="4" width="23.09765625" bestFit="1" customWidth="1"/>
    <col min="5" max="5" width="24.09765625" style="12" bestFit="1" customWidth="1"/>
    <col min="6" max="6" width="13.09765625" style="12" hidden="1" customWidth="1"/>
    <col min="7" max="59" width="13.09765625" style="12" customWidth="1"/>
    <col min="60" max="60" width="17.59765625" style="12" customWidth="1"/>
    <col min="61" max="86" width="13.09765625" style="12" customWidth="1"/>
    <col min="87" max="87" width="17.09765625" style="12" customWidth="1"/>
    <col min="88" max="92" width="13.09765625" style="12" customWidth="1"/>
    <col min="93" max="105" width="12.19921875" style="12" customWidth="1"/>
    <col min="106" max="116" width="12.19921875" customWidth="1"/>
  </cols>
  <sheetData>
    <row r="2" spans="1:105" ht="22.8" x14ac:dyDescent="0.25">
      <c r="B2" s="371" t="s">
        <v>8</v>
      </c>
      <c r="C2" s="1129"/>
      <c r="D2" s="106"/>
      <c r="F2" s="496" t="s">
        <v>337</v>
      </c>
    </row>
    <row r="3" spans="1:105" ht="21.9" customHeight="1" x14ac:dyDescent="0.25">
      <c r="J3" s="1112"/>
    </row>
    <row r="4" spans="1:105" ht="21.9" customHeight="1" thickBot="1" x14ac:dyDescent="0.3">
      <c r="A4" s="14"/>
      <c r="B4" s="191" t="s">
        <v>334</v>
      </c>
      <c r="E4"/>
      <c r="F4"/>
      <c r="G4" s="275"/>
      <c r="H4" s="2"/>
      <c r="I4" s="2"/>
      <c r="CL4"/>
      <c r="CM4"/>
      <c r="CN4"/>
    </row>
    <row r="5" spans="1:105" ht="21.6" customHeight="1" x14ac:dyDescent="0.25">
      <c r="B5" s="1362" t="s">
        <v>27</v>
      </c>
      <c r="C5" s="1366" t="s">
        <v>312</v>
      </c>
      <c r="D5" s="1329" t="s">
        <v>18</v>
      </c>
      <c r="E5" s="1329"/>
      <c r="F5" s="1364" t="s">
        <v>338</v>
      </c>
      <c r="G5" s="1364" t="s">
        <v>362</v>
      </c>
      <c r="H5" s="1364" t="s">
        <v>176</v>
      </c>
      <c r="I5" s="1364" t="s">
        <v>327</v>
      </c>
      <c r="J5" s="1371" t="s">
        <v>328</v>
      </c>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3" t="s">
        <v>359</v>
      </c>
      <c r="AK5" s="1377" t="s">
        <v>360</v>
      </c>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8"/>
      <c r="BK5" s="1377" t="s">
        <v>361</v>
      </c>
      <c r="BL5" s="1375"/>
      <c r="BM5" s="1375"/>
      <c r="BN5" s="1375"/>
      <c r="BO5" s="1375"/>
      <c r="BP5" s="1375"/>
      <c r="BQ5" s="1375"/>
      <c r="BR5" s="1375"/>
      <c r="BS5" s="1375"/>
      <c r="BT5" s="1375"/>
      <c r="BU5" s="1375"/>
      <c r="BV5" s="1375"/>
      <c r="BW5" s="1375"/>
      <c r="BX5" s="1375"/>
      <c r="BY5" s="1375"/>
      <c r="BZ5" s="1375"/>
      <c r="CA5" s="1375"/>
      <c r="CB5" s="1375"/>
      <c r="CC5" s="1375"/>
      <c r="CD5" s="1375"/>
      <c r="CE5" s="1375"/>
      <c r="CF5" s="1375"/>
      <c r="CG5" s="1375"/>
      <c r="CH5" s="1375"/>
      <c r="CI5" s="1375"/>
      <c r="CJ5" s="1378"/>
      <c r="CK5" s="1375" t="s">
        <v>329</v>
      </c>
      <c r="CL5" s="1375" t="s">
        <v>330</v>
      </c>
      <c r="CM5" s="1375" t="s">
        <v>331</v>
      </c>
      <c r="CN5" s="1378" t="s">
        <v>332</v>
      </c>
      <c r="DA5"/>
    </row>
    <row r="6" spans="1:105" s="4" customFormat="1" ht="21.9" customHeight="1" x14ac:dyDescent="0.25">
      <c r="A6"/>
      <c r="B6" s="1363"/>
      <c r="C6" s="1367"/>
      <c r="D6" s="261" t="s">
        <v>313</v>
      </c>
      <c r="E6" s="261" t="s">
        <v>314</v>
      </c>
      <c r="F6" s="1365"/>
      <c r="G6" s="1365"/>
      <c r="H6" s="1365"/>
      <c r="I6" s="1365"/>
      <c r="J6" s="318">
        <v>2023</v>
      </c>
      <c r="K6" s="259">
        <v>2024</v>
      </c>
      <c r="L6" s="259">
        <v>2025</v>
      </c>
      <c r="M6" s="259">
        <v>2026</v>
      </c>
      <c r="N6" s="259">
        <v>2027</v>
      </c>
      <c r="O6" s="259">
        <v>2028</v>
      </c>
      <c r="P6" s="259">
        <v>2029</v>
      </c>
      <c r="Q6" s="259">
        <v>2030</v>
      </c>
      <c r="R6" s="259">
        <v>2031</v>
      </c>
      <c r="S6" s="259">
        <v>2032</v>
      </c>
      <c r="T6" s="259">
        <v>2033</v>
      </c>
      <c r="U6" s="259">
        <v>2034</v>
      </c>
      <c r="V6" s="259">
        <v>2035</v>
      </c>
      <c r="W6" s="259">
        <v>2036</v>
      </c>
      <c r="X6" s="259">
        <v>2037</v>
      </c>
      <c r="Y6" s="259">
        <v>2038</v>
      </c>
      <c r="Z6" s="259">
        <v>2039</v>
      </c>
      <c r="AA6" s="259">
        <v>2040</v>
      </c>
      <c r="AB6" s="259">
        <v>2041</v>
      </c>
      <c r="AC6" s="259">
        <v>2042</v>
      </c>
      <c r="AD6" s="259">
        <v>2043</v>
      </c>
      <c r="AE6" s="259">
        <v>2044</v>
      </c>
      <c r="AF6" s="259">
        <v>2045</v>
      </c>
      <c r="AG6" s="259">
        <v>2046</v>
      </c>
      <c r="AH6" s="259">
        <v>2047</v>
      </c>
      <c r="AI6" s="259">
        <v>2048</v>
      </c>
      <c r="AJ6" s="1374"/>
      <c r="AK6" s="342">
        <v>2023</v>
      </c>
      <c r="AL6" s="260">
        <v>2024</v>
      </c>
      <c r="AM6" s="260">
        <v>2025</v>
      </c>
      <c r="AN6" s="260">
        <v>2026</v>
      </c>
      <c r="AO6" s="260">
        <v>2027</v>
      </c>
      <c r="AP6" s="260">
        <v>2028</v>
      </c>
      <c r="AQ6" s="260">
        <v>2029</v>
      </c>
      <c r="AR6" s="260">
        <v>2030</v>
      </c>
      <c r="AS6" s="260">
        <v>2031</v>
      </c>
      <c r="AT6" s="260">
        <v>2032</v>
      </c>
      <c r="AU6" s="260">
        <v>2033</v>
      </c>
      <c r="AV6" s="260">
        <v>2034</v>
      </c>
      <c r="AW6" s="260">
        <v>2035</v>
      </c>
      <c r="AX6" s="260">
        <v>2036</v>
      </c>
      <c r="AY6" s="260">
        <v>2037</v>
      </c>
      <c r="AZ6" s="260">
        <v>2038</v>
      </c>
      <c r="BA6" s="260">
        <v>2039</v>
      </c>
      <c r="BB6" s="260">
        <v>2040</v>
      </c>
      <c r="BC6" s="260">
        <v>2041</v>
      </c>
      <c r="BD6" s="260">
        <v>2042</v>
      </c>
      <c r="BE6" s="260">
        <v>2043</v>
      </c>
      <c r="BF6" s="260">
        <v>2044</v>
      </c>
      <c r="BG6" s="260">
        <v>2045</v>
      </c>
      <c r="BH6" s="260">
        <v>2046</v>
      </c>
      <c r="BI6" s="260">
        <v>2047</v>
      </c>
      <c r="BJ6" s="268">
        <v>2048</v>
      </c>
      <c r="BK6" s="342">
        <v>2023</v>
      </c>
      <c r="BL6" s="260">
        <v>2024</v>
      </c>
      <c r="BM6" s="260">
        <v>2025</v>
      </c>
      <c r="BN6" s="260">
        <v>2026</v>
      </c>
      <c r="BO6" s="260">
        <v>2027</v>
      </c>
      <c r="BP6" s="260">
        <v>2028</v>
      </c>
      <c r="BQ6" s="260">
        <v>2029</v>
      </c>
      <c r="BR6" s="260">
        <v>2030</v>
      </c>
      <c r="BS6" s="260">
        <v>2031</v>
      </c>
      <c r="BT6" s="260">
        <v>2032</v>
      </c>
      <c r="BU6" s="260">
        <v>2033</v>
      </c>
      <c r="BV6" s="260">
        <v>2034</v>
      </c>
      <c r="BW6" s="260">
        <v>2035</v>
      </c>
      <c r="BX6" s="260">
        <v>2036</v>
      </c>
      <c r="BY6" s="260">
        <v>2037</v>
      </c>
      <c r="BZ6" s="260">
        <v>2038</v>
      </c>
      <c r="CA6" s="260">
        <v>2039</v>
      </c>
      <c r="CB6" s="260">
        <v>2040</v>
      </c>
      <c r="CC6" s="260">
        <v>2041</v>
      </c>
      <c r="CD6" s="260">
        <v>2042</v>
      </c>
      <c r="CE6" s="260">
        <v>2043</v>
      </c>
      <c r="CF6" s="260">
        <v>2044</v>
      </c>
      <c r="CG6" s="260">
        <v>2045</v>
      </c>
      <c r="CH6" s="260">
        <v>2046</v>
      </c>
      <c r="CI6" s="260">
        <v>2047</v>
      </c>
      <c r="CJ6" s="268">
        <v>2048</v>
      </c>
      <c r="CK6" s="1376"/>
      <c r="CL6" s="1376"/>
      <c r="CM6" s="1376"/>
      <c r="CN6" s="1379"/>
      <c r="CS6" s="13"/>
      <c r="CT6" s="13"/>
      <c r="CU6" s="13"/>
      <c r="CV6" s="13"/>
      <c r="CW6" s="13"/>
      <c r="CX6" s="13"/>
      <c r="CY6" s="13"/>
      <c r="CZ6" s="13"/>
    </row>
    <row r="7" spans="1:105" ht="21.9" customHeight="1" x14ac:dyDescent="0.25">
      <c r="B7" s="466" t="s">
        <v>9</v>
      </c>
      <c r="C7" s="1325" t="s">
        <v>315</v>
      </c>
      <c r="D7" s="217" t="s">
        <v>316</v>
      </c>
      <c r="E7" s="217" t="s">
        <v>276</v>
      </c>
      <c r="F7" s="217" t="s">
        <v>344</v>
      </c>
      <c r="G7" s="1113">
        <v>70</v>
      </c>
      <c r="H7" s="1114">
        <v>9.5000000000000001E-2</v>
      </c>
      <c r="I7" s="257">
        <v>4</v>
      </c>
      <c r="J7" s="319">
        <f>'Trip Gen'!W60</f>
        <v>16000</v>
      </c>
      <c r="K7" s="1115">
        <f>'Trip Gen'!X60</f>
        <v>16736.099999999999</v>
      </c>
      <c r="L7" s="1115">
        <f>'Trip Gen'!Y60</f>
        <v>17769.750000000004</v>
      </c>
      <c r="M7" s="1115">
        <f>'Trip Gen'!Z60</f>
        <v>19286.100000000002</v>
      </c>
      <c r="N7" s="1115">
        <f>'Trip Gen'!AA60</f>
        <v>20803</v>
      </c>
      <c r="O7" s="1115">
        <f>'Trip Gen'!AB60</f>
        <v>22319.949999999997</v>
      </c>
      <c r="P7" s="1115">
        <f>'Trip Gen'!AC60</f>
        <v>23836.299999999996</v>
      </c>
      <c r="Q7" s="1115">
        <f>'Trip Gen'!AD60</f>
        <v>25353.799999999996</v>
      </c>
      <c r="R7" s="1115">
        <f>'Trip Gen'!AE60</f>
        <v>26853.399999999998</v>
      </c>
      <c r="S7" s="1115">
        <f>'Trip Gen'!AF60</f>
        <v>28353.3</v>
      </c>
      <c r="T7" s="1115">
        <f>'Trip Gen'!AG60</f>
        <v>29852.9</v>
      </c>
      <c r="U7" s="1115">
        <f>'Trip Gen'!AH60</f>
        <v>31352.500000000004</v>
      </c>
      <c r="V7" s="1115">
        <f>'Trip Gen'!AI60</f>
        <v>32853.300000000003</v>
      </c>
      <c r="W7" s="1115">
        <f>'Trip Gen'!AJ60</f>
        <v>33869.599999999999</v>
      </c>
      <c r="X7" s="1115">
        <f>'Trip Gen'!AK60</f>
        <v>34605.699999999997</v>
      </c>
      <c r="Y7" s="1115">
        <f>'Trip Gen'!AL60</f>
        <v>35341.799999999996</v>
      </c>
      <c r="Z7" s="1115">
        <f>'Trip Gen'!AM60</f>
        <v>36077.9</v>
      </c>
      <c r="AA7" s="1115">
        <f>'Trip Gen'!AN60</f>
        <v>36814.300000000003</v>
      </c>
      <c r="AB7" s="1115">
        <f>'Trip Gen'!AO60</f>
        <v>37550.400000000001</v>
      </c>
      <c r="AC7" s="1115">
        <f>'Trip Gen'!AP60</f>
        <v>38286.799999999996</v>
      </c>
      <c r="AD7" s="1115">
        <f>'Trip Gen'!AQ60</f>
        <v>39022.9</v>
      </c>
      <c r="AE7" s="1115">
        <f>'Trip Gen'!AR60</f>
        <v>39759</v>
      </c>
      <c r="AF7" s="1115">
        <f>'Trip Gen'!AS60</f>
        <v>40495.399999999994</v>
      </c>
      <c r="AG7" s="1115">
        <f>'Trip Gen'!AT60</f>
        <v>41231.5</v>
      </c>
      <c r="AH7" s="1115">
        <f>'Trip Gen'!AU60</f>
        <v>41967.6</v>
      </c>
      <c r="AI7" s="1115">
        <f>'Trip Gen'!AV60</f>
        <v>42703.999999999993</v>
      </c>
      <c r="AJ7" s="1138">
        <f t="shared" ref="AJ7:AJ14" si="0">((AI7-J7)/J7)/25</f>
        <v>6.6759999999999986E-2</v>
      </c>
      <c r="AK7" s="319">
        <f t="shared" ref="AK7:AK12" si="1">$H7*J7</f>
        <v>1520</v>
      </c>
      <c r="AL7" s="1115">
        <f t="shared" ref="AL7:BJ17" si="2">$H7*K7</f>
        <v>1589.9295</v>
      </c>
      <c r="AM7" s="1115">
        <f t="shared" si="2"/>
        <v>1688.1262500000003</v>
      </c>
      <c r="AN7" s="1115">
        <f t="shared" si="2"/>
        <v>1832.1795000000002</v>
      </c>
      <c r="AO7" s="1115">
        <f t="shared" si="2"/>
        <v>1976.2850000000001</v>
      </c>
      <c r="AP7" s="1115">
        <f t="shared" si="2"/>
        <v>2120.3952499999996</v>
      </c>
      <c r="AQ7" s="1115">
        <f t="shared" si="2"/>
        <v>2264.4484999999995</v>
      </c>
      <c r="AR7" s="1115">
        <f t="shared" si="2"/>
        <v>2408.6109999999994</v>
      </c>
      <c r="AS7" s="1115">
        <f t="shared" si="2"/>
        <v>2551.0729999999999</v>
      </c>
      <c r="AT7" s="1115">
        <f t="shared" si="2"/>
        <v>2693.5634999999997</v>
      </c>
      <c r="AU7" s="1115">
        <f t="shared" si="2"/>
        <v>2836.0255000000002</v>
      </c>
      <c r="AV7" s="1115">
        <f t="shared" si="2"/>
        <v>2978.4875000000002</v>
      </c>
      <c r="AW7" s="1115">
        <f t="shared" si="2"/>
        <v>3121.0635000000002</v>
      </c>
      <c r="AX7" s="1115">
        <f t="shared" si="2"/>
        <v>3217.6120000000001</v>
      </c>
      <c r="AY7" s="1115">
        <f t="shared" si="2"/>
        <v>3287.5414999999998</v>
      </c>
      <c r="AZ7" s="1115">
        <f t="shared" si="2"/>
        <v>3357.4709999999995</v>
      </c>
      <c r="BA7" s="1115">
        <f t="shared" si="2"/>
        <v>3427.4005000000002</v>
      </c>
      <c r="BB7" s="1115">
        <f t="shared" si="2"/>
        <v>3497.3585000000003</v>
      </c>
      <c r="BC7" s="1115">
        <f t="shared" si="2"/>
        <v>3567.288</v>
      </c>
      <c r="BD7" s="1115">
        <f t="shared" si="2"/>
        <v>3637.2459999999996</v>
      </c>
      <c r="BE7" s="1115">
        <f t="shared" si="2"/>
        <v>3707.1755000000003</v>
      </c>
      <c r="BF7" s="1115">
        <f t="shared" si="2"/>
        <v>3777.105</v>
      </c>
      <c r="BG7" s="1115">
        <f t="shared" si="2"/>
        <v>3847.0629999999996</v>
      </c>
      <c r="BH7" s="1115">
        <f t="shared" si="2"/>
        <v>3916.9924999999998</v>
      </c>
      <c r="BI7" s="1115">
        <f t="shared" si="2"/>
        <v>3986.922</v>
      </c>
      <c r="BJ7" s="1115">
        <f t="shared" si="2"/>
        <v>4056.8799999999992</v>
      </c>
      <c r="BK7" s="393">
        <f>((0.33*AK7)/Speed!X88)+((0.67*AK7)/Speed!AX88)</f>
        <v>21.175856323280648</v>
      </c>
      <c r="BL7" s="391">
        <f>((0.33*AL7)/Speed!Y88)+((0.67*AL7)/Speed!AY88)</f>
        <v>22.150102619634854</v>
      </c>
      <c r="BM7" s="391">
        <f>((0.33*AM7)/Speed!Z88)+((0.67*AM7)/Speed!AZ88)</f>
        <v>23.518189711090898</v>
      </c>
      <c r="BN7" s="391">
        <f>((0.33*AN7)/Speed!AA88)+((0.67*AN7)/Speed!BA88)</f>
        <v>25.525252941240666</v>
      </c>
      <c r="BO7" s="391">
        <f>((0.33*AO7)/Speed!AB88)+((0.67*AO7)/Speed!BB88)</f>
        <v>27.533271877052098</v>
      </c>
      <c r="BP7" s="391">
        <f>((0.33*AP7)/Speed!AC88)+((0.67*AP7)/Speed!BC88)</f>
        <v>29.541804898216601</v>
      </c>
      <c r="BQ7" s="391">
        <f>((0.33*AQ7)/Speed!AD88)+((0.67*AQ7)/Speed!BD88)</f>
        <v>31.550383329562955</v>
      </c>
      <c r="BR7" s="391">
        <f>((0.33*AR7)/Speed!AE88)+((0.67*AR7)/Speed!BE88)</f>
        <v>33.561999179548252</v>
      </c>
      <c r="BS7" s="391">
        <f>((0.33*AS7)/Speed!AF88)+((0.67*AS7)/Speed!BF88)</f>
        <v>35.552466135841016</v>
      </c>
      <c r="BT7" s="391">
        <f>((0.33*AT7)/Speed!AG88)+((0.67*AT7)/Speed!BG88)</f>
        <v>37.547632044749655</v>
      </c>
      <c r="BU7" s="391">
        <f>((0.33*AU7)/Speed!AH88)+((0.67*AU7)/Speed!BH88)</f>
        <v>39.549397944150073</v>
      </c>
      <c r="BV7" s="391">
        <f>((0.33*AV7)/Speed!AI88)+((0.67*AV7)/Speed!BI88)</f>
        <v>41.562274671004467</v>
      </c>
      <c r="BW7" s="391">
        <f>((0.33*AW7)/Speed!AJ88)+((0.67*AW7)/Speed!BJ88)</f>
        <v>43.594031787010238</v>
      </c>
      <c r="BX7" s="391">
        <f>((0.33*AX7)/Speed!AK88)+((0.67*AX7)/Speed!BK88)</f>
        <v>44.984107445356571</v>
      </c>
      <c r="BY7" s="391">
        <f>((0.33*AY7)/Speed!AL88)+((0.67*AY7)/Speed!BL88)</f>
        <v>46.000506573953217</v>
      </c>
      <c r="BZ7" s="391">
        <f>((0.33*AZ7)/Speed!AM88)+((0.67*AZ7)/Speed!BM88)</f>
        <v>47.02689978430967</v>
      </c>
      <c r="CA7" s="391">
        <f>((0.33*BA7)/Speed!AN88)+((0.67*BA7)/Speed!BN88)</f>
        <v>48.065370308533673</v>
      </c>
      <c r="CB7" s="391">
        <f>((0.33*BB7)/Speed!AO88)+((0.67*BB7)/Speed!BO88)</f>
        <v>49.118811109185962</v>
      </c>
      <c r="CC7" s="391">
        <f>((0.33*BC7)/Speed!AP88)+((0.67*BC7)/Speed!BP88)</f>
        <v>50.18926133267172</v>
      </c>
      <c r="CD7" s="391">
        <f>((0.33*BD7)/Speed!AQ88)+((0.67*BD7)/Speed!BQ88)</f>
        <v>51.28099517307426</v>
      </c>
      <c r="CE7" s="391">
        <f>((0.33*BE7)/Speed!AR88)+((0.67*BE7)/Speed!BR88)</f>
        <v>52.397099911480055</v>
      </c>
      <c r="CF7" s="391">
        <f>((0.33*BF7)/Speed!AS88)+((0.67*BF7)/Speed!BS88)</f>
        <v>53.542651942353984</v>
      </c>
      <c r="CG7" s="391">
        <f>((0.33*BG7)/Speed!AT88)+((0.67*BG7)/Speed!BT88)</f>
        <v>54.723531077369373</v>
      </c>
      <c r="CH7" s="391">
        <f>((0.33*BH7)/Speed!AU88)+((0.67*BH7)/Speed!BU88)</f>
        <v>55.945028383861562</v>
      </c>
      <c r="CI7" s="391">
        <f>((0.33*BI7)/Speed!AV88)+((0.67*BI7)/Speed!BV88)</f>
        <v>57.214846610117476</v>
      </c>
      <c r="CJ7" s="407">
        <f>((0.33*BJ7)/Speed!AW88)+((0.67*BJ7)/Speed!BW88)</f>
        <v>58.541877573945087</v>
      </c>
      <c r="CK7" s="1385">
        <f>Inputs!$D$35</f>
        <v>0.22</v>
      </c>
      <c r="CL7" s="1385">
        <f>Inputs!$D$36</f>
        <v>0.78</v>
      </c>
      <c r="CM7" s="1380">
        <f>1/(1+CK7)</f>
        <v>0.81967213114754101</v>
      </c>
      <c r="CN7" s="1392">
        <v>0.9</v>
      </c>
      <c r="CO7" s="1116"/>
      <c r="CP7" s="62"/>
      <c r="CQ7" s="1117"/>
      <c r="CR7" s="1118"/>
      <c r="DA7"/>
    </row>
    <row r="8" spans="1:105" ht="21.9" customHeight="1" x14ac:dyDescent="0.25">
      <c r="B8" s="469"/>
      <c r="C8" s="1327"/>
      <c r="D8" s="114" t="s">
        <v>276</v>
      </c>
      <c r="E8" s="114" t="s">
        <v>274</v>
      </c>
      <c r="F8" s="114" t="s">
        <v>345</v>
      </c>
      <c r="G8" s="343">
        <v>70</v>
      </c>
      <c r="H8" s="1119">
        <f>19116/foottomile</f>
        <v>3.6204545454545456</v>
      </c>
      <c r="I8" s="256">
        <v>4</v>
      </c>
      <c r="J8" s="320">
        <f>'Trip Gen'!W61</f>
        <v>13500</v>
      </c>
      <c r="K8" s="1115">
        <f>'Trip Gen'!X61</f>
        <v>14247.849999999999</v>
      </c>
      <c r="L8" s="1115">
        <f>'Trip Gen'!Y61</f>
        <v>15115.1</v>
      </c>
      <c r="M8" s="1115">
        <f>'Trip Gen'!Z61</f>
        <v>16733.349999999999</v>
      </c>
      <c r="N8" s="1115">
        <f>'Trip Gen'!AA61</f>
        <v>18352.200000000004</v>
      </c>
      <c r="O8" s="1115">
        <f>'Trip Gen'!AB61</f>
        <v>19971.350000000002</v>
      </c>
      <c r="P8" s="1115">
        <f>'Trip Gen'!AC61</f>
        <v>21589.600000000002</v>
      </c>
      <c r="Q8" s="1115">
        <f>'Trip Gen'!AD61</f>
        <v>23209.4</v>
      </c>
      <c r="R8" s="1115">
        <f>'Trip Gen'!AE61</f>
        <v>25129.5</v>
      </c>
      <c r="S8" s="1115">
        <f>'Trip Gen'!AF61</f>
        <v>27050.15</v>
      </c>
      <c r="T8" s="1115">
        <f>'Trip Gen'!AG61</f>
        <v>28970.25</v>
      </c>
      <c r="U8" s="1115">
        <f>'Trip Gen'!AH61</f>
        <v>30890.349999999995</v>
      </c>
      <c r="V8" s="1115">
        <f>'Trip Gen'!AI61</f>
        <v>32812.35</v>
      </c>
      <c r="W8" s="1115">
        <f>'Trip Gen'!AJ61</f>
        <v>33980.5</v>
      </c>
      <c r="X8" s="1115">
        <f>'Trip Gen'!AK61</f>
        <v>34728.35</v>
      </c>
      <c r="Y8" s="1115">
        <f>'Trip Gen'!AL61</f>
        <v>35476.199999999997</v>
      </c>
      <c r="Z8" s="1115">
        <f>'Trip Gen'!AM61</f>
        <v>36224.049999999996</v>
      </c>
      <c r="AA8" s="1115">
        <f>'Trip Gen'!AN61</f>
        <v>36972.400000000001</v>
      </c>
      <c r="AB8" s="1115">
        <f>'Trip Gen'!AO61</f>
        <v>37720.25</v>
      </c>
      <c r="AC8" s="1115">
        <f>'Trip Gen'!AP61</f>
        <v>38468.599999999991</v>
      </c>
      <c r="AD8" s="1115">
        <f>'Trip Gen'!AQ61</f>
        <v>39216.449999999997</v>
      </c>
      <c r="AE8" s="1115">
        <f>'Trip Gen'!AR61</f>
        <v>39964.299999999996</v>
      </c>
      <c r="AF8" s="1115">
        <f>'Trip Gen'!AS61</f>
        <v>40712.65</v>
      </c>
      <c r="AG8" s="1115">
        <f>'Trip Gen'!AT61</f>
        <v>41460.5</v>
      </c>
      <c r="AH8" s="1115">
        <f>'Trip Gen'!AU61</f>
        <v>42208.35</v>
      </c>
      <c r="AI8" s="1115">
        <f>'Trip Gen'!AV61</f>
        <v>42956.700000000004</v>
      </c>
      <c r="AJ8" s="1139">
        <f t="shared" si="0"/>
        <v>8.7279111111111127E-2</v>
      </c>
      <c r="AK8" s="320">
        <f t="shared" si="1"/>
        <v>48876.136363636368</v>
      </c>
      <c r="AL8" s="1115">
        <f t="shared" si="2"/>
        <v>51583.693295454541</v>
      </c>
      <c r="AM8" s="1115">
        <f t="shared" si="2"/>
        <v>54723.532500000001</v>
      </c>
      <c r="AN8" s="1115">
        <f t="shared" si="2"/>
        <v>60582.333068181819</v>
      </c>
      <c r="AO8" s="1115">
        <f t="shared" si="2"/>
        <v>66443.305909090923</v>
      </c>
      <c r="AP8" s="1115">
        <f t="shared" si="2"/>
        <v>72305.364886363648</v>
      </c>
      <c r="AQ8" s="1115">
        <f t="shared" si="2"/>
        <v>78164.165454545466</v>
      </c>
      <c r="AR8" s="1115">
        <f t="shared" si="2"/>
        <v>84028.577727272743</v>
      </c>
      <c r="AS8" s="1115">
        <f t="shared" si="2"/>
        <v>90980.212500000009</v>
      </c>
      <c r="AT8" s="1115">
        <f t="shared" si="2"/>
        <v>97933.838522727281</v>
      </c>
      <c r="AU8" s="1115">
        <f t="shared" si="2"/>
        <v>104885.47329545455</v>
      </c>
      <c r="AV8" s="1238">
        <f t="shared" si="2"/>
        <v>111837.1080681818</v>
      </c>
      <c r="AW8" s="1115">
        <f t="shared" si="2"/>
        <v>118795.62170454545</v>
      </c>
      <c r="AX8" s="1115">
        <f t="shared" si="2"/>
        <v>123024.85568181818</v>
      </c>
      <c r="AY8" s="1115">
        <f t="shared" si="2"/>
        <v>125732.41261363636</v>
      </c>
      <c r="AZ8" s="1115">
        <f t="shared" si="2"/>
        <v>128439.96954545454</v>
      </c>
      <c r="BA8" s="1115">
        <f t="shared" si="2"/>
        <v>131147.52647727271</v>
      </c>
      <c r="BB8" s="1115">
        <f t="shared" si="2"/>
        <v>133856.89363636365</v>
      </c>
      <c r="BC8" s="1115">
        <f t="shared" si="2"/>
        <v>136564.45056818181</v>
      </c>
      <c r="BD8" s="1115">
        <f t="shared" si="2"/>
        <v>139273.81772727269</v>
      </c>
      <c r="BE8" s="1115">
        <f t="shared" si="2"/>
        <v>141981.37465909091</v>
      </c>
      <c r="BF8" s="1115">
        <f t="shared" si="2"/>
        <v>144688.93159090908</v>
      </c>
      <c r="BG8" s="1115">
        <f t="shared" si="2"/>
        <v>147398.29875000002</v>
      </c>
      <c r="BH8" s="1115">
        <f t="shared" si="2"/>
        <v>150105.85568181818</v>
      </c>
      <c r="BI8" s="1115">
        <f t="shared" si="2"/>
        <v>152813.41261363638</v>
      </c>
      <c r="BJ8" s="1115">
        <f t="shared" si="2"/>
        <v>155522.77977272728</v>
      </c>
      <c r="BK8" s="394">
        <f>((0.33*'Traffic Data'!AK8)/Speed!X89)+((0.67*'Traffic Data'!AK8)/Speed!AX89)</f>
        <v>680.91604638444551</v>
      </c>
      <c r="BL8" s="392">
        <f>((0.33*AL8)/Speed!Y89)+((0.67*AL8)/Speed!AY89)</f>
        <v>718.63645673476947</v>
      </c>
      <c r="BM8" s="392">
        <f>((0.33*AM8)/Speed!Z89)+((0.67*AM8)/Speed!AZ89)</f>
        <v>762.37939495450348</v>
      </c>
      <c r="BN8" s="392">
        <f>((0.33*AN8)/Speed!AA89)+((0.67*AN8)/Speed!BA89)</f>
        <v>844.00276090028638</v>
      </c>
      <c r="BO8" s="392">
        <f>((0.33*AO8)/Speed!AB89)+((0.67*AO8)/Speed!BB89)</f>
        <v>925.65919620135833</v>
      </c>
      <c r="BP8" s="392">
        <f>((0.33*AP8)/Speed!AC89)+((0.67*AP8)/Speed!BC89)</f>
        <v>1007.3371491798091</v>
      </c>
      <c r="BQ8" s="392">
        <f>((0.33*AQ8)/Speed!AD89)+((0.67*AQ8)/Speed!BD89)</f>
        <v>1088.9832588248332</v>
      </c>
      <c r="BR8" s="392">
        <f>((0.33*AR8)/Speed!AE89)+((0.67*AR8)/Speed!BE89)</f>
        <v>1170.7347944005055</v>
      </c>
      <c r="BS8" s="392">
        <f>((0.33*AS8)/Speed!AF89)+((0.67*AS8)/Speed!BF89)</f>
        <v>1267.712901414674</v>
      </c>
      <c r="BT8" s="392">
        <f>((0.33*AT8)/Speed!AG89)+((0.67*AT8)/Speed!BG89)</f>
        <v>1364.8691018643431</v>
      </c>
      <c r="BU8" s="392">
        <f>((0.33*AU8)/Speed!AH89)+((0.67*AU8)/Speed!BH89)</f>
        <v>1462.2876460734778</v>
      </c>
      <c r="BV8" s="392">
        <f>((0.33*AV8)/Speed!AI89)+((0.67*AV8)/Speed!BI89)</f>
        <v>1560.2419768754926</v>
      </c>
      <c r="BW8" s="392">
        <f>((0.33*AW8)/Speed!AJ89)+((0.67*AW8)/Speed!BJ89)</f>
        <v>1659.2464729534929</v>
      </c>
      <c r="BX8" s="392">
        <f>((0.33*AX8)/Speed!AK89)+((0.67*AX8)/Speed!BK89)</f>
        <v>1720.160659095653</v>
      </c>
      <c r="BY8" s="392">
        <f>((0.33*AY8)/Speed!AL89)+((0.67*AY8)/Speed!BL89)</f>
        <v>1759.5706264694884</v>
      </c>
      <c r="BZ8" s="392">
        <f>((0.33*AZ8)/Speed!AM89)+((0.67*AZ8)/Speed!BM89)</f>
        <v>1799.3864693145651</v>
      </c>
      <c r="CA8" s="392">
        <f>((0.33*BA8)/Speed!AN89)+((0.67*BA8)/Speed!BN89)</f>
        <v>1839.6939310669509</v>
      </c>
      <c r="CB8" s="392">
        <f>((0.33*BB8)/Speed!AO89)+((0.67*BB8)/Speed!BO89)</f>
        <v>1880.6220521175178</v>
      </c>
      <c r="CC8" s="392">
        <f>((0.33*BC8)/Speed!AP89)+((0.67*BC8)/Speed!BP89)</f>
        <v>1922.2358942640944</v>
      </c>
      <c r="CD8" s="392">
        <f>((0.33*BD8)/Speed!AQ89)+((0.67*BD8)/Speed!BQ89)</f>
        <v>1964.7320068221111</v>
      </c>
      <c r="CE8" s="392">
        <f>((0.33*BE8)/Speed!AR89)+((0.67*BE8)/Speed!BR89)</f>
        <v>2008.2185714414427</v>
      </c>
      <c r="CF8" s="392">
        <f>((0.33*BF8)/Speed!AS89)+((0.67*BF8)/Speed!BS89)</f>
        <v>2052.9162896669827</v>
      </c>
      <c r="CG8" s="392">
        <f>((0.33*BG8)/Speed!AT89)+((0.67*BG8)/Speed!BT89)</f>
        <v>2099.0808758322391</v>
      </c>
      <c r="CH8" s="392">
        <f>((0.33*BH8)/Speed!AU89)+((0.67*BH8)/Speed!BU89)</f>
        <v>2146.9113394355081</v>
      </c>
      <c r="CI8" s="392">
        <f>((0.33*BI8)/Speed!AV89)+((0.67*BI8)/Speed!BV89)</f>
        <v>2196.7398049613312</v>
      </c>
      <c r="CJ8" s="430">
        <f>((0.33*BJ8)/Speed!AW89)+((0.67*BJ8)/Speed!BW89)</f>
        <v>2248.9506342170339</v>
      </c>
      <c r="CK8" s="1386"/>
      <c r="CL8" s="1386"/>
      <c r="CM8" s="1381"/>
      <c r="CN8" s="1393"/>
      <c r="CO8" s="1116"/>
      <c r="CP8" s="62"/>
      <c r="CQ8" s="1117"/>
      <c r="CR8" s="1118"/>
      <c r="DA8"/>
    </row>
    <row r="9" spans="1:105" ht="21.9" customHeight="1" x14ac:dyDescent="0.25">
      <c r="B9" s="469"/>
      <c r="C9" s="1327"/>
      <c r="D9" s="114" t="s">
        <v>274</v>
      </c>
      <c r="E9" s="114" t="s">
        <v>317</v>
      </c>
      <c r="F9" s="114" t="s">
        <v>346</v>
      </c>
      <c r="G9" s="343">
        <v>70</v>
      </c>
      <c r="H9" s="1119">
        <v>9.5000000000000001E-2</v>
      </c>
      <c r="I9" s="256">
        <v>4</v>
      </c>
      <c r="J9" s="320">
        <f>'Trip Gen'!W62</f>
        <v>12000</v>
      </c>
      <c r="K9" s="1120">
        <f>'Trip Gen'!X62</f>
        <v>12501.099999999999</v>
      </c>
      <c r="L9" s="1120">
        <f>'Trip Gen'!Y62</f>
        <v>13121.299999999997</v>
      </c>
      <c r="M9" s="1120">
        <f>'Trip Gen'!Z62</f>
        <v>13956.3</v>
      </c>
      <c r="N9" s="1120">
        <f>'Trip Gen'!AA62</f>
        <v>14791.600000000002</v>
      </c>
      <c r="O9" s="1120">
        <f>'Trip Gen'!AB62</f>
        <v>15626.800000000003</v>
      </c>
      <c r="P9" s="1120">
        <f>'Trip Gen'!AC62</f>
        <v>16461.800000000003</v>
      </c>
      <c r="Q9" s="1120">
        <f>'Trip Gen'!AD62</f>
        <v>17297.400000000005</v>
      </c>
      <c r="R9" s="1120">
        <f>'Trip Gen'!AE62</f>
        <v>18107</v>
      </c>
      <c r="S9" s="1120">
        <f>'Trip Gen'!AF62</f>
        <v>18916.899999999994</v>
      </c>
      <c r="T9" s="1120">
        <f>'Trip Gen'!AG62</f>
        <v>19726.5</v>
      </c>
      <c r="U9" s="1120">
        <f>'Trip Gen'!AH62</f>
        <v>20536.099999999999</v>
      </c>
      <c r="V9" s="1120">
        <f>'Trip Gen'!AI62</f>
        <v>21346.300000000003</v>
      </c>
      <c r="W9" s="1120">
        <f>'Trip Gen'!AJ62</f>
        <v>21940.799999999999</v>
      </c>
      <c r="X9" s="1120">
        <f>'Trip Gen'!AK62</f>
        <v>22441.9</v>
      </c>
      <c r="Y9" s="1120">
        <f>'Trip Gen'!AL62</f>
        <v>22942.999999999996</v>
      </c>
      <c r="Z9" s="1120">
        <f>'Trip Gen'!AM62</f>
        <v>23444.1</v>
      </c>
      <c r="AA9" s="1120">
        <f>'Trip Gen'!AN62</f>
        <v>23945.4</v>
      </c>
      <c r="AB9" s="1120">
        <f>'Trip Gen'!AO62</f>
        <v>24446.5</v>
      </c>
      <c r="AC9" s="1120">
        <f>'Trip Gen'!AP62</f>
        <v>24947.8</v>
      </c>
      <c r="AD9" s="1120">
        <f>'Trip Gen'!AQ62</f>
        <v>25448.900000000005</v>
      </c>
      <c r="AE9" s="1120">
        <f>'Trip Gen'!AR62</f>
        <v>25949.999999999996</v>
      </c>
      <c r="AF9" s="1120">
        <f>'Trip Gen'!AS62</f>
        <v>26451.3</v>
      </c>
      <c r="AG9" s="1120">
        <f>'Trip Gen'!AT62</f>
        <v>26952.400000000001</v>
      </c>
      <c r="AH9" s="1120">
        <f>'Trip Gen'!AU62</f>
        <v>27453.499999999996</v>
      </c>
      <c r="AI9" s="1120">
        <f>'Trip Gen'!AV62</f>
        <v>27954.799999999999</v>
      </c>
      <c r="AJ9" s="1139">
        <f t="shared" si="0"/>
        <v>5.3182666666666663E-2</v>
      </c>
      <c r="AK9" s="320">
        <f t="shared" si="1"/>
        <v>1140</v>
      </c>
      <c r="AL9" s="1120">
        <f t="shared" si="2"/>
        <v>1187.6044999999999</v>
      </c>
      <c r="AM9" s="1120">
        <f t="shared" si="2"/>
        <v>1246.5234999999998</v>
      </c>
      <c r="AN9" s="1120">
        <f t="shared" si="2"/>
        <v>1325.8485000000001</v>
      </c>
      <c r="AO9" s="1120">
        <f t="shared" si="2"/>
        <v>1405.2020000000002</v>
      </c>
      <c r="AP9" s="1120">
        <f t="shared" si="2"/>
        <v>1484.5460000000003</v>
      </c>
      <c r="AQ9" s="1120">
        <f t="shared" si="2"/>
        <v>1563.8710000000003</v>
      </c>
      <c r="AR9" s="1120">
        <f t="shared" si="2"/>
        <v>1643.2530000000006</v>
      </c>
      <c r="AS9" s="1120">
        <f t="shared" si="2"/>
        <v>1720.165</v>
      </c>
      <c r="AT9" s="1120">
        <f t="shared" si="2"/>
        <v>1797.1054999999994</v>
      </c>
      <c r="AU9" s="1120">
        <f t="shared" si="2"/>
        <v>1874.0174999999999</v>
      </c>
      <c r="AV9" s="1120">
        <f t="shared" si="2"/>
        <v>1950.9295</v>
      </c>
      <c r="AW9" s="1120">
        <f t="shared" si="2"/>
        <v>2027.8985000000002</v>
      </c>
      <c r="AX9" s="1120">
        <f t="shared" si="2"/>
        <v>2084.3759999999997</v>
      </c>
      <c r="AY9" s="1120">
        <f t="shared" si="2"/>
        <v>2131.9805000000001</v>
      </c>
      <c r="AZ9" s="1120">
        <f t="shared" si="2"/>
        <v>2179.5849999999996</v>
      </c>
      <c r="BA9" s="1120">
        <f t="shared" si="2"/>
        <v>2227.1895</v>
      </c>
      <c r="BB9" s="1120">
        <f t="shared" si="2"/>
        <v>2274.8130000000001</v>
      </c>
      <c r="BC9" s="1120">
        <f t="shared" si="2"/>
        <v>2322.4175</v>
      </c>
      <c r="BD9" s="1120">
        <f t="shared" si="2"/>
        <v>2370.0410000000002</v>
      </c>
      <c r="BE9" s="1120">
        <f t="shared" si="2"/>
        <v>2417.6455000000005</v>
      </c>
      <c r="BF9" s="1120">
        <f t="shared" si="2"/>
        <v>2465.2499999999995</v>
      </c>
      <c r="BG9" s="1120">
        <f t="shared" si="2"/>
        <v>2512.8735000000001</v>
      </c>
      <c r="BH9" s="1120">
        <f t="shared" si="2"/>
        <v>2560.4780000000001</v>
      </c>
      <c r="BI9" s="1120">
        <f t="shared" si="2"/>
        <v>2608.0824999999995</v>
      </c>
      <c r="BJ9" s="1120">
        <f t="shared" si="2"/>
        <v>2655.7060000000001</v>
      </c>
      <c r="BK9" s="394">
        <f>((0.33*'Traffic Data'!AK9)/Speed!X90)+((0.67*'Traffic Data'!AK9)/Speed!AX90)</f>
        <v>15.881862988392243</v>
      </c>
      <c r="BL9" s="392">
        <f>((0.33*AL9)/Speed!Y90)+((0.67*AL9)/Speed!AY90)</f>
        <v>16.545064036237527</v>
      </c>
      <c r="BM9" s="392">
        <f>((0.33*AM9)/Speed!Z90)+((0.67*AM9)/Speed!AZ90)</f>
        <v>17.365893490562563</v>
      </c>
      <c r="BN9" s="392">
        <f>((0.33*AN9)/Speed!AA90)+((0.67*AN9)/Speed!BA90)</f>
        <v>18.471010864573024</v>
      </c>
      <c r="BO9" s="392">
        <f>((0.33*AO9)/Speed!AB90)+((0.67*AO9)/Speed!BB90)</f>
        <v>19.576528986845659</v>
      </c>
      <c r="BP9" s="392">
        <f>((0.33*AP9)/Speed!AC90)+((0.67*AP9)/Speed!BC90)</f>
        <v>20.681920987581794</v>
      </c>
      <c r="BQ9" s="392">
        <f>((0.33*AQ9)/Speed!AD90)+((0.67*AQ9)/Speed!BD90)</f>
        <v>21.787058473423155</v>
      </c>
      <c r="BR9" s="392">
        <f>((0.33*AR9)/Speed!AE90)+((0.67*AR9)/Speed!BE90)</f>
        <v>22.893006334273554</v>
      </c>
      <c r="BS9" s="392">
        <f>((0.33*AS9)/Speed!AF90)+((0.67*AS9)/Speed!BF90)</f>
        <v>23.964566297660994</v>
      </c>
      <c r="BT9" s="392">
        <f>((0.33*AT9)/Speed!AG90)+((0.67*AT9)/Speed!BG90)</f>
        <v>25.036559222152846</v>
      </c>
      <c r="BU9" s="392">
        <f>((0.33*AU9)/Speed!AH90)+((0.67*AU9)/Speed!BH90)</f>
        <v>26.108208198047834</v>
      </c>
      <c r="BV9" s="392">
        <f>((0.33*AV9)/Speed!AI90)+((0.67*AV9)/Speed!BI90)</f>
        <v>27.179934573223086</v>
      </c>
      <c r="BW9" s="392">
        <f>((0.33*AW9)/Speed!AJ90)+((0.67*AW9)/Speed!BJ90)</f>
        <v>28.252566419637368</v>
      </c>
      <c r="BX9" s="392">
        <f>((0.33*AX9)/Speed!AK90)+((0.67*AX9)/Speed!BK90)</f>
        <v>29.039727859177333</v>
      </c>
      <c r="BY9" s="392">
        <f>((0.33*AY9)/Speed!AL90)+((0.67*AY9)/Speed!BL90)</f>
        <v>29.703303718788085</v>
      </c>
      <c r="BZ9" s="392">
        <f>((0.33*AZ9)/Speed!AM90)+((0.67*AZ9)/Speed!BM90)</f>
        <v>30.36697356143333</v>
      </c>
      <c r="CA9" s="392">
        <f>((0.33*BA9)/Speed!AN90)+((0.67*BA9)/Speed!BN90)</f>
        <v>31.030758037647267</v>
      </c>
      <c r="CB9" s="392">
        <f>((0.33*BB9)/Speed!AO90)+((0.67*BB9)/Speed!BO90)</f>
        <v>31.69494675442769</v>
      </c>
      <c r="CC9" s="392">
        <f>((0.33*BC9)/Speed!AP90)+((0.67*BC9)/Speed!BP90)</f>
        <v>32.359038920090214</v>
      </c>
      <c r="CD9" s="392">
        <f>((0.33*BD9)/Speed!AQ90)+((0.67*BD9)/Speed!BQ90)</f>
        <v>33.023599156914358</v>
      </c>
      <c r="CE9" s="392">
        <f>((0.33*BE9)/Speed!AR90)+((0.67*BE9)/Speed!BR90)</f>
        <v>33.688137835559431</v>
      </c>
      <c r="CF9" s="392">
        <f>((0.33*BF9)/Speed!AS90)+((0.67*BF9)/Speed!BS90)</f>
        <v>34.35296775269331</v>
      </c>
      <c r="CG9" s="392">
        <f>((0.33*BG9)/Speed!AT90)+((0.67*BG9)/Speed!BT90)</f>
        <v>35.018410310764139</v>
      </c>
      <c r="CH9" s="392">
        <f>((0.33*BH9)/Speed!AU90)+((0.67*BH9)/Speed!BU90)</f>
        <v>35.68399971977064</v>
      </c>
      <c r="CI9" s="392">
        <f>((0.33*BI9)/Speed!AV90)+((0.67*BI9)/Speed!BV90)</f>
        <v>36.350077213517366</v>
      </c>
      <c r="CJ9" s="430">
        <f>((0.33*BJ9)/Speed!AW90)+((0.67*BJ9)/Speed!BW90)</f>
        <v>37.016996968011611</v>
      </c>
      <c r="CK9" s="1387"/>
      <c r="CL9" s="1387"/>
      <c r="CM9" s="1382"/>
      <c r="CN9" s="1394"/>
      <c r="CO9" s="1116"/>
      <c r="CP9" s="62"/>
      <c r="CQ9" s="1117"/>
      <c r="CR9" s="1118"/>
      <c r="DA9"/>
    </row>
    <row r="10" spans="1:105" ht="21.9" customHeight="1" x14ac:dyDescent="0.25">
      <c r="B10" s="469"/>
      <c r="C10" s="1325" t="s">
        <v>274</v>
      </c>
      <c r="D10" s="217" t="s">
        <v>275</v>
      </c>
      <c r="E10" s="217" t="s">
        <v>318</v>
      </c>
      <c r="F10" s="217" t="s">
        <v>347</v>
      </c>
      <c r="G10" s="1113">
        <v>55</v>
      </c>
      <c r="H10" s="1114">
        <v>2.59</v>
      </c>
      <c r="I10" s="257">
        <v>2</v>
      </c>
      <c r="J10" s="319">
        <f>'Trip Gen'!W71</f>
        <v>4000</v>
      </c>
      <c r="K10" s="1115">
        <f>'Trip Gen'!X71</f>
        <v>4436.4500000000007</v>
      </c>
      <c r="L10" s="1115">
        <f>'Trip Gen'!Y71</f>
        <v>4897.3799999999992</v>
      </c>
      <c r="M10" s="1115">
        <f>'Trip Gen'!Z71</f>
        <v>6324.1100000000006</v>
      </c>
      <c r="N10" s="1115">
        <f>'Trip Gen'!AA71</f>
        <v>7751.5599999999995</v>
      </c>
      <c r="O10" s="1115">
        <f>'Trip Gen'!AB71</f>
        <v>9179.3900000000012</v>
      </c>
      <c r="P10" s="1115">
        <f>'Trip Gen'!AC71</f>
        <v>10606.12</v>
      </c>
      <c r="Q10" s="1115">
        <f>'Trip Gen'!AD71</f>
        <v>12034.820000000002</v>
      </c>
      <c r="R10" s="1115">
        <f>'Trip Gen'!AE71</f>
        <v>13952.019999999999</v>
      </c>
      <c r="S10" s="1115">
        <f>'Trip Gen'!AF71</f>
        <v>15870.069999999998</v>
      </c>
      <c r="T10" s="1115">
        <f>'Trip Gen'!AG71</f>
        <v>17787.27</v>
      </c>
      <c r="U10" s="1115">
        <f>'Trip Gen'!AH71</f>
        <v>19704.47</v>
      </c>
      <c r="V10" s="1115">
        <f>'Trip Gen'!AI71</f>
        <v>21624.170000000006</v>
      </c>
      <c r="W10" s="1115">
        <f>'Trip Gen'!AJ71</f>
        <v>22574.32</v>
      </c>
      <c r="X10" s="1115">
        <f>'Trip Gen'!AK71</f>
        <v>23010.77</v>
      </c>
      <c r="Y10" s="1115">
        <f>'Trip Gen'!AL71</f>
        <v>23447.22</v>
      </c>
      <c r="Z10" s="1115">
        <f>'Trip Gen'!AM71</f>
        <v>23883.670000000002</v>
      </c>
      <c r="AA10" s="1115">
        <f>'Trip Gen'!AN71</f>
        <v>24320.82</v>
      </c>
      <c r="AB10" s="1115">
        <f>'Trip Gen'!AO71</f>
        <v>24757.269999999997</v>
      </c>
      <c r="AC10" s="1115">
        <f>'Trip Gen'!AP71</f>
        <v>25194.42</v>
      </c>
      <c r="AD10" s="1115">
        <f>'Trip Gen'!AQ71</f>
        <v>25630.870000000003</v>
      </c>
      <c r="AE10" s="1115">
        <f>'Trip Gen'!AR71</f>
        <v>26067.32</v>
      </c>
      <c r="AF10" s="1115">
        <f>'Trip Gen'!AS71</f>
        <v>26504.470000000005</v>
      </c>
      <c r="AG10" s="1115">
        <f>'Trip Gen'!AT71</f>
        <v>26940.920000000002</v>
      </c>
      <c r="AH10" s="1115">
        <f>'Trip Gen'!AU71</f>
        <v>27377.37</v>
      </c>
      <c r="AI10" s="1115">
        <f>'Trip Gen'!AV71</f>
        <v>27814.52</v>
      </c>
      <c r="AJ10" s="1138">
        <f t="shared" si="0"/>
        <v>0.23814520000000003</v>
      </c>
      <c r="AK10" s="319">
        <f t="shared" si="1"/>
        <v>10360</v>
      </c>
      <c r="AL10" s="1115">
        <f t="shared" si="2"/>
        <v>11490.405500000001</v>
      </c>
      <c r="AM10" s="1115">
        <f t="shared" si="2"/>
        <v>12684.214199999997</v>
      </c>
      <c r="AN10" s="1115">
        <f t="shared" si="2"/>
        <v>16379.4449</v>
      </c>
      <c r="AO10" s="1115">
        <f t="shared" si="2"/>
        <v>20076.540399999998</v>
      </c>
      <c r="AP10" s="1115">
        <f t="shared" si="2"/>
        <v>23774.6201</v>
      </c>
      <c r="AQ10" s="1115">
        <f t="shared" si="2"/>
        <v>27469.8508</v>
      </c>
      <c r="AR10" s="1115">
        <f t="shared" si="2"/>
        <v>31170.183800000003</v>
      </c>
      <c r="AS10" s="1115">
        <f t="shared" si="2"/>
        <v>36135.731799999994</v>
      </c>
      <c r="AT10" s="1115">
        <f t="shared" si="2"/>
        <v>41103.481299999992</v>
      </c>
      <c r="AU10" s="1115">
        <f t="shared" si="2"/>
        <v>46069.029300000002</v>
      </c>
      <c r="AV10" s="1238">
        <f t="shared" si="2"/>
        <v>51034.577299999997</v>
      </c>
      <c r="AW10" s="1115">
        <f t="shared" si="2"/>
        <v>56006.600300000013</v>
      </c>
      <c r="AX10" s="1115">
        <f t="shared" si="2"/>
        <v>58467.488799999999</v>
      </c>
      <c r="AY10" s="1115">
        <f t="shared" si="2"/>
        <v>59597.8943</v>
      </c>
      <c r="AZ10" s="1115">
        <f t="shared" si="2"/>
        <v>60728.299800000001</v>
      </c>
      <c r="BA10" s="1115">
        <f t="shared" si="2"/>
        <v>61858.705300000001</v>
      </c>
      <c r="BB10" s="1115">
        <f t="shared" si="2"/>
        <v>62990.923799999997</v>
      </c>
      <c r="BC10" s="1115">
        <f t="shared" si="2"/>
        <v>64121.32929999999</v>
      </c>
      <c r="BD10" s="1115">
        <f t="shared" si="2"/>
        <v>65253.547799999993</v>
      </c>
      <c r="BE10" s="1115">
        <f t="shared" si="2"/>
        <v>66383.953300000008</v>
      </c>
      <c r="BF10" s="1115">
        <f t="shared" si="2"/>
        <v>67514.358800000002</v>
      </c>
      <c r="BG10" s="1115">
        <f t="shared" si="2"/>
        <v>68646.577300000004</v>
      </c>
      <c r="BH10" s="1115">
        <f t="shared" si="2"/>
        <v>69776.982799999998</v>
      </c>
      <c r="BI10" s="1115">
        <f t="shared" si="2"/>
        <v>70907.388299999991</v>
      </c>
      <c r="BJ10" s="1115">
        <f t="shared" si="2"/>
        <v>72039.606799999994</v>
      </c>
      <c r="BK10" s="393">
        <f>((0.33*'Traffic Data'!AK10)/Speed!X91)+((0.67*'Traffic Data'!AK10)/Speed!AX91)</f>
        <v>174.13425924047147</v>
      </c>
      <c r="BL10" s="428">
        <f>((0.33*AL10)/Speed!Y91)+((0.67*AL10)/Speed!AY91)</f>
        <v>193.16795723583164</v>
      </c>
      <c r="BM10" s="428">
        <f>((0.33*AM10)/Speed!Z91)+((0.67*AM10)/Speed!AZ91)</f>
        <v>213.33401520830486</v>
      </c>
      <c r="BN10" s="428">
        <f>((0.33*AN10)/Speed!AA91)+((0.67*AN10)/Speed!BA91)</f>
        <v>277.84782201811618</v>
      </c>
      <c r="BO10" s="428">
        <f>((0.33*AO10)/Speed!AB91)+((0.67*AO10)/Speed!BB91)</f>
        <v>361.46676442351509</v>
      </c>
      <c r="BP10" s="428">
        <f>((0.33*AP10)/Speed!AC91)+((0.67*AP10)/Speed!BC91)</f>
        <v>553.99698499605904</v>
      </c>
      <c r="BQ10" s="428">
        <f>((0.33*AQ10)/Speed!AD91)+((0.67*AQ10)/Speed!BD91)</f>
        <v>1215.8321212219018</v>
      </c>
      <c r="BR10" s="428">
        <f>((0.33*AR10)/Speed!AE91)+((0.67*AR10)/Speed!BE91)</f>
        <v>1379.6209201350609</v>
      </c>
      <c r="BS10" s="428">
        <f>((0.33*AS10)/Speed!AF91)+((0.67*AS10)/Speed!BF91)</f>
        <v>1599.4385021094829</v>
      </c>
      <c r="BT10" s="428">
        <f>((0.33*AT10)/Speed!AG91)+((0.67*AT10)/Speed!BG91)</f>
        <v>1819.5241320596847</v>
      </c>
      <c r="BU10" s="428">
        <f>((0.33*AU10)/Speed!AH91)+((0.67*AU10)/Speed!BH91)</f>
        <v>2040.1086047272593</v>
      </c>
      <c r="BV10" s="428">
        <f>((0.33*AV10)/Speed!AI91)+((0.67*AV10)/Speed!BI91)</f>
        <v>2262.5246422776008</v>
      </c>
      <c r="BW10" s="428">
        <f>((0.33*AW10)/Speed!AJ91)+((0.67*AW10)/Speed!BJ91)</f>
        <v>2490.2077573628521</v>
      </c>
      <c r="BX10" s="428">
        <f>((0.33*AX10)/Speed!AK91)+((0.67*AX10)/Speed!BK91)</f>
        <v>2617.7612334844885</v>
      </c>
      <c r="BY10" s="428">
        <f>((0.33*AY10)/Speed!AL91)+((0.67*AY10)/Speed!BL91)</f>
        <v>2684.7812437671669</v>
      </c>
      <c r="BZ10" s="428">
        <f>((0.33*AZ10)/Speed!AM91)+((0.67*AZ10)/Speed!BM91)</f>
        <v>2745.8007912833791</v>
      </c>
      <c r="CA10" s="428">
        <f>((0.33*BA10)/Speed!AN91)+((0.67*BA10)/Speed!BN91)</f>
        <v>2809.1101857797839</v>
      </c>
      <c r="CB10" s="428">
        <f>((0.33*BB10)/Speed!AO91)+((0.67*BB10)/Speed!BO91)</f>
        <v>2875.213090314377</v>
      </c>
      <c r="CC10" s="428">
        <f>((0.33*BC10)/Speed!AP91)+((0.67*BC10)/Speed!BP91)</f>
        <v>2944.4634528886672</v>
      </c>
      <c r="CD10" s="428">
        <f>((0.33*BD10)/Speed!AQ91)+((0.67*BD10)/Speed!BQ91)</f>
        <v>3017.5371773447605</v>
      </c>
      <c r="CE10" s="428">
        <f>((0.33*BE10)/Speed!AR91)+((0.67*BE10)/Speed!BR91)</f>
        <v>3094.9885961760815</v>
      </c>
      <c r="CF10" s="428">
        <f>((0.33*BF10)/Speed!AS91)+((0.67*BF10)/Speed!BS91)</f>
        <v>3177.5727699358804</v>
      </c>
      <c r="CG10" s="428">
        <f>((0.33*BG10)/Speed!AT91)+((0.67*BG10)/Speed!BT91)</f>
        <v>3266.2748628066529</v>
      </c>
      <c r="CH10" s="428">
        <f>((0.33*BH10)/Speed!AU91)+((0.67*BH10)/Speed!BU91)</f>
        <v>3361.983578784173</v>
      </c>
      <c r="CI10" s="428">
        <f>((0.33*BI10)/Speed!AV91)+((0.67*BI10)/Speed!BV91)</f>
        <v>3465.7817407674429</v>
      </c>
      <c r="CJ10" s="429">
        <f>((0.33*BJ10)/Speed!AW91)+((0.67*BJ10)/Speed!BW91)</f>
        <v>3579.1087720037763</v>
      </c>
      <c r="CK10" s="1385">
        <f>Inputs!$E$35</f>
        <v>0.2</v>
      </c>
      <c r="CL10" s="1386">
        <f>Inputs!$E$36</f>
        <v>0.8</v>
      </c>
      <c r="CM10" s="1380">
        <f>1/(1+CK10)</f>
        <v>0.83333333333333337</v>
      </c>
      <c r="CN10" s="1393">
        <v>0.9</v>
      </c>
      <c r="CO10" s="1116"/>
      <c r="CP10" s="62"/>
      <c r="CQ10" s="1117"/>
      <c r="CR10" s="1118"/>
      <c r="DA10"/>
    </row>
    <row r="11" spans="1:105" ht="21.9" customHeight="1" x14ac:dyDescent="0.25">
      <c r="B11" s="469"/>
      <c r="C11" s="1327"/>
      <c r="D11" s="114" t="s">
        <v>318</v>
      </c>
      <c r="E11" s="114" t="s">
        <v>308</v>
      </c>
      <c r="F11" s="114" t="s">
        <v>348</v>
      </c>
      <c r="G11" s="343">
        <v>45</v>
      </c>
      <c r="H11" s="1119">
        <v>0.5</v>
      </c>
      <c r="I11" s="256">
        <v>2</v>
      </c>
      <c r="J11" s="320">
        <f>'Trip Gen'!W72</f>
        <v>2400</v>
      </c>
      <c r="K11" s="1115">
        <f>'Trip Gen'!X72</f>
        <v>2718.92</v>
      </c>
      <c r="L11" s="1115">
        <f>'Trip Gen'!Y72</f>
        <v>3038.0400000000004</v>
      </c>
      <c r="M11" s="1115">
        <f>'Trip Gen'!Z72</f>
        <v>4117.76</v>
      </c>
      <c r="N11" s="1115">
        <f>'Trip Gen'!AA72</f>
        <v>5197.7</v>
      </c>
      <c r="O11" s="1115">
        <f>'Trip Gen'!AB72</f>
        <v>6278.6200000000008</v>
      </c>
      <c r="P11" s="1115">
        <f>'Trip Gen'!AC72</f>
        <v>7358.34</v>
      </c>
      <c r="Q11" s="1115">
        <f>'Trip Gen'!AD72</f>
        <v>8439.08</v>
      </c>
      <c r="R11" s="1115">
        <f>'Trip Gen'!AE72</f>
        <v>10098.5</v>
      </c>
      <c r="S11" s="1115">
        <f>'Trip Gen'!AF72</f>
        <v>11757.740000000002</v>
      </c>
      <c r="T11" s="1115">
        <f>'Trip Gen'!AG72</f>
        <v>13417.140000000001</v>
      </c>
      <c r="U11" s="1115">
        <f>'Trip Gen'!AH72</f>
        <v>15076.56</v>
      </c>
      <c r="V11" s="1115">
        <f>'Trip Gen'!AI72</f>
        <v>16737.600000000002</v>
      </c>
      <c r="W11" s="1115">
        <f>'Trip Gen'!AJ72</f>
        <v>17635.600000000002</v>
      </c>
      <c r="X11" s="1115">
        <f>'Trip Gen'!AK72</f>
        <v>17954.52</v>
      </c>
      <c r="Y11" s="1115">
        <f>'Trip Gen'!AL72</f>
        <v>18273.440000000002</v>
      </c>
      <c r="Z11" s="1115">
        <f>'Trip Gen'!AM72</f>
        <v>18592.360000000004</v>
      </c>
      <c r="AA11" s="1115">
        <f>'Trip Gen'!AN72</f>
        <v>18911.480000000003</v>
      </c>
      <c r="AB11" s="1115">
        <f>'Trip Gen'!AO72</f>
        <v>19230.400000000001</v>
      </c>
      <c r="AC11" s="1115">
        <f>'Trip Gen'!AP72</f>
        <v>19549.52</v>
      </c>
      <c r="AD11" s="1115">
        <f>'Trip Gen'!AQ72</f>
        <v>19868.439999999999</v>
      </c>
      <c r="AE11" s="1115">
        <f>'Trip Gen'!AR72</f>
        <v>20187.36</v>
      </c>
      <c r="AF11" s="1115">
        <f>'Trip Gen'!AS72</f>
        <v>20506.480000000003</v>
      </c>
      <c r="AG11" s="1115">
        <f>'Trip Gen'!AT72</f>
        <v>20825.400000000001</v>
      </c>
      <c r="AH11" s="1115">
        <f>'Trip Gen'!AU72</f>
        <v>21144.32</v>
      </c>
      <c r="AI11" s="1115">
        <f>'Trip Gen'!AV72</f>
        <v>21463.439999999999</v>
      </c>
      <c r="AJ11" s="1139">
        <f t="shared" si="0"/>
        <v>0.31772399999999995</v>
      </c>
      <c r="AK11" s="320">
        <f t="shared" si="1"/>
        <v>1200</v>
      </c>
      <c r="AL11" s="1115">
        <f t="shared" si="2"/>
        <v>1359.46</v>
      </c>
      <c r="AM11" s="1115">
        <f t="shared" si="2"/>
        <v>1519.0200000000002</v>
      </c>
      <c r="AN11" s="1115">
        <f t="shared" si="2"/>
        <v>2058.88</v>
      </c>
      <c r="AO11" s="1115">
        <f t="shared" si="2"/>
        <v>2598.85</v>
      </c>
      <c r="AP11" s="1115">
        <f t="shared" si="2"/>
        <v>3139.3100000000004</v>
      </c>
      <c r="AQ11" s="1115">
        <f t="shared" si="2"/>
        <v>3679.17</v>
      </c>
      <c r="AR11" s="1115">
        <f t="shared" si="2"/>
        <v>4219.54</v>
      </c>
      <c r="AS11" s="1115">
        <f t="shared" si="2"/>
        <v>5049.25</v>
      </c>
      <c r="AT11" s="1115">
        <f t="shared" si="2"/>
        <v>5878.8700000000008</v>
      </c>
      <c r="AU11" s="1115">
        <f t="shared" si="2"/>
        <v>6708.5700000000006</v>
      </c>
      <c r="AV11" s="1115">
        <f t="shared" si="2"/>
        <v>7538.28</v>
      </c>
      <c r="AW11" s="1115">
        <f t="shared" si="2"/>
        <v>8368.8000000000011</v>
      </c>
      <c r="AX11" s="1115">
        <f t="shared" si="2"/>
        <v>8817.8000000000011</v>
      </c>
      <c r="AY11" s="1115">
        <f t="shared" si="2"/>
        <v>8977.26</v>
      </c>
      <c r="AZ11" s="1115">
        <f t="shared" si="2"/>
        <v>9136.7200000000012</v>
      </c>
      <c r="BA11" s="1115">
        <f t="shared" si="2"/>
        <v>9296.1800000000021</v>
      </c>
      <c r="BB11" s="1115">
        <f t="shared" si="2"/>
        <v>9455.7400000000016</v>
      </c>
      <c r="BC11" s="1115">
        <f t="shared" si="2"/>
        <v>9615.2000000000007</v>
      </c>
      <c r="BD11" s="1115">
        <f t="shared" si="2"/>
        <v>9774.76</v>
      </c>
      <c r="BE11" s="1115">
        <f t="shared" si="2"/>
        <v>9934.2199999999993</v>
      </c>
      <c r="BF11" s="1115">
        <f t="shared" si="2"/>
        <v>10093.68</v>
      </c>
      <c r="BG11" s="1115">
        <f t="shared" si="2"/>
        <v>10253.240000000002</v>
      </c>
      <c r="BH11" s="1115">
        <f t="shared" si="2"/>
        <v>10412.700000000001</v>
      </c>
      <c r="BI11" s="1115">
        <f t="shared" si="2"/>
        <v>10572.16</v>
      </c>
      <c r="BJ11" s="1115">
        <f t="shared" si="2"/>
        <v>10731.72</v>
      </c>
      <c r="BK11" s="394">
        <f>((0.33*'Traffic Data'!AK11)/Speed!X92)+((0.67*'Traffic Data'!AK11)/Speed!AX92)</f>
        <v>24.242438227745033</v>
      </c>
      <c r="BL11" s="392">
        <f>((0.33*AL11)/Speed!Y92)+((0.67*AL11)/Speed!AY92)</f>
        <v>27.463893554076215</v>
      </c>
      <c r="BM11" s="392">
        <f>((0.33*AM11)/Speed!Z92)+((0.67*AM11)/Speed!AZ92)</f>
        <v>30.687459740693413</v>
      </c>
      <c r="BN11" s="392">
        <f>((0.33*AN11)/Speed!AA92)+((0.67*AN11)/Speed!BA92)</f>
        <v>41.59883948049935</v>
      </c>
      <c r="BO11" s="392">
        <f>((0.33*AO11)/Speed!AB92)+((0.67*AO11)/Speed!BB92)</f>
        <v>52.570769172795607</v>
      </c>
      <c r="BP11" s="392">
        <f>((0.33*AP11)/Speed!AC92)+((0.67*AP11)/Speed!BC92)</f>
        <v>63.969754431886031</v>
      </c>
      <c r="BQ11" s="392">
        <f>((0.33*AQ11)/Speed!AD92)+((0.67*AQ11)/Speed!BD92)</f>
        <v>77.473849377290193</v>
      </c>
      <c r="BR11" s="392">
        <f>((0.33*AR11)/Speed!AE92)+((0.67*AR11)/Speed!BE92)</f>
        <v>99.45310086885263</v>
      </c>
      <c r="BS11" s="392">
        <f>((0.33*AS11)/Speed!AF92)+((0.67*AS11)/Speed!BF92)</f>
        <v>204.37415713858363</v>
      </c>
      <c r="BT11" s="392">
        <f>((0.33*AT11)/Speed!AG92)+((0.67*AT11)/Speed!BG92)</f>
        <v>273.5770803973877</v>
      </c>
      <c r="BU11" s="392">
        <f>((0.33*AU11)/Speed!AH92)+((0.67*AU11)/Speed!BH92)</f>
        <v>312.19500971013565</v>
      </c>
      <c r="BV11" s="392">
        <f>((0.33*AV11)/Speed!AI92)+((0.67*AV11)/Speed!BI92)</f>
        <v>350.83579174591472</v>
      </c>
      <c r="BW11" s="392">
        <f>((0.33*AW11)/Speed!AJ92)+((0.67*AW11)/Speed!BJ92)</f>
        <v>389.5849740397498</v>
      </c>
      <c r="BX11" s="392">
        <f>((0.33*AX11)/Speed!AK92)+((0.67*AX11)/Speed!BK92)</f>
        <v>410.75866514099118</v>
      </c>
      <c r="BY11" s="392">
        <f>((0.33*AY11)/Speed!AL92)+((0.67*AY11)/Speed!BL92)</f>
        <v>418.4797499275561</v>
      </c>
      <c r="BZ11" s="392">
        <f>((0.33*AZ11)/Speed!AM92)+((0.67*AZ11)/Speed!BM92)</f>
        <v>426.05685650243805</v>
      </c>
      <c r="CA11" s="392">
        <f>((0.33*BA11)/Speed!AN92)+((0.67*BA11)/Speed!BN92)</f>
        <v>433.66433907401336</v>
      </c>
      <c r="CB11" s="392">
        <f>((0.33*BB11)/Speed!AO92)+((0.67*BB11)/Speed!BO92)</f>
        <v>441.31206929831927</v>
      </c>
      <c r="CC11" s="392">
        <f>((0.33*BC11)/Speed!AP92)+((0.67*BC11)/Speed!BP92)</f>
        <v>448.99686198332302</v>
      </c>
      <c r="CD11" s="392">
        <f>((0.33*BD11)/Speed!AQ92)+((0.67*BD11)/Speed!BQ92)</f>
        <v>456.7346173666117</v>
      </c>
      <c r="CE11" s="392">
        <f>((0.33*BE11)/Speed!AR92)+((0.67*BE11)/Speed!BR92)</f>
        <v>464.5242104838162</v>
      </c>
      <c r="CF11" s="392">
        <f>((0.33*BF11)/Speed!AS92)+((0.67*BF11)/Speed!BS92)</f>
        <v>472.37885609115904</v>
      </c>
      <c r="CG11" s="392">
        <f>((0.33*BG11)/Speed!AT92)+((0.67*BG11)/Speed!BT92)</f>
        <v>480.31364165554191</v>
      </c>
      <c r="CH11" s="392">
        <f>((0.33*BH11)/Speed!AU92)+((0.67*BH11)/Speed!BU92)</f>
        <v>488.33117666755902</v>
      </c>
      <c r="CI11" s="392">
        <f>((0.33*BI11)/Speed!AV92)+((0.67*BI11)/Speed!BV92)</f>
        <v>496.44863235209863</v>
      </c>
      <c r="CJ11" s="430">
        <f>((0.33*BJ11)/Speed!AW92)+((0.67*BJ11)/Speed!BW92)</f>
        <v>504.68593393683329</v>
      </c>
      <c r="CK11" s="1386"/>
      <c r="CL11" s="1386"/>
      <c r="CM11" s="1381"/>
      <c r="CN11" s="1393"/>
      <c r="CO11" s="1116"/>
      <c r="CP11" s="62"/>
      <c r="CQ11" s="1117"/>
      <c r="CR11" s="1118"/>
      <c r="DA11"/>
    </row>
    <row r="12" spans="1:105" ht="21.9" customHeight="1" x14ac:dyDescent="0.25">
      <c r="B12" s="469"/>
      <c r="C12" s="1339"/>
      <c r="D12" s="250" t="s">
        <v>308</v>
      </c>
      <c r="E12" s="250" t="s">
        <v>319</v>
      </c>
      <c r="F12" s="250" t="s">
        <v>349</v>
      </c>
      <c r="G12" s="1121">
        <v>45</v>
      </c>
      <c r="H12" s="1122">
        <v>2.68</v>
      </c>
      <c r="I12" s="258">
        <v>2</v>
      </c>
      <c r="J12" s="321">
        <f>'Trip Gen'!W73</f>
        <v>6000</v>
      </c>
      <c r="K12" s="1120">
        <f>'Trip Gen'!X73</f>
        <v>6222.5300000000007</v>
      </c>
      <c r="L12" s="1120">
        <f>'Trip Gen'!Y73</f>
        <v>6445.1999999999989</v>
      </c>
      <c r="M12" s="1120">
        <f>'Trip Gen'!Z73</f>
        <v>6877.63</v>
      </c>
      <c r="N12" s="1120">
        <f>'Trip Gen'!AA73</f>
        <v>7310.31</v>
      </c>
      <c r="O12" s="1120">
        <f>'Trip Gen'!AB73</f>
        <v>7742.880000000001</v>
      </c>
      <c r="P12" s="1120">
        <f>'Trip Gen'!AC73</f>
        <v>8175.3100000000013</v>
      </c>
      <c r="Q12" s="1120">
        <f>'Trip Gen'!AD73</f>
        <v>8608.2000000000007</v>
      </c>
      <c r="R12" s="1120">
        <f>'Trip Gen'!AE73</f>
        <v>9208.93</v>
      </c>
      <c r="S12" s="1120">
        <f>'Trip Gen'!AF73</f>
        <v>9809.98</v>
      </c>
      <c r="T12" s="1120">
        <f>'Trip Gen'!AG73</f>
        <v>10410.599999999999</v>
      </c>
      <c r="U12" s="1120">
        <f>'Trip Gen'!AH73</f>
        <v>11011.330000000002</v>
      </c>
      <c r="V12" s="1120">
        <f>'Trip Gen'!AI73</f>
        <v>11612.590000000002</v>
      </c>
      <c r="W12" s="1120">
        <f>'Trip Gen'!AJ73</f>
        <v>12003.24</v>
      </c>
      <c r="X12" s="1120">
        <f>'Trip Gen'!AK73</f>
        <v>12225.770000000002</v>
      </c>
      <c r="Y12" s="1120">
        <f>'Trip Gen'!AL73</f>
        <v>12448.300000000001</v>
      </c>
      <c r="Z12" s="1120">
        <f>'Trip Gen'!AM73</f>
        <v>12670.830000000002</v>
      </c>
      <c r="AA12" s="1120">
        <f>'Trip Gen'!AN73</f>
        <v>12893.500000000004</v>
      </c>
      <c r="AB12" s="1120">
        <f>'Trip Gen'!AO73</f>
        <v>13116.029999999999</v>
      </c>
      <c r="AC12" s="1120">
        <f>'Trip Gen'!AP73</f>
        <v>13338.7</v>
      </c>
      <c r="AD12" s="1120">
        <f>'Trip Gen'!AQ73</f>
        <v>13561.230000000001</v>
      </c>
      <c r="AE12" s="1120">
        <f>'Trip Gen'!AR73</f>
        <v>13783.760000000002</v>
      </c>
      <c r="AF12" s="1120">
        <f>'Trip Gen'!AS73</f>
        <v>14006.430000000002</v>
      </c>
      <c r="AG12" s="1120">
        <f>'Trip Gen'!AT73</f>
        <v>14228.960000000001</v>
      </c>
      <c r="AH12" s="1120">
        <f>'Trip Gen'!AU73</f>
        <v>14451.490000000002</v>
      </c>
      <c r="AI12" s="1120">
        <f>'Trip Gen'!AV73</f>
        <v>14674.160000000002</v>
      </c>
      <c r="AJ12" s="1140">
        <f t="shared" si="0"/>
        <v>5.7827733333333346E-2</v>
      </c>
      <c r="AK12" s="321">
        <f t="shared" si="1"/>
        <v>16080.000000000002</v>
      </c>
      <c r="AL12" s="1120">
        <f t="shared" si="2"/>
        <v>16676.380400000002</v>
      </c>
      <c r="AM12" s="1120">
        <f t="shared" si="2"/>
        <v>17273.135999999999</v>
      </c>
      <c r="AN12" s="1120">
        <f t="shared" si="2"/>
        <v>18432.0484</v>
      </c>
      <c r="AO12" s="1120">
        <f t="shared" si="2"/>
        <v>19591.630800000003</v>
      </c>
      <c r="AP12" s="1120">
        <f t="shared" si="2"/>
        <v>20750.918400000002</v>
      </c>
      <c r="AQ12" s="1120">
        <f t="shared" si="2"/>
        <v>21909.830800000003</v>
      </c>
      <c r="AR12" s="1120">
        <f t="shared" si="2"/>
        <v>23069.976000000002</v>
      </c>
      <c r="AS12" s="1120">
        <f t="shared" si="2"/>
        <v>24679.932400000002</v>
      </c>
      <c r="AT12" s="1120">
        <f t="shared" si="2"/>
        <v>26290.7464</v>
      </c>
      <c r="AU12" s="1120">
        <f t="shared" si="2"/>
        <v>27900.407999999999</v>
      </c>
      <c r="AV12" s="1120">
        <f t="shared" si="2"/>
        <v>29510.364400000006</v>
      </c>
      <c r="AW12" s="1120">
        <f t="shared" si="2"/>
        <v>31121.741200000008</v>
      </c>
      <c r="AX12" s="1120">
        <f t="shared" si="2"/>
        <v>32168.683200000003</v>
      </c>
      <c r="AY12" s="1120">
        <f t="shared" si="2"/>
        <v>32765.063600000009</v>
      </c>
      <c r="AZ12" s="1120">
        <f t="shared" si="2"/>
        <v>33361.444000000003</v>
      </c>
      <c r="BA12" s="1120">
        <f t="shared" si="2"/>
        <v>33957.824400000005</v>
      </c>
      <c r="BB12" s="1120">
        <f t="shared" si="2"/>
        <v>34554.580000000009</v>
      </c>
      <c r="BC12" s="1120">
        <f t="shared" si="2"/>
        <v>35150.960399999996</v>
      </c>
      <c r="BD12" s="1120">
        <f t="shared" si="2"/>
        <v>35747.716000000008</v>
      </c>
      <c r="BE12" s="1120">
        <f t="shared" si="2"/>
        <v>36344.096400000009</v>
      </c>
      <c r="BF12" s="1120">
        <f t="shared" si="2"/>
        <v>36940.476800000011</v>
      </c>
      <c r="BG12" s="1120">
        <f t="shared" si="2"/>
        <v>37537.232400000008</v>
      </c>
      <c r="BH12" s="1120">
        <f t="shared" si="2"/>
        <v>38133.612800000003</v>
      </c>
      <c r="BI12" s="1120">
        <f t="shared" si="2"/>
        <v>38729.993200000004</v>
      </c>
      <c r="BJ12" s="1120">
        <f t="shared" si="2"/>
        <v>39326.748800000008</v>
      </c>
      <c r="BK12" s="396">
        <f>((0.33*'Traffic Data'!AK12)/Speed!X93)+((0.67*'Traffic Data'!AK12)/Speed!AX93)</f>
        <v>344.00994144229037</v>
      </c>
      <c r="BL12" s="431">
        <f>((0.33*AL12)/Speed!Y93)+((0.67*AL12)/Speed!AY93)</f>
        <v>357.62627809346213</v>
      </c>
      <c r="BM12" s="431">
        <f>((0.33*AM12)/Speed!Z93)+((0.67*AM12)/Speed!AZ93)</f>
        <v>371.64990170314576</v>
      </c>
      <c r="BN12" s="431">
        <f>((0.33*AN12)/Speed!AA93)+((0.67*AN12)/Speed!BA93)</f>
        <v>400.62100859724751</v>
      </c>
      <c r="BO12" s="431">
        <f>((0.33*AO12)/Speed!AB93)+((0.67*AO12)/Speed!BB93)</f>
        <v>433.37468581304307</v>
      </c>
      <c r="BP12" s="431">
        <f>((0.33*AP12)/Speed!AC93)+((0.67*AP12)/Speed!BC93)</f>
        <v>472.62218751038506</v>
      </c>
      <c r="BQ12" s="431">
        <f>((0.33*AQ12)/Speed!AD93)+((0.67*AQ12)/Speed!BD93)</f>
        <v>522.73381529056746</v>
      </c>
      <c r="BR12" s="431">
        <f>((0.33*AR12)/Speed!AE93)+((0.67*AR12)/Speed!BE93)</f>
        <v>590.63299238794366</v>
      </c>
      <c r="BS12" s="431">
        <f>((0.33*AS12)/Speed!AF93)+((0.67*AS12)/Speed!BF93)</f>
        <v>734.6698715058767</v>
      </c>
      <c r="BT12" s="431">
        <f>((0.33*AT12)/Speed!AG93)+((0.67*AT12)/Speed!BG93)</f>
        <v>979.49162284236968</v>
      </c>
      <c r="BU12" s="431">
        <f>((0.33*AU12)/Speed!AH93)+((0.67*AU12)/Speed!BH93)</f>
        <v>1318.4493671556738</v>
      </c>
      <c r="BV12" s="431">
        <f>((0.33*AV12)/Speed!AI93)+((0.67*AV12)/Speed!BI93)</f>
        <v>1394.5344933580557</v>
      </c>
      <c r="BW12" s="431">
        <f>((0.33*AW12)/Speed!AJ93)+((0.67*AW12)/Speed!BJ93)</f>
        <v>1470.6914788198976</v>
      </c>
      <c r="BX12" s="431">
        <f>((0.33*AX12)/Speed!AK93)+((0.67*AX12)/Speed!BK93)</f>
        <v>1520.1830192953255</v>
      </c>
      <c r="BY12" s="431">
        <f>((0.33*AY12)/Speed!AL93)+((0.67*AY12)/Speed!BL93)</f>
        <v>1548.3825653524002</v>
      </c>
      <c r="BZ12" s="431">
        <f>((0.33*AZ12)/Speed!AM93)+((0.67*AZ12)/Speed!BM93)</f>
        <v>1576.5779054381624</v>
      </c>
      <c r="CA12" s="431">
        <f>((0.33*BA12)/Speed!AN93)+((0.67*BA12)/Speed!BN93)</f>
        <v>1604.7758741738239</v>
      </c>
      <c r="CB12" s="431">
        <f>((0.33*BB12)/Speed!AO93)+((0.67*BB12)/Speed!BO93)</f>
        <v>1632.9946652226281</v>
      </c>
      <c r="CC12" s="431">
        <f>((0.33*BC12)/Speed!AP93)+((0.67*BC12)/Speed!BP93)</f>
        <v>1661.199363372381</v>
      </c>
      <c r="CD12" s="431">
        <f>((0.33*BD12)/Speed!AQ93)+((0.67*BD12)/Speed!BQ93)</f>
        <v>1689.4260196028565</v>
      </c>
      <c r="CE12" s="431">
        <f>((0.33*BE12)/Speed!AR93)+((0.67*BE12)/Speed!BR93)</f>
        <v>1717.6399062630287</v>
      </c>
      <c r="CF12" s="431">
        <f>((0.33*BF12)/Speed!AS93)+((0.67*BF12)/Speed!BS93)</f>
        <v>1745.859525328327</v>
      </c>
      <c r="CG12" s="431">
        <f>((0.33*BG12)/Speed!AT93)+((0.67*BG12)/Speed!BT93)</f>
        <v>1774.1035476514971</v>
      </c>
      <c r="CH12" s="431">
        <f>((0.33*BH12)/Speed!AU93)+((0.67*BH12)/Speed!BU93)</f>
        <v>1802.3375903081633</v>
      </c>
      <c r="CI12" s="431">
        <f>((0.33*BI12)/Speed!AV93)+((0.67*BI12)/Speed!BV93)</f>
        <v>1830.580521748695</v>
      </c>
      <c r="CJ12" s="432">
        <f>((0.33*BJ12)/Speed!AW93)+((0.67*BJ12)/Speed!BW93)</f>
        <v>1858.8514603573021</v>
      </c>
      <c r="CK12" s="1387"/>
      <c r="CL12" s="1387"/>
      <c r="CM12" s="1382"/>
      <c r="CN12" s="1394"/>
      <c r="CO12" s="1116"/>
      <c r="CP12" s="62"/>
      <c r="CQ12" s="1117"/>
      <c r="CR12" s="1118"/>
      <c r="DA12"/>
    </row>
    <row r="13" spans="1:105" ht="21.9" customHeight="1" x14ac:dyDescent="0.25">
      <c r="B13" s="469"/>
      <c r="C13" s="114" t="s">
        <v>320</v>
      </c>
      <c r="D13" s="114" t="s">
        <v>318</v>
      </c>
      <c r="E13" s="114" t="s">
        <v>308</v>
      </c>
      <c r="F13" s="114" t="s">
        <v>350</v>
      </c>
      <c r="G13" s="343">
        <v>40</v>
      </c>
      <c r="H13" s="1119">
        <v>2.35</v>
      </c>
      <c r="I13" s="256">
        <v>2</v>
      </c>
      <c r="J13" s="320">
        <f>'Trip Gen'!W77</f>
        <v>20</v>
      </c>
      <c r="K13" s="1123">
        <f>'Trip Gen'!X77</f>
        <v>32.379999999999995</v>
      </c>
      <c r="L13" s="1123">
        <f>'Trip Gen'!Y77</f>
        <v>92.38</v>
      </c>
      <c r="M13" s="1123">
        <f>'Trip Gen'!Z77</f>
        <v>195.32</v>
      </c>
      <c r="N13" s="1123">
        <f>'Trip Gen'!AA77</f>
        <v>298.34000000000003</v>
      </c>
      <c r="O13" s="1123">
        <f>'Trip Gen'!AB77</f>
        <v>401.32000000000005</v>
      </c>
      <c r="P13" s="1123">
        <f>'Trip Gen'!AC77</f>
        <v>504.26000000000005</v>
      </c>
      <c r="Q13" s="1123">
        <f>'Trip Gen'!AD77</f>
        <v>607.36</v>
      </c>
      <c r="R13" s="1123">
        <f>'Trip Gen'!AE77</f>
        <v>662.74</v>
      </c>
      <c r="S13" s="1123">
        <f>'Trip Gen'!AF77</f>
        <v>718.19999999999993</v>
      </c>
      <c r="T13" s="1123">
        <f>'Trip Gen'!AG77</f>
        <v>773.6</v>
      </c>
      <c r="U13" s="1123">
        <f>'Trip Gen'!AH77</f>
        <v>828.98</v>
      </c>
      <c r="V13" s="1123">
        <f>'Trip Gen'!AI77</f>
        <v>884.5</v>
      </c>
      <c r="W13" s="1123">
        <f>'Trip Gen'!AJ77</f>
        <v>896.87999999999988</v>
      </c>
      <c r="X13" s="1123">
        <f>'Trip Gen'!AK77</f>
        <v>909.26</v>
      </c>
      <c r="Y13" s="1123">
        <f>'Trip Gen'!AL77</f>
        <v>921.63999999999987</v>
      </c>
      <c r="Z13" s="1123">
        <f>'Trip Gen'!AM77</f>
        <v>934.02</v>
      </c>
      <c r="AA13" s="1123">
        <f>'Trip Gen'!AN77</f>
        <v>946.45999999999992</v>
      </c>
      <c r="AB13" s="1123">
        <f>'Trip Gen'!AO77</f>
        <v>958.83999999999992</v>
      </c>
      <c r="AC13" s="1123">
        <f>'Trip Gen'!AP77</f>
        <v>971.28</v>
      </c>
      <c r="AD13" s="1123">
        <f>'Trip Gen'!AQ77</f>
        <v>983.65999999999985</v>
      </c>
      <c r="AE13" s="1123">
        <f>'Trip Gen'!AR77</f>
        <v>996.04</v>
      </c>
      <c r="AF13" s="1123">
        <f>'Trip Gen'!AS77</f>
        <v>1008.48</v>
      </c>
      <c r="AG13" s="1123">
        <f>'Trip Gen'!AT77</f>
        <v>1020.8599999999999</v>
      </c>
      <c r="AH13" s="1123">
        <f>'Trip Gen'!AU77</f>
        <v>1033.24</v>
      </c>
      <c r="AI13" s="1137">
        <f>'Trip Gen'!AV77</f>
        <v>1045.68</v>
      </c>
      <c r="AJ13" s="1139">
        <f t="shared" si="0"/>
        <v>2.0513600000000003</v>
      </c>
      <c r="AK13" s="320">
        <f t="shared" ref="AK13:AK26" si="3">$H13*J13</f>
        <v>47</v>
      </c>
      <c r="AL13" s="1123">
        <f t="shared" si="2"/>
        <v>76.092999999999989</v>
      </c>
      <c r="AM13" s="1123">
        <f t="shared" si="2"/>
        <v>217.09299999999999</v>
      </c>
      <c r="AN13" s="1123">
        <f t="shared" si="2"/>
        <v>459.00200000000001</v>
      </c>
      <c r="AO13" s="1123">
        <f t="shared" si="2"/>
        <v>701.09900000000005</v>
      </c>
      <c r="AP13" s="1123">
        <f t="shared" si="2"/>
        <v>943.1020000000002</v>
      </c>
      <c r="AQ13" s="1123">
        <f t="shared" si="2"/>
        <v>1185.0110000000002</v>
      </c>
      <c r="AR13" s="1123">
        <f t="shared" si="2"/>
        <v>1427.296</v>
      </c>
      <c r="AS13" s="1123">
        <f t="shared" si="2"/>
        <v>1557.4390000000001</v>
      </c>
      <c r="AT13" s="1123">
        <f t="shared" si="2"/>
        <v>1687.77</v>
      </c>
      <c r="AU13" s="1123">
        <f t="shared" si="2"/>
        <v>1817.96</v>
      </c>
      <c r="AV13" s="1236">
        <f t="shared" si="2"/>
        <v>1948.1030000000001</v>
      </c>
      <c r="AW13" s="1123">
        <f t="shared" si="2"/>
        <v>2078.5750000000003</v>
      </c>
      <c r="AX13" s="1123">
        <f t="shared" si="2"/>
        <v>2107.6679999999997</v>
      </c>
      <c r="AY13" s="1123">
        <f t="shared" si="2"/>
        <v>2136.761</v>
      </c>
      <c r="AZ13" s="1123">
        <f t="shared" si="2"/>
        <v>2165.8539999999998</v>
      </c>
      <c r="BA13" s="1123">
        <f t="shared" si="2"/>
        <v>2194.9470000000001</v>
      </c>
      <c r="BB13" s="1123">
        <f t="shared" si="2"/>
        <v>2224.181</v>
      </c>
      <c r="BC13" s="1123">
        <f t="shared" si="2"/>
        <v>2253.2739999999999</v>
      </c>
      <c r="BD13" s="1123">
        <f t="shared" si="2"/>
        <v>2282.5079999999998</v>
      </c>
      <c r="BE13" s="1123">
        <f t="shared" si="2"/>
        <v>2311.6009999999997</v>
      </c>
      <c r="BF13" s="1123">
        <f t="shared" si="2"/>
        <v>2340.694</v>
      </c>
      <c r="BG13" s="1123">
        <f t="shared" si="2"/>
        <v>2369.9280000000003</v>
      </c>
      <c r="BH13" s="1123">
        <f t="shared" si="2"/>
        <v>2399.0209999999997</v>
      </c>
      <c r="BI13" s="1123">
        <f t="shared" si="2"/>
        <v>2428.114</v>
      </c>
      <c r="BJ13" s="1137">
        <f t="shared" si="2"/>
        <v>2457.3480000000004</v>
      </c>
      <c r="BK13" s="394">
        <f>((0.33*'Traffic Data'!AK13)/Speed!X94)+((0.67*'Traffic Data'!AK13)/Speed!AX94)</f>
        <v>2.3152709359605912</v>
      </c>
      <c r="BL13" s="392">
        <f>((0.33*AL13)/Speed!Y94)+((0.67*AL13)/Speed!AY94)</f>
        <v>3.7484236453201967</v>
      </c>
      <c r="BM13" s="392">
        <f>((0.33*AM13)/Speed!Z94)+((0.67*AM13)/Speed!AZ94)</f>
        <v>10.69423645320197</v>
      </c>
      <c r="BN13" s="392">
        <f>((0.33*AN13)/Speed!AA94)+((0.67*AN13)/Speed!BA94)</f>
        <v>22.610935960591132</v>
      </c>
      <c r="BO13" s="392">
        <f>((0.33*AO13)/Speed!AB94)+((0.67*AO13)/Speed!BB94)</f>
        <v>34.536896551724162</v>
      </c>
      <c r="BP13" s="392">
        <f>((0.33*AP13)/Speed!AC94)+((0.67*AP13)/Speed!BC94)</f>
        <v>46.45822660098581</v>
      </c>
      <c r="BQ13" s="392">
        <f>((0.33*AQ13)/Speed!AD94)+((0.67*AQ13)/Speed!BD94)</f>
        <v>58.374926108381466</v>
      </c>
      <c r="BR13" s="392">
        <f>((0.33*AR13)/Speed!AE94)+((0.67*AR13)/Speed!BE94)</f>
        <v>70.31014778330595</v>
      </c>
      <c r="BS13" s="392">
        <f>((0.33*AS13)/Speed!AF94)+((0.67*AS13)/Speed!BF94)</f>
        <v>76.721133005068978</v>
      </c>
      <c r="BT13" s="392">
        <f>((0.33*AT13)/Speed!AG94)+((0.67*AT13)/Speed!BG94)</f>
        <v>83.141379310690638</v>
      </c>
      <c r="BU13" s="392">
        <f>((0.33*AU13)/Speed!AH94)+((0.67*AU13)/Speed!BH94)</f>
        <v>89.554679803738793</v>
      </c>
      <c r="BV13" s="392">
        <f>((0.33*AV13)/Speed!AI94)+((0.67*AV13)/Speed!BI94)</f>
        <v>95.965665026305999</v>
      </c>
      <c r="BW13" s="392">
        <f>((0.33*AW13)/Speed!AJ94)+((0.67*AW13)/Speed!BJ94)</f>
        <v>102.39285714627559</v>
      </c>
      <c r="BX13" s="392">
        <f>((0.33*AX13)/Speed!AK94)+((0.67*AX13)/Speed!BK94)</f>
        <v>103.82600985619993</v>
      </c>
      <c r="BY13" s="392">
        <f>((0.33*AY13)/Speed!AL94)+((0.67*AY13)/Speed!BL94)</f>
        <v>105.25916256620786</v>
      </c>
      <c r="BZ13" s="392">
        <f>((0.33*AZ13)/Speed!AM94)+((0.67*AZ13)/Speed!BM94)</f>
        <v>106.69231527631032</v>
      </c>
      <c r="CA13" s="392">
        <f>((0.33*BA13)/Speed!AN94)+((0.67*BA13)/Speed!BN94)</f>
        <v>108.12546798651958</v>
      </c>
      <c r="CB13" s="392">
        <f>((0.33*BB13)/Speed!AO94)+((0.67*BB13)/Speed!BO94)</f>
        <v>109.56556650966218</v>
      </c>
      <c r="CC13" s="392">
        <f>((0.33*BC13)/Speed!AP94)+((0.67*BC13)/Speed!BP94)</f>
        <v>110.99871922012807</v>
      </c>
      <c r="CD13" s="392">
        <f>((0.33*BD13)/Speed!AQ94)+((0.67*BD13)/Speed!BQ94)</f>
        <v>112.43881774356082</v>
      </c>
      <c r="CE13" s="392">
        <f>((0.33*BE13)/Speed!AR94)+((0.67*BE13)/Speed!BR94)</f>
        <v>113.87197045435116</v>
      </c>
      <c r="CF13" s="392">
        <f>((0.33*BF13)/Speed!AS94)+((0.67*BF13)/Speed!BS94)</f>
        <v>115.30512316533341</v>
      </c>
      <c r="CG13" s="392">
        <f>((0.33*BG13)/Speed!AT94)+((0.67*BG13)/Speed!BT94)</f>
        <v>116.74522168934769</v>
      </c>
      <c r="CH13" s="392">
        <f>((0.33*BH13)/Speed!AU94)+((0.67*BH13)/Speed!BU94)</f>
        <v>118.1783744007858</v>
      </c>
      <c r="CI13" s="392">
        <f>((0.33*BI13)/Speed!AV94)+((0.67*BI13)/Speed!BV94)</f>
        <v>119.61152711249193</v>
      </c>
      <c r="CJ13" s="430">
        <f>((0.33*BJ13)/Speed!AW94)+((0.67*BJ13)/Speed!BW94)</f>
        <v>121.05162563731817</v>
      </c>
      <c r="CK13" s="252">
        <f>Inputs!$F$35</f>
        <v>0.2</v>
      </c>
      <c r="CL13" s="252">
        <f>Inputs!$F$36</f>
        <v>0.8</v>
      </c>
      <c r="CM13" s="253">
        <f>1/(1+CK13)</f>
        <v>0.83333333333333337</v>
      </c>
      <c r="CN13" s="269">
        <v>0.88</v>
      </c>
      <c r="CO13" s="1116"/>
      <c r="CP13" s="62"/>
      <c r="CQ13" s="1117"/>
      <c r="CR13" s="1118"/>
      <c r="DA13"/>
    </row>
    <row r="14" spans="1:105" ht="21.9" customHeight="1" x14ac:dyDescent="0.25">
      <c r="B14" s="469"/>
      <c r="C14" s="1325" t="s">
        <v>308</v>
      </c>
      <c r="D14" s="217" t="s">
        <v>276</v>
      </c>
      <c r="E14" s="217" t="s">
        <v>320</v>
      </c>
      <c r="F14" s="217" t="s">
        <v>351</v>
      </c>
      <c r="G14" s="1113">
        <v>40</v>
      </c>
      <c r="H14" s="1114">
        <v>1.35</v>
      </c>
      <c r="I14" s="257">
        <v>2</v>
      </c>
      <c r="J14" s="319">
        <f>'Trip Gen'!W74</f>
        <v>100</v>
      </c>
      <c r="K14" s="1124">
        <f>'Trip Gen'!X74</f>
        <v>100</v>
      </c>
      <c r="L14" s="1124">
        <f>'Trip Gen'!Y74</f>
        <v>1170.1000000000001</v>
      </c>
      <c r="M14" s="1124">
        <f>'Trip Gen'!Z74</f>
        <v>2240.2000000000003</v>
      </c>
      <c r="N14" s="1124">
        <f>'Trip Gen'!AA74</f>
        <v>3311.2000000000003</v>
      </c>
      <c r="O14" s="1124">
        <f>'Trip Gen'!AB74</f>
        <v>4381.3</v>
      </c>
      <c r="P14" s="1124">
        <f>'Trip Gen'!AC74</f>
        <v>5451.4000000000005</v>
      </c>
      <c r="Q14" s="1124">
        <f>'Trip Gen'!AD74</f>
        <v>6522.4000000000005</v>
      </c>
      <c r="R14" s="1124">
        <f>'Trip Gen'!AE74</f>
        <v>6522.4000000000005</v>
      </c>
      <c r="S14" s="1124">
        <f>'Trip Gen'!AF74</f>
        <v>6522.4000000000005</v>
      </c>
      <c r="T14" s="1124">
        <f>'Trip Gen'!AG74</f>
        <v>6522.4000000000005</v>
      </c>
      <c r="U14" s="1124">
        <f>'Trip Gen'!AH74</f>
        <v>6522.4000000000005</v>
      </c>
      <c r="V14" s="1124">
        <f>'Trip Gen'!AI74</f>
        <v>6522.4000000000005</v>
      </c>
      <c r="W14" s="1124">
        <f>'Trip Gen'!AJ74</f>
        <v>6522.4000000000005</v>
      </c>
      <c r="X14" s="1124">
        <f>'Trip Gen'!AK74</f>
        <v>6522.4000000000005</v>
      </c>
      <c r="Y14" s="1124">
        <f>'Trip Gen'!AL74</f>
        <v>6522.4000000000005</v>
      </c>
      <c r="Z14" s="1124">
        <f>'Trip Gen'!AM74</f>
        <v>6522.4000000000005</v>
      </c>
      <c r="AA14" s="1124">
        <f>'Trip Gen'!AN74</f>
        <v>6522.4000000000005</v>
      </c>
      <c r="AB14" s="1124">
        <f>'Trip Gen'!AO74</f>
        <v>6522.4000000000005</v>
      </c>
      <c r="AC14" s="1124">
        <f>'Trip Gen'!AP74</f>
        <v>6522.4000000000005</v>
      </c>
      <c r="AD14" s="1124">
        <f>'Trip Gen'!AQ74</f>
        <v>6522.4000000000005</v>
      </c>
      <c r="AE14" s="1124">
        <f>'Trip Gen'!AR74</f>
        <v>6522.4000000000005</v>
      </c>
      <c r="AF14" s="1124">
        <f>'Trip Gen'!AS74</f>
        <v>6522.4000000000005</v>
      </c>
      <c r="AG14" s="1124">
        <f>'Trip Gen'!AT74</f>
        <v>6522.4000000000005</v>
      </c>
      <c r="AH14" s="1124">
        <f>'Trip Gen'!AU74</f>
        <v>6522.4000000000005</v>
      </c>
      <c r="AI14" s="1115">
        <f>'Trip Gen'!AV74</f>
        <v>6522.4000000000005</v>
      </c>
      <c r="AJ14" s="1138">
        <f t="shared" si="0"/>
        <v>2.5689600000000001</v>
      </c>
      <c r="AK14" s="319">
        <f t="shared" si="3"/>
        <v>135</v>
      </c>
      <c r="AL14" s="1124">
        <f t="shared" si="2"/>
        <v>135</v>
      </c>
      <c r="AM14" s="1124">
        <f t="shared" si="2"/>
        <v>1579.6350000000002</v>
      </c>
      <c r="AN14" s="1124">
        <f t="shared" si="2"/>
        <v>3024.2700000000004</v>
      </c>
      <c r="AO14" s="1124">
        <f t="shared" si="2"/>
        <v>4470.1200000000008</v>
      </c>
      <c r="AP14" s="1124">
        <f t="shared" si="2"/>
        <v>5914.755000000001</v>
      </c>
      <c r="AQ14" s="1124">
        <f t="shared" si="2"/>
        <v>7359.3900000000012</v>
      </c>
      <c r="AR14" s="1124">
        <f t="shared" si="2"/>
        <v>8805.2400000000016</v>
      </c>
      <c r="AS14" s="1124">
        <f t="shared" si="2"/>
        <v>8805.2400000000016</v>
      </c>
      <c r="AT14" s="1124">
        <f t="shared" si="2"/>
        <v>8805.2400000000016</v>
      </c>
      <c r="AU14" s="1124">
        <f t="shared" si="2"/>
        <v>8805.2400000000016</v>
      </c>
      <c r="AV14" s="1234">
        <f t="shared" si="2"/>
        <v>8805.2400000000016</v>
      </c>
      <c r="AW14" s="1124">
        <f t="shared" si="2"/>
        <v>8805.2400000000016</v>
      </c>
      <c r="AX14" s="1124">
        <f t="shared" si="2"/>
        <v>8805.2400000000016</v>
      </c>
      <c r="AY14" s="1124">
        <f t="shared" si="2"/>
        <v>8805.2400000000016</v>
      </c>
      <c r="AZ14" s="1124">
        <f t="shared" si="2"/>
        <v>8805.2400000000016</v>
      </c>
      <c r="BA14" s="1124">
        <f t="shared" si="2"/>
        <v>8805.2400000000016</v>
      </c>
      <c r="BB14" s="1124">
        <f t="shared" si="2"/>
        <v>8805.2400000000016</v>
      </c>
      <c r="BC14" s="1124">
        <f t="shared" si="2"/>
        <v>8805.2400000000016</v>
      </c>
      <c r="BD14" s="1124">
        <f t="shared" si="2"/>
        <v>8805.2400000000016</v>
      </c>
      <c r="BE14" s="1124">
        <f t="shared" si="2"/>
        <v>8805.2400000000016</v>
      </c>
      <c r="BF14" s="1124">
        <f t="shared" si="2"/>
        <v>8805.2400000000016</v>
      </c>
      <c r="BG14" s="1124">
        <f t="shared" si="2"/>
        <v>8805.2400000000016</v>
      </c>
      <c r="BH14" s="1124">
        <f t="shared" si="2"/>
        <v>8805.2400000000016</v>
      </c>
      <c r="BI14" s="1124">
        <f t="shared" si="2"/>
        <v>8805.2400000000016</v>
      </c>
      <c r="BJ14" s="1115">
        <f t="shared" si="2"/>
        <v>8805.2400000000016</v>
      </c>
      <c r="BK14" s="393">
        <f>((0.33*'Traffic Data'!AK14)/Speed!X95)+((0.67*'Traffic Data'!AK14)/Speed!AX95)</f>
        <v>6.6502463054187189</v>
      </c>
      <c r="BL14" s="428">
        <f>((0.33*AL14)/Speed!Y95)+((0.67*AL14)/Speed!AY95)</f>
        <v>6.6502463054187189</v>
      </c>
      <c r="BM14" s="428">
        <f>((0.33*AM14)/Speed!Z95)+((0.67*AM14)/Speed!AZ95)</f>
        <v>77.814532062349272</v>
      </c>
      <c r="BN14" s="428">
        <f>((0.33*AN14)/Speed!AA95)+((0.67*AN14)/Speed!BA95)</f>
        <v>148.97887175569602</v>
      </c>
      <c r="BO14" s="428">
        <f>((0.33*AO14)/Speed!AB95)+((0.67*AO14)/Speed!BB95)</f>
        <v>220.20692989724688</v>
      </c>
      <c r="BP14" s="428">
        <f>((0.33*AP14)/Speed!AC95)+((0.67*AP14)/Speed!BC95)</f>
        <v>291.4537475056265</v>
      </c>
      <c r="BQ14" s="428">
        <f>((0.33*AQ14)/Speed!AD95)+((0.67*AQ14)/Speed!BD95)</f>
        <v>363.48872742935589</v>
      </c>
      <c r="BR14" s="428">
        <f>((0.33*AR14)/Speed!AE95)+((0.67*AR14)/Speed!BE95)</f>
        <v>440.64054490249248</v>
      </c>
      <c r="BS14" s="428">
        <f>((0.33*AS14)/Speed!AF95)+((0.67*AS14)/Speed!BF95)</f>
        <v>440.64063093545963</v>
      </c>
      <c r="BT14" s="428">
        <f>((0.33*AT14)/Speed!AG95)+((0.67*AT14)/Speed!BG95)</f>
        <v>440.64063093545963</v>
      </c>
      <c r="BU14" s="428">
        <f>((0.33*AU14)/Speed!AH95)+((0.67*AU14)/Speed!BH95)</f>
        <v>440.64063093545963</v>
      </c>
      <c r="BV14" s="428">
        <f>((0.33*AV14)/Speed!AI95)+((0.67*AV14)/Speed!BI95)</f>
        <v>440.64063093545963</v>
      </c>
      <c r="BW14" s="428">
        <f>((0.33*AW14)/Speed!AJ95)+((0.67*AW14)/Speed!BJ95)</f>
        <v>440.64063093545963</v>
      </c>
      <c r="BX14" s="428">
        <f>((0.33*AX14)/Speed!AK95)+((0.67*AX14)/Speed!BK95)</f>
        <v>440.64063093545963</v>
      </c>
      <c r="BY14" s="428">
        <f>((0.33*AY14)/Speed!AL95)+((0.67*AY14)/Speed!BL95)</f>
        <v>440.64063093545963</v>
      </c>
      <c r="BZ14" s="428">
        <f>((0.33*AZ14)/Speed!AM95)+((0.67*AZ14)/Speed!BM95)</f>
        <v>440.64063093545963</v>
      </c>
      <c r="CA14" s="428">
        <f>((0.33*BA14)/Speed!AN95)+((0.67*BA14)/Speed!BN95)</f>
        <v>440.64063093545963</v>
      </c>
      <c r="CB14" s="428">
        <f>((0.33*BB14)/Speed!AO95)+((0.67*BB14)/Speed!BO95)</f>
        <v>440.64063093545963</v>
      </c>
      <c r="CC14" s="428">
        <f>((0.33*BC14)/Speed!AP95)+((0.67*BC14)/Speed!BP95)</f>
        <v>440.64063093545963</v>
      </c>
      <c r="CD14" s="428">
        <f>((0.33*BD14)/Speed!AQ95)+((0.67*BD14)/Speed!BQ95)</f>
        <v>440.64063093545963</v>
      </c>
      <c r="CE14" s="428">
        <f>((0.33*BE14)/Speed!AR95)+((0.67*BE14)/Speed!BR95)</f>
        <v>440.64063093545963</v>
      </c>
      <c r="CF14" s="428">
        <f>((0.33*BF14)/Speed!AS95)+((0.67*BF14)/Speed!BS95)</f>
        <v>440.64063093545963</v>
      </c>
      <c r="CG14" s="428">
        <f>((0.33*BG14)/Speed!AT95)+((0.67*BG14)/Speed!BT95)</f>
        <v>440.64063093545963</v>
      </c>
      <c r="CH14" s="428">
        <f>((0.33*BH14)/Speed!AU95)+((0.67*BH14)/Speed!BU95)</f>
        <v>440.64063093545963</v>
      </c>
      <c r="CI14" s="428">
        <f>((0.33*BI14)/Speed!AV95)+((0.67*BI14)/Speed!BV95)</f>
        <v>440.64063093545963</v>
      </c>
      <c r="CJ14" s="429">
        <f>((0.33*BJ14)/Speed!AW95)+((0.67*BJ14)/Speed!BW95)</f>
        <v>440.64063093545963</v>
      </c>
      <c r="CK14" s="1385">
        <f>Inputs!$G$35</f>
        <v>0.2</v>
      </c>
      <c r="CL14" s="1385">
        <f>Inputs!$G$36</f>
        <v>0.8</v>
      </c>
      <c r="CM14" s="1380">
        <f>1/(1+CK14)</f>
        <v>0.83333333333333337</v>
      </c>
      <c r="CN14" s="1392">
        <v>0.88</v>
      </c>
      <c r="CO14" s="1116"/>
      <c r="CP14" s="62"/>
      <c r="CQ14" s="1117"/>
      <c r="CR14" s="1118"/>
      <c r="DA14"/>
    </row>
    <row r="15" spans="1:105" ht="21.9" customHeight="1" x14ac:dyDescent="0.25">
      <c r="B15" s="469"/>
      <c r="C15" s="1327"/>
      <c r="D15" s="114" t="s">
        <v>320</v>
      </c>
      <c r="E15" s="114" t="s">
        <v>282</v>
      </c>
      <c r="F15" s="114" t="s">
        <v>351</v>
      </c>
      <c r="G15" s="343">
        <v>40</v>
      </c>
      <c r="H15" s="1119">
        <v>0.28000000000000003</v>
      </c>
      <c r="I15" s="256">
        <v>2</v>
      </c>
      <c r="J15" s="320">
        <v>220</v>
      </c>
      <c r="K15" s="256">
        <f>ROUND((0.7333333333333*K16),0)</f>
        <v>418</v>
      </c>
      <c r="L15" s="256">
        <f t="shared" ref="L15:AI15" si="4">ROUND((0.7333333333333*L16),0)</f>
        <v>616</v>
      </c>
      <c r="M15" s="256">
        <f t="shared" si="4"/>
        <v>1340</v>
      </c>
      <c r="N15" s="256">
        <f t="shared" si="4"/>
        <v>2063</v>
      </c>
      <c r="O15" s="256">
        <f t="shared" si="4"/>
        <v>2788</v>
      </c>
      <c r="P15" s="256">
        <f t="shared" si="4"/>
        <v>3512</v>
      </c>
      <c r="Q15" s="256">
        <f t="shared" si="4"/>
        <v>4236</v>
      </c>
      <c r="R15" s="256">
        <f t="shared" si="4"/>
        <v>5495</v>
      </c>
      <c r="S15" s="256">
        <f t="shared" si="4"/>
        <v>6753</v>
      </c>
      <c r="T15" s="256">
        <f t="shared" si="4"/>
        <v>8011</v>
      </c>
      <c r="U15" s="256">
        <f t="shared" si="4"/>
        <v>9270</v>
      </c>
      <c r="V15" s="256">
        <f t="shared" si="4"/>
        <v>10529</v>
      </c>
      <c r="W15" s="256">
        <f t="shared" si="4"/>
        <v>11262</v>
      </c>
      <c r="X15" s="256">
        <f t="shared" si="4"/>
        <v>11459</v>
      </c>
      <c r="Y15" s="256">
        <f t="shared" si="4"/>
        <v>11657</v>
      </c>
      <c r="Z15" s="256">
        <f t="shared" si="4"/>
        <v>11855</v>
      </c>
      <c r="AA15" s="256">
        <f t="shared" si="4"/>
        <v>12053</v>
      </c>
      <c r="AB15" s="256">
        <f t="shared" si="4"/>
        <v>12251</v>
      </c>
      <c r="AC15" s="256">
        <f t="shared" si="4"/>
        <v>12449</v>
      </c>
      <c r="AD15" s="256">
        <f t="shared" si="4"/>
        <v>12647</v>
      </c>
      <c r="AE15" s="256">
        <f t="shared" si="4"/>
        <v>12845</v>
      </c>
      <c r="AF15" s="256">
        <f t="shared" si="4"/>
        <v>13042</v>
      </c>
      <c r="AG15" s="256">
        <f t="shared" si="4"/>
        <v>13240</v>
      </c>
      <c r="AH15" s="256">
        <f t="shared" si="4"/>
        <v>13438</v>
      </c>
      <c r="AI15" s="256">
        <f t="shared" si="4"/>
        <v>13636</v>
      </c>
      <c r="AJ15" s="1139" t="s">
        <v>311</v>
      </c>
      <c r="AK15" s="320">
        <f t="shared" si="3"/>
        <v>61.600000000000009</v>
      </c>
      <c r="AL15" s="256">
        <f t="shared" si="2"/>
        <v>117.04</v>
      </c>
      <c r="AM15" s="256">
        <f t="shared" si="2"/>
        <v>172.48000000000002</v>
      </c>
      <c r="AN15" s="256">
        <f t="shared" si="2"/>
        <v>375.20000000000005</v>
      </c>
      <c r="AO15" s="256">
        <f t="shared" si="2"/>
        <v>577.6400000000001</v>
      </c>
      <c r="AP15" s="256">
        <f t="shared" si="2"/>
        <v>780.6400000000001</v>
      </c>
      <c r="AQ15" s="256">
        <f t="shared" si="2"/>
        <v>983.36000000000013</v>
      </c>
      <c r="AR15" s="256">
        <f t="shared" si="2"/>
        <v>1186.0800000000002</v>
      </c>
      <c r="AS15" s="256">
        <f t="shared" si="2"/>
        <v>1538.6000000000001</v>
      </c>
      <c r="AT15" s="256">
        <f t="shared" si="2"/>
        <v>1890.8400000000001</v>
      </c>
      <c r="AU15" s="256">
        <f t="shared" si="2"/>
        <v>2243.0800000000004</v>
      </c>
      <c r="AV15" s="1232">
        <f t="shared" si="2"/>
        <v>2595.6000000000004</v>
      </c>
      <c r="AW15" s="256">
        <f t="shared" si="2"/>
        <v>2948.1200000000003</v>
      </c>
      <c r="AX15" s="256">
        <f t="shared" si="2"/>
        <v>3153.36</v>
      </c>
      <c r="AY15" s="256">
        <f t="shared" si="2"/>
        <v>3208.5200000000004</v>
      </c>
      <c r="AZ15" s="256">
        <f t="shared" si="2"/>
        <v>3263.9600000000005</v>
      </c>
      <c r="BA15" s="256">
        <f t="shared" si="2"/>
        <v>3319.4</v>
      </c>
      <c r="BB15" s="256">
        <f t="shared" si="2"/>
        <v>3374.84</v>
      </c>
      <c r="BC15" s="256">
        <f t="shared" si="2"/>
        <v>3430.28</v>
      </c>
      <c r="BD15" s="256">
        <f t="shared" si="2"/>
        <v>3485.7200000000003</v>
      </c>
      <c r="BE15" s="256">
        <f t="shared" si="2"/>
        <v>3541.1600000000003</v>
      </c>
      <c r="BF15" s="256">
        <f t="shared" si="2"/>
        <v>3596.6000000000004</v>
      </c>
      <c r="BG15" s="256">
        <f t="shared" si="2"/>
        <v>3651.76</v>
      </c>
      <c r="BH15" s="256">
        <f t="shared" si="2"/>
        <v>3707.2000000000003</v>
      </c>
      <c r="BI15" s="256">
        <f t="shared" si="2"/>
        <v>3762.6400000000003</v>
      </c>
      <c r="BJ15" s="256">
        <f t="shared" si="2"/>
        <v>3818.0800000000004</v>
      </c>
      <c r="BK15" s="394">
        <f>((0.33*'Traffic Data'!AK15)/Speed!X96)+((0.67*'Traffic Data'!AK15)/Speed!AX96)</f>
        <v>1.6693766937669381</v>
      </c>
      <c r="BL15" s="392">
        <f>((0.33*AL15)/Speed!Y96)+((0.67*AL15)/Speed!AY96)</f>
        <v>3.1718157181572408</v>
      </c>
      <c r="BM15" s="392">
        <f>((0.33*AM15)/Speed!Z96)+((0.67*AM15)/Speed!AZ96)</f>
        <v>4.6742547425516152</v>
      </c>
      <c r="BN15" s="392">
        <f>((0.33*AN15)/Speed!AA96)+((0.67*AN15)/Speed!BA96)</f>
        <v>10.168021701837032</v>
      </c>
      <c r="BO15" s="392">
        <f>((0.33*AO15)/Speed!AB96)+((0.67*AO15)/Speed!BB96)</f>
        <v>15.654203032003959</v>
      </c>
      <c r="BP15" s="392">
        <f>((0.33*AP15)/Speed!AC96)+((0.67*AP15)/Speed!BC96)</f>
        <v>21.155623935427119</v>
      </c>
      <c r="BQ15" s="392">
        <f>((0.33*AQ15)/Speed!AD96)+((0.67*AQ15)/Speed!BD96)</f>
        <v>26.650189071352671</v>
      </c>
      <c r="BR15" s="392">
        <f>((0.33*AR15)/Speed!AE96)+((0.67*AR15)/Speed!BE96)</f>
        <v>32.149900636048038</v>
      </c>
      <c r="BS15" s="392">
        <f>((0.33*AS15)/Speed!AF96)+((0.67*AS15)/Speed!BF96)</f>
        <v>41.815697932708602</v>
      </c>
      <c r="BT15" s="392">
        <f>((0.33*AT15)/Speed!AG96)+((0.67*AT15)/Speed!BG96)</f>
        <v>52.393534186789701</v>
      </c>
      <c r="BU15" s="392">
        <f>((0.33*AU15)/Speed!AH96)+((0.67*AU15)/Speed!BH96)</f>
        <v>68.32619029973894</v>
      </c>
      <c r="BV15" s="392">
        <f>((0.33*AV15)/Speed!AI96)+((0.67*AV15)/Speed!BI96)</f>
        <v>107.88940076536704</v>
      </c>
      <c r="BW15" s="392">
        <f>((0.33*AW15)/Speed!AJ96)+((0.67*AW15)/Speed!BJ96)</f>
        <v>232.28879218691881</v>
      </c>
      <c r="BX15" s="392">
        <f>((0.33*AX15)/Speed!AK96)+((0.67*AX15)/Speed!BK96)</f>
        <v>265.38033338147568</v>
      </c>
      <c r="BY15" s="392">
        <f>((0.33*AY15)/Speed!AL96)+((0.67*AY15)/Speed!BL96)</f>
        <v>270.02487316725592</v>
      </c>
      <c r="BZ15" s="392">
        <f>((0.33*AZ15)/Speed!AM96)+((0.67*AZ15)/Speed!BM96)</f>
        <v>274.69157018071263</v>
      </c>
      <c r="CA15" s="392">
        <f>((0.33*BA15)/Speed!AN96)+((0.67*BA15)/Speed!BN96)</f>
        <v>279.35846489667449</v>
      </c>
      <c r="CB15" s="392">
        <f>((0.33*BB15)/Speed!AO96)+((0.67*BB15)/Speed!BO96)</f>
        <v>284.02558515979717</v>
      </c>
      <c r="CC15" s="392">
        <f>((0.33*BC15)/Speed!AP96)+((0.67*BC15)/Speed!BP96)</f>
        <v>288.69296781215883</v>
      </c>
      <c r="CD15" s="392">
        <f>((0.33*BD15)/Speed!AQ96)+((0.67*BD15)/Speed!BQ96)</f>
        <v>293.36065495145118</v>
      </c>
      <c r="CE15" s="392">
        <f>((0.33*BE15)/Speed!AR96)+((0.67*BE15)/Speed!BR96)</f>
        <v>298.02869457569295</v>
      </c>
      <c r="CF15" s="392">
        <f>((0.33*BF15)/Speed!AS96)+((0.67*BF15)/Speed!BS96)</f>
        <v>302.69714129458526</v>
      </c>
      <c r="CG15" s="392">
        <f>((0.33*BG15)/Speed!AT96)+((0.67*BG15)/Speed!BT96)</f>
        <v>307.3424915180367</v>
      </c>
      <c r="CH15" s="392">
        <f>((0.33*BH15)/Speed!AU96)+((0.67*BH15)/Speed!BU96)</f>
        <v>312.01192770292647</v>
      </c>
      <c r="CI15" s="392">
        <f>((0.33*BI15)/Speed!AV96)+((0.67*BI15)/Speed!BV96)</f>
        <v>316.68199836998639</v>
      </c>
      <c r="CJ15" s="430">
        <f>((0.33*BJ15)/Speed!AW96)+((0.67*BJ15)/Speed!BW96)</f>
        <v>321.35277709302454</v>
      </c>
      <c r="CK15" s="1386"/>
      <c r="CL15" s="1386"/>
      <c r="CM15" s="1381"/>
      <c r="CN15" s="1393"/>
      <c r="CO15" s="1116"/>
      <c r="CP15" s="62"/>
      <c r="CQ15" s="1117"/>
      <c r="CR15" s="1118"/>
      <c r="DA15"/>
    </row>
    <row r="16" spans="1:105" ht="21.9" customHeight="1" x14ac:dyDescent="0.25">
      <c r="B16" s="469"/>
      <c r="C16" s="1327"/>
      <c r="D16" s="114" t="s">
        <v>282</v>
      </c>
      <c r="E16" s="114" t="s">
        <v>321</v>
      </c>
      <c r="F16" s="114" t="s">
        <v>352</v>
      </c>
      <c r="G16" s="343">
        <v>40</v>
      </c>
      <c r="H16" s="1119">
        <v>0.73</v>
      </c>
      <c r="I16" s="256">
        <v>4</v>
      </c>
      <c r="J16" s="320">
        <f>'Trip Gen'!W78</f>
        <v>300</v>
      </c>
      <c r="K16" s="1124">
        <f>'Trip Gen'!X78</f>
        <v>569.87</v>
      </c>
      <c r="L16" s="1124">
        <f>'Trip Gen'!Y78</f>
        <v>839.65000000000009</v>
      </c>
      <c r="M16" s="1124">
        <f>'Trip Gen'!Z78</f>
        <v>1826.62</v>
      </c>
      <c r="N16" s="1124">
        <f>'Trip Gen'!AA78</f>
        <v>2813.63</v>
      </c>
      <c r="O16" s="1124">
        <f>'Trip Gen'!AB78</f>
        <v>3801.9000000000005</v>
      </c>
      <c r="P16" s="1124">
        <f>'Trip Gen'!AC78</f>
        <v>4788.87</v>
      </c>
      <c r="Q16" s="1124">
        <f>'Trip Gen'!AD78</f>
        <v>5776.4400000000005</v>
      </c>
      <c r="R16" s="1124">
        <f>'Trip Gen'!AE78</f>
        <v>7492.7100000000009</v>
      </c>
      <c r="S16" s="1124">
        <f>'Trip Gen'!AF78</f>
        <v>9208.2800000000007</v>
      </c>
      <c r="T16" s="1124">
        <f>'Trip Gen'!AG78</f>
        <v>10924.419999999998</v>
      </c>
      <c r="U16" s="1124">
        <f>'Trip Gen'!AH78</f>
        <v>12640.69</v>
      </c>
      <c r="V16" s="1124">
        <f>'Trip Gen'!AI78</f>
        <v>14358.21</v>
      </c>
      <c r="W16" s="1124">
        <f>'Trip Gen'!AJ78</f>
        <v>15356.599999999999</v>
      </c>
      <c r="X16" s="1124">
        <f>'Trip Gen'!AK78</f>
        <v>15626.47</v>
      </c>
      <c r="Y16" s="1124">
        <f>'Trip Gen'!AL78</f>
        <v>15896.34</v>
      </c>
      <c r="Z16" s="1124">
        <f>'Trip Gen'!AM78</f>
        <v>16166.21</v>
      </c>
      <c r="AA16" s="1124">
        <f>'Trip Gen'!AN78</f>
        <v>16435.989999999998</v>
      </c>
      <c r="AB16" s="1124">
        <f>'Trip Gen'!AO78</f>
        <v>16705.86</v>
      </c>
      <c r="AC16" s="1124">
        <f>'Trip Gen'!AP78</f>
        <v>16975.64</v>
      </c>
      <c r="AD16" s="1124">
        <f>'Trip Gen'!AQ78</f>
        <v>17245.509999999998</v>
      </c>
      <c r="AE16" s="1124">
        <f>'Trip Gen'!AR78</f>
        <v>17515.38</v>
      </c>
      <c r="AF16" s="1124">
        <f>'Trip Gen'!AS78</f>
        <v>17785.16</v>
      </c>
      <c r="AG16" s="1124">
        <f>'Trip Gen'!AT78</f>
        <v>18055.030000000002</v>
      </c>
      <c r="AH16" s="1124">
        <f>'Trip Gen'!AU78</f>
        <v>18324.900000000001</v>
      </c>
      <c r="AI16" s="1115">
        <f>'Trip Gen'!AV78</f>
        <v>18594.68</v>
      </c>
      <c r="AJ16" s="1139" t="s">
        <v>311</v>
      </c>
      <c r="AK16" s="320">
        <f t="shared" si="3"/>
        <v>219</v>
      </c>
      <c r="AL16" s="1124">
        <f t="shared" si="2"/>
        <v>416.00509999999997</v>
      </c>
      <c r="AM16" s="1124">
        <f t="shared" si="2"/>
        <v>612.94450000000006</v>
      </c>
      <c r="AN16" s="1124">
        <f t="shared" si="2"/>
        <v>1333.4325999999999</v>
      </c>
      <c r="AO16" s="1124">
        <f t="shared" si="2"/>
        <v>2053.9499000000001</v>
      </c>
      <c r="AP16" s="1124">
        <f t="shared" si="2"/>
        <v>2775.3870000000002</v>
      </c>
      <c r="AQ16" s="1124">
        <f t="shared" si="2"/>
        <v>3495.8750999999997</v>
      </c>
      <c r="AR16" s="1124">
        <f t="shared" si="2"/>
        <v>4216.8011999999999</v>
      </c>
      <c r="AS16" s="1124">
        <f t="shared" si="2"/>
        <v>5469.6783000000005</v>
      </c>
      <c r="AT16" s="1124">
        <f t="shared" si="2"/>
        <v>6722.0444000000007</v>
      </c>
      <c r="AU16" s="1124">
        <f t="shared" si="2"/>
        <v>7974.8265999999985</v>
      </c>
      <c r="AV16" s="1124">
        <f t="shared" si="2"/>
        <v>9227.7037</v>
      </c>
      <c r="AW16" s="1124">
        <f t="shared" si="2"/>
        <v>10481.493299999998</v>
      </c>
      <c r="AX16" s="1124">
        <f t="shared" si="2"/>
        <v>11210.317999999999</v>
      </c>
      <c r="AY16" s="1124">
        <f t="shared" si="2"/>
        <v>11407.3231</v>
      </c>
      <c r="AZ16" s="1124">
        <f t="shared" si="2"/>
        <v>11604.3282</v>
      </c>
      <c r="BA16" s="1124">
        <f t="shared" si="2"/>
        <v>11801.333299999998</v>
      </c>
      <c r="BB16" s="1124">
        <f t="shared" si="2"/>
        <v>11998.272699999998</v>
      </c>
      <c r="BC16" s="1124">
        <f t="shared" si="2"/>
        <v>12195.2778</v>
      </c>
      <c r="BD16" s="1124">
        <f t="shared" si="2"/>
        <v>12392.217199999999</v>
      </c>
      <c r="BE16" s="1124">
        <f t="shared" si="2"/>
        <v>12589.222299999998</v>
      </c>
      <c r="BF16" s="1124">
        <f t="shared" si="2"/>
        <v>12786.2274</v>
      </c>
      <c r="BG16" s="1124">
        <f t="shared" si="2"/>
        <v>12983.166799999999</v>
      </c>
      <c r="BH16" s="1124">
        <f t="shared" si="2"/>
        <v>13180.171900000001</v>
      </c>
      <c r="BI16" s="1124">
        <f t="shared" si="2"/>
        <v>13377.177000000001</v>
      </c>
      <c r="BJ16" s="1115">
        <f t="shared" si="2"/>
        <v>13574.116399999999</v>
      </c>
      <c r="BK16" s="394">
        <f>((0.33*'Traffic Data'!AK16)/Speed!X97)+((0.67*'Traffic Data'!AK16)/Speed!AX97)</f>
        <v>5.3284671532846719</v>
      </c>
      <c r="BL16" s="392">
        <f>((0.33*AL16)/Speed!Y97)+((0.67*AL16)/Speed!AY97)</f>
        <v>10.121778588807786</v>
      </c>
      <c r="BM16" s="392">
        <f>((0.33*AM16)/Speed!Z97)+((0.67*AM16)/Speed!AZ97)</f>
        <v>14.913491484184917</v>
      </c>
      <c r="BN16" s="392">
        <f>((0.33*AN16)/Speed!AA97)+((0.67*AN16)/Speed!BA97)</f>
        <v>32.443615571776498</v>
      </c>
      <c r="BO16" s="392">
        <f>((0.33*AO16)/Speed!AB97)+((0.67*AO16)/Speed!BB97)</f>
        <v>49.974450121694034</v>
      </c>
      <c r="BP16" s="392">
        <f>((0.33*AP16)/Speed!AC97)+((0.67*AP16)/Speed!BC97)</f>
        <v>67.527664234660449</v>
      </c>
      <c r="BQ16" s="392">
        <f>((0.33*AQ16)/Speed!AD97)+((0.67*AQ16)/Speed!BD97)</f>
        <v>85.057788334892606</v>
      </c>
      <c r="BR16" s="392">
        <f>((0.33*AR16)/Speed!AE97)+((0.67*AR16)/Speed!BE97)</f>
        <v>102.59856945101092</v>
      </c>
      <c r="BS16" s="392">
        <f>((0.33*AS16)/Speed!AF97)+((0.67*AS16)/Speed!BF97)</f>
        <v>133.08219896814487</v>
      </c>
      <c r="BT16" s="392">
        <f>((0.33*AT16)/Speed!AG97)+((0.67*AT16)/Speed!BG97)</f>
        <v>163.55340996242012</v>
      </c>
      <c r="BU16" s="392">
        <f>((0.33*AU16)/Speed!AH97)+((0.67*AU16)/Speed!BH97)</f>
        <v>194.03482994991865</v>
      </c>
      <c r="BV16" s="392">
        <f>((0.33*AV16)/Speed!AI97)+((0.67*AV16)/Speed!BI97)</f>
        <v>224.51893306613511</v>
      </c>
      <c r="BW16" s="392">
        <f>((0.33*AW16)/Speed!AJ97)+((0.67*AW16)/Speed!BJ97)</f>
        <v>255.02658359228298</v>
      </c>
      <c r="BX16" s="392">
        <f>((0.33*AX16)/Speed!AK97)+((0.67*AX16)/Speed!BK97)</f>
        <v>272.76218939769223</v>
      </c>
      <c r="BY16" s="392">
        <f>((0.33*AY16)/Speed!AL97)+((0.67*AY16)/Speed!BL97)</f>
        <v>277.5565697428849</v>
      </c>
      <c r="BZ16" s="392">
        <f>((0.33*AZ16)/Speed!AM97)+((0.67*AZ16)/Speed!BM97)</f>
        <v>282.35115151537832</v>
      </c>
      <c r="CA16" s="392">
        <f>((0.33*BA16)/Speed!AN97)+((0.67*BA16)/Speed!BN97)</f>
        <v>287.14596829012248</v>
      </c>
      <c r="CB16" s="392">
        <f>((0.33*BB16)/Speed!AO97)+((0.67*BB16)/Speed!BO97)</f>
        <v>291.93945931165678</v>
      </c>
      <c r="CC16" s="392">
        <f>((0.33*BC16)/Speed!AP97)+((0.67*BC16)/Speed!BP97)</f>
        <v>296.73486674935623</v>
      </c>
      <c r="CD16" s="392">
        <f>((0.33*BD16)/Speed!AQ97)+((0.67*BD16)/Speed!BQ97)</f>
        <v>301.52904216411758</v>
      </c>
      <c r="CE16" s="392">
        <f>((0.33*BE16)/Speed!AR97)+((0.67*BE16)/Speed!BR97)</f>
        <v>306.32524124251</v>
      </c>
      <c r="CF16" s="392">
        <f>((0.33*BF16)/Speed!AS97)+((0.67*BF16)/Speed!BS97)</f>
        <v>311.12192938904008</v>
      </c>
      <c r="CG16" s="392">
        <f>((0.33*BG16)/Speed!AT97)+((0.67*BG16)/Speed!BT97)</f>
        <v>315.91757997424935</v>
      </c>
      <c r="CH16" s="392">
        <f>((0.33*BH16)/Speed!AU97)+((0.67*BH16)/Speed!BU97)</f>
        <v>320.71547562285417</v>
      </c>
      <c r="CI16" s="392">
        <f>((0.33*BI16)/Speed!AV97)+((0.67*BI16)/Speed!BV97)</f>
        <v>325.514110218062</v>
      </c>
      <c r="CJ16" s="430">
        <f>((0.33*BJ16)/Speed!AW97)+((0.67*BJ16)/Speed!BW97)</f>
        <v>330.31198853740739</v>
      </c>
      <c r="CK16" s="1386"/>
      <c r="CL16" s="1386"/>
      <c r="CM16" s="1381"/>
      <c r="CN16" s="1393"/>
      <c r="CO16" s="1116"/>
      <c r="CP16" s="62"/>
      <c r="CQ16" s="1117"/>
      <c r="CR16" s="1118"/>
      <c r="DA16"/>
    </row>
    <row r="17" spans="2:105" ht="21.9" customHeight="1" x14ac:dyDescent="0.25">
      <c r="B17" s="469"/>
      <c r="C17" s="1339"/>
      <c r="D17" s="250" t="s">
        <v>321</v>
      </c>
      <c r="E17" s="250" t="s">
        <v>274</v>
      </c>
      <c r="F17" s="250" t="s">
        <v>352</v>
      </c>
      <c r="G17" s="1121">
        <v>40</v>
      </c>
      <c r="H17" s="1122">
        <v>1.05</v>
      </c>
      <c r="I17" s="258">
        <v>4</v>
      </c>
      <c r="J17" s="321">
        <f>'Trip Gen'!W78</f>
        <v>300</v>
      </c>
      <c r="K17" s="1125">
        <f>'Trip Gen'!X78</f>
        <v>569.87</v>
      </c>
      <c r="L17" s="1125">
        <f>'Trip Gen'!Y78</f>
        <v>839.65000000000009</v>
      </c>
      <c r="M17" s="1125">
        <f>'Trip Gen'!Z78</f>
        <v>1826.62</v>
      </c>
      <c r="N17" s="1125">
        <f>'Trip Gen'!AA78</f>
        <v>2813.63</v>
      </c>
      <c r="O17" s="1125">
        <f>'Trip Gen'!AB78</f>
        <v>3801.9000000000005</v>
      </c>
      <c r="P17" s="1125">
        <f>'Trip Gen'!AC78</f>
        <v>4788.87</v>
      </c>
      <c r="Q17" s="1125">
        <f>'Trip Gen'!AD78</f>
        <v>5776.4400000000005</v>
      </c>
      <c r="R17" s="1125">
        <f>'Trip Gen'!AE78</f>
        <v>7492.7100000000009</v>
      </c>
      <c r="S17" s="1125">
        <f>'Trip Gen'!AF78</f>
        <v>9208.2800000000007</v>
      </c>
      <c r="T17" s="1125">
        <f>'Trip Gen'!AG78</f>
        <v>10924.419999999998</v>
      </c>
      <c r="U17" s="1125">
        <f>'Trip Gen'!AH78</f>
        <v>12640.69</v>
      </c>
      <c r="V17" s="1125">
        <f>'Trip Gen'!AI78</f>
        <v>14358.21</v>
      </c>
      <c r="W17" s="1125">
        <f>'Trip Gen'!AJ78</f>
        <v>15356.599999999999</v>
      </c>
      <c r="X17" s="1125">
        <f>'Trip Gen'!AK78</f>
        <v>15626.47</v>
      </c>
      <c r="Y17" s="1125">
        <f>'Trip Gen'!AL78</f>
        <v>15896.34</v>
      </c>
      <c r="Z17" s="1125">
        <f>'Trip Gen'!AM78</f>
        <v>16166.21</v>
      </c>
      <c r="AA17" s="1125">
        <f>'Trip Gen'!AN78</f>
        <v>16435.989999999998</v>
      </c>
      <c r="AB17" s="1125">
        <f>'Trip Gen'!AO78</f>
        <v>16705.86</v>
      </c>
      <c r="AC17" s="1125">
        <f>'Trip Gen'!AP78</f>
        <v>16975.64</v>
      </c>
      <c r="AD17" s="1125">
        <f>'Trip Gen'!AQ78</f>
        <v>17245.509999999998</v>
      </c>
      <c r="AE17" s="1125">
        <f>'Trip Gen'!AR78</f>
        <v>17515.38</v>
      </c>
      <c r="AF17" s="1125">
        <f>'Trip Gen'!AS78</f>
        <v>17785.16</v>
      </c>
      <c r="AG17" s="1125">
        <f>'Trip Gen'!AT78</f>
        <v>18055.030000000002</v>
      </c>
      <c r="AH17" s="1125">
        <f>'Trip Gen'!AU78</f>
        <v>18324.900000000001</v>
      </c>
      <c r="AI17" s="1120">
        <f>'Trip Gen'!AV78</f>
        <v>18594.68</v>
      </c>
      <c r="AJ17" s="1140">
        <f t="shared" ref="AJ17:AJ18" si="5">((AI17-J17)/J17)/25</f>
        <v>2.4392906666666665</v>
      </c>
      <c r="AK17" s="321">
        <f>$H17*J17</f>
        <v>315</v>
      </c>
      <c r="AL17" s="1125">
        <f t="shared" si="2"/>
        <v>598.36350000000004</v>
      </c>
      <c r="AM17" s="1125">
        <f t="shared" si="2"/>
        <v>881.63250000000016</v>
      </c>
      <c r="AN17" s="1125">
        <f t="shared" si="2"/>
        <v>1917.951</v>
      </c>
      <c r="AO17" s="1125">
        <f t="shared" si="2"/>
        <v>2954.3115000000003</v>
      </c>
      <c r="AP17" s="1125">
        <f t="shared" si="2"/>
        <v>3991.9950000000008</v>
      </c>
      <c r="AQ17" s="1125">
        <f t="shared" ref="AQ17:BJ29" si="6">$H17*P17</f>
        <v>5028.3135000000002</v>
      </c>
      <c r="AR17" s="1125">
        <f t="shared" si="6"/>
        <v>6065.2620000000006</v>
      </c>
      <c r="AS17" s="1125">
        <f t="shared" si="6"/>
        <v>7867.3455000000013</v>
      </c>
      <c r="AT17" s="1125">
        <f t="shared" si="6"/>
        <v>9668.6940000000013</v>
      </c>
      <c r="AU17" s="1125">
        <f t="shared" si="6"/>
        <v>11470.640999999998</v>
      </c>
      <c r="AV17" s="1125">
        <f t="shared" si="6"/>
        <v>13272.7245</v>
      </c>
      <c r="AW17" s="1125">
        <f t="shared" si="6"/>
        <v>15076.120499999999</v>
      </c>
      <c r="AX17" s="1125">
        <f t="shared" si="6"/>
        <v>16124.429999999998</v>
      </c>
      <c r="AY17" s="1125">
        <f t="shared" si="6"/>
        <v>16407.7935</v>
      </c>
      <c r="AZ17" s="1125">
        <f t="shared" si="6"/>
        <v>16691.156999999999</v>
      </c>
      <c r="BA17" s="1125">
        <f t="shared" si="6"/>
        <v>16974.520499999999</v>
      </c>
      <c r="BB17" s="1125">
        <f t="shared" si="6"/>
        <v>17257.789499999999</v>
      </c>
      <c r="BC17" s="1125">
        <f t="shared" si="6"/>
        <v>17541.153000000002</v>
      </c>
      <c r="BD17" s="1125">
        <f t="shared" si="6"/>
        <v>17824.421999999999</v>
      </c>
      <c r="BE17" s="1125">
        <f t="shared" si="6"/>
        <v>18107.785499999998</v>
      </c>
      <c r="BF17" s="1125">
        <f t="shared" si="6"/>
        <v>18391.149000000001</v>
      </c>
      <c r="BG17" s="1125">
        <f t="shared" si="6"/>
        <v>18674.418000000001</v>
      </c>
      <c r="BH17" s="1125">
        <f t="shared" si="6"/>
        <v>18957.781500000005</v>
      </c>
      <c r="BI17" s="1125">
        <f t="shared" si="6"/>
        <v>19241.145000000004</v>
      </c>
      <c r="BJ17" s="1120">
        <f t="shared" si="6"/>
        <v>19524.414000000001</v>
      </c>
      <c r="BK17" s="396">
        <f>((0.33*'Traffic Data'!AK17)/Speed!X98)+((0.67*'Traffic Data'!AK17)/Speed!AX98)</f>
        <v>7.6642335766423351</v>
      </c>
      <c r="BL17" s="431">
        <f>((0.33*AL17)/Speed!Y98)+((0.67*AL17)/Speed!AY98)</f>
        <v>14.558722627737229</v>
      </c>
      <c r="BM17" s="431">
        <f>((0.33*AM17)/Speed!Z98)+((0.67*AM17)/Speed!AZ98)</f>
        <v>21.45091240875913</v>
      </c>
      <c r="BN17" s="431">
        <f>((0.33*AN17)/Speed!AA98)+((0.67*AN17)/Speed!BA98)</f>
        <v>46.665474452555237</v>
      </c>
      <c r="BO17" s="431">
        <f>((0.33*AO17)/Speed!AB98)+((0.67*AO17)/Speed!BB98)</f>
        <v>71.881058394217447</v>
      </c>
      <c r="BP17" s="431">
        <f>((0.33*AP17)/Speed!AC98)+((0.67*AP17)/Speed!BC98)</f>
        <v>97.128832118347219</v>
      </c>
      <c r="BQ17" s="431">
        <f>((0.33*AQ17)/Speed!AD98)+((0.67*AQ17)/Speed!BD98)</f>
        <v>122.34339418032501</v>
      </c>
      <c r="BR17" s="431">
        <f>((0.33*AR17)/Speed!AE98)+((0.67*AR17)/Speed!BE98)</f>
        <v>147.57328482679654</v>
      </c>
      <c r="BS17" s="431">
        <f>((0.33*AS17)/Speed!AF98)+((0.67*AS17)/Speed!BF98)</f>
        <v>191.41960125555082</v>
      </c>
      <c r="BT17" s="431">
        <f>((0.33*AT17)/Speed!AG98)+((0.67*AT17)/Speed!BG98)</f>
        <v>235.24805542539877</v>
      </c>
      <c r="BU17" s="431">
        <f>((0.33*AU17)/Speed!AH98)+((0.67*AU17)/Speed!BH98)</f>
        <v>279.0911937635816</v>
      </c>
      <c r="BV17" s="431">
        <f>((0.33*AV17)/Speed!AI98)+((0.67*AV17)/Speed!BI98)</f>
        <v>322.93819139649577</v>
      </c>
      <c r="BW17" s="431">
        <f>((0.33*AW17)/Speed!AJ98)+((0.67*AW17)/Speed!BJ98)</f>
        <v>366.81905859163999</v>
      </c>
      <c r="BX17" s="431">
        <f>((0.33*AX17)/Speed!AK98)+((0.67*AX17)/Speed!BK98)</f>
        <v>392.32917653092716</v>
      </c>
      <c r="BY17" s="431">
        <f>((0.33*AY17)/Speed!AL98)+((0.67*AY17)/Speed!BL98)</f>
        <v>399.22520305483448</v>
      </c>
      <c r="BZ17" s="431">
        <f>((0.33*AZ17)/Speed!AM98)+((0.67*AZ17)/Speed!BM98)</f>
        <v>406.12151930294135</v>
      </c>
      <c r="CA17" s="431">
        <f>((0.33*BA17)/Speed!AN98)+((0.67*BA17)/Speed!BN98)</f>
        <v>413.01817356798438</v>
      </c>
      <c r="CB17" s="431">
        <f>((0.33*BB17)/Speed!AO98)+((0.67*BB17)/Speed!BO98)</f>
        <v>419.91292092772557</v>
      </c>
      <c r="CC17" s="431">
        <f>((0.33*BC17)/Speed!AP98)+((0.67*BC17)/Speed!BP98)</f>
        <v>426.81042477647134</v>
      </c>
      <c r="CD17" s="431">
        <f>((0.33*BD17)/Speed!AQ98)+((0.67*BD17)/Speed!BQ98)</f>
        <v>433.70615653742948</v>
      </c>
      <c r="CE17" s="431">
        <f>((0.33*BE17)/Speed!AR98)+((0.67*BE17)/Speed!BR98)</f>
        <v>440.60479904744591</v>
      </c>
      <c r="CF17" s="431">
        <f>((0.33*BF17)/Speed!AS98)+((0.67*BF17)/Speed!BS98)</f>
        <v>447.504145011633</v>
      </c>
      <c r="CG17" s="431">
        <f>((0.33*BG17)/Speed!AT98)+((0.67*BG17)/Speed!BT98)</f>
        <v>454.40199859309848</v>
      </c>
      <c r="CH17" s="431">
        <f>((0.33*BH17)/Speed!AU98)+((0.67*BH17)/Speed!BU98)</f>
        <v>461.30308137533825</v>
      </c>
      <c r="CI17" s="431">
        <f>((0.33*BI17)/Speed!AV98)+((0.67*BI17)/Speed!BV98)</f>
        <v>468.20522702597964</v>
      </c>
      <c r="CJ17" s="432">
        <f>((0.33*BJ17)/Speed!AW98)+((0.67*BJ17)/Speed!BW98)</f>
        <v>475.10628488257231</v>
      </c>
      <c r="CK17" s="1387"/>
      <c r="CL17" s="1387"/>
      <c r="CM17" s="1382"/>
      <c r="CN17" s="1394"/>
      <c r="CO17" s="1116"/>
      <c r="CP17" s="62"/>
      <c r="CQ17" s="1117"/>
      <c r="CR17" s="1118"/>
      <c r="DA17"/>
    </row>
    <row r="18" spans="2:105" ht="21.9" customHeight="1" x14ac:dyDescent="0.25">
      <c r="B18" s="469"/>
      <c r="C18" s="114" t="s">
        <v>282</v>
      </c>
      <c r="D18" s="114" t="s">
        <v>308</v>
      </c>
      <c r="E18" s="114" t="s">
        <v>324</v>
      </c>
      <c r="F18" s="114" t="s">
        <v>353</v>
      </c>
      <c r="G18" s="343">
        <v>30</v>
      </c>
      <c r="H18" s="1119">
        <v>1</v>
      </c>
      <c r="I18" s="343">
        <v>2</v>
      </c>
      <c r="J18" s="1126">
        <f>'Trip Gen'!W76</f>
        <v>1800</v>
      </c>
      <c r="K18" s="1131">
        <f>'Trip Gen'!X76</f>
        <v>1867.48</v>
      </c>
      <c r="L18" s="1131">
        <f>'Trip Gen'!Y76</f>
        <v>1970.7</v>
      </c>
      <c r="M18" s="1131">
        <f>'Trip Gen'!Z76</f>
        <v>2298.6500000000005</v>
      </c>
      <c r="N18" s="1131">
        <f>'Trip Gen'!AA76</f>
        <v>2626.65</v>
      </c>
      <c r="O18" s="1131">
        <f>'Trip Gen'!AB76</f>
        <v>2954.9999999999995</v>
      </c>
      <c r="P18" s="1131">
        <f>'Trip Gen'!AC76</f>
        <v>3282.95</v>
      </c>
      <c r="Q18" s="1131">
        <f>'Trip Gen'!AD76</f>
        <v>3611.2200000000003</v>
      </c>
      <c r="R18" s="1131">
        <f>'Trip Gen'!AE76</f>
        <v>4043.75</v>
      </c>
      <c r="S18" s="1131">
        <f>'Trip Gen'!AF76</f>
        <v>4476.17</v>
      </c>
      <c r="T18" s="1131">
        <f>'Trip Gen'!AG76</f>
        <v>4908.75</v>
      </c>
      <c r="U18" s="1131">
        <f>'Trip Gen'!AH76</f>
        <v>5341.2800000000016</v>
      </c>
      <c r="V18" s="1131">
        <f>'Trip Gen'!AI76</f>
        <v>5774.3</v>
      </c>
      <c r="W18" s="1131">
        <f>'Trip Gen'!AJ76</f>
        <v>5981.8799999999992</v>
      </c>
      <c r="X18" s="1131">
        <f>'Trip Gen'!AK76</f>
        <v>6049.36</v>
      </c>
      <c r="Y18" s="1131">
        <f>'Trip Gen'!AL76</f>
        <v>6116.8399999999992</v>
      </c>
      <c r="Z18" s="1131">
        <f>'Trip Gen'!AM76</f>
        <v>6184.32</v>
      </c>
      <c r="AA18" s="1131">
        <f>'Trip Gen'!AN76</f>
        <v>6251.87</v>
      </c>
      <c r="AB18" s="1131">
        <f>'Trip Gen'!AO76</f>
        <v>6319.3499999999985</v>
      </c>
      <c r="AC18" s="1131">
        <f>'Trip Gen'!AP76</f>
        <v>6386.9000000000005</v>
      </c>
      <c r="AD18" s="1131">
        <f>'Trip Gen'!AQ76</f>
        <v>6454.380000000001</v>
      </c>
      <c r="AE18" s="1131">
        <f>'Trip Gen'!AR76</f>
        <v>6521.86</v>
      </c>
      <c r="AF18" s="1131">
        <f>'Trip Gen'!AS76</f>
        <v>6589.41</v>
      </c>
      <c r="AG18" s="1131">
        <f>'Trip Gen'!AT76</f>
        <v>6656.8900000000012</v>
      </c>
      <c r="AH18" s="1131">
        <f>'Trip Gen'!AU76</f>
        <v>6724.37</v>
      </c>
      <c r="AI18" s="1131">
        <f>'Trip Gen'!AV76</f>
        <v>6791.92</v>
      </c>
      <c r="AJ18" s="1141">
        <f t="shared" si="5"/>
        <v>0.11093155555555556</v>
      </c>
      <c r="AK18" s="1126">
        <f t="shared" si="3"/>
        <v>1800</v>
      </c>
      <c r="AL18" s="1131">
        <f t="shared" ref="AL18:AL66" si="7">$H18*K18</f>
        <v>1867.48</v>
      </c>
      <c r="AM18" s="1131">
        <f t="shared" ref="AM18:AM66" si="8">$H18*L18</f>
        <v>1970.7</v>
      </c>
      <c r="AN18" s="1131">
        <f t="shared" ref="AN18:AN66" si="9">$H18*M18</f>
        <v>2298.6500000000005</v>
      </c>
      <c r="AO18" s="1131">
        <f t="shared" ref="AO18:AO66" si="10">$H18*N18</f>
        <v>2626.65</v>
      </c>
      <c r="AP18" s="1131">
        <f t="shared" ref="AP18:AP66" si="11">$H18*O18</f>
        <v>2954.9999999999995</v>
      </c>
      <c r="AQ18" s="1131">
        <f t="shared" si="6"/>
        <v>3282.95</v>
      </c>
      <c r="AR18" s="1131">
        <f t="shared" si="6"/>
        <v>3611.2200000000003</v>
      </c>
      <c r="AS18" s="1131">
        <f t="shared" si="6"/>
        <v>4043.75</v>
      </c>
      <c r="AT18" s="1131">
        <f t="shared" si="6"/>
        <v>4476.17</v>
      </c>
      <c r="AU18" s="1131">
        <f t="shared" si="6"/>
        <v>4908.75</v>
      </c>
      <c r="AV18" s="1131">
        <f t="shared" si="6"/>
        <v>5341.2800000000016</v>
      </c>
      <c r="AW18" s="1131">
        <f t="shared" si="6"/>
        <v>5774.3</v>
      </c>
      <c r="AX18" s="1131">
        <f t="shared" si="6"/>
        <v>5981.8799999999992</v>
      </c>
      <c r="AY18" s="1131">
        <f t="shared" si="6"/>
        <v>6049.36</v>
      </c>
      <c r="AZ18" s="1131">
        <f t="shared" si="6"/>
        <v>6116.8399999999992</v>
      </c>
      <c r="BA18" s="1131">
        <f t="shared" si="6"/>
        <v>6184.32</v>
      </c>
      <c r="BB18" s="1131">
        <f t="shared" si="6"/>
        <v>6251.87</v>
      </c>
      <c r="BC18" s="1131">
        <f t="shared" si="6"/>
        <v>6319.3499999999985</v>
      </c>
      <c r="BD18" s="1131">
        <f t="shared" si="6"/>
        <v>6386.9000000000005</v>
      </c>
      <c r="BE18" s="1131">
        <f t="shared" si="6"/>
        <v>6454.380000000001</v>
      </c>
      <c r="BF18" s="1131">
        <f t="shared" si="6"/>
        <v>6521.86</v>
      </c>
      <c r="BG18" s="1131">
        <f t="shared" si="6"/>
        <v>6589.41</v>
      </c>
      <c r="BH18" s="1131">
        <f t="shared" si="6"/>
        <v>6656.8900000000012</v>
      </c>
      <c r="BI18" s="1131">
        <f t="shared" si="6"/>
        <v>6724.37</v>
      </c>
      <c r="BJ18" s="1131">
        <f t="shared" si="6"/>
        <v>6791.92</v>
      </c>
      <c r="BK18" s="397">
        <f>((0.33*'Traffic Data'!AK18)/Speed!X99)+((0.67*'Traffic Data'!AK18)/Speed!AX99)</f>
        <v>64.748204072359712</v>
      </c>
      <c r="BL18" s="426">
        <f>((0.33*AL18)/Speed!Y99)+((0.67*AL18)/Speed!AY99)</f>
        <v>67.175543516108533</v>
      </c>
      <c r="BM18" s="426">
        <f>((0.33*AM18)/Speed!Z99)+((0.67*AM18)/Speed!AZ99)</f>
        <v>70.888496343083446</v>
      </c>
      <c r="BN18" s="426">
        <f>((0.33*AN18)/Speed!AA99)+((0.67*AN18)/Speed!BA99)</f>
        <v>82.685290589811075</v>
      </c>
      <c r="BO18" s="426">
        <f>((0.33*AO18)/Speed!AB99)+((0.67*AO18)/Speed!BB99)</f>
        <v>94.483981200397949</v>
      </c>
      <c r="BP18" s="426">
        <f>((0.33*AP18)/Speed!AC99)+((0.67*AP18)/Speed!BC99)</f>
        <v>106.29557873184046</v>
      </c>
      <c r="BQ18" s="426">
        <f>((0.33*AQ18)/Speed!AD99)+((0.67*AQ18)/Speed!BD99)</f>
        <v>118.09368294035119</v>
      </c>
      <c r="BR18" s="426">
        <f>((0.33*AR18)/Speed!AE99)+((0.67*AR18)/Speed!BE99)</f>
        <v>129.90558119199244</v>
      </c>
      <c r="BS18" s="426">
        <f>((0.33*AS18)/Speed!AF99)+((0.67*AS18)/Speed!BF99)</f>
        <v>145.47800446698426</v>
      </c>
      <c r="BT18" s="426">
        <f>((0.33*AT18)/Speed!AG99)+((0.67*AT18)/Speed!BG99)</f>
        <v>161.07253443669197</v>
      </c>
      <c r="BU18" s="426">
        <f>((0.33*AU18)/Speed!AH99)+((0.67*AU18)/Speed!BH99)</f>
        <v>176.73712657073358</v>
      </c>
      <c r="BV18" s="426">
        <f>((0.33*AV18)/Speed!AI99)+((0.67*AV18)/Speed!BI99)</f>
        <v>192.54602372058525</v>
      </c>
      <c r="BW18" s="426">
        <f>((0.33*AW18)/Speed!AJ99)+((0.67*AW18)/Speed!BJ99)</f>
        <v>208.68368290111914</v>
      </c>
      <c r="BX18" s="426">
        <f>((0.33*AX18)/Speed!AK99)+((0.67*AX18)/Speed!BK99)</f>
        <v>216.61351104245432</v>
      </c>
      <c r="BY18" s="426">
        <f>((0.33*AY18)/Speed!AL99)+((0.67*AY18)/Speed!BL99)</f>
        <v>219.22970176291</v>
      </c>
      <c r="BZ18" s="426">
        <f>((0.33*AZ18)/Speed!AM99)+((0.67*AZ18)/Speed!BM99)</f>
        <v>221.86817216136154</v>
      </c>
      <c r="CA18" s="426">
        <f>((0.33*BA18)/Speed!AN99)+((0.67*BA18)/Speed!BN99)</f>
        <v>224.53126555973577</v>
      </c>
      <c r="CB18" s="426">
        <f>((0.33*BB18)/Speed!AO99)+((0.67*BB18)/Speed!BO99)</f>
        <v>227.22434275375917</v>
      </c>
      <c r="CC18" s="426">
        <f>((0.33*BC18)/Speed!AP99)+((0.67*BC18)/Speed!BP99)</f>
        <v>229.9446127974058</v>
      </c>
      <c r="CD18" s="426">
        <f>((0.33*BD18)/Speed!AQ99)+((0.67*BD18)/Speed!BQ99)</f>
        <v>232.70076590473906</v>
      </c>
      <c r="CE18" s="426">
        <f>((0.33*BE18)/Speed!AR99)+((0.67*BE18)/Speed!BR99)</f>
        <v>235.49040357351413</v>
      </c>
      <c r="CF18" s="426">
        <f>((0.33*BF18)/Speed!AS99)+((0.67*BF18)/Speed!BS99)</f>
        <v>238.31996720028107</v>
      </c>
      <c r="CG18" s="426">
        <f>((0.33*BG18)/Speed!AT99)+((0.67*BG18)/Speed!BT99)</f>
        <v>241.19637891644311</v>
      </c>
      <c r="CH18" s="426">
        <f>((0.33*BH18)/Speed!AU99)+((0.67*BH18)/Speed!BU99)</f>
        <v>244.11793632025751</v>
      </c>
      <c r="CI18" s="426">
        <f>((0.33*BI18)/Speed!AV99)+((0.67*BI18)/Speed!BV99)</f>
        <v>247.09221548991155</v>
      </c>
      <c r="CJ18" s="427">
        <f>((0.33*BJ18)/Speed!AW99)+((0.67*BJ18)/Speed!BW99)</f>
        <v>250.12740238289575</v>
      </c>
      <c r="CK18" s="252">
        <f>Inputs!$I$35</f>
        <v>0.2</v>
      </c>
      <c r="CL18" s="252">
        <f>Inputs!$I$36</f>
        <v>0.8</v>
      </c>
      <c r="CM18" s="255">
        <f>1/(1+CK18)</f>
        <v>0.83333333333333337</v>
      </c>
      <c r="CN18" s="269">
        <v>0.88</v>
      </c>
      <c r="CP18" s="1130"/>
      <c r="DA18"/>
    </row>
    <row r="19" spans="2:105" ht="21.9" customHeight="1" x14ac:dyDescent="0.25">
      <c r="B19" s="469"/>
      <c r="C19" s="273" t="s">
        <v>321</v>
      </c>
      <c r="D19" s="273" t="s">
        <v>318</v>
      </c>
      <c r="E19" s="273" t="s">
        <v>308</v>
      </c>
      <c r="F19" s="273" t="s">
        <v>354</v>
      </c>
      <c r="G19" s="1132">
        <v>40</v>
      </c>
      <c r="H19" s="1133">
        <v>1.58</v>
      </c>
      <c r="I19" s="1132">
        <v>0</v>
      </c>
      <c r="J19" s="1134">
        <f>'Trip Gen'!W79</f>
        <v>0</v>
      </c>
      <c r="K19" s="1135">
        <f>'Trip Gen'!X79</f>
        <v>0</v>
      </c>
      <c r="L19" s="1135">
        <f>'Trip Gen'!Y79</f>
        <v>0</v>
      </c>
      <c r="M19" s="1135">
        <f>'Trip Gen'!Z79</f>
        <v>0</v>
      </c>
      <c r="N19" s="1135">
        <f>'Trip Gen'!AA79</f>
        <v>0</v>
      </c>
      <c r="O19" s="1135">
        <f>'Trip Gen'!AB79</f>
        <v>0</v>
      </c>
      <c r="P19" s="1135">
        <f>'Trip Gen'!AC79</f>
        <v>0</v>
      </c>
      <c r="Q19" s="1135">
        <f>'Trip Gen'!AD79</f>
        <v>0</v>
      </c>
      <c r="R19" s="1135">
        <f>'Trip Gen'!AE79</f>
        <v>0</v>
      </c>
      <c r="S19" s="1135">
        <f>'Trip Gen'!AF79</f>
        <v>0</v>
      </c>
      <c r="T19" s="1135">
        <f>'Trip Gen'!AG79</f>
        <v>0</v>
      </c>
      <c r="U19" s="1135">
        <f>'Trip Gen'!AH79</f>
        <v>0</v>
      </c>
      <c r="V19" s="1135">
        <f>'Trip Gen'!AI79</f>
        <v>0</v>
      </c>
      <c r="W19" s="1135">
        <f>'Trip Gen'!AJ79</f>
        <v>0</v>
      </c>
      <c r="X19" s="1135">
        <f>'Trip Gen'!AK79</f>
        <v>0</v>
      </c>
      <c r="Y19" s="1135">
        <f>'Trip Gen'!AL79</f>
        <v>0</v>
      </c>
      <c r="Z19" s="1135">
        <f>'Trip Gen'!AM79</f>
        <v>0</v>
      </c>
      <c r="AA19" s="1135">
        <f>'Trip Gen'!AN79</f>
        <v>0</v>
      </c>
      <c r="AB19" s="1135">
        <f>'Trip Gen'!AO79</f>
        <v>0</v>
      </c>
      <c r="AC19" s="1135">
        <f>'Trip Gen'!AP79</f>
        <v>0</v>
      </c>
      <c r="AD19" s="1135">
        <f>'Trip Gen'!AQ79</f>
        <v>0</v>
      </c>
      <c r="AE19" s="1135">
        <f>'Trip Gen'!AR79</f>
        <v>0</v>
      </c>
      <c r="AF19" s="1135">
        <f>'Trip Gen'!AS79</f>
        <v>0</v>
      </c>
      <c r="AG19" s="1135">
        <f>'Trip Gen'!AT79</f>
        <v>0</v>
      </c>
      <c r="AH19" s="1135">
        <f>'Trip Gen'!AU79</f>
        <v>0</v>
      </c>
      <c r="AI19" s="1135">
        <f>'Trip Gen'!AV79</f>
        <v>0</v>
      </c>
      <c r="AJ19" s="1143" t="s">
        <v>311</v>
      </c>
      <c r="AK19" s="1134">
        <f t="shared" si="3"/>
        <v>0</v>
      </c>
      <c r="AL19" s="1135">
        <f t="shared" si="7"/>
        <v>0</v>
      </c>
      <c r="AM19" s="1135">
        <f t="shared" si="8"/>
        <v>0</v>
      </c>
      <c r="AN19" s="1135">
        <f t="shared" si="9"/>
        <v>0</v>
      </c>
      <c r="AO19" s="1135">
        <f t="shared" si="10"/>
        <v>0</v>
      </c>
      <c r="AP19" s="1135">
        <f t="shared" si="11"/>
        <v>0</v>
      </c>
      <c r="AQ19" s="1135">
        <f t="shared" si="6"/>
        <v>0</v>
      </c>
      <c r="AR19" s="1135">
        <f t="shared" si="6"/>
        <v>0</v>
      </c>
      <c r="AS19" s="1135">
        <f t="shared" si="6"/>
        <v>0</v>
      </c>
      <c r="AT19" s="1135">
        <f t="shared" si="6"/>
        <v>0</v>
      </c>
      <c r="AU19" s="1135">
        <f t="shared" si="6"/>
        <v>0</v>
      </c>
      <c r="AV19" s="1135">
        <f t="shared" si="6"/>
        <v>0</v>
      </c>
      <c r="AW19" s="1135">
        <f t="shared" si="6"/>
        <v>0</v>
      </c>
      <c r="AX19" s="1135">
        <f t="shared" si="6"/>
        <v>0</v>
      </c>
      <c r="AY19" s="1135">
        <f t="shared" si="6"/>
        <v>0</v>
      </c>
      <c r="AZ19" s="1135">
        <f t="shared" si="6"/>
        <v>0</v>
      </c>
      <c r="BA19" s="1135">
        <f t="shared" si="6"/>
        <v>0</v>
      </c>
      <c r="BB19" s="1135">
        <f t="shared" si="6"/>
        <v>0</v>
      </c>
      <c r="BC19" s="1135">
        <f t="shared" si="6"/>
        <v>0</v>
      </c>
      <c r="BD19" s="1135">
        <f t="shared" si="6"/>
        <v>0</v>
      </c>
      <c r="BE19" s="1135">
        <f t="shared" si="6"/>
        <v>0</v>
      </c>
      <c r="BF19" s="1135">
        <f t="shared" si="6"/>
        <v>0</v>
      </c>
      <c r="BG19" s="1135">
        <f t="shared" si="6"/>
        <v>0</v>
      </c>
      <c r="BH19" s="1135">
        <f t="shared" si="6"/>
        <v>0</v>
      </c>
      <c r="BI19" s="1135">
        <f t="shared" si="6"/>
        <v>0</v>
      </c>
      <c r="BJ19" s="1135">
        <f t="shared" si="6"/>
        <v>0</v>
      </c>
      <c r="BK19" s="394" t="e">
        <f>((0.33*'Traffic Data'!AK19)/Speed!X100)+((0.67*'Traffic Data'!AK19)/Speed!AX100)</f>
        <v>#DIV/0!</v>
      </c>
      <c r="BL19" s="392" t="e">
        <f>((0.33*AL19)/Speed!Y100)+((0.67*AL19)/Speed!AY100)</f>
        <v>#DIV/0!</v>
      </c>
      <c r="BM19" s="392" t="e">
        <f>((0.33*AM19)/Speed!Z100)+((0.67*AM19)/Speed!AZ100)</f>
        <v>#DIV/0!</v>
      </c>
      <c r="BN19" s="392" t="e">
        <f>((0.33*AN19)/Speed!AA100)+((0.67*AN19)/Speed!BA100)</f>
        <v>#DIV/0!</v>
      </c>
      <c r="BO19" s="392" t="e">
        <f>((0.33*AO19)/Speed!AB100)+((0.67*AO19)/Speed!BB100)</f>
        <v>#DIV/0!</v>
      </c>
      <c r="BP19" s="392" t="e">
        <f>((0.33*AP19)/Speed!AC100)+((0.67*AP19)/Speed!BC100)</f>
        <v>#DIV/0!</v>
      </c>
      <c r="BQ19" s="392" t="e">
        <f>((0.33*AQ19)/Speed!AD100)+((0.67*AQ19)/Speed!BD100)</f>
        <v>#DIV/0!</v>
      </c>
      <c r="BR19" s="392" t="e">
        <f>((0.33*AR19)/Speed!AE100)+((0.67*AR19)/Speed!BE100)</f>
        <v>#DIV/0!</v>
      </c>
      <c r="BS19" s="392" t="e">
        <f>((0.33*AS19)/Speed!AF100)+((0.67*AS19)/Speed!BF100)</f>
        <v>#DIV/0!</v>
      </c>
      <c r="BT19" s="392" t="e">
        <f>((0.33*AT19)/Speed!AG100)+((0.67*AT19)/Speed!BG100)</f>
        <v>#DIV/0!</v>
      </c>
      <c r="BU19" s="392" t="e">
        <f>((0.33*AU19)/Speed!AH100)+((0.67*AU19)/Speed!BH100)</f>
        <v>#DIV/0!</v>
      </c>
      <c r="BV19" s="392" t="e">
        <f>((0.33*AV19)/Speed!AI100)+((0.67*AV19)/Speed!BI100)</f>
        <v>#DIV/0!</v>
      </c>
      <c r="BW19" s="392" t="e">
        <f>((0.33*AW19)/Speed!AJ100)+((0.67*AW19)/Speed!BJ100)</f>
        <v>#DIV/0!</v>
      </c>
      <c r="BX19" s="392" t="e">
        <f>((0.33*AX19)/Speed!AK100)+((0.67*AX19)/Speed!BK100)</f>
        <v>#DIV/0!</v>
      </c>
      <c r="BY19" s="392" t="e">
        <f>((0.33*AY19)/Speed!AL100)+((0.67*AY19)/Speed!BL100)</f>
        <v>#DIV/0!</v>
      </c>
      <c r="BZ19" s="392" t="e">
        <f>((0.33*AZ19)/Speed!AM100)+((0.67*AZ19)/Speed!BM100)</f>
        <v>#DIV/0!</v>
      </c>
      <c r="CA19" s="392" t="e">
        <f>((0.33*BA19)/Speed!AN100)+((0.67*BA19)/Speed!BN100)</f>
        <v>#DIV/0!</v>
      </c>
      <c r="CB19" s="392" t="e">
        <f>((0.33*BB19)/Speed!AO100)+((0.67*BB19)/Speed!BO100)</f>
        <v>#DIV/0!</v>
      </c>
      <c r="CC19" s="392" t="e">
        <f>((0.33*BC19)/Speed!AP100)+((0.67*BC19)/Speed!BP100)</f>
        <v>#DIV/0!</v>
      </c>
      <c r="CD19" s="392" t="e">
        <f>((0.33*BD19)/Speed!AQ100)+((0.67*BD19)/Speed!BQ100)</f>
        <v>#DIV/0!</v>
      </c>
      <c r="CE19" s="392" t="e">
        <f>((0.33*BE19)/Speed!AR100)+((0.67*BE19)/Speed!BR100)</f>
        <v>#DIV/0!</v>
      </c>
      <c r="CF19" s="392" t="e">
        <f>((0.33*BF19)/Speed!AS100)+((0.67*BF19)/Speed!BS100)</f>
        <v>#DIV/0!</v>
      </c>
      <c r="CG19" s="392" t="e">
        <f>((0.33*BG19)/Speed!AT100)+((0.67*BG19)/Speed!BT100)</f>
        <v>#DIV/0!</v>
      </c>
      <c r="CH19" s="392" t="e">
        <f>((0.33*BH19)/Speed!AU100)+((0.67*BH19)/Speed!BU100)</f>
        <v>#DIV/0!</v>
      </c>
      <c r="CI19" s="392" t="e">
        <f>((0.33*BI19)/Speed!AV100)+((0.67*BI19)/Speed!BV100)</f>
        <v>#DIV/0!</v>
      </c>
      <c r="CJ19" s="430" t="e">
        <f>((0.33*BJ19)/Speed!AW100)+((0.67*BJ19)/Speed!BW100)</f>
        <v>#DIV/0!</v>
      </c>
      <c r="CK19" s="254">
        <f>Inputs!$J$35</f>
        <v>0.2</v>
      </c>
      <c r="CL19" s="254">
        <f>Inputs!$J$36</f>
        <v>0.8</v>
      </c>
      <c r="CM19" s="255">
        <f t="shared" ref="CM19:CM20" si="12">1/(1+CK19)</f>
        <v>0.83333333333333337</v>
      </c>
      <c r="CN19" s="270">
        <v>0.88</v>
      </c>
      <c r="CP19" s="1130"/>
      <c r="DA19"/>
    </row>
    <row r="20" spans="2:105" ht="21.9" customHeight="1" x14ac:dyDescent="0.25">
      <c r="B20" s="469"/>
      <c r="C20" s="273" t="s">
        <v>333</v>
      </c>
      <c r="D20" s="273" t="s">
        <v>319</v>
      </c>
      <c r="E20" s="273" t="s">
        <v>308</v>
      </c>
      <c r="F20" s="273" t="s">
        <v>358</v>
      </c>
      <c r="G20" s="1132">
        <v>30</v>
      </c>
      <c r="H20" s="1133">
        <f>4896/foottomile</f>
        <v>0.92727272727272725</v>
      </c>
      <c r="I20" s="1132">
        <v>2</v>
      </c>
      <c r="J20" s="1134">
        <f>'Trip Gen'!W75</f>
        <v>3600</v>
      </c>
      <c r="K20" s="1131">
        <f>'Trip Gen'!X75</f>
        <v>3655.6399999999994</v>
      </c>
      <c r="L20" s="1131">
        <f>'Trip Gen'!Y75</f>
        <v>3747.06</v>
      </c>
      <c r="M20" s="1131">
        <f>'Trip Gen'!Z75</f>
        <v>4057.7700000000004</v>
      </c>
      <c r="N20" s="1131">
        <f>'Trip Gen'!AA75</f>
        <v>4368.5200000000004</v>
      </c>
      <c r="O20" s="1131">
        <f>'Trip Gen'!AB75</f>
        <v>4679.6299999999992</v>
      </c>
      <c r="P20" s="1131">
        <f>'Trip Gen'!AC75</f>
        <v>4990.3399999999992</v>
      </c>
      <c r="Q20" s="1131">
        <f>'Trip Gen'!AD75</f>
        <v>5301.4</v>
      </c>
      <c r="R20" s="1131">
        <f>'Trip Gen'!AE75</f>
        <v>5669.9399999999987</v>
      </c>
      <c r="S20" s="1131">
        <f>'Trip Gen'!AF75</f>
        <v>6038.3999999999987</v>
      </c>
      <c r="T20" s="1131">
        <f>'Trip Gen'!AG75</f>
        <v>6407.0399999999991</v>
      </c>
      <c r="U20" s="1131">
        <f>'Trip Gen'!AH75</f>
        <v>6775.58</v>
      </c>
      <c r="V20" s="1131">
        <f>'Trip Gen'!AI75</f>
        <v>7144.6399999999994</v>
      </c>
      <c r="W20" s="1131">
        <f>'Trip Gen'!AJ75</f>
        <v>7293.6799999999994</v>
      </c>
      <c r="X20" s="1131">
        <f>'Trip Gen'!AK75</f>
        <v>7349.3199999999988</v>
      </c>
      <c r="Y20" s="1131">
        <f>'Trip Gen'!AL75</f>
        <v>7404.9600000000009</v>
      </c>
      <c r="Z20" s="1131">
        <f>'Trip Gen'!AM75</f>
        <v>7460.6</v>
      </c>
      <c r="AA20" s="1131">
        <f>'Trip Gen'!AN75</f>
        <v>7516.3499999999995</v>
      </c>
      <c r="AB20" s="1131">
        <f>'Trip Gen'!AO75</f>
        <v>7571.99</v>
      </c>
      <c r="AC20" s="1131">
        <f>'Trip Gen'!AP75</f>
        <v>7627.7400000000007</v>
      </c>
      <c r="AD20" s="1131">
        <f>'Trip Gen'!AQ75</f>
        <v>7683.38</v>
      </c>
      <c r="AE20" s="1131">
        <f>'Trip Gen'!AR75</f>
        <v>7739.0200000000013</v>
      </c>
      <c r="AF20" s="1131">
        <f>'Trip Gen'!AS75</f>
        <v>7794.77</v>
      </c>
      <c r="AG20" s="1131">
        <f>'Trip Gen'!AT75</f>
        <v>7850.4100000000008</v>
      </c>
      <c r="AH20" s="1131">
        <f>'Trip Gen'!AU75</f>
        <v>7906.0500000000011</v>
      </c>
      <c r="AI20" s="1131">
        <f>'Trip Gen'!AV75</f>
        <v>7961.8</v>
      </c>
      <c r="AJ20" s="1143">
        <f t="shared" ref="AJ20:AJ34" si="13">((AI20-J20)/J20)/25</f>
        <v>4.8464444444444449E-2</v>
      </c>
      <c r="AK20" s="1134">
        <f t="shared" si="3"/>
        <v>3338.181818181818</v>
      </c>
      <c r="AL20" s="1131">
        <f t="shared" si="7"/>
        <v>3389.7752727272723</v>
      </c>
      <c r="AM20" s="1131">
        <f t="shared" si="8"/>
        <v>3474.5465454545451</v>
      </c>
      <c r="AN20" s="1131">
        <f t="shared" si="9"/>
        <v>3762.659454545455</v>
      </c>
      <c r="AO20" s="1131">
        <f t="shared" si="10"/>
        <v>4050.8094545454546</v>
      </c>
      <c r="AP20" s="1131">
        <f t="shared" si="11"/>
        <v>4339.2932727272719</v>
      </c>
      <c r="AQ20" s="1131">
        <f t="shared" si="6"/>
        <v>4627.4061818181808</v>
      </c>
      <c r="AR20" s="1131">
        <f t="shared" si="6"/>
        <v>4915.8436363636356</v>
      </c>
      <c r="AS20" s="1131">
        <f t="shared" si="6"/>
        <v>5257.5807272727261</v>
      </c>
      <c r="AT20" s="1131">
        <f t="shared" si="6"/>
        <v>5599.2436363636352</v>
      </c>
      <c r="AU20" s="1131">
        <f t="shared" si="6"/>
        <v>5941.0734545454534</v>
      </c>
      <c r="AV20" s="1131">
        <f t="shared" si="6"/>
        <v>6282.8105454545448</v>
      </c>
      <c r="AW20" s="1131">
        <f t="shared" si="6"/>
        <v>6625.0298181818171</v>
      </c>
      <c r="AX20" s="1131">
        <f t="shared" si="6"/>
        <v>6763.2305454545449</v>
      </c>
      <c r="AY20" s="1131">
        <f t="shared" si="6"/>
        <v>6814.8239999999987</v>
      </c>
      <c r="AZ20" s="1131">
        <f t="shared" si="6"/>
        <v>6866.4174545454553</v>
      </c>
      <c r="BA20" s="1131">
        <f t="shared" si="6"/>
        <v>6918.0109090909091</v>
      </c>
      <c r="BB20" s="1131">
        <f t="shared" si="6"/>
        <v>6969.7063636363628</v>
      </c>
      <c r="BC20" s="1131">
        <f t="shared" si="6"/>
        <v>7021.2998181818175</v>
      </c>
      <c r="BD20" s="1131">
        <f t="shared" si="6"/>
        <v>7072.995272727273</v>
      </c>
      <c r="BE20" s="1131">
        <f t="shared" si="6"/>
        <v>7124.5887272727268</v>
      </c>
      <c r="BF20" s="1131">
        <f t="shared" si="6"/>
        <v>7176.1821818181825</v>
      </c>
      <c r="BG20" s="1131">
        <f t="shared" si="6"/>
        <v>7227.8776363636362</v>
      </c>
      <c r="BH20" s="1131">
        <f t="shared" si="6"/>
        <v>7279.4710909090918</v>
      </c>
      <c r="BI20" s="1131">
        <f t="shared" si="6"/>
        <v>7331.0645454545465</v>
      </c>
      <c r="BJ20" s="1131">
        <f t="shared" si="6"/>
        <v>7382.76</v>
      </c>
      <c r="BK20" s="397">
        <f>((0.33*'Traffic Data'!AK20)/Speed!X101)+((0.67*'Traffic Data'!AK20)/Speed!AX101)</f>
        <v>104.64955645778389</v>
      </c>
      <c r="BL20" s="426">
        <f>((0.33*AL20)/Speed!Y101)+((0.67*AL20)/Speed!AY101)</f>
        <v>106.26770709457413</v>
      </c>
      <c r="BM20" s="426">
        <f>((0.33*AM20)/Speed!Z101)+((0.67*AM20)/Speed!AZ101)</f>
        <v>108.92672449917394</v>
      </c>
      <c r="BN20" s="426">
        <f>((0.33*AN20)/Speed!AA101)+((0.67*AN20)/Speed!BA101)</f>
        <v>117.96796841410651</v>
      </c>
      <c r="BO20" s="426">
        <f>((0.33*AO20)/Speed!AB101)+((0.67*AO20)/Speed!BB101)</f>
        <v>127.0212386069351</v>
      </c>
      <c r="BP20" s="426">
        <f>((0.33*AP20)/Speed!AC101)+((0.67*AP20)/Speed!BC101)</f>
        <v>136.10604323714688</v>
      </c>
      <c r="BQ20" s="426">
        <f>((0.33*AQ20)/Speed!AD101)+((0.67*AQ20)/Speed!BD101)</f>
        <v>145.21803546635832</v>
      </c>
      <c r="BR20" s="426">
        <f>((0.33*AR20)/Speed!AE101)+((0.67*AR20)/Speed!BE101)</f>
        <v>154.4094983205907</v>
      </c>
      <c r="BS20" s="426">
        <f>((0.33*AS20)/Speed!AF101)+((0.67*AS20)/Speed!BF101)</f>
        <v>165.45914491541885</v>
      </c>
      <c r="BT20" s="426">
        <f>((0.33*AT20)/Speed!AG101)+((0.67*AT20)/Speed!BG101)</f>
        <v>176.81353419037498</v>
      </c>
      <c r="BU20" s="426">
        <f>((0.33*AU20)/Speed!AH101)+((0.67*AU20)/Speed!BH101)</f>
        <v>188.7135694113276</v>
      </c>
      <c r="BV20" s="426">
        <f>((0.33*AV20)/Speed!AI101)+((0.67*AV20)/Speed!BI101)</f>
        <v>201.52848255230433</v>
      </c>
      <c r="BW20" s="426">
        <f>((0.33*AW20)/Speed!AJ101)+((0.67*AW20)/Speed!BJ101)</f>
        <v>215.88055247193557</v>
      </c>
      <c r="BX20" s="426">
        <f>((0.33*AX20)/Speed!AK101)+((0.67*AX20)/Speed!BK101)</f>
        <v>222.30340939735993</v>
      </c>
      <c r="BY20" s="426">
        <f>((0.33*AY20)/Speed!AL101)+((0.67*AY20)/Speed!BL101)</f>
        <v>224.81794335048122</v>
      </c>
      <c r="BZ20" s="426">
        <f>((0.33*AZ20)/Speed!AM101)+((0.67*AZ20)/Speed!BM101)</f>
        <v>227.40301679390564</v>
      </c>
      <c r="CA20" s="426">
        <f>((0.33*BA20)/Speed!AN101)+((0.67*BA20)/Speed!BN101)</f>
        <v>230.06360245750574</v>
      </c>
      <c r="CB20" s="426">
        <f>((0.33*BB20)/Speed!AO101)+((0.67*BB20)/Speed!BO101)</f>
        <v>232.81046591123584</v>
      </c>
      <c r="CC20" s="426">
        <f>((0.33*BC20)/Speed!AP101)+((0.67*BC20)/Speed!BP101)</f>
        <v>235.63836293259195</v>
      </c>
      <c r="CD20" s="426">
        <f>((0.33*BD20)/Speed!AQ101)+((0.67*BD20)/Speed!BQ101)</f>
        <v>238.56442754394243</v>
      </c>
      <c r="CE20" s="426">
        <f>((0.33*BE20)/Speed!AR101)+((0.67*BE20)/Speed!BR101)</f>
        <v>241.58340988729785</v>
      </c>
      <c r="CF20" s="426">
        <f>((0.33*BF20)/Speed!AS101)+((0.67*BF20)/Speed!BS101)</f>
        <v>244.70765456781277</v>
      </c>
      <c r="CG20" s="426">
        <f>((0.33*BG20)/Speed!AT101)+((0.67*BG20)/Speed!BT101)</f>
        <v>247.95073840970383</v>
      </c>
      <c r="CH20" s="426">
        <f>((0.33*BH20)/Speed!AU101)+((0.67*BH20)/Speed!BU101)</f>
        <v>251.30735655723316</v>
      </c>
      <c r="CI20" s="426">
        <f>((0.33*BI20)/Speed!AV101)+((0.67*BI20)/Speed!BV101)</f>
        <v>254.79171487690357</v>
      </c>
      <c r="CJ20" s="427">
        <f>((0.33*BJ20)/Speed!AW101)+((0.67*BJ20)/Speed!BW101)</f>
        <v>258.41949418517584</v>
      </c>
      <c r="CK20" s="254">
        <f>Inputs!$K$35</f>
        <v>0.2</v>
      </c>
      <c r="CL20" s="254">
        <f>Inputs!$K$36</f>
        <v>0.8</v>
      </c>
      <c r="CM20" s="253">
        <f t="shared" si="12"/>
        <v>0.83333333333333337</v>
      </c>
      <c r="CN20" s="270">
        <v>0.88</v>
      </c>
      <c r="CP20" s="1130"/>
      <c r="DA20"/>
    </row>
    <row r="21" spans="2:105" ht="21.9" customHeight="1" x14ac:dyDescent="0.25">
      <c r="B21" s="469"/>
      <c r="C21" s="114" t="s">
        <v>319</v>
      </c>
      <c r="D21" s="114" t="s">
        <v>276</v>
      </c>
      <c r="E21" s="114" t="s">
        <v>333</v>
      </c>
      <c r="F21" s="114" t="s">
        <v>355</v>
      </c>
      <c r="G21" s="343">
        <v>55</v>
      </c>
      <c r="H21" s="1119">
        <f>6330/foottomile</f>
        <v>1.1988636363636365</v>
      </c>
      <c r="I21" s="343">
        <v>4</v>
      </c>
      <c r="J21" s="1126">
        <f>'Trip Gen'!W68</f>
        <v>10000</v>
      </c>
      <c r="K21" s="1145">
        <f>'Trip Gen'!X68</f>
        <v>10371.85</v>
      </c>
      <c r="L21" s="1145">
        <f>'Trip Gen'!Y68</f>
        <v>10767.679999999998</v>
      </c>
      <c r="M21" s="1145">
        <f>'Trip Gen'!Z68</f>
        <v>11645.81</v>
      </c>
      <c r="N21" s="1145">
        <f>'Trip Gen'!AA68</f>
        <v>12524.160000000002</v>
      </c>
      <c r="O21" s="1145">
        <f>'Trip Gen'!AB68</f>
        <v>13402.990000000002</v>
      </c>
      <c r="P21" s="1145">
        <f>'Trip Gen'!AC68</f>
        <v>14281.120000000004</v>
      </c>
      <c r="Q21" s="1145">
        <f>'Trip Gen'!AD68</f>
        <v>15160.020000000002</v>
      </c>
      <c r="R21" s="1145">
        <f>'Trip Gen'!AE68</f>
        <v>16341.619999999997</v>
      </c>
      <c r="S21" s="1145">
        <f>'Trip Gen'!AF68</f>
        <v>17523.269999999997</v>
      </c>
      <c r="T21" s="1145">
        <f>'Trip Gen'!AG68</f>
        <v>18704.869999999995</v>
      </c>
      <c r="U21" s="1145">
        <f>'Trip Gen'!AH68</f>
        <v>19886.469999999998</v>
      </c>
      <c r="V21" s="1145">
        <f>'Trip Gen'!AI68</f>
        <v>21069.170000000002</v>
      </c>
      <c r="W21" s="1145">
        <f>'Trip Gen'!AJ68</f>
        <v>21767.919999999998</v>
      </c>
      <c r="X21" s="1145">
        <f>'Trip Gen'!AK68</f>
        <v>22139.77</v>
      </c>
      <c r="Y21" s="1145">
        <f>'Trip Gen'!AL68</f>
        <v>22511.619999999995</v>
      </c>
      <c r="Z21" s="1145">
        <f>'Trip Gen'!AM68</f>
        <v>22883.469999999998</v>
      </c>
      <c r="AA21" s="1145">
        <f>'Trip Gen'!AN68</f>
        <v>23255.519999999997</v>
      </c>
      <c r="AB21" s="1145">
        <f>'Trip Gen'!AO68</f>
        <v>23627.369999999995</v>
      </c>
      <c r="AC21" s="1145">
        <f>'Trip Gen'!AP68</f>
        <v>23999.419999999995</v>
      </c>
      <c r="AD21" s="1145">
        <f>'Trip Gen'!AQ68</f>
        <v>24371.27</v>
      </c>
      <c r="AE21" s="1145">
        <f>'Trip Gen'!AR68</f>
        <v>24743.119999999995</v>
      </c>
      <c r="AF21" s="1145">
        <f>'Trip Gen'!AS68</f>
        <v>25115.17</v>
      </c>
      <c r="AG21" s="1145">
        <f>'Trip Gen'!AT68</f>
        <v>25487.019999999997</v>
      </c>
      <c r="AH21" s="1145">
        <f>'Trip Gen'!AU68</f>
        <v>25858.869999999995</v>
      </c>
      <c r="AI21" s="1145">
        <f>'Trip Gen'!AV68</f>
        <v>26230.92</v>
      </c>
      <c r="AJ21" s="1141">
        <f t="shared" si="13"/>
        <v>6.4923679999999984E-2</v>
      </c>
      <c r="AK21" s="1126">
        <f t="shared" si="3"/>
        <v>11988.636363636364</v>
      </c>
      <c r="AL21" s="1145">
        <f t="shared" si="7"/>
        <v>12434.433806818184</v>
      </c>
      <c r="AM21" s="1145">
        <f t="shared" si="8"/>
        <v>12908.98</v>
      </c>
      <c r="AN21" s="1145">
        <f t="shared" si="9"/>
        <v>13961.738125</v>
      </c>
      <c r="AO21" s="1145">
        <f t="shared" si="10"/>
        <v>15014.760000000004</v>
      </c>
      <c r="AP21" s="1145">
        <f t="shared" si="11"/>
        <v>16068.357329545457</v>
      </c>
      <c r="AQ21" s="1145">
        <f t="shared" si="6"/>
        <v>17121.115454545463</v>
      </c>
      <c r="AR21" s="1145">
        <f t="shared" si="6"/>
        <v>18174.796704545457</v>
      </c>
      <c r="AS21" s="1145">
        <f t="shared" si="6"/>
        <v>19591.373977272724</v>
      </c>
      <c r="AT21" s="1145">
        <f t="shared" si="6"/>
        <v>21008.011193181817</v>
      </c>
      <c r="AU21" s="1145">
        <f t="shared" si="6"/>
        <v>22424.588465909088</v>
      </c>
      <c r="AV21" s="1145">
        <f t="shared" si="6"/>
        <v>23841.165738636362</v>
      </c>
      <c r="AW21" s="1145">
        <f t="shared" si="6"/>
        <v>25259.061761363642</v>
      </c>
      <c r="AX21" s="1145">
        <f t="shared" si="6"/>
        <v>26096.767727272727</v>
      </c>
      <c r="AY21" s="1145">
        <f t="shared" si="6"/>
        <v>26542.565170454549</v>
      </c>
      <c r="AZ21" s="1145">
        <f t="shared" si="6"/>
        <v>26988.36261363636</v>
      </c>
      <c r="BA21" s="1145">
        <f t="shared" si="6"/>
        <v>27434.160056818182</v>
      </c>
      <c r="BB21" s="1145">
        <f t="shared" si="6"/>
        <v>27880.19727272727</v>
      </c>
      <c r="BC21" s="1145">
        <f t="shared" si="6"/>
        <v>28325.994715909088</v>
      </c>
      <c r="BD21" s="1145">
        <f t="shared" si="6"/>
        <v>28772.031931818179</v>
      </c>
      <c r="BE21" s="1145">
        <f t="shared" si="6"/>
        <v>29217.829375000001</v>
      </c>
      <c r="BF21" s="1145">
        <f t="shared" si="6"/>
        <v>29663.626818181816</v>
      </c>
      <c r="BG21" s="1145">
        <f t="shared" si="6"/>
        <v>30109.664034090911</v>
      </c>
      <c r="BH21" s="1145">
        <f t="shared" si="6"/>
        <v>30555.461477272725</v>
      </c>
      <c r="BI21" s="1145">
        <f t="shared" si="6"/>
        <v>31001.258920454544</v>
      </c>
      <c r="BJ21" s="1145">
        <f t="shared" si="6"/>
        <v>31447.296136363639</v>
      </c>
      <c r="BK21" s="394">
        <f>((0.33*'Traffic Data'!AK21)/Speed!X102)+((0.67*'Traffic Data'!AK21)/Speed!AX102)</f>
        <v>214.46577905864618</v>
      </c>
      <c r="BL21" s="392">
        <f>((0.33*AL21)/Speed!Y102)+((0.67*AL21)/Speed!AY102)</f>
        <v>222.44069465960939</v>
      </c>
      <c r="BM21" s="392">
        <f>((0.33*AM21)/Speed!Z102)+((0.67*AM21)/Speed!AZ102)</f>
        <v>230.92990245156457</v>
      </c>
      <c r="BN21" s="392">
        <f>((0.33*AN21)/Speed!AA102)+((0.67*AN21)/Speed!BA102)</f>
        <v>249.76282271157984</v>
      </c>
      <c r="BO21" s="392">
        <f>((0.33*AO21)/Speed!AB102)+((0.67*AO21)/Speed!BB102)</f>
        <v>268.60050365653848</v>
      </c>
      <c r="BP21" s="392">
        <f>((0.33*AP21)/Speed!AC102)+((0.67*AP21)/Speed!BC102)</f>
        <v>287.44856034909992</v>
      </c>
      <c r="BQ21" s="392">
        <f>((0.33*AQ21)/Speed!AD102)+((0.67*AQ21)/Speed!BD102)</f>
        <v>306.28175334649836</v>
      </c>
      <c r="BR21" s="392">
        <f>((0.33*AR21)/Speed!AE102)+((0.67*AR21)/Speed!BE102)</f>
        <v>325.13172384634822</v>
      </c>
      <c r="BS21" s="392">
        <f>((0.33*AS21)/Speed!AF102)+((0.67*AS21)/Speed!BF102)</f>
        <v>350.4745290402999</v>
      </c>
      <c r="BT21" s="392">
        <f>((0.33*AT21)/Speed!AG102)+((0.67*AT21)/Speed!BG102)</f>
        <v>375.82002202437508</v>
      </c>
      <c r="BU21" s="392">
        <f>((0.33*AU21)/Speed!AH102)+((0.67*AU21)/Speed!BH102)</f>
        <v>401.1674582241854</v>
      </c>
      <c r="BV21" s="392">
        <f>((0.33*AV21)/Speed!AI102)+((0.67*AV21)/Speed!BI102)</f>
        <v>426.52030202728895</v>
      </c>
      <c r="BW21" s="392">
        <f>((0.33*AW21)/Speed!AJ102)+((0.67*AW21)/Speed!BJ102)</f>
        <v>451.90612202745604</v>
      </c>
      <c r="BX21" s="392">
        <f>((0.33*AX21)/Speed!AK102)+((0.67*AX21)/Speed!BK102)</f>
        <v>466.91115259918877</v>
      </c>
      <c r="BY21" s="392">
        <f>((0.33*AY21)/Speed!AL102)+((0.67*AY21)/Speed!BL102)</f>
        <v>474.8991264111533</v>
      </c>
      <c r="BZ21" s="392">
        <f>((0.33*AZ21)/Speed!AM102)+((0.67*AZ21)/Speed!BM102)</f>
        <v>482.88948884895126</v>
      </c>
      <c r="CA21" s="392">
        <f>((0.33*BA21)/Speed!AN102)+((0.67*BA21)/Speed!BN102)</f>
        <v>490.88262618941872</v>
      </c>
      <c r="CB21" s="392">
        <f>((0.33*BB21)/Speed!AO102)+((0.67*BB21)/Speed!BO102)</f>
        <v>498.88328092359086</v>
      </c>
      <c r="CC21" s="392">
        <f>((0.33*BC21)/Speed!AP102)+((0.67*BC21)/Speed!BP102)</f>
        <v>506.88335343691239</v>
      </c>
      <c r="CD21" s="392">
        <f>((0.33*BD21)/Speed!AQ102)+((0.67*BD21)/Speed!BQ102)</f>
        <v>514.89202042306181</v>
      </c>
      <c r="CE21" s="392">
        <f>((0.33*BE21)/Speed!AR102)+((0.67*BE21)/Speed!BR102)</f>
        <v>522.90131870265327</v>
      </c>
      <c r="CF21" s="392">
        <f>((0.33*BF21)/Speed!AS102)+((0.67*BF21)/Speed!BS102)</f>
        <v>530.91628441306182</v>
      </c>
      <c r="CG21" s="392">
        <f>((0.33*BG21)/Speed!AT102)+((0.67*BG21)/Speed!BT102)</f>
        <v>538.94206102262228</v>
      </c>
      <c r="CH21" s="392">
        <f>((0.33*BH21)/Speed!AU102)+((0.67*BH21)/Speed!BU102)</f>
        <v>546.97095311536975</v>
      </c>
      <c r="CI21" s="392">
        <f>((0.33*BI21)/Speed!AV102)+((0.67*BI21)/Speed!BV102)</f>
        <v>555.00832338423129</v>
      </c>
      <c r="CJ21" s="430">
        <f>((0.33*BJ21)/Speed!AW102)+((0.67*BJ21)/Speed!BW102)</f>
        <v>563.05968289317445</v>
      </c>
      <c r="CK21" s="1383">
        <f>Inputs!$L$35</f>
        <v>0.2</v>
      </c>
      <c r="CL21" s="1388">
        <f>Inputs!$L$36</f>
        <v>0.8</v>
      </c>
      <c r="CM21" s="1389">
        <f>1/(1+CK21)</f>
        <v>0.83333333333333337</v>
      </c>
      <c r="CN21" s="1395">
        <v>0.9</v>
      </c>
      <c r="CP21" s="1130"/>
      <c r="DA21"/>
    </row>
    <row r="22" spans="2:105" ht="21.9" customHeight="1" x14ac:dyDescent="0.25">
      <c r="B22" s="469"/>
      <c r="C22" s="114"/>
      <c r="D22" s="114" t="s">
        <v>333</v>
      </c>
      <c r="E22" s="114" t="s">
        <v>323</v>
      </c>
      <c r="F22" s="114" t="s">
        <v>356</v>
      </c>
      <c r="G22" s="343">
        <v>55</v>
      </c>
      <c r="H22" s="1119">
        <f>1213/foottomile</f>
        <v>0.22973484848484849</v>
      </c>
      <c r="I22" s="343">
        <v>4</v>
      </c>
      <c r="J22" s="1126">
        <f>'Trip Gen'!W69</f>
        <v>7600</v>
      </c>
      <c r="K22" s="1115">
        <f>'Trip Gen'!X69</f>
        <v>7870.45</v>
      </c>
      <c r="L22" s="1115">
        <f>'Trip Gen'!Y69</f>
        <v>8164.78</v>
      </c>
      <c r="M22" s="1115">
        <f>'Trip Gen'!Z69</f>
        <v>8727.510000000002</v>
      </c>
      <c r="N22" s="1115">
        <f>'Trip Gen'!AA69</f>
        <v>9290.4600000000009</v>
      </c>
      <c r="O22" s="1115">
        <f>'Trip Gen'!AB69</f>
        <v>9853.49</v>
      </c>
      <c r="P22" s="1115">
        <f>'Trip Gen'!AC69</f>
        <v>10416.219999999999</v>
      </c>
      <c r="Q22" s="1115">
        <f>'Trip Gen'!AD69</f>
        <v>10979.42</v>
      </c>
      <c r="R22" s="1115">
        <f>'Trip Gen'!AE69</f>
        <v>11752.119999999997</v>
      </c>
      <c r="S22" s="1115">
        <f>'Trip Gen'!AF69</f>
        <v>12524.969999999998</v>
      </c>
      <c r="T22" s="1115">
        <f>'Trip Gen'!AG69</f>
        <v>13297.57</v>
      </c>
      <c r="U22" s="1115">
        <f>'Trip Gen'!AH69</f>
        <v>14070.27</v>
      </c>
      <c r="V22" s="1115">
        <f>'Trip Gen'!AI69</f>
        <v>14843.569999999998</v>
      </c>
      <c r="W22" s="1115">
        <f>'Trip Gen'!AJ69</f>
        <v>15347.519999999999</v>
      </c>
      <c r="X22" s="1115">
        <f>'Trip Gen'!AK69</f>
        <v>15617.969999999998</v>
      </c>
      <c r="Y22" s="1115">
        <f>'Trip Gen'!AL69</f>
        <v>15888.419999999998</v>
      </c>
      <c r="Z22" s="1115">
        <f>'Trip Gen'!AM69</f>
        <v>16158.869999999999</v>
      </c>
      <c r="AA22" s="1115">
        <f>'Trip Gen'!AN69</f>
        <v>16429.419999999998</v>
      </c>
      <c r="AB22" s="1115">
        <f>'Trip Gen'!AO69</f>
        <v>16699.869999999995</v>
      </c>
      <c r="AC22" s="1115">
        <f>'Trip Gen'!AP69</f>
        <v>16970.420000000002</v>
      </c>
      <c r="AD22" s="1115">
        <f>'Trip Gen'!AQ69</f>
        <v>17240.87</v>
      </c>
      <c r="AE22" s="1115">
        <f>'Trip Gen'!AR69</f>
        <v>17511.32</v>
      </c>
      <c r="AF22" s="1115">
        <f>'Trip Gen'!AS69</f>
        <v>17781.87</v>
      </c>
      <c r="AG22" s="1115">
        <f>'Trip Gen'!AT69</f>
        <v>18052.32</v>
      </c>
      <c r="AH22" s="1115">
        <f>'Trip Gen'!AU69</f>
        <v>18322.77</v>
      </c>
      <c r="AI22" s="1115">
        <f>'Trip Gen'!AV69</f>
        <v>18593.319999999996</v>
      </c>
      <c r="AJ22" s="1141">
        <f t="shared" si="13"/>
        <v>5.7859578947368401E-2</v>
      </c>
      <c r="AK22" s="1126">
        <f t="shared" si="3"/>
        <v>1745.9848484848485</v>
      </c>
      <c r="AL22" s="1115">
        <f t="shared" si="7"/>
        <v>1808.1166382575757</v>
      </c>
      <c r="AM22" s="1115">
        <f t="shared" si="8"/>
        <v>1875.7344962121213</v>
      </c>
      <c r="AN22" s="1115">
        <f t="shared" si="9"/>
        <v>2005.0131875000004</v>
      </c>
      <c r="AO22" s="1115">
        <f t="shared" si="10"/>
        <v>2134.3424204545458</v>
      </c>
      <c r="AP22" s="1115">
        <f t="shared" si="11"/>
        <v>2263.6900321969697</v>
      </c>
      <c r="AQ22" s="1115">
        <f t="shared" si="6"/>
        <v>2392.9687234848484</v>
      </c>
      <c r="AR22" s="1115">
        <f t="shared" si="6"/>
        <v>2522.3553901515152</v>
      </c>
      <c r="AS22" s="1115">
        <f t="shared" si="6"/>
        <v>2699.8715075757568</v>
      </c>
      <c r="AT22" s="1115">
        <f t="shared" si="6"/>
        <v>2877.422085227272</v>
      </c>
      <c r="AU22" s="1115">
        <f t="shared" si="6"/>
        <v>3054.9152291666664</v>
      </c>
      <c r="AV22" s="1115">
        <f t="shared" si="6"/>
        <v>3232.431346590909</v>
      </c>
      <c r="AW22" s="1115">
        <f t="shared" si="6"/>
        <v>3410.0853049242419</v>
      </c>
      <c r="AX22" s="1115">
        <f t="shared" si="6"/>
        <v>3525.8601818181814</v>
      </c>
      <c r="AY22" s="1115">
        <f t="shared" si="6"/>
        <v>3587.9919715909086</v>
      </c>
      <c r="AZ22" s="1115">
        <f t="shared" si="6"/>
        <v>3650.1237613636358</v>
      </c>
      <c r="BA22" s="1115">
        <f t="shared" si="6"/>
        <v>3712.2555511363635</v>
      </c>
      <c r="BB22" s="1115">
        <f t="shared" si="6"/>
        <v>3774.4103143939392</v>
      </c>
      <c r="BC22" s="1115">
        <f t="shared" si="6"/>
        <v>3836.5421041666655</v>
      </c>
      <c r="BD22" s="1115">
        <f t="shared" si="6"/>
        <v>3898.696867424243</v>
      </c>
      <c r="BE22" s="1115">
        <f t="shared" si="6"/>
        <v>3960.8286571969693</v>
      </c>
      <c r="BF22" s="1115">
        <f t="shared" si="6"/>
        <v>4022.9604469696969</v>
      </c>
      <c r="BG22" s="1115">
        <f t="shared" si="6"/>
        <v>4085.1152102272727</v>
      </c>
      <c r="BH22" s="1115">
        <f t="shared" si="6"/>
        <v>4147.2470000000003</v>
      </c>
      <c r="BI22" s="1115">
        <f t="shared" si="6"/>
        <v>4209.378789772727</v>
      </c>
      <c r="BJ22" s="1115">
        <f t="shared" si="6"/>
        <v>4271.5335530303018</v>
      </c>
      <c r="BK22" s="394">
        <f>((0.33*'Traffic Data'!AK22)/Speed!X103)+((0.67*'Traffic Data'!AK22)/Speed!AX103)</f>
        <v>31.234076116374347</v>
      </c>
      <c r="BL22" s="392">
        <f>((0.33*AL22)/Speed!Y103)+((0.67*AL22)/Speed!AY103)</f>
        <v>32.345557203751952</v>
      </c>
      <c r="BM22" s="392">
        <f>((0.33*AM22)/Speed!Z103)+((0.67*AM22)/Speed!AZ103)</f>
        <v>33.555179075807956</v>
      </c>
      <c r="BN22" s="392">
        <f>((0.33*AN22)/Speed!AA103)+((0.67*AN22)/Speed!BA103)</f>
        <v>35.867857189698491</v>
      </c>
      <c r="BO22" s="392">
        <f>((0.33*AO22)/Speed!AB103)+((0.67*AO22)/Speed!BB103)</f>
        <v>38.181439694755113</v>
      </c>
      <c r="BP22" s="392">
        <f>((0.33*AP22)/Speed!AC103)+((0.67*AP22)/Speed!BC103)</f>
        <v>40.49535141163696</v>
      </c>
      <c r="BQ22" s="392">
        <f>((0.33*AQ22)/Speed!AD103)+((0.67*AQ22)/Speed!BD103)</f>
        <v>42.808030935169313</v>
      </c>
      <c r="BR22" s="392">
        <f>((0.33*AR22)/Speed!AE103)+((0.67*AR22)/Speed!BE103)</f>
        <v>45.122643245511952</v>
      </c>
      <c r="BS22" s="392">
        <f>((0.33*AS22)/Speed!AF103)+((0.67*AS22)/Speed!BF103)</f>
        <v>48.2982519433208</v>
      </c>
      <c r="BT22" s="392">
        <f>((0.33*AT22)/Speed!AG103)+((0.67*AT22)/Speed!BG103)</f>
        <v>51.474483880949649</v>
      </c>
      <c r="BU22" s="392">
        <f>((0.33*AU22)/Speed!AH103)+((0.67*AU22)/Speed!BH103)</f>
        <v>54.649700355697895</v>
      </c>
      <c r="BV22" s="392">
        <f>((0.33*AV22)/Speed!AI103)+((0.67*AV22)/Speed!BI103)</f>
        <v>57.825348287118914</v>
      </c>
      <c r="BW22" s="392">
        <f>((0.33*AW22)/Speed!AJ103)+((0.67*AW22)/Speed!BJ103)</f>
        <v>61.003496122318253</v>
      </c>
      <c r="BX22" s="392">
        <f>((0.33*AX22)/Speed!AK103)+((0.67*AX22)/Speed!BK103)</f>
        <v>63.074683449204528</v>
      </c>
      <c r="BY22" s="392">
        <f>((0.33*AY22)/Speed!AL103)+((0.67*AY22)/Speed!BL103)</f>
        <v>64.18621990248495</v>
      </c>
      <c r="BZ22" s="392">
        <f>((0.33*AZ22)/Speed!AM103)+((0.67*AZ22)/Speed!BM103)</f>
        <v>65.297766830774037</v>
      </c>
      <c r="CA22" s="392">
        <f>((0.33*BA22)/Speed!AN103)+((0.67*BA22)/Speed!BN103)</f>
        <v>66.409325984175624</v>
      </c>
      <c r="CB22" s="392">
        <f>((0.33*BB22)/Speed!AO103)+((0.67*BB22)/Speed!BO103)</f>
        <v>67.521310379162529</v>
      </c>
      <c r="CC22" s="392">
        <f>((0.33*BC22)/Speed!AP103)+((0.67*BC22)/Speed!BP103)</f>
        <v>68.632900290655499</v>
      </c>
      <c r="CD22" s="392">
        <f>((0.33*BD22)/Speed!AQ103)+((0.67*BD22)/Speed!BQ103)</f>
        <v>69.744920365013016</v>
      </c>
      <c r="CE22" s="392">
        <f>((0.33*BE22)/Speed!AR103)+((0.67*BE22)/Speed!BR103)</f>
        <v>70.856551535031244</v>
      </c>
      <c r="CF22" s="392">
        <f>((0.33*BF22)/Speed!AS103)+((0.67*BF22)/Speed!BS103)</f>
        <v>71.968208199485034</v>
      </c>
      <c r="CG22" s="392">
        <f>((0.33*BG22)/Speed!AT103)+((0.67*BG22)/Speed!BT103)</f>
        <v>73.080305247044819</v>
      </c>
      <c r="CH22" s="392">
        <f>((0.33*BH22)/Speed!AU103)+((0.67*BH22)/Speed!BU103)</f>
        <v>74.192024914243774</v>
      </c>
      <c r="CI22" s="392">
        <f>((0.33*BI22)/Speed!AV103)+((0.67*BI22)/Speed!BV103)</f>
        <v>75.303783142927074</v>
      </c>
      <c r="CJ22" s="430">
        <f>((0.33*BJ22)/Speed!AW103)+((0.67*BJ22)/Speed!BW103)</f>
        <v>76.415996555811134</v>
      </c>
      <c r="CK22" s="1383"/>
      <c r="CL22" s="1383"/>
      <c r="CM22" s="1390"/>
      <c r="CN22" s="1396"/>
      <c r="CP22" s="1130"/>
      <c r="DA22"/>
    </row>
    <row r="23" spans="2:105" ht="21.9" customHeight="1" x14ac:dyDescent="0.25">
      <c r="B23" s="469"/>
      <c r="C23" s="114"/>
      <c r="D23" s="114" t="s">
        <v>323</v>
      </c>
      <c r="E23" s="114" t="s">
        <v>322</v>
      </c>
      <c r="F23" s="114" t="s">
        <v>356</v>
      </c>
      <c r="G23" s="343">
        <v>45</v>
      </c>
      <c r="H23" s="1119">
        <f>300/foottomile</f>
        <v>5.6818181818181816E-2</v>
      </c>
      <c r="I23" s="343">
        <v>4</v>
      </c>
      <c r="J23" s="1126">
        <f>J22</f>
        <v>7600</v>
      </c>
      <c r="K23" s="1115">
        <f>K22</f>
        <v>7870.45</v>
      </c>
      <c r="L23" s="1115">
        <f t="shared" ref="L23:AI23" si="14">L22</f>
        <v>8164.78</v>
      </c>
      <c r="M23" s="1115">
        <f t="shared" si="14"/>
        <v>8727.510000000002</v>
      </c>
      <c r="N23" s="1115">
        <f t="shared" si="14"/>
        <v>9290.4600000000009</v>
      </c>
      <c r="O23" s="1115">
        <f t="shared" si="14"/>
        <v>9853.49</v>
      </c>
      <c r="P23" s="1115">
        <f t="shared" si="14"/>
        <v>10416.219999999999</v>
      </c>
      <c r="Q23" s="1115">
        <f t="shared" si="14"/>
        <v>10979.42</v>
      </c>
      <c r="R23" s="1115">
        <f t="shared" si="14"/>
        <v>11752.119999999997</v>
      </c>
      <c r="S23" s="1115">
        <f t="shared" si="14"/>
        <v>12524.969999999998</v>
      </c>
      <c r="T23" s="1115">
        <f t="shared" si="14"/>
        <v>13297.57</v>
      </c>
      <c r="U23" s="1115">
        <f t="shared" si="14"/>
        <v>14070.27</v>
      </c>
      <c r="V23" s="1115">
        <f t="shared" si="14"/>
        <v>14843.569999999998</v>
      </c>
      <c r="W23" s="1115">
        <f t="shared" si="14"/>
        <v>15347.519999999999</v>
      </c>
      <c r="X23" s="1115">
        <f t="shared" si="14"/>
        <v>15617.969999999998</v>
      </c>
      <c r="Y23" s="1115">
        <f t="shared" si="14"/>
        <v>15888.419999999998</v>
      </c>
      <c r="Z23" s="1115">
        <f t="shared" si="14"/>
        <v>16158.869999999999</v>
      </c>
      <c r="AA23" s="1115">
        <f t="shared" si="14"/>
        <v>16429.419999999998</v>
      </c>
      <c r="AB23" s="1115">
        <f t="shared" si="14"/>
        <v>16699.869999999995</v>
      </c>
      <c r="AC23" s="1115">
        <f t="shared" si="14"/>
        <v>16970.420000000002</v>
      </c>
      <c r="AD23" s="1115">
        <f t="shared" si="14"/>
        <v>17240.87</v>
      </c>
      <c r="AE23" s="1115">
        <f t="shared" si="14"/>
        <v>17511.32</v>
      </c>
      <c r="AF23" s="1115">
        <f t="shared" si="14"/>
        <v>17781.87</v>
      </c>
      <c r="AG23" s="1115">
        <f t="shared" si="14"/>
        <v>18052.32</v>
      </c>
      <c r="AH23" s="1115">
        <f t="shared" si="14"/>
        <v>18322.77</v>
      </c>
      <c r="AI23" s="1115">
        <f t="shared" si="14"/>
        <v>18593.319999999996</v>
      </c>
      <c r="AJ23" s="1141">
        <f t="shared" si="13"/>
        <v>5.7859578947368401E-2</v>
      </c>
      <c r="AK23" s="1126">
        <f t="shared" si="3"/>
        <v>431.81818181818181</v>
      </c>
      <c r="AL23" s="1115">
        <f t="shared" si="7"/>
        <v>447.18465909090907</v>
      </c>
      <c r="AM23" s="1115">
        <f t="shared" si="8"/>
        <v>463.90795454545452</v>
      </c>
      <c r="AN23" s="1115">
        <f t="shared" si="9"/>
        <v>495.88125000000008</v>
      </c>
      <c r="AO23" s="1115">
        <f t="shared" si="10"/>
        <v>527.86704545454552</v>
      </c>
      <c r="AP23" s="1115">
        <f t="shared" si="11"/>
        <v>559.85738636363635</v>
      </c>
      <c r="AQ23" s="1115">
        <f t="shared" si="6"/>
        <v>591.8306818181818</v>
      </c>
      <c r="AR23" s="1115">
        <f t="shared" si="6"/>
        <v>623.8306818181818</v>
      </c>
      <c r="AS23" s="1115">
        <f t="shared" si="6"/>
        <v>667.7340909090907</v>
      </c>
      <c r="AT23" s="1115">
        <f t="shared" si="6"/>
        <v>711.64602272727257</v>
      </c>
      <c r="AU23" s="1115">
        <f t="shared" si="6"/>
        <v>755.54374999999993</v>
      </c>
      <c r="AV23" s="1115">
        <f t="shared" si="6"/>
        <v>799.44715909090905</v>
      </c>
      <c r="AW23" s="1115">
        <f t="shared" si="6"/>
        <v>843.38465909090894</v>
      </c>
      <c r="AX23" s="1115">
        <f t="shared" si="6"/>
        <v>872.01818181818169</v>
      </c>
      <c r="AY23" s="1115">
        <f t="shared" si="6"/>
        <v>887.38465909090894</v>
      </c>
      <c r="AZ23" s="1115">
        <f t="shared" si="6"/>
        <v>902.75113636363619</v>
      </c>
      <c r="BA23" s="1115">
        <f t="shared" si="6"/>
        <v>918.11761363636356</v>
      </c>
      <c r="BB23" s="1115">
        <f t="shared" si="6"/>
        <v>933.48977272727257</v>
      </c>
      <c r="BC23" s="1115">
        <f t="shared" si="6"/>
        <v>948.8562499999997</v>
      </c>
      <c r="BD23" s="1115">
        <f t="shared" si="6"/>
        <v>964.22840909090917</v>
      </c>
      <c r="BE23" s="1115">
        <f t="shared" si="6"/>
        <v>979.59488636363631</v>
      </c>
      <c r="BF23" s="1115">
        <f t="shared" si="6"/>
        <v>994.96136363636356</v>
      </c>
      <c r="BG23" s="1115">
        <f t="shared" si="6"/>
        <v>1010.3335227272727</v>
      </c>
      <c r="BH23" s="1115">
        <f t="shared" si="6"/>
        <v>1025.7</v>
      </c>
      <c r="BI23" s="1115">
        <f t="shared" si="6"/>
        <v>1041.0664772727273</v>
      </c>
      <c r="BJ23" s="1115">
        <f t="shared" si="6"/>
        <v>1056.4386363636361</v>
      </c>
      <c r="BK23" s="394">
        <f>((0.33*'Traffic Data'!AK23)/Speed!X104)+((0.67*'Traffic Data'!AK23)/Speed!AX104)</f>
        <v>9.4078036195684422</v>
      </c>
      <c r="BL23" s="392">
        <f>((0.33*AL23)/Speed!Y104)+((0.67*AL23)/Speed!AY104)</f>
        <v>9.7425853036454129</v>
      </c>
      <c r="BM23" s="392">
        <f>((0.33*AM23)/Speed!Z104)+((0.67*AM23)/Speed!AZ104)</f>
        <v>10.106927321346571</v>
      </c>
      <c r="BN23" s="392">
        <f>((0.33*AN23)/Speed!AA104)+((0.67*AN23)/Speed!BA104)</f>
        <v>10.803513502931144</v>
      </c>
      <c r="BO23" s="392">
        <f>((0.33*AO23)/Speed!AB104)+((0.67*AO23)/Speed!BB104)</f>
        <v>11.500372217957713</v>
      </c>
      <c r="BP23" s="392">
        <f>((0.33*AP23)/Speed!AC104)+((0.67*AP23)/Speed!BC104)</f>
        <v>12.197330316556418</v>
      </c>
      <c r="BQ23" s="392">
        <f>((0.33*AQ23)/Speed!AD104)+((0.67*AQ23)/Speed!BD104)</f>
        <v>12.893917653256178</v>
      </c>
      <c r="BR23" s="392">
        <f>((0.33*AR23)/Speed!AE104)+((0.67*AR23)/Speed!BE104)</f>
        <v>13.591087776406546</v>
      </c>
      <c r="BS23" s="392">
        <f>((0.33*AS23)/Speed!AF104)+((0.67*AS23)/Speed!BF104)</f>
        <v>14.547595056149163</v>
      </c>
      <c r="BT23" s="392">
        <f>((0.33*AT23)/Speed!AG104)+((0.67*AT23)/Speed!BG104)</f>
        <v>15.504293570211491</v>
      </c>
      <c r="BU23" s="392">
        <f>((0.33*AU23)/Speed!AH104)+((0.67*AU23)/Speed!BH104)</f>
        <v>16.46069242887323</v>
      </c>
      <c r="BV23" s="392">
        <f>((0.33*AV23)/Speed!AI104)+((0.67*AV23)/Speed!BI104)</f>
        <v>17.417231858159198</v>
      </c>
      <c r="BW23" s="392">
        <f>((0.33*AW23)/Speed!AJ104)+((0.67*AW23)/Speed!BJ104)</f>
        <v>18.374541915315277</v>
      </c>
      <c r="BX23" s="392">
        <f>((0.33*AX23)/Speed!AK104)+((0.67*AX23)/Speed!BK104)</f>
        <v>18.998431827428895</v>
      </c>
      <c r="BY23" s="392">
        <f>((0.33*AY23)/Speed!AL104)+((0.67*AY23)/Speed!BL104)</f>
        <v>19.333258880473828</v>
      </c>
      <c r="BZ23" s="392">
        <f>((0.33*AZ23)/Speed!AM104)+((0.67*AZ23)/Speed!BM104)</f>
        <v>19.668094517147068</v>
      </c>
      <c r="CA23" s="392">
        <f>((0.33*BA23)/Speed!AN104)+((0.67*BA23)/Speed!BN104)</f>
        <v>20.002940171551636</v>
      </c>
      <c r="CB23" s="392">
        <f>((0.33*BB23)/Speed!AO104)+((0.67*BB23)/Speed!BO104)</f>
        <v>20.337921303696703</v>
      </c>
      <c r="CC23" s="392">
        <f>((0.33*BC23)/Speed!AP104)+((0.67*BC23)/Speed!BP104)</f>
        <v>20.672792162474188</v>
      </c>
      <c r="CD23" s="392">
        <f>((0.33*BD23)/Speed!AQ104)+((0.67*BD23)/Speed!BQ104)</f>
        <v>21.007802531679246</v>
      </c>
      <c r="CE23" s="392">
        <f>((0.33*BE23)/Speed!AR104)+((0.67*BE23)/Speed!BR104)</f>
        <v>21.342707199292413</v>
      </c>
      <c r="CF23" s="392">
        <f>((0.33*BF23)/Speed!AS104)+((0.67*BF23)/Speed!BS104)</f>
        <v>21.677632758034768</v>
      </c>
      <c r="CG23" s="392">
        <f>((0.33*BG23)/Speed!AT104)+((0.67*BG23)/Speed!BT104)</f>
        <v>22.01270620206693</v>
      </c>
      <c r="CH23" s="392">
        <f>((0.33*BH23)/Speed!AU104)+((0.67*BH23)/Speed!BU104)</f>
        <v>22.347683387702023</v>
      </c>
      <c r="CI23" s="392">
        <f>((0.33*BI23)/Speed!AV104)+((0.67*BI23)/Speed!BV104)</f>
        <v>22.68269217211289</v>
      </c>
      <c r="CJ23" s="430">
        <f>((0.33*BJ23)/Speed!AW104)+((0.67*BJ23)/Speed!BW104)</f>
        <v>23.017860970404612</v>
      </c>
      <c r="CK23" s="1383"/>
      <c r="CL23" s="1383"/>
      <c r="CM23" s="1390"/>
      <c r="CN23" s="1396"/>
      <c r="CP23" s="1130"/>
      <c r="DA23"/>
    </row>
    <row r="24" spans="2:105" ht="21.9" customHeight="1" x14ac:dyDescent="0.25">
      <c r="B24" s="469"/>
      <c r="C24" s="114"/>
      <c r="D24" s="114" t="s">
        <v>322</v>
      </c>
      <c r="E24" s="114" t="s">
        <v>326</v>
      </c>
      <c r="F24" s="114" t="s">
        <v>357</v>
      </c>
      <c r="G24" s="343">
        <v>45</v>
      </c>
      <c r="H24" s="1119">
        <f>975/foottomile</f>
        <v>0.18465909090909091</v>
      </c>
      <c r="I24" s="343">
        <v>4</v>
      </c>
      <c r="J24" s="1126">
        <f>'Trip Gen'!W70</f>
        <v>6000</v>
      </c>
      <c r="K24" s="1115">
        <f>'Trip Gen'!X70</f>
        <v>6206.63</v>
      </c>
      <c r="L24" s="1115">
        <f>'Trip Gen'!Y70</f>
        <v>6437.1599999999989</v>
      </c>
      <c r="M24" s="1115">
        <f>'Trip Gen'!Z70</f>
        <v>6839.8700000000008</v>
      </c>
      <c r="N24" s="1115">
        <f>'Trip Gen'!AA70</f>
        <v>7242.82</v>
      </c>
      <c r="O24" s="1115">
        <f>'Trip Gen'!AB70</f>
        <v>7645.6300000000019</v>
      </c>
      <c r="P24" s="1115">
        <f>'Trip Gen'!AC70</f>
        <v>8048.3400000000011</v>
      </c>
      <c r="Q24" s="1115">
        <f>'Trip Gen'!AD70</f>
        <v>8451.4600000000009</v>
      </c>
      <c r="R24" s="1115">
        <f>'Trip Gen'!AE70</f>
        <v>8970.6400000000012</v>
      </c>
      <c r="S24" s="1115">
        <f>'Trip Gen'!AF70</f>
        <v>9490.1100000000024</v>
      </c>
      <c r="T24" s="1115">
        <f>'Trip Gen'!AG70</f>
        <v>10009.189999999997</v>
      </c>
      <c r="U24" s="1115">
        <f>'Trip Gen'!AH70</f>
        <v>10528.369999999999</v>
      </c>
      <c r="V24" s="1115">
        <f>'Trip Gen'!AI70</f>
        <v>11047.99</v>
      </c>
      <c r="W24" s="1115">
        <f>'Trip Gen'!AJ70</f>
        <v>11394.720000000001</v>
      </c>
      <c r="X24" s="1115">
        <f>'Trip Gen'!AK70</f>
        <v>11601.350000000002</v>
      </c>
      <c r="Y24" s="1115">
        <f>'Trip Gen'!AL70</f>
        <v>11807.980000000001</v>
      </c>
      <c r="Z24" s="1115">
        <f>'Trip Gen'!AM70</f>
        <v>12014.610000000004</v>
      </c>
      <c r="AA24" s="1115">
        <f>'Trip Gen'!AN70</f>
        <v>12221.360000000004</v>
      </c>
      <c r="AB24" s="1115">
        <f>'Trip Gen'!AO70</f>
        <v>12427.990000000002</v>
      </c>
      <c r="AC24" s="1115">
        <f>'Trip Gen'!AP70</f>
        <v>12634.739999999998</v>
      </c>
      <c r="AD24" s="1115">
        <f>'Trip Gen'!AQ70</f>
        <v>12841.37</v>
      </c>
      <c r="AE24" s="1115">
        <f>'Trip Gen'!AR70</f>
        <v>13048</v>
      </c>
      <c r="AF24" s="1115">
        <f>'Trip Gen'!AS70</f>
        <v>13254.75</v>
      </c>
      <c r="AG24" s="1115">
        <f>'Trip Gen'!AT70</f>
        <v>13461.380000000001</v>
      </c>
      <c r="AH24" s="1115">
        <f>'Trip Gen'!AU70</f>
        <v>13668.01</v>
      </c>
      <c r="AI24" s="1115">
        <f>'Trip Gen'!AV70</f>
        <v>13874.76</v>
      </c>
      <c r="AJ24" s="1141">
        <f t="shared" si="13"/>
        <v>5.2498400000000001E-2</v>
      </c>
      <c r="AK24" s="1126">
        <f t="shared" si="3"/>
        <v>1107.9545454545455</v>
      </c>
      <c r="AL24" s="1115">
        <f t="shared" si="7"/>
        <v>1146.1106534090909</v>
      </c>
      <c r="AM24" s="1115">
        <f t="shared" si="8"/>
        <v>1188.6801136363636</v>
      </c>
      <c r="AN24" s="1115">
        <f t="shared" si="9"/>
        <v>1263.0441761363638</v>
      </c>
      <c r="AO24" s="1115">
        <f t="shared" si="10"/>
        <v>1337.4525568181818</v>
      </c>
      <c r="AP24" s="1115">
        <f t="shared" si="11"/>
        <v>1411.8350852272731</v>
      </c>
      <c r="AQ24" s="1115">
        <f t="shared" si="6"/>
        <v>1486.1991477272729</v>
      </c>
      <c r="AR24" s="1115">
        <f t="shared" si="6"/>
        <v>1560.6389204545455</v>
      </c>
      <c r="AS24" s="1115">
        <f t="shared" si="6"/>
        <v>1656.5102272727274</v>
      </c>
      <c r="AT24" s="1115">
        <f t="shared" si="6"/>
        <v>1752.4350852272732</v>
      </c>
      <c r="AU24" s="1115">
        <f t="shared" si="6"/>
        <v>1848.287926136363</v>
      </c>
      <c r="AV24" s="1115">
        <f t="shared" si="6"/>
        <v>1944.1592329545454</v>
      </c>
      <c r="AW24" s="1115">
        <f t="shared" si="6"/>
        <v>2040.1117897727272</v>
      </c>
      <c r="AX24" s="1115">
        <f t="shared" si="6"/>
        <v>2104.1386363636366</v>
      </c>
      <c r="AY24" s="1115">
        <f t="shared" si="6"/>
        <v>2142.2947443181824</v>
      </c>
      <c r="AZ24" s="1115">
        <f t="shared" si="6"/>
        <v>2180.4508522727274</v>
      </c>
      <c r="BA24" s="1115">
        <f t="shared" si="6"/>
        <v>2218.6069602272737</v>
      </c>
      <c r="BB24" s="1115">
        <f t="shared" si="6"/>
        <v>2256.7852272727282</v>
      </c>
      <c r="BC24" s="1115">
        <f t="shared" si="6"/>
        <v>2294.9413352272732</v>
      </c>
      <c r="BD24" s="1115">
        <f t="shared" si="6"/>
        <v>2333.1196022727268</v>
      </c>
      <c r="BE24" s="1115">
        <f t="shared" si="6"/>
        <v>2371.2757102272731</v>
      </c>
      <c r="BF24" s="1115">
        <f t="shared" si="6"/>
        <v>2409.431818181818</v>
      </c>
      <c r="BG24" s="1115">
        <f t="shared" si="6"/>
        <v>2447.610085227273</v>
      </c>
      <c r="BH24" s="1115">
        <f t="shared" si="6"/>
        <v>2485.7661931818184</v>
      </c>
      <c r="BI24" s="1115">
        <f t="shared" si="6"/>
        <v>2523.9223011363638</v>
      </c>
      <c r="BJ24" s="1115">
        <f t="shared" si="6"/>
        <v>2562.1005681818183</v>
      </c>
      <c r="BK24" s="394">
        <f>((0.33*'Traffic Data'!AK24)/Speed!X105)+((0.67*'Traffic Data'!AK24)/Speed!AX105)</f>
        <v>24.138443278803063</v>
      </c>
      <c r="BL24" s="392">
        <f>((0.33*AL24)/Speed!Y105)+((0.67*AL24)/Speed!AY105)</f>
        <v>24.969731044053681</v>
      </c>
      <c r="BM24" s="392">
        <f>((0.33*AM24)/Speed!Z105)+((0.67*AM24)/Speed!AZ105)</f>
        <v>25.897170280960353</v>
      </c>
      <c r="BN24" s="392">
        <f>((0.33*AN24)/Speed!AA105)+((0.67*AN24)/Speed!BA105)</f>
        <v>27.517302408307703</v>
      </c>
      <c r="BO24" s="392">
        <f>((0.33*AO24)/Speed!AB105)+((0.67*AO24)/Speed!BB105)</f>
        <v>29.138400110810011</v>
      </c>
      <c r="BP24" s="392">
        <f>((0.33*AP24)/Speed!AC105)+((0.67*AP24)/Speed!BC105)</f>
        <v>30.758934645377032</v>
      </c>
      <c r="BQ24" s="392">
        <f>((0.33*AQ24)/Speed!AD105)+((0.67*AQ24)/Speed!BD105)</f>
        <v>32.3790669738964</v>
      </c>
      <c r="BR24" s="392">
        <f>((0.33*AR24)/Speed!AE105)+((0.67*AR24)/Speed!BE105)</f>
        <v>34.00084892386316</v>
      </c>
      <c r="BS24" s="392">
        <f>((0.33*AS24)/Speed!AF105)+((0.67*AS24)/Speed!BF105)</f>
        <v>36.089549330360207</v>
      </c>
      <c r="BT24" s="392">
        <f>((0.33*AT24)/Speed!AG105)+((0.67*AT24)/Speed!BG105)</f>
        <v>38.179417141866878</v>
      </c>
      <c r="BU24" s="392">
        <f>((0.33*AU24)/Speed!AH105)+((0.67*AU24)/Speed!BH105)</f>
        <v>40.267717133065226</v>
      </c>
      <c r="BV24" s="392">
        <f>((0.33*AV24)/Speed!AI105)+((0.67*AV24)/Speed!BI105)</f>
        <v>42.356421334028532</v>
      </c>
      <c r="BW24" s="392">
        <f>((0.33*AW24)/Speed!AJ105)+((0.67*AW24)/Speed!BJ105)</f>
        <v>44.446898689309592</v>
      </c>
      <c r="BX24" s="392">
        <f>((0.33*AX24)/Speed!AK105)+((0.67*AX24)/Speed!BK105)</f>
        <v>45.841826680051845</v>
      </c>
      <c r="BY24" s="392">
        <f>((0.33*AY24)/Speed!AL105)+((0.67*AY24)/Speed!BL105)</f>
        <v>46.673120188868111</v>
      </c>
      <c r="BZ24" s="392">
        <f>((0.33*AZ24)/Speed!AM105)+((0.67*AZ24)/Speed!BM105)</f>
        <v>47.504414819114757</v>
      </c>
      <c r="CA24" s="392">
        <f>((0.33*BA24)/Speed!AN105)+((0.67*BA24)/Speed!BN105)</f>
        <v>48.335710763867112</v>
      </c>
      <c r="CB24" s="392">
        <f>((0.33*BB24)/Speed!AO105)+((0.67*BB24)/Speed!BO105)</f>
        <v>49.167491020160242</v>
      </c>
      <c r="CC24" s="392">
        <f>((0.33*BC24)/Speed!AP105)+((0.67*BC24)/Speed!BP105)</f>
        <v>49.998790293859372</v>
      </c>
      <c r="CD24" s="392">
        <f>((0.33*BD24)/Speed!AQ105)+((0.67*BD24)/Speed!BQ105)</f>
        <v>50.830574428101855</v>
      </c>
      <c r="CE24" s="392">
        <f>((0.33*BE24)/Speed!AR105)+((0.67*BE24)/Speed!BR105)</f>
        <v>51.661878202665449</v>
      </c>
      <c r="CF24" s="392">
        <f>((0.33*BF24)/Speed!AS105)+((0.67*BF24)/Speed!BS105)</f>
        <v>52.493184773383319</v>
      </c>
      <c r="CG24" s="392">
        <f>((0.33*BG24)/Speed!AT105)+((0.67*BG24)/Speed!BT105)</f>
        <v>53.324977354795955</v>
      </c>
      <c r="CH24" s="392">
        <f>((0.33*BH24)/Speed!AU105)+((0.67*BH24)/Speed!BU105)</f>
        <v>54.156290873968615</v>
      </c>
      <c r="CI24" s="392">
        <f>((0.33*BI24)/Speed!AV105)+((0.67*BI24)/Speed!BV105)</f>
        <v>54.987608666846029</v>
      </c>
      <c r="CJ24" s="430">
        <f>((0.33*BJ24)/Speed!AW105)+((0.67*BJ24)/Speed!BW105)</f>
        <v>55.819414151919091</v>
      </c>
      <c r="CK24" s="1383"/>
      <c r="CL24" s="1383"/>
      <c r="CM24" s="1390"/>
      <c r="CN24" s="1396"/>
      <c r="CP24" s="1130"/>
      <c r="DA24"/>
    </row>
    <row r="25" spans="2:105" ht="21.9" customHeight="1" x14ac:dyDescent="0.25">
      <c r="B25" s="469"/>
      <c r="C25" s="114"/>
      <c r="D25" s="114" t="s">
        <v>326</v>
      </c>
      <c r="E25" s="114" t="s">
        <v>274</v>
      </c>
      <c r="F25" s="114" t="s">
        <v>357</v>
      </c>
      <c r="G25" s="343">
        <v>55</v>
      </c>
      <c r="H25" s="1119">
        <f>8095/foottomile</f>
        <v>1.5331439393939394</v>
      </c>
      <c r="I25" s="343">
        <v>4</v>
      </c>
      <c r="J25" s="1126">
        <f>J24</f>
        <v>6000</v>
      </c>
      <c r="K25" s="1115">
        <f>K24</f>
        <v>6206.63</v>
      </c>
      <c r="L25" s="1115">
        <f t="shared" ref="L25:AI25" si="15">L24</f>
        <v>6437.1599999999989</v>
      </c>
      <c r="M25" s="1115">
        <f t="shared" si="15"/>
        <v>6839.8700000000008</v>
      </c>
      <c r="N25" s="1115">
        <f t="shared" si="15"/>
        <v>7242.82</v>
      </c>
      <c r="O25" s="1115">
        <f t="shared" si="15"/>
        <v>7645.6300000000019</v>
      </c>
      <c r="P25" s="1115">
        <f t="shared" si="15"/>
        <v>8048.3400000000011</v>
      </c>
      <c r="Q25" s="1115">
        <f t="shared" si="15"/>
        <v>8451.4600000000009</v>
      </c>
      <c r="R25" s="1115">
        <f t="shared" si="15"/>
        <v>8970.6400000000012</v>
      </c>
      <c r="S25" s="1115">
        <f t="shared" si="15"/>
        <v>9490.1100000000024</v>
      </c>
      <c r="T25" s="1115">
        <f t="shared" si="15"/>
        <v>10009.189999999997</v>
      </c>
      <c r="U25" s="1115">
        <f t="shared" si="15"/>
        <v>10528.369999999999</v>
      </c>
      <c r="V25" s="1115">
        <f t="shared" si="15"/>
        <v>11047.99</v>
      </c>
      <c r="W25" s="1115">
        <f t="shared" si="15"/>
        <v>11394.720000000001</v>
      </c>
      <c r="X25" s="1115">
        <f t="shared" si="15"/>
        <v>11601.350000000002</v>
      </c>
      <c r="Y25" s="1115">
        <f t="shared" si="15"/>
        <v>11807.980000000001</v>
      </c>
      <c r="Z25" s="1115">
        <f t="shared" si="15"/>
        <v>12014.610000000004</v>
      </c>
      <c r="AA25" s="1115">
        <f t="shared" si="15"/>
        <v>12221.360000000004</v>
      </c>
      <c r="AB25" s="1115">
        <f t="shared" si="15"/>
        <v>12427.990000000002</v>
      </c>
      <c r="AC25" s="1115">
        <f t="shared" si="15"/>
        <v>12634.739999999998</v>
      </c>
      <c r="AD25" s="1115">
        <f t="shared" si="15"/>
        <v>12841.37</v>
      </c>
      <c r="AE25" s="1115">
        <f t="shared" si="15"/>
        <v>13048</v>
      </c>
      <c r="AF25" s="1115">
        <f t="shared" si="15"/>
        <v>13254.75</v>
      </c>
      <c r="AG25" s="1115">
        <f t="shared" si="15"/>
        <v>13461.380000000001</v>
      </c>
      <c r="AH25" s="1115">
        <f t="shared" si="15"/>
        <v>13668.01</v>
      </c>
      <c r="AI25" s="1115">
        <f t="shared" si="15"/>
        <v>13874.76</v>
      </c>
      <c r="AJ25" s="1141">
        <f t="shared" si="13"/>
        <v>5.2498400000000001E-2</v>
      </c>
      <c r="AK25" s="1126">
        <f t="shared" si="3"/>
        <v>9198.863636363636</v>
      </c>
      <c r="AL25" s="1115">
        <f t="shared" si="7"/>
        <v>9515.6571685606068</v>
      </c>
      <c r="AM25" s="1115">
        <f t="shared" si="8"/>
        <v>9869.0928409090902</v>
      </c>
      <c r="AN25" s="1115">
        <f t="shared" si="9"/>
        <v>10486.505236742425</v>
      </c>
      <c r="AO25" s="1115">
        <f t="shared" si="10"/>
        <v>11104.285587121212</v>
      </c>
      <c r="AP25" s="1115">
        <f t="shared" si="11"/>
        <v>11721.851297348489</v>
      </c>
      <c r="AQ25" s="1115">
        <f t="shared" si="6"/>
        <v>12339.26369318182</v>
      </c>
      <c r="AR25" s="1115">
        <f t="shared" si="6"/>
        <v>12957.304678030305</v>
      </c>
      <c r="AS25" s="1115">
        <f t="shared" si="6"/>
        <v>13753.28234848485</v>
      </c>
      <c r="AT25" s="1115">
        <f t="shared" si="6"/>
        <v>14549.704630681823</v>
      </c>
      <c r="AU25" s="1115">
        <f t="shared" si="6"/>
        <v>15345.52898674242</v>
      </c>
      <c r="AV25" s="1115">
        <f t="shared" si="6"/>
        <v>16141.506657196969</v>
      </c>
      <c r="AW25" s="1115">
        <f t="shared" si="6"/>
        <v>16938.15891098485</v>
      </c>
      <c r="AX25" s="1115">
        <f t="shared" si="6"/>
        <v>17469.745909090911</v>
      </c>
      <c r="AY25" s="1115">
        <f t="shared" si="6"/>
        <v>17786.539441287881</v>
      </c>
      <c r="AZ25" s="1115">
        <f t="shared" si="6"/>
        <v>18103.332973484852</v>
      </c>
      <c r="BA25" s="1115">
        <f t="shared" si="6"/>
        <v>18420.126505681827</v>
      </c>
      <c r="BB25" s="1115">
        <f t="shared" si="6"/>
        <v>18737.104015151523</v>
      </c>
      <c r="BC25" s="1115">
        <f t="shared" si="6"/>
        <v>19053.89754734849</v>
      </c>
      <c r="BD25" s="1115">
        <f t="shared" si="6"/>
        <v>19370.875056818179</v>
      </c>
      <c r="BE25" s="1115">
        <f t="shared" si="6"/>
        <v>19687.668589015153</v>
      </c>
      <c r="BF25" s="1115">
        <f t="shared" si="6"/>
        <v>20004.46212121212</v>
      </c>
      <c r="BG25" s="1115">
        <f t="shared" si="6"/>
        <v>20321.43963068182</v>
      </c>
      <c r="BH25" s="1115">
        <f t="shared" si="6"/>
        <v>20638.233162878791</v>
      </c>
      <c r="BI25" s="1115">
        <f t="shared" si="6"/>
        <v>20955.026695075758</v>
      </c>
      <c r="BJ25" s="1115">
        <f t="shared" si="6"/>
        <v>21272.004204545454</v>
      </c>
      <c r="BK25" s="394">
        <f>((0.33*'Traffic Data'!AK25)/Speed!X106)+((0.67*'Traffic Data'!AK25)/Speed!AX106)</f>
        <v>164.55927798828586</v>
      </c>
      <c r="BL25" s="392">
        <f>((0.33*AL25)/Speed!Y106)+((0.67*AL25)/Speed!AY106)</f>
        <v>170.22642528046316</v>
      </c>
      <c r="BM25" s="392">
        <f>((0.33*AM25)/Speed!Z106)+((0.67*AM25)/Speed!AZ106)</f>
        <v>176.54906704481721</v>
      </c>
      <c r="BN25" s="392">
        <f>((0.33*AN25)/Speed!AA106)+((0.67*AN25)/Speed!BA106)</f>
        <v>187.59401163122465</v>
      </c>
      <c r="BO25" s="392">
        <f>((0.33*AO25)/Speed!AB106)+((0.67*AO25)/Speed!BB106)</f>
        <v>198.64553868253029</v>
      </c>
      <c r="BP25" s="392">
        <f>((0.33*AP25)/Speed!AC106)+((0.67*AP25)/Speed!BC106)</f>
        <v>209.69322617373479</v>
      </c>
      <c r="BQ25" s="392">
        <f>((0.33*AQ25)/Speed!AD106)+((0.67*AQ25)/Speed!BD106)</f>
        <v>220.73817126425035</v>
      </c>
      <c r="BR25" s="392">
        <f>((0.33*AR25)/Speed!AE106)+((0.67*AR25)/Speed!BE106)</f>
        <v>231.79436164259732</v>
      </c>
      <c r="BS25" s="392">
        <f>((0.33*AS25)/Speed!AF106)+((0.67*AS25)/Speed!BF106)</f>
        <v>246.03367824620614</v>
      </c>
      <c r="BT25" s="392">
        <f>((0.33*AT25)/Speed!AG106)+((0.67*AT25)/Speed!BG106)</f>
        <v>260.28095033639124</v>
      </c>
      <c r="BU25" s="392">
        <f>((0.33*AU25)/Speed!AH106)+((0.67*AU25)/Speed!BH106)</f>
        <v>274.5175290266709</v>
      </c>
      <c r="BV25" s="392">
        <f>((0.33*AV25)/Speed!AI106)+((0.67*AV25)/Speed!BI106)</f>
        <v>288.75685513866716</v>
      </c>
      <c r="BW25" s="392">
        <f>((0.33*AW25)/Speed!AJ106)+((0.67*AW25)/Speed!BJ106)</f>
        <v>303.00825645315564</v>
      </c>
      <c r="BX25" s="392">
        <f>((0.33*AX25)/Speed!AK106)+((0.67*AX25)/Speed!BK106)</f>
        <v>312.5178818680501</v>
      </c>
      <c r="BY25" s="392">
        <f>((0.33*AY25)/Speed!AL106)+((0.67*AY25)/Speed!BL106)</f>
        <v>318.18504355277798</v>
      </c>
      <c r="BZ25" s="392">
        <f>((0.33*AZ25)/Speed!AM106)+((0.67*AZ25)/Speed!BM106)</f>
        <v>323.85220804764947</v>
      </c>
      <c r="CA25" s="392">
        <f>((0.33*BA25)/Speed!AN106)+((0.67*BA25)/Speed!BN106)</f>
        <v>329.51937583648345</v>
      </c>
      <c r="CB25" s="392">
        <f>((0.33*BB25)/Speed!AO106)+((0.67*BB25)/Speed!BO106)</f>
        <v>335.18983867659966</v>
      </c>
      <c r="CC25" s="392">
        <f>((0.33*BC25)/Speed!AP106)+((0.67*BC25)/Speed!BP106)</f>
        <v>340.85701480729614</v>
      </c>
      <c r="CD25" s="392">
        <f>((0.33*BD25)/Speed!AQ106)+((0.67*BD25)/Speed!BQ106)</f>
        <v>346.52748736499643</v>
      </c>
      <c r="CE25" s="392">
        <f>((0.33*BE25)/Speed!AR106)+((0.67*BE25)/Speed!BR106)</f>
        <v>352.1946747742129</v>
      </c>
      <c r="CF25" s="392">
        <f>((0.33*BF25)/Speed!AS106)+((0.67*BF25)/Speed!BS106)</f>
        <v>357.86186919019036</v>
      </c>
      <c r="CG25" s="392">
        <f>((0.33*BG25)/Speed!AT106)+((0.67*BG25)/Speed!BT106)</f>
        <v>363.532362915286</v>
      </c>
      <c r="CH25" s="392">
        <f>((0.33*BH25)/Speed!AU106)+((0.67*BH25)/Speed!BU106)</f>
        <v>369.19957474309331</v>
      </c>
      <c r="CI25" s="392">
        <f>((0.33*BI25)/Speed!AV106)+((0.67*BI25)/Speed!BV106)</f>
        <v>374.86679728019084</v>
      </c>
      <c r="CJ25" s="430">
        <f>((0.33*BJ25)/Speed!AW106)+((0.67*BJ25)/Speed!BW106)</f>
        <v>380.53732334000637</v>
      </c>
      <c r="CK25" s="1383"/>
      <c r="CL25" s="1383"/>
      <c r="CM25" s="1390"/>
      <c r="CN25" s="1396"/>
      <c r="CP25" s="1130"/>
      <c r="DA25"/>
    </row>
    <row r="26" spans="2:105" ht="21.9" customHeight="1" thickBot="1" x14ac:dyDescent="0.3">
      <c r="B26" s="768"/>
      <c r="C26" s="274"/>
      <c r="D26" s="274" t="s">
        <v>274</v>
      </c>
      <c r="E26" s="274" t="s">
        <v>317</v>
      </c>
      <c r="F26" s="274"/>
      <c r="G26" s="1128">
        <v>55</v>
      </c>
      <c r="H26" s="1136">
        <f>500/foottomile</f>
        <v>9.4696969696969696E-2</v>
      </c>
      <c r="I26" s="1128">
        <v>4</v>
      </c>
      <c r="J26" s="1127">
        <v>2400</v>
      </c>
      <c r="K26" s="1128">
        <f>K25*0.4</f>
        <v>2482.652</v>
      </c>
      <c r="L26" s="1128">
        <f t="shared" ref="L26:AI26" si="16">L25*0.4</f>
        <v>2574.8639999999996</v>
      </c>
      <c r="M26" s="1128">
        <f t="shared" si="16"/>
        <v>2735.9480000000003</v>
      </c>
      <c r="N26" s="1128">
        <f t="shared" si="16"/>
        <v>2897.1280000000002</v>
      </c>
      <c r="O26" s="1128">
        <f t="shared" si="16"/>
        <v>3058.2520000000009</v>
      </c>
      <c r="P26" s="1128">
        <f t="shared" si="16"/>
        <v>3219.3360000000007</v>
      </c>
      <c r="Q26" s="1128">
        <f t="shared" si="16"/>
        <v>3380.5840000000007</v>
      </c>
      <c r="R26" s="1128">
        <f t="shared" si="16"/>
        <v>3588.2560000000008</v>
      </c>
      <c r="S26" s="1128">
        <f t="shared" si="16"/>
        <v>3796.0440000000012</v>
      </c>
      <c r="T26" s="1128">
        <f t="shared" si="16"/>
        <v>4003.675999999999</v>
      </c>
      <c r="U26" s="1128">
        <f t="shared" si="16"/>
        <v>4211.348</v>
      </c>
      <c r="V26" s="1128">
        <f t="shared" si="16"/>
        <v>4419.1959999999999</v>
      </c>
      <c r="W26" s="1128">
        <f t="shared" si="16"/>
        <v>4557.8880000000008</v>
      </c>
      <c r="X26" s="1128">
        <f t="shared" si="16"/>
        <v>4640.5400000000009</v>
      </c>
      <c r="Y26" s="1128">
        <f t="shared" si="16"/>
        <v>4723.1920000000009</v>
      </c>
      <c r="Z26" s="1128">
        <f t="shared" si="16"/>
        <v>4805.8440000000019</v>
      </c>
      <c r="AA26" s="1128">
        <f t="shared" si="16"/>
        <v>4888.5440000000017</v>
      </c>
      <c r="AB26" s="1128">
        <f t="shared" si="16"/>
        <v>4971.1960000000008</v>
      </c>
      <c r="AC26" s="1128">
        <f t="shared" si="16"/>
        <v>5053.8959999999997</v>
      </c>
      <c r="AD26" s="1128">
        <f t="shared" si="16"/>
        <v>5136.5480000000007</v>
      </c>
      <c r="AE26" s="1128">
        <f t="shared" si="16"/>
        <v>5219.2000000000007</v>
      </c>
      <c r="AF26" s="1128">
        <f t="shared" si="16"/>
        <v>5301.9000000000005</v>
      </c>
      <c r="AG26" s="1128">
        <f t="shared" si="16"/>
        <v>5384.5520000000006</v>
      </c>
      <c r="AH26" s="1128">
        <f t="shared" si="16"/>
        <v>5467.2040000000006</v>
      </c>
      <c r="AI26" s="1128">
        <f t="shared" si="16"/>
        <v>5549.9040000000005</v>
      </c>
      <c r="AJ26" s="1144">
        <f t="shared" si="13"/>
        <v>5.2498400000000008E-2</v>
      </c>
      <c r="AK26" s="1127">
        <f t="shared" si="3"/>
        <v>227.27272727272728</v>
      </c>
      <c r="AL26" s="1128">
        <f t="shared" si="7"/>
        <v>235.09962121212121</v>
      </c>
      <c r="AM26" s="1128">
        <f t="shared" si="8"/>
        <v>243.83181818181814</v>
      </c>
      <c r="AN26" s="1128">
        <f t="shared" si="9"/>
        <v>259.08598484848488</v>
      </c>
      <c r="AO26" s="1128">
        <f t="shared" si="10"/>
        <v>274.34924242424245</v>
      </c>
      <c r="AP26" s="1128">
        <f t="shared" si="11"/>
        <v>289.60719696969704</v>
      </c>
      <c r="AQ26" s="1128">
        <f t="shared" si="6"/>
        <v>304.86136363636371</v>
      </c>
      <c r="AR26" s="1128">
        <f t="shared" si="6"/>
        <v>320.13106060606066</v>
      </c>
      <c r="AS26" s="1128">
        <f t="shared" si="6"/>
        <v>339.79696969696977</v>
      </c>
      <c r="AT26" s="1128">
        <f t="shared" si="6"/>
        <v>359.47386363636377</v>
      </c>
      <c r="AU26" s="1128">
        <f t="shared" si="6"/>
        <v>379.13598484848472</v>
      </c>
      <c r="AV26" s="1128">
        <f t="shared" si="6"/>
        <v>398.80189393939395</v>
      </c>
      <c r="AW26" s="1128">
        <f t="shared" si="6"/>
        <v>418.48446969696971</v>
      </c>
      <c r="AX26" s="1128">
        <f t="shared" si="6"/>
        <v>431.61818181818188</v>
      </c>
      <c r="AY26" s="1128">
        <f t="shared" si="6"/>
        <v>439.44507575757586</v>
      </c>
      <c r="AZ26" s="1128">
        <f t="shared" si="6"/>
        <v>447.27196969696979</v>
      </c>
      <c r="BA26" s="1128">
        <f t="shared" si="6"/>
        <v>455.09886363636383</v>
      </c>
      <c r="BB26" s="1128">
        <f t="shared" si="6"/>
        <v>462.93030303030321</v>
      </c>
      <c r="BC26" s="1128">
        <f t="shared" si="6"/>
        <v>470.75719696969702</v>
      </c>
      <c r="BD26" s="1128">
        <f t="shared" si="6"/>
        <v>478.58863636363634</v>
      </c>
      <c r="BE26" s="1128">
        <f t="shared" si="6"/>
        <v>486.41553030303038</v>
      </c>
      <c r="BF26" s="1128">
        <f t="shared" si="6"/>
        <v>494.24242424242431</v>
      </c>
      <c r="BG26" s="1128">
        <f t="shared" si="6"/>
        <v>502.07386363636368</v>
      </c>
      <c r="BH26" s="1128">
        <f t="shared" si="6"/>
        <v>509.90075757575761</v>
      </c>
      <c r="BI26" s="1128">
        <f t="shared" si="6"/>
        <v>517.72765151515159</v>
      </c>
      <c r="BJ26" s="1128">
        <f t="shared" si="6"/>
        <v>525.55909090909097</v>
      </c>
      <c r="BK26" s="394">
        <f>((0.33*'Traffic Data'!AK26)/Speed!X107)+((0.67*'Traffic Data'!AK26)/Speed!AX107)</f>
        <v>4.1098166073256728</v>
      </c>
      <c r="BL26" s="392">
        <f>((0.33*AL26)/Speed!Y107)+((0.67*AL26)/Speed!AY107)</f>
        <v>4.251352829870549</v>
      </c>
      <c r="BM26" s="392">
        <f>((0.33*AM26)/Speed!Z107)+((0.67*AM26)/Speed!AZ107)</f>
        <v>4.4092604407971541</v>
      </c>
      <c r="BN26" s="392">
        <f>((0.33*AN26)/Speed!AA107)+((0.67*AN26)/Speed!BA107)</f>
        <v>4.6851092014513327</v>
      </c>
      <c r="BO26" s="392">
        <f>((0.33*AO26)/Speed!AB107)+((0.67*AO26)/Speed!BB107)</f>
        <v>4.9611262613522227</v>
      </c>
      <c r="BP26" s="392">
        <f>((0.33*AP26)/Speed!AC107)+((0.67*AP26)/Speed!BC107)</f>
        <v>5.2370539401404228</v>
      </c>
      <c r="BQ26" s="392">
        <f>((0.33*AQ26)/Speed!AD107)+((0.67*AQ26)/Speed!BD107)</f>
        <v>5.5129237006607008</v>
      </c>
      <c r="BR26" s="392">
        <f>((0.33*AR26)/Speed!AE107)+((0.67*AR26)/Speed!BE107)</f>
        <v>5.7890911214087266</v>
      </c>
      <c r="BS26" s="392">
        <f>((0.33*AS26)/Speed!AF107)+((0.67*AS26)/Speed!BF107)</f>
        <v>6.1448085015521556</v>
      </c>
      <c r="BT26" s="392">
        <f>((0.33*AT26)/Speed!AG107)+((0.67*AT26)/Speed!BG107)</f>
        <v>6.5007990122071329</v>
      </c>
      <c r="BU26" s="392">
        <f>((0.33*AU26)/Speed!AH107)+((0.67*AU26)/Speed!BH107)</f>
        <v>6.8566454060839988</v>
      </c>
      <c r="BV26" s="392">
        <f>((0.33*AV26)/Speed!AI107)+((0.67*AV26)/Speed!BI107)</f>
        <v>7.212758881480589</v>
      </c>
      <c r="BW26" s="392">
        <f>((0.33*AW26)/Speed!AJ107)+((0.67*AW26)/Speed!BJ107)</f>
        <v>7.5694870952593636</v>
      </c>
      <c r="BX26" s="392">
        <f>((0.33*AX26)/Speed!AK107)+((0.67*AX26)/Speed!BK107)</f>
        <v>7.8077782645697855</v>
      </c>
      <c r="BY26" s="392">
        <f>((0.33*AY26)/Speed!AL107)+((0.67*AY26)/Speed!BL107)</f>
        <v>7.9499140441904315</v>
      </c>
      <c r="BZ26" s="392">
        <f>((0.33*AZ26)/Speed!AM107)+((0.67*AZ26)/Speed!BM107)</f>
        <v>8.0921668872469681</v>
      </c>
      <c r="CA26" s="392">
        <f>((0.33*BA26)/Speed!AN107)+((0.67*BA26)/Speed!BN107)</f>
        <v>8.2345569484080237</v>
      </c>
      <c r="CB26" s="392">
        <f>((0.33*BB26)/Speed!AO107)+((0.67*BB26)/Speed!BO107)</f>
        <v>8.3771902420740112</v>
      </c>
      <c r="CC26" s="392">
        <f>((0.33*BC26)/Speed!AP107)+((0.67*BC26)/Speed!BP107)</f>
        <v>8.5199278040251372</v>
      </c>
      <c r="CD26" s="392">
        <f>((0.33*BD26)/Speed!AQ107)+((0.67*BD26)/Speed!BQ107)</f>
        <v>8.662965907549653</v>
      </c>
      <c r="CE26" s="392">
        <f>((0.33*BE26)/Speed!AR107)+((0.67*BE26)/Speed!BR107)</f>
        <v>8.8061733039726882</v>
      </c>
      <c r="CF26" s="392">
        <f>((0.33*BF26)/Speed!AS107)+((0.67*BF26)/Speed!BS107)</f>
        <v>8.9496725842516547</v>
      </c>
      <c r="CG26" s="392">
        <f>((0.33*BG26)/Speed!AT107)+((0.67*BG26)/Speed!BT107)</f>
        <v>9.0935924676540019</v>
      </c>
      <c r="CH26" s="392">
        <f>((0.33*BH26)/Speed!AU107)+((0.67*BH26)/Speed!BU107)</f>
        <v>9.2378170805035076</v>
      </c>
      <c r="CI26" s="392">
        <f>((0.33*BI26)/Speed!AV107)+((0.67*BI26)/Speed!BV107)</f>
        <v>9.3824878151671687</v>
      </c>
      <c r="CJ26" s="439">
        <f>((0.33*BJ26)/Speed!AW107)+((0.67*BJ26)/Speed!BW107)</f>
        <v>9.5277546808111335</v>
      </c>
      <c r="CK26" s="1384"/>
      <c r="CL26" s="1384"/>
      <c r="CM26" s="1391"/>
      <c r="CN26" s="1397"/>
      <c r="CP26" s="1130"/>
      <c r="DA26"/>
    </row>
    <row r="27" spans="2:105" ht="21.9" customHeight="1" x14ac:dyDescent="0.25">
      <c r="B27" s="547" t="s">
        <v>335</v>
      </c>
      <c r="C27" s="1407" t="s">
        <v>315</v>
      </c>
      <c r="D27" s="549" t="s">
        <v>316</v>
      </c>
      <c r="E27" s="549" t="s">
        <v>276</v>
      </c>
      <c r="F27" s="276" t="s">
        <v>344</v>
      </c>
      <c r="G27" s="277">
        <v>70</v>
      </c>
      <c r="H27" s="278">
        <v>9.5000000000000001E-2</v>
      </c>
      <c r="I27" s="279">
        <v>4</v>
      </c>
      <c r="J27" s="322">
        <f>'Trip Gen'!W104</f>
        <v>16000</v>
      </c>
      <c r="K27" s="280">
        <f>'Trip Gen'!X104</f>
        <v>16727.55</v>
      </c>
      <c r="L27" s="280">
        <f>'Trip Gen'!Y104</f>
        <v>17752.600000000002</v>
      </c>
      <c r="M27" s="280">
        <f>'Trip Gen'!Z104</f>
        <v>19260.400000000001</v>
      </c>
      <c r="N27" s="280">
        <f>'Trip Gen'!AA104</f>
        <v>20768.75</v>
      </c>
      <c r="O27" s="280">
        <f>'Trip Gen'!AB104</f>
        <v>22277.1</v>
      </c>
      <c r="P27" s="280">
        <f>'Trip Gen'!AC104</f>
        <v>23784.899999999998</v>
      </c>
      <c r="Q27" s="280">
        <f>'Trip Gen'!AD104</f>
        <v>25293.799999999996</v>
      </c>
      <c r="R27" s="280">
        <f>'Trip Gen'!AE104</f>
        <v>26784.85</v>
      </c>
      <c r="S27" s="280">
        <f>'Trip Gen'!AF104</f>
        <v>28276.2</v>
      </c>
      <c r="T27" s="280">
        <f>'Trip Gen'!AG104</f>
        <v>29767.250000000004</v>
      </c>
      <c r="U27" s="280">
        <f>'Trip Gen'!AH104</f>
        <v>31258.300000000003</v>
      </c>
      <c r="V27" s="280">
        <f>'Trip Gen'!AI104</f>
        <v>32750.45</v>
      </c>
      <c r="W27" s="280">
        <f>'Trip Gen'!AJ104</f>
        <v>33758.200000000004</v>
      </c>
      <c r="X27" s="280">
        <f>'Trip Gen'!AK104</f>
        <v>34485.75</v>
      </c>
      <c r="Y27" s="280">
        <f>'Trip Gen'!AL104</f>
        <v>35213.299999999996</v>
      </c>
      <c r="Z27" s="280">
        <f>'Trip Gen'!AM104</f>
        <v>35940.85</v>
      </c>
      <c r="AA27" s="280">
        <f>'Trip Gen'!AN104</f>
        <v>36668.65</v>
      </c>
      <c r="AB27" s="280">
        <f>'Trip Gen'!AO104</f>
        <v>37396.200000000004</v>
      </c>
      <c r="AC27" s="280">
        <f>'Trip Gen'!AP104</f>
        <v>38123.999999999993</v>
      </c>
      <c r="AD27" s="280">
        <f>'Trip Gen'!AQ104</f>
        <v>38851.550000000003</v>
      </c>
      <c r="AE27" s="280">
        <f>'Trip Gen'!AR104</f>
        <v>39579.1</v>
      </c>
      <c r="AF27" s="280">
        <f>'Trip Gen'!AS104</f>
        <v>40306.899999999994</v>
      </c>
      <c r="AG27" s="280">
        <f>'Trip Gen'!AT104</f>
        <v>41034.449999999997</v>
      </c>
      <c r="AH27" s="280">
        <f>'Trip Gen'!AU104</f>
        <v>41762</v>
      </c>
      <c r="AI27" s="323">
        <f>'Trip Gen'!AV104</f>
        <v>42489.799999999996</v>
      </c>
      <c r="AJ27" s="281">
        <f t="shared" si="13"/>
        <v>6.6224499999999992E-2</v>
      </c>
      <c r="AK27" s="322">
        <f t="shared" ref="AK27:AK38" si="17">$H27*J27</f>
        <v>1520</v>
      </c>
      <c r="AL27" s="280">
        <f t="shared" si="7"/>
        <v>1589.11725</v>
      </c>
      <c r="AM27" s="280">
        <f t="shared" si="8"/>
        <v>1686.4970000000003</v>
      </c>
      <c r="AN27" s="280">
        <f t="shared" si="9"/>
        <v>1829.7380000000001</v>
      </c>
      <c r="AO27" s="280">
        <f t="shared" si="10"/>
        <v>1973.03125</v>
      </c>
      <c r="AP27" s="280">
        <f t="shared" si="11"/>
        <v>2116.3244999999997</v>
      </c>
      <c r="AQ27" s="280">
        <f t="shared" si="6"/>
        <v>2259.5654999999997</v>
      </c>
      <c r="AR27" s="280">
        <f t="shared" si="6"/>
        <v>2402.9109999999996</v>
      </c>
      <c r="AS27" s="280">
        <f t="shared" si="6"/>
        <v>2544.5607500000001</v>
      </c>
      <c r="AT27" s="280">
        <f t="shared" si="6"/>
        <v>2686.239</v>
      </c>
      <c r="AU27" s="280">
        <f t="shared" si="6"/>
        <v>2827.8887500000005</v>
      </c>
      <c r="AV27" s="280">
        <f t="shared" si="6"/>
        <v>2969.5385000000001</v>
      </c>
      <c r="AW27" s="280">
        <f t="shared" si="6"/>
        <v>3111.2927500000001</v>
      </c>
      <c r="AX27" s="280">
        <f t="shared" si="6"/>
        <v>3207.0290000000005</v>
      </c>
      <c r="AY27" s="280">
        <f t="shared" si="6"/>
        <v>3276.1462500000002</v>
      </c>
      <c r="AZ27" s="280">
        <f t="shared" si="6"/>
        <v>3345.2634999999996</v>
      </c>
      <c r="BA27" s="280">
        <f t="shared" si="6"/>
        <v>3414.3807499999998</v>
      </c>
      <c r="BB27" s="280">
        <f t="shared" si="6"/>
        <v>3483.5217500000003</v>
      </c>
      <c r="BC27" s="280">
        <f t="shared" si="6"/>
        <v>3552.6390000000006</v>
      </c>
      <c r="BD27" s="280">
        <f t="shared" si="6"/>
        <v>3621.7799999999993</v>
      </c>
      <c r="BE27" s="280">
        <f t="shared" si="6"/>
        <v>3690.8972500000004</v>
      </c>
      <c r="BF27" s="280">
        <f t="shared" si="6"/>
        <v>3760.0144999999998</v>
      </c>
      <c r="BG27" s="280">
        <f t="shared" si="6"/>
        <v>3829.1554999999994</v>
      </c>
      <c r="BH27" s="280">
        <f t="shared" si="6"/>
        <v>3898.2727499999996</v>
      </c>
      <c r="BI27" s="280">
        <f t="shared" si="6"/>
        <v>3967.39</v>
      </c>
      <c r="BJ27" s="323">
        <f t="shared" si="6"/>
        <v>4036.5309999999995</v>
      </c>
      <c r="BK27" s="398">
        <f>((0.33*'Traffic Data'!AK27)/Speed!X108)+((0.67*'Traffic Data'!AK27)/Speed!AX108)</f>
        <v>21.175856323280648</v>
      </c>
      <c r="BL27" s="399">
        <f>((0.33*AL27)/Speed!Y108)+((0.67*AL27)/Speed!AY108)</f>
        <v>22.138786413516861</v>
      </c>
      <c r="BM27" s="399">
        <f>((0.33*AM27)/Speed!Z108)+((0.67*AM27)/Speed!AZ108)</f>
        <v>23.495490499721907</v>
      </c>
      <c r="BN27" s="399">
        <f>((0.33*AN27)/Speed!AA108)+((0.67*AN27)/Speed!BA108)</f>
        <v>25.491234591079476</v>
      </c>
      <c r="BO27" s="399">
        <f>((0.33*AO27)/Speed!AB108)+((0.67*AO27)/Speed!BB108)</f>
        <v>27.4879290716447</v>
      </c>
      <c r="BP27" s="399">
        <f>((0.33*AP27)/Speed!AC108)+((0.67*AP27)/Speed!BC108)</f>
        <v>29.485059760979347</v>
      </c>
      <c r="BQ27" s="399">
        <f>((0.33*AQ27)/Speed!AD108)+((0.67*AQ27)/Speed!BD108)</f>
        <v>31.482278212945808</v>
      </c>
      <c r="BR27" s="399">
        <f>((0.33*AR27)/Speed!AE108)+((0.67*AR27)/Speed!BE108)</f>
        <v>33.482421677200207</v>
      </c>
      <c r="BS27" s="399">
        <f>((0.33*AS27)/Speed!AF108)+((0.67*AS27)/Speed!BF108)</f>
        <v>35.461399943164125</v>
      </c>
      <c r="BT27" s="399">
        <f>((0.33*AT27)/Speed!AG108)+((0.67*AT27)/Speed!BG108)</f>
        <v>37.444931060365626</v>
      </c>
      <c r="BU27" s="399">
        <f>((0.33*AU27)/Speed!AH108)+((0.67*AU27)/Speed!BH108)</f>
        <v>39.434814458183652</v>
      </c>
      <c r="BV27" s="399">
        <f>((0.33*AV27)/Speed!AI108)+((0.67*AV27)/Speed!BI108)</f>
        <v>41.435401031650102</v>
      </c>
      <c r="BW27" s="399">
        <f>((0.33*AW27)/Speed!AJ108)+((0.67*AW27)/Speed!BJ108)</f>
        <v>43.454077685743009</v>
      </c>
      <c r="BX27" s="399">
        <f>((0.33*AX27)/Speed!AK108)+((0.67*AX27)/Speed!BK108)</f>
        <v>44.831044522451549</v>
      </c>
      <c r="BY27" s="399">
        <f>((0.33*AY27)/Speed!AL108)+((0.67*AY27)/Speed!BL108)</f>
        <v>45.834249465083083</v>
      </c>
      <c r="BZ27" s="399">
        <f>((0.33*AZ27)/Speed!AM108)+((0.67*AZ27)/Speed!BM108)</f>
        <v>46.846916865588334</v>
      </c>
      <c r="CA27" s="399">
        <f>((0.33*BA27)/Speed!AN108)+((0.67*BA27)/Speed!BN108)</f>
        <v>47.871001659443337</v>
      </c>
      <c r="CB27" s="399">
        <f>((0.33*BB27)/Speed!AO108)+((0.67*BB27)/Speed!BO108)</f>
        <v>48.909168971547231</v>
      </c>
      <c r="CC27" s="399">
        <f>((0.33*BC27)/Speed!AP108)+((0.67*BC27)/Speed!BP108)</f>
        <v>49.963417348204437</v>
      </c>
      <c r="CD27" s="399">
        <f>((0.33*BD27)/Speed!AQ108)+((0.67*BD27)/Speed!BQ108)</f>
        <v>51.03765077107937</v>
      </c>
      <c r="CE27" s="399">
        <f>((0.33*BE27)/Speed!AR108)+((0.67*BE27)/Speed!BR108)</f>
        <v>52.134844181240247</v>
      </c>
      <c r="CF27" s="399">
        <f>((0.33*BF27)/Speed!AS108)+((0.67*BF27)/Speed!BS108)</f>
        <v>53.25968683915503</v>
      </c>
      <c r="CG27" s="399">
        <f>((0.33*BG27)/Speed!AT108)+((0.67*BG27)/Speed!BT108)</f>
        <v>54.41760492974214</v>
      </c>
      <c r="CH27" s="399">
        <f>((0.33*BH27)/Speed!AU108)+((0.67*BH27)/Speed!BU108)</f>
        <v>55.61362209866909</v>
      </c>
      <c r="CI27" s="399">
        <f>((0.33*BI27)/Speed!AV108)+((0.67*BI27)/Speed!BV108)</f>
        <v>56.854851008888318</v>
      </c>
      <c r="CJ27" s="408">
        <f>((0.33*BJ27)/Speed!AW108)+((0.67*BJ27)/Speed!BW108)</f>
        <v>58.149490938130704</v>
      </c>
      <c r="CK27" s="1401">
        <f>Inputs!$D$35</f>
        <v>0.22</v>
      </c>
      <c r="CL27" s="1401">
        <f>Inputs!$D$36</f>
        <v>0.78</v>
      </c>
      <c r="CM27" s="1404">
        <f>1/(1+CK27)</f>
        <v>0.81967213114754101</v>
      </c>
      <c r="CN27" s="1398">
        <v>0.9</v>
      </c>
      <c r="DA27"/>
    </row>
    <row r="28" spans="2:105" ht="21.9" customHeight="1" x14ac:dyDescent="0.25">
      <c r="B28" s="900"/>
      <c r="C28" s="1369"/>
      <c r="D28" s="284" t="s">
        <v>276</v>
      </c>
      <c r="E28" s="284" t="s">
        <v>274</v>
      </c>
      <c r="F28" s="284" t="s">
        <v>345</v>
      </c>
      <c r="G28" s="285">
        <v>70</v>
      </c>
      <c r="H28" s="286">
        <f>19116/foottomile</f>
        <v>3.6204545454545456</v>
      </c>
      <c r="I28" s="287">
        <v>4</v>
      </c>
      <c r="J28" s="324">
        <f>'Trip Gen'!W105</f>
        <v>13500</v>
      </c>
      <c r="K28" s="325">
        <f>'Trip Gen'!X105</f>
        <v>14212.599999999997</v>
      </c>
      <c r="L28" s="325">
        <f>'Trip Gen'!Y105</f>
        <v>15282.300000000001</v>
      </c>
      <c r="M28" s="325">
        <f>'Trip Gen'!Z105</f>
        <v>17049.599999999999</v>
      </c>
      <c r="N28" s="325">
        <f>'Trip Gen'!AA105</f>
        <v>18817.7</v>
      </c>
      <c r="O28" s="325">
        <f>'Trip Gen'!AB105</f>
        <v>20585.699999999997</v>
      </c>
      <c r="P28" s="325">
        <f>'Trip Gen'!AC105</f>
        <v>22353</v>
      </c>
      <c r="Q28" s="325">
        <f>'Trip Gen'!AD105</f>
        <v>24121.899999999998</v>
      </c>
      <c r="R28" s="325">
        <f>'Trip Gen'!AE105</f>
        <v>25906.499999999996</v>
      </c>
      <c r="S28" s="325">
        <f>'Trip Gen'!AF105</f>
        <v>27691.699999999997</v>
      </c>
      <c r="T28" s="325">
        <f>'Trip Gen'!AG105</f>
        <v>29476.299999999996</v>
      </c>
      <c r="U28" s="325">
        <f>'Trip Gen'!AH105</f>
        <v>31260.899999999998</v>
      </c>
      <c r="V28" s="325">
        <f>'Trip Gen'!AI105</f>
        <v>33047.1</v>
      </c>
      <c r="W28" s="325">
        <f>'Trip Gen'!AJ105</f>
        <v>34133.300000000003</v>
      </c>
      <c r="X28" s="325">
        <f>'Trip Gen'!AK105</f>
        <v>34845.899999999994</v>
      </c>
      <c r="Y28" s="325">
        <f>'Trip Gen'!AL105</f>
        <v>35558.5</v>
      </c>
      <c r="Z28" s="325">
        <f>'Trip Gen'!AM105</f>
        <v>36271.100000000006</v>
      </c>
      <c r="AA28" s="325">
        <f>'Trip Gen'!AN105</f>
        <v>36984.1</v>
      </c>
      <c r="AB28" s="325">
        <f>'Trip Gen'!AO105</f>
        <v>37696.699999999997</v>
      </c>
      <c r="AC28" s="325">
        <f>'Trip Gen'!AP105</f>
        <v>38409.700000000004</v>
      </c>
      <c r="AD28" s="325">
        <f>'Trip Gen'!AQ105</f>
        <v>39122.300000000003</v>
      </c>
      <c r="AE28" s="325">
        <f>'Trip Gen'!AR105</f>
        <v>39834.9</v>
      </c>
      <c r="AF28" s="325">
        <f>'Trip Gen'!AS105</f>
        <v>40547.900000000009</v>
      </c>
      <c r="AG28" s="325">
        <f>'Trip Gen'!AT105</f>
        <v>41260.5</v>
      </c>
      <c r="AH28" s="325">
        <f>'Trip Gen'!AU105</f>
        <v>41973.1</v>
      </c>
      <c r="AI28" s="326">
        <f>'Trip Gen'!AV105</f>
        <v>42686.1</v>
      </c>
      <c r="AJ28" s="288">
        <f t="shared" si="13"/>
        <v>8.6477333333333337E-2</v>
      </c>
      <c r="AK28" s="324">
        <f t="shared" si="17"/>
        <v>48876.136363636368</v>
      </c>
      <c r="AL28" s="325">
        <f t="shared" si="7"/>
        <v>51456.072272727266</v>
      </c>
      <c r="AM28" s="325">
        <f t="shared" si="8"/>
        <v>55328.872500000005</v>
      </c>
      <c r="AN28" s="325">
        <f t="shared" si="9"/>
        <v>61727.301818181819</v>
      </c>
      <c r="AO28" s="325">
        <f t="shared" si="10"/>
        <v>68128.627500000002</v>
      </c>
      <c r="AP28" s="325">
        <f t="shared" si="11"/>
        <v>74529.591136363626</v>
      </c>
      <c r="AQ28" s="325">
        <f t="shared" si="6"/>
        <v>80928.020454545462</v>
      </c>
      <c r="AR28" s="325">
        <f t="shared" si="6"/>
        <v>87332.242499999993</v>
      </c>
      <c r="AS28" s="325">
        <f t="shared" si="6"/>
        <v>93793.305681818179</v>
      </c>
      <c r="AT28" s="325">
        <f t="shared" si="6"/>
        <v>100256.54113636362</v>
      </c>
      <c r="AU28" s="325">
        <f t="shared" si="6"/>
        <v>106717.60431818181</v>
      </c>
      <c r="AV28" s="1239">
        <f t="shared" si="6"/>
        <v>113178.6675</v>
      </c>
      <c r="AW28" s="325">
        <f t="shared" si="6"/>
        <v>119645.52340909091</v>
      </c>
      <c r="AX28" s="325">
        <f t="shared" si="6"/>
        <v>123578.06113636366</v>
      </c>
      <c r="AY28" s="325">
        <f t="shared" si="6"/>
        <v>126157.99704545453</v>
      </c>
      <c r="AZ28" s="325">
        <f t="shared" si="6"/>
        <v>128737.93295454545</v>
      </c>
      <c r="BA28" s="325">
        <f t="shared" si="6"/>
        <v>131317.86886363639</v>
      </c>
      <c r="BB28" s="325">
        <f t="shared" si="6"/>
        <v>133899.25295454546</v>
      </c>
      <c r="BC28" s="325">
        <f t="shared" si="6"/>
        <v>136479.18886363634</v>
      </c>
      <c r="BD28" s="325">
        <f t="shared" si="6"/>
        <v>139060.57295454547</v>
      </c>
      <c r="BE28" s="325">
        <f t="shared" si="6"/>
        <v>141640.50886363638</v>
      </c>
      <c r="BF28" s="325">
        <f t="shared" si="6"/>
        <v>144220.44477272729</v>
      </c>
      <c r="BG28" s="325">
        <f t="shared" si="6"/>
        <v>146801.82886363639</v>
      </c>
      <c r="BH28" s="325">
        <f t="shared" si="6"/>
        <v>149381.76477272727</v>
      </c>
      <c r="BI28" s="325">
        <f t="shared" si="6"/>
        <v>151961.70068181818</v>
      </c>
      <c r="BJ28" s="326">
        <f t="shared" si="6"/>
        <v>154543.08477272728</v>
      </c>
      <c r="BK28" s="400">
        <f>((0.33*'Traffic Data'!AK28)/Speed!X109)+((0.67*'Traffic Data'!AK28)/Speed!AX109)</f>
        <v>680.91604638444551</v>
      </c>
      <c r="BL28" s="401">
        <f>((0.33*AL28)/Speed!Y109)+((0.67*AL28)/Speed!AY109)</f>
        <v>716.85849809295996</v>
      </c>
      <c r="BM28" s="401">
        <f>((0.33*AM28)/Speed!Z109)+((0.67*AM28)/Speed!AZ109)</f>
        <v>770.81277164223434</v>
      </c>
      <c r="BN28" s="401">
        <f>((0.33*AN28)/Speed!AA109)+((0.67*AN28)/Speed!BA109)</f>
        <v>859.95443383944394</v>
      </c>
      <c r="BO28" s="401">
        <f>((0.33*AO28)/Speed!AB109)+((0.67*AO28)/Speed!BB109)</f>
        <v>949.14044109065003</v>
      </c>
      <c r="BP28" s="401">
        <f>((0.33*AP28)/Speed!AC109)+((0.67*AP28)/Speed!BC109)</f>
        <v>1038.3310017213648</v>
      </c>
      <c r="BQ28" s="401">
        <f>((0.33*AQ28)/Speed!AD109)+((0.67*AQ28)/Speed!BD109)</f>
        <v>1127.5075871659647</v>
      </c>
      <c r="BR28" s="401">
        <f>((0.33*AR28)/Speed!AE109)+((0.67*AR28)/Speed!BE109)</f>
        <v>1216.8094601364107</v>
      </c>
      <c r="BS28" s="401">
        <f>((0.33*AS28)/Speed!AF109)+((0.67*AS28)/Speed!BF109)</f>
        <v>1306.993297646645</v>
      </c>
      <c r="BT28" s="401">
        <f>((0.33*AT28)/Speed!AG109)+((0.67*AT28)/Speed!BG109)</f>
        <v>1397.3771601550618</v>
      </c>
      <c r="BU28" s="401">
        <f>((0.33*AU28)/Speed!AH109)+((0.67*AU28)/Speed!BH109)</f>
        <v>1488.0385627227906</v>
      </c>
      <c r="BV28" s="401">
        <f>((0.33*AV28)/Speed!AI109)+((0.67*AV28)/Speed!BI109)</f>
        <v>1579.2385345174253</v>
      </c>
      <c r="BW28" s="401">
        <f>((0.33*AW28)/Speed!AJ109)+((0.67*AW28)/Speed!BJ109)</f>
        <v>1671.4335618143059</v>
      </c>
      <c r="BX28" s="401">
        <f>((0.33*AX28)/Speed!AK109)+((0.67*AX28)/Speed!BK109)</f>
        <v>1728.1835666354411</v>
      </c>
      <c r="BY28" s="401">
        <f>((0.33*AY28)/Speed!AL109)+((0.67*AY28)/Speed!BL109)</f>
        <v>1765.8001323105918</v>
      </c>
      <c r="BZ28" s="401">
        <f>((0.33*AZ28)/Speed!AM109)+((0.67*AZ28)/Speed!BM109)</f>
        <v>1803.7964890742078</v>
      </c>
      <c r="CA28" s="401">
        <f>((0.33*BA28)/Speed!AN109)+((0.67*BA28)/Speed!BN109)</f>
        <v>1842.2485017470296</v>
      </c>
      <c r="CB28" s="401">
        <f>((0.33*BB28)/Speed!AO109)+((0.67*BB28)/Speed!BO109)</f>
        <v>1881.2672691847188</v>
      </c>
      <c r="CC28" s="401">
        <f>((0.33*BC28)/Speed!AP109)+((0.67*BC28)/Speed!BP109)</f>
        <v>1920.913245760471</v>
      </c>
      <c r="CD28" s="401">
        <f>((0.33*BD28)/Speed!AQ109)+((0.67*BD28)/Speed!BQ109)</f>
        <v>1961.3526301440988</v>
      </c>
      <c r="CE28" s="401">
        <f>((0.33*BE28)/Speed!AR109)+((0.67*BE28)/Speed!BR109)</f>
        <v>2002.6814935472876</v>
      </c>
      <c r="CF28" s="401">
        <f>((0.33*BF28)/Speed!AS109)+((0.67*BF28)/Speed!BS109)</f>
        <v>2045.0862865008839</v>
      </c>
      <c r="CG28" s="401">
        <f>((0.33*BG28)/Speed!AT109)+((0.67*BG28)/Speed!BT109)</f>
        <v>2088.781619518275</v>
      </c>
      <c r="CH28" s="401">
        <f>((0.33*BH28)/Speed!AU109)+((0.67*BH28)/Speed!BU109)</f>
        <v>2133.9374498247475</v>
      </c>
      <c r="CI28" s="401">
        <f>((0.33*BI28)/Speed!AV109)+((0.67*BI28)/Speed!BV109)</f>
        <v>2180.8298315717088</v>
      </c>
      <c r="CJ28" s="409">
        <f>((0.33*BJ28)/Speed!AW109)+((0.67*BJ28)/Speed!BW109)</f>
        <v>2229.776073039015</v>
      </c>
      <c r="CK28" s="1402"/>
      <c r="CL28" s="1402"/>
      <c r="CM28" s="1405"/>
      <c r="CN28" s="1399"/>
      <c r="DA28"/>
    </row>
    <row r="29" spans="2:105" ht="21.9" customHeight="1" x14ac:dyDescent="0.25">
      <c r="B29" s="900"/>
      <c r="C29" s="1369"/>
      <c r="D29" s="284" t="s">
        <v>274</v>
      </c>
      <c r="E29" s="284" t="s">
        <v>317</v>
      </c>
      <c r="F29" s="284" t="s">
        <v>346</v>
      </c>
      <c r="G29" s="285">
        <v>70</v>
      </c>
      <c r="H29" s="286">
        <v>9.5000000000000001E-2</v>
      </c>
      <c r="I29" s="287">
        <v>4</v>
      </c>
      <c r="J29" s="324">
        <f>'Trip Gen'!W106</f>
        <v>12000</v>
      </c>
      <c r="K29" s="325">
        <f>'Trip Gen'!X106</f>
        <v>12501.099999999999</v>
      </c>
      <c r="L29" s="325">
        <f>'Trip Gen'!Y106</f>
        <v>13121.299999999997</v>
      </c>
      <c r="M29" s="325">
        <f>'Trip Gen'!Z106</f>
        <v>13956.3</v>
      </c>
      <c r="N29" s="325">
        <f>'Trip Gen'!AA106</f>
        <v>14791.600000000002</v>
      </c>
      <c r="O29" s="325">
        <f>'Trip Gen'!AB106</f>
        <v>15626.800000000003</v>
      </c>
      <c r="P29" s="325">
        <f>'Trip Gen'!AC106</f>
        <v>16461.800000000003</v>
      </c>
      <c r="Q29" s="325">
        <f>'Trip Gen'!AD106</f>
        <v>17297.400000000005</v>
      </c>
      <c r="R29" s="325">
        <f>'Trip Gen'!AE106</f>
        <v>18107</v>
      </c>
      <c r="S29" s="325">
        <f>'Trip Gen'!AF106</f>
        <v>18916.899999999994</v>
      </c>
      <c r="T29" s="325">
        <f>'Trip Gen'!AG106</f>
        <v>19726.5</v>
      </c>
      <c r="U29" s="325">
        <f>'Trip Gen'!AH106</f>
        <v>20536.099999999999</v>
      </c>
      <c r="V29" s="325">
        <f>'Trip Gen'!AI106</f>
        <v>21346.300000000003</v>
      </c>
      <c r="W29" s="325">
        <f>'Trip Gen'!AJ106</f>
        <v>21940.799999999999</v>
      </c>
      <c r="X29" s="325">
        <f>'Trip Gen'!AK106</f>
        <v>22441.9</v>
      </c>
      <c r="Y29" s="325">
        <f>'Trip Gen'!AL106</f>
        <v>22942.999999999996</v>
      </c>
      <c r="Z29" s="325">
        <f>'Trip Gen'!AM106</f>
        <v>23444.1</v>
      </c>
      <c r="AA29" s="325">
        <f>'Trip Gen'!AN106</f>
        <v>23945.4</v>
      </c>
      <c r="AB29" s="325">
        <f>'Trip Gen'!AO106</f>
        <v>24446.5</v>
      </c>
      <c r="AC29" s="325">
        <f>'Trip Gen'!AP106</f>
        <v>24947.8</v>
      </c>
      <c r="AD29" s="325">
        <f>'Trip Gen'!AQ106</f>
        <v>25448.900000000005</v>
      </c>
      <c r="AE29" s="325">
        <f>'Trip Gen'!AR106</f>
        <v>25949.999999999996</v>
      </c>
      <c r="AF29" s="325">
        <f>'Trip Gen'!AS106</f>
        <v>26451.3</v>
      </c>
      <c r="AG29" s="325">
        <f>'Trip Gen'!AT106</f>
        <v>26952.400000000001</v>
      </c>
      <c r="AH29" s="325">
        <f>'Trip Gen'!AU106</f>
        <v>27453.499999999996</v>
      </c>
      <c r="AI29" s="326">
        <f>'Trip Gen'!AV106</f>
        <v>27954.799999999999</v>
      </c>
      <c r="AJ29" s="288">
        <f t="shared" si="13"/>
        <v>5.3182666666666663E-2</v>
      </c>
      <c r="AK29" s="324">
        <f t="shared" si="17"/>
        <v>1140</v>
      </c>
      <c r="AL29" s="325">
        <f t="shared" si="7"/>
        <v>1187.6044999999999</v>
      </c>
      <c r="AM29" s="325">
        <f t="shared" si="8"/>
        <v>1246.5234999999998</v>
      </c>
      <c r="AN29" s="325">
        <f t="shared" si="9"/>
        <v>1325.8485000000001</v>
      </c>
      <c r="AO29" s="325">
        <f t="shared" si="10"/>
        <v>1405.2020000000002</v>
      </c>
      <c r="AP29" s="325">
        <f t="shared" si="11"/>
        <v>1484.5460000000003</v>
      </c>
      <c r="AQ29" s="325">
        <f t="shared" si="6"/>
        <v>1563.8710000000003</v>
      </c>
      <c r="AR29" s="325">
        <f t="shared" si="6"/>
        <v>1643.2530000000006</v>
      </c>
      <c r="AS29" s="325">
        <f t="shared" si="6"/>
        <v>1720.165</v>
      </c>
      <c r="AT29" s="325">
        <f t="shared" si="6"/>
        <v>1797.1054999999994</v>
      </c>
      <c r="AU29" s="325">
        <f t="shared" si="6"/>
        <v>1874.0174999999999</v>
      </c>
      <c r="AV29" s="325">
        <f t="shared" si="6"/>
        <v>1950.9295</v>
      </c>
      <c r="AW29" s="325">
        <f t="shared" si="6"/>
        <v>2027.8985000000002</v>
      </c>
      <c r="AX29" s="325">
        <f t="shared" si="6"/>
        <v>2084.3759999999997</v>
      </c>
      <c r="AY29" s="325">
        <f t="shared" si="6"/>
        <v>2131.9805000000001</v>
      </c>
      <c r="AZ29" s="325">
        <f t="shared" si="6"/>
        <v>2179.5849999999996</v>
      </c>
      <c r="BA29" s="325">
        <f t="shared" si="6"/>
        <v>2227.1895</v>
      </c>
      <c r="BB29" s="325">
        <f t="shared" si="6"/>
        <v>2274.8130000000001</v>
      </c>
      <c r="BC29" s="325">
        <f t="shared" si="6"/>
        <v>2322.4175</v>
      </c>
      <c r="BD29" s="325">
        <f t="shared" si="6"/>
        <v>2370.0410000000002</v>
      </c>
      <c r="BE29" s="325">
        <f t="shared" si="6"/>
        <v>2417.6455000000005</v>
      </c>
      <c r="BF29" s="325">
        <f t="shared" ref="BF29:BJ44" si="18">$H29*AE29</f>
        <v>2465.2499999999995</v>
      </c>
      <c r="BG29" s="325">
        <f t="shared" si="18"/>
        <v>2512.8735000000001</v>
      </c>
      <c r="BH29" s="325">
        <f t="shared" si="18"/>
        <v>2560.4780000000001</v>
      </c>
      <c r="BI29" s="325">
        <f t="shared" si="18"/>
        <v>2608.0824999999995</v>
      </c>
      <c r="BJ29" s="326">
        <f t="shared" si="18"/>
        <v>2655.7060000000001</v>
      </c>
      <c r="BK29" s="400">
        <f>((0.33*'Traffic Data'!AK29)/Speed!X110)+((0.67*'Traffic Data'!AK29)/Speed!AX110)</f>
        <v>15.881862988392243</v>
      </c>
      <c r="BL29" s="401">
        <f>((0.33*AL29)/Speed!Y110)+((0.67*AL29)/Speed!AY110)</f>
        <v>16.545064036237527</v>
      </c>
      <c r="BM29" s="401">
        <f>((0.33*AM29)/Speed!Z110)+((0.67*AM29)/Speed!AZ110)</f>
        <v>17.365893490562563</v>
      </c>
      <c r="BN29" s="401">
        <f>((0.33*AN29)/Speed!AA110)+((0.67*AN29)/Speed!BA110)</f>
        <v>18.471010864573024</v>
      </c>
      <c r="BO29" s="401">
        <f>((0.33*AO29)/Speed!AB110)+((0.67*AO29)/Speed!BB110)</f>
        <v>19.576528986845659</v>
      </c>
      <c r="BP29" s="401">
        <f>((0.33*AP29)/Speed!AC110)+((0.67*AP29)/Speed!BC110)</f>
        <v>20.681920987581794</v>
      </c>
      <c r="BQ29" s="401">
        <f>((0.33*AQ29)/Speed!AD110)+((0.67*AQ29)/Speed!BD110)</f>
        <v>21.787058473423155</v>
      </c>
      <c r="BR29" s="401">
        <f>((0.33*AR29)/Speed!AE110)+((0.67*AR29)/Speed!BE110)</f>
        <v>22.893006334273554</v>
      </c>
      <c r="BS29" s="401">
        <f>((0.33*AS29)/Speed!AF110)+((0.67*AS29)/Speed!BF110)</f>
        <v>23.964566297660994</v>
      </c>
      <c r="BT29" s="401">
        <f>((0.33*AT29)/Speed!AG110)+((0.67*AT29)/Speed!BG110)</f>
        <v>25.036559222152846</v>
      </c>
      <c r="BU29" s="401">
        <f>((0.33*AU29)/Speed!AH110)+((0.67*AU29)/Speed!BH110)</f>
        <v>26.108208198047834</v>
      </c>
      <c r="BV29" s="401">
        <f>((0.33*AV29)/Speed!AI110)+((0.67*AV29)/Speed!BI110)</f>
        <v>27.179934573223086</v>
      </c>
      <c r="BW29" s="401">
        <f>((0.33*AW29)/Speed!AJ110)+((0.67*AW29)/Speed!BJ110)</f>
        <v>28.252566419637368</v>
      </c>
      <c r="BX29" s="401">
        <f>((0.33*AX29)/Speed!AK110)+((0.67*AX29)/Speed!BK110)</f>
        <v>29.039727859177333</v>
      </c>
      <c r="BY29" s="401">
        <f>((0.33*AY29)/Speed!AL110)+((0.67*AY29)/Speed!BL110)</f>
        <v>29.703303718788085</v>
      </c>
      <c r="BZ29" s="401">
        <f>((0.33*AZ29)/Speed!AM110)+((0.67*AZ29)/Speed!BM110)</f>
        <v>30.36697356143333</v>
      </c>
      <c r="CA29" s="401">
        <f>((0.33*BA29)/Speed!AN110)+((0.67*BA29)/Speed!BN110)</f>
        <v>31.030758037647267</v>
      </c>
      <c r="CB29" s="401">
        <f>((0.33*BB29)/Speed!AO110)+((0.67*BB29)/Speed!BO110)</f>
        <v>31.69494675442769</v>
      </c>
      <c r="CC29" s="401">
        <f>((0.33*BC29)/Speed!AP110)+((0.67*BC29)/Speed!BP110)</f>
        <v>32.359038920090214</v>
      </c>
      <c r="CD29" s="401">
        <f>((0.33*BD29)/Speed!AQ110)+((0.67*BD29)/Speed!BQ110)</f>
        <v>33.023599156914358</v>
      </c>
      <c r="CE29" s="401">
        <f>((0.33*BE29)/Speed!AR110)+((0.67*BE29)/Speed!BR110)</f>
        <v>33.688137835559431</v>
      </c>
      <c r="CF29" s="401">
        <f>((0.33*BF29)/Speed!AS110)+((0.67*BF29)/Speed!BS110)</f>
        <v>34.35296775269331</v>
      </c>
      <c r="CG29" s="401">
        <f>((0.33*BG29)/Speed!AT110)+((0.67*BG29)/Speed!BT110)</f>
        <v>35.018410310764139</v>
      </c>
      <c r="CH29" s="401">
        <f>((0.33*BH29)/Speed!AU110)+((0.67*BH29)/Speed!BU110)</f>
        <v>35.68399971977064</v>
      </c>
      <c r="CI29" s="401">
        <f>((0.33*BI29)/Speed!AV110)+((0.67*BI29)/Speed!BV110)</f>
        <v>36.350077213517366</v>
      </c>
      <c r="CJ29" s="409">
        <f>((0.33*BJ29)/Speed!AW110)+((0.67*BJ29)/Speed!BW110)</f>
        <v>37.016996968011611</v>
      </c>
      <c r="CK29" s="1403"/>
      <c r="CL29" s="1403"/>
      <c r="CM29" s="1406"/>
      <c r="CN29" s="1400"/>
      <c r="DA29"/>
    </row>
    <row r="30" spans="2:105" ht="21.9" customHeight="1" x14ac:dyDescent="0.25">
      <c r="B30" s="900"/>
      <c r="C30" s="1368" t="s">
        <v>274</v>
      </c>
      <c r="D30" s="276" t="s">
        <v>275</v>
      </c>
      <c r="E30" s="276" t="s">
        <v>318</v>
      </c>
      <c r="F30" s="276" t="s">
        <v>347</v>
      </c>
      <c r="G30" s="293">
        <v>55</v>
      </c>
      <c r="H30" s="294">
        <v>2.59</v>
      </c>
      <c r="I30" s="282">
        <v>4</v>
      </c>
      <c r="J30" s="327">
        <f>'Trip Gen'!W115</f>
        <v>4000</v>
      </c>
      <c r="K30" s="295">
        <f>'Trip Gen'!X115</f>
        <v>4404.62</v>
      </c>
      <c r="L30" s="295">
        <f>'Trip Gen'!Y115</f>
        <v>5309.24</v>
      </c>
      <c r="M30" s="295">
        <f>'Trip Gen'!Z115</f>
        <v>7126.2400000000007</v>
      </c>
      <c r="N30" s="295">
        <f>'Trip Gen'!AA115</f>
        <v>8944.3599999999988</v>
      </c>
      <c r="O30" s="295">
        <f>'Trip Gen'!AB115</f>
        <v>10762.279999999999</v>
      </c>
      <c r="P30" s="295">
        <f>'Trip Gen'!AC115</f>
        <v>12579.279999999999</v>
      </c>
      <c r="Q30" s="295">
        <f>'Trip Gen'!AD115</f>
        <v>14398.52</v>
      </c>
      <c r="R30" s="295">
        <f>'Trip Gen'!AE115</f>
        <v>16183.639999999998</v>
      </c>
      <c r="S30" s="295">
        <f>'Trip Gen'!AF115</f>
        <v>17969.659999999996</v>
      </c>
      <c r="T30" s="295">
        <f>'Trip Gen'!AG115</f>
        <v>19754.78</v>
      </c>
      <c r="U30" s="295">
        <f>'Trip Gen'!AH115</f>
        <v>21539.9</v>
      </c>
      <c r="V30" s="295">
        <f>'Trip Gen'!AI115</f>
        <v>23327.260000000002</v>
      </c>
      <c r="W30" s="295">
        <f>'Trip Gen'!AJ115</f>
        <v>24198.879999999997</v>
      </c>
      <c r="X30" s="295">
        <f>'Trip Gen'!AK115</f>
        <v>24603.499999999996</v>
      </c>
      <c r="Y30" s="295">
        <f>'Trip Gen'!AL115</f>
        <v>25008.12</v>
      </c>
      <c r="Z30" s="295">
        <f>'Trip Gen'!AM115</f>
        <v>25412.739999999998</v>
      </c>
      <c r="AA30" s="295">
        <f>'Trip Gen'!AN115</f>
        <v>25817.98</v>
      </c>
      <c r="AB30" s="295">
        <f>'Trip Gen'!AO115</f>
        <v>26222.6</v>
      </c>
      <c r="AC30" s="295">
        <f>'Trip Gen'!AP115</f>
        <v>26627.839999999997</v>
      </c>
      <c r="AD30" s="295">
        <f>'Trip Gen'!AQ115</f>
        <v>27032.459999999995</v>
      </c>
      <c r="AE30" s="295">
        <f>'Trip Gen'!AR115</f>
        <v>27437.079999999998</v>
      </c>
      <c r="AF30" s="295">
        <f>'Trip Gen'!AS115</f>
        <v>27842.32</v>
      </c>
      <c r="AG30" s="295">
        <f>'Trip Gen'!AT115</f>
        <v>28246.94</v>
      </c>
      <c r="AH30" s="295">
        <f>'Trip Gen'!AU115</f>
        <v>28651.559999999998</v>
      </c>
      <c r="AI30" s="328">
        <f>'Trip Gen'!AV115</f>
        <v>29056.799999999996</v>
      </c>
      <c r="AJ30" s="296">
        <f t="shared" si="13"/>
        <v>0.25056799999999996</v>
      </c>
      <c r="AK30" s="327">
        <f t="shared" si="17"/>
        <v>10360</v>
      </c>
      <c r="AL30" s="295">
        <f t="shared" si="7"/>
        <v>11407.9658</v>
      </c>
      <c r="AM30" s="295">
        <f t="shared" si="8"/>
        <v>13750.931599999998</v>
      </c>
      <c r="AN30" s="295">
        <f t="shared" si="9"/>
        <v>18456.961600000002</v>
      </c>
      <c r="AO30" s="295">
        <f t="shared" si="10"/>
        <v>23165.892399999997</v>
      </c>
      <c r="AP30" s="295">
        <f t="shared" si="11"/>
        <v>27874.305199999995</v>
      </c>
      <c r="AQ30" s="295">
        <f t="shared" ref="AQ30:BE45" si="19">$H30*P30</f>
        <v>32580.335199999994</v>
      </c>
      <c r="AR30" s="295">
        <f t="shared" si="19"/>
        <v>37292.166799999999</v>
      </c>
      <c r="AS30" s="295">
        <f t="shared" si="19"/>
        <v>41915.627599999993</v>
      </c>
      <c r="AT30" s="295">
        <f t="shared" si="19"/>
        <v>46541.419399999984</v>
      </c>
      <c r="AU30" s="295">
        <f t="shared" si="19"/>
        <v>51164.880199999992</v>
      </c>
      <c r="AV30" s="1237">
        <f t="shared" si="19"/>
        <v>55788.341</v>
      </c>
      <c r="AW30" s="295">
        <f t="shared" si="19"/>
        <v>60417.6034</v>
      </c>
      <c r="AX30" s="295">
        <f t="shared" si="19"/>
        <v>62675.09919999999</v>
      </c>
      <c r="AY30" s="295">
        <f t="shared" si="19"/>
        <v>63723.064999999988</v>
      </c>
      <c r="AZ30" s="295">
        <f t="shared" si="19"/>
        <v>64771.030799999993</v>
      </c>
      <c r="BA30" s="295">
        <f t="shared" si="19"/>
        <v>65818.996599999984</v>
      </c>
      <c r="BB30" s="295">
        <f t="shared" si="19"/>
        <v>66868.568199999994</v>
      </c>
      <c r="BC30" s="295">
        <f t="shared" si="19"/>
        <v>67916.534</v>
      </c>
      <c r="BD30" s="295">
        <f t="shared" si="19"/>
        <v>68966.105599999981</v>
      </c>
      <c r="BE30" s="295">
        <f t="shared" si="19"/>
        <v>70014.071399999986</v>
      </c>
      <c r="BF30" s="295">
        <f t="shared" si="18"/>
        <v>71062.037199999992</v>
      </c>
      <c r="BG30" s="295">
        <f t="shared" si="18"/>
        <v>72111.608800000002</v>
      </c>
      <c r="BH30" s="295">
        <f t="shared" si="18"/>
        <v>73159.574599999993</v>
      </c>
      <c r="BI30" s="295">
        <f t="shared" si="18"/>
        <v>74207.540399999983</v>
      </c>
      <c r="BJ30" s="328">
        <f t="shared" si="18"/>
        <v>75257.111999999979</v>
      </c>
      <c r="BK30" s="402">
        <f>((0.33*'Traffic Data'!AK30)/Speed!X111)+((0.67*'Traffic Data'!AK30)/Speed!AX111)</f>
        <v>180.1739130441569</v>
      </c>
      <c r="BL30" s="433">
        <f>((0.33*AL30)/Speed!Y111)+((0.67*AL30)/Speed!AY111)</f>
        <v>198.39940521935003</v>
      </c>
      <c r="BM30" s="433">
        <f>((0.33*AM30)/Speed!Z111)+((0.67*AM30)/Speed!AZ111)</f>
        <v>239.14663653702672</v>
      </c>
      <c r="BN30" s="433">
        <f>((0.33*AN30)/Speed!AA111)+((0.67*AN30)/Speed!BA111)</f>
        <v>320.99063691118562</v>
      </c>
      <c r="BO30" s="433">
        <f>((0.33*AO30)/Speed!AB111)+((0.67*AO30)/Speed!BB111)</f>
        <v>402.88508996008551</v>
      </c>
      <c r="BP30" s="433">
        <f>((0.33*AP30)/Speed!AC111)+((0.67*AP30)/Speed!BC111)</f>
        <v>484.7705615194003</v>
      </c>
      <c r="BQ30" s="433">
        <f>((0.33*AQ30)/Speed!AD111)+((0.67*AQ30)/Speed!BD111)</f>
        <v>566.61472714582476</v>
      </c>
      <c r="BR30" s="433">
        <f>((0.33*AR30)/Speed!AE111)+((0.67*AR30)/Speed!BE111)</f>
        <v>648.56031484638231</v>
      </c>
      <c r="BS30" s="433">
        <f>((0.33*AS30)/Speed!AF111)+((0.67*AS30)/Speed!BF111)</f>
        <v>728.97066369889296</v>
      </c>
      <c r="BT30" s="433">
        <f>((0.33*AT30)/Speed!AG111)+((0.67*AT30)/Speed!BG111)</f>
        <v>809.42619715546334</v>
      </c>
      <c r="BU30" s="433">
        <f>((0.33*AU30)/Speed!AH111)+((0.67*AU30)/Speed!BH111)</f>
        <v>889.85293552649728</v>
      </c>
      <c r="BV30" s="433">
        <f>((0.33*AV30)/Speed!AI111)+((0.67*AV30)/Speed!BI111)</f>
        <v>970.30694911685259</v>
      </c>
      <c r="BW30" s="433">
        <f>((0.33*AW30)/Speed!AJ111)+((0.67*AW30)/Speed!BJ111)</f>
        <v>1050.9210173884364</v>
      </c>
      <c r="BX30" s="433">
        <f>((0.33*AX30)/Speed!AK111)+((0.67*AX30)/Speed!BK111)</f>
        <v>1090.2713345486043</v>
      </c>
      <c r="BY30" s="433">
        <f>((0.33*AY30)/Speed!AL111)+((0.67*AY30)/Speed!BL111)</f>
        <v>1108.5507766385717</v>
      </c>
      <c r="BZ30" s="433">
        <f>((0.33*AZ30)/Speed!AM111)+((0.67*AZ30)/Speed!BM111)</f>
        <v>1126.8398597793532</v>
      </c>
      <c r="CA30" s="433">
        <f>((0.33*BA30)/Speed!AN111)+((0.67*BA30)/Speed!BN111)</f>
        <v>1145.1401086419644</v>
      </c>
      <c r="CB30" s="433">
        <f>((0.33*BB30)/Speed!AO111)+((0.67*BB30)/Speed!BO111)</f>
        <v>1163.4813299369839</v>
      </c>
      <c r="CC30" s="433">
        <f>((0.33*BC30)/Speed!AP111)+((0.67*BC30)/Speed!BP111)</f>
        <v>1181.8093738877506</v>
      </c>
      <c r="CD30" s="433">
        <f>((0.33*BD30)/Speed!AQ111)+((0.67*BD30)/Speed!BQ111)</f>
        <v>1200.1826496692556</v>
      </c>
      <c r="CE30" s="433">
        <f>((0.33*BE30)/Speed!AR111)+((0.67*BE30)/Speed!BR111)</f>
        <v>1218.5474669848813</v>
      </c>
      <c r="CF30" s="433">
        <f>((0.33*BF30)/Speed!AS111)+((0.67*BF30)/Speed!BS111)</f>
        <v>1236.9347763626247</v>
      </c>
      <c r="CG30" s="433">
        <f>((0.33*BG30)/Speed!AT111)+((0.67*BG30)/Speed!BT111)</f>
        <v>1255.3760304438147</v>
      </c>
      <c r="CH30" s="433">
        <f>((0.33*BH30)/Speed!AU111)+((0.67*BH30)/Speed!BU111)</f>
        <v>1273.8184249878695</v>
      </c>
      <c r="CI30" s="433">
        <f>((0.33*BI30)/Speed!AV111)+((0.67*BI30)/Speed!BV111)</f>
        <v>1292.2942200159512</v>
      </c>
      <c r="CJ30" s="434">
        <f>((0.33*BJ30)/Speed!AW111)+((0.67*BJ30)/Speed!BW111)</f>
        <v>1310.8363756674971</v>
      </c>
      <c r="CK30" s="1401">
        <f>Inputs!$E$35</f>
        <v>0.2</v>
      </c>
      <c r="CL30" s="1402">
        <f>Inputs!$E$36</f>
        <v>0.8</v>
      </c>
      <c r="CM30" s="1404">
        <f>1/(1+CK30)</f>
        <v>0.83333333333333337</v>
      </c>
      <c r="CN30" s="1399">
        <v>0.9</v>
      </c>
      <c r="DA30"/>
    </row>
    <row r="31" spans="2:105" ht="21.9" customHeight="1" x14ac:dyDescent="0.25">
      <c r="B31" s="900"/>
      <c r="C31" s="1369"/>
      <c r="D31" s="284" t="s">
        <v>318</v>
      </c>
      <c r="E31" s="284" t="s">
        <v>308</v>
      </c>
      <c r="F31" s="284" t="s">
        <v>348</v>
      </c>
      <c r="G31" s="285">
        <v>45</v>
      </c>
      <c r="H31" s="286">
        <v>0.5</v>
      </c>
      <c r="I31" s="287">
        <v>2</v>
      </c>
      <c r="J31" s="324">
        <f>'Trip Gen'!W116</f>
        <v>2400</v>
      </c>
      <c r="K31" s="325">
        <f>'Trip Gen'!X116</f>
        <v>2650.4800000000005</v>
      </c>
      <c r="L31" s="325">
        <f>'Trip Gen'!Y116</f>
        <v>2996.2599999999998</v>
      </c>
      <c r="M31" s="325">
        <f>'Trip Gen'!Z116</f>
        <v>3631.2599999999998</v>
      </c>
      <c r="N31" s="325">
        <f>'Trip Gen'!AA116</f>
        <v>4266.4400000000005</v>
      </c>
      <c r="O31" s="325">
        <f>'Trip Gen'!AB116</f>
        <v>4901.7400000000007</v>
      </c>
      <c r="P31" s="325">
        <f>'Trip Gen'!AC116</f>
        <v>5536.74</v>
      </c>
      <c r="Q31" s="325">
        <f>'Trip Gen'!AD116</f>
        <v>6172.3200000000006</v>
      </c>
      <c r="R31" s="325">
        <f>'Trip Gen'!AE116</f>
        <v>7086.2</v>
      </c>
      <c r="S31" s="325">
        <f>'Trip Gen'!AF116</f>
        <v>8000.28</v>
      </c>
      <c r="T31" s="325">
        <f>'Trip Gen'!AG116</f>
        <v>8913.98</v>
      </c>
      <c r="U31" s="325">
        <f>'Trip Gen'!AH116</f>
        <v>9827.86</v>
      </c>
      <c r="V31" s="325">
        <f>'Trip Gen'!AI116</f>
        <v>10742.320000000002</v>
      </c>
      <c r="W31" s="325">
        <f>'Trip Gen'!AJ116</f>
        <v>11366.4</v>
      </c>
      <c r="X31" s="325">
        <f>'Trip Gen'!AK116</f>
        <v>11616.880000000001</v>
      </c>
      <c r="Y31" s="325">
        <f>'Trip Gen'!AL116</f>
        <v>11867.36</v>
      </c>
      <c r="Z31" s="325">
        <f>'Trip Gen'!AM116</f>
        <v>12117.84</v>
      </c>
      <c r="AA31" s="325">
        <f>'Trip Gen'!AN116</f>
        <v>12368.500000000002</v>
      </c>
      <c r="AB31" s="325">
        <f>'Trip Gen'!AO116</f>
        <v>12618.98</v>
      </c>
      <c r="AC31" s="325">
        <f>'Trip Gen'!AP116</f>
        <v>12869.640000000001</v>
      </c>
      <c r="AD31" s="325">
        <f>'Trip Gen'!AQ116</f>
        <v>13120.12</v>
      </c>
      <c r="AE31" s="325">
        <f>'Trip Gen'!AR116</f>
        <v>13370.6</v>
      </c>
      <c r="AF31" s="325">
        <f>'Trip Gen'!AS116</f>
        <v>13621.26</v>
      </c>
      <c r="AG31" s="325">
        <f>'Trip Gen'!AT116</f>
        <v>13871.74</v>
      </c>
      <c r="AH31" s="325">
        <f>'Trip Gen'!AU116</f>
        <v>14122.220000000001</v>
      </c>
      <c r="AI31" s="326">
        <f>'Trip Gen'!AV116</f>
        <v>14372.88</v>
      </c>
      <c r="AJ31" s="288">
        <f t="shared" si="13"/>
        <v>0.19954799999999998</v>
      </c>
      <c r="AK31" s="324">
        <f t="shared" si="17"/>
        <v>1200</v>
      </c>
      <c r="AL31" s="325">
        <f t="shared" si="7"/>
        <v>1325.2400000000002</v>
      </c>
      <c r="AM31" s="325">
        <f t="shared" si="8"/>
        <v>1498.1299999999999</v>
      </c>
      <c r="AN31" s="325">
        <f t="shared" si="9"/>
        <v>1815.6299999999999</v>
      </c>
      <c r="AO31" s="325">
        <f t="shared" si="10"/>
        <v>2133.2200000000003</v>
      </c>
      <c r="AP31" s="325">
        <f t="shared" si="11"/>
        <v>2450.8700000000003</v>
      </c>
      <c r="AQ31" s="325">
        <f t="shared" si="19"/>
        <v>2768.37</v>
      </c>
      <c r="AR31" s="325">
        <f t="shared" si="19"/>
        <v>3086.1600000000003</v>
      </c>
      <c r="AS31" s="325">
        <f t="shared" si="19"/>
        <v>3543.1</v>
      </c>
      <c r="AT31" s="325">
        <f t="shared" si="19"/>
        <v>4000.14</v>
      </c>
      <c r="AU31" s="325">
        <f t="shared" si="19"/>
        <v>4456.99</v>
      </c>
      <c r="AV31" s="325">
        <f t="shared" si="19"/>
        <v>4913.93</v>
      </c>
      <c r="AW31" s="325">
        <f t="shared" si="19"/>
        <v>5371.1600000000008</v>
      </c>
      <c r="AX31" s="325">
        <f t="shared" si="19"/>
        <v>5683.2</v>
      </c>
      <c r="AY31" s="325">
        <f t="shared" si="19"/>
        <v>5808.4400000000005</v>
      </c>
      <c r="AZ31" s="325">
        <f t="shared" si="19"/>
        <v>5933.68</v>
      </c>
      <c r="BA31" s="325">
        <f t="shared" si="19"/>
        <v>6058.92</v>
      </c>
      <c r="BB31" s="325">
        <f t="shared" si="19"/>
        <v>6184.2500000000009</v>
      </c>
      <c r="BC31" s="325">
        <f t="shared" si="19"/>
        <v>6309.49</v>
      </c>
      <c r="BD31" s="325">
        <f t="shared" si="19"/>
        <v>6434.8200000000006</v>
      </c>
      <c r="BE31" s="325">
        <f t="shared" si="19"/>
        <v>6560.06</v>
      </c>
      <c r="BF31" s="325">
        <f t="shared" si="18"/>
        <v>6685.3</v>
      </c>
      <c r="BG31" s="325">
        <f t="shared" si="18"/>
        <v>6810.63</v>
      </c>
      <c r="BH31" s="325">
        <f t="shared" si="18"/>
        <v>6935.87</v>
      </c>
      <c r="BI31" s="325">
        <f t="shared" si="18"/>
        <v>7061.1100000000006</v>
      </c>
      <c r="BJ31" s="326">
        <f t="shared" si="18"/>
        <v>7186.44</v>
      </c>
      <c r="BK31" s="400">
        <f>((0.33*'Traffic Data'!AK31)/Speed!X112)+((0.67*'Traffic Data'!AK31)/Speed!AX112)</f>
        <v>24.242438227745033</v>
      </c>
      <c r="BL31" s="401">
        <f>((0.33*AL31)/Speed!Y112)+((0.67*AL31)/Speed!AY112)</f>
        <v>26.772566931259625</v>
      </c>
      <c r="BM31" s="401">
        <f>((0.33*AM31)/Speed!Z112)+((0.67*AM31)/Speed!AZ112)</f>
        <v>30.265413115303303</v>
      </c>
      <c r="BN31" s="401">
        <f>((0.33*AN31)/Speed!AA112)+((0.67*AN31)/Speed!BA112)</f>
        <v>36.680724314222864</v>
      </c>
      <c r="BO31" s="401">
        <f>((0.33*AO31)/Speed!AB112)+((0.67*AO31)/Speed!BB112)</f>
        <v>43.103189015765814</v>
      </c>
      <c r="BP31" s="401">
        <f>((0.33*AP31)/Speed!AC112)+((0.67*AP31)/Speed!BC112)</f>
        <v>49.548599466346218</v>
      </c>
      <c r="BQ31" s="401">
        <f>((0.33*AQ31)/Speed!AD112)+((0.67*AQ31)/Speed!BD112)</f>
        <v>56.064431895766106</v>
      </c>
      <c r="BR31" s="401">
        <f>((0.33*AR31)/Speed!AE112)+((0.67*AR31)/Speed!BE112)</f>
        <v>62.801945259838917</v>
      </c>
      <c r="BS31" s="401">
        <f>((0.33*AS31)/Speed!AF112)+((0.67*AS31)/Speed!BF112)</f>
        <v>73.656954300230609</v>
      </c>
      <c r="BT31" s="401">
        <f>((0.33*AT31)/Speed!AG112)+((0.67*AT31)/Speed!BG112)</f>
        <v>88.708620429555651</v>
      </c>
      <c r="BU31" s="401">
        <f>((0.33*AU31)/Speed!AH112)+((0.67*AU31)/Speed!BH112)</f>
        <v>115.98992226610844</v>
      </c>
      <c r="BV31" s="401">
        <f>((0.33*AV31)/Speed!AI112)+((0.67*AV31)/Speed!BI112)</f>
        <v>175.19779739199328</v>
      </c>
      <c r="BW31" s="401">
        <f>((0.33*AW31)/Speed!AJ112)+((0.67*AW31)/Speed!BJ112)</f>
        <v>249.95007347240909</v>
      </c>
      <c r="BX31" s="401">
        <f>((0.33*AX31)/Speed!AK112)+((0.67*AX31)/Speed!BK112)</f>
        <v>264.47292547841982</v>
      </c>
      <c r="BY31" s="401">
        <f>((0.33*AY31)/Speed!AL112)+((0.67*AY31)/Speed!BL112)</f>
        <v>270.30356916990411</v>
      </c>
      <c r="BZ31" s="401">
        <f>((0.33*AZ31)/Speed!AM112)+((0.67*AZ31)/Speed!BM112)</f>
        <v>276.13321425490045</v>
      </c>
      <c r="CA31" s="401">
        <f>((0.33*BA31)/Speed!AN112)+((0.67*BA31)/Speed!BN112)</f>
        <v>281.96323316614433</v>
      </c>
      <c r="CB31" s="401">
        <f>((0.33*BB31)/Speed!AO112)+((0.67*BB31)/Speed!BO112)</f>
        <v>287.79789316149265</v>
      </c>
      <c r="CC31" s="401">
        <f>((0.33*BC31)/Speed!AP112)+((0.67*BC31)/Speed!BP112)</f>
        <v>293.62891307661738</v>
      </c>
      <c r="CD31" s="401">
        <f>((0.33*BD31)/Speed!AQ112)+((0.67*BD31)/Speed!BQ112)</f>
        <v>299.46477602296955</v>
      </c>
      <c r="CE31" s="401">
        <f>((0.33*BE31)/Speed!AR112)+((0.67*BE31)/Speed!BR112)</f>
        <v>305.29723951904862</v>
      </c>
      <c r="CF31" s="401">
        <f>((0.33*BF31)/Speed!AS112)+((0.67*BF31)/Speed!BS112)</f>
        <v>311.13063799959554</v>
      </c>
      <c r="CG31" s="401">
        <f>((0.33*BG31)/Speed!AT112)+((0.67*BG31)/Speed!BT112)</f>
        <v>316.96933987411904</v>
      </c>
      <c r="CH31" s="401">
        <f>((0.33*BH31)/Speed!AU112)+((0.67*BH31)/Speed!BU112)</f>
        <v>322.80517986777943</v>
      </c>
      <c r="CI31" s="401">
        <f>((0.33*BI31)/Speed!AV112)+((0.67*BI31)/Speed!BV112)</f>
        <v>328.64257617464057</v>
      </c>
      <c r="CJ31" s="409">
        <f>((0.33*BJ31)/Speed!AW112)+((0.67*BJ31)/Speed!BW112)</f>
        <v>334.48599992073434</v>
      </c>
      <c r="CK31" s="1402"/>
      <c r="CL31" s="1402"/>
      <c r="CM31" s="1405"/>
      <c r="CN31" s="1399"/>
      <c r="DA31"/>
    </row>
    <row r="32" spans="2:105" ht="21.9" customHeight="1" x14ac:dyDescent="0.25">
      <c r="B32" s="900"/>
      <c r="C32" s="1370"/>
      <c r="D32" s="297" t="s">
        <v>308</v>
      </c>
      <c r="E32" s="297" t="s">
        <v>319</v>
      </c>
      <c r="F32" s="297" t="s">
        <v>349</v>
      </c>
      <c r="G32" s="298">
        <v>45</v>
      </c>
      <c r="H32" s="299">
        <v>2.68</v>
      </c>
      <c r="I32" s="292">
        <v>2</v>
      </c>
      <c r="J32" s="329">
        <f>'Trip Gen'!W117</f>
        <v>6000</v>
      </c>
      <c r="K32" s="300">
        <f>'Trip Gen'!X117</f>
        <v>6168.0199999999995</v>
      </c>
      <c r="L32" s="300">
        <f>'Trip Gen'!Y117</f>
        <v>6407.46</v>
      </c>
      <c r="M32" s="300">
        <f>'Trip Gen'!Z117</f>
        <v>6743.52</v>
      </c>
      <c r="N32" s="300">
        <f>'Trip Gen'!AA117</f>
        <v>7079.7199999999984</v>
      </c>
      <c r="O32" s="300">
        <f>'Trip Gen'!AB117</f>
        <v>7415.8900000000021</v>
      </c>
      <c r="P32" s="300">
        <f>'Trip Gen'!AC117</f>
        <v>7751.9500000000016</v>
      </c>
      <c r="Q32" s="300">
        <f>'Trip Gen'!AD117</f>
        <v>8088.2800000000007</v>
      </c>
      <c r="R32" s="300">
        <f>'Trip Gen'!AE117</f>
        <v>8427.7999999999993</v>
      </c>
      <c r="S32" s="300">
        <f>'Trip Gen'!AF117</f>
        <v>8767.42</v>
      </c>
      <c r="T32" s="300">
        <f>'Trip Gen'!AG117</f>
        <v>9106.909999999998</v>
      </c>
      <c r="U32" s="300">
        <f>'Trip Gen'!AH117</f>
        <v>9446.43</v>
      </c>
      <c r="V32" s="300">
        <f>'Trip Gen'!AI117</f>
        <v>9786.2200000000012</v>
      </c>
      <c r="W32" s="300">
        <f>'Trip Gen'!AJ117</f>
        <v>10028.960000000001</v>
      </c>
      <c r="X32" s="300">
        <f>'Trip Gen'!AK117</f>
        <v>10196.98</v>
      </c>
      <c r="Y32" s="300">
        <f>'Trip Gen'!AL117</f>
        <v>10365</v>
      </c>
      <c r="Z32" s="300">
        <f>'Trip Gen'!AM117</f>
        <v>10533.019999999999</v>
      </c>
      <c r="AA32" s="300">
        <f>'Trip Gen'!AN117</f>
        <v>10701.119999999999</v>
      </c>
      <c r="AB32" s="300">
        <f>'Trip Gen'!AO117</f>
        <v>10869.140000000001</v>
      </c>
      <c r="AC32" s="300">
        <f>'Trip Gen'!AP117</f>
        <v>11037.240000000002</v>
      </c>
      <c r="AD32" s="300">
        <f>'Trip Gen'!AQ117</f>
        <v>11205.26</v>
      </c>
      <c r="AE32" s="300">
        <f>'Trip Gen'!AR117</f>
        <v>11373.28</v>
      </c>
      <c r="AF32" s="300">
        <f>'Trip Gen'!AS117</f>
        <v>11541.38</v>
      </c>
      <c r="AG32" s="300">
        <f>'Trip Gen'!AT117</f>
        <v>11709.399999999998</v>
      </c>
      <c r="AH32" s="300">
        <f>'Trip Gen'!AU117</f>
        <v>11877.419999999998</v>
      </c>
      <c r="AI32" s="330">
        <f>'Trip Gen'!AV117</f>
        <v>12045.519999999999</v>
      </c>
      <c r="AJ32" s="301">
        <f t="shared" si="13"/>
        <v>4.0303466666666656E-2</v>
      </c>
      <c r="AK32" s="329">
        <f t="shared" si="17"/>
        <v>16080.000000000002</v>
      </c>
      <c r="AL32" s="300">
        <f t="shared" si="7"/>
        <v>16530.293600000001</v>
      </c>
      <c r="AM32" s="300">
        <f t="shared" si="8"/>
        <v>17171.9928</v>
      </c>
      <c r="AN32" s="300">
        <f t="shared" si="9"/>
        <v>18072.633600000001</v>
      </c>
      <c r="AO32" s="300">
        <f t="shared" si="10"/>
        <v>18973.649599999997</v>
      </c>
      <c r="AP32" s="300">
        <f t="shared" si="11"/>
        <v>19874.585200000009</v>
      </c>
      <c r="AQ32" s="300">
        <f t="shared" si="19"/>
        <v>20775.226000000006</v>
      </c>
      <c r="AR32" s="300">
        <f t="shared" si="19"/>
        <v>21676.590400000005</v>
      </c>
      <c r="AS32" s="300">
        <f t="shared" si="19"/>
        <v>22586.504000000001</v>
      </c>
      <c r="AT32" s="300">
        <f t="shared" si="19"/>
        <v>23496.685600000001</v>
      </c>
      <c r="AU32" s="300">
        <f t="shared" si="19"/>
        <v>24406.518799999998</v>
      </c>
      <c r="AV32" s="300">
        <f t="shared" si="19"/>
        <v>25316.432400000002</v>
      </c>
      <c r="AW32" s="300">
        <f t="shared" si="19"/>
        <v>26227.069600000006</v>
      </c>
      <c r="AX32" s="300">
        <f t="shared" si="19"/>
        <v>26877.612800000003</v>
      </c>
      <c r="AY32" s="300">
        <f t="shared" si="19"/>
        <v>27327.9064</v>
      </c>
      <c r="AZ32" s="300">
        <f t="shared" si="19"/>
        <v>27778.2</v>
      </c>
      <c r="BA32" s="300">
        <f t="shared" si="19"/>
        <v>28228.493599999998</v>
      </c>
      <c r="BB32" s="300">
        <f t="shared" si="19"/>
        <v>28679.0016</v>
      </c>
      <c r="BC32" s="300">
        <f t="shared" si="19"/>
        <v>29129.295200000004</v>
      </c>
      <c r="BD32" s="300">
        <f t="shared" si="19"/>
        <v>29579.803200000006</v>
      </c>
      <c r="BE32" s="300">
        <f t="shared" si="19"/>
        <v>30030.096800000003</v>
      </c>
      <c r="BF32" s="300">
        <f t="shared" si="18"/>
        <v>30480.390400000004</v>
      </c>
      <c r="BG32" s="300">
        <f t="shared" si="18"/>
        <v>30930.898399999998</v>
      </c>
      <c r="BH32" s="300">
        <f t="shared" si="18"/>
        <v>31381.191999999995</v>
      </c>
      <c r="BI32" s="300">
        <f t="shared" si="18"/>
        <v>31831.485599999996</v>
      </c>
      <c r="BJ32" s="330">
        <f t="shared" si="18"/>
        <v>32281.993599999998</v>
      </c>
      <c r="BK32" s="403">
        <f>((0.33*'Traffic Data'!AK32)/Speed!X113)+((0.67*'Traffic Data'!AK32)/Speed!AX113)</f>
        <v>344.00994144229037</v>
      </c>
      <c r="BL32" s="435">
        <f>((0.33*AL32)/Speed!Y113)+((0.67*AL32)/Speed!AY113)</f>
        <v>354.25885985355177</v>
      </c>
      <c r="BM32" s="435">
        <f>((0.33*AM32)/Speed!Z113)+((0.67*AM32)/Speed!AZ113)</f>
        <v>369.2391558691844</v>
      </c>
      <c r="BN32" s="435">
        <f>((0.33*AN32)/Speed!AA113)+((0.67*AN32)/Speed!BA113)</f>
        <v>391.32823105524932</v>
      </c>
      <c r="BO32" s="435">
        <f>((0.33*AO32)/Speed!AB113)+((0.67*AO32)/Speed!BB113)</f>
        <v>415.31438255131764</v>
      </c>
      <c r="BP32" s="435">
        <f>((0.33*AP32)/Speed!AC113)+((0.67*AP32)/Speed!BC113)</f>
        <v>442.2194679590059</v>
      </c>
      <c r="BQ32" s="435">
        <f>((0.33*AQ32)/Speed!AD113)+((0.67*AQ32)/Speed!BD113)</f>
        <v>473.54267098954176</v>
      </c>
      <c r="BR32" s="435">
        <f>((0.33*AR32)/Speed!AE113)+((0.67*AR32)/Speed!BE113)</f>
        <v>511.48883651680319</v>
      </c>
      <c r="BS32" s="435">
        <f>((0.33*AS32)/Speed!AF113)+((0.67*AS32)/Speed!BF113)</f>
        <v>559.60904866767874</v>
      </c>
      <c r="BT32" s="435">
        <f>((0.33*AT32)/Speed!AG113)+((0.67*AT32)/Speed!BG113)</f>
        <v>621.99941473577576</v>
      </c>
      <c r="BU32" s="435">
        <f>((0.33*AU32)/Speed!AH113)+((0.67*AU32)/Speed!BH113)</f>
        <v>704.68362467616817</v>
      </c>
      <c r="BV32" s="435">
        <f>((0.33*AV32)/Speed!AI113)+((0.67*AV32)/Speed!BI113)</f>
        <v>815.95634598057131</v>
      </c>
      <c r="BW32" s="435">
        <f>((0.33*AW32)/Speed!AJ113)+((0.67*AW32)/Speed!BJ113)</f>
        <v>967.07962524660104</v>
      </c>
      <c r="BX32" s="435">
        <f>((0.33*AX32)/Speed!AK113)+((0.67*AX32)/Speed!BK113)</f>
        <v>1107.45647097029</v>
      </c>
      <c r="BY32" s="435">
        <f>((0.33*AY32)/Speed!AL113)+((0.67*AY32)/Speed!BL113)</f>
        <v>1224.4391575300999</v>
      </c>
      <c r="BZ32" s="435">
        <f>((0.33*AZ32)/Speed!AM113)+((0.67*AZ32)/Speed!BM113)</f>
        <v>1312.6775031307229</v>
      </c>
      <c r="CA32" s="435">
        <f>((0.33*BA32)/Speed!AN113)+((0.67*BA32)/Speed!BN113)</f>
        <v>1333.9581972737878</v>
      </c>
      <c r="CB32" s="435">
        <f>((0.33*BB32)/Speed!AO113)+((0.67*BB32)/Speed!BO113)</f>
        <v>1355.2493614693506</v>
      </c>
      <c r="CC32" s="435">
        <f>((0.33*BC32)/Speed!AP113)+((0.67*BC32)/Speed!BP113)</f>
        <v>1376.5307862852196</v>
      </c>
      <c r="CD32" s="435">
        <f>((0.33*BD32)/Speed!AQ113)+((0.67*BD32)/Speed!BQ113)</f>
        <v>1397.822792495981</v>
      </c>
      <c r="CE32" s="435">
        <f>((0.33*BE32)/Speed!AR113)+((0.67*BE32)/Speed!BR113)</f>
        <v>1419.1051872397343</v>
      </c>
      <c r="CF32" s="435">
        <f>((0.33*BF32)/Speed!AS113)+((0.67*BF32)/Speed!BS113)</f>
        <v>1440.3881756896799</v>
      </c>
      <c r="CG32" s="435">
        <f>((0.33*BG32)/Speed!AT113)+((0.67*BG32)/Speed!BT113)</f>
        <v>1461.6819775983247</v>
      </c>
      <c r="CH32" s="435">
        <f>((0.33*BH32)/Speed!AU113)+((0.67*BH32)/Speed!BU113)</f>
        <v>1482.9664296580349</v>
      </c>
      <c r="CI32" s="435">
        <f>((0.33*BI32)/Speed!AV113)+((0.67*BI32)/Speed!BV113)</f>
        <v>1504.2517684775089</v>
      </c>
      <c r="CJ32" s="436">
        <f>((0.33*BJ32)/Speed!AW113)+((0.67*BJ32)/Speed!BW113)</f>
        <v>1525.548251527242</v>
      </c>
      <c r="CK32" s="1403"/>
      <c r="CL32" s="1403"/>
      <c r="CM32" s="1406"/>
      <c r="CN32" s="1400"/>
      <c r="DA32"/>
    </row>
    <row r="33" spans="2:105" ht="21.9" customHeight="1" x14ac:dyDescent="0.25">
      <c r="B33" s="900"/>
      <c r="C33" s="284" t="s">
        <v>320</v>
      </c>
      <c r="D33" s="284" t="s">
        <v>318</v>
      </c>
      <c r="E33" s="284" t="s">
        <v>308</v>
      </c>
      <c r="F33" s="284" t="s">
        <v>350</v>
      </c>
      <c r="G33" s="285">
        <v>40</v>
      </c>
      <c r="H33" s="286">
        <v>2.35</v>
      </c>
      <c r="I33" s="287">
        <v>2</v>
      </c>
      <c r="J33" s="324">
        <f>'Trip Gen'!W121</f>
        <v>20</v>
      </c>
      <c r="K33" s="331">
        <f>'Trip Gen'!X121</f>
        <v>151.58000000000001</v>
      </c>
      <c r="L33" s="331">
        <f>'Trip Gen'!Y121</f>
        <v>878.18</v>
      </c>
      <c r="M33" s="331">
        <f>'Trip Gen'!Z121</f>
        <v>2022.6599999999999</v>
      </c>
      <c r="N33" s="331">
        <f>'Trip Gen'!AA121</f>
        <v>3167.8599999999997</v>
      </c>
      <c r="O33" s="331">
        <f>'Trip Gen'!AB121</f>
        <v>4313.1200000000008</v>
      </c>
      <c r="P33" s="331">
        <f>'Trip Gen'!AC121</f>
        <v>5457.6</v>
      </c>
      <c r="Q33" s="331">
        <f>'Trip Gen'!AD121</f>
        <v>6603.6</v>
      </c>
      <c r="R33" s="331">
        <f>'Trip Gen'!AE121</f>
        <v>7247.079999999999</v>
      </c>
      <c r="S33" s="331">
        <f>'Trip Gen'!AF121</f>
        <v>7890.8</v>
      </c>
      <c r="T33" s="331">
        <f>'Trip Gen'!AG121</f>
        <v>8534.4599999999991</v>
      </c>
      <c r="U33" s="325">
        <f>'Trip Gen'!AH121</f>
        <v>9177.9399999999987</v>
      </c>
      <c r="V33" s="325">
        <f>'Trip Gen'!AI121</f>
        <v>9822.9400000000023</v>
      </c>
      <c r="W33" s="325">
        <f>'Trip Gen'!AJ121</f>
        <v>10047.920000000004</v>
      </c>
      <c r="X33" s="325">
        <f>'Trip Gen'!AK121</f>
        <v>10179.5</v>
      </c>
      <c r="Y33" s="325">
        <f>'Trip Gen'!AL121</f>
        <v>10311.080000000002</v>
      </c>
      <c r="Z33" s="325">
        <f>'Trip Gen'!AM121</f>
        <v>10442.660000000002</v>
      </c>
      <c r="AA33" s="325">
        <f>'Trip Gen'!AN121</f>
        <v>10574.76</v>
      </c>
      <c r="AB33" s="325">
        <f>'Trip Gen'!AO121</f>
        <v>10706.340000000002</v>
      </c>
      <c r="AC33" s="325">
        <f>'Trip Gen'!AP121</f>
        <v>10838.440000000004</v>
      </c>
      <c r="AD33" s="325">
        <f>'Trip Gen'!AQ121</f>
        <v>10970.02</v>
      </c>
      <c r="AE33" s="325">
        <f>'Trip Gen'!AR121</f>
        <v>11101.600000000002</v>
      </c>
      <c r="AF33" s="325">
        <f>'Trip Gen'!AS121</f>
        <v>11233.700000000004</v>
      </c>
      <c r="AG33" s="325">
        <f>'Trip Gen'!AT121</f>
        <v>11365.28</v>
      </c>
      <c r="AH33" s="325">
        <f>'Trip Gen'!AU121</f>
        <v>11496.86</v>
      </c>
      <c r="AI33" s="326">
        <f>'Trip Gen'!AV121</f>
        <v>11628.960000000003</v>
      </c>
      <c r="AJ33" s="288">
        <f t="shared" si="13"/>
        <v>23.217920000000003</v>
      </c>
      <c r="AK33" s="324">
        <f t="shared" si="17"/>
        <v>47</v>
      </c>
      <c r="AL33" s="331">
        <f t="shared" si="7"/>
        <v>356.21300000000002</v>
      </c>
      <c r="AM33" s="331">
        <f t="shared" si="8"/>
        <v>2063.723</v>
      </c>
      <c r="AN33" s="331">
        <f t="shared" si="9"/>
        <v>4753.2510000000002</v>
      </c>
      <c r="AO33" s="331">
        <f t="shared" si="10"/>
        <v>7444.4709999999995</v>
      </c>
      <c r="AP33" s="331">
        <f t="shared" si="11"/>
        <v>10135.832000000002</v>
      </c>
      <c r="AQ33" s="331">
        <f t="shared" si="19"/>
        <v>12825.36</v>
      </c>
      <c r="AR33" s="331">
        <f t="shared" si="19"/>
        <v>15518.460000000001</v>
      </c>
      <c r="AS33" s="331">
        <f t="shared" si="19"/>
        <v>17030.637999999999</v>
      </c>
      <c r="AT33" s="331">
        <f t="shared" si="19"/>
        <v>18543.38</v>
      </c>
      <c r="AU33" s="331">
        <f t="shared" si="19"/>
        <v>20055.981</v>
      </c>
      <c r="AV33" s="1235">
        <f>$H33*U33</f>
        <v>21568.158999999996</v>
      </c>
      <c r="AW33" s="331">
        <f t="shared" si="19"/>
        <v>23083.909000000007</v>
      </c>
      <c r="AX33" s="331">
        <f t="shared" si="19"/>
        <v>23612.612000000008</v>
      </c>
      <c r="AY33" s="331">
        <f t="shared" si="19"/>
        <v>23921.825000000001</v>
      </c>
      <c r="AZ33" s="331">
        <f t="shared" si="19"/>
        <v>24231.038000000004</v>
      </c>
      <c r="BA33" s="331">
        <f t="shared" si="19"/>
        <v>24540.251000000004</v>
      </c>
      <c r="BB33" s="331">
        <f t="shared" si="19"/>
        <v>24850.686000000002</v>
      </c>
      <c r="BC33" s="331">
        <f t="shared" si="19"/>
        <v>25159.899000000005</v>
      </c>
      <c r="BD33" s="331">
        <f t="shared" si="19"/>
        <v>25470.33400000001</v>
      </c>
      <c r="BE33" s="331">
        <f t="shared" si="19"/>
        <v>25779.547000000002</v>
      </c>
      <c r="BF33" s="331">
        <f t="shared" si="18"/>
        <v>26088.760000000006</v>
      </c>
      <c r="BG33" s="331">
        <f t="shared" si="18"/>
        <v>26399.195000000011</v>
      </c>
      <c r="BH33" s="331">
        <f t="shared" si="18"/>
        <v>26708.408000000003</v>
      </c>
      <c r="BI33" s="331">
        <f t="shared" si="18"/>
        <v>27017.621000000003</v>
      </c>
      <c r="BJ33" s="326">
        <f t="shared" si="18"/>
        <v>27328.056000000008</v>
      </c>
      <c r="BK33" s="400">
        <f>((0.33*'Traffic Data'!AK33)/Speed!X114)+((0.67*'Traffic Data'!AK33)/Speed!AX114)</f>
        <v>1.087962962962963</v>
      </c>
      <c r="BL33" s="401">
        <f>((0.33*AL33)/Speed!Y114)+((0.67*AL33)/Speed!AY114)</f>
        <v>8.2456712962962975</v>
      </c>
      <c r="BM33" s="401">
        <f>((0.33*AM33)/Speed!Z114)+((0.67*AM33)/Speed!AZ114)</f>
        <v>47.771365742225235</v>
      </c>
      <c r="BN33" s="401">
        <f>((0.33*AN33)/Speed!AA114)+((0.67*AN33)/Speed!BA114)</f>
        <v>110.02897269853389</v>
      </c>
      <c r="BO33" s="401">
        <f>((0.33*AO33)/Speed!AB114)+((0.67*AO33)/Speed!BB114)</f>
        <v>172.32771554805237</v>
      </c>
      <c r="BP33" s="401">
        <f>((0.33*AP33)/Speed!AC114)+((0.67*AP33)/Speed!BC114)</f>
        <v>234.68528874332719</v>
      </c>
      <c r="BQ33" s="401">
        <f>((0.33*AQ33)/Speed!AD114)+((0.67*AQ33)/Speed!BD114)</f>
        <v>297.67616189701926</v>
      </c>
      <c r="BR33" s="401">
        <f>((0.33*AR33)/Speed!AE114)+((0.67*AR33)/Speed!BE114)</f>
        <v>365.67642682388777</v>
      </c>
      <c r="BS33" s="401">
        <f>((0.33*AS33)/Speed!AF114)+((0.67*AS33)/Speed!BF114)</f>
        <v>412.17325474595953</v>
      </c>
      <c r="BT33" s="401">
        <f>((0.33*AT33)/Speed!AG114)+((0.67*AT33)/Speed!BG114)</f>
        <v>475.0057614889119</v>
      </c>
      <c r="BU33" s="401">
        <f>((0.33*AU33)/Speed!AH114)+((0.67*AU33)/Speed!BH114)</f>
        <v>572.676331882569</v>
      </c>
      <c r="BV33" s="401">
        <f>((0.33*AV33)/Speed!AI114)+((0.67*AV33)/Speed!BI114)</f>
        <v>740.45357988217302</v>
      </c>
      <c r="BW33" s="401">
        <f>((0.33*AW33)/Speed!AJ114)+((0.67*AW33)/Speed!BJ114)</f>
        <v>1043.4691523897727</v>
      </c>
      <c r="BX33" s="401">
        <f>((0.33*AX33)/Speed!AK114)+((0.67*AX33)/Speed!BK114)</f>
        <v>1145.4381233867302</v>
      </c>
      <c r="BY33" s="401">
        <f>((0.33*AY33)/Speed!AL114)+((0.67*AY33)/Speed!BL114)</f>
        <v>1160.4399290286522</v>
      </c>
      <c r="BZ33" s="401">
        <f>((0.33*AZ33)/Speed!AM114)+((0.67*AZ33)/Speed!BM114)</f>
        <v>1175.4411467047316</v>
      </c>
      <c r="CA33" s="401">
        <f>((0.33*BA33)/Speed!AN114)+((0.67*BA33)/Speed!BN114)</f>
        <v>1190.4425743986117</v>
      </c>
      <c r="CB33" s="401">
        <f>((0.33*BB33)/Speed!AO114)+((0.67*BB33)/Speed!BO114)</f>
        <v>1205.5035168667425</v>
      </c>
      <c r="CC33" s="401">
        <f>((0.33*BC33)/Speed!AP114)+((0.67*BC33)/Speed!BP114)</f>
        <v>1220.5054530929933</v>
      </c>
      <c r="CD33" s="401">
        <f>((0.33*BD33)/Speed!AQ114)+((0.67*BD33)/Speed!BQ114)</f>
        <v>1235.5669568135215</v>
      </c>
      <c r="CE33" s="401">
        <f>((0.33*BE33)/Speed!AR114)+((0.67*BE33)/Speed!BR114)</f>
        <v>1250.5695228596505</v>
      </c>
      <c r="CF33" s="401">
        <f>((0.33*BF33)/Speed!AS114)+((0.67*BF33)/Speed!BS114)</f>
        <v>1265.5724482833643</v>
      </c>
      <c r="CG33" s="401">
        <f>((0.33*BG33)/Speed!AT114)+((0.67*BG33)/Speed!BT114)</f>
        <v>1280.6350647315394</v>
      </c>
      <c r="CH33" s="401">
        <f>((0.33*BH33)/Speed!AU114)+((0.67*BH33)/Speed!BU114)</f>
        <v>1295.6388751690934</v>
      </c>
      <c r="CI33" s="401">
        <f>((0.33*BI33)/Speed!AV114)+((0.67*BI33)/Speed!BV114)</f>
        <v>1310.6431809422431</v>
      </c>
      <c r="CJ33" s="409">
        <f>((0.33*BJ33)/Speed!AW114)+((0.67*BJ33)/Speed!BW114)</f>
        <v>1325.7073324092203</v>
      </c>
      <c r="CK33" s="289">
        <f>Inputs!$F$35</f>
        <v>0.2</v>
      </c>
      <c r="CL33" s="289">
        <f>Inputs!$F$36</f>
        <v>0.8</v>
      </c>
      <c r="CM33" s="290">
        <f>1/(1+CK33)</f>
        <v>0.83333333333333337</v>
      </c>
      <c r="CN33" s="291">
        <v>0.88</v>
      </c>
      <c r="DA33"/>
    </row>
    <row r="34" spans="2:105" ht="21.9" customHeight="1" x14ac:dyDescent="0.25">
      <c r="B34" s="900"/>
      <c r="C34" s="1368" t="s">
        <v>308</v>
      </c>
      <c r="D34" s="276" t="s">
        <v>276</v>
      </c>
      <c r="E34" s="276" t="s">
        <v>320</v>
      </c>
      <c r="F34" s="276" t="s">
        <v>351</v>
      </c>
      <c r="G34" s="293">
        <v>40</v>
      </c>
      <c r="H34" s="294">
        <v>1.35</v>
      </c>
      <c r="I34" s="282">
        <v>4</v>
      </c>
      <c r="J34" s="332">
        <f>'Trip Gen'!W118</f>
        <v>100</v>
      </c>
      <c r="K34" s="302">
        <f>'Trip Gen'!X118</f>
        <v>222.24999999999997</v>
      </c>
      <c r="L34" s="302">
        <f>'Trip Gen'!Y118</f>
        <v>939.35</v>
      </c>
      <c r="M34" s="302">
        <f>'Trip Gen'!Z118</f>
        <v>2111.6</v>
      </c>
      <c r="N34" s="302">
        <f>'Trip Gen'!AA118</f>
        <v>3284.5000000000005</v>
      </c>
      <c r="O34" s="302">
        <f>'Trip Gen'!AB118</f>
        <v>4457.4499999999989</v>
      </c>
      <c r="P34" s="302">
        <f>'Trip Gen'!AC118</f>
        <v>5629.7</v>
      </c>
      <c r="Q34" s="302">
        <f>'Trip Gen'!AD118</f>
        <v>6803.3</v>
      </c>
      <c r="R34" s="302">
        <f>'Trip Gen'!AE118</f>
        <v>7708.3000000000011</v>
      </c>
      <c r="S34" s="302">
        <f>'Trip Gen'!AF118</f>
        <v>8613.4500000000007</v>
      </c>
      <c r="T34" s="302">
        <f>'Trip Gen'!AG118</f>
        <v>9518.4499999999989</v>
      </c>
      <c r="U34" s="302">
        <f>'Trip Gen'!AH118</f>
        <v>10423.449999999999</v>
      </c>
      <c r="V34" s="302">
        <f>'Trip Gen'!AI118</f>
        <v>11329.65</v>
      </c>
      <c r="W34" s="302">
        <f>'Trip Gen'!AJ118</f>
        <v>11778.8</v>
      </c>
      <c r="X34" s="302">
        <f>'Trip Gen'!AK118</f>
        <v>11901.050000000001</v>
      </c>
      <c r="Y34" s="302">
        <f>'Trip Gen'!AL118</f>
        <v>12023.3</v>
      </c>
      <c r="Z34" s="302">
        <f>'Trip Gen'!AM118</f>
        <v>12145.550000000001</v>
      </c>
      <c r="AA34" s="302">
        <f>'Trip Gen'!AN118</f>
        <v>12268.150000000001</v>
      </c>
      <c r="AB34" s="302">
        <f>'Trip Gen'!AO118</f>
        <v>12390.4</v>
      </c>
      <c r="AC34" s="302">
        <f>'Trip Gen'!AP118</f>
        <v>12512.999999999996</v>
      </c>
      <c r="AD34" s="302">
        <f>'Trip Gen'!AQ118</f>
        <v>12635.249999999998</v>
      </c>
      <c r="AE34" s="302">
        <f>'Trip Gen'!AR118</f>
        <v>12757.499999999998</v>
      </c>
      <c r="AF34" s="302">
        <f>'Trip Gen'!AS118</f>
        <v>12880.099999999999</v>
      </c>
      <c r="AG34" s="302">
        <f>'Trip Gen'!AT118</f>
        <v>13002.349999999999</v>
      </c>
      <c r="AH34" s="302">
        <f>'Trip Gen'!AU118</f>
        <v>13124.599999999999</v>
      </c>
      <c r="AI34" s="328">
        <f>'Trip Gen'!AV118</f>
        <v>13247.199999999999</v>
      </c>
      <c r="AJ34" s="296">
        <f t="shared" si="13"/>
        <v>5.2588799999999996</v>
      </c>
      <c r="AK34" s="332">
        <f t="shared" si="17"/>
        <v>135</v>
      </c>
      <c r="AL34" s="302">
        <f t="shared" si="7"/>
        <v>300.03749999999997</v>
      </c>
      <c r="AM34" s="302">
        <f t="shared" si="8"/>
        <v>1268.1225000000002</v>
      </c>
      <c r="AN34" s="302">
        <f t="shared" si="9"/>
        <v>2850.66</v>
      </c>
      <c r="AO34" s="302">
        <f t="shared" si="10"/>
        <v>4434.0750000000007</v>
      </c>
      <c r="AP34" s="302">
        <f t="shared" si="11"/>
        <v>6017.557499999999</v>
      </c>
      <c r="AQ34" s="302">
        <f t="shared" si="19"/>
        <v>7600.0950000000003</v>
      </c>
      <c r="AR34" s="302">
        <f t="shared" si="19"/>
        <v>9184.4550000000017</v>
      </c>
      <c r="AS34" s="302">
        <f t="shared" si="19"/>
        <v>10406.205000000002</v>
      </c>
      <c r="AT34" s="302">
        <f t="shared" si="19"/>
        <v>11628.157500000001</v>
      </c>
      <c r="AU34" s="302">
        <f t="shared" si="19"/>
        <v>12849.907499999999</v>
      </c>
      <c r="AV34" s="1233">
        <f t="shared" si="19"/>
        <v>14071.657499999999</v>
      </c>
      <c r="AW34" s="302">
        <f t="shared" si="19"/>
        <v>15295.0275</v>
      </c>
      <c r="AX34" s="302">
        <f t="shared" si="19"/>
        <v>15901.38</v>
      </c>
      <c r="AY34" s="302">
        <f t="shared" si="19"/>
        <v>16066.417500000003</v>
      </c>
      <c r="AZ34" s="302">
        <f t="shared" si="19"/>
        <v>16231.455</v>
      </c>
      <c r="BA34" s="302">
        <f t="shared" si="19"/>
        <v>16396.492500000004</v>
      </c>
      <c r="BB34" s="302">
        <f t="shared" si="19"/>
        <v>16562.002500000002</v>
      </c>
      <c r="BC34" s="302">
        <f t="shared" si="19"/>
        <v>16727.04</v>
      </c>
      <c r="BD34" s="302">
        <f t="shared" si="19"/>
        <v>16892.549999999996</v>
      </c>
      <c r="BE34" s="302">
        <f t="shared" si="19"/>
        <v>17057.587499999998</v>
      </c>
      <c r="BF34" s="302">
        <f t="shared" si="18"/>
        <v>17222.625</v>
      </c>
      <c r="BG34" s="302">
        <f t="shared" si="18"/>
        <v>17388.134999999998</v>
      </c>
      <c r="BH34" s="302">
        <f t="shared" si="18"/>
        <v>17553.172500000001</v>
      </c>
      <c r="BI34" s="302">
        <f t="shared" si="18"/>
        <v>17718.21</v>
      </c>
      <c r="BJ34" s="328">
        <f t="shared" si="18"/>
        <v>17883.72</v>
      </c>
      <c r="BK34" s="402">
        <f>((0.33*'Traffic Data'!AK34)/Speed!X115)+((0.67*'Traffic Data'!AK34)/Speed!AX115)</f>
        <v>3.2846715328467155</v>
      </c>
      <c r="BL34" s="433">
        <f>((0.33*AL34)/Speed!Y115)+((0.67*AL34)/Speed!AY115)</f>
        <v>7.3001824817518237</v>
      </c>
      <c r="BM34" s="433">
        <f>((0.33*AM34)/Speed!Z115)+((0.67*AM34)/Speed!AZ115)</f>
        <v>30.854562043795625</v>
      </c>
      <c r="BN34" s="433">
        <f>((0.33*AN34)/Speed!AA115)+((0.67*AN34)/Speed!BA115)</f>
        <v>69.359124087594353</v>
      </c>
      <c r="BO34" s="433">
        <f>((0.33*AO34)/Speed!AB115)+((0.67*AO34)/Speed!BB115)</f>
        <v>107.88503649675135</v>
      </c>
      <c r="BP34" s="433">
        <f>((0.33*AP34)/Speed!AC115)+((0.67*AP34)/Speed!BC115)</f>
        <v>146.41259125240782</v>
      </c>
      <c r="BQ34" s="433">
        <f>((0.33*AQ34)/Speed!AD115)+((0.67*AQ34)/Speed!BD115)</f>
        <v>184.91715343508571</v>
      </c>
      <c r="BR34" s="433">
        <f>((0.33*AR34)/Speed!AE115)+((0.67*AR34)/Speed!BE115)</f>
        <v>223.46605960160525</v>
      </c>
      <c r="BS34" s="433">
        <f>((0.33*AS34)/Speed!AF115)+((0.67*AS34)/Speed!BF115)</f>
        <v>253.19234053618828</v>
      </c>
      <c r="BT34" s="433">
        <f>((0.33*AT34)/Speed!AG115)+((0.67*AT34)/Speed!BG115)</f>
        <v>282.92355632309994</v>
      </c>
      <c r="BU34" s="433">
        <f>((0.33*AU34)/Speed!AH115)+((0.67*AU34)/Speed!BH115)</f>
        <v>312.64986606736858</v>
      </c>
      <c r="BV34" s="433">
        <f>((0.33*AV34)/Speed!AI115)+((0.67*AV34)/Speed!BI115)</f>
        <v>342.37622674028637</v>
      </c>
      <c r="BW34" s="433">
        <f>((0.33*AW34)/Speed!AJ115)+((0.67*AW34)/Speed!BJ115)</f>
        <v>372.14211818497421</v>
      </c>
      <c r="BX34" s="433">
        <f>((0.33*AX34)/Speed!AK115)+((0.67*AX34)/Speed!BK115)</f>
        <v>386.89539641288866</v>
      </c>
      <c r="BY34" s="433">
        <f>((0.33*AY34)/Speed!AL115)+((0.67*AY34)/Speed!BL115)</f>
        <v>390.91096821354404</v>
      </c>
      <c r="BZ34" s="433">
        <f>((0.33*AZ34)/Speed!AM115)+((0.67*AZ34)/Speed!BM115)</f>
        <v>394.92654659498311</v>
      </c>
      <c r="CA34" s="433">
        <f>((0.33*BA34)/Speed!AN115)+((0.67*BA34)/Speed!BN115)</f>
        <v>398.94213219296728</v>
      </c>
      <c r="CB34" s="433">
        <f>((0.33*BB34)/Speed!AO115)+((0.67*BB34)/Speed!BO115)</f>
        <v>402.96922229404697</v>
      </c>
      <c r="CC34" s="433">
        <f>((0.33*BC34)/Speed!AP115)+((0.67*BC34)/Speed!BP115)</f>
        <v>406.98482447205708</v>
      </c>
      <c r="CD34" s="433">
        <f>((0.33*BD34)/Speed!AQ115)+((0.67*BD34)/Speed!BQ115)</f>
        <v>411.01193276260096</v>
      </c>
      <c r="CE34" s="433">
        <f>((0.33*BE34)/Speed!AR115)+((0.67*BE34)/Speed!BR115)</f>
        <v>415.02755476432606</v>
      </c>
      <c r="CF34" s="433">
        <f>((0.33*BF34)/Speed!AS115)+((0.67*BF34)/Speed!BS115)</f>
        <v>419.04318804698721</v>
      </c>
      <c r="CG34" s="433">
        <f>((0.33*BG34)/Speed!AT115)+((0.67*BG34)/Speed!BT115)</f>
        <v>423.0703303861813</v>
      </c>
      <c r="CH34" s="433">
        <f>((0.33*BH34)/Speed!AU115)+((0.67*BH34)/Speed!BU115)</f>
        <v>427.0859894153383</v>
      </c>
      <c r="CI34" s="433">
        <f>((0.33*BI34)/Speed!AV115)+((0.67*BI34)/Speed!BV115)</f>
        <v>431.10166304183417</v>
      </c>
      <c r="CJ34" s="434">
        <f>((0.33*BJ34)/Speed!AW115)+((0.67*BJ34)/Speed!BW115)</f>
        <v>435.12884943388639</v>
      </c>
      <c r="CK34" s="1401">
        <f>Inputs!$G$35</f>
        <v>0.2</v>
      </c>
      <c r="CL34" s="1401">
        <f>Inputs!$G$36</f>
        <v>0.8</v>
      </c>
      <c r="CM34" s="1404">
        <f>1/(1+CK34)</f>
        <v>0.83333333333333337</v>
      </c>
      <c r="CN34" s="1398">
        <v>0.88</v>
      </c>
      <c r="DA34"/>
    </row>
    <row r="35" spans="2:105" ht="21.9" customHeight="1" x14ac:dyDescent="0.25">
      <c r="B35" s="900"/>
      <c r="C35" s="1369"/>
      <c r="D35" s="284" t="s">
        <v>320</v>
      </c>
      <c r="E35" s="284" t="s">
        <v>282</v>
      </c>
      <c r="F35" s="284" t="s">
        <v>351</v>
      </c>
      <c r="G35" s="285">
        <v>40</v>
      </c>
      <c r="H35" s="286">
        <v>0.28000000000000003</v>
      </c>
      <c r="I35" s="287">
        <v>4</v>
      </c>
      <c r="J35" s="324">
        <v>0</v>
      </c>
      <c r="K35" s="287">
        <f>ROUND((0.7333333333333*MAX(K37,K34)),0)</f>
        <v>328</v>
      </c>
      <c r="L35" s="287">
        <f>L34</f>
        <v>939.35</v>
      </c>
      <c r="M35" s="287">
        <f t="shared" ref="M35:AI35" si="20">M34</f>
        <v>2111.6</v>
      </c>
      <c r="N35" s="287">
        <f t="shared" si="20"/>
        <v>3284.5000000000005</v>
      </c>
      <c r="O35" s="287">
        <f t="shared" si="20"/>
        <v>4457.4499999999989</v>
      </c>
      <c r="P35" s="287">
        <f t="shared" si="20"/>
        <v>5629.7</v>
      </c>
      <c r="Q35" s="287">
        <f t="shared" si="20"/>
        <v>6803.3</v>
      </c>
      <c r="R35" s="287">
        <f t="shared" si="20"/>
        <v>7708.3000000000011</v>
      </c>
      <c r="S35" s="287">
        <f t="shared" si="20"/>
        <v>8613.4500000000007</v>
      </c>
      <c r="T35" s="287">
        <f t="shared" si="20"/>
        <v>9518.4499999999989</v>
      </c>
      <c r="U35" s="287">
        <f t="shared" si="20"/>
        <v>10423.449999999999</v>
      </c>
      <c r="V35" s="287">
        <f t="shared" si="20"/>
        <v>11329.65</v>
      </c>
      <c r="W35" s="287">
        <f t="shared" si="20"/>
        <v>11778.8</v>
      </c>
      <c r="X35" s="287">
        <f t="shared" si="20"/>
        <v>11901.050000000001</v>
      </c>
      <c r="Y35" s="287">
        <f t="shared" si="20"/>
        <v>12023.3</v>
      </c>
      <c r="Z35" s="287">
        <f t="shared" si="20"/>
        <v>12145.550000000001</v>
      </c>
      <c r="AA35" s="287">
        <f t="shared" si="20"/>
        <v>12268.150000000001</v>
      </c>
      <c r="AB35" s="287">
        <f t="shared" si="20"/>
        <v>12390.4</v>
      </c>
      <c r="AC35" s="287">
        <f t="shared" si="20"/>
        <v>12512.999999999996</v>
      </c>
      <c r="AD35" s="287">
        <f t="shared" si="20"/>
        <v>12635.249999999998</v>
      </c>
      <c r="AE35" s="287">
        <f t="shared" si="20"/>
        <v>12757.499999999998</v>
      </c>
      <c r="AF35" s="287">
        <f t="shared" si="20"/>
        <v>12880.099999999999</v>
      </c>
      <c r="AG35" s="287">
        <f t="shared" si="20"/>
        <v>13002.349999999999</v>
      </c>
      <c r="AH35" s="287">
        <f t="shared" si="20"/>
        <v>13124.599999999999</v>
      </c>
      <c r="AI35" s="333">
        <f t="shared" si="20"/>
        <v>13247.199999999999</v>
      </c>
      <c r="AJ35" s="288" t="s">
        <v>311</v>
      </c>
      <c r="AK35" s="324">
        <f t="shared" si="17"/>
        <v>0</v>
      </c>
      <c r="AL35" s="287">
        <f t="shared" si="7"/>
        <v>91.84</v>
      </c>
      <c r="AM35" s="287">
        <f t="shared" si="8"/>
        <v>263.01800000000003</v>
      </c>
      <c r="AN35" s="287">
        <f t="shared" si="9"/>
        <v>591.24800000000005</v>
      </c>
      <c r="AO35" s="287">
        <f t="shared" si="10"/>
        <v>919.6600000000002</v>
      </c>
      <c r="AP35" s="287">
        <f t="shared" si="11"/>
        <v>1248.0859999999998</v>
      </c>
      <c r="AQ35" s="287">
        <f t="shared" si="19"/>
        <v>1576.316</v>
      </c>
      <c r="AR35" s="287">
        <f t="shared" si="19"/>
        <v>1904.9240000000002</v>
      </c>
      <c r="AS35" s="287">
        <f t="shared" si="19"/>
        <v>2158.3240000000005</v>
      </c>
      <c r="AT35" s="287">
        <f t="shared" si="19"/>
        <v>2411.7660000000005</v>
      </c>
      <c r="AU35" s="287">
        <f t="shared" si="19"/>
        <v>2665.1660000000002</v>
      </c>
      <c r="AV35" s="1231">
        <f t="shared" si="19"/>
        <v>2918.5659999999998</v>
      </c>
      <c r="AW35" s="287">
        <f t="shared" si="19"/>
        <v>3172.3020000000001</v>
      </c>
      <c r="AX35" s="287">
        <f t="shared" si="19"/>
        <v>3298.0640000000003</v>
      </c>
      <c r="AY35" s="287">
        <f t="shared" si="19"/>
        <v>3332.2940000000008</v>
      </c>
      <c r="AZ35" s="287">
        <f t="shared" si="19"/>
        <v>3366.5240000000003</v>
      </c>
      <c r="BA35" s="287">
        <f t="shared" si="19"/>
        <v>3400.7540000000008</v>
      </c>
      <c r="BB35" s="287">
        <f t="shared" si="19"/>
        <v>3435.0820000000008</v>
      </c>
      <c r="BC35" s="287">
        <f t="shared" si="19"/>
        <v>3469.3120000000004</v>
      </c>
      <c r="BD35" s="287">
        <f t="shared" si="19"/>
        <v>3503.6399999999994</v>
      </c>
      <c r="BE35" s="287">
        <f t="shared" si="19"/>
        <v>3537.87</v>
      </c>
      <c r="BF35" s="287">
        <f t="shared" si="18"/>
        <v>3572.1</v>
      </c>
      <c r="BG35" s="287">
        <f t="shared" si="18"/>
        <v>3606.4279999999999</v>
      </c>
      <c r="BH35" s="287">
        <f t="shared" si="18"/>
        <v>3640.6579999999999</v>
      </c>
      <c r="BI35" s="287">
        <f t="shared" si="18"/>
        <v>3674.8879999999999</v>
      </c>
      <c r="BJ35" s="333">
        <f t="shared" si="18"/>
        <v>3709.2159999999999</v>
      </c>
      <c r="BK35" s="400">
        <f>((0.33*'Traffic Data'!AK35)/Speed!X116)+((0.67*'Traffic Data'!AK35)/Speed!AX116)</f>
        <v>0</v>
      </c>
      <c r="BL35" s="401">
        <f>((0.33*AL35)/Speed!Y116)+((0.67*AL35)/Speed!AY116)</f>
        <v>2.2345498783454989</v>
      </c>
      <c r="BM35" s="401">
        <f>((0.33*AM35)/Speed!Z116)+((0.67*AM35)/Speed!AZ116)</f>
        <v>6.3994647201946488</v>
      </c>
      <c r="BN35" s="401">
        <f>((0.33*AN35)/Speed!AA116)+((0.67*AN35)/Speed!BA116)</f>
        <v>14.385596107056607</v>
      </c>
      <c r="BO35" s="401">
        <f>((0.33*AO35)/Speed!AB116)+((0.67*AO35)/Speed!BB116)</f>
        <v>22.376155717844728</v>
      </c>
      <c r="BP35" s="401">
        <f>((0.33*AP35)/Speed!AC116)+((0.67*AP35)/Speed!BC116)</f>
        <v>30.367055963462363</v>
      </c>
      <c r="BQ35" s="401">
        <f>((0.33*AQ35)/Speed!AD116)+((0.67*AQ35)/Speed!BD116)</f>
        <v>38.35318737912889</v>
      </c>
      <c r="BR35" s="401">
        <f>((0.33*AR35)/Speed!AE116)+((0.67*AR35)/Speed!BE116)</f>
        <v>46.348516065518126</v>
      </c>
      <c r="BS35" s="401">
        <f>((0.33*AS35)/Speed!AF116)+((0.67*AS35)/Speed!BF116)</f>
        <v>52.513966926024239</v>
      </c>
      <c r="BT35" s="401">
        <f>((0.33*AT35)/Speed!AG116)+((0.67*AT35)/Speed!BG116)</f>
        <v>58.68044131145777</v>
      </c>
      <c r="BU35" s="401">
        <f>((0.33*AU35)/Speed!AH116)+((0.67*AU35)/Speed!BH116)</f>
        <v>64.845898147306087</v>
      </c>
      <c r="BV35" s="401">
        <f>((0.33*AV35)/Speed!AI116)+((0.67*AV35)/Speed!BI116)</f>
        <v>71.011365546133476</v>
      </c>
      <c r="BW35" s="401">
        <f>((0.33*AW35)/Speed!AJ116)+((0.67*AW35)/Speed!BJ116)</f>
        <v>77.185031919846494</v>
      </c>
      <c r="BX35" s="401">
        <f>((0.33*AX35)/Speed!AK116)+((0.67*AX35)/Speed!BK116)</f>
        <v>80.244971107858404</v>
      </c>
      <c r="BY35" s="401">
        <f>((0.33*AY35)/Speed!AL116)+((0.67*AY35)/Speed!BL116)</f>
        <v>81.077830444290612</v>
      </c>
      <c r="BZ35" s="401">
        <f>((0.33*AZ35)/Speed!AM116)+((0.67*AZ35)/Speed!BM116)</f>
        <v>81.910691145626132</v>
      </c>
      <c r="CA35" s="401">
        <f>((0.33*BA35)/Speed!AN116)+((0.67*BA35)/Speed!BN116)</f>
        <v>82.743553343726546</v>
      </c>
      <c r="CB35" s="401">
        <f>((0.33*BB35)/Speed!AO116)+((0.67*BB35)/Speed!BO116)</f>
        <v>83.578801660987523</v>
      </c>
      <c r="CC35" s="401">
        <f>((0.33*BC35)/Speed!AP116)+((0.67*BC35)/Speed!BP116)</f>
        <v>84.411667297908139</v>
      </c>
      <c r="CD35" s="401">
        <f>((0.33*BD35)/Speed!AQ116)+((0.67*BD35)/Speed!BQ116)</f>
        <v>85.246919387798727</v>
      </c>
      <c r="CE35" s="401">
        <f>((0.33*BE35)/Speed!AR116)+((0.67*BE35)/Speed!BR116)</f>
        <v>86.079789136304669</v>
      </c>
      <c r="CF35" s="401">
        <f>((0.33*BF35)/Speed!AS116)+((0.67*BF35)/Speed!BS116)</f>
        <v>86.91266122456031</v>
      </c>
      <c r="CG35" s="401">
        <f>((0.33*BG35)/Speed!AT116)+((0.67*BG35)/Speed!BT116)</f>
        <v>87.747920376393154</v>
      </c>
      <c r="CH35" s="401">
        <f>((0.33*BH35)/Speed!AU116)+((0.67*BH35)/Speed!BU116)</f>
        <v>88.580797804662751</v>
      </c>
      <c r="CI35" s="401">
        <f>((0.33*BI35)/Speed!AV116)+((0.67*BI35)/Speed!BV116)</f>
        <v>89.413678260528584</v>
      </c>
      <c r="CJ35" s="409">
        <f>((0.33*BJ35)/Speed!AW116)+((0.67*BJ35)/Speed!BW116)</f>
        <v>90.248946549250491</v>
      </c>
      <c r="CK35" s="1402"/>
      <c r="CL35" s="1402"/>
      <c r="CM35" s="1405"/>
      <c r="CN35" s="1399"/>
      <c r="DA35"/>
    </row>
    <row r="36" spans="2:105" ht="21.9" customHeight="1" x14ac:dyDescent="0.25">
      <c r="B36" s="900"/>
      <c r="C36" s="1369"/>
      <c r="D36" s="284" t="s">
        <v>282</v>
      </c>
      <c r="E36" s="284" t="s">
        <v>321</v>
      </c>
      <c r="F36" s="284" t="s">
        <v>352</v>
      </c>
      <c r="G36" s="285">
        <v>40</v>
      </c>
      <c r="H36" s="286">
        <v>0.73</v>
      </c>
      <c r="I36" s="287">
        <v>4</v>
      </c>
      <c r="J36" s="324">
        <v>0</v>
      </c>
      <c r="K36" s="287">
        <f>ROUND((0.7333333333333*MAX(K37,K34)),0)</f>
        <v>328</v>
      </c>
      <c r="L36" s="287">
        <f>L34</f>
        <v>939.35</v>
      </c>
      <c r="M36" s="287">
        <f t="shared" ref="M36:AI36" si="21">M34</f>
        <v>2111.6</v>
      </c>
      <c r="N36" s="287">
        <f t="shared" si="21"/>
        <v>3284.5000000000005</v>
      </c>
      <c r="O36" s="287">
        <f t="shared" si="21"/>
        <v>4457.4499999999989</v>
      </c>
      <c r="P36" s="287">
        <f t="shared" si="21"/>
        <v>5629.7</v>
      </c>
      <c r="Q36" s="287">
        <f t="shared" si="21"/>
        <v>6803.3</v>
      </c>
      <c r="R36" s="287">
        <f t="shared" si="21"/>
        <v>7708.3000000000011</v>
      </c>
      <c r="S36" s="287">
        <f t="shared" si="21"/>
        <v>8613.4500000000007</v>
      </c>
      <c r="T36" s="287">
        <f t="shared" si="21"/>
        <v>9518.4499999999989</v>
      </c>
      <c r="U36" s="287">
        <f t="shared" si="21"/>
        <v>10423.449999999999</v>
      </c>
      <c r="V36" s="287">
        <f t="shared" si="21"/>
        <v>11329.65</v>
      </c>
      <c r="W36" s="287">
        <f t="shared" si="21"/>
        <v>11778.8</v>
      </c>
      <c r="X36" s="287">
        <f t="shared" si="21"/>
        <v>11901.050000000001</v>
      </c>
      <c r="Y36" s="287">
        <f t="shared" si="21"/>
        <v>12023.3</v>
      </c>
      <c r="Z36" s="287">
        <f t="shared" si="21"/>
        <v>12145.550000000001</v>
      </c>
      <c r="AA36" s="287">
        <f t="shared" si="21"/>
        <v>12268.150000000001</v>
      </c>
      <c r="AB36" s="287">
        <f t="shared" si="21"/>
        <v>12390.4</v>
      </c>
      <c r="AC36" s="287">
        <f t="shared" si="21"/>
        <v>12512.999999999996</v>
      </c>
      <c r="AD36" s="287">
        <f t="shared" si="21"/>
        <v>12635.249999999998</v>
      </c>
      <c r="AE36" s="287">
        <f t="shared" si="21"/>
        <v>12757.499999999998</v>
      </c>
      <c r="AF36" s="287">
        <f t="shared" si="21"/>
        <v>12880.099999999999</v>
      </c>
      <c r="AG36" s="287">
        <f t="shared" si="21"/>
        <v>13002.349999999999</v>
      </c>
      <c r="AH36" s="287">
        <f t="shared" si="21"/>
        <v>13124.599999999999</v>
      </c>
      <c r="AI36" s="333">
        <f t="shared" si="21"/>
        <v>13247.199999999999</v>
      </c>
      <c r="AJ36" s="288" t="s">
        <v>311</v>
      </c>
      <c r="AK36" s="324">
        <f t="shared" si="17"/>
        <v>0</v>
      </c>
      <c r="AL36" s="287">
        <f t="shared" si="7"/>
        <v>239.44</v>
      </c>
      <c r="AM36" s="287">
        <f t="shared" si="8"/>
        <v>685.72550000000001</v>
      </c>
      <c r="AN36" s="287">
        <f t="shared" si="9"/>
        <v>1541.4679999999998</v>
      </c>
      <c r="AO36" s="287">
        <f t="shared" si="10"/>
        <v>2397.6850000000004</v>
      </c>
      <c r="AP36" s="287">
        <f t="shared" si="11"/>
        <v>3253.9384999999993</v>
      </c>
      <c r="AQ36" s="287">
        <f t="shared" si="19"/>
        <v>4109.6809999999996</v>
      </c>
      <c r="AR36" s="287">
        <f t="shared" si="19"/>
        <v>4966.4089999999997</v>
      </c>
      <c r="AS36" s="287">
        <f t="shared" si="19"/>
        <v>5627.0590000000011</v>
      </c>
      <c r="AT36" s="287">
        <f t="shared" si="19"/>
        <v>6287.8185000000003</v>
      </c>
      <c r="AU36" s="287">
        <f t="shared" si="19"/>
        <v>6948.468499999999</v>
      </c>
      <c r="AV36" s="287">
        <f t="shared" si="19"/>
        <v>7609.1184999999987</v>
      </c>
      <c r="AW36" s="287">
        <f t="shared" si="19"/>
        <v>8270.6445000000003</v>
      </c>
      <c r="AX36" s="287">
        <f t="shared" si="19"/>
        <v>8598.5239999999994</v>
      </c>
      <c r="AY36" s="287">
        <f t="shared" si="19"/>
        <v>8687.7664999999997</v>
      </c>
      <c r="AZ36" s="287">
        <f t="shared" si="19"/>
        <v>8777.009</v>
      </c>
      <c r="BA36" s="287">
        <f t="shared" si="19"/>
        <v>8866.2515000000003</v>
      </c>
      <c r="BB36" s="287">
        <f t="shared" si="19"/>
        <v>8955.7495000000017</v>
      </c>
      <c r="BC36" s="287">
        <f t="shared" si="19"/>
        <v>9044.9920000000002</v>
      </c>
      <c r="BD36" s="287">
        <f t="shared" si="19"/>
        <v>9134.489999999998</v>
      </c>
      <c r="BE36" s="287">
        <f t="shared" si="19"/>
        <v>9223.7324999999983</v>
      </c>
      <c r="BF36" s="287">
        <f t="shared" si="18"/>
        <v>9312.9749999999985</v>
      </c>
      <c r="BG36" s="287">
        <f t="shared" si="18"/>
        <v>9402.4729999999981</v>
      </c>
      <c r="BH36" s="287">
        <f t="shared" si="18"/>
        <v>9491.7154999999984</v>
      </c>
      <c r="BI36" s="287">
        <f t="shared" si="18"/>
        <v>9580.9579999999987</v>
      </c>
      <c r="BJ36" s="333">
        <f t="shared" si="18"/>
        <v>9670.4559999999983</v>
      </c>
      <c r="BK36" s="400">
        <f>((0.33*'Traffic Data'!AK36)/Speed!X117)+((0.67*'Traffic Data'!AK36)/Speed!AX117)</f>
        <v>0</v>
      </c>
      <c r="BL36" s="401">
        <f>((0.33*AL36)/Speed!Y117)+((0.67*AL36)/Speed!AY117)</f>
        <v>5.8257907542579073</v>
      </c>
      <c r="BM36" s="401">
        <f>((0.33*AM36)/Speed!Z117)+((0.67*AM36)/Speed!AZ117)</f>
        <v>16.684318734793187</v>
      </c>
      <c r="BN36" s="401">
        <f>((0.33*AN36)/Speed!AA117)+((0.67*AN36)/Speed!BA117)</f>
        <v>37.505304136254715</v>
      </c>
      <c r="BO36" s="401">
        <f>((0.33*AO36)/Speed!AB117)+((0.67*AO36)/Speed!BB117)</f>
        <v>58.337834550095181</v>
      </c>
      <c r="BP36" s="401">
        <f>((0.33*AP36)/Speed!AC117)+((0.67*AP36)/Speed!BC117)</f>
        <v>79.171253047598313</v>
      </c>
      <c r="BQ36" s="401">
        <f>((0.33*AQ36)/Speed!AD117)+((0.67*AQ36)/Speed!BD117)</f>
        <v>99.992238524157443</v>
      </c>
      <c r="BR36" s="401">
        <f>((0.33*AR36)/Speed!AE117)+((0.67*AR36)/Speed!BE117)</f>
        <v>120.83720259938653</v>
      </c>
      <c r="BS36" s="401">
        <f>((0.33*AS36)/Speed!AF117)+((0.67*AS36)/Speed!BF117)</f>
        <v>136.91141377142031</v>
      </c>
      <c r="BT36" s="401">
        <f>((0.33*AT36)/Speed!AG117)+((0.67*AT36)/Speed!BG117)</f>
        <v>152.98829341915774</v>
      </c>
      <c r="BU36" s="401">
        <f>((0.33*AU36)/Speed!AH117)+((0.67*AU36)/Speed!BH117)</f>
        <v>169.06252016976228</v>
      </c>
      <c r="BV36" s="401">
        <f>((0.33*AV36)/Speed!AI117)+((0.67*AV36)/Speed!BI117)</f>
        <v>185.13677445956222</v>
      </c>
      <c r="BW36" s="401">
        <f>((0.33*AW36)/Speed!AJ117)+((0.67*AW36)/Speed!BJ117)</f>
        <v>201.23240464817127</v>
      </c>
      <c r="BX36" s="401">
        <f>((0.33*AX36)/Speed!AK117)+((0.67*AX36)/Speed!BK117)</f>
        <v>209.21010324548797</v>
      </c>
      <c r="BY36" s="401">
        <f>((0.33*AY36)/Speed!AL117)+((0.67*AY36)/Speed!BL117)</f>
        <v>211.38148651547192</v>
      </c>
      <c r="BZ36" s="401">
        <f>((0.33*AZ36)/Speed!AM117)+((0.67*AZ36)/Speed!BM117)</f>
        <v>213.55287334395385</v>
      </c>
      <c r="CA36" s="401">
        <f>((0.33*BA36)/Speed!AN117)+((0.67*BA36)/Speed!BN117)</f>
        <v>215.72426407471559</v>
      </c>
      <c r="CB36" s="401">
        <f>((0.33*BB36)/Speed!AO117)+((0.67*BB36)/Speed!BO117)</f>
        <v>217.90187575900316</v>
      </c>
      <c r="CC36" s="401">
        <f>((0.33*BC36)/Speed!AP117)+((0.67*BC36)/Speed!BP117)</f>
        <v>220.0732754552605</v>
      </c>
      <c r="CD36" s="401">
        <f>((0.33*BD36)/Speed!AQ117)+((0.67*BD36)/Speed!BQ117)</f>
        <v>222.25089697533238</v>
      </c>
      <c r="CE36" s="401">
        <f>((0.33*BE36)/Speed!AR117)+((0.67*BE36)/Speed!BR117)</f>
        <v>224.42230739107998</v>
      </c>
      <c r="CF36" s="401">
        <f>((0.33*BF36)/Speed!AS117)+((0.67*BF36)/Speed!BS117)</f>
        <v>226.59372390688935</v>
      </c>
      <c r="CG36" s="401">
        <f>((0.33*BG36)/Speed!AT117)+((0.67*BG36)/Speed!BT117)</f>
        <v>228.77136383845354</v>
      </c>
      <c r="CH36" s="401">
        <f>((0.33*BH36)/Speed!AU117)+((0.67*BH36)/Speed!BU117)</f>
        <v>230.94279427644213</v>
      </c>
      <c r="CI36" s="401">
        <f>((0.33*BI36)/Speed!AV117)+((0.67*BI36)/Speed!BV117)</f>
        <v>233.1142326078066</v>
      </c>
      <c r="CJ36" s="409">
        <f>((0.33*BJ36)/Speed!AW117)+((0.67*BJ36)/Speed!BW117)</f>
        <v>235.29189636054591</v>
      </c>
      <c r="CK36" s="1402"/>
      <c r="CL36" s="1402"/>
      <c r="CM36" s="1405"/>
      <c r="CN36" s="1399"/>
      <c r="DA36"/>
    </row>
    <row r="37" spans="2:105" ht="21.9" customHeight="1" x14ac:dyDescent="0.25">
      <c r="B37" s="900"/>
      <c r="C37" s="1370"/>
      <c r="D37" s="297" t="s">
        <v>321</v>
      </c>
      <c r="E37" s="297" t="s">
        <v>274</v>
      </c>
      <c r="F37" s="297" t="s">
        <v>352</v>
      </c>
      <c r="G37" s="298">
        <v>40</v>
      </c>
      <c r="H37" s="299">
        <v>1.05</v>
      </c>
      <c r="I37" s="292">
        <v>4</v>
      </c>
      <c r="J37" s="334">
        <f>'Trip Gen'!W122</f>
        <v>300</v>
      </c>
      <c r="K37" s="303">
        <f>'Trip Gen'!X122</f>
        <v>447.21</v>
      </c>
      <c r="L37" s="303">
        <f>'Trip Gen'!Y122</f>
        <v>629.64</v>
      </c>
      <c r="M37" s="303">
        <f>'Trip Gen'!Z122</f>
        <v>1090.82</v>
      </c>
      <c r="N37" s="303">
        <f>'Trip Gen'!AA122</f>
        <v>1552.05</v>
      </c>
      <c r="O37" s="303">
        <f>'Trip Gen'!AB122</f>
        <v>2013.5100000000002</v>
      </c>
      <c r="P37" s="303">
        <f>'Trip Gen'!AC122</f>
        <v>2474.69</v>
      </c>
      <c r="Q37" s="303">
        <f>'Trip Gen'!AD122</f>
        <v>2935.72</v>
      </c>
      <c r="R37" s="303">
        <f>'Trip Gen'!AE122</f>
        <v>4109.2299999999996</v>
      </c>
      <c r="S37" s="303">
        <f>'Trip Gen'!AF122</f>
        <v>5282.28</v>
      </c>
      <c r="T37" s="303">
        <f>'Trip Gen'!AG122</f>
        <v>6455.24</v>
      </c>
      <c r="U37" s="303">
        <f>'Trip Gen'!AH122</f>
        <v>7628.75</v>
      </c>
      <c r="V37" s="303">
        <f>'Trip Gen'!AI122</f>
        <v>8802.11</v>
      </c>
      <c r="W37" s="303">
        <f>'Trip Gen'!AJ122</f>
        <v>9696.52</v>
      </c>
      <c r="X37" s="303">
        <f>'Trip Gen'!AK122</f>
        <v>9843.73</v>
      </c>
      <c r="Y37" s="303">
        <f>'Trip Gen'!AL122</f>
        <v>9990.94</v>
      </c>
      <c r="Z37" s="303">
        <f>'Trip Gen'!AM122</f>
        <v>10138.15</v>
      </c>
      <c r="AA37" s="303">
        <f>'Trip Gen'!AN122</f>
        <v>10284.91</v>
      </c>
      <c r="AB37" s="303">
        <f>'Trip Gen'!AO122</f>
        <v>10432.120000000001</v>
      </c>
      <c r="AC37" s="303">
        <f>'Trip Gen'!AP122</f>
        <v>10578.880000000001</v>
      </c>
      <c r="AD37" s="303">
        <f>'Trip Gen'!AQ122</f>
        <v>10726.09</v>
      </c>
      <c r="AE37" s="303">
        <f>'Trip Gen'!AR122</f>
        <v>10873.300000000001</v>
      </c>
      <c r="AF37" s="303">
        <f>'Trip Gen'!AS122</f>
        <v>11020.06</v>
      </c>
      <c r="AG37" s="303">
        <f>'Trip Gen'!AT122</f>
        <v>11167.27</v>
      </c>
      <c r="AH37" s="303">
        <f>'Trip Gen'!AU122</f>
        <v>11314.48</v>
      </c>
      <c r="AI37" s="330">
        <f>'Trip Gen'!AV122</f>
        <v>11461.24</v>
      </c>
      <c r="AJ37" s="301">
        <f t="shared" ref="AJ37:AJ38" si="22">((AI37-J37)/J37)/25</f>
        <v>1.4881653333333333</v>
      </c>
      <c r="AK37" s="334">
        <f t="shared" si="17"/>
        <v>315</v>
      </c>
      <c r="AL37" s="303">
        <f t="shared" si="7"/>
        <v>469.57049999999998</v>
      </c>
      <c r="AM37" s="303">
        <f t="shared" si="8"/>
        <v>661.12199999999996</v>
      </c>
      <c r="AN37" s="303">
        <f t="shared" si="9"/>
        <v>1145.3609999999999</v>
      </c>
      <c r="AO37" s="303">
        <f t="shared" si="10"/>
        <v>1629.6524999999999</v>
      </c>
      <c r="AP37" s="303">
        <f t="shared" si="11"/>
        <v>2114.1855000000005</v>
      </c>
      <c r="AQ37" s="303">
        <f t="shared" si="19"/>
        <v>2598.4245000000001</v>
      </c>
      <c r="AR37" s="303">
        <f t="shared" si="19"/>
        <v>3082.5059999999999</v>
      </c>
      <c r="AS37" s="303">
        <f t="shared" si="19"/>
        <v>4314.6914999999999</v>
      </c>
      <c r="AT37" s="303">
        <f t="shared" si="19"/>
        <v>5546.3940000000002</v>
      </c>
      <c r="AU37" s="303">
        <f t="shared" si="19"/>
        <v>6778.0020000000004</v>
      </c>
      <c r="AV37" s="303">
        <f t="shared" si="19"/>
        <v>8010.1875</v>
      </c>
      <c r="AW37" s="303">
        <f t="shared" si="19"/>
        <v>9242.2155000000002</v>
      </c>
      <c r="AX37" s="303">
        <f t="shared" si="19"/>
        <v>10181.346000000001</v>
      </c>
      <c r="AY37" s="303">
        <f t="shared" si="19"/>
        <v>10335.916499999999</v>
      </c>
      <c r="AZ37" s="303">
        <f t="shared" si="19"/>
        <v>10490.487000000001</v>
      </c>
      <c r="BA37" s="303">
        <f t="shared" si="19"/>
        <v>10645.057500000001</v>
      </c>
      <c r="BB37" s="303">
        <f t="shared" si="19"/>
        <v>10799.155500000001</v>
      </c>
      <c r="BC37" s="303">
        <f t="shared" si="19"/>
        <v>10953.726000000001</v>
      </c>
      <c r="BD37" s="303">
        <f t="shared" si="19"/>
        <v>11107.824000000002</v>
      </c>
      <c r="BE37" s="303">
        <f t="shared" si="19"/>
        <v>11262.3945</v>
      </c>
      <c r="BF37" s="303">
        <f t="shared" si="18"/>
        <v>11416.965000000002</v>
      </c>
      <c r="BG37" s="303">
        <f t="shared" si="18"/>
        <v>11571.063</v>
      </c>
      <c r="BH37" s="303">
        <f t="shared" si="18"/>
        <v>11725.633500000002</v>
      </c>
      <c r="BI37" s="303">
        <f t="shared" si="18"/>
        <v>11880.204</v>
      </c>
      <c r="BJ37" s="330">
        <f t="shared" si="18"/>
        <v>12034.302</v>
      </c>
      <c r="BK37" s="403">
        <f>((0.33*'Traffic Data'!AK37)/Speed!X118)+((0.67*'Traffic Data'!AK37)/Speed!AX118)</f>
        <v>7.6642335766423351</v>
      </c>
      <c r="BL37" s="435">
        <f>((0.33*AL37)/Speed!Y118)+((0.67*AL37)/Speed!AY118)</f>
        <v>11.425072992700731</v>
      </c>
      <c r="BM37" s="435">
        <f>((0.33*AM37)/Speed!Z118)+((0.67*AM37)/Speed!AZ118)</f>
        <v>16.085693430656931</v>
      </c>
      <c r="BN37" s="435">
        <f>((0.33*AN37)/Speed!AA118)+((0.67*AN37)/Speed!BA118)</f>
        <v>27.86766423357664</v>
      </c>
      <c r="BO37" s="435">
        <f>((0.33*AO37)/Speed!AB118)+((0.67*AO37)/Speed!BB118)</f>
        <v>39.650912408759204</v>
      </c>
      <c r="BP37" s="435">
        <f>((0.33*AP37)/Speed!AC118)+((0.67*AP37)/Speed!BC118)</f>
        <v>51.440036496351809</v>
      </c>
      <c r="BQ37" s="435">
        <f>((0.33*AQ37)/Speed!AD118)+((0.67*AQ37)/Speed!BD118)</f>
        <v>63.222007299283923</v>
      </c>
      <c r="BR37" s="435">
        <f>((0.33*AR37)/Speed!AE118)+((0.67*AR37)/Speed!BE118)</f>
        <v>75.000145985492168</v>
      </c>
      <c r="BS37" s="435">
        <f>((0.33*AS37)/Speed!AF118)+((0.67*AS37)/Speed!BF118)</f>
        <v>104.9803284708191</v>
      </c>
      <c r="BT37" s="435">
        <f>((0.33*AT37)/Speed!AG118)+((0.67*AT37)/Speed!BG118)</f>
        <v>134.94875918214291</v>
      </c>
      <c r="BU37" s="435">
        <f>((0.33*AU37)/Speed!AH118)+((0.67*AU37)/Speed!BH118)</f>
        <v>164.91489103798841</v>
      </c>
      <c r="BV37" s="435">
        <f>((0.33*AV37)/Speed!AI118)+((0.67*AV37)/Speed!BI118)</f>
        <v>194.89507630244452</v>
      </c>
      <c r="BW37" s="435">
        <f>((0.33*AW37)/Speed!AJ118)+((0.67*AW37)/Speed!BJ118)</f>
        <v>224.87143932609368</v>
      </c>
      <c r="BX37" s="435">
        <f>((0.33*AX37)/Speed!AK118)+((0.67*AX37)/Speed!BK118)</f>
        <v>247.7213601688577</v>
      </c>
      <c r="BY37" s="435">
        <f>((0.33*AY37)/Speed!AL118)+((0.67*AY37)/Speed!BL118)</f>
        <v>251.48220793190256</v>
      </c>
      <c r="BZ37" s="435">
        <f>((0.33*AZ37)/Speed!AM118)+((0.67*AZ37)/Speed!BM118)</f>
        <v>255.24305704078219</v>
      </c>
      <c r="CA37" s="435">
        <f>((0.33*BA37)/Speed!AN118)+((0.67*BA37)/Speed!BN118)</f>
        <v>259.00390768817658</v>
      </c>
      <c r="CB37" s="435">
        <f>((0.33*BB37)/Speed!AO118)+((0.67*BB37)/Speed!BO118)</f>
        <v>262.75326369751338</v>
      </c>
      <c r="CC37" s="435">
        <f>((0.33*BC37)/Speed!AP118)+((0.67*BC37)/Speed!BP118)</f>
        <v>266.51411809128371</v>
      </c>
      <c r="CD37" s="435">
        <f>((0.33*BD37)/Speed!AQ118)+((0.67*BD37)/Speed!BQ118)</f>
        <v>270.26347834781723</v>
      </c>
      <c r="CE37" s="435">
        <f>((0.33*BE37)/Speed!AR118)+((0.67*BE37)/Speed!BR118)</f>
        <v>274.02433757740852</v>
      </c>
      <c r="CF37" s="435">
        <f>((0.33*BF37)/Speed!AS118)+((0.67*BF37)/Speed!BS118)</f>
        <v>277.785199721357</v>
      </c>
      <c r="CG37" s="435">
        <f>((0.33*BG37)/Speed!AT118)+((0.67*BG37)/Speed!BT118)</f>
        <v>281.53456872460293</v>
      </c>
      <c r="CH37" s="435">
        <f>((0.33*BH37)/Speed!AU118)+((0.67*BH37)/Speed!BU118)</f>
        <v>285.29543786956361</v>
      </c>
      <c r="CI37" s="435">
        <f>((0.33*BI37)/Speed!AV118)+((0.67*BI37)/Speed!BV118)</f>
        <v>289.05631120299051</v>
      </c>
      <c r="CJ37" s="436">
        <f>((0.33*BJ37)/Speed!AW118)+((0.67*BJ37)/Speed!BW118)</f>
        <v>292.80569277249839</v>
      </c>
      <c r="CK37" s="1403"/>
      <c r="CL37" s="1403"/>
      <c r="CM37" s="1406"/>
      <c r="CN37" s="1400"/>
      <c r="DA37"/>
    </row>
    <row r="38" spans="2:105" ht="21.9" customHeight="1" x14ac:dyDescent="0.25">
      <c r="B38" s="900"/>
      <c r="C38" s="284" t="s">
        <v>282</v>
      </c>
      <c r="D38" s="284" t="s">
        <v>308</v>
      </c>
      <c r="E38" s="284" t="s">
        <v>324</v>
      </c>
      <c r="F38" s="284" t="s">
        <v>353</v>
      </c>
      <c r="G38" s="285">
        <v>30</v>
      </c>
      <c r="H38" s="286">
        <v>1</v>
      </c>
      <c r="I38" s="285">
        <v>2</v>
      </c>
      <c r="J38" s="335">
        <f>'Trip Gen'!W120</f>
        <v>1800</v>
      </c>
      <c r="K38" s="325">
        <f>'Trip Gen'!X120</f>
        <v>1910.68</v>
      </c>
      <c r="L38" s="325">
        <f>'Trip Gen'!Y120</f>
        <v>2057.15</v>
      </c>
      <c r="M38" s="325">
        <f>'Trip Gen'!Z120</f>
        <v>2251.7999999999997</v>
      </c>
      <c r="N38" s="325">
        <f>'Trip Gen'!AA120</f>
        <v>2446.5099999999998</v>
      </c>
      <c r="O38" s="325">
        <f>'Trip Gen'!AB120</f>
        <v>2641.6400000000003</v>
      </c>
      <c r="P38" s="325">
        <f>'Trip Gen'!AC120</f>
        <v>2836.2899999999995</v>
      </c>
      <c r="Q38" s="325">
        <f>'Trip Gen'!AD120</f>
        <v>3031.1499999999996</v>
      </c>
      <c r="R38" s="325">
        <f>'Trip Gen'!AE120</f>
        <v>3208.83</v>
      </c>
      <c r="S38" s="325">
        <f>'Trip Gen'!AF120</f>
        <v>3386.36</v>
      </c>
      <c r="T38" s="325">
        <f>'Trip Gen'!AG120</f>
        <v>3564.0499999999997</v>
      </c>
      <c r="U38" s="325">
        <f>'Trip Gen'!AH120</f>
        <v>3741.73</v>
      </c>
      <c r="V38" s="325">
        <f>'Trip Gen'!AI120</f>
        <v>3920.04</v>
      </c>
      <c r="W38" s="325">
        <f>'Trip Gen'!AJ120</f>
        <v>4049.4</v>
      </c>
      <c r="X38" s="325">
        <f>'Trip Gen'!AK120</f>
        <v>4160.08</v>
      </c>
      <c r="Y38" s="325">
        <f>'Trip Gen'!AL120</f>
        <v>4270.7599999999993</v>
      </c>
      <c r="Z38" s="325">
        <f>'Trip Gen'!AM120</f>
        <v>4381.4399999999996</v>
      </c>
      <c r="AA38" s="325">
        <f>'Trip Gen'!AN120</f>
        <v>4492.24</v>
      </c>
      <c r="AB38" s="325">
        <f>'Trip Gen'!AO120</f>
        <v>4602.9199999999992</v>
      </c>
      <c r="AC38" s="325">
        <f>'Trip Gen'!AP120</f>
        <v>4713.87</v>
      </c>
      <c r="AD38" s="325">
        <f>'Trip Gen'!AQ120</f>
        <v>4824.5499999999993</v>
      </c>
      <c r="AE38" s="325">
        <f>'Trip Gen'!AR120</f>
        <v>4935.2299999999996</v>
      </c>
      <c r="AF38" s="325">
        <f>'Trip Gen'!AS120</f>
        <v>5046.0299999999988</v>
      </c>
      <c r="AG38" s="325">
        <f>'Trip Gen'!AT120</f>
        <v>5156.71</v>
      </c>
      <c r="AH38" s="325">
        <f>'Trip Gen'!AU120</f>
        <v>5267.3899999999994</v>
      </c>
      <c r="AI38" s="326">
        <f>'Trip Gen'!AV120</f>
        <v>5378.3399999999992</v>
      </c>
      <c r="AJ38" s="288">
        <f t="shared" si="22"/>
        <v>7.9518666666666654E-2</v>
      </c>
      <c r="AK38" s="335">
        <f t="shared" si="17"/>
        <v>1800</v>
      </c>
      <c r="AL38" s="325">
        <f t="shared" si="7"/>
        <v>1910.68</v>
      </c>
      <c r="AM38" s="325">
        <f t="shared" si="8"/>
        <v>2057.15</v>
      </c>
      <c r="AN38" s="325">
        <f t="shared" si="9"/>
        <v>2251.7999999999997</v>
      </c>
      <c r="AO38" s="325">
        <f t="shared" si="10"/>
        <v>2446.5099999999998</v>
      </c>
      <c r="AP38" s="325">
        <f t="shared" si="11"/>
        <v>2641.6400000000003</v>
      </c>
      <c r="AQ38" s="325">
        <f t="shared" si="19"/>
        <v>2836.2899999999995</v>
      </c>
      <c r="AR38" s="325">
        <f t="shared" si="19"/>
        <v>3031.1499999999996</v>
      </c>
      <c r="AS38" s="325">
        <f t="shared" si="19"/>
        <v>3208.83</v>
      </c>
      <c r="AT38" s="325">
        <f t="shared" si="19"/>
        <v>3386.36</v>
      </c>
      <c r="AU38" s="325">
        <f t="shared" si="19"/>
        <v>3564.0499999999997</v>
      </c>
      <c r="AV38" s="325">
        <f t="shared" si="19"/>
        <v>3741.73</v>
      </c>
      <c r="AW38" s="325">
        <f t="shared" si="19"/>
        <v>3920.04</v>
      </c>
      <c r="AX38" s="325">
        <f t="shared" si="19"/>
        <v>4049.4</v>
      </c>
      <c r="AY38" s="325">
        <f t="shared" si="19"/>
        <v>4160.08</v>
      </c>
      <c r="AZ38" s="325">
        <f t="shared" si="19"/>
        <v>4270.7599999999993</v>
      </c>
      <c r="BA38" s="325">
        <f t="shared" si="19"/>
        <v>4381.4399999999996</v>
      </c>
      <c r="BB38" s="325">
        <f t="shared" si="19"/>
        <v>4492.24</v>
      </c>
      <c r="BC38" s="325">
        <f t="shared" si="19"/>
        <v>4602.9199999999992</v>
      </c>
      <c r="BD38" s="325">
        <f t="shared" si="19"/>
        <v>4713.87</v>
      </c>
      <c r="BE38" s="325">
        <f t="shared" si="19"/>
        <v>4824.5499999999993</v>
      </c>
      <c r="BF38" s="325">
        <f t="shared" si="18"/>
        <v>4935.2299999999996</v>
      </c>
      <c r="BG38" s="325">
        <f t="shared" si="18"/>
        <v>5046.0299999999988</v>
      </c>
      <c r="BH38" s="325">
        <f t="shared" si="18"/>
        <v>5156.71</v>
      </c>
      <c r="BI38" s="325">
        <f t="shared" si="18"/>
        <v>5267.3899999999994</v>
      </c>
      <c r="BJ38" s="326">
        <f t="shared" si="18"/>
        <v>5378.3399999999992</v>
      </c>
      <c r="BK38" s="404">
        <f>((0.33*'Traffic Data'!AK38)/Speed!X119)+((0.67*'Traffic Data'!AK38)/Speed!AX119)</f>
        <v>64.748204072359712</v>
      </c>
      <c r="BL38" s="437">
        <f>((0.33*AL38)/Speed!Y119)+((0.67*AL38)/Speed!AY119)</f>
        <v>68.729501479819135</v>
      </c>
      <c r="BM38" s="437">
        <f>((0.33*AM38)/Speed!Z119)+((0.67*AM38)/Speed!AZ119)</f>
        <v>73.998212879736201</v>
      </c>
      <c r="BN38" s="437">
        <f>((0.33*AN38)/Speed!AA119)+((0.67*AN38)/Speed!BA119)</f>
        <v>81.00003092869774</v>
      </c>
      <c r="BO38" s="437">
        <f>((0.33*AO38)/Speed!AB119)+((0.67*AO38)/Speed!BB119)</f>
        <v>88.004033845188573</v>
      </c>
      <c r="BP38" s="437">
        <f>((0.33*AP38)/Speed!AC119)+((0.67*AP38)/Speed!BC119)</f>
        <v>95.02320070270504</v>
      </c>
      <c r="BQ38" s="437">
        <f>((0.33*AQ38)/Speed!AD119)+((0.67*AQ38)/Speed!BD119)</f>
        <v>102.02521169746962</v>
      </c>
      <c r="BR38" s="437">
        <f>((0.33*AR38)/Speed!AE119)+((0.67*AR38)/Speed!BE119)</f>
        <v>109.0349858969395</v>
      </c>
      <c r="BS38" s="437">
        <f>((0.33*AS38)/Speed!AF119)+((0.67*AS38)/Speed!BF119)</f>
        <v>115.42706133660177</v>
      </c>
      <c r="BT38" s="437">
        <f>((0.33*AT38)/Speed!AG119)+((0.67*AT38)/Speed!BG119)</f>
        <v>121.8142624795331</v>
      </c>
      <c r="BU38" s="437">
        <f>((0.33*AU38)/Speed!AH119)+((0.67*AU38)/Speed!BH119)</f>
        <v>128.20806707063016</v>
      </c>
      <c r="BV38" s="437">
        <f>((0.33*AV38)/Speed!AI119)+((0.67*AV38)/Speed!BI119)</f>
        <v>134.6028519992222</v>
      </c>
      <c r="BW38" s="437">
        <f>((0.33*AW38)/Speed!AJ119)+((0.67*AW38)/Speed!BJ119)</f>
        <v>141.02239664801937</v>
      </c>
      <c r="BX38" s="437">
        <f>((0.33*AX38)/Speed!AK119)+((0.67*AX38)/Speed!BK119)</f>
        <v>145.68154181006008</v>
      </c>
      <c r="BY38" s="437">
        <f>((0.33*AY38)/Speed!AL119)+((0.67*AY38)/Speed!BL119)</f>
        <v>149.66962940820338</v>
      </c>
      <c r="BZ38" s="437">
        <f>((0.33*AZ38)/Speed!AM119)+((0.67*AZ38)/Speed!BM119)</f>
        <v>153.65978630220158</v>
      </c>
      <c r="CA38" s="437">
        <f>((0.33*BA38)/Speed!AN119)+((0.67*BA38)/Speed!BN119)</f>
        <v>157.65256356245285</v>
      </c>
      <c r="CB38" s="437">
        <f>((0.33*BB38)/Speed!AO119)+((0.67*BB38)/Speed!BO119)</f>
        <v>161.65297369400625</v>
      </c>
      <c r="CC38" s="437">
        <f>((0.33*BC38)/Speed!AP119)+((0.67*BC38)/Speed!BP119)</f>
        <v>165.6531818830378</v>
      </c>
      <c r="CD38" s="437">
        <f>((0.33*BD38)/Speed!AQ119)+((0.67*BD38)/Speed!BQ119)</f>
        <v>169.66830714901798</v>
      </c>
      <c r="CE38" s="437">
        <f>((0.33*BE38)/Speed!AR119)+((0.67*BE38)/Speed!BR119)</f>
        <v>173.68003472085121</v>
      </c>
      <c r="CF38" s="437">
        <f>((0.33*BF38)/Speed!AS119)+((0.67*BF38)/Speed!BS119)</f>
        <v>177.69960649715389</v>
      </c>
      <c r="CG38" s="437">
        <f>((0.33*BG38)/Speed!AT119)+((0.67*BG38)/Speed!BT119)</f>
        <v>181.73317200443176</v>
      </c>
      <c r="CH38" s="437">
        <f>((0.33*BH38)/Speed!AU119)+((0.67*BH38)/Speed!BU119)</f>
        <v>185.77412001718218</v>
      </c>
      <c r="CI38" s="437">
        <f>((0.33*BI38)/Speed!AV119)+((0.67*BI38)/Speed!BV119)</f>
        <v>189.82934451690102</v>
      </c>
      <c r="CJ38" s="438">
        <f>((0.33*BJ38)/Speed!AW119)+((0.67*BJ38)/Speed!BW119)</f>
        <v>193.91180896010025</v>
      </c>
      <c r="CK38" s="289">
        <f>Inputs!$I$35</f>
        <v>0.2</v>
      </c>
      <c r="CL38" s="289">
        <f>Inputs!$I$36</f>
        <v>0.8</v>
      </c>
      <c r="CM38" s="310">
        <f>1/(1+CK38)</f>
        <v>0.83333333333333337</v>
      </c>
      <c r="CN38" s="291">
        <v>0.88</v>
      </c>
      <c r="DA38"/>
    </row>
    <row r="39" spans="2:105" ht="21.9" customHeight="1" x14ac:dyDescent="0.25">
      <c r="B39" s="900"/>
      <c r="C39" s="304" t="s">
        <v>321</v>
      </c>
      <c r="D39" s="304" t="s">
        <v>318</v>
      </c>
      <c r="E39" s="304" t="s">
        <v>308</v>
      </c>
      <c r="F39" s="304" t="s">
        <v>354</v>
      </c>
      <c r="G39" s="305">
        <v>40</v>
      </c>
      <c r="H39" s="306">
        <v>1.58</v>
      </c>
      <c r="I39" s="305">
        <v>0</v>
      </c>
      <c r="J39" s="336">
        <f>'Trip Gen'!W123</f>
        <v>0</v>
      </c>
      <c r="K39" s="307">
        <f>'Trip Gen'!X123</f>
        <v>0</v>
      </c>
      <c r="L39" s="307">
        <f>'Trip Gen'!Y123</f>
        <v>0</v>
      </c>
      <c r="M39" s="307">
        <f>'Trip Gen'!Z123</f>
        <v>0</v>
      </c>
      <c r="N39" s="307">
        <f>'Trip Gen'!AA123</f>
        <v>0</v>
      </c>
      <c r="O39" s="307">
        <f>'Trip Gen'!AB123</f>
        <v>0</v>
      </c>
      <c r="P39" s="307">
        <f>'Trip Gen'!AC123</f>
        <v>0</v>
      </c>
      <c r="Q39" s="307">
        <f>'Trip Gen'!AD123</f>
        <v>0</v>
      </c>
      <c r="R39" s="307">
        <f>'Trip Gen'!AE123</f>
        <v>0</v>
      </c>
      <c r="S39" s="307">
        <f>'Trip Gen'!AF123</f>
        <v>0</v>
      </c>
      <c r="T39" s="307">
        <f>'Trip Gen'!AG123</f>
        <v>0</v>
      </c>
      <c r="U39" s="307">
        <f>'Trip Gen'!AH123</f>
        <v>0</v>
      </c>
      <c r="V39" s="307">
        <f>'Trip Gen'!AI123</f>
        <v>0</v>
      </c>
      <c r="W39" s="307">
        <f>'Trip Gen'!AJ123</f>
        <v>0</v>
      </c>
      <c r="X39" s="307">
        <f>'Trip Gen'!AK123</f>
        <v>0</v>
      </c>
      <c r="Y39" s="307">
        <f>'Trip Gen'!AL123</f>
        <v>0</v>
      </c>
      <c r="Z39" s="307">
        <f>'Trip Gen'!AM123</f>
        <v>0</v>
      </c>
      <c r="AA39" s="307">
        <f>'Trip Gen'!AN123</f>
        <v>0</v>
      </c>
      <c r="AB39" s="307">
        <f>'Trip Gen'!AO123</f>
        <v>0</v>
      </c>
      <c r="AC39" s="307">
        <f>'Trip Gen'!AP123</f>
        <v>0</v>
      </c>
      <c r="AD39" s="307">
        <f>'Trip Gen'!AQ123</f>
        <v>0</v>
      </c>
      <c r="AE39" s="307">
        <f>'Trip Gen'!AR123</f>
        <v>0</v>
      </c>
      <c r="AF39" s="307">
        <f>'Trip Gen'!AS123</f>
        <v>0</v>
      </c>
      <c r="AG39" s="307">
        <f>'Trip Gen'!AT123</f>
        <v>0</v>
      </c>
      <c r="AH39" s="307">
        <f>'Trip Gen'!AU123</f>
        <v>0</v>
      </c>
      <c r="AI39" s="337">
        <f>'Trip Gen'!AV123</f>
        <v>0</v>
      </c>
      <c r="AJ39" s="308" t="s">
        <v>311</v>
      </c>
      <c r="AK39" s="336">
        <f t="shared" ref="AK39:AK45" si="23">$H39*J39</f>
        <v>0</v>
      </c>
      <c r="AL39" s="307">
        <f t="shared" si="7"/>
        <v>0</v>
      </c>
      <c r="AM39" s="307">
        <f t="shared" si="8"/>
        <v>0</v>
      </c>
      <c r="AN39" s="307">
        <f t="shared" si="9"/>
        <v>0</v>
      </c>
      <c r="AO39" s="307">
        <f t="shared" si="10"/>
        <v>0</v>
      </c>
      <c r="AP39" s="307">
        <f t="shared" si="11"/>
        <v>0</v>
      </c>
      <c r="AQ39" s="307">
        <f t="shared" si="19"/>
        <v>0</v>
      </c>
      <c r="AR39" s="307">
        <f t="shared" si="19"/>
        <v>0</v>
      </c>
      <c r="AS39" s="307">
        <f t="shared" si="19"/>
        <v>0</v>
      </c>
      <c r="AT39" s="307">
        <f t="shared" si="19"/>
        <v>0</v>
      </c>
      <c r="AU39" s="307">
        <f t="shared" si="19"/>
        <v>0</v>
      </c>
      <c r="AV39" s="307">
        <f t="shared" si="19"/>
        <v>0</v>
      </c>
      <c r="AW39" s="307">
        <f t="shared" si="19"/>
        <v>0</v>
      </c>
      <c r="AX39" s="307">
        <f t="shared" si="19"/>
        <v>0</v>
      </c>
      <c r="AY39" s="307">
        <f t="shared" si="19"/>
        <v>0</v>
      </c>
      <c r="AZ39" s="307">
        <f t="shared" si="19"/>
        <v>0</v>
      </c>
      <c r="BA39" s="307">
        <f t="shared" si="19"/>
        <v>0</v>
      </c>
      <c r="BB39" s="307">
        <f t="shared" si="19"/>
        <v>0</v>
      </c>
      <c r="BC39" s="307">
        <f t="shared" si="19"/>
        <v>0</v>
      </c>
      <c r="BD39" s="307">
        <f t="shared" si="19"/>
        <v>0</v>
      </c>
      <c r="BE39" s="307">
        <f t="shared" si="19"/>
        <v>0</v>
      </c>
      <c r="BF39" s="307">
        <f t="shared" si="18"/>
        <v>0</v>
      </c>
      <c r="BG39" s="307">
        <f t="shared" si="18"/>
        <v>0</v>
      </c>
      <c r="BH39" s="307">
        <f t="shared" si="18"/>
        <v>0</v>
      </c>
      <c r="BI39" s="307">
        <f t="shared" si="18"/>
        <v>0</v>
      </c>
      <c r="BJ39" s="337">
        <f t="shared" si="18"/>
        <v>0</v>
      </c>
      <c r="BK39" s="400" t="e">
        <f>((0.33*'Traffic Data'!AK39)/Speed!X120)+((0.67*'Traffic Data'!AK39)/Speed!AX120)</f>
        <v>#DIV/0!</v>
      </c>
      <c r="BL39" s="401" t="e">
        <f>((0.33*AL39)/Speed!Y120)+((0.67*AL39)/Speed!AY120)</f>
        <v>#DIV/0!</v>
      </c>
      <c r="BM39" s="401" t="e">
        <f>((0.33*AM39)/Speed!Z120)+((0.67*AM39)/Speed!AZ120)</f>
        <v>#DIV/0!</v>
      </c>
      <c r="BN39" s="401" t="e">
        <f>((0.33*AN39)/Speed!AA120)+((0.67*AN39)/Speed!BA120)</f>
        <v>#DIV/0!</v>
      </c>
      <c r="BO39" s="401" t="e">
        <f>((0.33*AO39)/Speed!AB120)+((0.67*AO39)/Speed!BB120)</f>
        <v>#DIV/0!</v>
      </c>
      <c r="BP39" s="401" t="e">
        <f>((0.33*AP39)/Speed!AC120)+((0.67*AP39)/Speed!BC120)</f>
        <v>#DIV/0!</v>
      </c>
      <c r="BQ39" s="401" t="e">
        <f>((0.33*AQ39)/Speed!AD120)+((0.67*AQ39)/Speed!BD120)</f>
        <v>#DIV/0!</v>
      </c>
      <c r="BR39" s="401" t="e">
        <f>((0.33*AR39)/Speed!AE120)+((0.67*AR39)/Speed!BE120)</f>
        <v>#DIV/0!</v>
      </c>
      <c r="BS39" s="401" t="e">
        <f>((0.33*AS39)/Speed!AF120)+((0.67*AS39)/Speed!BF120)</f>
        <v>#DIV/0!</v>
      </c>
      <c r="BT39" s="401" t="e">
        <f>((0.33*AT39)/Speed!AG120)+((0.67*AT39)/Speed!BG120)</f>
        <v>#DIV/0!</v>
      </c>
      <c r="BU39" s="401" t="e">
        <f>((0.33*AU39)/Speed!AH120)+((0.67*AU39)/Speed!BH120)</f>
        <v>#DIV/0!</v>
      </c>
      <c r="BV39" s="401" t="e">
        <f>((0.33*AV39)/Speed!AI120)+((0.67*AV39)/Speed!BI120)</f>
        <v>#DIV/0!</v>
      </c>
      <c r="BW39" s="401" t="e">
        <f>((0.33*AW39)/Speed!AJ120)+((0.67*AW39)/Speed!BJ120)</f>
        <v>#DIV/0!</v>
      </c>
      <c r="BX39" s="401" t="e">
        <f>((0.33*AX39)/Speed!AK120)+((0.67*AX39)/Speed!BK120)</f>
        <v>#DIV/0!</v>
      </c>
      <c r="BY39" s="401" t="e">
        <f>((0.33*AY39)/Speed!AL120)+((0.67*AY39)/Speed!BL120)</f>
        <v>#DIV/0!</v>
      </c>
      <c r="BZ39" s="401" t="e">
        <f>((0.33*AZ39)/Speed!AM120)+((0.67*AZ39)/Speed!BM120)</f>
        <v>#DIV/0!</v>
      </c>
      <c r="CA39" s="401" t="e">
        <f>((0.33*BA39)/Speed!AN120)+((0.67*BA39)/Speed!BN120)</f>
        <v>#DIV/0!</v>
      </c>
      <c r="CB39" s="401" t="e">
        <f>((0.33*BB39)/Speed!AO120)+((0.67*BB39)/Speed!BO120)</f>
        <v>#DIV/0!</v>
      </c>
      <c r="CC39" s="401" t="e">
        <f>((0.33*BC39)/Speed!AP120)+((0.67*BC39)/Speed!BP120)</f>
        <v>#DIV/0!</v>
      </c>
      <c r="CD39" s="401" t="e">
        <f>((0.33*BD39)/Speed!AQ120)+((0.67*BD39)/Speed!BQ120)</f>
        <v>#DIV/0!</v>
      </c>
      <c r="CE39" s="401" t="e">
        <f>((0.33*BE39)/Speed!AR120)+((0.67*BE39)/Speed!BR120)</f>
        <v>#DIV/0!</v>
      </c>
      <c r="CF39" s="401" t="e">
        <f>((0.33*BF39)/Speed!AS120)+((0.67*BF39)/Speed!BS120)</f>
        <v>#DIV/0!</v>
      </c>
      <c r="CG39" s="401" t="e">
        <f>((0.33*BG39)/Speed!AT120)+((0.67*BG39)/Speed!BT120)</f>
        <v>#DIV/0!</v>
      </c>
      <c r="CH39" s="401" t="e">
        <f>((0.33*BH39)/Speed!AU120)+((0.67*BH39)/Speed!BU120)</f>
        <v>#DIV/0!</v>
      </c>
      <c r="CI39" s="401" t="e">
        <f>((0.33*BI39)/Speed!AV120)+((0.67*BI39)/Speed!BV120)</f>
        <v>#DIV/0!</v>
      </c>
      <c r="CJ39" s="409" t="e">
        <f>((0.33*BJ39)/Speed!AW120)+((0.67*BJ39)/Speed!BW120)</f>
        <v>#DIV/0!</v>
      </c>
      <c r="CK39" s="309">
        <f>Inputs!$J$35</f>
        <v>0.2</v>
      </c>
      <c r="CL39" s="309">
        <f>Inputs!$J$36</f>
        <v>0.8</v>
      </c>
      <c r="CM39" s="310">
        <f t="shared" ref="CM39:CM40" si="24">1/(1+CK39)</f>
        <v>0.83333333333333337</v>
      </c>
      <c r="CN39" s="311">
        <v>0.88</v>
      </c>
      <c r="DA39"/>
    </row>
    <row r="40" spans="2:105" ht="21.9" customHeight="1" x14ac:dyDescent="0.25">
      <c r="B40" s="900"/>
      <c r="C40" s="304" t="s">
        <v>333</v>
      </c>
      <c r="D40" s="304" t="s">
        <v>319</v>
      </c>
      <c r="E40" s="304" t="s">
        <v>308</v>
      </c>
      <c r="F40" s="304" t="s">
        <v>358</v>
      </c>
      <c r="G40" s="305">
        <v>30</v>
      </c>
      <c r="H40" s="306">
        <f>4896/foottomile</f>
        <v>0.92727272727272725</v>
      </c>
      <c r="I40" s="305">
        <v>2</v>
      </c>
      <c r="J40" s="336">
        <f>'Trip Gen'!W119</f>
        <v>3600</v>
      </c>
      <c r="K40" s="312">
        <f>'Trip Gen'!X119</f>
        <v>3649.43</v>
      </c>
      <c r="L40" s="312">
        <f>'Trip Gen'!Y119</f>
        <v>3734.87</v>
      </c>
      <c r="M40" s="312">
        <f>'Trip Gen'!Z119</f>
        <v>3852.1700000000005</v>
      </c>
      <c r="N40" s="312">
        <f>'Trip Gen'!AA119</f>
        <v>3969.52</v>
      </c>
      <c r="O40" s="312">
        <f>'Trip Gen'!AB119</f>
        <v>4087.0399999999995</v>
      </c>
      <c r="P40" s="312">
        <f>'Trip Gen'!AC119</f>
        <v>4204.34</v>
      </c>
      <c r="Q40" s="312">
        <f>'Trip Gen'!AD119</f>
        <v>4322.05</v>
      </c>
      <c r="R40" s="312">
        <f>'Trip Gen'!AE119</f>
        <v>4403.68</v>
      </c>
      <c r="S40" s="312">
        <f>'Trip Gen'!AF119</f>
        <v>4485.32</v>
      </c>
      <c r="T40" s="312">
        <f>'Trip Gen'!AG119</f>
        <v>4566.97</v>
      </c>
      <c r="U40" s="312">
        <f>'Trip Gen'!AH119</f>
        <v>4648.6000000000004</v>
      </c>
      <c r="V40" s="312">
        <f>'Trip Gen'!AI119</f>
        <v>4730.8099999999995</v>
      </c>
      <c r="W40" s="312">
        <f>'Trip Gen'!AJ119</f>
        <v>4780.24</v>
      </c>
      <c r="X40" s="312">
        <f>'Trip Gen'!AK119</f>
        <v>4829.6699999999992</v>
      </c>
      <c r="Y40" s="312">
        <f>'Trip Gen'!AL119</f>
        <v>4879.1000000000004</v>
      </c>
      <c r="Z40" s="312">
        <f>'Trip Gen'!AM119</f>
        <v>4928.5299999999988</v>
      </c>
      <c r="AA40" s="312">
        <f>'Trip Gen'!AN119</f>
        <v>4978.3</v>
      </c>
      <c r="AB40" s="312">
        <f>'Trip Gen'!AO119</f>
        <v>5027.7299999999996</v>
      </c>
      <c r="AC40" s="312">
        <f>'Trip Gen'!AP119</f>
        <v>5077.3500000000004</v>
      </c>
      <c r="AD40" s="312">
        <f>'Trip Gen'!AQ119</f>
        <v>5126.78</v>
      </c>
      <c r="AE40" s="312">
        <f>'Trip Gen'!AR119</f>
        <v>5176.2100000000009</v>
      </c>
      <c r="AF40" s="312">
        <f>'Trip Gen'!AS119</f>
        <v>5225.9800000000005</v>
      </c>
      <c r="AG40" s="312">
        <f>'Trip Gen'!AT119</f>
        <v>5275.4100000000008</v>
      </c>
      <c r="AH40" s="312">
        <f>'Trip Gen'!AU119</f>
        <v>5324.84</v>
      </c>
      <c r="AI40" s="338">
        <f>'Trip Gen'!AV119</f>
        <v>5374.46</v>
      </c>
      <c r="AJ40" s="308">
        <f t="shared" ref="AJ40:AJ54" si="25">((AI40-J40)/J40)/25</f>
        <v>1.9716222222222222E-2</v>
      </c>
      <c r="AK40" s="336">
        <f t="shared" si="23"/>
        <v>3338.181818181818</v>
      </c>
      <c r="AL40" s="312">
        <f t="shared" si="7"/>
        <v>3384.0169090909089</v>
      </c>
      <c r="AM40" s="312">
        <f t="shared" si="8"/>
        <v>3463.2430909090908</v>
      </c>
      <c r="AN40" s="312">
        <f t="shared" si="9"/>
        <v>3572.0121818181824</v>
      </c>
      <c r="AO40" s="312">
        <f t="shared" si="10"/>
        <v>3680.8276363636364</v>
      </c>
      <c r="AP40" s="312">
        <f t="shared" si="11"/>
        <v>3789.8007272727268</v>
      </c>
      <c r="AQ40" s="312">
        <f t="shared" si="19"/>
        <v>3898.5698181818184</v>
      </c>
      <c r="AR40" s="312">
        <f t="shared" si="19"/>
        <v>4007.7190909090909</v>
      </c>
      <c r="AS40" s="312">
        <f t="shared" si="19"/>
        <v>4083.4123636363638</v>
      </c>
      <c r="AT40" s="312">
        <f t="shared" si="19"/>
        <v>4159.1149090909084</v>
      </c>
      <c r="AU40" s="312">
        <f t="shared" si="19"/>
        <v>4234.8267272727271</v>
      </c>
      <c r="AV40" s="312">
        <f t="shared" si="19"/>
        <v>4310.5200000000004</v>
      </c>
      <c r="AW40" s="312">
        <f t="shared" si="19"/>
        <v>4386.7510909090906</v>
      </c>
      <c r="AX40" s="312">
        <f t="shared" si="19"/>
        <v>4432.5861818181811</v>
      </c>
      <c r="AY40" s="312">
        <f t="shared" si="19"/>
        <v>4478.4212727272716</v>
      </c>
      <c r="AZ40" s="312">
        <f t="shared" si="19"/>
        <v>4524.2563636363639</v>
      </c>
      <c r="BA40" s="312">
        <f t="shared" si="19"/>
        <v>4570.0914545454534</v>
      </c>
      <c r="BB40" s="312">
        <f t="shared" si="19"/>
        <v>4616.2418181818184</v>
      </c>
      <c r="BC40" s="312">
        <f t="shared" si="19"/>
        <v>4662.0769090909089</v>
      </c>
      <c r="BD40" s="312">
        <f t="shared" si="19"/>
        <v>4708.0881818181824</v>
      </c>
      <c r="BE40" s="312">
        <f t="shared" si="19"/>
        <v>4753.923272727272</v>
      </c>
      <c r="BF40" s="312">
        <f t="shared" si="18"/>
        <v>4799.7583636363643</v>
      </c>
      <c r="BG40" s="312">
        <f t="shared" si="18"/>
        <v>4845.9087272727274</v>
      </c>
      <c r="BH40" s="312">
        <f t="shared" si="18"/>
        <v>4891.7438181818188</v>
      </c>
      <c r="BI40" s="312">
        <f t="shared" si="18"/>
        <v>4937.5789090909093</v>
      </c>
      <c r="BJ40" s="338">
        <f t="shared" si="18"/>
        <v>4983.5901818181819</v>
      </c>
      <c r="BK40" s="404">
        <f>((0.33*'Traffic Data'!AK40)/Speed!X121)+((0.67*'Traffic Data'!AK40)/Speed!AX121)</f>
        <v>104.64955645778389</v>
      </c>
      <c r="BL40" s="437">
        <f>((0.33*AL40)/Speed!Y121)+((0.67*AL40)/Speed!AY121)</f>
        <v>106.08709853493662</v>
      </c>
      <c r="BM40" s="437">
        <f>((0.33*AM40)/Speed!Z121)+((0.67*AM40)/Speed!AZ121)</f>
        <v>108.57214586454704</v>
      </c>
      <c r="BN40" s="437">
        <f>((0.33*AN40)/Speed!AA121)+((0.67*AN40)/Speed!BA121)</f>
        <v>111.98448170079229</v>
      </c>
      <c r="BO40" s="437">
        <f>((0.33*AO40)/Speed!AB121)+((0.67*AO40)/Speed!BB121)</f>
        <v>115.39921406114266</v>
      </c>
      <c r="BP40" s="437">
        <f>((0.33*AP40)/Speed!AC121)+((0.67*AP40)/Speed!BC121)</f>
        <v>118.82012993036895</v>
      </c>
      <c r="BQ40" s="437">
        <f>((0.33*AQ40)/Speed!AD121)+((0.67*AQ40)/Speed!BD121)</f>
        <v>122.2362455738577</v>
      </c>
      <c r="BR40" s="437">
        <f>((0.33*AR40)/Speed!AE121)+((0.67*AR40)/Speed!BE121)</f>
        <v>125.66637986724388</v>
      </c>
      <c r="BS40" s="437">
        <f>((0.33*AS40)/Speed!AF121)+((0.67*AS40)/Speed!BF121)</f>
        <v>128.04664900068963</v>
      </c>
      <c r="BT40" s="437">
        <f>((0.33*AT40)/Speed!AG121)+((0.67*AT40)/Speed!BG121)</f>
        <v>130.42872468443366</v>
      </c>
      <c r="BU40" s="437">
        <f>((0.33*AU40)/Speed!AH121)+((0.67*AU40)/Speed!BH121)</f>
        <v>132.81287980007198</v>
      </c>
      <c r="BV40" s="437">
        <f>((0.33*AV40)/Speed!AI121)+((0.67*AV40)/Speed!BI121)</f>
        <v>135.19855287834918</v>
      </c>
      <c r="BW40" s="437">
        <f>((0.33*AW40)/Speed!AJ121)+((0.67*AW40)/Speed!BJ121)</f>
        <v>137.60366887671296</v>
      </c>
      <c r="BX40" s="437">
        <f>((0.33*AX40)/Speed!AK121)+((0.67*AX40)/Speed!BK121)</f>
        <v>139.05116039348516</v>
      </c>
      <c r="BY40" s="437">
        <f>((0.33*AY40)/Speed!AL121)+((0.67*AY40)/Speed!BL121)</f>
        <v>140.49981247205523</v>
      </c>
      <c r="BZ40" s="437">
        <f>((0.33*AZ40)/Speed!AM121)+((0.67*AZ40)/Speed!BM121)</f>
        <v>141.9497377679692</v>
      </c>
      <c r="CA40" s="437">
        <f>((0.33*BA40)/Speed!AN121)+((0.67*BA40)/Speed!BN121)</f>
        <v>143.40105845966994</v>
      </c>
      <c r="CB40" s="437">
        <f>((0.33*BB40)/Speed!AO121)+((0.67*BB40)/Speed!BO121)</f>
        <v>144.86390594762008</v>
      </c>
      <c r="CC40" s="437">
        <f>((0.33*BC40)/Speed!AP121)+((0.67*BC40)/Speed!BP121)</f>
        <v>146.31843799366482</v>
      </c>
      <c r="CD40" s="437">
        <f>((0.33*BD40)/Speed!AQ121)+((0.67*BD40)/Speed!BQ121)</f>
        <v>147.78039974360837</v>
      </c>
      <c r="CE40" s="437">
        <f>((0.33*BE40)/Speed!AR121)+((0.67*BE40)/Speed!BR121)</f>
        <v>149.23876400027706</v>
      </c>
      <c r="CF40" s="437">
        <f>((0.33*BF40)/Speed!AS121)+((0.67*BF40)/Speed!BS121)</f>
        <v>150.69930705352868</v>
      </c>
      <c r="CG40" s="437">
        <f>((0.33*BG40)/Speed!AT121)+((0.67*BG40)/Speed!BT121)</f>
        <v>152.17229666235184</v>
      </c>
      <c r="CH40" s="437">
        <f>((0.33*BH40)/Speed!AU121)+((0.67*BH40)/Speed!BU121)</f>
        <v>153.63782096527862</v>
      </c>
      <c r="CI40" s="437">
        <f>((0.33*BI40)/Speed!AV121)+((0.67*BI40)/Speed!BV121)</f>
        <v>155.10616304709134</v>
      </c>
      <c r="CJ40" s="438">
        <f>((0.33*BJ40)/Speed!AW121)+((0.67*BJ40)/Speed!BW121)</f>
        <v>156.5832316722751</v>
      </c>
      <c r="CK40" s="309">
        <f>Inputs!$K$35</f>
        <v>0.2</v>
      </c>
      <c r="CL40" s="309">
        <f>Inputs!$K$36</f>
        <v>0.8</v>
      </c>
      <c r="CM40" s="290">
        <f t="shared" si="24"/>
        <v>0.83333333333333337</v>
      </c>
      <c r="CN40" s="311">
        <v>0.88</v>
      </c>
      <c r="DA40"/>
    </row>
    <row r="41" spans="2:105" ht="21.9" customHeight="1" x14ac:dyDescent="0.25">
      <c r="B41" s="900"/>
      <c r="C41" s="284" t="s">
        <v>319</v>
      </c>
      <c r="D41" s="284" t="s">
        <v>276</v>
      </c>
      <c r="E41" s="284" t="s">
        <v>333</v>
      </c>
      <c r="F41" s="284" t="s">
        <v>355</v>
      </c>
      <c r="G41" s="285">
        <v>55</v>
      </c>
      <c r="H41" s="286">
        <f>6330/foottomile</f>
        <v>1.1988636363636365</v>
      </c>
      <c r="I41" s="285">
        <v>4</v>
      </c>
      <c r="J41" s="335">
        <f>'Trip Gen'!W112</f>
        <v>10000</v>
      </c>
      <c r="K41" s="325">
        <f>'Trip Gen'!X112</f>
        <v>10288.270000000002</v>
      </c>
      <c r="L41" s="325">
        <f>'Trip Gen'!Y112</f>
        <v>10600.29</v>
      </c>
      <c r="M41" s="325">
        <f>'Trip Gen'!Z112</f>
        <v>11014.24</v>
      </c>
      <c r="N41" s="325">
        <f>'Trip Gen'!AA112</f>
        <v>11428.259999999998</v>
      </c>
      <c r="O41" s="325">
        <f>'Trip Gen'!AB112</f>
        <v>11842.449999999999</v>
      </c>
      <c r="P41" s="325">
        <f>'Trip Gen'!AC112</f>
        <v>12256.400000000001</v>
      </c>
      <c r="Q41" s="325">
        <f>'Trip Gen'!AD112</f>
        <v>12670.460000000001</v>
      </c>
      <c r="R41" s="325">
        <f>'Trip Gen'!AE112</f>
        <v>13126.080000000002</v>
      </c>
      <c r="S41" s="325">
        <f>'Trip Gen'!AF112</f>
        <v>13581.55</v>
      </c>
      <c r="T41" s="325">
        <f>'Trip Gen'!AG112</f>
        <v>14037.17</v>
      </c>
      <c r="U41" s="325">
        <f>'Trip Gen'!AH112</f>
        <v>14492.789999999999</v>
      </c>
      <c r="V41" s="325">
        <f>'Trip Gen'!AI112</f>
        <v>14948.670000000002</v>
      </c>
      <c r="W41" s="325">
        <f>'Trip Gen'!AJ112</f>
        <v>15302.32</v>
      </c>
      <c r="X41" s="325">
        <f>'Trip Gen'!AK112</f>
        <v>15590.59</v>
      </c>
      <c r="Y41" s="325">
        <f>'Trip Gen'!AL112</f>
        <v>15878.86</v>
      </c>
      <c r="Z41" s="325">
        <f>'Trip Gen'!AM112</f>
        <v>16167.130000000001</v>
      </c>
      <c r="AA41" s="325">
        <f>'Trip Gen'!AN112</f>
        <v>16455.37</v>
      </c>
      <c r="AB41" s="325">
        <f>'Trip Gen'!AO112</f>
        <v>16743.639999999996</v>
      </c>
      <c r="AC41" s="325">
        <f>'Trip Gen'!AP112</f>
        <v>17031.879999999994</v>
      </c>
      <c r="AD41" s="325">
        <f>'Trip Gen'!AQ112</f>
        <v>17320.150000000001</v>
      </c>
      <c r="AE41" s="325">
        <f>'Trip Gen'!AR112</f>
        <v>17608.420000000002</v>
      </c>
      <c r="AF41" s="325">
        <f>'Trip Gen'!AS112</f>
        <v>17896.66</v>
      </c>
      <c r="AG41" s="325">
        <f>'Trip Gen'!AT112</f>
        <v>18184.93</v>
      </c>
      <c r="AH41" s="325">
        <f>'Trip Gen'!AU112</f>
        <v>18473.2</v>
      </c>
      <c r="AI41" s="326">
        <f>'Trip Gen'!AV112</f>
        <v>18761.440000000002</v>
      </c>
      <c r="AJ41" s="288">
        <f t="shared" si="25"/>
        <v>3.5045760000000009E-2</v>
      </c>
      <c r="AK41" s="335">
        <f t="shared" si="23"/>
        <v>11988.636363636364</v>
      </c>
      <c r="AL41" s="325">
        <f t="shared" si="7"/>
        <v>12334.232784090913</v>
      </c>
      <c r="AM41" s="325">
        <f t="shared" si="8"/>
        <v>12708.302215909092</v>
      </c>
      <c r="AN41" s="325">
        <f t="shared" si="9"/>
        <v>13204.571818181819</v>
      </c>
      <c r="AO41" s="325">
        <f t="shared" si="10"/>
        <v>13700.925340909091</v>
      </c>
      <c r="AP41" s="325">
        <f t="shared" si="11"/>
        <v>14197.482670454545</v>
      </c>
      <c r="AQ41" s="325">
        <f t="shared" si="19"/>
        <v>14693.752272727275</v>
      </c>
      <c r="AR41" s="325">
        <f t="shared" si="19"/>
        <v>15190.153750000003</v>
      </c>
      <c r="AS41" s="325">
        <f t="shared" si="19"/>
        <v>15736.380000000003</v>
      </c>
      <c r="AT41" s="325">
        <f t="shared" si="19"/>
        <v>16282.426420454545</v>
      </c>
      <c r="AU41" s="325">
        <f t="shared" si="19"/>
        <v>16828.652670454547</v>
      </c>
      <c r="AV41" s="325">
        <f t="shared" si="19"/>
        <v>17374.878920454546</v>
      </c>
      <c r="AW41" s="325">
        <f t="shared" si="19"/>
        <v>17921.416875000003</v>
      </c>
      <c r="AX41" s="325">
        <f t="shared" si="19"/>
        <v>18345.395</v>
      </c>
      <c r="AY41" s="325">
        <f t="shared" si="19"/>
        <v>18690.991420454546</v>
      </c>
      <c r="AZ41" s="325">
        <f t="shared" si="19"/>
        <v>19036.587840909095</v>
      </c>
      <c r="BA41" s="325">
        <f t="shared" si="19"/>
        <v>19382.18426136364</v>
      </c>
      <c r="BB41" s="325">
        <f t="shared" si="19"/>
        <v>19727.744715909092</v>
      </c>
      <c r="BC41" s="325">
        <f t="shared" si="19"/>
        <v>20073.341136363633</v>
      </c>
      <c r="BD41" s="325">
        <f t="shared" si="19"/>
        <v>20418.901590909085</v>
      </c>
      <c r="BE41" s="325">
        <f t="shared" si="19"/>
        <v>20764.498011363641</v>
      </c>
      <c r="BF41" s="325">
        <f t="shared" si="18"/>
        <v>21110.094431818186</v>
      </c>
      <c r="BG41" s="325">
        <f t="shared" si="18"/>
        <v>21455.654886363638</v>
      </c>
      <c r="BH41" s="325">
        <f t="shared" si="18"/>
        <v>21801.251306818183</v>
      </c>
      <c r="BI41" s="325">
        <f t="shared" si="18"/>
        <v>22146.847727272729</v>
      </c>
      <c r="BJ41" s="326">
        <f t="shared" si="18"/>
        <v>22492.408181818188</v>
      </c>
      <c r="BK41" s="400">
        <f>((0.33*'Traffic Data'!AK41)/Speed!X122)+((0.67*'Traffic Data'!AK41)/Speed!AX122)</f>
        <v>214.46577905864618</v>
      </c>
      <c r="BL41" s="401">
        <f>((0.33*AL41)/Speed!Y122)+((0.67*AL41)/Speed!AY122)</f>
        <v>220.64818821987501</v>
      </c>
      <c r="BM41" s="401">
        <f>((0.33*AM41)/Speed!Z122)+((0.67*AM41)/Speed!AZ122)</f>
        <v>227.33995559997894</v>
      </c>
      <c r="BN41" s="401">
        <f>((0.33*AN41)/Speed!AA122)+((0.67*AN41)/Speed!BA122)</f>
        <v>236.21777822389637</v>
      </c>
      <c r="BO41" s="401">
        <f>((0.33*AO41)/Speed!AB122)+((0.67*AO41)/Speed!BB122)</f>
        <v>245.09710767466362</v>
      </c>
      <c r="BP41" s="401">
        <f>((0.33*AP41)/Speed!AC122)+((0.67*AP41)/Speed!BC122)</f>
        <v>253.98009080795657</v>
      </c>
      <c r="BQ41" s="401">
        <f>((0.33*AQ41)/Speed!AD122)+((0.67*AQ41)/Speed!BD122)</f>
        <v>262.85793742110286</v>
      </c>
      <c r="BR41" s="401">
        <f>((0.33*AR41)/Speed!AE122)+((0.67*AR41)/Speed!BE122)</f>
        <v>271.73815770362825</v>
      </c>
      <c r="BS41" s="401">
        <f>((0.33*AS41)/Speed!AF122)+((0.67*AS41)/Speed!BF122)</f>
        <v>281.50972569035298</v>
      </c>
      <c r="BT41" s="401">
        <f>((0.33*AT41)/Speed!AG122)+((0.67*AT41)/Speed!BG122)</f>
        <v>291.27810928322657</v>
      </c>
      <c r="BU41" s="401">
        <f>((0.33*AU41)/Speed!AH122)+((0.67*AU41)/Speed!BH122)</f>
        <v>301.04975423549342</v>
      </c>
      <c r="BV41" s="401">
        <f>((0.33*AV41)/Speed!AI122)+((0.67*AV41)/Speed!BI122)</f>
        <v>310.82145883664066</v>
      </c>
      <c r="BW41" s="401">
        <f>((0.33*AW41)/Speed!AJ122)+((0.67*AW41)/Speed!BJ122)</f>
        <v>320.59881922816004</v>
      </c>
      <c r="BX41" s="401">
        <f>((0.33*AX41)/Speed!AK122)+((0.67*AX41)/Speed!BK122)</f>
        <v>328.18370078050259</v>
      </c>
      <c r="BY41" s="401">
        <f>((0.33*AY41)/Speed!AL122)+((0.67*AY41)/Speed!BL122)</f>
        <v>334.36640659908471</v>
      </c>
      <c r="BZ41" s="401">
        <f>((0.33*AZ41)/Speed!AM122)+((0.67*AZ41)/Speed!BM122)</f>
        <v>340.54917356646649</v>
      </c>
      <c r="CA41" s="401">
        <f>((0.33*BA41)/Speed!AN122)+((0.67*BA41)/Speed!BN122)</f>
        <v>346.73201263991746</v>
      </c>
      <c r="CB41" s="401">
        <f>((0.33*BB41)/Speed!AO122)+((0.67*BB41)/Speed!BO122)</f>
        <v>352.91429303139887</v>
      </c>
      <c r="CC41" s="401">
        <f>((0.33*BC41)/Speed!AP122)+((0.67*BC41)/Speed!BP122)</f>
        <v>359.09731625157406</v>
      </c>
      <c r="CD41" s="401">
        <f>((0.33*BD41)/Speed!AQ122)+((0.67*BD41)/Speed!BQ122)</f>
        <v>365.27981217910178</v>
      </c>
      <c r="CE41" s="401">
        <f>((0.33*BE41)/Speed!AR122)+((0.67*BE41)/Speed!BR122)</f>
        <v>371.4630870458862</v>
      </c>
      <c r="CF41" s="401">
        <f>((0.33*BF41)/Speed!AS122)+((0.67*BF41)/Speed!BS122)</f>
        <v>377.64651946542722</v>
      </c>
      <c r="CG41" s="401">
        <f>((0.33*BG41)/Speed!AT122)+((0.67*BG41)/Speed!BT122)</f>
        <v>383.82949112809354</v>
      </c>
      <c r="CH41" s="401">
        <f>((0.33*BH41)/Speed!AU122)+((0.67*BH41)/Speed!BU122)</f>
        <v>390.01331782986495</v>
      </c>
      <c r="CI41" s="401">
        <f>((0.33*BI41)/Speed!AV122)+((0.67*BI41)/Speed!BV122)</f>
        <v>396.19738876159977</v>
      </c>
      <c r="CJ41" s="409">
        <f>((0.33*BJ41)/Speed!AW122)+((0.67*BJ41)/Speed!BW122)</f>
        <v>402.38109743135249</v>
      </c>
      <c r="CK41" s="1408">
        <f>Inputs!$L$35</f>
        <v>0.2</v>
      </c>
      <c r="CL41" s="1410">
        <f>Inputs!$L$36</f>
        <v>0.8</v>
      </c>
      <c r="CM41" s="1411">
        <f>1/(1+CK41)</f>
        <v>0.83333333333333337</v>
      </c>
      <c r="CN41" s="1414">
        <v>0.9</v>
      </c>
      <c r="DA41"/>
    </row>
    <row r="42" spans="2:105" ht="21.9" customHeight="1" x14ac:dyDescent="0.25">
      <c r="B42" s="900"/>
      <c r="C42" s="284"/>
      <c r="D42" s="284" t="s">
        <v>333</v>
      </c>
      <c r="E42" s="284" t="s">
        <v>323</v>
      </c>
      <c r="F42" s="284" t="s">
        <v>356</v>
      </c>
      <c r="G42" s="285">
        <v>55</v>
      </c>
      <c r="H42" s="286">
        <f>1213/foottomile</f>
        <v>0.22973484848484849</v>
      </c>
      <c r="I42" s="285">
        <v>4</v>
      </c>
      <c r="J42" s="335">
        <f>'Trip Gen'!W113</f>
        <v>7600</v>
      </c>
      <c r="K42" s="325">
        <f>'Trip Gen'!X113</f>
        <v>7815.7</v>
      </c>
      <c r="L42" s="325">
        <f>'Trip Gen'!Y113</f>
        <v>8055.07</v>
      </c>
      <c r="M42" s="325">
        <f>'Trip Gen'!Z113</f>
        <v>8391.0499999999993</v>
      </c>
      <c r="N42" s="325">
        <f>'Trip Gen'!AA113</f>
        <v>8727.09</v>
      </c>
      <c r="O42" s="325">
        <f>'Trip Gen'!AB113</f>
        <v>9063.1999999999989</v>
      </c>
      <c r="P42" s="325">
        <f>'Trip Gen'!AC113</f>
        <v>9399.18</v>
      </c>
      <c r="Q42" s="325">
        <f>'Trip Gen'!AD113</f>
        <v>9735.18</v>
      </c>
      <c r="R42" s="325">
        <f>'Trip Gen'!AE113</f>
        <v>10112.830000000002</v>
      </c>
      <c r="S42" s="325">
        <f>'Trip Gen'!AF113</f>
        <v>10490.349999999999</v>
      </c>
      <c r="T42" s="325">
        <f>'Trip Gen'!AG113</f>
        <v>10867.999999999998</v>
      </c>
      <c r="U42" s="325">
        <f>'Trip Gen'!AH113</f>
        <v>11245.649999999998</v>
      </c>
      <c r="V42" s="325">
        <f>'Trip Gen'!AI113</f>
        <v>11623.36</v>
      </c>
      <c r="W42" s="325">
        <f>'Trip Gen'!AJ113</f>
        <v>11904.439999999999</v>
      </c>
      <c r="X42" s="325">
        <f>'Trip Gen'!AK113</f>
        <v>12120.14</v>
      </c>
      <c r="Y42" s="325">
        <f>'Trip Gen'!AL113</f>
        <v>12335.84</v>
      </c>
      <c r="Z42" s="325">
        <f>'Trip Gen'!AM113</f>
        <v>12551.539999999999</v>
      </c>
      <c r="AA42" s="325">
        <f>'Trip Gen'!AN113</f>
        <v>12767.129999999997</v>
      </c>
      <c r="AB42" s="325">
        <f>'Trip Gen'!AO113</f>
        <v>12982.829999999998</v>
      </c>
      <c r="AC42" s="325">
        <f>'Trip Gen'!AP113</f>
        <v>13198.42</v>
      </c>
      <c r="AD42" s="325">
        <f>'Trip Gen'!AQ113</f>
        <v>13414.119999999999</v>
      </c>
      <c r="AE42" s="325">
        <f>'Trip Gen'!AR113</f>
        <v>13629.82</v>
      </c>
      <c r="AF42" s="325">
        <f>'Trip Gen'!AS113</f>
        <v>13845.409999999998</v>
      </c>
      <c r="AG42" s="325">
        <f>'Trip Gen'!AT113</f>
        <v>14061.109999999999</v>
      </c>
      <c r="AH42" s="325">
        <f>'Trip Gen'!AU113</f>
        <v>14276.809999999998</v>
      </c>
      <c r="AI42" s="326">
        <f>'Trip Gen'!AV113</f>
        <v>14492.399999999998</v>
      </c>
      <c r="AJ42" s="288">
        <f t="shared" si="25"/>
        <v>3.6275789473684199E-2</v>
      </c>
      <c r="AK42" s="335">
        <f t="shared" si="23"/>
        <v>1745.9848484848485</v>
      </c>
      <c r="AL42" s="325">
        <f t="shared" si="7"/>
        <v>1795.5386553030303</v>
      </c>
      <c r="AM42" s="325">
        <f t="shared" si="8"/>
        <v>1850.5302859848484</v>
      </c>
      <c r="AN42" s="325">
        <f t="shared" si="9"/>
        <v>1927.7166003787877</v>
      </c>
      <c r="AO42" s="325">
        <f t="shared" si="10"/>
        <v>2004.9166988636364</v>
      </c>
      <c r="AP42" s="325">
        <f t="shared" si="11"/>
        <v>2082.1328787878783</v>
      </c>
      <c r="AQ42" s="325">
        <f t="shared" si="19"/>
        <v>2159.3191931818183</v>
      </c>
      <c r="AR42" s="325">
        <f t="shared" si="19"/>
        <v>2236.5101022727272</v>
      </c>
      <c r="AS42" s="325">
        <f t="shared" si="19"/>
        <v>2323.2694678030307</v>
      </c>
      <c r="AT42" s="325">
        <f t="shared" si="19"/>
        <v>2409.9989678030302</v>
      </c>
      <c r="AU42" s="325">
        <f t="shared" si="19"/>
        <v>2496.7583333333328</v>
      </c>
      <c r="AV42" s="325">
        <f t="shared" si="19"/>
        <v>2583.5176988636358</v>
      </c>
      <c r="AW42" s="325">
        <f t="shared" si="19"/>
        <v>2670.2908484848485</v>
      </c>
      <c r="AX42" s="325">
        <f t="shared" si="19"/>
        <v>2734.8647196969696</v>
      </c>
      <c r="AY42" s="325">
        <f t="shared" si="19"/>
        <v>2784.4185265151514</v>
      </c>
      <c r="AZ42" s="325">
        <f t="shared" si="19"/>
        <v>2833.9723333333336</v>
      </c>
      <c r="BA42" s="325">
        <f t="shared" si="19"/>
        <v>2883.5261401515149</v>
      </c>
      <c r="BB42" s="325">
        <f t="shared" si="19"/>
        <v>2933.054676136363</v>
      </c>
      <c r="BC42" s="325">
        <f t="shared" si="19"/>
        <v>2982.6084829545453</v>
      </c>
      <c r="BD42" s="325">
        <f t="shared" si="19"/>
        <v>3032.1370189393938</v>
      </c>
      <c r="BE42" s="325">
        <f t="shared" si="19"/>
        <v>3081.6908257575756</v>
      </c>
      <c r="BF42" s="325">
        <f t="shared" si="18"/>
        <v>3131.2446325757574</v>
      </c>
      <c r="BG42" s="325">
        <f t="shared" si="18"/>
        <v>3180.7731685606054</v>
      </c>
      <c r="BH42" s="325">
        <f t="shared" si="18"/>
        <v>3230.3269753787877</v>
      </c>
      <c r="BI42" s="325">
        <f t="shared" si="18"/>
        <v>3279.880782196969</v>
      </c>
      <c r="BJ42" s="326">
        <f t="shared" si="18"/>
        <v>3329.4093181818175</v>
      </c>
      <c r="BK42" s="400">
        <f>((0.33*'Traffic Data'!AK42)/Speed!X123)+((0.67*'Traffic Data'!AK42)/Speed!AX123)</f>
        <v>31.234076116374347</v>
      </c>
      <c r="BL42" s="401">
        <f>((0.33*AL42)/Speed!Y123)+((0.67*AL42)/Speed!AY123)</f>
        <v>32.120548551664228</v>
      </c>
      <c r="BM42" s="401">
        <f>((0.33*AM42)/Speed!Z123)+((0.67*AM42)/Speed!AZ123)</f>
        <v>33.104298714799931</v>
      </c>
      <c r="BN42" s="401">
        <f>((0.33*AN42)/Speed!AA123)+((0.67*AN42)/Speed!BA123)</f>
        <v>34.4850915824601</v>
      </c>
      <c r="BO42" s="401">
        <f>((0.33*AO42)/Speed!AB123)+((0.67*AO42)/Speed!BB123)</f>
        <v>35.866131095747598</v>
      </c>
      <c r="BP42" s="401">
        <f>((0.33*AP42)/Speed!AC123)+((0.67*AP42)/Speed!BC123)</f>
        <v>37.24745837789014</v>
      </c>
      <c r="BQ42" s="401">
        <f>((0.33*AQ42)/Speed!AD123)+((0.67*AQ42)/Speed!BD123)</f>
        <v>38.628251514288444</v>
      </c>
      <c r="BR42" s="401">
        <f>((0.33*AR42)/Speed!AE123)+((0.67*AR42)/Speed!BE123)</f>
        <v>40.009127014068632</v>
      </c>
      <c r="BS42" s="401">
        <f>((0.33*AS42)/Speed!AF123)+((0.67*AS42)/Speed!BF123)</f>
        <v>41.561173818789896</v>
      </c>
      <c r="BT42" s="401">
        <f>((0.33*AT42)/Speed!AG123)+((0.67*AT42)/Speed!BG123)</f>
        <v>43.112686767272081</v>
      </c>
      <c r="BU42" s="401">
        <f>((0.33*AU42)/Speed!AH123)+((0.67*AU42)/Speed!BH123)</f>
        <v>44.664734555035196</v>
      </c>
      <c r="BV42" s="401">
        <f>((0.33*AV42)/Speed!AI123)+((0.67*AV42)/Speed!BI123)</f>
        <v>46.216783128509725</v>
      </c>
      <c r="BW42" s="401">
        <f>((0.33*AW42)/Speed!AJ123)+((0.67*AW42)/Speed!BJ123)</f>
        <v>47.769079355491229</v>
      </c>
      <c r="BX42" s="401">
        <f>((0.33*AX42)/Speed!AK123)+((0.67*AX42)/Speed!BK123)</f>
        <v>48.924250695110807</v>
      </c>
      <c r="BY42" s="401">
        <f>((0.33*AY42)/Speed!AL123)+((0.67*AY42)/Speed!BL123)</f>
        <v>49.810726582266469</v>
      </c>
      <c r="BZ42" s="401">
        <f>((0.33*AZ42)/Speed!AM123)+((0.67*AZ42)/Speed!BM123)</f>
        <v>50.697203149697522</v>
      </c>
      <c r="CA42" s="401">
        <f>((0.33*BA42)/Speed!AN123)+((0.67*BA42)/Speed!BN123)</f>
        <v>51.583680514412421</v>
      </c>
      <c r="CB42" s="401">
        <f>((0.33*BB42)/Speed!AO123)+((0.67*BB42)/Speed!BO123)</f>
        <v>52.469706735539802</v>
      </c>
      <c r="CC42" s="401">
        <f>((0.33*BC42)/Speed!AP123)+((0.67*BC42)/Speed!BP123)</f>
        <v>53.356186117708226</v>
      </c>
      <c r="CD42" s="401">
        <f>((0.33*BD42)/Speed!AQ123)+((0.67*BD42)/Speed!BQ123)</f>
        <v>54.242214685981281</v>
      </c>
      <c r="CE42" s="401">
        <f>((0.33*BE42)/Speed!AR123)+((0.67*BE42)/Speed!BR123)</f>
        <v>55.128696794783082</v>
      </c>
      <c r="CF42" s="401">
        <f>((0.33*BF42)/Speed!AS123)+((0.67*BF42)/Speed!BS123)</f>
        <v>56.015180598045049</v>
      </c>
      <c r="CG42" s="401">
        <f>((0.33*BG42)/Speed!AT123)+((0.67*BG42)/Speed!BT123)</f>
        <v>56.901214277758683</v>
      </c>
      <c r="CH42" s="401">
        <f>((0.33*BH42)/Speed!AU123)+((0.67*BH42)/Speed!BU123)</f>
        <v>57.787702288511326</v>
      </c>
      <c r="CI42" s="401">
        <f>((0.33*BI42)/Speed!AV123)+((0.67*BI42)/Speed!BV123)</f>
        <v>58.67419288799919</v>
      </c>
      <c r="CJ42" s="409">
        <f>((0.33*BJ42)/Speed!AW123)+((0.67*BJ42)/Speed!BW123)</f>
        <v>59.560234372457685</v>
      </c>
      <c r="CK42" s="1408"/>
      <c r="CL42" s="1408"/>
      <c r="CM42" s="1412"/>
      <c r="CN42" s="1415"/>
      <c r="DA42"/>
    </row>
    <row r="43" spans="2:105" ht="21.9" customHeight="1" x14ac:dyDescent="0.25">
      <c r="B43" s="900"/>
      <c r="C43" s="284"/>
      <c r="D43" s="284" t="s">
        <v>323</v>
      </c>
      <c r="E43" s="284" t="s">
        <v>322</v>
      </c>
      <c r="F43" s="284" t="s">
        <v>356</v>
      </c>
      <c r="G43" s="285">
        <v>45</v>
      </c>
      <c r="H43" s="286">
        <f>300/foottomile</f>
        <v>5.6818181818181816E-2</v>
      </c>
      <c r="I43" s="285">
        <v>4</v>
      </c>
      <c r="J43" s="335">
        <f>J42</f>
        <v>7600</v>
      </c>
      <c r="K43" s="325">
        <f>K42</f>
        <v>7815.7</v>
      </c>
      <c r="L43" s="325">
        <f t="shared" ref="L43:AH43" si="26">L42</f>
        <v>8055.07</v>
      </c>
      <c r="M43" s="325">
        <f t="shared" si="26"/>
        <v>8391.0499999999993</v>
      </c>
      <c r="N43" s="325">
        <f t="shared" si="26"/>
        <v>8727.09</v>
      </c>
      <c r="O43" s="325">
        <f t="shared" si="26"/>
        <v>9063.1999999999989</v>
      </c>
      <c r="P43" s="325">
        <f t="shared" si="26"/>
        <v>9399.18</v>
      </c>
      <c r="Q43" s="325">
        <f t="shared" si="26"/>
        <v>9735.18</v>
      </c>
      <c r="R43" s="325">
        <f t="shared" si="26"/>
        <v>10112.830000000002</v>
      </c>
      <c r="S43" s="325">
        <f t="shared" si="26"/>
        <v>10490.349999999999</v>
      </c>
      <c r="T43" s="325">
        <f t="shared" si="26"/>
        <v>10867.999999999998</v>
      </c>
      <c r="U43" s="325">
        <f t="shared" si="26"/>
        <v>11245.649999999998</v>
      </c>
      <c r="V43" s="325">
        <f t="shared" si="26"/>
        <v>11623.36</v>
      </c>
      <c r="W43" s="325">
        <f t="shared" si="26"/>
        <v>11904.439999999999</v>
      </c>
      <c r="X43" s="325">
        <f t="shared" si="26"/>
        <v>12120.14</v>
      </c>
      <c r="Y43" s="325">
        <f t="shared" si="26"/>
        <v>12335.84</v>
      </c>
      <c r="Z43" s="325">
        <f t="shared" si="26"/>
        <v>12551.539999999999</v>
      </c>
      <c r="AA43" s="325">
        <f t="shared" si="26"/>
        <v>12767.129999999997</v>
      </c>
      <c r="AB43" s="325">
        <f t="shared" si="26"/>
        <v>12982.829999999998</v>
      </c>
      <c r="AC43" s="325">
        <f t="shared" si="26"/>
        <v>13198.42</v>
      </c>
      <c r="AD43" s="325">
        <f t="shared" si="26"/>
        <v>13414.119999999999</v>
      </c>
      <c r="AE43" s="325">
        <f t="shared" si="26"/>
        <v>13629.82</v>
      </c>
      <c r="AF43" s="325">
        <f t="shared" si="26"/>
        <v>13845.409999999998</v>
      </c>
      <c r="AG43" s="325">
        <f t="shared" si="26"/>
        <v>14061.109999999999</v>
      </c>
      <c r="AH43" s="325">
        <f t="shared" si="26"/>
        <v>14276.809999999998</v>
      </c>
      <c r="AI43" s="326">
        <f>AI42</f>
        <v>14492.399999999998</v>
      </c>
      <c r="AJ43" s="288">
        <f t="shared" si="25"/>
        <v>3.6275789473684199E-2</v>
      </c>
      <c r="AK43" s="335">
        <f t="shared" si="23"/>
        <v>431.81818181818181</v>
      </c>
      <c r="AL43" s="325">
        <f t="shared" si="7"/>
        <v>444.07386363636363</v>
      </c>
      <c r="AM43" s="325">
        <f t="shared" si="8"/>
        <v>457.6744318181818</v>
      </c>
      <c r="AN43" s="325">
        <f t="shared" si="9"/>
        <v>476.7642045454545</v>
      </c>
      <c r="AO43" s="325">
        <f t="shared" si="10"/>
        <v>495.85738636363635</v>
      </c>
      <c r="AP43" s="325">
        <f t="shared" si="11"/>
        <v>514.95454545454538</v>
      </c>
      <c r="AQ43" s="325">
        <f t="shared" si="19"/>
        <v>534.0443181818182</v>
      </c>
      <c r="AR43" s="325">
        <f t="shared" si="19"/>
        <v>553.13522727272732</v>
      </c>
      <c r="AS43" s="325">
        <f t="shared" si="19"/>
        <v>574.59261363636369</v>
      </c>
      <c r="AT43" s="325">
        <f t="shared" si="19"/>
        <v>596.04261363636351</v>
      </c>
      <c r="AU43" s="325">
        <f t="shared" si="19"/>
        <v>617.49999999999989</v>
      </c>
      <c r="AV43" s="325">
        <f t="shared" si="19"/>
        <v>638.95738636363626</v>
      </c>
      <c r="AW43" s="325">
        <f t="shared" si="19"/>
        <v>660.41818181818178</v>
      </c>
      <c r="AX43" s="325">
        <f t="shared" si="19"/>
        <v>676.38863636363624</v>
      </c>
      <c r="AY43" s="325">
        <f t="shared" si="19"/>
        <v>688.64431818181811</v>
      </c>
      <c r="AZ43" s="325">
        <f t="shared" si="19"/>
        <v>700.9</v>
      </c>
      <c r="BA43" s="325">
        <f t="shared" si="19"/>
        <v>713.15568181818173</v>
      </c>
      <c r="BB43" s="325">
        <f t="shared" si="19"/>
        <v>725.40511363636347</v>
      </c>
      <c r="BC43" s="325">
        <f t="shared" si="19"/>
        <v>737.66079545454534</v>
      </c>
      <c r="BD43" s="325">
        <f t="shared" si="19"/>
        <v>749.9102272727273</v>
      </c>
      <c r="BE43" s="325">
        <f t="shared" si="19"/>
        <v>762.16590909090905</v>
      </c>
      <c r="BF43" s="325">
        <f t="shared" si="18"/>
        <v>774.42159090909092</v>
      </c>
      <c r="BG43" s="325">
        <f t="shared" si="18"/>
        <v>786.67102272727254</v>
      </c>
      <c r="BH43" s="325">
        <f t="shared" si="18"/>
        <v>798.92670454545441</v>
      </c>
      <c r="BI43" s="325">
        <f t="shared" si="18"/>
        <v>811.18238636363617</v>
      </c>
      <c r="BJ43" s="326">
        <f t="shared" si="18"/>
        <v>823.43181818181802</v>
      </c>
      <c r="BK43" s="400">
        <f>((0.33*'Traffic Data'!AK43)/Speed!X124)+((0.67*'Traffic Data'!AK43)/Speed!AX124)</f>
        <v>9.4078036195684422</v>
      </c>
      <c r="BL43" s="401">
        <f>((0.33*AL43)/Speed!Y124)+((0.67*AL43)/Speed!AY124)</f>
        <v>9.6748119719759647</v>
      </c>
      <c r="BM43" s="401">
        <f>((0.33*AM43)/Speed!Z124)+((0.67*AM43)/Speed!AZ124)</f>
        <v>9.9711206973509867</v>
      </c>
      <c r="BN43" s="401">
        <f>((0.33*AN43)/Speed!AA124)+((0.67*AN43)/Speed!BA124)</f>
        <v>10.387019986577329</v>
      </c>
      <c r="BO43" s="401">
        <f>((0.33*AO43)/Speed!AB124)+((0.67*AO43)/Speed!BB124)</f>
        <v>10.802993597772398</v>
      </c>
      <c r="BP43" s="401">
        <f>((0.33*AP43)/Speed!AC124)+((0.67*AP43)/Speed!BC124)</f>
        <v>11.219053930733216</v>
      </c>
      <c r="BQ43" s="401">
        <f>((0.33*AQ43)/Speed!AD124)+((0.67*AQ43)/Speed!BD124)</f>
        <v>11.634953440173998</v>
      </c>
      <c r="BR43" s="401">
        <f>((0.33*AR43)/Speed!AE124)+((0.67*AR43)/Speed!BE124)</f>
        <v>12.050877845022891</v>
      </c>
      <c r="BS43" s="401">
        <f>((0.33*AS43)/Speed!AF124)+((0.67*AS43)/Speed!BF124)</f>
        <v>12.518359774879601</v>
      </c>
      <c r="BT43" s="401">
        <f>((0.33*AT43)/Speed!AG124)+((0.67*AT43)/Speed!BG124)</f>
        <v>12.985681118448058</v>
      </c>
      <c r="BU43" s="401">
        <f>((0.33*AU43)/Speed!AH124)+((0.67*AU43)/Speed!BH124)</f>
        <v>13.453163853847396</v>
      </c>
      <c r="BV43" s="401">
        <f>((0.33*AV43)/Speed!AI124)+((0.67*AV43)/Speed!BI124)</f>
        <v>13.920647233089133</v>
      </c>
      <c r="BW43" s="401">
        <f>((0.33*AW43)/Speed!AJ124)+((0.67*AW43)/Speed!BJ124)</f>
        <v>14.388205760195277</v>
      </c>
      <c r="BX43" s="401">
        <f>((0.33*AX43)/Speed!AK124)+((0.67*AX43)/Speed!BK124)</f>
        <v>14.736148975987113</v>
      </c>
      <c r="BY43" s="401">
        <f>((0.33*AY43)/Speed!AL124)+((0.67*AY43)/Speed!BL124)</f>
        <v>15.003160156987317</v>
      </c>
      <c r="BZ43" s="401">
        <f>((0.33*AZ43)/Speed!AM124)+((0.67*AZ43)/Speed!BM124)</f>
        <v>15.270171895431563</v>
      </c>
      <c r="CA43" s="401">
        <f>((0.33*BA43)/Speed!AN124)+((0.67*BA43)/Speed!BN124)</f>
        <v>15.537184287201123</v>
      </c>
      <c r="CB43" s="401">
        <f>((0.33*BB43)/Speed!AO124)+((0.67*BB43)/Speed!BO124)</f>
        <v>15.804061274295618</v>
      </c>
      <c r="CC43" s="401">
        <f>((0.33*BC43)/Speed!AP124)+((0.67*BC43)/Speed!BP124)</f>
        <v>16.071075319244823</v>
      </c>
      <c r="CD43" s="401">
        <f>((0.33*BD43)/Speed!AQ124)+((0.67*BD43)/Speed!BQ124)</f>
        <v>16.337954229681515</v>
      </c>
      <c r="CE43" s="401">
        <f>((0.33*BE43)/Speed!AR124)+((0.67*BE43)/Speed!BR124)</f>
        <v>16.604970508939857</v>
      </c>
      <c r="CF43" s="401">
        <f>((0.33*BF43)/Speed!AS124)+((0.67*BF43)/Speed!BS124)</f>
        <v>16.871988176704569</v>
      </c>
      <c r="CG43" s="401">
        <f>((0.33*BG43)/Speed!AT124)+((0.67*BG43)/Speed!BT124)</f>
        <v>17.138871275653894</v>
      </c>
      <c r="CH43" s="401">
        <f>((0.33*BH43)/Speed!AU124)+((0.67*BH43)/Speed!BU124)</f>
        <v>17.405892391199643</v>
      </c>
      <c r="CI43" s="401">
        <f>((0.33*BI43)/Speed!AV124)+((0.67*BI43)/Speed!BV124)</f>
        <v>17.672915628055435</v>
      </c>
      <c r="CJ43" s="409">
        <f>((0.33*BJ43)/Speed!AW124)+((0.67*BJ43)/Speed!BW124)</f>
        <v>17.939805122515388</v>
      </c>
      <c r="CK43" s="1408"/>
      <c r="CL43" s="1408"/>
      <c r="CM43" s="1412"/>
      <c r="CN43" s="1415"/>
      <c r="DA43"/>
    </row>
    <row r="44" spans="2:105" ht="21.9" customHeight="1" x14ac:dyDescent="0.25">
      <c r="B44" s="900"/>
      <c r="C44" s="284"/>
      <c r="D44" s="284" t="s">
        <v>322</v>
      </c>
      <c r="E44" s="284" t="s">
        <v>326</v>
      </c>
      <c r="F44" s="284" t="s">
        <v>357</v>
      </c>
      <c r="G44" s="285">
        <v>45</v>
      </c>
      <c r="H44" s="286">
        <f>975/foottomile</f>
        <v>0.18465909090909091</v>
      </c>
      <c r="I44" s="285">
        <v>4</v>
      </c>
      <c r="J44" s="335">
        <f>'Trip Gen'!W114</f>
        <v>6000</v>
      </c>
      <c r="K44" s="325">
        <f>'Trip Gen'!X114</f>
        <v>6170.14</v>
      </c>
      <c r="L44" s="325">
        <f>'Trip Gen'!Y114</f>
        <v>6364.0099999999993</v>
      </c>
      <c r="M44" s="325">
        <f>'Trip Gen'!Z114</f>
        <v>6611.7300000000005</v>
      </c>
      <c r="N44" s="325">
        <f>'Trip Gen'!AA114</f>
        <v>6859.53</v>
      </c>
      <c r="O44" s="325">
        <f>'Trip Gen'!AB114</f>
        <v>7107.2900000000027</v>
      </c>
      <c r="P44" s="325">
        <f>'Trip Gen'!AC114</f>
        <v>7355.0100000000011</v>
      </c>
      <c r="Q44" s="325">
        <f>'Trip Gen'!AD114</f>
        <v>7602.7800000000016</v>
      </c>
      <c r="R44" s="325">
        <f>'Trip Gen'!AE114</f>
        <v>7882.82</v>
      </c>
      <c r="S44" s="325">
        <f>'Trip Gen'!AF114</f>
        <v>8162.85</v>
      </c>
      <c r="T44" s="325">
        <f>'Trip Gen'!AG114</f>
        <v>8442.85</v>
      </c>
      <c r="U44" s="325">
        <f>'Trip Gen'!AH114</f>
        <v>8722.8900000000012</v>
      </c>
      <c r="V44" s="325">
        <f>'Trip Gen'!AI114</f>
        <v>9002.98</v>
      </c>
      <c r="W44" s="325">
        <f>'Trip Gen'!AJ114</f>
        <v>9229.16</v>
      </c>
      <c r="X44" s="325">
        <f>'Trip Gen'!AK114</f>
        <v>9399.3000000000011</v>
      </c>
      <c r="Y44" s="325">
        <f>'Trip Gen'!AL114</f>
        <v>9569.4400000000023</v>
      </c>
      <c r="Z44" s="325">
        <f>'Trip Gen'!AM114</f>
        <v>9739.5800000000017</v>
      </c>
      <c r="AA44" s="325">
        <f>'Trip Gen'!AN114</f>
        <v>9909.6700000000019</v>
      </c>
      <c r="AB44" s="325">
        <f>'Trip Gen'!AO114</f>
        <v>10079.809999999998</v>
      </c>
      <c r="AC44" s="325">
        <f>'Trip Gen'!AP114</f>
        <v>10249.899999999998</v>
      </c>
      <c r="AD44" s="325">
        <f>'Trip Gen'!AQ114</f>
        <v>10420.039999999997</v>
      </c>
      <c r="AE44" s="325">
        <f>'Trip Gen'!AR114</f>
        <v>10590.179999999998</v>
      </c>
      <c r="AF44" s="325">
        <f>'Trip Gen'!AS114</f>
        <v>10760.269999999997</v>
      </c>
      <c r="AG44" s="325">
        <f>'Trip Gen'!AT114</f>
        <v>10930.409999999998</v>
      </c>
      <c r="AH44" s="325">
        <f>'Trip Gen'!AU114</f>
        <v>11100.549999999997</v>
      </c>
      <c r="AI44" s="326">
        <f>'Trip Gen'!AV114</f>
        <v>11270.639999999998</v>
      </c>
      <c r="AJ44" s="288">
        <f t="shared" si="25"/>
        <v>3.5137599999999984E-2</v>
      </c>
      <c r="AK44" s="335">
        <f t="shared" si="23"/>
        <v>1107.9545454545455</v>
      </c>
      <c r="AL44" s="325">
        <f t="shared" si="7"/>
        <v>1139.3724431818182</v>
      </c>
      <c r="AM44" s="325">
        <f t="shared" si="8"/>
        <v>1175.1723011363636</v>
      </c>
      <c r="AN44" s="325">
        <f t="shared" si="9"/>
        <v>1220.9160511363636</v>
      </c>
      <c r="AO44" s="325">
        <f t="shared" si="10"/>
        <v>1266.6745738636364</v>
      </c>
      <c r="AP44" s="325">
        <f t="shared" si="11"/>
        <v>1312.4257102272732</v>
      </c>
      <c r="AQ44" s="325">
        <f t="shared" si="19"/>
        <v>1358.169460227273</v>
      </c>
      <c r="AR44" s="325">
        <f t="shared" si="19"/>
        <v>1403.9224431818184</v>
      </c>
      <c r="AS44" s="325">
        <f t="shared" si="19"/>
        <v>1455.6343749999999</v>
      </c>
      <c r="AT44" s="325">
        <f t="shared" si="19"/>
        <v>1507.3444602272727</v>
      </c>
      <c r="AU44" s="325">
        <f t="shared" si="19"/>
        <v>1559.0490056818182</v>
      </c>
      <c r="AV44" s="325">
        <f t="shared" si="19"/>
        <v>1610.7609375000002</v>
      </c>
      <c r="AW44" s="325">
        <f t="shared" si="19"/>
        <v>1662.4821022727272</v>
      </c>
      <c r="AX44" s="325">
        <f t="shared" si="19"/>
        <v>1704.2482954545455</v>
      </c>
      <c r="AY44" s="325">
        <f t="shared" si="19"/>
        <v>1735.6661931818185</v>
      </c>
      <c r="AZ44" s="325">
        <f t="shared" si="19"/>
        <v>1767.0840909090914</v>
      </c>
      <c r="BA44" s="325">
        <f t="shared" si="19"/>
        <v>1798.5019886363639</v>
      </c>
      <c r="BB44" s="325">
        <f t="shared" si="19"/>
        <v>1829.9106534090913</v>
      </c>
      <c r="BC44" s="325">
        <f t="shared" si="19"/>
        <v>1861.3285511363633</v>
      </c>
      <c r="BD44" s="325">
        <f t="shared" si="19"/>
        <v>1892.7372159090905</v>
      </c>
      <c r="BE44" s="325">
        <f t="shared" si="19"/>
        <v>1924.1551136363632</v>
      </c>
      <c r="BF44" s="325">
        <f t="shared" si="18"/>
        <v>1955.5730113636362</v>
      </c>
      <c r="BG44" s="325">
        <f t="shared" si="18"/>
        <v>1986.9816761363631</v>
      </c>
      <c r="BH44" s="325">
        <f t="shared" si="18"/>
        <v>2018.3995738636361</v>
      </c>
      <c r="BI44" s="325">
        <f t="shared" si="18"/>
        <v>2049.8174715909086</v>
      </c>
      <c r="BJ44" s="326">
        <f t="shared" si="18"/>
        <v>2081.2261363636358</v>
      </c>
      <c r="BK44" s="400">
        <f>((0.33*'Traffic Data'!AK44)/Speed!X125)+((0.67*'Traffic Data'!AK44)/Speed!AX125)</f>
        <v>24.138443278803063</v>
      </c>
      <c r="BL44" s="401">
        <f>((0.33*AL44)/Speed!Y125)+((0.67*AL44)/Speed!AY125)</f>
        <v>24.822929076247767</v>
      </c>
      <c r="BM44" s="401">
        <f>((0.33*AM44)/Speed!Z125)+((0.67*AM44)/Speed!AZ125)</f>
        <v>25.602882421113925</v>
      </c>
      <c r="BN44" s="401">
        <f>((0.33*AN44)/Speed!AA125)+((0.67*AN44)/Speed!BA125)</f>
        <v>26.599478304345006</v>
      </c>
      <c r="BO44" s="401">
        <f>((0.33*AO44)/Speed!AB125)+((0.67*AO44)/Speed!BB125)</f>
        <v>27.596396043788651</v>
      </c>
      <c r="BP44" s="401">
        <f>((0.33*AP44)/Speed!AC125)+((0.67*AP44)/Speed!BC125)</f>
        <v>28.593152874598079</v>
      </c>
      <c r="BQ44" s="401">
        <f>((0.33*AQ44)/Speed!AD125)+((0.67*AQ44)/Speed!BD125)</f>
        <v>29.589748802143767</v>
      </c>
      <c r="BR44" s="401">
        <f>((0.33*AR44)/Speed!AE125)+((0.67*AR44)/Speed!BE125)</f>
        <v>30.586545910204492</v>
      </c>
      <c r="BS44" s="401">
        <f>((0.33*AS44)/Speed!AF125)+((0.67*AS44)/Speed!BF125)</f>
        <v>31.713167668524129</v>
      </c>
      <c r="BT44" s="401">
        <f>((0.33*AT44)/Speed!AG125)+((0.67*AT44)/Speed!BG125)</f>
        <v>32.839749260048009</v>
      </c>
      <c r="BU44" s="401">
        <f>((0.33*AU44)/Speed!AH125)+((0.67*AU44)/Speed!BH125)</f>
        <v>33.96621024682468</v>
      </c>
      <c r="BV44" s="401">
        <f>((0.33*AV44)/Speed!AI125)+((0.67*AV44)/Speed!BI125)</f>
        <v>35.09283227508773</v>
      </c>
      <c r="BW44" s="401">
        <f>((0.33*AW44)/Speed!AJ125)+((0.67*AW44)/Speed!BJ125)</f>
        <v>36.219655616042374</v>
      </c>
      <c r="BX44" s="401">
        <f>((0.33*AX44)/Speed!AK125)+((0.67*AX44)/Speed!BK125)</f>
        <v>37.129595084091591</v>
      </c>
      <c r="BY44" s="401">
        <f>((0.33*AY44)/Speed!AL125)+((0.67*AY44)/Speed!BL125)</f>
        <v>37.814081449881925</v>
      </c>
      <c r="BZ44" s="401">
        <f>((0.33*AZ44)/Speed!AM125)+((0.67*AZ44)/Speed!BM125)</f>
        <v>38.498567930043293</v>
      </c>
      <c r="CA44" s="401">
        <f>((0.33*BA44)/Speed!AN125)+((0.67*BA44)/Speed!BN125)</f>
        <v>39.18305454460878</v>
      </c>
      <c r="CB44" s="401">
        <f>((0.33*BB44)/Speed!AO125)+((0.67*BB44)/Speed!BO125)</f>
        <v>39.867340162661222</v>
      </c>
      <c r="CC44" s="401">
        <f>((0.33*BC44)/Speed!AP125)+((0.67*BC44)/Speed!BP125)</f>
        <v>40.551827118711422</v>
      </c>
      <c r="CD44" s="401">
        <f>((0.33*BD44)/Speed!AQ125)+((0.67*BD44)/Speed!BQ125)</f>
        <v>41.23611313512535</v>
      </c>
      <c r="CE44" s="401">
        <f>((0.33*BE44)/Speed!AR125)+((0.67*BE44)/Speed!BR125)</f>
        <v>41.92060055495331</v>
      </c>
      <c r="CF44" s="401">
        <f>((0.33*BF44)/Speed!AS125)+((0.67*BF44)/Speed!BS125)</f>
        <v>42.605088263935485</v>
      </c>
      <c r="CG44" s="401">
        <f>((0.33*BG44)/Speed!AT125)+((0.67*BG44)/Speed!BT125)</f>
        <v>43.289375153020359</v>
      </c>
      <c r="CH44" s="401">
        <f>((0.33*BH44)/Speed!AU125)+((0.67*BH44)/Speed!BU125)</f>
        <v>43.973863582483787</v>
      </c>
      <c r="CI44" s="401">
        <f>((0.33*BI44)/Speed!AV125)+((0.67*BI44)/Speed!BV125)</f>
        <v>44.65835245654759</v>
      </c>
      <c r="CJ44" s="409">
        <f>((0.33*BJ44)/Speed!AW125)+((0.67*BJ44)/Speed!BW125)</f>
        <v>45.342640686663643</v>
      </c>
      <c r="CK44" s="1408"/>
      <c r="CL44" s="1408"/>
      <c r="CM44" s="1412"/>
      <c r="CN44" s="1415"/>
      <c r="DA44"/>
    </row>
    <row r="45" spans="2:105" ht="21.9" customHeight="1" x14ac:dyDescent="0.25">
      <c r="B45" s="900"/>
      <c r="C45" s="284"/>
      <c r="D45" s="284" t="s">
        <v>326</v>
      </c>
      <c r="E45" s="284" t="s">
        <v>274</v>
      </c>
      <c r="F45" s="284" t="s">
        <v>357</v>
      </c>
      <c r="G45" s="285">
        <v>55</v>
      </c>
      <c r="H45" s="286">
        <f>8095/foottomile</f>
        <v>1.5331439393939394</v>
      </c>
      <c r="I45" s="285">
        <v>4</v>
      </c>
      <c r="J45" s="335">
        <f>J44</f>
        <v>6000</v>
      </c>
      <c r="K45" s="325">
        <f>K44</f>
        <v>6170.14</v>
      </c>
      <c r="L45" s="325">
        <f t="shared" ref="L45:AH45" si="27">L44</f>
        <v>6364.0099999999993</v>
      </c>
      <c r="M45" s="325">
        <f t="shared" si="27"/>
        <v>6611.7300000000005</v>
      </c>
      <c r="N45" s="325">
        <f t="shared" si="27"/>
        <v>6859.53</v>
      </c>
      <c r="O45" s="325">
        <f t="shared" si="27"/>
        <v>7107.2900000000027</v>
      </c>
      <c r="P45" s="325">
        <f t="shared" si="27"/>
        <v>7355.0100000000011</v>
      </c>
      <c r="Q45" s="325">
        <f t="shared" si="27"/>
        <v>7602.7800000000016</v>
      </c>
      <c r="R45" s="325">
        <f t="shared" si="27"/>
        <v>7882.82</v>
      </c>
      <c r="S45" s="325">
        <f t="shared" si="27"/>
        <v>8162.85</v>
      </c>
      <c r="T45" s="325">
        <f t="shared" si="27"/>
        <v>8442.85</v>
      </c>
      <c r="U45" s="325">
        <f t="shared" si="27"/>
        <v>8722.8900000000012</v>
      </c>
      <c r="V45" s="325">
        <f t="shared" si="27"/>
        <v>9002.98</v>
      </c>
      <c r="W45" s="325">
        <f t="shared" si="27"/>
        <v>9229.16</v>
      </c>
      <c r="X45" s="325">
        <f t="shared" si="27"/>
        <v>9399.3000000000011</v>
      </c>
      <c r="Y45" s="325">
        <f t="shared" si="27"/>
        <v>9569.4400000000023</v>
      </c>
      <c r="Z45" s="325">
        <f t="shared" si="27"/>
        <v>9739.5800000000017</v>
      </c>
      <c r="AA45" s="325">
        <f t="shared" si="27"/>
        <v>9909.6700000000019</v>
      </c>
      <c r="AB45" s="325">
        <f t="shared" si="27"/>
        <v>10079.809999999998</v>
      </c>
      <c r="AC45" s="325">
        <f t="shared" si="27"/>
        <v>10249.899999999998</v>
      </c>
      <c r="AD45" s="325">
        <f t="shared" si="27"/>
        <v>10420.039999999997</v>
      </c>
      <c r="AE45" s="325">
        <f t="shared" si="27"/>
        <v>10590.179999999998</v>
      </c>
      <c r="AF45" s="325">
        <f t="shared" si="27"/>
        <v>10760.269999999997</v>
      </c>
      <c r="AG45" s="325">
        <f t="shared" si="27"/>
        <v>10930.409999999998</v>
      </c>
      <c r="AH45" s="325">
        <f t="shared" si="27"/>
        <v>11100.549999999997</v>
      </c>
      <c r="AI45" s="326">
        <f>AI44</f>
        <v>11270.639999999998</v>
      </c>
      <c r="AJ45" s="288">
        <f t="shared" si="25"/>
        <v>3.5137599999999984E-2</v>
      </c>
      <c r="AK45" s="335">
        <f t="shared" si="23"/>
        <v>9198.863636363636</v>
      </c>
      <c r="AL45" s="325">
        <f t="shared" si="7"/>
        <v>9459.7127462121225</v>
      </c>
      <c r="AM45" s="325">
        <f t="shared" si="8"/>
        <v>9756.9433617424238</v>
      </c>
      <c r="AN45" s="325">
        <f t="shared" si="9"/>
        <v>10136.733778409092</v>
      </c>
      <c r="AO45" s="325">
        <f t="shared" si="10"/>
        <v>10516.646846590909</v>
      </c>
      <c r="AP45" s="325">
        <f t="shared" si="11"/>
        <v>10896.498589015157</v>
      </c>
      <c r="AQ45" s="325">
        <f t="shared" si="19"/>
        <v>11276.28900568182</v>
      </c>
      <c r="AR45" s="325">
        <f t="shared" si="19"/>
        <v>11656.156079545457</v>
      </c>
      <c r="AS45" s="325">
        <f t="shared" si="19"/>
        <v>12085.497708333332</v>
      </c>
      <c r="AT45" s="325">
        <f t="shared" si="19"/>
        <v>12514.824005681819</v>
      </c>
      <c r="AU45" s="325">
        <f t="shared" si="19"/>
        <v>12944.104308712122</v>
      </c>
      <c r="AV45" s="325">
        <f t="shared" si="19"/>
        <v>13373.445937500002</v>
      </c>
      <c r="AW45" s="325">
        <f t="shared" si="19"/>
        <v>13802.864223484848</v>
      </c>
      <c r="AX45" s="325">
        <f t="shared" si="19"/>
        <v>14149.63071969697</v>
      </c>
      <c r="AY45" s="325">
        <f t="shared" si="19"/>
        <v>14410.479829545457</v>
      </c>
      <c r="AZ45" s="325">
        <f t="shared" si="19"/>
        <v>14671.328939393943</v>
      </c>
      <c r="BA45" s="325">
        <f t="shared" si="19"/>
        <v>14932.178049242428</v>
      </c>
      <c r="BB45" s="325">
        <f t="shared" si="19"/>
        <v>15192.950501893944</v>
      </c>
      <c r="BC45" s="325">
        <f t="shared" si="19"/>
        <v>15453.799611742421</v>
      </c>
      <c r="BD45" s="325">
        <f t="shared" si="19"/>
        <v>15714.572064393937</v>
      </c>
      <c r="BE45" s="325">
        <f t="shared" si="19"/>
        <v>15975.421174242421</v>
      </c>
      <c r="BF45" s="325">
        <f t="shared" ref="BF45:BF66" si="28">$H45*AE45</f>
        <v>16236.270284090908</v>
      </c>
      <c r="BG45" s="325">
        <f t="shared" ref="BG45:BG66" si="29">$H45*AF45</f>
        <v>16497.04273674242</v>
      </c>
      <c r="BH45" s="325">
        <f t="shared" ref="BH45:BH66" si="30">$H45*AG45</f>
        <v>16757.891846590908</v>
      </c>
      <c r="BI45" s="325">
        <f t="shared" ref="BI45:BI66" si="31">$H45*AH45</f>
        <v>17018.740956439389</v>
      </c>
      <c r="BJ45" s="326">
        <f t="shared" ref="BJ45:BJ66" si="32">$H45*AI45</f>
        <v>17279.513409090905</v>
      </c>
      <c r="BK45" s="400">
        <f>((0.33*'Traffic Data'!AK45)/Speed!X126)+((0.67*'Traffic Data'!AK45)/Speed!AX126)</f>
        <v>164.55927798828586</v>
      </c>
      <c r="BL45" s="401">
        <f>((0.33*AL45)/Speed!Y126)+((0.67*AL45)/Speed!AY126)</f>
        <v>169.22563059998978</v>
      </c>
      <c r="BM45" s="401">
        <f>((0.33*AM45)/Speed!Z126)+((0.67*AM45)/Speed!AZ126)</f>
        <v>174.54281516679669</v>
      </c>
      <c r="BN45" s="401">
        <f>((0.33*AN45)/Speed!AA126)+((0.67*AN45)/Speed!BA126)</f>
        <v>181.33691927845092</v>
      </c>
      <c r="BO45" s="401">
        <f>((0.33*AO45)/Speed!AB126)+((0.67*AO45)/Speed!BB126)</f>
        <v>188.13321753962737</v>
      </c>
      <c r="BP45" s="401">
        <f>((0.33*AP45)/Speed!AC126)+((0.67*AP45)/Speed!BC126)</f>
        <v>194.92841877483693</v>
      </c>
      <c r="BQ45" s="401">
        <f>((0.33*AQ45)/Speed!AD126)+((0.67*AQ45)/Speed!BD126)</f>
        <v>201.72252299753711</v>
      </c>
      <c r="BR45" s="401">
        <f>((0.33*AR45)/Speed!AE126)+((0.67*AR45)/Speed!BE126)</f>
        <v>208.5179986147636</v>
      </c>
      <c r="BS45" s="401">
        <f>((0.33*AS45)/Speed!AF126)+((0.67*AS45)/Speed!BF126)</f>
        <v>216.19852902282696</v>
      </c>
      <c r="BT45" s="401">
        <f>((0.33*AT45)/Speed!AG126)+((0.67*AT45)/Speed!BG126)</f>
        <v>223.87878532565918</v>
      </c>
      <c r="BU45" s="401">
        <f>((0.33*AU45)/Speed!AH126)+((0.67*AU45)/Speed!BH126)</f>
        <v>231.55821905128661</v>
      </c>
      <c r="BV45" s="401">
        <f>((0.33*AV45)/Speed!AI126)+((0.67*AV45)/Speed!BI126)</f>
        <v>239.23875013578953</v>
      </c>
      <c r="BW45" s="401">
        <f>((0.33*AW45)/Speed!AJ126)+((0.67*AW45)/Speed!BJ126)</f>
        <v>246.92065294603401</v>
      </c>
      <c r="BX45" s="401">
        <f>((0.33*AX45)/Speed!AK126)+((0.67*AX45)/Speed!BK126)</f>
        <v>253.12399074367437</v>
      </c>
      <c r="BY45" s="401">
        <f>((0.33*AY45)/Speed!AL126)+((0.67*AY45)/Speed!BL126)</f>
        <v>257.79034477957077</v>
      </c>
      <c r="BZ45" s="401">
        <f>((0.33*AZ45)/Speed!AM126)+((0.67*AZ45)/Speed!BM126)</f>
        <v>262.45669910206459</v>
      </c>
      <c r="CA45" s="401">
        <f>((0.33*BA45)/Speed!AN126)+((0.67*BA45)/Speed!BN126)</f>
        <v>267.12305376135583</v>
      </c>
      <c r="CB45" s="401">
        <f>((0.33*BB45)/Speed!AO126)+((0.67*BB45)/Speed!BO126)</f>
        <v>271.78803748720338</v>
      </c>
      <c r="CC45" s="401">
        <f>((0.33*BC45)/Speed!AP126)+((0.67*BC45)/Speed!BP126)</f>
        <v>276.45439300220619</v>
      </c>
      <c r="CD45" s="401">
        <f>((0.33*BD45)/Speed!AQ126)+((0.67*BD45)/Speed!BQ126)</f>
        <v>281.1193777262904</v>
      </c>
      <c r="CE45" s="401">
        <f>((0.33*BE45)/Speed!AR126)+((0.67*BE45)/Speed!BR126)</f>
        <v>285.78573440345377</v>
      </c>
      <c r="CF45" s="401">
        <f>((0.33*BF45)/Speed!AS126)+((0.67*BF45)/Speed!BS126)</f>
        <v>290.45209180519612</v>
      </c>
      <c r="CG45" s="401">
        <f>((0.33*BG45)/Speed!AT126)+((0.67*BG45)/Speed!BT126)</f>
        <v>295.11707871606836</v>
      </c>
      <c r="CH45" s="401">
        <f>((0.33*BH45)/Speed!AU126)+((0.67*BH45)/Speed!BU126)</f>
        <v>299.78343792323324</v>
      </c>
      <c r="CI45" s="401">
        <f>((0.33*BI45)/Speed!AV126)+((0.67*BI45)/Speed!BV126)</f>
        <v>304.44979824450263</v>
      </c>
      <c r="CJ45" s="409">
        <f>((0.33*BJ45)/Speed!AW126)+((0.67*BJ45)/Speed!BW126)</f>
        <v>309.11478851580648</v>
      </c>
      <c r="CK45" s="1408"/>
      <c r="CL45" s="1408"/>
      <c r="CM45" s="1412"/>
      <c r="CN45" s="1415"/>
      <c r="DA45"/>
    </row>
    <row r="46" spans="2:105" ht="21.9" customHeight="1" thickBot="1" x14ac:dyDescent="0.3">
      <c r="B46" s="901"/>
      <c r="C46" s="314"/>
      <c r="D46" s="314" t="s">
        <v>274</v>
      </c>
      <c r="E46" s="314" t="s">
        <v>317</v>
      </c>
      <c r="F46" s="314"/>
      <c r="G46" s="315">
        <v>55</v>
      </c>
      <c r="H46" s="316">
        <f>500/foottomile</f>
        <v>9.4696969696969696E-2</v>
      </c>
      <c r="I46" s="315">
        <v>4</v>
      </c>
      <c r="J46" s="339">
        <v>2400</v>
      </c>
      <c r="K46" s="315">
        <f>K45*0.4</f>
        <v>2468.0560000000005</v>
      </c>
      <c r="L46" s="315">
        <f t="shared" ref="L46" si="33">L45*0.4</f>
        <v>2545.6039999999998</v>
      </c>
      <c r="M46" s="315">
        <f t="shared" ref="M46" si="34">M45*0.4</f>
        <v>2644.6920000000005</v>
      </c>
      <c r="N46" s="315">
        <f t="shared" ref="N46" si="35">N45*0.4</f>
        <v>2743.8119999999999</v>
      </c>
      <c r="O46" s="315">
        <f t="shared" ref="O46" si="36">O45*0.4</f>
        <v>2842.9160000000011</v>
      </c>
      <c r="P46" s="315">
        <f t="shared" ref="P46" si="37">P45*0.4</f>
        <v>2942.0040000000008</v>
      </c>
      <c r="Q46" s="315">
        <f t="shared" ref="Q46" si="38">Q45*0.4</f>
        <v>3041.112000000001</v>
      </c>
      <c r="R46" s="315">
        <f t="shared" ref="R46" si="39">R45*0.4</f>
        <v>3153.1280000000002</v>
      </c>
      <c r="S46" s="315">
        <f t="shared" ref="S46" si="40">S45*0.4</f>
        <v>3265.1400000000003</v>
      </c>
      <c r="T46" s="315">
        <f t="shared" ref="T46" si="41">T45*0.4</f>
        <v>3377.1400000000003</v>
      </c>
      <c r="U46" s="315">
        <f t="shared" ref="U46" si="42">U45*0.4</f>
        <v>3489.1560000000009</v>
      </c>
      <c r="V46" s="315">
        <f t="shared" ref="V46" si="43">V45*0.4</f>
        <v>3601.192</v>
      </c>
      <c r="W46" s="315">
        <f t="shared" ref="W46" si="44">W45*0.4</f>
        <v>3691.6640000000002</v>
      </c>
      <c r="X46" s="315">
        <f t="shared" ref="X46" si="45">X45*0.4</f>
        <v>3759.7200000000007</v>
      </c>
      <c r="Y46" s="315">
        <f t="shared" ref="Y46" si="46">Y45*0.4</f>
        <v>3827.7760000000012</v>
      </c>
      <c r="Z46" s="315">
        <f t="shared" ref="Z46" si="47">Z45*0.4</f>
        <v>3895.8320000000008</v>
      </c>
      <c r="AA46" s="315">
        <f t="shared" ref="AA46" si="48">AA45*0.4</f>
        <v>3963.8680000000008</v>
      </c>
      <c r="AB46" s="315">
        <f t="shared" ref="AB46" si="49">AB45*0.4</f>
        <v>4031.9239999999991</v>
      </c>
      <c r="AC46" s="315">
        <f t="shared" ref="AC46" si="50">AC45*0.4</f>
        <v>4099.9599999999991</v>
      </c>
      <c r="AD46" s="315">
        <f t="shared" ref="AD46" si="51">AD45*0.4</f>
        <v>4168.0159999999987</v>
      </c>
      <c r="AE46" s="315">
        <f t="shared" ref="AE46" si="52">AE45*0.4</f>
        <v>4236.0719999999992</v>
      </c>
      <c r="AF46" s="315">
        <f t="shared" ref="AF46" si="53">AF45*0.4</f>
        <v>4304.1079999999993</v>
      </c>
      <c r="AG46" s="315">
        <f t="shared" ref="AG46" si="54">AG45*0.4</f>
        <v>4372.1639999999998</v>
      </c>
      <c r="AH46" s="315">
        <f t="shared" ref="AH46" si="55">AH45*0.4</f>
        <v>4440.2199999999993</v>
      </c>
      <c r="AI46" s="340">
        <f t="shared" ref="AI46" si="56">AI45*0.4</f>
        <v>4508.2559999999994</v>
      </c>
      <c r="AJ46" s="317">
        <f t="shared" si="25"/>
        <v>3.5137599999999991E-2</v>
      </c>
      <c r="AK46" s="339">
        <f t="shared" ref="AK46:AK57" si="57">$H46*J46</f>
        <v>227.27272727272728</v>
      </c>
      <c r="AL46" s="315">
        <f t="shared" si="7"/>
        <v>233.7174242424243</v>
      </c>
      <c r="AM46" s="315">
        <f t="shared" si="8"/>
        <v>241.06098484848482</v>
      </c>
      <c r="AN46" s="315">
        <f t="shared" si="9"/>
        <v>250.44431818181823</v>
      </c>
      <c r="AO46" s="315">
        <f t="shared" si="10"/>
        <v>259.8306818181818</v>
      </c>
      <c r="AP46" s="315">
        <f t="shared" si="11"/>
        <v>269.21553030303039</v>
      </c>
      <c r="AQ46" s="315">
        <f t="shared" ref="AQ46:BE61" si="58">$H46*P46</f>
        <v>278.59886363636372</v>
      </c>
      <c r="AR46" s="315">
        <f t="shared" si="58"/>
        <v>287.98409090909098</v>
      </c>
      <c r="AS46" s="315">
        <f t="shared" si="58"/>
        <v>298.5916666666667</v>
      </c>
      <c r="AT46" s="315">
        <f t="shared" si="58"/>
        <v>309.19886363636368</v>
      </c>
      <c r="AU46" s="315">
        <f t="shared" si="58"/>
        <v>319.80492424242425</v>
      </c>
      <c r="AV46" s="315">
        <f t="shared" si="58"/>
        <v>330.41250000000008</v>
      </c>
      <c r="AW46" s="315">
        <f t="shared" si="58"/>
        <v>341.02196969696968</v>
      </c>
      <c r="AX46" s="315">
        <f t="shared" si="58"/>
        <v>349.58939393939397</v>
      </c>
      <c r="AY46" s="315">
        <f t="shared" si="58"/>
        <v>356.03409090909099</v>
      </c>
      <c r="AZ46" s="315">
        <f t="shared" si="58"/>
        <v>362.47878787878801</v>
      </c>
      <c r="BA46" s="315">
        <f t="shared" si="58"/>
        <v>368.92348484848492</v>
      </c>
      <c r="BB46" s="315">
        <f t="shared" si="58"/>
        <v>375.36628787878794</v>
      </c>
      <c r="BC46" s="315">
        <f t="shared" si="58"/>
        <v>381.81098484848474</v>
      </c>
      <c r="BD46" s="315">
        <f t="shared" si="58"/>
        <v>388.25378787878782</v>
      </c>
      <c r="BE46" s="315">
        <f t="shared" si="58"/>
        <v>394.69848484848472</v>
      </c>
      <c r="BF46" s="315">
        <f t="shared" si="28"/>
        <v>401.14318181818174</v>
      </c>
      <c r="BG46" s="315">
        <f t="shared" si="29"/>
        <v>407.58598484848477</v>
      </c>
      <c r="BH46" s="315">
        <f t="shared" si="30"/>
        <v>414.03068181818179</v>
      </c>
      <c r="BI46" s="315">
        <f t="shared" si="31"/>
        <v>420.4753787878787</v>
      </c>
      <c r="BJ46" s="340">
        <f t="shared" si="32"/>
        <v>426.91818181818178</v>
      </c>
      <c r="BK46" s="405">
        <f>((0.33*'Traffic Data'!AK46)/Speed!X127)+((0.67*'Traffic Data'!AK46)/Speed!AX127)</f>
        <v>4.1098166073256728</v>
      </c>
      <c r="BL46" s="406">
        <f>((0.33*AL46)/Speed!Y127)+((0.67*AL46)/Speed!AY127)</f>
        <v>4.2263580935276419</v>
      </c>
      <c r="BM46" s="406">
        <f>((0.33*AM46)/Speed!Z127)+((0.67*AM46)/Speed!AZ127)</f>
        <v>4.3591543484551938</v>
      </c>
      <c r="BN46" s="406">
        <f>((0.33*AN46)/Speed!AA127)+((0.67*AN46)/Speed!BA127)</f>
        <v>4.5288372448012844</v>
      </c>
      <c r="BO46" s="406">
        <f>((0.33*AO46)/Speed!AB127)+((0.67*AO46)/Speed!BB127)</f>
        <v>4.6985760141229438</v>
      </c>
      <c r="BP46" s="406">
        <f>((0.33*AP46)/Speed!AC127)+((0.67*AP46)/Speed!BC127)</f>
        <v>4.8682888795979888</v>
      </c>
      <c r="BQ46" s="406">
        <f>((0.33*AQ46)/Speed!AD127)+((0.67*AQ46)/Speed!BD127)</f>
        <v>5.0379764018406874</v>
      </c>
      <c r="BR46" s="406">
        <f>((0.33*AR46)/Speed!AE127)+((0.67*AR46)/Speed!BE127)</f>
        <v>5.2077009723411614</v>
      </c>
      <c r="BS46" s="406">
        <f>((0.33*AS46)/Speed!AF127)+((0.67*AS46)/Speed!BF127)</f>
        <v>5.3995353686660401</v>
      </c>
      <c r="BT46" s="406">
        <f>((0.33*AT46)/Speed!AG127)+((0.67*AT46)/Speed!BG127)</f>
        <v>5.5913695901580205</v>
      </c>
      <c r="BU46" s="406">
        <f>((0.33*AU46)/Speed!AH127)+((0.67*AU46)/Speed!BH127)</f>
        <v>5.7831923932666776</v>
      </c>
      <c r="BV46" s="406">
        <f>((0.33*AV46)/Speed!AI127)+((0.67*AV46)/Speed!BI127)</f>
        <v>5.9750549683384424</v>
      </c>
      <c r="BW46" s="406">
        <f>((0.33*AW46)/Speed!AJ127)+((0.67*AW46)/Speed!BJ127)</f>
        <v>6.1669683892631788</v>
      </c>
      <c r="BX46" s="406">
        <f>((0.33*AX46)/Speed!AK127)+((0.67*AX46)/Speed!BK127)</f>
        <v>6.3219592787364434</v>
      </c>
      <c r="BY46" s="406">
        <f>((0.33*AY46)/Speed!AL127)+((0.67*AY46)/Speed!BL127)</f>
        <v>6.4385600931778431</v>
      </c>
      <c r="BZ46" s="406">
        <f>((0.33*AZ46)/Speed!AM127)+((0.67*AZ46)/Speed!BM127)</f>
        <v>6.5551728465395769</v>
      </c>
      <c r="CA46" s="406">
        <f>((0.33*BA46)/Speed!AN127)+((0.67*BA46)/Speed!BN127)</f>
        <v>6.6717996300245872</v>
      </c>
      <c r="CB46" s="406">
        <f>((0.33*BB46)/Speed!AO127)+((0.67*BB46)/Speed!BO127)</f>
        <v>6.7884085727822407</v>
      </c>
      <c r="CC46" s="406">
        <f>((0.33*BC46)/Speed!AP127)+((0.67*BC46)/Speed!BP127)</f>
        <v>6.9050710030408249</v>
      </c>
      <c r="CD46" s="406">
        <f>((0.33*BD46)/Speed!AQ127)+((0.67*BD46)/Speed!BQ127)</f>
        <v>7.0217215298009208</v>
      </c>
      <c r="CE46" s="406">
        <f>((0.33*BE46)/Speed!AR127)+((0.67*BE46)/Speed!BR127)</f>
        <v>7.1384323727100245</v>
      </c>
      <c r="CF46" s="406">
        <f>((0.33*BF46)/Speed!AS127)+((0.67*BF46)/Speed!BS127)</f>
        <v>7.2551733997344883</v>
      </c>
      <c r="CG46" s="406">
        <f>((0.33*BG46)/Speed!AT127)+((0.67*BG46)/Speed!BT127)</f>
        <v>7.3719150225261867</v>
      </c>
      <c r="CH46" s="406">
        <f>((0.33*BH46)/Speed!AU127)+((0.67*BH46)/Speed!BU127)</f>
        <v>7.4887312588652737</v>
      </c>
      <c r="CI46" s="406">
        <f>((0.33*BI46)/Speed!AV127)+((0.67*BI46)/Speed!BV127)</f>
        <v>7.6055939059746951</v>
      </c>
      <c r="CJ46" s="410">
        <f>((0.33*BJ46)/Speed!AW127)+((0.67*BJ46)/Speed!BW127)</f>
        <v>7.7224755158027385</v>
      </c>
      <c r="CK46" s="1409"/>
      <c r="CL46" s="1409"/>
      <c r="CM46" s="1413"/>
      <c r="CN46" s="1416"/>
      <c r="DA46"/>
    </row>
    <row r="47" spans="2:105" ht="21.9" customHeight="1" x14ac:dyDescent="0.25">
      <c r="B47" s="1146" t="s">
        <v>287</v>
      </c>
      <c r="C47" s="1328" t="s">
        <v>315</v>
      </c>
      <c r="D47" s="744" t="s">
        <v>316</v>
      </c>
      <c r="E47" s="744" t="s">
        <v>276</v>
      </c>
      <c r="F47" s="217" t="s">
        <v>344</v>
      </c>
      <c r="G47" s="1147">
        <v>70</v>
      </c>
      <c r="H47" s="1148">
        <v>9.5000000000000001E-2</v>
      </c>
      <c r="I47" s="272">
        <v>4</v>
      </c>
      <c r="J47" s="341">
        <f>'Trip Gen'!W148</f>
        <v>16000</v>
      </c>
      <c r="K47" s="1149">
        <f>'Trip Gen'!X148</f>
        <v>16727.55</v>
      </c>
      <c r="L47" s="1149">
        <f>'Trip Gen'!Y148</f>
        <v>17752.600000000002</v>
      </c>
      <c r="M47" s="1149">
        <f>'Trip Gen'!Z148</f>
        <v>19260.400000000001</v>
      </c>
      <c r="N47" s="1149">
        <f>'Trip Gen'!AA148</f>
        <v>20768.75</v>
      </c>
      <c r="O47" s="1149">
        <f>'Trip Gen'!AB148</f>
        <v>22277.1</v>
      </c>
      <c r="P47" s="1149">
        <f>'Trip Gen'!AC148</f>
        <v>23784.899999999998</v>
      </c>
      <c r="Q47" s="1149">
        <f>'Trip Gen'!AD148</f>
        <v>25293.799999999996</v>
      </c>
      <c r="R47" s="1149">
        <f>'Trip Gen'!AE148</f>
        <v>26784.85</v>
      </c>
      <c r="S47" s="1149">
        <f>'Trip Gen'!AF148</f>
        <v>28276.2</v>
      </c>
      <c r="T47" s="1149">
        <f>'Trip Gen'!AG148</f>
        <v>29767.250000000004</v>
      </c>
      <c r="U47" s="1149">
        <f>'Trip Gen'!AH148</f>
        <v>31258.300000000003</v>
      </c>
      <c r="V47" s="1149">
        <f>'Trip Gen'!AI148</f>
        <v>32750.45</v>
      </c>
      <c r="W47" s="1149">
        <f>'Trip Gen'!AJ148</f>
        <v>33758.200000000004</v>
      </c>
      <c r="X47" s="1149">
        <f>'Trip Gen'!AK148</f>
        <v>34485.75</v>
      </c>
      <c r="Y47" s="1149">
        <f>'Trip Gen'!AL148</f>
        <v>35213.299999999996</v>
      </c>
      <c r="Z47" s="1149">
        <f>'Trip Gen'!AM148</f>
        <v>35940.85</v>
      </c>
      <c r="AA47" s="1149">
        <f>'Trip Gen'!AN148</f>
        <v>36668.65</v>
      </c>
      <c r="AB47" s="1149">
        <f>'Trip Gen'!AO148</f>
        <v>37396.200000000004</v>
      </c>
      <c r="AC47" s="1149">
        <f>'Trip Gen'!AP148</f>
        <v>38123.999999999993</v>
      </c>
      <c r="AD47" s="1149">
        <f>'Trip Gen'!AQ148</f>
        <v>38851.550000000003</v>
      </c>
      <c r="AE47" s="1149">
        <f>'Trip Gen'!AR148</f>
        <v>39579.1</v>
      </c>
      <c r="AF47" s="1149">
        <f>'Trip Gen'!AS148</f>
        <v>40306.899999999994</v>
      </c>
      <c r="AG47" s="1149">
        <f>'Trip Gen'!AT148</f>
        <v>41034.449999999997</v>
      </c>
      <c r="AH47" s="1149">
        <f>'Trip Gen'!AU148</f>
        <v>41762</v>
      </c>
      <c r="AI47" s="1149">
        <f>'Trip Gen'!AV148</f>
        <v>42489.799999999996</v>
      </c>
      <c r="AJ47" s="1155">
        <f t="shared" si="25"/>
        <v>6.6224499999999992E-2</v>
      </c>
      <c r="AK47" s="341">
        <f t="shared" si="57"/>
        <v>1520</v>
      </c>
      <c r="AL47" s="1149">
        <f t="shared" si="7"/>
        <v>1589.11725</v>
      </c>
      <c r="AM47" s="1149">
        <f t="shared" si="8"/>
        <v>1686.4970000000003</v>
      </c>
      <c r="AN47" s="1149">
        <f t="shared" si="9"/>
        <v>1829.7380000000001</v>
      </c>
      <c r="AO47" s="1149">
        <f t="shared" si="10"/>
        <v>1973.03125</v>
      </c>
      <c r="AP47" s="1149">
        <f t="shared" si="11"/>
        <v>2116.3244999999997</v>
      </c>
      <c r="AQ47" s="1149">
        <f t="shared" si="58"/>
        <v>2259.5654999999997</v>
      </c>
      <c r="AR47" s="1149">
        <f t="shared" si="58"/>
        <v>2402.9109999999996</v>
      </c>
      <c r="AS47" s="1149">
        <f t="shared" si="58"/>
        <v>2544.5607500000001</v>
      </c>
      <c r="AT47" s="1149">
        <f t="shared" si="58"/>
        <v>2686.239</v>
      </c>
      <c r="AU47" s="1149">
        <f t="shared" si="58"/>
        <v>2827.8887500000005</v>
      </c>
      <c r="AV47" s="1149">
        <f t="shared" si="58"/>
        <v>2969.5385000000001</v>
      </c>
      <c r="AW47" s="1149">
        <f t="shared" si="58"/>
        <v>3111.2927500000001</v>
      </c>
      <c r="AX47" s="1149">
        <f t="shared" si="58"/>
        <v>3207.0290000000005</v>
      </c>
      <c r="AY47" s="1149">
        <f t="shared" si="58"/>
        <v>3276.1462500000002</v>
      </c>
      <c r="AZ47" s="1149">
        <f t="shared" si="58"/>
        <v>3345.2634999999996</v>
      </c>
      <c r="BA47" s="1149">
        <f t="shared" si="58"/>
        <v>3414.3807499999998</v>
      </c>
      <c r="BB47" s="1149">
        <f t="shared" si="58"/>
        <v>3483.5217500000003</v>
      </c>
      <c r="BC47" s="1149">
        <f t="shared" si="58"/>
        <v>3552.6390000000006</v>
      </c>
      <c r="BD47" s="1149">
        <f t="shared" si="58"/>
        <v>3621.7799999999993</v>
      </c>
      <c r="BE47" s="1149">
        <f t="shared" si="58"/>
        <v>3690.8972500000004</v>
      </c>
      <c r="BF47" s="1149">
        <f t="shared" si="28"/>
        <v>3760.0144999999998</v>
      </c>
      <c r="BG47" s="1149">
        <f t="shared" si="29"/>
        <v>3829.1554999999994</v>
      </c>
      <c r="BH47" s="1149">
        <f t="shared" si="30"/>
        <v>3898.2727499999996</v>
      </c>
      <c r="BI47" s="1149">
        <f t="shared" si="31"/>
        <v>3967.39</v>
      </c>
      <c r="BJ47" s="1149">
        <f t="shared" si="32"/>
        <v>4036.5309999999995</v>
      </c>
      <c r="BK47" s="394">
        <f>((0.33*'Traffic Data'!AK47)/Speed!X128)+((0.67*'Traffic Data'!AK47)/Speed!AX128)</f>
        <v>21.175856323280648</v>
      </c>
      <c r="BL47" s="440">
        <f>((0.33*AL47)/Speed!Y128)+((0.67*AL47)/Speed!AY128)</f>
        <v>22.138786413516861</v>
      </c>
      <c r="BM47" s="440">
        <f>((0.33*AM47)/Speed!Z128)+((0.67*AM47)/Speed!AZ128)</f>
        <v>23.495490499721907</v>
      </c>
      <c r="BN47" s="440">
        <f>((0.33*AN47)/Speed!AA128)+((0.67*AN47)/Speed!BA128)</f>
        <v>25.491234591079476</v>
      </c>
      <c r="BO47" s="440">
        <f>((0.33*AO47)/Speed!AB128)+((0.67*AO47)/Speed!BB128)</f>
        <v>27.4879290716447</v>
      </c>
      <c r="BP47" s="440">
        <f>((0.33*AP47)/Speed!AC128)+((0.67*AP47)/Speed!BC128)</f>
        <v>29.485059760979347</v>
      </c>
      <c r="BQ47" s="440">
        <f>((0.33*AQ47)/Speed!AD128)+((0.67*AQ47)/Speed!BD128)</f>
        <v>31.482278212945808</v>
      </c>
      <c r="BR47" s="440">
        <f>((0.33*AR47)/Speed!AE128)+((0.67*AR47)/Speed!BE128)</f>
        <v>33.482421677200207</v>
      </c>
      <c r="BS47" s="440">
        <f>((0.33*AS47)/Speed!AF128)+((0.67*AS47)/Speed!BF128)</f>
        <v>35.461399943164125</v>
      </c>
      <c r="BT47" s="440">
        <f>((0.33*AT47)/Speed!AG128)+((0.67*AT47)/Speed!BG128)</f>
        <v>37.444931060365626</v>
      </c>
      <c r="BU47" s="440">
        <f>((0.33*AU47)/Speed!AH128)+((0.67*AU47)/Speed!BH128)</f>
        <v>39.434814458183652</v>
      </c>
      <c r="BV47" s="440">
        <f>((0.33*AV47)/Speed!AI128)+((0.67*AV47)/Speed!BI128)</f>
        <v>41.435401031650102</v>
      </c>
      <c r="BW47" s="440">
        <f>((0.33*AW47)/Speed!AJ128)+((0.67*AW47)/Speed!BJ128)</f>
        <v>43.454077685743009</v>
      </c>
      <c r="BX47" s="440">
        <f>((0.33*AX47)/Speed!AK128)+((0.67*AX47)/Speed!BK128)</f>
        <v>44.831044522451549</v>
      </c>
      <c r="BY47" s="440">
        <f>((0.33*AY47)/Speed!AL128)+((0.67*AY47)/Speed!BL128)</f>
        <v>45.834249465083083</v>
      </c>
      <c r="BZ47" s="440">
        <f>((0.33*AZ47)/Speed!AM128)+((0.67*AZ47)/Speed!BM128)</f>
        <v>46.846916865588334</v>
      </c>
      <c r="CA47" s="440">
        <f>((0.33*BA47)/Speed!AN128)+((0.67*BA47)/Speed!BN128)</f>
        <v>47.871001659443337</v>
      </c>
      <c r="CB47" s="440">
        <f>((0.33*BB47)/Speed!AO128)+((0.67*BB47)/Speed!BO128)</f>
        <v>48.909168971547231</v>
      </c>
      <c r="CC47" s="440">
        <f>((0.33*BC47)/Speed!AP128)+((0.67*BC47)/Speed!BP128)</f>
        <v>49.963417348204437</v>
      </c>
      <c r="CD47" s="440">
        <f>((0.33*BD47)/Speed!AQ128)+((0.67*BD47)/Speed!BQ128)</f>
        <v>51.03765077107937</v>
      </c>
      <c r="CE47" s="440">
        <f>((0.33*BE47)/Speed!AR128)+((0.67*BE47)/Speed!BR128)</f>
        <v>52.134844181240247</v>
      </c>
      <c r="CF47" s="440">
        <f>((0.33*BF47)/Speed!AS128)+((0.67*BF47)/Speed!BS128)</f>
        <v>53.25968683915503</v>
      </c>
      <c r="CG47" s="440">
        <f>((0.33*BG47)/Speed!AT128)+((0.67*BG47)/Speed!BT128)</f>
        <v>54.41760492974214</v>
      </c>
      <c r="CH47" s="440">
        <f>((0.33*BH47)/Speed!AU128)+((0.67*BH47)/Speed!BU128)</f>
        <v>55.61362209866909</v>
      </c>
      <c r="CI47" s="440">
        <f>((0.33*BI47)/Speed!AV128)+((0.67*BI47)/Speed!BV128)</f>
        <v>56.854851008888318</v>
      </c>
      <c r="CJ47" s="441">
        <f>((0.33*BJ47)/Speed!AW128)+((0.67*BJ47)/Speed!BW128)</f>
        <v>58.149490938130704</v>
      </c>
      <c r="CK47" s="1385">
        <f>Inputs!$D$35</f>
        <v>0.22</v>
      </c>
      <c r="CL47" s="1385">
        <f>Inputs!$D$36</f>
        <v>0.78</v>
      </c>
      <c r="CM47" s="1380">
        <f>1/(1+CK47)</f>
        <v>0.81967213114754101</v>
      </c>
      <c r="CN47" s="1392">
        <v>0.9</v>
      </c>
      <c r="DA47"/>
    </row>
    <row r="48" spans="2:105" ht="21.9" customHeight="1" x14ac:dyDescent="0.25">
      <c r="B48" s="469"/>
      <c r="C48" s="1327"/>
      <c r="D48" s="114" t="s">
        <v>276</v>
      </c>
      <c r="E48" s="114" t="s">
        <v>274</v>
      </c>
      <c r="F48" s="114" t="s">
        <v>345</v>
      </c>
      <c r="G48" s="343">
        <v>70</v>
      </c>
      <c r="H48" s="1119">
        <f>19116/foottomile</f>
        <v>3.6204545454545456</v>
      </c>
      <c r="I48" s="256">
        <v>4</v>
      </c>
      <c r="J48" s="320">
        <f>'Trip Gen'!W149</f>
        <v>13500</v>
      </c>
      <c r="K48" s="1115">
        <f>'Trip Gen'!X149</f>
        <v>14212.599999999997</v>
      </c>
      <c r="L48" s="1115">
        <f>'Trip Gen'!Y149</f>
        <v>15282.300000000001</v>
      </c>
      <c r="M48" s="1115">
        <f>'Trip Gen'!Z149</f>
        <v>17049.599999999999</v>
      </c>
      <c r="N48" s="1115">
        <f>'Trip Gen'!AA149</f>
        <v>18817.7</v>
      </c>
      <c r="O48" s="1115">
        <f>'Trip Gen'!AB149</f>
        <v>20585.699999999997</v>
      </c>
      <c r="P48" s="1115">
        <f>'Trip Gen'!AC149</f>
        <v>22353</v>
      </c>
      <c r="Q48" s="1115">
        <f>'Trip Gen'!AD149</f>
        <v>24121.899999999998</v>
      </c>
      <c r="R48" s="1115">
        <f>'Trip Gen'!AE149</f>
        <v>25906.499999999996</v>
      </c>
      <c r="S48" s="1115">
        <f>'Trip Gen'!AF149</f>
        <v>27691.699999999997</v>
      </c>
      <c r="T48" s="1115">
        <f>'Trip Gen'!AG149</f>
        <v>29476.299999999996</v>
      </c>
      <c r="U48" s="1115">
        <f>'Trip Gen'!AH149</f>
        <v>31260.899999999998</v>
      </c>
      <c r="V48" s="1115">
        <f>'Trip Gen'!AI149</f>
        <v>33047.1</v>
      </c>
      <c r="W48" s="1115">
        <f>'Trip Gen'!AJ149</f>
        <v>34133.300000000003</v>
      </c>
      <c r="X48" s="1115">
        <f>'Trip Gen'!AK149</f>
        <v>34845.899999999994</v>
      </c>
      <c r="Y48" s="1115">
        <f>'Trip Gen'!AL149</f>
        <v>35558.5</v>
      </c>
      <c r="Z48" s="1115">
        <f>'Trip Gen'!AM149</f>
        <v>36271.100000000006</v>
      </c>
      <c r="AA48" s="1115">
        <f>'Trip Gen'!AN149</f>
        <v>36984.1</v>
      </c>
      <c r="AB48" s="1115">
        <f>'Trip Gen'!AO149</f>
        <v>37696.699999999997</v>
      </c>
      <c r="AC48" s="1115">
        <f>'Trip Gen'!AP149</f>
        <v>38409.700000000004</v>
      </c>
      <c r="AD48" s="1115">
        <f>'Trip Gen'!AQ149</f>
        <v>39122.300000000003</v>
      </c>
      <c r="AE48" s="1115">
        <f>'Trip Gen'!AR149</f>
        <v>39834.9</v>
      </c>
      <c r="AF48" s="1115">
        <f>'Trip Gen'!AS149</f>
        <v>40547.900000000009</v>
      </c>
      <c r="AG48" s="1115">
        <f>'Trip Gen'!AT149</f>
        <v>41260.5</v>
      </c>
      <c r="AH48" s="1115">
        <f>'Trip Gen'!AU149</f>
        <v>41973.1</v>
      </c>
      <c r="AI48" s="1115">
        <f>'Trip Gen'!AV149</f>
        <v>42686.1</v>
      </c>
      <c r="AJ48" s="1141">
        <f t="shared" si="25"/>
        <v>8.6477333333333337E-2</v>
      </c>
      <c r="AK48" s="320">
        <f t="shared" si="57"/>
        <v>48876.136363636368</v>
      </c>
      <c r="AL48" s="1115">
        <f t="shared" si="7"/>
        <v>51456.072272727266</v>
      </c>
      <c r="AM48" s="1115">
        <f t="shared" si="8"/>
        <v>55328.872500000005</v>
      </c>
      <c r="AN48" s="1115">
        <f t="shared" si="9"/>
        <v>61727.301818181819</v>
      </c>
      <c r="AO48" s="1115">
        <f t="shared" si="10"/>
        <v>68128.627500000002</v>
      </c>
      <c r="AP48" s="1115">
        <f t="shared" si="11"/>
        <v>74529.591136363626</v>
      </c>
      <c r="AQ48" s="1115">
        <f t="shared" si="58"/>
        <v>80928.020454545462</v>
      </c>
      <c r="AR48" s="1115">
        <f t="shared" si="58"/>
        <v>87332.242499999993</v>
      </c>
      <c r="AS48" s="1115">
        <f t="shared" si="58"/>
        <v>93793.305681818179</v>
      </c>
      <c r="AT48" s="1115">
        <f t="shared" si="58"/>
        <v>100256.54113636362</v>
      </c>
      <c r="AU48" s="1115">
        <f t="shared" si="58"/>
        <v>106717.60431818181</v>
      </c>
      <c r="AV48" s="1115">
        <f t="shared" si="58"/>
        <v>113178.6675</v>
      </c>
      <c r="AW48" s="1115">
        <f t="shared" si="58"/>
        <v>119645.52340909091</v>
      </c>
      <c r="AX48" s="1115">
        <f t="shared" si="58"/>
        <v>123578.06113636366</v>
      </c>
      <c r="AY48" s="1115">
        <f t="shared" si="58"/>
        <v>126157.99704545453</v>
      </c>
      <c r="AZ48" s="1115">
        <f t="shared" si="58"/>
        <v>128737.93295454545</v>
      </c>
      <c r="BA48" s="1115">
        <f t="shared" si="58"/>
        <v>131317.86886363639</v>
      </c>
      <c r="BB48" s="1115">
        <f t="shared" si="58"/>
        <v>133899.25295454546</v>
      </c>
      <c r="BC48" s="1115">
        <f t="shared" si="58"/>
        <v>136479.18886363634</v>
      </c>
      <c r="BD48" s="1115">
        <f t="shared" si="58"/>
        <v>139060.57295454547</v>
      </c>
      <c r="BE48" s="1115">
        <f t="shared" si="58"/>
        <v>141640.50886363638</v>
      </c>
      <c r="BF48" s="1115">
        <f t="shared" si="28"/>
        <v>144220.44477272729</v>
      </c>
      <c r="BG48" s="1115">
        <f t="shared" si="29"/>
        <v>146801.82886363639</v>
      </c>
      <c r="BH48" s="1115">
        <f t="shared" si="30"/>
        <v>149381.76477272727</v>
      </c>
      <c r="BI48" s="1115">
        <f t="shared" si="31"/>
        <v>151961.70068181818</v>
      </c>
      <c r="BJ48" s="1115">
        <f t="shared" si="32"/>
        <v>154543.08477272728</v>
      </c>
      <c r="BK48" s="394">
        <f>((0.33*'Traffic Data'!AK48)/Speed!X129)+((0.67*'Traffic Data'!AK48)/Speed!AX129)</f>
        <v>680.91604638444551</v>
      </c>
      <c r="BL48" s="392">
        <f>((0.33*AL48)/Speed!Y129)+((0.67*AL48)/Speed!AY129)</f>
        <v>716.85849809295996</v>
      </c>
      <c r="BM48" s="392">
        <f>((0.33*AM48)/Speed!Z129)+((0.67*AM48)/Speed!AZ129)</f>
        <v>770.81277164223434</v>
      </c>
      <c r="BN48" s="392">
        <f>((0.33*AN48)/Speed!AA129)+((0.67*AN48)/Speed!BA129)</f>
        <v>859.95443383944394</v>
      </c>
      <c r="BO48" s="392">
        <f>((0.33*AO48)/Speed!AB129)+((0.67*AO48)/Speed!BB129)</f>
        <v>949.14044109065003</v>
      </c>
      <c r="BP48" s="392">
        <f>((0.33*AP48)/Speed!AC129)+((0.67*AP48)/Speed!BC129)</f>
        <v>1038.3310017213648</v>
      </c>
      <c r="BQ48" s="392">
        <f>((0.33*AQ48)/Speed!AD129)+((0.67*AQ48)/Speed!BD129)</f>
        <v>1127.5075871659647</v>
      </c>
      <c r="BR48" s="392">
        <f>((0.33*AR48)/Speed!AE129)+((0.67*AR48)/Speed!BE129)</f>
        <v>1216.8094601364107</v>
      </c>
      <c r="BS48" s="392">
        <f>((0.33*AS48)/Speed!AF129)+((0.67*AS48)/Speed!BF129)</f>
        <v>1306.993297646645</v>
      </c>
      <c r="BT48" s="392">
        <f>((0.33*AT48)/Speed!AG129)+((0.67*AT48)/Speed!BG129)</f>
        <v>1397.3771601550618</v>
      </c>
      <c r="BU48" s="392">
        <f>((0.33*AU48)/Speed!AH129)+((0.67*AU48)/Speed!BH129)</f>
        <v>1488.0385627227906</v>
      </c>
      <c r="BV48" s="392">
        <f>((0.33*AV48)/Speed!AI129)+((0.67*AV48)/Speed!BI129)</f>
        <v>1579.2385345174253</v>
      </c>
      <c r="BW48" s="392">
        <f>((0.33*AW48)/Speed!AJ129)+((0.67*AW48)/Speed!BJ129)</f>
        <v>1671.4335618143059</v>
      </c>
      <c r="BX48" s="392">
        <f>((0.33*AX48)/Speed!AK129)+((0.67*AX48)/Speed!BK129)</f>
        <v>1728.1835666354411</v>
      </c>
      <c r="BY48" s="392">
        <f>((0.33*AY48)/Speed!AL129)+((0.67*AY48)/Speed!BL129)</f>
        <v>1765.8001323105918</v>
      </c>
      <c r="BZ48" s="392">
        <f>((0.33*AZ48)/Speed!AM129)+((0.67*AZ48)/Speed!BM129)</f>
        <v>1803.7964890742078</v>
      </c>
      <c r="CA48" s="392">
        <f>((0.33*BA48)/Speed!AN129)+((0.67*BA48)/Speed!BN129)</f>
        <v>1842.2485017470296</v>
      </c>
      <c r="CB48" s="392">
        <f>((0.33*BB48)/Speed!AO129)+((0.67*BB48)/Speed!BO129)</f>
        <v>1881.2672691847188</v>
      </c>
      <c r="CC48" s="392">
        <f>((0.33*BC48)/Speed!AP129)+((0.67*BC48)/Speed!BP129)</f>
        <v>1920.913245760471</v>
      </c>
      <c r="CD48" s="392">
        <f>((0.33*BD48)/Speed!AQ129)+((0.67*BD48)/Speed!BQ129)</f>
        <v>1961.3526301440988</v>
      </c>
      <c r="CE48" s="392">
        <f>((0.33*BE48)/Speed!AR129)+((0.67*BE48)/Speed!BR129)</f>
        <v>2002.6814935472876</v>
      </c>
      <c r="CF48" s="392">
        <f>((0.33*BF48)/Speed!AS129)+((0.67*BF48)/Speed!BS129)</f>
        <v>2045.0862865008839</v>
      </c>
      <c r="CG48" s="392">
        <f>((0.33*BG48)/Speed!AT129)+((0.67*BG48)/Speed!BT129)</f>
        <v>2088.781619518275</v>
      </c>
      <c r="CH48" s="392">
        <f>((0.33*BH48)/Speed!AU129)+((0.67*BH48)/Speed!BU129)</f>
        <v>2133.9374498247475</v>
      </c>
      <c r="CI48" s="392">
        <f>((0.33*BI48)/Speed!AV129)+((0.67*BI48)/Speed!BV129)</f>
        <v>2180.8298315717088</v>
      </c>
      <c r="CJ48" s="430">
        <f>((0.33*BJ48)/Speed!AW129)+((0.67*BJ48)/Speed!BW129)</f>
        <v>2229.776073039015</v>
      </c>
      <c r="CK48" s="1386"/>
      <c r="CL48" s="1386"/>
      <c r="CM48" s="1381"/>
      <c r="CN48" s="1393"/>
      <c r="DA48"/>
    </row>
    <row r="49" spans="2:105" ht="21.9" customHeight="1" x14ac:dyDescent="0.25">
      <c r="B49" s="469"/>
      <c r="C49" s="1327"/>
      <c r="D49" s="114" t="s">
        <v>274</v>
      </c>
      <c r="E49" s="114" t="s">
        <v>317</v>
      </c>
      <c r="F49" s="114" t="s">
        <v>346</v>
      </c>
      <c r="G49" s="343">
        <v>70</v>
      </c>
      <c r="H49" s="1119">
        <v>9.5000000000000001E-2</v>
      </c>
      <c r="I49" s="256">
        <v>4</v>
      </c>
      <c r="J49" s="320">
        <f>'Trip Gen'!W150</f>
        <v>12000</v>
      </c>
      <c r="K49" s="1120">
        <f>'Trip Gen'!X150</f>
        <v>12501.099999999999</v>
      </c>
      <c r="L49" s="1120">
        <f>'Trip Gen'!Y150</f>
        <v>13121.299999999997</v>
      </c>
      <c r="M49" s="1120">
        <f>'Trip Gen'!Z150</f>
        <v>13956.3</v>
      </c>
      <c r="N49" s="1120">
        <f>'Trip Gen'!AA150</f>
        <v>14791.600000000002</v>
      </c>
      <c r="O49" s="1120">
        <f>'Trip Gen'!AB150</f>
        <v>15626.800000000003</v>
      </c>
      <c r="P49" s="1120">
        <f>'Trip Gen'!AC150</f>
        <v>16461.800000000003</v>
      </c>
      <c r="Q49" s="1120">
        <f>'Trip Gen'!AD150</f>
        <v>17297.400000000005</v>
      </c>
      <c r="R49" s="1120">
        <f>'Trip Gen'!AE150</f>
        <v>18107</v>
      </c>
      <c r="S49" s="1120">
        <f>'Trip Gen'!AF150</f>
        <v>18916.899999999994</v>
      </c>
      <c r="T49" s="1120">
        <f>'Trip Gen'!AG150</f>
        <v>19726.5</v>
      </c>
      <c r="U49" s="1120">
        <f>'Trip Gen'!AH150</f>
        <v>20536.099999999999</v>
      </c>
      <c r="V49" s="1120">
        <f>'Trip Gen'!AI150</f>
        <v>21346.300000000003</v>
      </c>
      <c r="W49" s="1120">
        <f>'Trip Gen'!AJ150</f>
        <v>21940.799999999999</v>
      </c>
      <c r="X49" s="1120">
        <f>'Trip Gen'!AK150</f>
        <v>22441.9</v>
      </c>
      <c r="Y49" s="1120">
        <f>'Trip Gen'!AL150</f>
        <v>22942.999999999996</v>
      </c>
      <c r="Z49" s="1120">
        <f>'Trip Gen'!AM150</f>
        <v>23444.1</v>
      </c>
      <c r="AA49" s="1120">
        <f>'Trip Gen'!AN150</f>
        <v>23945.4</v>
      </c>
      <c r="AB49" s="1120">
        <f>'Trip Gen'!AO150</f>
        <v>24446.5</v>
      </c>
      <c r="AC49" s="1120">
        <f>'Trip Gen'!AP150</f>
        <v>24947.8</v>
      </c>
      <c r="AD49" s="1120">
        <f>'Trip Gen'!AQ150</f>
        <v>25448.900000000005</v>
      </c>
      <c r="AE49" s="1120">
        <f>'Trip Gen'!AR150</f>
        <v>25949.999999999996</v>
      </c>
      <c r="AF49" s="1120">
        <f>'Trip Gen'!AS150</f>
        <v>26451.3</v>
      </c>
      <c r="AG49" s="1120">
        <f>'Trip Gen'!AT150</f>
        <v>26952.400000000001</v>
      </c>
      <c r="AH49" s="1120">
        <f>'Trip Gen'!AU150</f>
        <v>27453.499999999996</v>
      </c>
      <c r="AI49" s="1120">
        <f>'Trip Gen'!AV150</f>
        <v>27954.799999999999</v>
      </c>
      <c r="AJ49" s="1141">
        <f t="shared" si="25"/>
        <v>5.3182666666666663E-2</v>
      </c>
      <c r="AK49" s="320">
        <f t="shared" si="57"/>
        <v>1140</v>
      </c>
      <c r="AL49" s="1120">
        <f t="shared" si="7"/>
        <v>1187.6044999999999</v>
      </c>
      <c r="AM49" s="1120">
        <f t="shared" si="8"/>
        <v>1246.5234999999998</v>
      </c>
      <c r="AN49" s="1120">
        <f t="shared" si="9"/>
        <v>1325.8485000000001</v>
      </c>
      <c r="AO49" s="1120">
        <f t="shared" si="10"/>
        <v>1405.2020000000002</v>
      </c>
      <c r="AP49" s="1120">
        <f t="shared" si="11"/>
        <v>1484.5460000000003</v>
      </c>
      <c r="AQ49" s="1120">
        <f t="shared" si="58"/>
        <v>1563.8710000000003</v>
      </c>
      <c r="AR49" s="1120">
        <f t="shared" si="58"/>
        <v>1643.2530000000006</v>
      </c>
      <c r="AS49" s="1120">
        <f t="shared" si="58"/>
        <v>1720.165</v>
      </c>
      <c r="AT49" s="1120">
        <f t="shared" si="58"/>
        <v>1797.1054999999994</v>
      </c>
      <c r="AU49" s="1120">
        <f t="shared" si="58"/>
        <v>1874.0174999999999</v>
      </c>
      <c r="AV49" s="1120">
        <f t="shared" si="58"/>
        <v>1950.9295</v>
      </c>
      <c r="AW49" s="1120">
        <f t="shared" si="58"/>
        <v>2027.8985000000002</v>
      </c>
      <c r="AX49" s="1120">
        <f t="shared" si="58"/>
        <v>2084.3759999999997</v>
      </c>
      <c r="AY49" s="1120">
        <f t="shared" si="58"/>
        <v>2131.9805000000001</v>
      </c>
      <c r="AZ49" s="1120">
        <f t="shared" si="58"/>
        <v>2179.5849999999996</v>
      </c>
      <c r="BA49" s="1120">
        <f t="shared" si="58"/>
        <v>2227.1895</v>
      </c>
      <c r="BB49" s="1120">
        <f t="shared" si="58"/>
        <v>2274.8130000000001</v>
      </c>
      <c r="BC49" s="1120">
        <f t="shared" si="58"/>
        <v>2322.4175</v>
      </c>
      <c r="BD49" s="1120">
        <f t="shared" si="58"/>
        <v>2370.0410000000002</v>
      </c>
      <c r="BE49" s="1120">
        <f t="shared" si="58"/>
        <v>2417.6455000000005</v>
      </c>
      <c r="BF49" s="1120">
        <f t="shared" si="28"/>
        <v>2465.2499999999995</v>
      </c>
      <c r="BG49" s="1120">
        <f t="shared" si="29"/>
        <v>2512.8735000000001</v>
      </c>
      <c r="BH49" s="1120">
        <f t="shared" si="30"/>
        <v>2560.4780000000001</v>
      </c>
      <c r="BI49" s="1120">
        <f t="shared" si="31"/>
        <v>2608.0824999999995</v>
      </c>
      <c r="BJ49" s="1120">
        <f t="shared" si="32"/>
        <v>2655.7060000000001</v>
      </c>
      <c r="BK49" s="394">
        <f>((0.33*'Traffic Data'!AK49)/Speed!X130)+((0.67*'Traffic Data'!AK49)/Speed!AX130)</f>
        <v>15.883648845893468</v>
      </c>
      <c r="BL49" s="392">
        <f>((0.33*AL49)/Speed!Y130)+((0.67*AL49)/Speed!AY130)</f>
        <v>16.547864831942661</v>
      </c>
      <c r="BM49" s="392">
        <f>((0.33*AM49)/Speed!Z130)+((0.67*AM49)/Speed!AZ130)</f>
        <v>17.370664344425322</v>
      </c>
      <c r="BN49" s="392">
        <f>((0.33*AN49)/Speed!AA130)+((0.67*AN49)/Speed!BA130)</f>
        <v>18.4804150970871</v>
      </c>
      <c r="BO49" s="392">
        <f>((0.33*AO49)/Speed!AB130)+((0.67*AO49)/Speed!BB130)</f>
        <v>19.594353468930894</v>
      </c>
      <c r="BP49" s="392">
        <f>((0.33*AP49)/Speed!AC130)+((0.67*AP49)/Speed!BC130)</f>
        <v>20.714536254495361</v>
      </c>
      <c r="BQ49" s="392">
        <f>((0.33*AQ49)/Speed!AD130)+((0.67*AQ49)/Speed!BD130)</f>
        <v>21.844881521998552</v>
      </c>
      <c r="BR49" s="392">
        <f>((0.33*AR49)/Speed!AE130)+((0.67*AR49)/Speed!BE130)</f>
        <v>22.992693596193522</v>
      </c>
      <c r="BS49" s="392">
        <f>((0.33*AS49)/Speed!AF130)+((0.67*AS49)/Speed!BF130)</f>
        <v>24.129444112744107</v>
      </c>
      <c r="BT49" s="392">
        <f>((0.33*AT49)/Speed!AG130)+((0.67*AT49)/Speed!BG130)</f>
        <v>25.303368198924868</v>
      </c>
      <c r="BU49" s="392">
        <f>((0.33*AU49)/Speed!AH130)+((0.67*AU49)/Speed!BH130)</f>
        <v>26.531267523186301</v>
      </c>
      <c r="BV49" s="392">
        <f>((0.33*AV49)/Speed!AI130)+((0.67*AV49)/Speed!BI130)</f>
        <v>27.838423710449902</v>
      </c>
      <c r="BW49" s="392">
        <f>((0.33*AW49)/Speed!AJ130)+((0.67*AW49)/Speed!BJ130)</f>
        <v>29.260425243905519</v>
      </c>
      <c r="BX49" s="392">
        <f>((0.33*AX49)/Speed!AK130)+((0.67*AX49)/Speed!BK130)</f>
        <v>30.403144459612925</v>
      </c>
      <c r="BY49" s="392">
        <f>((0.33*AY49)/Speed!AL130)+((0.67*AY49)/Speed!BL130)</f>
        <v>31.451167693498796</v>
      </c>
      <c r="BZ49" s="392">
        <f>((0.33*AZ49)/Speed!AM130)+((0.67*AZ49)/Speed!BM130)</f>
        <v>32.595429554712979</v>
      </c>
      <c r="CA49" s="392">
        <f>((0.33*BA49)/Speed!AN130)+((0.67*BA49)/Speed!BN130)</f>
        <v>33.857076190252798</v>
      </c>
      <c r="CB49" s="392">
        <f>((0.33*BB49)/Speed!AO130)+((0.67*BB49)/Speed!BO130)</f>
        <v>35.261879431694837</v>
      </c>
      <c r="CC49" s="392">
        <f>((0.33*BC49)/Speed!AP130)+((0.67*BC49)/Speed!BP130)</f>
        <v>36.838600062599532</v>
      </c>
      <c r="CD49" s="392">
        <f>((0.33*BD49)/Speed!AQ130)+((0.67*BD49)/Speed!BQ130)</f>
        <v>38.623839828811199</v>
      </c>
      <c r="CE49" s="392">
        <f>((0.33*BE49)/Speed!AR130)+((0.67*BE49)/Speed!BR130)</f>
        <v>40.65778975383509</v>
      </c>
      <c r="CF49" s="392">
        <f>((0.33*BF49)/Speed!AS130)+((0.67*BF49)/Speed!BS130)</f>
        <v>42.989967891416597</v>
      </c>
      <c r="CG49" s="392">
        <f>((0.33*BG49)/Speed!AT130)+((0.67*BG49)/Speed!BT130)</f>
        <v>45.678704614228714</v>
      </c>
      <c r="CH49" s="392">
        <f>((0.33*BH49)/Speed!AU130)+((0.67*BH49)/Speed!BU130)</f>
        <v>48.788602429366691</v>
      </c>
      <c r="CI49" s="392">
        <f>((0.33*BI49)/Speed!AV130)+((0.67*BI49)/Speed!BV130)</f>
        <v>52.398299018490746</v>
      </c>
      <c r="CJ49" s="430">
        <f>((0.33*BJ49)/Speed!AW130)+((0.67*BJ49)/Speed!BW130)</f>
        <v>56.599684878885469</v>
      </c>
      <c r="CK49" s="1387"/>
      <c r="CL49" s="1387"/>
      <c r="CM49" s="1382"/>
      <c r="CN49" s="1394"/>
      <c r="DA49"/>
    </row>
    <row r="50" spans="2:105" ht="21.9" customHeight="1" x14ac:dyDescent="0.25">
      <c r="B50" s="469"/>
      <c r="C50" s="1325" t="s">
        <v>274</v>
      </c>
      <c r="D50" s="217" t="s">
        <v>275</v>
      </c>
      <c r="E50" s="217" t="s">
        <v>318</v>
      </c>
      <c r="F50" s="217" t="s">
        <v>347</v>
      </c>
      <c r="G50" s="1113">
        <v>55</v>
      </c>
      <c r="H50" s="1114">
        <v>2.59</v>
      </c>
      <c r="I50" s="257">
        <v>4</v>
      </c>
      <c r="J50" s="319">
        <f>'Trip Gen'!W159</f>
        <v>4000</v>
      </c>
      <c r="K50" s="1115">
        <f>'Trip Gen'!X159</f>
        <v>4404.62</v>
      </c>
      <c r="L50" s="1115">
        <f>'Trip Gen'!Y159</f>
        <v>5309.24</v>
      </c>
      <c r="M50" s="1115">
        <f>'Trip Gen'!Z159</f>
        <v>7126.2400000000007</v>
      </c>
      <c r="N50" s="1115">
        <f>'Trip Gen'!AA159</f>
        <v>8944.3599999999988</v>
      </c>
      <c r="O50" s="1115">
        <f>'Trip Gen'!AB159</f>
        <v>10762.279999999999</v>
      </c>
      <c r="P50" s="1115">
        <f>'Trip Gen'!AC159</f>
        <v>12579.279999999999</v>
      </c>
      <c r="Q50" s="1115">
        <f>'Trip Gen'!AD159</f>
        <v>14398.52</v>
      </c>
      <c r="R50" s="1115">
        <f>'Trip Gen'!AE159</f>
        <v>16183.639999999998</v>
      </c>
      <c r="S50" s="1115">
        <f>'Trip Gen'!AF159</f>
        <v>17969.659999999996</v>
      </c>
      <c r="T50" s="1115">
        <f>'Trip Gen'!AG159</f>
        <v>19754.78</v>
      </c>
      <c r="U50" s="1115">
        <f>'Trip Gen'!AH159</f>
        <v>21539.9</v>
      </c>
      <c r="V50" s="1115">
        <f>'Trip Gen'!AI159</f>
        <v>23327.260000000002</v>
      </c>
      <c r="W50" s="1115">
        <f>'Trip Gen'!AJ159</f>
        <v>24198.879999999997</v>
      </c>
      <c r="X50" s="1115">
        <f>'Trip Gen'!AK159</f>
        <v>24603.499999999996</v>
      </c>
      <c r="Y50" s="1115">
        <f>'Trip Gen'!AL159</f>
        <v>25008.12</v>
      </c>
      <c r="Z50" s="1115">
        <f>'Trip Gen'!AM159</f>
        <v>25412.739999999998</v>
      </c>
      <c r="AA50" s="1115">
        <f>'Trip Gen'!AN159</f>
        <v>25817.98</v>
      </c>
      <c r="AB50" s="1115">
        <f>'Trip Gen'!AO159</f>
        <v>26222.6</v>
      </c>
      <c r="AC50" s="1115">
        <f>'Trip Gen'!AP159</f>
        <v>26627.839999999997</v>
      </c>
      <c r="AD50" s="1115">
        <f>'Trip Gen'!AQ159</f>
        <v>27032.459999999995</v>
      </c>
      <c r="AE50" s="1115">
        <f>'Trip Gen'!AR159</f>
        <v>27437.079999999998</v>
      </c>
      <c r="AF50" s="1115">
        <f>'Trip Gen'!AS159</f>
        <v>27842.32</v>
      </c>
      <c r="AG50" s="1115">
        <f>'Trip Gen'!AT159</f>
        <v>28246.94</v>
      </c>
      <c r="AH50" s="1115">
        <f>'Trip Gen'!AU159</f>
        <v>28651.559999999998</v>
      </c>
      <c r="AI50" s="1115">
        <f>'Trip Gen'!AV159</f>
        <v>29056.799999999996</v>
      </c>
      <c r="AJ50" s="1156">
        <f t="shared" si="25"/>
        <v>0.25056799999999996</v>
      </c>
      <c r="AK50" s="319">
        <f t="shared" si="57"/>
        <v>10360</v>
      </c>
      <c r="AL50" s="1115">
        <f t="shared" si="7"/>
        <v>11407.9658</v>
      </c>
      <c r="AM50" s="1115">
        <f t="shared" si="8"/>
        <v>13750.931599999998</v>
      </c>
      <c r="AN50" s="1115">
        <f t="shared" si="9"/>
        <v>18456.961600000002</v>
      </c>
      <c r="AO50" s="1115">
        <f t="shared" si="10"/>
        <v>23165.892399999997</v>
      </c>
      <c r="AP50" s="1115">
        <f t="shared" si="11"/>
        <v>27874.305199999995</v>
      </c>
      <c r="AQ50" s="1115">
        <f t="shared" si="58"/>
        <v>32580.335199999994</v>
      </c>
      <c r="AR50" s="1115">
        <f t="shared" si="58"/>
        <v>37292.166799999999</v>
      </c>
      <c r="AS50" s="1115">
        <f t="shared" si="58"/>
        <v>41915.627599999993</v>
      </c>
      <c r="AT50" s="1115">
        <f t="shared" si="58"/>
        <v>46541.419399999984</v>
      </c>
      <c r="AU50" s="1115">
        <f t="shared" si="58"/>
        <v>51164.880199999992</v>
      </c>
      <c r="AV50" s="1115">
        <f t="shared" si="58"/>
        <v>55788.341</v>
      </c>
      <c r="AW50" s="1115">
        <f t="shared" si="58"/>
        <v>60417.6034</v>
      </c>
      <c r="AX50" s="1115">
        <f t="shared" si="58"/>
        <v>62675.09919999999</v>
      </c>
      <c r="AY50" s="1115">
        <f t="shared" si="58"/>
        <v>63723.064999999988</v>
      </c>
      <c r="AZ50" s="1115">
        <f t="shared" si="58"/>
        <v>64771.030799999993</v>
      </c>
      <c r="BA50" s="1115">
        <f t="shared" si="58"/>
        <v>65818.996599999984</v>
      </c>
      <c r="BB50" s="1115">
        <f t="shared" si="58"/>
        <v>66868.568199999994</v>
      </c>
      <c r="BC50" s="1115">
        <f t="shared" si="58"/>
        <v>67916.534</v>
      </c>
      <c r="BD50" s="1115">
        <f t="shared" si="58"/>
        <v>68966.105599999981</v>
      </c>
      <c r="BE50" s="1115">
        <f t="shared" si="58"/>
        <v>70014.071399999986</v>
      </c>
      <c r="BF50" s="1115">
        <f t="shared" si="28"/>
        <v>71062.037199999992</v>
      </c>
      <c r="BG50" s="1115">
        <f t="shared" si="29"/>
        <v>72111.608800000002</v>
      </c>
      <c r="BH50" s="1115">
        <f t="shared" si="30"/>
        <v>73159.574599999993</v>
      </c>
      <c r="BI50" s="1115">
        <f t="shared" si="31"/>
        <v>74207.540399999983</v>
      </c>
      <c r="BJ50" s="1115">
        <f t="shared" si="32"/>
        <v>75257.111999999979</v>
      </c>
      <c r="BK50" s="393">
        <f>((0.33*'Traffic Data'!AK50)/Speed!X131)+((0.67*'Traffic Data'!AK50)/Speed!AX131)</f>
        <v>180.17391304455893</v>
      </c>
      <c r="BL50" s="428">
        <f>((0.33*AL50)/Speed!Y131)+((0.67*AL50)/Speed!AY131)</f>
        <v>198.39940522051029</v>
      </c>
      <c r="BM50" s="428">
        <f>((0.33*AM50)/Speed!Z131)+((0.67*AM50)/Speed!AZ131)</f>
        <v>239.14663654608211</v>
      </c>
      <c r="BN50" s="428">
        <f>((0.33*AN50)/Speed!AA131)+((0.67*AN50)/Speed!BA131)</f>
        <v>320.99063714186752</v>
      </c>
      <c r="BO50" s="428">
        <f>((0.33*AO50)/Speed!AB131)+((0.67*AO50)/Speed!BB131)</f>
        <v>402.88509276933934</v>
      </c>
      <c r="BP50" s="428">
        <f>((0.33*AP50)/Speed!AC131)+((0.67*AP50)/Speed!BC131)</f>
        <v>484.77058302227363</v>
      </c>
      <c r="BQ50" s="428">
        <f>((0.33*AQ50)/Speed!AD131)+((0.67*AQ50)/Speed!BD131)</f>
        <v>566.61484675467386</v>
      </c>
      <c r="BR50" s="428">
        <f>((0.33*AR50)/Speed!AE131)+((0.67*AR50)/Speed!BE131)</f>
        <v>648.56084334809418</v>
      </c>
      <c r="BS50" s="428">
        <f>((0.33*AS50)/Speed!AF131)+((0.67*AS50)/Speed!BF131)</f>
        <v>728.97257526200656</v>
      </c>
      <c r="BT50" s="428">
        <f>((0.33*AT50)/Speed!AG131)+((0.67*AT50)/Speed!BG131)</f>
        <v>809.43224344671523</v>
      </c>
      <c r="BU50" s="428">
        <f>((0.33*AU50)/Speed!AH131)+((0.67*AU50)/Speed!BH131)</f>
        <v>889.87007292973726</v>
      </c>
      <c r="BV50" s="428">
        <f>((0.33*AV50)/Speed!AI131)+((0.67*AV50)/Speed!BI131)</f>
        <v>970.35133364108992</v>
      </c>
      <c r="BW50" s="428">
        <f>((0.33*AW50)/Speed!AJ131)+((0.67*AW50)/Speed!BJ131)</f>
        <v>1051.027689841143</v>
      </c>
      <c r="BX50" s="428">
        <f>((0.33*AX50)/Speed!AK131)+((0.67*AX50)/Speed!BK131)</f>
        <v>1090.4310330182216</v>
      </c>
      <c r="BY50" s="428">
        <f>((0.33*AY50)/Speed!AL131)+((0.67*AY50)/Speed!BL131)</f>
        <v>1108.7424314169384</v>
      </c>
      <c r="BZ50" s="428">
        <f>((0.33*AZ50)/Speed!AM131)+((0.67*AZ50)/Speed!BM131)</f>
        <v>1127.0691815777916</v>
      </c>
      <c r="CA50" s="428">
        <f>((0.33*BA50)/Speed!AN131)+((0.67*BA50)/Speed!BN131)</f>
        <v>1145.4137112845603</v>
      </c>
      <c r="CB50" s="428">
        <f>((0.33*BB50)/Speed!AO131)+((0.67*BB50)/Speed!BO131)</f>
        <v>1163.8069406879422</v>
      </c>
      <c r="CC50" s="428">
        <f>((0.33*BC50)/Speed!AP131)+((0.67*BC50)/Speed!BP131)</f>
        <v>1182.1957294272747</v>
      </c>
      <c r="CD50" s="428">
        <f>((0.33*BD50)/Speed!AQ131)+((0.67*BD50)/Speed!BQ131)</f>
        <v>1200.6400002432003</v>
      </c>
      <c r="CE50" s="428">
        <f>((0.33*BE50)/Speed!AR131)+((0.67*BE50)/Speed!BR131)</f>
        <v>1219.0873444202316</v>
      </c>
      <c r="CF50" s="428">
        <f>((0.33*BF50)/Speed!AS131)+((0.67*BF50)/Speed!BS131)</f>
        <v>1237.5705034471446</v>
      </c>
      <c r="CG50" s="428">
        <f>((0.33*BG50)/Speed!AT131)+((0.67*BG50)/Speed!BT131)</f>
        <v>1256.1230183442758</v>
      </c>
      <c r="CH50" s="428">
        <f>((0.33*BH50)/Speed!AU131)+((0.67*BH50)/Speed!BU131)</f>
        <v>1274.6938912922947</v>
      </c>
      <c r="CI50" s="428">
        <f>((0.33*BI50)/Speed!AV131)+((0.67*BI50)/Speed!BV131)</f>
        <v>1293.3179489289876</v>
      </c>
      <c r="CJ50" s="429">
        <f>((0.33*BJ50)/Speed!AW131)+((0.67*BJ50)/Speed!BW131)</f>
        <v>1312.0311327134871</v>
      </c>
      <c r="CK50" s="1385">
        <f>Inputs!$E$35</f>
        <v>0.2</v>
      </c>
      <c r="CL50" s="1386">
        <f>Inputs!$E$36</f>
        <v>0.8</v>
      </c>
      <c r="CM50" s="1380">
        <f>1/(1+CK50)</f>
        <v>0.83333333333333337</v>
      </c>
      <c r="CN50" s="1393">
        <v>0.9</v>
      </c>
      <c r="DA50"/>
    </row>
    <row r="51" spans="2:105" ht="21.9" customHeight="1" x14ac:dyDescent="0.25">
      <c r="B51" s="469"/>
      <c r="C51" s="1327"/>
      <c r="D51" s="114" t="s">
        <v>318</v>
      </c>
      <c r="E51" s="114" t="s">
        <v>308</v>
      </c>
      <c r="F51" s="114" t="s">
        <v>348</v>
      </c>
      <c r="G51" s="343">
        <v>45</v>
      </c>
      <c r="H51" s="1119">
        <v>0.5</v>
      </c>
      <c r="I51" s="256">
        <v>2</v>
      </c>
      <c r="J51" s="320">
        <f>'Trip Gen'!W160</f>
        <v>2400</v>
      </c>
      <c r="K51" s="1115">
        <f>'Trip Gen'!X160</f>
        <v>2627.8599999999997</v>
      </c>
      <c r="L51" s="1115">
        <f>'Trip Gen'!Y160</f>
        <v>2951.1</v>
      </c>
      <c r="M51" s="1115">
        <f>'Trip Gen'!Z160</f>
        <v>3477.7799999999997</v>
      </c>
      <c r="N51" s="1115">
        <f>'Trip Gen'!AA160</f>
        <v>4004.62</v>
      </c>
      <c r="O51" s="1115">
        <f>'Trip Gen'!AB160</f>
        <v>4531.51</v>
      </c>
      <c r="P51" s="1115">
        <f>'Trip Gen'!AC160</f>
        <v>5058.1900000000005</v>
      </c>
      <c r="Q51" s="1115">
        <f>'Trip Gen'!AD160</f>
        <v>5585.4400000000005</v>
      </c>
      <c r="R51" s="1115">
        <f>'Trip Gen'!AE160</f>
        <v>6185.2999999999993</v>
      </c>
      <c r="S51" s="1115">
        <f>'Trip Gen'!AF160</f>
        <v>6785.4400000000014</v>
      </c>
      <c r="T51" s="1115">
        <f>'Trip Gen'!AG160</f>
        <v>7385.2700000000013</v>
      </c>
      <c r="U51" s="1115">
        <f>'Trip Gen'!AH160</f>
        <v>7985.13</v>
      </c>
      <c r="V51" s="1115">
        <f>'Trip Gen'!AI160</f>
        <v>8585.5399999999991</v>
      </c>
      <c r="W51" s="1115">
        <f>'Trip Gen'!AJ160</f>
        <v>8981.52</v>
      </c>
      <c r="X51" s="1115">
        <f>'Trip Gen'!AK160</f>
        <v>9209.3799999999992</v>
      </c>
      <c r="Y51" s="1115">
        <f>'Trip Gen'!AL160</f>
        <v>9437.239999999998</v>
      </c>
      <c r="Z51" s="1115">
        <f>'Trip Gen'!AM160</f>
        <v>9665.0999999999985</v>
      </c>
      <c r="AA51" s="1115">
        <f>'Trip Gen'!AN160</f>
        <v>9893.2199999999975</v>
      </c>
      <c r="AB51" s="1115">
        <f>'Trip Gen'!AO160</f>
        <v>10121.079999999998</v>
      </c>
      <c r="AC51" s="1115">
        <f>'Trip Gen'!AP160</f>
        <v>10349.199999999999</v>
      </c>
      <c r="AD51" s="1115">
        <f>'Trip Gen'!AQ160</f>
        <v>10577.06</v>
      </c>
      <c r="AE51" s="1115">
        <f>'Trip Gen'!AR160</f>
        <v>10804.92</v>
      </c>
      <c r="AF51" s="1115">
        <f>'Trip Gen'!AS160</f>
        <v>11033.039999999999</v>
      </c>
      <c r="AG51" s="1115">
        <f>'Trip Gen'!AT160</f>
        <v>11260.899999999998</v>
      </c>
      <c r="AH51" s="1115">
        <f>'Trip Gen'!AU160</f>
        <v>11488.759999999998</v>
      </c>
      <c r="AI51" s="1115">
        <f>'Trip Gen'!AV160</f>
        <v>11716.88</v>
      </c>
      <c r="AJ51" s="1141">
        <f t="shared" si="25"/>
        <v>0.1552813333333333</v>
      </c>
      <c r="AK51" s="320">
        <f t="shared" si="57"/>
        <v>1200</v>
      </c>
      <c r="AL51" s="1115">
        <f t="shared" si="7"/>
        <v>1313.9299999999998</v>
      </c>
      <c r="AM51" s="1115">
        <f t="shared" si="8"/>
        <v>1475.55</v>
      </c>
      <c r="AN51" s="1115">
        <f t="shared" si="9"/>
        <v>1738.8899999999999</v>
      </c>
      <c r="AO51" s="1115">
        <f t="shared" si="10"/>
        <v>2002.31</v>
      </c>
      <c r="AP51" s="1115">
        <f t="shared" si="11"/>
        <v>2265.7550000000001</v>
      </c>
      <c r="AQ51" s="1115">
        <f t="shared" si="58"/>
        <v>2529.0950000000003</v>
      </c>
      <c r="AR51" s="1115">
        <f t="shared" si="58"/>
        <v>2792.7200000000003</v>
      </c>
      <c r="AS51" s="1115">
        <f t="shared" si="58"/>
        <v>3092.6499999999996</v>
      </c>
      <c r="AT51" s="1115">
        <f t="shared" si="58"/>
        <v>3392.7200000000007</v>
      </c>
      <c r="AU51" s="1115">
        <f t="shared" si="58"/>
        <v>3692.6350000000007</v>
      </c>
      <c r="AV51" s="1115">
        <f t="shared" si="58"/>
        <v>3992.5650000000001</v>
      </c>
      <c r="AW51" s="1115">
        <f t="shared" si="58"/>
        <v>4292.7699999999995</v>
      </c>
      <c r="AX51" s="1115">
        <f t="shared" si="58"/>
        <v>4490.76</v>
      </c>
      <c r="AY51" s="1115">
        <f t="shared" si="58"/>
        <v>4604.6899999999996</v>
      </c>
      <c r="AZ51" s="1115">
        <f t="shared" si="58"/>
        <v>4718.619999999999</v>
      </c>
      <c r="BA51" s="1115">
        <f t="shared" si="58"/>
        <v>4832.5499999999993</v>
      </c>
      <c r="BB51" s="1115">
        <f t="shared" si="58"/>
        <v>4946.6099999999988</v>
      </c>
      <c r="BC51" s="1115">
        <f t="shared" si="58"/>
        <v>5060.5399999999991</v>
      </c>
      <c r="BD51" s="1115">
        <f t="shared" si="58"/>
        <v>5174.5999999999995</v>
      </c>
      <c r="BE51" s="1115">
        <f t="shared" si="58"/>
        <v>5288.53</v>
      </c>
      <c r="BF51" s="1115">
        <f t="shared" si="28"/>
        <v>5402.46</v>
      </c>
      <c r="BG51" s="1115">
        <f t="shared" si="29"/>
        <v>5516.5199999999995</v>
      </c>
      <c r="BH51" s="1115">
        <f t="shared" si="30"/>
        <v>5630.4499999999989</v>
      </c>
      <c r="BI51" s="1115">
        <f t="shared" si="31"/>
        <v>5744.3799999999992</v>
      </c>
      <c r="BJ51" s="1115">
        <f t="shared" si="32"/>
        <v>5858.44</v>
      </c>
      <c r="BK51" s="394">
        <f>((0.33*'Traffic Data'!AK51)/Speed!X132)+((0.67*'Traffic Data'!AK51)/Speed!AX132)</f>
        <v>24.242438227745033</v>
      </c>
      <c r="BL51" s="392">
        <f>((0.33*AL51)/Speed!Y132)+((0.67*AL51)/Speed!AY132)</f>
        <v>26.544078332862874</v>
      </c>
      <c r="BM51" s="392">
        <f>((0.33*AM51)/Speed!Z132)+((0.67*AM51)/Speed!AZ132)</f>
        <v>29.809226792830934</v>
      </c>
      <c r="BN51" s="392">
        <f>((0.33*AN51)/Speed!AA132)+((0.67*AN51)/Speed!BA132)</f>
        <v>35.129918216065747</v>
      </c>
      <c r="BO51" s="392">
        <f>((0.33*AO51)/Speed!AB132)+((0.67*AO51)/Speed!BB132)</f>
        <v>40.454611146896049</v>
      </c>
      <c r="BP51" s="392">
        <f>((0.33*AP51)/Speed!AC132)+((0.67*AP51)/Speed!BC132)</f>
        <v>45.788034336714013</v>
      </c>
      <c r="BQ51" s="392">
        <f>((0.33*AQ51)/Speed!AD132)+((0.67*AQ51)/Speed!BD132)</f>
        <v>51.143795504164856</v>
      </c>
      <c r="BR51" s="392">
        <f>((0.33*AR51)/Speed!AE132)+((0.67*AR51)/Speed!BE132)</f>
        <v>56.570282504674097</v>
      </c>
      <c r="BS51" s="392">
        <f>((0.33*AS51)/Speed!AF132)+((0.67*AS51)/Speed!BF132)</f>
        <v>62.943699615695955</v>
      </c>
      <c r="BT51" s="392">
        <f>((0.33*AT51)/Speed!AG132)+((0.67*AT51)/Speed!BG132)</f>
        <v>69.830134542249198</v>
      </c>
      <c r="BU51" s="392">
        <f>((0.33*AU51)/Speed!AH132)+((0.67*AU51)/Speed!BH132)</f>
        <v>77.874923080128838</v>
      </c>
      <c r="BV51" s="392">
        <f>((0.33*AV51)/Speed!AI132)+((0.67*AV51)/Speed!BI132)</f>
        <v>88.392644189034826</v>
      </c>
      <c r="BW51" s="392">
        <f>((0.33*AW51)/Speed!AJ132)+((0.67*AW51)/Speed!BJ132)</f>
        <v>103.89337338141061</v>
      </c>
      <c r="BX51" s="392">
        <f>((0.33*AX51)/Speed!AK132)+((0.67*AX51)/Speed!BK132)</f>
        <v>118.9188893388222</v>
      </c>
      <c r="BY51" s="392">
        <f>((0.33*AY51)/Speed!AL132)+((0.67*AY51)/Speed!BL132)</f>
        <v>130.16744060297515</v>
      </c>
      <c r="BZ51" s="392">
        <f>((0.33*AZ51)/Speed!AM132)+((0.67*AZ51)/Speed!BM132)</f>
        <v>143.92633816555286</v>
      </c>
      <c r="CA51" s="392">
        <f>((0.33*BA51)/Speed!AN132)+((0.67*BA51)/Speed!BN132)</f>
        <v>160.81274879947057</v>
      </c>
      <c r="CB51" s="392">
        <f>((0.33*BB51)/Speed!AO132)+((0.67*BB51)/Speed!BO132)</f>
        <v>181.60136439982455</v>
      </c>
      <c r="CC51" s="392">
        <f>((0.33*BC51)/Speed!AP132)+((0.67*BC51)/Speed!BP132)</f>
        <v>207.14941105145064</v>
      </c>
      <c r="CD51" s="392">
        <f>((0.33*BD51)/Speed!AQ132)+((0.67*BD51)/Speed!BQ132)</f>
        <v>238.60442314272751</v>
      </c>
      <c r="CE51" s="392">
        <f>((0.33*BE51)/Speed!AR132)+((0.67*BE51)/Speed!BR132)</f>
        <v>246.10566702962939</v>
      </c>
      <c r="CF51" s="392">
        <f>((0.33*BF51)/Speed!AS132)+((0.67*BF51)/Speed!BS132)</f>
        <v>251.40799459188571</v>
      </c>
      <c r="CG51" s="392">
        <f>((0.33*BG51)/Speed!AT132)+((0.67*BG51)/Speed!BT132)</f>
        <v>256.71650485188991</v>
      </c>
      <c r="CH51" s="392">
        <f>((0.33*BH51)/Speed!AU132)+((0.67*BH51)/Speed!BU132)</f>
        <v>262.01912750926567</v>
      </c>
      <c r="CI51" s="392">
        <f>((0.33*BI51)/Speed!AV132)+((0.67*BI51)/Speed!BV132)</f>
        <v>267.3219436829101</v>
      </c>
      <c r="CJ51" s="430">
        <f>((0.33*BJ51)/Speed!AW132)+((0.67*BJ51)/Speed!BW132)</f>
        <v>272.63104305203188</v>
      </c>
      <c r="CK51" s="1386"/>
      <c r="CL51" s="1386"/>
      <c r="CM51" s="1381"/>
      <c r="CN51" s="1393"/>
      <c r="DA51"/>
    </row>
    <row r="52" spans="2:105" ht="21.9" customHeight="1" x14ac:dyDescent="0.25">
      <c r="B52" s="469"/>
      <c r="C52" s="1339"/>
      <c r="D52" s="250" t="s">
        <v>308</v>
      </c>
      <c r="E52" s="250" t="s">
        <v>319</v>
      </c>
      <c r="F52" s="250" t="s">
        <v>349</v>
      </c>
      <c r="G52" s="1121">
        <v>45</v>
      </c>
      <c r="H52" s="1122">
        <v>2.68</v>
      </c>
      <c r="I52" s="258">
        <v>2</v>
      </c>
      <c r="J52" s="321">
        <f>'Trip Gen'!W161</f>
        <v>6000</v>
      </c>
      <c r="K52" s="1120">
        <f>'Trip Gen'!X161</f>
        <v>6168.0199999999995</v>
      </c>
      <c r="L52" s="1120">
        <f>'Trip Gen'!Y161</f>
        <v>6407.46</v>
      </c>
      <c r="M52" s="1120">
        <f>'Trip Gen'!Z161</f>
        <v>6743.52</v>
      </c>
      <c r="N52" s="1120">
        <f>'Trip Gen'!AA161</f>
        <v>7079.7199999999984</v>
      </c>
      <c r="O52" s="1120">
        <f>'Trip Gen'!AB161</f>
        <v>7415.8900000000021</v>
      </c>
      <c r="P52" s="1120">
        <f>'Trip Gen'!AC161</f>
        <v>7751.9500000000016</v>
      </c>
      <c r="Q52" s="1120">
        <f>'Trip Gen'!AD161</f>
        <v>8088.2800000000007</v>
      </c>
      <c r="R52" s="1120">
        <f>'Trip Gen'!AE161</f>
        <v>8427.7999999999993</v>
      </c>
      <c r="S52" s="1120">
        <f>'Trip Gen'!AF161</f>
        <v>8767.42</v>
      </c>
      <c r="T52" s="1120">
        <f>'Trip Gen'!AG161</f>
        <v>9106.909999999998</v>
      </c>
      <c r="U52" s="1120">
        <f>'Trip Gen'!AH161</f>
        <v>9446.43</v>
      </c>
      <c r="V52" s="1120">
        <f>'Trip Gen'!AI161</f>
        <v>9786.2200000000012</v>
      </c>
      <c r="W52" s="1120">
        <f>'Trip Gen'!AJ161</f>
        <v>10028.960000000001</v>
      </c>
      <c r="X52" s="1120">
        <f>'Trip Gen'!AK161</f>
        <v>10196.98</v>
      </c>
      <c r="Y52" s="1120">
        <f>'Trip Gen'!AL161</f>
        <v>10365</v>
      </c>
      <c r="Z52" s="1120">
        <f>'Trip Gen'!AM161</f>
        <v>10533.019999999999</v>
      </c>
      <c r="AA52" s="1120">
        <f>'Trip Gen'!AN161</f>
        <v>10701.119999999999</v>
      </c>
      <c r="AB52" s="1120">
        <f>'Trip Gen'!AO161</f>
        <v>10869.140000000001</v>
      </c>
      <c r="AC52" s="1120">
        <f>'Trip Gen'!AP161</f>
        <v>11037.240000000002</v>
      </c>
      <c r="AD52" s="1120">
        <f>'Trip Gen'!AQ161</f>
        <v>11205.26</v>
      </c>
      <c r="AE52" s="1120">
        <f>'Trip Gen'!AR161</f>
        <v>11373.28</v>
      </c>
      <c r="AF52" s="1120">
        <f>'Trip Gen'!AS161</f>
        <v>11541.38</v>
      </c>
      <c r="AG52" s="1120">
        <f>'Trip Gen'!AT161</f>
        <v>11709.399999999998</v>
      </c>
      <c r="AH52" s="1120">
        <f>'Trip Gen'!AU161</f>
        <v>11877.419999999998</v>
      </c>
      <c r="AI52" s="1120">
        <f>'Trip Gen'!AV161</f>
        <v>12045.519999999999</v>
      </c>
      <c r="AJ52" s="1142">
        <f t="shared" si="25"/>
        <v>4.0303466666666656E-2</v>
      </c>
      <c r="AK52" s="321">
        <f t="shared" si="57"/>
        <v>16080.000000000002</v>
      </c>
      <c r="AL52" s="1120">
        <f t="shared" si="7"/>
        <v>16530.293600000001</v>
      </c>
      <c r="AM52" s="1120">
        <f t="shared" si="8"/>
        <v>17171.9928</v>
      </c>
      <c r="AN52" s="1120">
        <f t="shared" si="9"/>
        <v>18072.633600000001</v>
      </c>
      <c r="AO52" s="1120">
        <f t="shared" si="10"/>
        <v>18973.649599999997</v>
      </c>
      <c r="AP52" s="1120">
        <f t="shared" si="11"/>
        <v>19874.585200000009</v>
      </c>
      <c r="AQ52" s="1120">
        <f t="shared" si="58"/>
        <v>20775.226000000006</v>
      </c>
      <c r="AR52" s="1120">
        <f t="shared" si="58"/>
        <v>21676.590400000005</v>
      </c>
      <c r="AS52" s="1120">
        <f t="shared" si="58"/>
        <v>22586.504000000001</v>
      </c>
      <c r="AT52" s="1120">
        <f t="shared" si="58"/>
        <v>23496.685600000001</v>
      </c>
      <c r="AU52" s="1120">
        <f t="shared" si="58"/>
        <v>24406.518799999998</v>
      </c>
      <c r="AV52" s="1120">
        <f t="shared" si="58"/>
        <v>25316.432400000002</v>
      </c>
      <c r="AW52" s="1120">
        <f t="shared" si="58"/>
        <v>26227.069600000006</v>
      </c>
      <c r="AX52" s="1120">
        <f t="shared" si="58"/>
        <v>26877.612800000003</v>
      </c>
      <c r="AY52" s="1120">
        <f t="shared" si="58"/>
        <v>27327.9064</v>
      </c>
      <c r="AZ52" s="1120">
        <f t="shared" si="58"/>
        <v>27778.2</v>
      </c>
      <c r="BA52" s="1120">
        <f t="shared" si="58"/>
        <v>28228.493599999998</v>
      </c>
      <c r="BB52" s="1120">
        <f t="shared" si="58"/>
        <v>28679.0016</v>
      </c>
      <c r="BC52" s="1120">
        <f t="shared" si="58"/>
        <v>29129.295200000004</v>
      </c>
      <c r="BD52" s="1120">
        <f t="shared" si="58"/>
        <v>29579.803200000006</v>
      </c>
      <c r="BE52" s="1120">
        <f t="shared" si="58"/>
        <v>30030.096800000003</v>
      </c>
      <c r="BF52" s="1120">
        <f t="shared" si="28"/>
        <v>30480.390400000004</v>
      </c>
      <c r="BG52" s="1120">
        <f t="shared" si="29"/>
        <v>30930.898399999998</v>
      </c>
      <c r="BH52" s="1120">
        <f t="shared" si="30"/>
        <v>31381.191999999995</v>
      </c>
      <c r="BI52" s="1120">
        <f t="shared" si="31"/>
        <v>31831.485599999996</v>
      </c>
      <c r="BJ52" s="1120">
        <f t="shared" si="32"/>
        <v>32281.993599999998</v>
      </c>
      <c r="BK52" s="396">
        <f>((0.33*'Traffic Data'!AK52)/Speed!X133)+((0.67*'Traffic Data'!AK52)/Speed!AX133)</f>
        <v>344.00994144229037</v>
      </c>
      <c r="BL52" s="431">
        <f>((0.33*AL52)/Speed!Y133)+((0.67*AL52)/Speed!AY133)</f>
        <v>354.25885985355177</v>
      </c>
      <c r="BM52" s="431">
        <f>((0.33*AM52)/Speed!Z133)+((0.67*AM52)/Speed!AZ133)</f>
        <v>369.2391558691844</v>
      </c>
      <c r="BN52" s="431">
        <f>((0.33*AN52)/Speed!AA133)+((0.67*AN52)/Speed!BA133)</f>
        <v>391.32823105524932</v>
      </c>
      <c r="BO52" s="431">
        <f>((0.33*AO52)/Speed!AB133)+((0.67*AO52)/Speed!BB133)</f>
        <v>415.31438255131764</v>
      </c>
      <c r="BP52" s="431">
        <f>((0.33*AP52)/Speed!AC133)+((0.67*AP52)/Speed!BC133)</f>
        <v>442.2194679590059</v>
      </c>
      <c r="BQ52" s="431">
        <f>((0.33*AQ52)/Speed!AD133)+((0.67*AQ52)/Speed!BD133)</f>
        <v>473.54267098954176</v>
      </c>
      <c r="BR52" s="431">
        <f>((0.33*AR52)/Speed!AE133)+((0.67*AR52)/Speed!BE133)</f>
        <v>511.48883651680319</v>
      </c>
      <c r="BS52" s="431">
        <f>((0.33*AS52)/Speed!AF133)+((0.67*AS52)/Speed!BF133)</f>
        <v>559.60904866767874</v>
      </c>
      <c r="BT52" s="431">
        <f>((0.33*AT52)/Speed!AG133)+((0.67*AT52)/Speed!BG133)</f>
        <v>621.99941473577576</v>
      </c>
      <c r="BU52" s="431">
        <f>((0.33*AU52)/Speed!AH133)+((0.67*AU52)/Speed!BH133)</f>
        <v>704.68362467616817</v>
      </c>
      <c r="BV52" s="431">
        <f>((0.33*AV52)/Speed!AI133)+((0.67*AV52)/Speed!BI133)</f>
        <v>815.95634598057131</v>
      </c>
      <c r="BW52" s="431">
        <f>((0.33*AW52)/Speed!AJ133)+((0.67*AW52)/Speed!BJ133)</f>
        <v>967.07962524660104</v>
      </c>
      <c r="BX52" s="431">
        <f>((0.33*AX52)/Speed!AK133)+((0.67*AX52)/Speed!BK133)</f>
        <v>1107.45647097029</v>
      </c>
      <c r="BY52" s="431">
        <f>((0.33*AY52)/Speed!AL133)+((0.67*AY52)/Speed!BL133)</f>
        <v>1224.4391575300999</v>
      </c>
      <c r="BZ52" s="431">
        <f>((0.33*AZ52)/Speed!AM133)+((0.67*AZ52)/Speed!BM133)</f>
        <v>1312.6775031307229</v>
      </c>
      <c r="CA52" s="431">
        <f>((0.33*BA52)/Speed!AN133)+((0.67*BA52)/Speed!BN133)</f>
        <v>1333.9581972737878</v>
      </c>
      <c r="CB52" s="431">
        <f>((0.33*BB52)/Speed!AO133)+((0.67*BB52)/Speed!BO133)</f>
        <v>1355.2493614693506</v>
      </c>
      <c r="CC52" s="431">
        <f>((0.33*BC52)/Speed!AP133)+((0.67*BC52)/Speed!BP133)</f>
        <v>1376.5307862852196</v>
      </c>
      <c r="CD52" s="431">
        <f>((0.33*BD52)/Speed!AQ133)+((0.67*BD52)/Speed!BQ133)</f>
        <v>1397.822792495981</v>
      </c>
      <c r="CE52" s="431">
        <f>((0.33*BE52)/Speed!AR133)+((0.67*BE52)/Speed!BR133)</f>
        <v>1419.1051872397343</v>
      </c>
      <c r="CF52" s="431">
        <f>((0.33*BF52)/Speed!AS133)+((0.67*BF52)/Speed!BS133)</f>
        <v>1440.3881756896799</v>
      </c>
      <c r="CG52" s="431">
        <f>((0.33*BG52)/Speed!AT133)+((0.67*BG52)/Speed!BT133)</f>
        <v>1461.6819775983247</v>
      </c>
      <c r="CH52" s="431">
        <f>((0.33*BH52)/Speed!AU133)+((0.67*BH52)/Speed!BU133)</f>
        <v>1482.9664296580349</v>
      </c>
      <c r="CI52" s="431">
        <f>((0.33*BI52)/Speed!AV133)+((0.67*BI52)/Speed!BV133)</f>
        <v>1504.2517684775089</v>
      </c>
      <c r="CJ52" s="432">
        <f>((0.33*BJ52)/Speed!AW133)+((0.67*BJ52)/Speed!BW133)</f>
        <v>1525.548251527242</v>
      </c>
      <c r="CK52" s="1387"/>
      <c r="CL52" s="1387"/>
      <c r="CM52" s="1382"/>
      <c r="CN52" s="1394"/>
      <c r="DA52"/>
    </row>
    <row r="53" spans="2:105" ht="21.9" customHeight="1" x14ac:dyDescent="0.25">
      <c r="B53" s="469"/>
      <c r="C53" s="114" t="s">
        <v>320</v>
      </c>
      <c r="D53" s="114" t="s">
        <v>318</v>
      </c>
      <c r="E53" s="114" t="s">
        <v>308</v>
      </c>
      <c r="F53" s="114" t="s">
        <v>350</v>
      </c>
      <c r="G53" s="343">
        <v>40</v>
      </c>
      <c r="H53" s="1119">
        <v>2.35</v>
      </c>
      <c r="I53" s="256">
        <v>2</v>
      </c>
      <c r="J53" s="320">
        <f>'Trip Gen'!W165</f>
        <v>20</v>
      </c>
      <c r="K53" s="1124">
        <f>'Trip Gen'!X165</f>
        <v>83.07</v>
      </c>
      <c r="L53" s="1124">
        <f>'Trip Gen'!Y165</f>
        <v>741.08999999999992</v>
      </c>
      <c r="M53" s="1124">
        <f>'Trip Gen'!Z165</f>
        <v>1752.8600000000001</v>
      </c>
      <c r="N53" s="1124">
        <f>'Trip Gen'!AA165</f>
        <v>2765.3500000000004</v>
      </c>
      <c r="O53" s="1124">
        <f>'Trip Gen'!AB165</f>
        <v>3777.4399999999996</v>
      </c>
      <c r="P53" s="1124">
        <f>'Trip Gen'!AC165</f>
        <v>4789.21</v>
      </c>
      <c r="Q53" s="1124">
        <f>'Trip Gen'!AD165</f>
        <v>5802.3700000000008</v>
      </c>
      <c r="R53" s="1124">
        <f>'Trip Gen'!AE165</f>
        <v>6219.64</v>
      </c>
      <c r="S53" s="1124">
        <f>'Trip Gen'!AF165</f>
        <v>6637.2300000000005</v>
      </c>
      <c r="T53" s="1124">
        <f>'Trip Gen'!AG165</f>
        <v>7054.72</v>
      </c>
      <c r="U53" s="1124">
        <f>'Trip Gen'!AH165</f>
        <v>7471.9900000000007</v>
      </c>
      <c r="V53" s="1124">
        <f>'Trip Gen'!AI165</f>
        <v>7890.25</v>
      </c>
      <c r="W53" s="1124">
        <f>'Trip Gen'!AJ165</f>
        <v>7953.3200000000006</v>
      </c>
      <c r="X53" s="1124">
        <f>'Trip Gen'!AK165</f>
        <v>8016.39</v>
      </c>
      <c r="Y53" s="1124">
        <f>'Trip Gen'!AL165</f>
        <v>8079.4600000000009</v>
      </c>
      <c r="Z53" s="1124">
        <f>'Trip Gen'!AM165</f>
        <v>8142.53</v>
      </c>
      <c r="AA53" s="1124">
        <f>'Trip Gen'!AN165</f>
        <v>8206.0500000000011</v>
      </c>
      <c r="AB53" s="1124">
        <f>'Trip Gen'!AO165</f>
        <v>8269.1200000000008</v>
      </c>
      <c r="AC53" s="1124">
        <f>'Trip Gen'!AP165</f>
        <v>8332.3900000000012</v>
      </c>
      <c r="AD53" s="1124">
        <f>'Trip Gen'!AQ165</f>
        <v>8395.4600000000009</v>
      </c>
      <c r="AE53" s="1124">
        <f>'Trip Gen'!AR165</f>
        <v>8458.5300000000007</v>
      </c>
      <c r="AF53" s="1124">
        <f>'Trip Gen'!AS165</f>
        <v>8522.0500000000011</v>
      </c>
      <c r="AG53" s="1124">
        <f>'Trip Gen'!AT165</f>
        <v>8585.1200000000008</v>
      </c>
      <c r="AH53" s="1124">
        <f>'Trip Gen'!AU165</f>
        <v>8648.19</v>
      </c>
      <c r="AI53" s="1124">
        <f>'Trip Gen'!AV165</f>
        <v>8711.4599999999991</v>
      </c>
      <c r="AJ53" s="1141">
        <f t="shared" si="25"/>
        <v>17.382919999999999</v>
      </c>
      <c r="AK53" s="320">
        <f t="shared" si="57"/>
        <v>47</v>
      </c>
      <c r="AL53" s="1124">
        <f t="shared" si="7"/>
        <v>195.21449999999999</v>
      </c>
      <c r="AM53" s="1124">
        <f t="shared" si="8"/>
        <v>1741.5614999999998</v>
      </c>
      <c r="AN53" s="1124">
        <f t="shared" si="9"/>
        <v>4119.2210000000005</v>
      </c>
      <c r="AO53" s="1124">
        <f t="shared" si="10"/>
        <v>6498.5725000000011</v>
      </c>
      <c r="AP53" s="1124">
        <f t="shared" si="11"/>
        <v>8876.9839999999986</v>
      </c>
      <c r="AQ53" s="1124">
        <f t="shared" si="58"/>
        <v>11254.6435</v>
      </c>
      <c r="AR53" s="1124">
        <f t="shared" si="58"/>
        <v>13635.569500000003</v>
      </c>
      <c r="AS53" s="1124">
        <f t="shared" si="58"/>
        <v>14616.154</v>
      </c>
      <c r="AT53" s="1124">
        <f t="shared" si="58"/>
        <v>15597.490500000002</v>
      </c>
      <c r="AU53" s="1124">
        <f t="shared" si="58"/>
        <v>16578.592000000001</v>
      </c>
      <c r="AV53" s="1124">
        <f t="shared" si="58"/>
        <v>17559.176500000001</v>
      </c>
      <c r="AW53" s="1124">
        <f t="shared" si="58"/>
        <v>18542.087500000001</v>
      </c>
      <c r="AX53" s="1124">
        <f t="shared" si="58"/>
        <v>18690.302000000003</v>
      </c>
      <c r="AY53" s="1124">
        <f t="shared" si="58"/>
        <v>18838.516500000002</v>
      </c>
      <c r="AZ53" s="1124">
        <f t="shared" si="58"/>
        <v>18986.731000000003</v>
      </c>
      <c r="BA53" s="1124">
        <f t="shared" si="58"/>
        <v>19134.945500000002</v>
      </c>
      <c r="BB53" s="1124">
        <f t="shared" si="58"/>
        <v>19284.217500000002</v>
      </c>
      <c r="BC53" s="1124">
        <f t="shared" si="58"/>
        <v>19432.432000000004</v>
      </c>
      <c r="BD53" s="1124">
        <f t="shared" si="58"/>
        <v>19581.116500000004</v>
      </c>
      <c r="BE53" s="1124">
        <f t="shared" si="58"/>
        <v>19729.331000000002</v>
      </c>
      <c r="BF53" s="1124">
        <f t="shared" si="28"/>
        <v>19877.545500000004</v>
      </c>
      <c r="BG53" s="1124">
        <f t="shared" si="29"/>
        <v>20026.817500000005</v>
      </c>
      <c r="BH53" s="1124">
        <f t="shared" si="30"/>
        <v>20175.032000000003</v>
      </c>
      <c r="BI53" s="1124">
        <f t="shared" si="31"/>
        <v>20323.246500000001</v>
      </c>
      <c r="BJ53" s="1124">
        <f t="shared" si="32"/>
        <v>20471.931</v>
      </c>
      <c r="BK53" s="394">
        <f>((0.33*'Traffic Data'!AK53)/Speed!X134)+((0.67*'Traffic Data'!AK53)/Speed!AX134)</f>
        <v>1.087962962962963</v>
      </c>
      <c r="BL53" s="392">
        <f>((0.33*AL53)/Speed!Y134)+((0.67*AL53)/Speed!AY134)</f>
        <v>4.5188541666666664</v>
      </c>
      <c r="BM53" s="392">
        <f>((0.33*AM53)/Speed!Z134)+((0.67*AM53)/Speed!AZ134)</f>
        <v>40.313923611340584</v>
      </c>
      <c r="BN53" s="392">
        <f>((0.33*AN53)/Speed!AA134)+((0.67*AN53)/Speed!BA134)</f>
        <v>95.352340937226785</v>
      </c>
      <c r="BO53" s="392">
        <f>((0.33*AO53)/Speed!AB134)+((0.67*AO53)/Speed!BB134)</f>
        <v>150.43036711887385</v>
      </c>
      <c r="BP53" s="392">
        <f>((0.33*AP53)/Speed!AC134)+((0.67*AP53)/Speed!BC134)</f>
        <v>205.4995870350308</v>
      </c>
      <c r="BQ53" s="392">
        <f>((0.33*AQ53)/Speed!AD134)+((0.67*AQ53)/Speed!BD134)</f>
        <v>260.71254743269947</v>
      </c>
      <c r="BR53" s="392">
        <f>((0.33*AR53)/Speed!AE134)+((0.67*AR53)/Speed!BE134)</f>
        <v>317.19350557388492</v>
      </c>
      <c r="BS53" s="392">
        <f>((0.33*AS53)/Speed!AF134)+((0.67*AS53)/Speed!BF134)</f>
        <v>341.67562526936194</v>
      </c>
      <c r="BT53" s="392">
        <f>((0.33*AT53)/Speed!AG134)+((0.67*AT53)/Speed!BG134)</f>
        <v>367.87670454802878</v>
      </c>
      <c r="BU53" s="392">
        <f>((0.33*AU53)/Speed!AH134)+((0.67*AU53)/Speed!BH134)</f>
        <v>397.11246845173696</v>
      </c>
      <c r="BV53" s="392">
        <f>((0.33*AV53)/Speed!AI134)+((0.67*AV53)/Speed!BI134)</f>
        <v>431.57912678614673</v>
      </c>
      <c r="BW53" s="392">
        <f>((0.33*AW53)/Speed!AJ134)+((0.67*AW53)/Speed!BJ134)</f>
        <v>474.94087406408573</v>
      </c>
      <c r="BX53" s="392">
        <f>((0.33*AX53)/Speed!AK134)+((0.67*AX53)/Speed!BK134)</f>
        <v>482.55719097838926</v>
      </c>
      <c r="BY53" s="392">
        <f>((0.33*AY53)/Speed!AL134)+((0.67*AY53)/Speed!BL134)</f>
        <v>490.5186586069147</v>
      </c>
      <c r="BZ53" s="392">
        <f>((0.33*AZ53)/Speed!AM134)+((0.67*AZ53)/Speed!BM134)</f>
        <v>498.85095653756616</v>
      </c>
      <c r="CA53" s="392">
        <f>((0.33*BA53)/Speed!AN134)+((0.67*BA53)/Speed!BN134)</f>
        <v>507.58118218339155</v>
      </c>
      <c r="CB53" s="392">
        <f>((0.33*BB53)/Speed!AO134)+((0.67*BB53)/Speed!BO134)</f>
        <v>516.80511892739503</v>
      </c>
      <c r="CC53" s="392">
        <f>((0.33*BC53)/Speed!AP134)+((0.67*BC53)/Speed!BP134)</f>
        <v>526.42295324439226</v>
      </c>
      <c r="CD53" s="392">
        <f>((0.33*BD53)/Speed!AQ134)+((0.67*BD53)/Speed!BQ134)</f>
        <v>536.56398805407116</v>
      </c>
      <c r="CE53" s="392">
        <f>((0.33*BE53)/Speed!AR134)+((0.67*BE53)/Speed!BR134)</f>
        <v>547.1989083035146</v>
      </c>
      <c r="CF53" s="392">
        <f>((0.33*BF53)/Speed!AS134)+((0.67*BF53)/Speed!BS134)</f>
        <v>558.39584848113225</v>
      </c>
      <c r="CG53" s="392">
        <f>((0.33*BG53)/Speed!AT134)+((0.67*BG53)/Speed!BT134)</f>
        <v>570.28040336925324</v>
      </c>
      <c r="CH53" s="392">
        <f>((0.33*BH53)/Speed!AU134)+((0.67*BH53)/Speed!BU134)</f>
        <v>582.72600709399194</v>
      </c>
      <c r="CI53" s="392">
        <f>((0.33*BI53)/Speed!AV134)+((0.67*BI53)/Speed!BV134)</f>
        <v>595.85877715347817</v>
      </c>
      <c r="CJ53" s="430">
        <f>((0.33*BJ53)/Speed!AW134)+((0.67*BJ53)/Speed!BW134)</f>
        <v>609.77069455348305</v>
      </c>
      <c r="CK53" s="252">
        <f>Inputs!$F$35</f>
        <v>0.2</v>
      </c>
      <c r="CL53" s="252">
        <f>Inputs!$F$36</f>
        <v>0.8</v>
      </c>
      <c r="CM53" s="253">
        <f>1/(1+CK53)</f>
        <v>0.83333333333333337</v>
      </c>
      <c r="CN53" s="269">
        <v>0.88</v>
      </c>
      <c r="DA53"/>
    </row>
    <row r="54" spans="2:105" ht="21.9" customHeight="1" x14ac:dyDescent="0.25">
      <c r="B54" s="469"/>
      <c r="C54" s="1325" t="s">
        <v>308</v>
      </c>
      <c r="D54" s="217" t="s">
        <v>276</v>
      </c>
      <c r="E54" s="217" t="s">
        <v>320</v>
      </c>
      <c r="F54" s="217" t="s">
        <v>351</v>
      </c>
      <c r="G54" s="1113">
        <v>40</v>
      </c>
      <c r="H54" s="1114">
        <v>1.35</v>
      </c>
      <c r="I54" s="257">
        <v>4</v>
      </c>
      <c r="J54" s="1150">
        <f>'Trip Gen'!W162</f>
        <v>100</v>
      </c>
      <c r="K54" s="1151">
        <f>'Trip Gen'!X162</f>
        <v>222.24999999999997</v>
      </c>
      <c r="L54" s="1151">
        <f>'Trip Gen'!Y162</f>
        <v>939.35</v>
      </c>
      <c r="M54" s="1151">
        <f>'Trip Gen'!Z162</f>
        <v>2111.6</v>
      </c>
      <c r="N54" s="1151">
        <f>'Trip Gen'!AA162</f>
        <v>3284.5000000000005</v>
      </c>
      <c r="O54" s="1151">
        <f>'Trip Gen'!AB162</f>
        <v>4457.4499999999989</v>
      </c>
      <c r="P54" s="1151">
        <f>'Trip Gen'!AC162</f>
        <v>5629.7</v>
      </c>
      <c r="Q54" s="1151">
        <f>'Trip Gen'!AD162</f>
        <v>6803.3</v>
      </c>
      <c r="R54" s="1151">
        <f>'Trip Gen'!AE162</f>
        <v>7708.3000000000011</v>
      </c>
      <c r="S54" s="1151">
        <f>'Trip Gen'!AF162</f>
        <v>8613.4500000000007</v>
      </c>
      <c r="T54" s="1151">
        <f>'Trip Gen'!AG162</f>
        <v>9518.4499999999989</v>
      </c>
      <c r="U54" s="1151">
        <f>'Trip Gen'!AH162</f>
        <v>10423.449999999999</v>
      </c>
      <c r="V54" s="1151">
        <f>'Trip Gen'!AI162</f>
        <v>11329.65</v>
      </c>
      <c r="W54" s="1151">
        <f>'Trip Gen'!AJ162</f>
        <v>11778.8</v>
      </c>
      <c r="X54" s="1151">
        <f>'Trip Gen'!AK162</f>
        <v>11901.050000000001</v>
      </c>
      <c r="Y54" s="1151">
        <f>'Trip Gen'!AL162</f>
        <v>12023.3</v>
      </c>
      <c r="Z54" s="1151">
        <f>'Trip Gen'!AM162</f>
        <v>12145.550000000001</v>
      </c>
      <c r="AA54" s="1151">
        <f>'Trip Gen'!AN162</f>
        <v>12268.150000000001</v>
      </c>
      <c r="AB54" s="1151">
        <f>'Trip Gen'!AO162</f>
        <v>12390.4</v>
      </c>
      <c r="AC54" s="1151">
        <f>'Trip Gen'!AP162</f>
        <v>12512.999999999996</v>
      </c>
      <c r="AD54" s="1151">
        <f>'Trip Gen'!AQ162</f>
        <v>12635.249999999998</v>
      </c>
      <c r="AE54" s="1151">
        <f>'Trip Gen'!AR162</f>
        <v>12757.499999999998</v>
      </c>
      <c r="AF54" s="1151">
        <f>'Trip Gen'!AS162</f>
        <v>12880.099999999999</v>
      </c>
      <c r="AG54" s="1151">
        <f>'Trip Gen'!AT162</f>
        <v>13002.349999999999</v>
      </c>
      <c r="AH54" s="1151">
        <f>'Trip Gen'!AU162</f>
        <v>13124.599999999999</v>
      </c>
      <c r="AI54" s="1151">
        <f>'Trip Gen'!AV162</f>
        <v>13247.199999999999</v>
      </c>
      <c r="AJ54" s="1156">
        <f t="shared" si="25"/>
        <v>5.2588799999999996</v>
      </c>
      <c r="AK54" s="1150">
        <f t="shared" si="57"/>
        <v>135</v>
      </c>
      <c r="AL54" s="1151">
        <f t="shared" si="7"/>
        <v>300.03749999999997</v>
      </c>
      <c r="AM54" s="1151">
        <f t="shared" si="8"/>
        <v>1268.1225000000002</v>
      </c>
      <c r="AN54" s="1151">
        <f t="shared" si="9"/>
        <v>2850.66</v>
      </c>
      <c r="AO54" s="1151">
        <f t="shared" si="10"/>
        <v>4434.0750000000007</v>
      </c>
      <c r="AP54" s="1151">
        <f t="shared" si="11"/>
        <v>6017.557499999999</v>
      </c>
      <c r="AQ54" s="1151">
        <f t="shared" si="58"/>
        <v>7600.0950000000003</v>
      </c>
      <c r="AR54" s="1151">
        <f t="shared" si="58"/>
        <v>9184.4550000000017</v>
      </c>
      <c r="AS54" s="1151">
        <f t="shared" si="58"/>
        <v>10406.205000000002</v>
      </c>
      <c r="AT54" s="1151">
        <f t="shared" si="58"/>
        <v>11628.157500000001</v>
      </c>
      <c r="AU54" s="1151">
        <f t="shared" si="58"/>
        <v>12849.907499999999</v>
      </c>
      <c r="AV54" s="1151">
        <f t="shared" si="58"/>
        <v>14071.657499999999</v>
      </c>
      <c r="AW54" s="1151">
        <f t="shared" si="58"/>
        <v>15295.0275</v>
      </c>
      <c r="AX54" s="1151">
        <f t="shared" si="58"/>
        <v>15901.38</v>
      </c>
      <c r="AY54" s="1151">
        <f t="shared" si="58"/>
        <v>16066.417500000003</v>
      </c>
      <c r="AZ54" s="1151">
        <f t="shared" si="58"/>
        <v>16231.455</v>
      </c>
      <c r="BA54" s="1151">
        <f t="shared" si="58"/>
        <v>16396.492500000004</v>
      </c>
      <c r="BB54" s="1151">
        <f>$H54*AA54</f>
        <v>16562.002500000002</v>
      </c>
      <c r="BC54" s="1151">
        <f t="shared" si="58"/>
        <v>16727.04</v>
      </c>
      <c r="BD54" s="1151">
        <f t="shared" si="58"/>
        <v>16892.549999999996</v>
      </c>
      <c r="BE54" s="1151">
        <f t="shared" si="58"/>
        <v>17057.587499999998</v>
      </c>
      <c r="BF54" s="1151">
        <f t="shared" si="28"/>
        <v>17222.625</v>
      </c>
      <c r="BG54" s="1151">
        <f t="shared" si="29"/>
        <v>17388.134999999998</v>
      </c>
      <c r="BH54" s="1151">
        <f t="shared" si="30"/>
        <v>17553.172500000001</v>
      </c>
      <c r="BI54" s="1151">
        <f t="shared" si="31"/>
        <v>17718.21</v>
      </c>
      <c r="BJ54" s="1151">
        <f t="shared" si="32"/>
        <v>17883.72</v>
      </c>
      <c r="BK54" s="393">
        <f>((0.33*'Traffic Data'!AK54)/Speed!X135)+((0.67*'Traffic Data'!AK54)/Speed!AX135)</f>
        <v>3.2846715328467155</v>
      </c>
      <c r="BL54" s="428">
        <f>((0.33*AL54)/Speed!Y135)+((0.67*AL54)/Speed!AY135)</f>
        <v>7.3001824817518237</v>
      </c>
      <c r="BM54" s="428">
        <f>((0.33*AM54)/Speed!Z135)+((0.67*AM54)/Speed!AZ135)</f>
        <v>30.854562043795625</v>
      </c>
      <c r="BN54" s="428">
        <f>((0.33*AN54)/Speed!AA135)+((0.67*AN54)/Speed!BA135)</f>
        <v>69.359124087594353</v>
      </c>
      <c r="BO54" s="428">
        <f>((0.33*AO54)/Speed!AB135)+((0.67*AO54)/Speed!BB135)</f>
        <v>107.88503649675135</v>
      </c>
      <c r="BP54" s="428">
        <f>((0.33*AP54)/Speed!AC135)+((0.67*AP54)/Speed!BC135)</f>
        <v>146.41259125240782</v>
      </c>
      <c r="BQ54" s="428">
        <f>((0.33*AQ54)/Speed!AD135)+((0.67*AQ54)/Speed!BD135)</f>
        <v>184.91715343508571</v>
      </c>
      <c r="BR54" s="428">
        <f>((0.33*AR54)/Speed!AE135)+((0.67*AR54)/Speed!BE135)</f>
        <v>223.46605960160525</v>
      </c>
      <c r="BS54" s="428">
        <f>((0.33*AS54)/Speed!AF135)+((0.67*AS54)/Speed!BF135)</f>
        <v>253.19234053618828</v>
      </c>
      <c r="BT54" s="428">
        <f>((0.33*AT54)/Speed!AG135)+((0.67*AT54)/Speed!BG135)</f>
        <v>282.92355632309994</v>
      </c>
      <c r="BU54" s="428">
        <f>((0.33*AU54)/Speed!AH135)+((0.67*AU54)/Speed!BH135)</f>
        <v>312.64986606736858</v>
      </c>
      <c r="BV54" s="428">
        <f>((0.33*AV54)/Speed!AI135)+((0.67*AV54)/Speed!BI135)</f>
        <v>342.37622674028637</v>
      </c>
      <c r="BW54" s="428">
        <f>((0.33*AW54)/Speed!AJ135)+((0.67*AW54)/Speed!BJ135)</f>
        <v>372.14211818497421</v>
      </c>
      <c r="BX54" s="428">
        <f>((0.33*AX54)/Speed!AK135)+((0.67*AX54)/Speed!BK135)</f>
        <v>386.89539641288866</v>
      </c>
      <c r="BY54" s="428">
        <f>((0.33*AY54)/Speed!AL135)+((0.67*AY54)/Speed!BL135)</f>
        <v>390.91096821354404</v>
      </c>
      <c r="BZ54" s="428">
        <f>((0.33*AZ54)/Speed!AM135)+((0.67*AZ54)/Speed!BM135)</f>
        <v>394.92654659498311</v>
      </c>
      <c r="CA54" s="428">
        <f>((0.33*BA54)/Speed!AN135)+((0.67*BA54)/Speed!BN135)</f>
        <v>398.94213219296728</v>
      </c>
      <c r="CB54" s="428">
        <f>((0.33*BB54)/Speed!AO135)+((0.67*BB54)/Speed!BO135)</f>
        <v>402.96922229404697</v>
      </c>
      <c r="CC54" s="428">
        <f>((0.33*BC54)/Speed!AP135)+((0.67*BC54)/Speed!BP135)</f>
        <v>406.98482447205708</v>
      </c>
      <c r="CD54" s="428">
        <f>((0.33*BD54)/Speed!AQ135)+((0.67*BD54)/Speed!BQ135)</f>
        <v>411.01193276260096</v>
      </c>
      <c r="CE54" s="428">
        <f>((0.33*BE54)/Speed!AR135)+((0.67*BE54)/Speed!BR135)</f>
        <v>415.02755476432606</v>
      </c>
      <c r="CF54" s="428">
        <f>((0.33*BF54)/Speed!AS135)+((0.67*BF54)/Speed!BS135)</f>
        <v>419.04318804698721</v>
      </c>
      <c r="CG54" s="428">
        <f>((0.33*BG54)/Speed!AT135)+((0.67*BG54)/Speed!BT135)</f>
        <v>423.0703303861813</v>
      </c>
      <c r="CH54" s="428">
        <f>((0.33*BH54)/Speed!AU135)+((0.67*BH54)/Speed!BU135)</f>
        <v>427.0859894153383</v>
      </c>
      <c r="CI54" s="428">
        <f>((0.33*BI54)/Speed!AV135)+((0.67*BI54)/Speed!BV135)</f>
        <v>431.10166304183417</v>
      </c>
      <c r="CJ54" s="429">
        <f>((0.33*BJ54)/Speed!AW135)+((0.67*BJ54)/Speed!BW135)</f>
        <v>435.12884943388639</v>
      </c>
      <c r="CK54" s="1385">
        <f>Inputs!$G$35</f>
        <v>0.2</v>
      </c>
      <c r="CL54" s="1385">
        <f>Inputs!$G$36</f>
        <v>0.8</v>
      </c>
      <c r="CM54" s="1380">
        <f>1/(1+CK54)</f>
        <v>0.83333333333333337</v>
      </c>
      <c r="CN54" s="1392">
        <v>0.88</v>
      </c>
      <c r="DA54"/>
    </row>
    <row r="55" spans="2:105" ht="21.9" customHeight="1" x14ac:dyDescent="0.25">
      <c r="B55" s="469"/>
      <c r="C55" s="1327"/>
      <c r="D55" s="114" t="s">
        <v>320</v>
      </c>
      <c r="E55" s="114" t="s">
        <v>282</v>
      </c>
      <c r="F55" s="114" t="s">
        <v>351</v>
      </c>
      <c r="G55" s="343">
        <v>40</v>
      </c>
      <c r="H55" s="1119">
        <v>0.28000000000000003</v>
      </c>
      <c r="I55" s="256">
        <v>4</v>
      </c>
      <c r="J55" s="320">
        <v>0</v>
      </c>
      <c r="K55" s="256">
        <f>ROUND((0.7333333333333*MAX(K57,K54)),0)</f>
        <v>325</v>
      </c>
      <c r="L55" s="256">
        <f>L54</f>
        <v>939.35</v>
      </c>
      <c r="M55" s="256">
        <f t="shared" ref="M55:AI55" si="59">M54</f>
        <v>2111.6</v>
      </c>
      <c r="N55" s="256">
        <f t="shared" si="59"/>
        <v>3284.5000000000005</v>
      </c>
      <c r="O55" s="256">
        <f t="shared" si="59"/>
        <v>4457.4499999999989</v>
      </c>
      <c r="P55" s="256">
        <f t="shared" si="59"/>
        <v>5629.7</v>
      </c>
      <c r="Q55" s="256">
        <f t="shared" si="59"/>
        <v>6803.3</v>
      </c>
      <c r="R55" s="256">
        <f t="shared" si="59"/>
        <v>7708.3000000000011</v>
      </c>
      <c r="S55" s="256">
        <f t="shared" si="59"/>
        <v>8613.4500000000007</v>
      </c>
      <c r="T55" s="256">
        <f t="shared" si="59"/>
        <v>9518.4499999999989</v>
      </c>
      <c r="U55" s="256">
        <f t="shared" si="59"/>
        <v>10423.449999999999</v>
      </c>
      <c r="V55" s="256">
        <f t="shared" si="59"/>
        <v>11329.65</v>
      </c>
      <c r="W55" s="256">
        <f t="shared" si="59"/>
        <v>11778.8</v>
      </c>
      <c r="X55" s="256">
        <f t="shared" si="59"/>
        <v>11901.050000000001</v>
      </c>
      <c r="Y55" s="256">
        <f t="shared" si="59"/>
        <v>12023.3</v>
      </c>
      <c r="Z55" s="256">
        <f t="shared" si="59"/>
        <v>12145.550000000001</v>
      </c>
      <c r="AA55" s="256">
        <f t="shared" si="59"/>
        <v>12268.150000000001</v>
      </c>
      <c r="AB55" s="256">
        <f t="shared" si="59"/>
        <v>12390.4</v>
      </c>
      <c r="AC55" s="256">
        <f t="shared" si="59"/>
        <v>12512.999999999996</v>
      </c>
      <c r="AD55" s="256">
        <f t="shared" si="59"/>
        <v>12635.249999999998</v>
      </c>
      <c r="AE55" s="256">
        <f t="shared" si="59"/>
        <v>12757.499999999998</v>
      </c>
      <c r="AF55" s="256">
        <f t="shared" si="59"/>
        <v>12880.099999999999</v>
      </c>
      <c r="AG55" s="256">
        <f t="shared" si="59"/>
        <v>13002.349999999999</v>
      </c>
      <c r="AH55" s="256">
        <f t="shared" si="59"/>
        <v>13124.599999999999</v>
      </c>
      <c r="AI55" s="256">
        <f t="shared" si="59"/>
        <v>13247.199999999999</v>
      </c>
      <c r="AJ55" s="1141" t="s">
        <v>311</v>
      </c>
      <c r="AK55" s="320">
        <f t="shared" si="57"/>
        <v>0</v>
      </c>
      <c r="AL55" s="256">
        <f t="shared" si="7"/>
        <v>91.000000000000014</v>
      </c>
      <c r="AM55" s="256">
        <f t="shared" si="8"/>
        <v>263.01800000000003</v>
      </c>
      <c r="AN55" s="256">
        <f t="shared" si="9"/>
        <v>591.24800000000005</v>
      </c>
      <c r="AO55" s="256">
        <f t="shared" si="10"/>
        <v>919.6600000000002</v>
      </c>
      <c r="AP55" s="256">
        <f t="shared" si="11"/>
        <v>1248.0859999999998</v>
      </c>
      <c r="AQ55" s="256">
        <f t="shared" si="58"/>
        <v>1576.316</v>
      </c>
      <c r="AR55" s="256">
        <f t="shared" si="58"/>
        <v>1904.9240000000002</v>
      </c>
      <c r="AS55" s="256">
        <f t="shared" si="58"/>
        <v>2158.3240000000005</v>
      </c>
      <c r="AT55" s="256">
        <f t="shared" si="58"/>
        <v>2411.7660000000005</v>
      </c>
      <c r="AU55" s="256">
        <f t="shared" si="58"/>
        <v>2665.1660000000002</v>
      </c>
      <c r="AV55" s="256">
        <f t="shared" si="58"/>
        <v>2918.5659999999998</v>
      </c>
      <c r="AW55" s="256">
        <f t="shared" si="58"/>
        <v>3172.3020000000001</v>
      </c>
      <c r="AX55" s="256">
        <f t="shared" si="58"/>
        <v>3298.0640000000003</v>
      </c>
      <c r="AY55" s="256">
        <f t="shared" si="58"/>
        <v>3332.2940000000008</v>
      </c>
      <c r="AZ55" s="256">
        <f t="shared" si="58"/>
        <v>3366.5240000000003</v>
      </c>
      <c r="BA55" s="256">
        <f t="shared" si="58"/>
        <v>3400.7540000000008</v>
      </c>
      <c r="BB55" s="256">
        <f t="shared" si="58"/>
        <v>3435.0820000000008</v>
      </c>
      <c r="BC55" s="256">
        <f t="shared" si="58"/>
        <v>3469.3120000000004</v>
      </c>
      <c r="BD55" s="256">
        <f t="shared" si="58"/>
        <v>3503.6399999999994</v>
      </c>
      <c r="BE55" s="256">
        <f t="shared" si="58"/>
        <v>3537.87</v>
      </c>
      <c r="BF55" s="256">
        <f t="shared" si="28"/>
        <v>3572.1</v>
      </c>
      <c r="BG55" s="256">
        <f t="shared" si="29"/>
        <v>3606.4279999999999</v>
      </c>
      <c r="BH55" s="256">
        <f t="shared" si="30"/>
        <v>3640.6579999999999</v>
      </c>
      <c r="BI55" s="256">
        <f t="shared" si="31"/>
        <v>3674.8879999999999</v>
      </c>
      <c r="BJ55" s="256">
        <f t="shared" si="32"/>
        <v>3709.2159999999999</v>
      </c>
      <c r="BK55" s="394">
        <f>((0.33*'Traffic Data'!AK55)/Speed!X136)+((0.67*'Traffic Data'!AK55)/Speed!AX136)</f>
        <v>0</v>
      </c>
      <c r="BL55" s="392">
        <f>((0.33*AL55)/Speed!Y136)+((0.67*AL55)/Speed!AY136)</f>
        <v>2.2141119221411198</v>
      </c>
      <c r="BM55" s="392">
        <f>((0.33*AM55)/Speed!Z136)+((0.67*AM55)/Speed!AZ136)</f>
        <v>6.3994647201946488</v>
      </c>
      <c r="BN55" s="392">
        <f>((0.33*AN55)/Speed!AA136)+((0.67*AN55)/Speed!BA136)</f>
        <v>14.385596107056607</v>
      </c>
      <c r="BO55" s="392">
        <f>((0.33*AO55)/Speed!AB136)+((0.67*AO55)/Speed!BB136)</f>
        <v>22.376155717844728</v>
      </c>
      <c r="BP55" s="392">
        <f>((0.33*AP55)/Speed!AC136)+((0.67*AP55)/Speed!BC136)</f>
        <v>30.367055963462363</v>
      </c>
      <c r="BQ55" s="392">
        <f>((0.33*AQ55)/Speed!AD136)+((0.67*AQ55)/Speed!BD136)</f>
        <v>38.35318737912889</v>
      </c>
      <c r="BR55" s="392">
        <f>((0.33*AR55)/Speed!AE136)+((0.67*AR55)/Speed!BE136)</f>
        <v>46.348516065518126</v>
      </c>
      <c r="BS55" s="392">
        <f>((0.33*AS55)/Speed!AF136)+((0.67*AS55)/Speed!BF136)</f>
        <v>52.513966926024239</v>
      </c>
      <c r="BT55" s="392">
        <f>((0.33*AT55)/Speed!AG136)+((0.67*AT55)/Speed!BG136)</f>
        <v>58.68044131145777</v>
      </c>
      <c r="BU55" s="392">
        <f>((0.33*AU55)/Speed!AH136)+((0.67*AU55)/Speed!BH136)</f>
        <v>64.845898147306087</v>
      </c>
      <c r="BV55" s="392">
        <f>((0.33*AV55)/Speed!AI136)+((0.67*AV55)/Speed!BI136)</f>
        <v>71.011365546133476</v>
      </c>
      <c r="BW55" s="392">
        <f>((0.33*AW55)/Speed!AJ136)+((0.67*AW55)/Speed!BJ136)</f>
        <v>77.185031919846494</v>
      </c>
      <c r="BX55" s="392">
        <f>((0.33*AX55)/Speed!AK136)+((0.67*AX55)/Speed!BK136)</f>
        <v>80.244971107858404</v>
      </c>
      <c r="BY55" s="392">
        <f>((0.33*AY55)/Speed!AL136)+((0.67*AY55)/Speed!BL136)</f>
        <v>81.077830444290612</v>
      </c>
      <c r="BZ55" s="392">
        <f>((0.33*AZ55)/Speed!AM136)+((0.67*AZ55)/Speed!BM136)</f>
        <v>81.910691145626132</v>
      </c>
      <c r="CA55" s="392">
        <f>((0.33*BA55)/Speed!AN136)+((0.67*BA55)/Speed!BN136)</f>
        <v>82.743553343726546</v>
      </c>
      <c r="CB55" s="392">
        <f>((0.33*BB55)/Speed!AO136)+((0.67*BB55)/Speed!BO136)</f>
        <v>83.578801660987523</v>
      </c>
      <c r="CC55" s="392">
        <f>((0.33*BC55)/Speed!AP136)+((0.67*BC55)/Speed!BP136)</f>
        <v>84.411667297908139</v>
      </c>
      <c r="CD55" s="392">
        <f>((0.33*BD55)/Speed!AQ136)+((0.67*BD55)/Speed!BQ136)</f>
        <v>85.246919387798727</v>
      </c>
      <c r="CE55" s="392">
        <f>((0.33*BE55)/Speed!AR136)+((0.67*BE55)/Speed!BR136)</f>
        <v>86.079789136304669</v>
      </c>
      <c r="CF55" s="392">
        <f>((0.33*BF55)/Speed!AS136)+((0.67*BF55)/Speed!BS136)</f>
        <v>86.91266122456031</v>
      </c>
      <c r="CG55" s="392">
        <f>((0.33*BG55)/Speed!AT136)+((0.67*BG55)/Speed!BT136)</f>
        <v>87.747920376393154</v>
      </c>
      <c r="CH55" s="392">
        <f>((0.33*BH55)/Speed!AU136)+((0.67*BH55)/Speed!BU136)</f>
        <v>88.580797804662751</v>
      </c>
      <c r="CI55" s="392">
        <f>((0.33*BI55)/Speed!AV136)+((0.67*BI55)/Speed!BV136)</f>
        <v>89.413678260528584</v>
      </c>
      <c r="CJ55" s="430">
        <f>((0.33*BJ55)/Speed!AW136)+((0.67*BJ55)/Speed!BW136)</f>
        <v>90.248946549250491</v>
      </c>
      <c r="CK55" s="1386"/>
      <c r="CL55" s="1386"/>
      <c r="CM55" s="1381"/>
      <c r="CN55" s="1393"/>
      <c r="DA55"/>
    </row>
    <row r="56" spans="2:105" ht="21.9" customHeight="1" x14ac:dyDescent="0.25">
      <c r="B56" s="469"/>
      <c r="C56" s="1327"/>
      <c r="D56" s="114" t="s">
        <v>282</v>
      </c>
      <c r="E56" s="114" t="s">
        <v>321</v>
      </c>
      <c r="F56" s="114" t="s">
        <v>352</v>
      </c>
      <c r="G56" s="343">
        <v>40</v>
      </c>
      <c r="H56" s="1119">
        <v>0.73</v>
      </c>
      <c r="I56" s="256">
        <v>4</v>
      </c>
      <c r="J56" s="320">
        <v>0</v>
      </c>
      <c r="K56" s="256">
        <f>K55</f>
        <v>325</v>
      </c>
      <c r="L56" s="256">
        <f>L54</f>
        <v>939.35</v>
      </c>
      <c r="M56" s="256">
        <f t="shared" ref="M56:AI56" si="60">M54</f>
        <v>2111.6</v>
      </c>
      <c r="N56" s="256">
        <f t="shared" si="60"/>
        <v>3284.5000000000005</v>
      </c>
      <c r="O56" s="256">
        <f t="shared" si="60"/>
        <v>4457.4499999999989</v>
      </c>
      <c r="P56" s="256">
        <f t="shared" si="60"/>
        <v>5629.7</v>
      </c>
      <c r="Q56" s="256">
        <f t="shared" si="60"/>
        <v>6803.3</v>
      </c>
      <c r="R56" s="256">
        <f t="shared" si="60"/>
        <v>7708.3000000000011</v>
      </c>
      <c r="S56" s="256">
        <f t="shared" si="60"/>
        <v>8613.4500000000007</v>
      </c>
      <c r="T56" s="256">
        <f t="shared" si="60"/>
        <v>9518.4499999999989</v>
      </c>
      <c r="U56" s="256">
        <f t="shared" si="60"/>
        <v>10423.449999999999</v>
      </c>
      <c r="V56" s="256">
        <f t="shared" si="60"/>
        <v>11329.65</v>
      </c>
      <c r="W56" s="256">
        <f t="shared" si="60"/>
        <v>11778.8</v>
      </c>
      <c r="X56" s="256">
        <f t="shared" si="60"/>
        <v>11901.050000000001</v>
      </c>
      <c r="Y56" s="256">
        <f t="shared" si="60"/>
        <v>12023.3</v>
      </c>
      <c r="Z56" s="256">
        <f t="shared" si="60"/>
        <v>12145.550000000001</v>
      </c>
      <c r="AA56" s="256">
        <f t="shared" si="60"/>
        <v>12268.150000000001</v>
      </c>
      <c r="AB56" s="256">
        <f t="shared" si="60"/>
        <v>12390.4</v>
      </c>
      <c r="AC56" s="256">
        <f t="shared" si="60"/>
        <v>12512.999999999996</v>
      </c>
      <c r="AD56" s="256">
        <f t="shared" si="60"/>
        <v>12635.249999999998</v>
      </c>
      <c r="AE56" s="256">
        <f t="shared" si="60"/>
        <v>12757.499999999998</v>
      </c>
      <c r="AF56" s="256">
        <f t="shared" si="60"/>
        <v>12880.099999999999</v>
      </c>
      <c r="AG56" s="256">
        <f t="shared" si="60"/>
        <v>13002.349999999999</v>
      </c>
      <c r="AH56" s="256">
        <f t="shared" si="60"/>
        <v>13124.599999999999</v>
      </c>
      <c r="AI56" s="256">
        <f t="shared" si="60"/>
        <v>13247.199999999999</v>
      </c>
      <c r="AJ56" s="1141" t="s">
        <v>311</v>
      </c>
      <c r="AK56" s="320">
        <f t="shared" si="57"/>
        <v>0</v>
      </c>
      <c r="AL56" s="256">
        <f t="shared" si="7"/>
        <v>237.25</v>
      </c>
      <c r="AM56" s="256">
        <f t="shared" si="8"/>
        <v>685.72550000000001</v>
      </c>
      <c r="AN56" s="256">
        <f t="shared" si="9"/>
        <v>1541.4679999999998</v>
      </c>
      <c r="AO56" s="256">
        <f t="shared" si="10"/>
        <v>2397.6850000000004</v>
      </c>
      <c r="AP56" s="256">
        <f t="shared" si="11"/>
        <v>3253.9384999999993</v>
      </c>
      <c r="AQ56" s="256">
        <f t="shared" si="58"/>
        <v>4109.6809999999996</v>
      </c>
      <c r="AR56" s="256">
        <f t="shared" si="58"/>
        <v>4966.4089999999997</v>
      </c>
      <c r="AS56" s="256">
        <f t="shared" si="58"/>
        <v>5627.0590000000011</v>
      </c>
      <c r="AT56" s="256">
        <f t="shared" si="58"/>
        <v>6287.8185000000003</v>
      </c>
      <c r="AU56" s="256">
        <f t="shared" si="58"/>
        <v>6948.468499999999</v>
      </c>
      <c r="AV56" s="256">
        <f t="shared" si="58"/>
        <v>7609.1184999999987</v>
      </c>
      <c r="AW56" s="256">
        <f t="shared" si="58"/>
        <v>8270.6445000000003</v>
      </c>
      <c r="AX56" s="256">
        <f t="shared" si="58"/>
        <v>8598.5239999999994</v>
      </c>
      <c r="AY56" s="256">
        <f t="shared" si="58"/>
        <v>8687.7664999999997</v>
      </c>
      <c r="AZ56" s="256">
        <f t="shared" si="58"/>
        <v>8777.009</v>
      </c>
      <c r="BA56" s="256">
        <f t="shared" si="58"/>
        <v>8866.2515000000003</v>
      </c>
      <c r="BB56" s="256">
        <f t="shared" si="58"/>
        <v>8955.7495000000017</v>
      </c>
      <c r="BC56" s="256">
        <f t="shared" si="58"/>
        <v>9044.9920000000002</v>
      </c>
      <c r="BD56" s="256">
        <f t="shared" si="58"/>
        <v>9134.489999999998</v>
      </c>
      <c r="BE56" s="256">
        <f t="shared" si="58"/>
        <v>9223.7324999999983</v>
      </c>
      <c r="BF56" s="256">
        <f t="shared" si="28"/>
        <v>9312.9749999999985</v>
      </c>
      <c r="BG56" s="256">
        <f t="shared" si="29"/>
        <v>9402.4729999999981</v>
      </c>
      <c r="BH56" s="256">
        <f t="shared" si="30"/>
        <v>9491.7154999999984</v>
      </c>
      <c r="BI56" s="256">
        <f t="shared" si="31"/>
        <v>9580.9579999999987</v>
      </c>
      <c r="BJ56" s="256">
        <f t="shared" si="32"/>
        <v>9670.4559999999983</v>
      </c>
      <c r="BK56" s="394">
        <f>((0.33*'Traffic Data'!AK56)/Speed!X137)+((0.67*'Traffic Data'!AK56)/Speed!AX137)</f>
        <v>0</v>
      </c>
      <c r="BL56" s="392">
        <f>((0.33*AL56)/Speed!Y137)+((0.67*AL56)/Speed!AY137)</f>
        <v>5.7725060827250614</v>
      </c>
      <c r="BM56" s="392">
        <f>((0.33*AM56)/Speed!Z137)+((0.67*AM56)/Speed!AZ137)</f>
        <v>16.684318734793187</v>
      </c>
      <c r="BN56" s="392">
        <f>((0.33*AN56)/Speed!AA137)+((0.67*AN56)/Speed!BA137)</f>
        <v>37.505304136254715</v>
      </c>
      <c r="BO56" s="392">
        <f>((0.33*AO56)/Speed!AB137)+((0.67*AO56)/Speed!BB137)</f>
        <v>58.337834550095181</v>
      </c>
      <c r="BP56" s="392">
        <f>((0.33*AP56)/Speed!AC137)+((0.67*AP56)/Speed!BC137)</f>
        <v>79.171253047598313</v>
      </c>
      <c r="BQ56" s="392">
        <f>((0.33*AQ56)/Speed!AD137)+((0.67*AQ56)/Speed!BD137)</f>
        <v>99.992238524157443</v>
      </c>
      <c r="BR56" s="392">
        <f>((0.33*AR56)/Speed!AE137)+((0.67*AR56)/Speed!BE137)</f>
        <v>120.83720259938653</v>
      </c>
      <c r="BS56" s="392">
        <f>((0.33*AS56)/Speed!AF137)+((0.67*AS56)/Speed!BF137)</f>
        <v>136.91141377142031</v>
      </c>
      <c r="BT56" s="392">
        <f>((0.33*AT56)/Speed!AG137)+((0.67*AT56)/Speed!BG137)</f>
        <v>152.98829341915774</v>
      </c>
      <c r="BU56" s="392">
        <f>((0.33*AU56)/Speed!AH137)+((0.67*AU56)/Speed!BH137)</f>
        <v>169.06252016976228</v>
      </c>
      <c r="BV56" s="392">
        <f>((0.33*AV56)/Speed!AI137)+((0.67*AV56)/Speed!BI137)</f>
        <v>185.13677445956222</v>
      </c>
      <c r="BW56" s="392">
        <f>((0.33*AW56)/Speed!AJ137)+((0.67*AW56)/Speed!BJ137)</f>
        <v>201.23240464817127</v>
      </c>
      <c r="BX56" s="392">
        <f>((0.33*AX56)/Speed!AK137)+((0.67*AX56)/Speed!BK137)</f>
        <v>209.21010324548797</v>
      </c>
      <c r="BY56" s="392">
        <f>((0.33*AY56)/Speed!AL137)+((0.67*AY56)/Speed!BL137)</f>
        <v>211.38148651547192</v>
      </c>
      <c r="BZ56" s="392">
        <f>((0.33*AZ56)/Speed!AM137)+((0.67*AZ56)/Speed!BM137)</f>
        <v>213.55287334395385</v>
      </c>
      <c r="CA56" s="392">
        <f>((0.33*BA56)/Speed!AN137)+((0.67*BA56)/Speed!BN137)</f>
        <v>215.72426407471559</v>
      </c>
      <c r="CB56" s="392">
        <f>((0.33*BB56)/Speed!AO137)+((0.67*BB56)/Speed!BO137)</f>
        <v>217.90187575900316</v>
      </c>
      <c r="CC56" s="392">
        <f>((0.33*BC56)/Speed!AP137)+((0.67*BC56)/Speed!BP137)</f>
        <v>220.0732754552605</v>
      </c>
      <c r="CD56" s="392">
        <f>((0.33*BD56)/Speed!AQ137)+((0.67*BD56)/Speed!BQ137)</f>
        <v>222.25089697533238</v>
      </c>
      <c r="CE56" s="392">
        <f>((0.33*BE56)/Speed!AR137)+((0.67*BE56)/Speed!BR137)</f>
        <v>224.42230739107998</v>
      </c>
      <c r="CF56" s="392">
        <f>((0.33*BF56)/Speed!AS137)+((0.67*BF56)/Speed!BS137)</f>
        <v>226.59372390688935</v>
      </c>
      <c r="CG56" s="392">
        <f>((0.33*BG56)/Speed!AT137)+((0.67*BG56)/Speed!BT137)</f>
        <v>228.77136383845354</v>
      </c>
      <c r="CH56" s="392">
        <f>((0.33*BH56)/Speed!AU137)+((0.67*BH56)/Speed!BU137)</f>
        <v>230.94279427644213</v>
      </c>
      <c r="CI56" s="392">
        <f>((0.33*BI56)/Speed!AV137)+((0.67*BI56)/Speed!BV137)</f>
        <v>233.1142326078066</v>
      </c>
      <c r="CJ56" s="430">
        <f>((0.33*BJ56)/Speed!AW137)+((0.67*BJ56)/Speed!BW137)</f>
        <v>235.29189636054591</v>
      </c>
      <c r="CK56" s="1386"/>
      <c r="CL56" s="1386"/>
      <c r="CM56" s="1381"/>
      <c r="CN56" s="1393"/>
      <c r="DA56"/>
    </row>
    <row r="57" spans="2:105" ht="21.9" customHeight="1" x14ac:dyDescent="0.25">
      <c r="B57" s="469"/>
      <c r="C57" s="1339"/>
      <c r="D57" s="250" t="s">
        <v>321</v>
      </c>
      <c r="E57" s="250" t="s">
        <v>274</v>
      </c>
      <c r="F57" s="250" t="s">
        <v>352</v>
      </c>
      <c r="G57" s="1121">
        <v>40</v>
      </c>
      <c r="H57" s="1122">
        <v>1.05</v>
      </c>
      <c r="I57" s="258">
        <v>4</v>
      </c>
      <c r="J57" s="1152">
        <f>'Trip Gen'!W166</f>
        <v>300</v>
      </c>
      <c r="K57" s="1125">
        <f>'Trip Gen'!X166</f>
        <v>443.37</v>
      </c>
      <c r="L57" s="1125">
        <f>'Trip Gen'!Y166</f>
        <v>621.98</v>
      </c>
      <c r="M57" s="1125">
        <f>'Trip Gen'!Z166</f>
        <v>1004.42</v>
      </c>
      <c r="N57" s="1125">
        <f>'Trip Gen'!AA166</f>
        <v>1386.91</v>
      </c>
      <c r="O57" s="1125">
        <f>'Trip Gen'!AB166</f>
        <v>1769.56</v>
      </c>
      <c r="P57" s="1125">
        <f>'Trip Gen'!AC166</f>
        <v>2152</v>
      </c>
      <c r="Q57" s="1125">
        <f>'Trip Gen'!AD166</f>
        <v>2534.2400000000002</v>
      </c>
      <c r="R57" s="1125">
        <f>'Trip Gen'!AE166</f>
        <v>3301.7599999999998</v>
      </c>
      <c r="S57" s="1125">
        <f>'Trip Gen'!AF166</f>
        <v>4068.84</v>
      </c>
      <c r="T57" s="1125">
        <f>'Trip Gen'!AG166</f>
        <v>4836.09</v>
      </c>
      <c r="U57" s="1125">
        <f>'Trip Gen'!AH166</f>
        <v>5603.61</v>
      </c>
      <c r="V57" s="1125">
        <f>'Trip Gen'!AI166</f>
        <v>6370.93</v>
      </c>
      <c r="W57" s="1125">
        <f>'Trip Gen'!AJ166</f>
        <v>6934.5999999999995</v>
      </c>
      <c r="X57" s="1125">
        <f>'Trip Gen'!AK166</f>
        <v>7077.97</v>
      </c>
      <c r="Y57" s="1125">
        <f>'Trip Gen'!AL166</f>
        <v>7221.34</v>
      </c>
      <c r="Z57" s="1125">
        <f>'Trip Gen'!AM166</f>
        <v>7364.7099999999991</v>
      </c>
      <c r="AA57" s="1125">
        <f>'Trip Gen'!AN166</f>
        <v>7507.6499999999987</v>
      </c>
      <c r="AB57" s="1125">
        <f>'Trip Gen'!AO166</f>
        <v>7651.0199999999995</v>
      </c>
      <c r="AC57" s="1125">
        <f>'Trip Gen'!AP166</f>
        <v>7793.9599999999991</v>
      </c>
      <c r="AD57" s="1125">
        <f>'Trip Gen'!AQ166</f>
        <v>7937.33</v>
      </c>
      <c r="AE57" s="1125">
        <f>'Trip Gen'!AR166</f>
        <v>8080.7</v>
      </c>
      <c r="AF57" s="1125">
        <f>'Trip Gen'!AS166</f>
        <v>8223.64</v>
      </c>
      <c r="AG57" s="1125">
        <f>'Trip Gen'!AT166</f>
        <v>8367.0099999999984</v>
      </c>
      <c r="AH57" s="1125">
        <f>'Trip Gen'!AU166</f>
        <v>8510.3799999999992</v>
      </c>
      <c r="AI57" s="1125">
        <f>'Trip Gen'!AV166</f>
        <v>8653.3199999999979</v>
      </c>
      <c r="AJ57" s="1142">
        <f t="shared" ref="AJ57:AJ58" si="61">((AI57-J57)/J57)/25</f>
        <v>1.1137759999999997</v>
      </c>
      <c r="AK57" s="1152">
        <f t="shared" si="57"/>
        <v>315</v>
      </c>
      <c r="AL57" s="1125">
        <f t="shared" si="7"/>
        <v>465.5385</v>
      </c>
      <c r="AM57" s="1125">
        <f t="shared" si="8"/>
        <v>653.07900000000006</v>
      </c>
      <c r="AN57" s="1125">
        <f t="shared" si="9"/>
        <v>1054.6410000000001</v>
      </c>
      <c r="AO57" s="1125">
        <f t="shared" si="10"/>
        <v>1456.2555000000002</v>
      </c>
      <c r="AP57" s="1125">
        <f t="shared" si="11"/>
        <v>1858.038</v>
      </c>
      <c r="AQ57" s="1125">
        <f t="shared" si="58"/>
        <v>2259.6</v>
      </c>
      <c r="AR57" s="1125">
        <f t="shared" si="58"/>
        <v>2660.9520000000002</v>
      </c>
      <c r="AS57" s="1125">
        <f t="shared" si="58"/>
        <v>3466.848</v>
      </c>
      <c r="AT57" s="1125">
        <f t="shared" si="58"/>
        <v>4272.2820000000002</v>
      </c>
      <c r="AU57" s="1125">
        <f t="shared" si="58"/>
        <v>5077.8945000000003</v>
      </c>
      <c r="AV57" s="1125">
        <f t="shared" si="58"/>
        <v>5883.7905000000001</v>
      </c>
      <c r="AW57" s="1125">
        <f t="shared" si="58"/>
        <v>6689.4765000000007</v>
      </c>
      <c r="AX57" s="1125">
        <f t="shared" si="58"/>
        <v>7281.33</v>
      </c>
      <c r="AY57" s="1125">
        <f t="shared" si="58"/>
        <v>7431.8685000000005</v>
      </c>
      <c r="AZ57" s="1125">
        <f t="shared" si="58"/>
        <v>7582.4070000000002</v>
      </c>
      <c r="BA57" s="1125">
        <f t="shared" si="58"/>
        <v>7732.9454999999998</v>
      </c>
      <c r="BB57" s="1125">
        <f t="shared" si="58"/>
        <v>7883.0324999999993</v>
      </c>
      <c r="BC57" s="1125">
        <f t="shared" si="58"/>
        <v>8033.5709999999999</v>
      </c>
      <c r="BD57" s="1125">
        <f t="shared" si="58"/>
        <v>8183.6579999999994</v>
      </c>
      <c r="BE57" s="1125">
        <f t="shared" si="58"/>
        <v>8334.1965</v>
      </c>
      <c r="BF57" s="1125">
        <f t="shared" si="28"/>
        <v>8484.7350000000006</v>
      </c>
      <c r="BG57" s="1125">
        <f t="shared" si="29"/>
        <v>8634.8220000000001</v>
      </c>
      <c r="BH57" s="1125">
        <f t="shared" si="30"/>
        <v>8785.3604999999989</v>
      </c>
      <c r="BI57" s="1125">
        <f t="shared" si="31"/>
        <v>8935.8989999999994</v>
      </c>
      <c r="BJ57" s="1125">
        <f t="shared" si="32"/>
        <v>9085.985999999999</v>
      </c>
      <c r="BK57" s="396">
        <f>((0.33*'Traffic Data'!AK57)/Speed!X138)+((0.67*'Traffic Data'!AK57)/Speed!AX138)</f>
        <v>7.6642335766423351</v>
      </c>
      <c r="BL57" s="431">
        <f>((0.33*AL57)/Speed!Y138)+((0.67*AL57)/Speed!AY138)</f>
        <v>11.326970802919709</v>
      </c>
      <c r="BM57" s="431">
        <f>((0.33*AM57)/Speed!Z138)+((0.67*AM57)/Speed!AZ138)</f>
        <v>15.89</v>
      </c>
      <c r="BN57" s="431">
        <f>((0.33*AN57)/Speed!AA138)+((0.67*AN57)/Speed!BA138)</f>
        <v>25.660364963503653</v>
      </c>
      <c r="BO57" s="431">
        <f>((0.33*AO57)/Speed!AB138)+((0.67*AO57)/Speed!BB138)</f>
        <v>35.432007299270104</v>
      </c>
      <c r="BP57" s="431">
        <f>((0.33*AP57)/Speed!AC138)+((0.67*AP57)/Speed!BC138)</f>
        <v>45.207737226277722</v>
      </c>
      <c r="BQ57" s="431">
        <f>((0.33*AQ57)/Speed!AD138)+((0.67*AQ57)/Speed!BD138)</f>
        <v>54.978102189783996</v>
      </c>
      <c r="BR57" s="431">
        <f>((0.33*AR57)/Speed!AE138)+((0.67*AR57)/Speed!BE138)</f>
        <v>64.743357664251576</v>
      </c>
      <c r="BS57" s="431">
        <f>((0.33*AS57)/Speed!AF138)+((0.67*AS57)/Speed!BF138)</f>
        <v>84.351532847045704</v>
      </c>
      <c r="BT57" s="431">
        <f>((0.33*AT57)/Speed!AG138)+((0.67*AT57)/Speed!BG138)</f>
        <v>103.94846715657306</v>
      </c>
      <c r="BU57" s="431">
        <f>((0.33*AU57)/Speed!AH138)+((0.67*AU57)/Speed!BH138)</f>
        <v>123.54974454753847</v>
      </c>
      <c r="BV57" s="431">
        <f>((0.33*AV57)/Speed!AI138)+((0.67*AV57)/Speed!BI138)</f>
        <v>143.15791981919068</v>
      </c>
      <c r="BW57" s="431">
        <f>((0.33*AW57)/Speed!AJ138)+((0.67*AW57)/Speed!BJ138)</f>
        <v>162.76098585753763</v>
      </c>
      <c r="BX57" s="431">
        <f>((0.33*AX57)/Speed!AK138)+((0.67*AX57)/Speed!BK138)</f>
        <v>177.16131502750866</v>
      </c>
      <c r="BY57" s="431">
        <f>((0.33*AY57)/Speed!AL138)+((0.67*AY57)/Speed!BL138)</f>
        <v>180.82405254635742</v>
      </c>
      <c r="BZ57" s="431">
        <f>((0.33*AZ57)/Speed!AM138)+((0.67*AZ57)/Speed!BM138)</f>
        <v>184.48679013086957</v>
      </c>
      <c r="CA57" s="431">
        <f>((0.33*BA57)/Speed!AN138)+((0.67*BA57)/Speed!BN138)</f>
        <v>188.14952779403325</v>
      </c>
      <c r="CB57" s="431">
        <f>((0.33*BB57)/Speed!AO138)+((0.67*BB57)/Speed!BO138)</f>
        <v>191.80128014785396</v>
      </c>
      <c r="CC57" s="431">
        <f>((0.33*BC57)/Speed!AP138)+((0.67*BC57)/Speed!BP138)</f>
        <v>195.46401801616224</v>
      </c>
      <c r="CD57" s="431">
        <f>((0.33*BD57)/Speed!AQ138)+((0.67*BD57)/Speed!BQ138)</f>
        <v>199.11577061275204</v>
      </c>
      <c r="CE57" s="431">
        <f>((0.33*BE57)/Speed!AR138)+((0.67*BE57)/Speed!BR138)</f>
        <v>202.77850876916591</v>
      </c>
      <c r="CF57" s="431">
        <f>((0.33*BF57)/Speed!AS138)+((0.67*BF57)/Speed!BS138)</f>
        <v>206.44124710967418</v>
      </c>
      <c r="CG57" s="431">
        <f>((0.33*BG57)/Speed!AT138)+((0.67*BG57)/Speed!BT138)</f>
        <v>210.0930002606359</v>
      </c>
      <c r="CH57" s="431">
        <f>((0.33*BH57)/Speed!AU138)+((0.67*BH57)/Speed!BU138)</f>
        <v>213.75573906992017</v>
      </c>
      <c r="CI57" s="431">
        <f>((0.33*BI57)/Speed!AV138)+((0.67*BI57)/Speed!BV138)</f>
        <v>217.41847817501821</v>
      </c>
      <c r="CJ57" s="432">
        <f>((0.33*BJ57)/Speed!AW138)+((0.67*BJ57)/Speed!BW138)</f>
        <v>221.07023221608631</v>
      </c>
      <c r="CK57" s="1387"/>
      <c r="CL57" s="1387"/>
      <c r="CM57" s="1382"/>
      <c r="CN57" s="1394"/>
      <c r="DA57"/>
    </row>
    <row r="58" spans="2:105" ht="21.9" customHeight="1" x14ac:dyDescent="0.25">
      <c r="B58" s="469"/>
      <c r="C58" s="114" t="s">
        <v>282</v>
      </c>
      <c r="D58" s="114" t="s">
        <v>308</v>
      </c>
      <c r="E58" s="114" t="s">
        <v>324</v>
      </c>
      <c r="F58" s="114" t="s">
        <v>353</v>
      </c>
      <c r="G58" s="343">
        <v>30</v>
      </c>
      <c r="H58" s="1119">
        <v>1</v>
      </c>
      <c r="I58" s="343">
        <v>2</v>
      </c>
      <c r="J58" s="1126">
        <f>'Trip Gen'!W164</f>
        <v>1800</v>
      </c>
      <c r="K58" s="1115">
        <f>'Trip Gen'!X164</f>
        <v>1910.68</v>
      </c>
      <c r="L58" s="1115">
        <f>'Trip Gen'!Y164</f>
        <v>2057.15</v>
      </c>
      <c r="M58" s="1115">
        <f>'Trip Gen'!Z164</f>
        <v>2251.7999999999997</v>
      </c>
      <c r="N58" s="1115">
        <f>'Trip Gen'!AA164</f>
        <v>2446.5099999999998</v>
      </c>
      <c r="O58" s="1115">
        <f>'Trip Gen'!AB164</f>
        <v>2641.6400000000003</v>
      </c>
      <c r="P58" s="1115">
        <f>'Trip Gen'!AC164</f>
        <v>2836.2899999999995</v>
      </c>
      <c r="Q58" s="1115">
        <f>'Trip Gen'!AD164</f>
        <v>3031.1499999999996</v>
      </c>
      <c r="R58" s="1115">
        <f>'Trip Gen'!AE164</f>
        <v>3208.83</v>
      </c>
      <c r="S58" s="1115">
        <f>'Trip Gen'!AF164</f>
        <v>3386.36</v>
      </c>
      <c r="T58" s="1115">
        <f>'Trip Gen'!AG164</f>
        <v>3564.0499999999997</v>
      </c>
      <c r="U58" s="1115">
        <f>'Trip Gen'!AH164</f>
        <v>3741.73</v>
      </c>
      <c r="V58" s="1115">
        <f>'Trip Gen'!AI164</f>
        <v>3920.04</v>
      </c>
      <c r="W58" s="1115">
        <f>'Trip Gen'!AJ164</f>
        <v>4049.4</v>
      </c>
      <c r="X58" s="1115">
        <f>'Trip Gen'!AK164</f>
        <v>4160.08</v>
      </c>
      <c r="Y58" s="1115">
        <f>'Trip Gen'!AL164</f>
        <v>4270.7599999999993</v>
      </c>
      <c r="Z58" s="1115">
        <f>'Trip Gen'!AM164</f>
        <v>4381.4399999999996</v>
      </c>
      <c r="AA58" s="1115">
        <f>'Trip Gen'!AN164</f>
        <v>4492.24</v>
      </c>
      <c r="AB58" s="1115">
        <f>'Trip Gen'!AO164</f>
        <v>4602.9199999999992</v>
      </c>
      <c r="AC58" s="1115">
        <f>'Trip Gen'!AP164</f>
        <v>4713.87</v>
      </c>
      <c r="AD58" s="1115">
        <f>'Trip Gen'!AQ164</f>
        <v>4824.5499999999993</v>
      </c>
      <c r="AE58" s="1115">
        <f>'Trip Gen'!AR164</f>
        <v>4935.2299999999996</v>
      </c>
      <c r="AF58" s="1115">
        <f>'Trip Gen'!AS164</f>
        <v>5046.0299999999988</v>
      </c>
      <c r="AG58" s="1115">
        <f>'Trip Gen'!AT164</f>
        <v>5156.71</v>
      </c>
      <c r="AH58" s="1115">
        <f>'Trip Gen'!AU164</f>
        <v>5267.3899999999994</v>
      </c>
      <c r="AI58" s="1115">
        <f>'Trip Gen'!AV164</f>
        <v>5378.3399999999992</v>
      </c>
      <c r="AJ58" s="1141">
        <f t="shared" si="61"/>
        <v>7.9518666666666654E-2</v>
      </c>
      <c r="AK58" s="1126">
        <f t="shared" ref="AK58:AK63" si="62">$H58*J58</f>
        <v>1800</v>
      </c>
      <c r="AL58" s="1115">
        <f t="shared" si="7"/>
        <v>1910.68</v>
      </c>
      <c r="AM58" s="1115">
        <f t="shared" si="8"/>
        <v>2057.15</v>
      </c>
      <c r="AN58" s="1115">
        <f t="shared" si="9"/>
        <v>2251.7999999999997</v>
      </c>
      <c r="AO58" s="1115">
        <f t="shared" si="10"/>
        <v>2446.5099999999998</v>
      </c>
      <c r="AP58" s="1115">
        <f t="shared" si="11"/>
        <v>2641.6400000000003</v>
      </c>
      <c r="AQ58" s="1115">
        <f t="shared" si="58"/>
        <v>2836.2899999999995</v>
      </c>
      <c r="AR58" s="1115">
        <f t="shared" si="58"/>
        <v>3031.1499999999996</v>
      </c>
      <c r="AS58" s="1115">
        <f t="shared" si="58"/>
        <v>3208.83</v>
      </c>
      <c r="AT58" s="1115">
        <f t="shared" si="58"/>
        <v>3386.36</v>
      </c>
      <c r="AU58" s="1115">
        <f t="shared" si="58"/>
        <v>3564.0499999999997</v>
      </c>
      <c r="AV58" s="1115">
        <f t="shared" si="58"/>
        <v>3741.73</v>
      </c>
      <c r="AW58" s="1115">
        <f t="shared" si="58"/>
        <v>3920.04</v>
      </c>
      <c r="AX58" s="1115">
        <f t="shared" si="58"/>
        <v>4049.4</v>
      </c>
      <c r="AY58" s="1115">
        <f t="shared" si="58"/>
        <v>4160.08</v>
      </c>
      <c r="AZ58" s="1115">
        <f t="shared" si="58"/>
        <v>4270.7599999999993</v>
      </c>
      <c r="BA58" s="1115">
        <f t="shared" si="58"/>
        <v>4381.4399999999996</v>
      </c>
      <c r="BB58" s="1115">
        <f t="shared" si="58"/>
        <v>4492.24</v>
      </c>
      <c r="BC58" s="1115">
        <f t="shared" si="58"/>
        <v>4602.9199999999992</v>
      </c>
      <c r="BD58" s="1115">
        <f t="shared" si="58"/>
        <v>4713.87</v>
      </c>
      <c r="BE58" s="1115">
        <f t="shared" si="58"/>
        <v>4824.5499999999993</v>
      </c>
      <c r="BF58" s="1115">
        <f t="shared" si="28"/>
        <v>4935.2299999999996</v>
      </c>
      <c r="BG58" s="1115">
        <f t="shared" si="29"/>
        <v>5046.0299999999988</v>
      </c>
      <c r="BH58" s="1115">
        <f t="shared" si="30"/>
        <v>5156.71</v>
      </c>
      <c r="BI58" s="1115">
        <f t="shared" si="31"/>
        <v>5267.3899999999994</v>
      </c>
      <c r="BJ58" s="1115">
        <f t="shared" si="32"/>
        <v>5378.3399999999992</v>
      </c>
      <c r="BK58" s="397">
        <f>((0.33*'Traffic Data'!AK58)/Speed!X139)+((0.67*'Traffic Data'!AK58)/Speed!AX139)</f>
        <v>67.164179104477981</v>
      </c>
      <c r="BL58" s="426">
        <f>((0.33*AL58)/Speed!Y139)+((0.67*AL58)/Speed!AY139)</f>
        <v>71.294029850746966</v>
      </c>
      <c r="BM58" s="426">
        <f>((0.33*AM58)/Speed!Z139)+((0.67*AM58)/Speed!AZ139)</f>
        <v>76.75932835821051</v>
      </c>
      <c r="BN58" s="426">
        <f>((0.33*AN58)/Speed!AA139)+((0.67*AN58)/Speed!BA139)</f>
        <v>84.022388059705662</v>
      </c>
      <c r="BO58" s="426">
        <f>((0.33*AO58)/Speed!AB139)+((0.67*AO58)/Speed!BB139)</f>
        <v>91.287686567174575</v>
      </c>
      <c r="BP58" s="426">
        <f>((0.33*AP58)/Speed!AC139)+((0.67*AP58)/Speed!BC139)</f>
        <v>98.568656716442106</v>
      </c>
      <c r="BQ58" s="426">
        <f>((0.33*AQ58)/Speed!AD139)+((0.67*AQ58)/Speed!BD139)</f>
        <v>105.83171641796326</v>
      </c>
      <c r="BR58" s="426">
        <f>((0.33*AR58)/Speed!AE139)+((0.67*AR58)/Speed!BE139)</f>
        <v>113.1026119404082</v>
      </c>
      <c r="BS58" s="426">
        <f>((0.33*AS58)/Speed!AF139)+((0.67*AS58)/Speed!BF139)</f>
        <v>119.73246268677244</v>
      </c>
      <c r="BT58" s="426">
        <f>((0.33*AT58)/Speed!AG139)+((0.67*AT58)/Speed!BG139)</f>
        <v>126.35671641828164</v>
      </c>
      <c r="BU58" s="426">
        <f>((0.33*AU58)/Speed!AH139)+((0.67*AU58)/Speed!BH139)</f>
        <v>132.9869402991589</v>
      </c>
      <c r="BV58" s="426">
        <f>((0.33*AV58)/Speed!AI139)+((0.67*AV58)/Speed!BI139)</f>
        <v>139.61679104588862</v>
      </c>
      <c r="BW58" s="426">
        <f>((0.33*AW58)/Speed!AJ139)+((0.67*AW58)/Speed!BJ139)</f>
        <v>146.27014925558785</v>
      </c>
      <c r="BX58" s="426">
        <f>((0.33*AX58)/Speed!AK139)+((0.67*AX58)/Speed!BK139)</f>
        <v>151.09701492802651</v>
      </c>
      <c r="BY58" s="426">
        <f>((0.33*AY58)/Speed!AL139)+((0.67*AY58)/Speed!BL139)</f>
        <v>155.22686567521137</v>
      </c>
      <c r="BZ58" s="426">
        <f>((0.33*AZ58)/Speed!AM139)+((0.67*AZ58)/Speed!BM139)</f>
        <v>159.35671642267533</v>
      </c>
      <c r="CA58" s="426">
        <f>((0.33*BA58)/Speed!AN139)+((0.67*BA58)/Speed!BN139)</f>
        <v>163.4865671704928</v>
      </c>
      <c r="CB58" s="426">
        <f>((0.33*BB58)/Speed!AO139)+((0.67*BB58)/Speed!BO139)</f>
        <v>167.62089553069785</v>
      </c>
      <c r="CC58" s="426">
        <f>((0.33*BC58)/Speed!AP139)+((0.67*BC58)/Speed!BP139)</f>
        <v>171.75074627951759</v>
      </c>
      <c r="CD58" s="426">
        <f>((0.33*BD58)/Speed!AQ139)+((0.67*BD58)/Speed!BQ139)</f>
        <v>175.89067165590507</v>
      </c>
      <c r="CE58" s="426">
        <f>((0.33*BE58)/Speed!AR139)+((0.67*BE58)/Speed!BR139)</f>
        <v>180.02052240627859</v>
      </c>
      <c r="CF58" s="426">
        <f>((0.33*BF58)/Speed!AS139)+((0.67*BF58)/Speed!BS139)</f>
        <v>184.15037315771019</v>
      </c>
      <c r="CG58" s="426">
        <f>((0.33*BG58)/Speed!AT139)+((0.67*BG58)/Speed!BT139)</f>
        <v>188.28470152238737</v>
      </c>
      <c r="CH58" s="426">
        <f>((0.33*BH58)/Speed!AU139)+((0.67*BH58)/Speed!BU139)</f>
        <v>192.41455227670232</v>
      </c>
      <c r="CI58" s="426">
        <f>((0.33*BI58)/Speed!AV139)+((0.67*BI58)/Speed!BV139)</f>
        <v>196.54440303294285</v>
      </c>
      <c r="CJ58" s="427">
        <f>((0.33*BJ58)/Speed!AW139)+((0.67*BJ58)/Speed!BW139)</f>
        <v>200.68432841841332</v>
      </c>
      <c r="CK58" s="252">
        <f>Inputs!$I$35</f>
        <v>0.2</v>
      </c>
      <c r="CL58" s="252">
        <f>Inputs!$I$36</f>
        <v>0.8</v>
      </c>
      <c r="CM58" s="255">
        <f>1/(1+CK58)</f>
        <v>0.83333333333333337</v>
      </c>
      <c r="CN58" s="269">
        <v>0.88</v>
      </c>
      <c r="CO58"/>
      <c r="CP58"/>
      <c r="DA58"/>
    </row>
    <row r="59" spans="2:105" ht="21.9" customHeight="1" x14ac:dyDescent="0.25">
      <c r="B59" s="469"/>
      <c r="C59" s="273" t="s">
        <v>321</v>
      </c>
      <c r="D59" s="273" t="s">
        <v>318</v>
      </c>
      <c r="E59" s="273" t="s">
        <v>308</v>
      </c>
      <c r="F59" s="273" t="s">
        <v>354</v>
      </c>
      <c r="G59" s="1132">
        <v>40</v>
      </c>
      <c r="H59" s="1133">
        <v>1.58</v>
      </c>
      <c r="I59" s="1132">
        <v>2</v>
      </c>
      <c r="J59" s="1134">
        <f>'Trip Gen'!W167</f>
        <v>0</v>
      </c>
      <c r="K59" s="1137">
        <f>'Trip Gen'!X164</f>
        <v>1910.68</v>
      </c>
      <c r="L59" s="1137">
        <f>'Trip Gen'!Y164</f>
        <v>2057.15</v>
      </c>
      <c r="M59" s="1137">
        <f>'Trip Gen'!Z164</f>
        <v>2251.7999999999997</v>
      </c>
      <c r="N59" s="1137">
        <f>'Trip Gen'!AA164</f>
        <v>2446.5099999999998</v>
      </c>
      <c r="O59" s="1137">
        <f>'Trip Gen'!AB164</f>
        <v>2641.6400000000003</v>
      </c>
      <c r="P59" s="1137">
        <f>'Trip Gen'!AC164</f>
        <v>2836.2899999999995</v>
      </c>
      <c r="Q59" s="1137">
        <f>'Trip Gen'!AD164</f>
        <v>3031.1499999999996</v>
      </c>
      <c r="R59" s="1137">
        <f>'Trip Gen'!AE164</f>
        <v>3208.83</v>
      </c>
      <c r="S59" s="1137">
        <f>'Trip Gen'!AF164</f>
        <v>3386.36</v>
      </c>
      <c r="T59" s="1137">
        <f>'Trip Gen'!AG164</f>
        <v>3564.0499999999997</v>
      </c>
      <c r="U59" s="1137">
        <f>'Trip Gen'!AH164</f>
        <v>3741.73</v>
      </c>
      <c r="V59" s="1137">
        <f>'Trip Gen'!AI164</f>
        <v>3920.04</v>
      </c>
      <c r="W59" s="1137">
        <f>'Trip Gen'!AJ164</f>
        <v>4049.4</v>
      </c>
      <c r="X59" s="1137">
        <f>'Trip Gen'!AK164</f>
        <v>4160.08</v>
      </c>
      <c r="Y59" s="1137">
        <f>'Trip Gen'!AL164</f>
        <v>4270.7599999999993</v>
      </c>
      <c r="Z59" s="1137">
        <f>'Trip Gen'!AM164</f>
        <v>4381.4399999999996</v>
      </c>
      <c r="AA59" s="1137">
        <f>'Trip Gen'!AN164</f>
        <v>4492.24</v>
      </c>
      <c r="AB59" s="1137">
        <f>'Trip Gen'!AO164</f>
        <v>4602.9199999999992</v>
      </c>
      <c r="AC59" s="1137">
        <f>'Trip Gen'!AP164</f>
        <v>4713.87</v>
      </c>
      <c r="AD59" s="1137">
        <f>'Trip Gen'!AQ164</f>
        <v>4824.5499999999993</v>
      </c>
      <c r="AE59" s="1137">
        <f>'Trip Gen'!AR164</f>
        <v>4935.2299999999996</v>
      </c>
      <c r="AF59" s="1137">
        <f>'Trip Gen'!AS164</f>
        <v>5046.0299999999988</v>
      </c>
      <c r="AG59" s="1137">
        <f>'Trip Gen'!AT164</f>
        <v>5156.71</v>
      </c>
      <c r="AH59" s="1137">
        <f>'Trip Gen'!AU164</f>
        <v>5267.3899999999994</v>
      </c>
      <c r="AI59" s="1137">
        <f>'Trip Gen'!AV164</f>
        <v>5378.3399999999992</v>
      </c>
      <c r="AJ59" s="1143" t="s">
        <v>311</v>
      </c>
      <c r="AK59" s="1134">
        <f t="shared" si="62"/>
        <v>0</v>
      </c>
      <c r="AL59" s="1137">
        <f t="shared" si="7"/>
        <v>3018.8744000000002</v>
      </c>
      <c r="AM59" s="1137">
        <f t="shared" si="8"/>
        <v>3250.2970000000005</v>
      </c>
      <c r="AN59" s="1137">
        <f t="shared" si="9"/>
        <v>3557.8439999999996</v>
      </c>
      <c r="AO59" s="1137">
        <f t="shared" si="10"/>
        <v>3865.4857999999999</v>
      </c>
      <c r="AP59" s="1137">
        <f t="shared" si="11"/>
        <v>4173.7912000000006</v>
      </c>
      <c r="AQ59" s="1137">
        <f t="shared" si="58"/>
        <v>4481.3381999999992</v>
      </c>
      <c r="AR59" s="1137">
        <f t="shared" si="58"/>
        <v>4789.2169999999996</v>
      </c>
      <c r="AS59" s="1137">
        <f t="shared" si="58"/>
        <v>5069.9513999999999</v>
      </c>
      <c r="AT59" s="1137">
        <f t="shared" si="58"/>
        <v>5350.4488000000001</v>
      </c>
      <c r="AU59" s="1137">
        <f t="shared" si="58"/>
        <v>5631.1989999999996</v>
      </c>
      <c r="AV59" s="1137">
        <f t="shared" si="58"/>
        <v>5911.9333999999999</v>
      </c>
      <c r="AW59" s="1137">
        <f t="shared" si="58"/>
        <v>6193.6632</v>
      </c>
      <c r="AX59" s="1137">
        <f t="shared" si="58"/>
        <v>6398.0520000000006</v>
      </c>
      <c r="AY59" s="1137">
        <f t="shared" si="58"/>
        <v>6572.9264000000003</v>
      </c>
      <c r="AZ59" s="1137">
        <f t="shared" si="58"/>
        <v>6747.8007999999991</v>
      </c>
      <c r="BA59" s="1137">
        <f t="shared" si="58"/>
        <v>6922.6751999999997</v>
      </c>
      <c r="BB59" s="1137">
        <f t="shared" si="58"/>
        <v>7097.7392</v>
      </c>
      <c r="BC59" s="1137">
        <f t="shared" si="58"/>
        <v>7272.6135999999988</v>
      </c>
      <c r="BD59" s="1137">
        <f t="shared" si="58"/>
        <v>7447.9146000000001</v>
      </c>
      <c r="BE59" s="1137">
        <f t="shared" si="58"/>
        <v>7622.7889999999989</v>
      </c>
      <c r="BF59" s="1137">
        <f t="shared" si="28"/>
        <v>7797.6633999999995</v>
      </c>
      <c r="BG59" s="1137">
        <f t="shared" si="29"/>
        <v>7972.7273999999989</v>
      </c>
      <c r="BH59" s="1137">
        <f t="shared" si="30"/>
        <v>8147.6018000000004</v>
      </c>
      <c r="BI59" s="1137">
        <f t="shared" si="31"/>
        <v>8322.4761999999992</v>
      </c>
      <c r="BJ59" s="1137">
        <f t="shared" si="32"/>
        <v>8497.7771999999986</v>
      </c>
      <c r="BK59" s="394">
        <f>((0.33*'Traffic Data'!AK59)/Speed!X140)+((0.67*'Traffic Data'!AK59)/Speed!AX140)</f>
        <v>0</v>
      </c>
      <c r="BL59" s="392">
        <f>((0.33*AL59)/Speed!Y140)+((0.67*AL59)/Speed!AY140)</f>
        <v>69.881357013836464</v>
      </c>
      <c r="BM59" s="392">
        <f>((0.33*AM59)/Speed!Z140)+((0.67*AM59)/Speed!AZ140)</f>
        <v>75.238368114109562</v>
      </c>
      <c r="BN59" s="392">
        <f>((0.33*AN59)/Speed!AA140)+((0.67*AN59)/Speed!BA140)</f>
        <v>82.35753144703979</v>
      </c>
      <c r="BO59" s="392">
        <f>((0.33*AO59)/Speed!AB140)+((0.67*AO59)/Speed!BB140)</f>
        <v>89.478916264260704</v>
      </c>
      <c r="BP59" s="392">
        <f>((0.33*AP59)/Speed!AC140)+((0.67*AP59)/Speed!BC140)</f>
        <v>96.615719158926296</v>
      </c>
      <c r="BQ59" s="392">
        <f>((0.33*AQ59)/Speed!AD140)+((0.67*AQ59)/Speed!BD140)</f>
        <v>103.73507867128829</v>
      </c>
      <c r="BR59" s="392">
        <f>((0.33*AR59)/Speed!AE140)+((0.67*AR59)/Speed!BE140)</f>
        <v>110.86233149391597</v>
      </c>
      <c r="BS59" s="392">
        <f>((0.33*AS59)/Speed!AF140)+((0.67*AS59)/Speed!BF140)</f>
        <v>117.36153338307631</v>
      </c>
      <c r="BT59" s="392">
        <f>((0.33*AT59)/Speed!AG140)+((0.67*AT59)/Speed!BG140)</f>
        <v>123.85577928590303</v>
      </c>
      <c r="BU59" s="392">
        <f>((0.33*AU59)/Speed!AH140)+((0.67*AU59)/Speed!BH140)</f>
        <v>130.35673930579532</v>
      </c>
      <c r="BV59" s="392">
        <f>((0.33*AV59)/Speed!AI140)+((0.67*AV59)/Speed!BI140)</f>
        <v>136.85869609291285</v>
      </c>
      <c r="BW59" s="392">
        <f>((0.33*AW59)/Speed!AJ140)+((0.67*AW59)/Speed!BJ140)</f>
        <v>143.38582755480559</v>
      </c>
      <c r="BX59" s="392">
        <f>((0.33*AX59)/Speed!AK140)+((0.67*AX59)/Speed!BK140)</f>
        <v>148.12305653854349</v>
      </c>
      <c r="BY59" s="392">
        <f>((0.33*AY59)/Speed!AL140)+((0.67*AY59)/Speed!BL140)</f>
        <v>152.1779815306927</v>
      </c>
      <c r="BZ59" s="392">
        <f>((0.33*AZ59)/Speed!AM140)+((0.67*AZ59)/Speed!BM140)</f>
        <v>156.23501049856253</v>
      </c>
      <c r="CA59" s="392">
        <f>((0.33*BA59)/Speed!AN140)+((0.67*BA59)/Speed!BN140)</f>
        <v>160.29470374808284</v>
      </c>
      <c r="CB59" s="392">
        <f>((0.33*BB59)/Speed!AO140)+((0.67*BB59)/Speed!BO140)</f>
        <v>164.36215779017428</v>
      </c>
      <c r="CC59" s="392">
        <f>((0.33*BC59)/Speed!AP140)+((0.67*BC59)/Speed!BP140)</f>
        <v>168.42940650533683</v>
      </c>
      <c r="CD59" s="392">
        <f>((0.33*BD59)/Speed!AQ140)+((0.67*BD59)/Speed!BQ140)</f>
        <v>172.51182229660796</v>
      </c>
      <c r="CE59" s="392">
        <f>((0.33*BE59)/Speed!AR140)+((0.67*BE59)/Speed!BR140)</f>
        <v>176.59078345089512</v>
      </c>
      <c r="CF59" s="392">
        <f>((0.33*BF59)/Speed!AS140)+((0.67*BF59)/Speed!BS140)</f>
        <v>180.67772027270803</v>
      </c>
      <c r="CG59" s="392">
        <f>((0.33*BG59)/Speed!AT140)+((0.67*BG59)/Speed!BT140)</f>
        <v>184.77888535006156</v>
      </c>
      <c r="CH59" s="392">
        <f>((0.33*BH59)/Speed!AU140)+((0.67*BH59)/Speed!BU140)</f>
        <v>188.88755665821085</v>
      </c>
      <c r="CI59" s="392">
        <f>((0.33*BI59)/Speed!AV140)+((0.67*BI59)/Speed!BV140)</f>
        <v>193.01074371667497</v>
      </c>
      <c r="CJ59" s="430">
        <f>((0.33*BJ59)/Speed!AW140)+((0.67*BJ59)/Speed!BW140)</f>
        <v>197.16162723989447</v>
      </c>
      <c r="CK59" s="254">
        <f>Inputs!$J$35</f>
        <v>0.2</v>
      </c>
      <c r="CL59" s="254">
        <f>Inputs!$J$36</f>
        <v>0.8</v>
      </c>
      <c r="CM59" s="255">
        <f t="shared" ref="CM59:CM60" si="63">1/(1+CK59)</f>
        <v>0.83333333333333337</v>
      </c>
      <c r="CN59" s="270">
        <v>0.88</v>
      </c>
      <c r="CO59"/>
      <c r="CP59"/>
      <c r="DA59"/>
    </row>
    <row r="60" spans="2:105" ht="21.9" customHeight="1" x14ac:dyDescent="0.25">
      <c r="B60" s="469"/>
      <c r="C60" s="273" t="s">
        <v>333</v>
      </c>
      <c r="D60" s="273" t="s">
        <v>319</v>
      </c>
      <c r="E60" s="273" t="s">
        <v>308</v>
      </c>
      <c r="F60" s="273" t="s">
        <v>358</v>
      </c>
      <c r="G60" s="1132">
        <v>30</v>
      </c>
      <c r="H60" s="1133">
        <f>4896/foottomile</f>
        <v>0.92727272727272725</v>
      </c>
      <c r="I60" s="1132">
        <v>2</v>
      </c>
      <c r="J60" s="1134">
        <f>'Trip Gen'!W163</f>
        <v>3600</v>
      </c>
      <c r="K60" s="1137">
        <f>'Trip Gen'!X163</f>
        <v>3649.43</v>
      </c>
      <c r="L60" s="1137">
        <f>'Trip Gen'!Y163</f>
        <v>3734.87</v>
      </c>
      <c r="M60" s="1137">
        <f>'Trip Gen'!Z163</f>
        <v>3852.1700000000005</v>
      </c>
      <c r="N60" s="1137">
        <f>'Trip Gen'!AA163</f>
        <v>3969.52</v>
      </c>
      <c r="O60" s="1137">
        <f>'Trip Gen'!AB163</f>
        <v>4087.0399999999995</v>
      </c>
      <c r="P60" s="1137">
        <f>'Trip Gen'!AC163</f>
        <v>4204.34</v>
      </c>
      <c r="Q60" s="1137">
        <f>'Trip Gen'!AD163</f>
        <v>4322.05</v>
      </c>
      <c r="R60" s="1137">
        <f>'Trip Gen'!AE163</f>
        <v>4403.68</v>
      </c>
      <c r="S60" s="1137">
        <f>'Trip Gen'!AF163</f>
        <v>4485.32</v>
      </c>
      <c r="T60" s="1137">
        <f>'Trip Gen'!AG163</f>
        <v>4566.97</v>
      </c>
      <c r="U60" s="1137">
        <f>'Trip Gen'!AH163</f>
        <v>4648.6000000000004</v>
      </c>
      <c r="V60" s="1137">
        <f>'Trip Gen'!AI163</f>
        <v>4730.8099999999995</v>
      </c>
      <c r="W60" s="1137">
        <f>'Trip Gen'!AJ163</f>
        <v>4780.24</v>
      </c>
      <c r="X60" s="1137">
        <f>'Trip Gen'!AK163</f>
        <v>4829.6699999999992</v>
      </c>
      <c r="Y60" s="1137">
        <f>'Trip Gen'!AL163</f>
        <v>4879.1000000000004</v>
      </c>
      <c r="Z60" s="1137">
        <f>'Trip Gen'!AM163</f>
        <v>4928.5299999999988</v>
      </c>
      <c r="AA60" s="1137">
        <f>'Trip Gen'!AN163</f>
        <v>4978.3</v>
      </c>
      <c r="AB60" s="1137">
        <f>'Trip Gen'!AO163</f>
        <v>5027.7299999999996</v>
      </c>
      <c r="AC60" s="1137">
        <f>'Trip Gen'!AP163</f>
        <v>5077.3500000000004</v>
      </c>
      <c r="AD60" s="1137">
        <f>'Trip Gen'!AQ163</f>
        <v>5126.78</v>
      </c>
      <c r="AE60" s="1137">
        <f>'Trip Gen'!AR163</f>
        <v>5176.2100000000009</v>
      </c>
      <c r="AF60" s="1137">
        <f>'Trip Gen'!AS163</f>
        <v>5225.9800000000005</v>
      </c>
      <c r="AG60" s="1137">
        <f>'Trip Gen'!AT163</f>
        <v>5275.4100000000008</v>
      </c>
      <c r="AH60" s="1137">
        <f>'Trip Gen'!AU163</f>
        <v>5324.84</v>
      </c>
      <c r="AI60" s="1137">
        <f>'Trip Gen'!AV163</f>
        <v>5374.46</v>
      </c>
      <c r="AJ60" s="1143">
        <f t="shared" ref="AJ60:AJ66" si="64">((AI60-J60)/J60)/25</f>
        <v>1.9716222222222222E-2</v>
      </c>
      <c r="AK60" s="1134">
        <f t="shared" si="62"/>
        <v>3338.181818181818</v>
      </c>
      <c r="AL60" s="1137">
        <f t="shared" si="7"/>
        <v>3384.0169090909089</v>
      </c>
      <c r="AM60" s="1137">
        <f t="shared" si="8"/>
        <v>3463.2430909090908</v>
      </c>
      <c r="AN60" s="1137">
        <f t="shared" si="9"/>
        <v>3572.0121818181824</v>
      </c>
      <c r="AO60" s="1137">
        <f t="shared" si="10"/>
        <v>3680.8276363636364</v>
      </c>
      <c r="AP60" s="1137">
        <f t="shared" si="11"/>
        <v>3789.8007272727268</v>
      </c>
      <c r="AQ60" s="1137">
        <f t="shared" si="58"/>
        <v>3898.5698181818184</v>
      </c>
      <c r="AR60" s="1137">
        <f t="shared" si="58"/>
        <v>4007.7190909090909</v>
      </c>
      <c r="AS60" s="1137">
        <f t="shared" si="58"/>
        <v>4083.4123636363638</v>
      </c>
      <c r="AT60" s="1137">
        <f t="shared" si="58"/>
        <v>4159.1149090909084</v>
      </c>
      <c r="AU60" s="1137">
        <f t="shared" si="58"/>
        <v>4234.8267272727271</v>
      </c>
      <c r="AV60" s="1137">
        <f t="shared" si="58"/>
        <v>4310.5200000000004</v>
      </c>
      <c r="AW60" s="1137">
        <f t="shared" si="58"/>
        <v>4386.7510909090906</v>
      </c>
      <c r="AX60" s="1137">
        <f t="shared" si="58"/>
        <v>4432.5861818181811</v>
      </c>
      <c r="AY60" s="1137">
        <f t="shared" si="58"/>
        <v>4478.4212727272716</v>
      </c>
      <c r="AZ60" s="1137">
        <f t="shared" si="58"/>
        <v>4524.2563636363639</v>
      </c>
      <c r="BA60" s="1137">
        <f t="shared" si="58"/>
        <v>4570.0914545454534</v>
      </c>
      <c r="BB60" s="1137">
        <f t="shared" si="58"/>
        <v>4616.2418181818184</v>
      </c>
      <c r="BC60" s="1137">
        <f t="shared" si="58"/>
        <v>4662.0769090909089</v>
      </c>
      <c r="BD60" s="1137">
        <f t="shared" si="58"/>
        <v>4708.0881818181824</v>
      </c>
      <c r="BE60" s="1137">
        <f t="shared" si="58"/>
        <v>4753.923272727272</v>
      </c>
      <c r="BF60" s="1137">
        <f t="shared" si="28"/>
        <v>4799.7583636363643</v>
      </c>
      <c r="BG60" s="1137">
        <f t="shared" si="29"/>
        <v>4845.9087272727274</v>
      </c>
      <c r="BH60" s="1137">
        <f t="shared" si="30"/>
        <v>4891.7438181818188</v>
      </c>
      <c r="BI60" s="1137">
        <f t="shared" si="31"/>
        <v>4937.5789090909093</v>
      </c>
      <c r="BJ60" s="1137">
        <f t="shared" si="32"/>
        <v>4983.5901818181819</v>
      </c>
      <c r="BK60" s="397">
        <f>((0.33*'Traffic Data'!AK60)/Speed!X141)+((0.67*'Traffic Data'!AK60)/Speed!AX141)</f>
        <v>104.64955645778389</v>
      </c>
      <c r="BL60" s="426">
        <f>((0.33*AL60)/Speed!Y141)+((0.67*AL60)/Speed!AY141)</f>
        <v>106.08709853493662</v>
      </c>
      <c r="BM60" s="426">
        <f>((0.33*AM60)/Speed!Z141)+((0.67*AM60)/Speed!AZ141)</f>
        <v>108.57214586454704</v>
      </c>
      <c r="BN60" s="426">
        <f>((0.33*AN60)/Speed!AA141)+((0.67*AN60)/Speed!BA141)</f>
        <v>111.98448170079229</v>
      </c>
      <c r="BO60" s="426">
        <f>((0.33*AO60)/Speed!AB141)+((0.67*AO60)/Speed!BB141)</f>
        <v>115.39921406114266</v>
      </c>
      <c r="BP60" s="426">
        <f>((0.33*AP60)/Speed!AC141)+((0.67*AP60)/Speed!BC141)</f>
        <v>118.82012993036895</v>
      </c>
      <c r="BQ60" s="426">
        <f>((0.33*AQ60)/Speed!AD141)+((0.67*AQ60)/Speed!BD141)</f>
        <v>122.2362455738577</v>
      </c>
      <c r="BR60" s="426">
        <f>((0.33*AR60)/Speed!AE141)+((0.67*AR60)/Speed!BE141)</f>
        <v>125.66637986724388</v>
      </c>
      <c r="BS60" s="426">
        <f>((0.33*AS60)/Speed!AF141)+((0.67*AS60)/Speed!BF141)</f>
        <v>128.04664900068963</v>
      </c>
      <c r="BT60" s="426">
        <f>((0.33*AT60)/Speed!AG141)+((0.67*AT60)/Speed!BG141)</f>
        <v>130.42872468443366</v>
      </c>
      <c r="BU60" s="426">
        <f>((0.33*AU60)/Speed!AH141)+((0.67*AU60)/Speed!BH141)</f>
        <v>132.81287980007198</v>
      </c>
      <c r="BV60" s="426">
        <f>((0.33*AV60)/Speed!AI141)+((0.67*AV60)/Speed!BI141)</f>
        <v>135.19855287834918</v>
      </c>
      <c r="BW60" s="426">
        <f>((0.33*AW60)/Speed!AJ141)+((0.67*AW60)/Speed!BJ141)</f>
        <v>137.60366887671296</v>
      </c>
      <c r="BX60" s="426">
        <f>((0.33*AX60)/Speed!AK141)+((0.67*AX60)/Speed!BK141)</f>
        <v>139.05116039348516</v>
      </c>
      <c r="BY60" s="426">
        <f>((0.33*AY60)/Speed!AL141)+((0.67*AY60)/Speed!BL141)</f>
        <v>140.49981247205523</v>
      </c>
      <c r="BZ60" s="426">
        <f>((0.33*AZ60)/Speed!AM141)+((0.67*AZ60)/Speed!BM141)</f>
        <v>141.9497377679692</v>
      </c>
      <c r="CA60" s="426">
        <f>((0.33*BA60)/Speed!AN141)+((0.67*BA60)/Speed!BN141)</f>
        <v>143.40105845966994</v>
      </c>
      <c r="CB60" s="426">
        <f>((0.33*BB60)/Speed!AO141)+((0.67*BB60)/Speed!BO141)</f>
        <v>144.86390594762008</v>
      </c>
      <c r="CC60" s="426">
        <f>((0.33*BC60)/Speed!AP141)+((0.67*BC60)/Speed!BP141)</f>
        <v>146.31843799366482</v>
      </c>
      <c r="CD60" s="426">
        <f>((0.33*BD60)/Speed!AQ141)+((0.67*BD60)/Speed!BQ141)</f>
        <v>147.78039974360837</v>
      </c>
      <c r="CE60" s="426">
        <f>((0.33*BE60)/Speed!AR141)+((0.67*BE60)/Speed!BR141)</f>
        <v>149.23876400027706</v>
      </c>
      <c r="CF60" s="426">
        <f>((0.33*BF60)/Speed!AS141)+((0.67*BF60)/Speed!BS141)</f>
        <v>150.69930705352868</v>
      </c>
      <c r="CG60" s="426">
        <f>((0.33*BG60)/Speed!AT141)+((0.67*BG60)/Speed!BT141)</f>
        <v>152.17229666235184</v>
      </c>
      <c r="CH60" s="426">
        <f>((0.33*BH60)/Speed!AU141)+((0.67*BH60)/Speed!BU141)</f>
        <v>153.63782096527862</v>
      </c>
      <c r="CI60" s="426">
        <f>((0.33*BI60)/Speed!AV141)+((0.67*BI60)/Speed!BV141)</f>
        <v>155.10616304709134</v>
      </c>
      <c r="CJ60" s="427">
        <f>((0.33*BJ60)/Speed!AW141)+((0.67*BJ60)/Speed!BW141)</f>
        <v>156.5832316722751</v>
      </c>
      <c r="CK60" s="254">
        <f>Inputs!$K$35</f>
        <v>0.2</v>
      </c>
      <c r="CL60" s="254">
        <f>Inputs!$K$36</f>
        <v>0.8</v>
      </c>
      <c r="CM60" s="253">
        <f t="shared" si="63"/>
        <v>0.83333333333333337</v>
      </c>
      <c r="CN60" s="270">
        <v>0.88</v>
      </c>
      <c r="CO60"/>
      <c r="CP60"/>
      <c r="DA60"/>
    </row>
    <row r="61" spans="2:105" ht="21.9" customHeight="1" x14ac:dyDescent="0.25">
      <c r="B61" s="469"/>
      <c r="C61" s="114" t="s">
        <v>319</v>
      </c>
      <c r="D61" s="114" t="s">
        <v>276</v>
      </c>
      <c r="E61" s="114" t="s">
        <v>333</v>
      </c>
      <c r="F61" s="114" t="s">
        <v>355</v>
      </c>
      <c r="G61" s="343">
        <v>55</v>
      </c>
      <c r="H61" s="1119">
        <f>6330/foottomile</f>
        <v>1.1988636363636365</v>
      </c>
      <c r="I61" s="343">
        <v>4</v>
      </c>
      <c r="J61" s="1126">
        <f>'Trip Gen'!W156</f>
        <v>10000</v>
      </c>
      <c r="K61" s="1115">
        <f>'Trip Gen'!X156</f>
        <v>10288.270000000002</v>
      </c>
      <c r="L61" s="1115">
        <f>'Trip Gen'!Y156</f>
        <v>10600.29</v>
      </c>
      <c r="M61" s="1115">
        <f>'Trip Gen'!Z156</f>
        <v>11014.24</v>
      </c>
      <c r="N61" s="1115">
        <f>'Trip Gen'!AA156</f>
        <v>11428.259999999998</v>
      </c>
      <c r="O61" s="1115">
        <f>'Trip Gen'!AB156</f>
        <v>11842.449999999999</v>
      </c>
      <c r="P61" s="1115">
        <f>'Trip Gen'!AC156</f>
        <v>12256.400000000001</v>
      </c>
      <c r="Q61" s="1115">
        <f>'Trip Gen'!AD156</f>
        <v>12670.460000000001</v>
      </c>
      <c r="R61" s="1115">
        <f>'Trip Gen'!AE156</f>
        <v>13126.080000000002</v>
      </c>
      <c r="S61" s="1115">
        <f>'Trip Gen'!AF156</f>
        <v>13581.55</v>
      </c>
      <c r="T61" s="1115">
        <f>'Trip Gen'!AG156</f>
        <v>14037.17</v>
      </c>
      <c r="U61" s="1115">
        <f>'Trip Gen'!AH156</f>
        <v>14492.789999999999</v>
      </c>
      <c r="V61" s="1115">
        <f>'Trip Gen'!AI156</f>
        <v>14948.670000000002</v>
      </c>
      <c r="W61" s="1115">
        <f>'Trip Gen'!AJ156</f>
        <v>15302.32</v>
      </c>
      <c r="X61" s="1115">
        <f>'Trip Gen'!AK156</f>
        <v>15590.59</v>
      </c>
      <c r="Y61" s="1115">
        <f>'Trip Gen'!AL156</f>
        <v>15878.86</v>
      </c>
      <c r="Z61" s="1115">
        <f>'Trip Gen'!AM156</f>
        <v>16167.130000000001</v>
      </c>
      <c r="AA61" s="1115">
        <f>'Trip Gen'!AN156</f>
        <v>16455.37</v>
      </c>
      <c r="AB61" s="1115">
        <f>'Trip Gen'!AO156</f>
        <v>16743.639999999996</v>
      </c>
      <c r="AC61" s="1115">
        <f>'Trip Gen'!AP156</f>
        <v>17031.879999999994</v>
      </c>
      <c r="AD61" s="1115">
        <f>'Trip Gen'!AQ156</f>
        <v>17320.150000000001</v>
      </c>
      <c r="AE61" s="1115">
        <f>'Trip Gen'!AR156</f>
        <v>17608.420000000002</v>
      </c>
      <c r="AF61" s="1115">
        <f>'Trip Gen'!AS156</f>
        <v>17896.66</v>
      </c>
      <c r="AG61" s="1115">
        <f>'Trip Gen'!AT156</f>
        <v>18184.93</v>
      </c>
      <c r="AH61" s="1115">
        <f>'Trip Gen'!AU156</f>
        <v>18473.2</v>
      </c>
      <c r="AI61" s="1115">
        <f>'Trip Gen'!AV156</f>
        <v>18761.440000000002</v>
      </c>
      <c r="AJ61" s="1141">
        <f t="shared" si="64"/>
        <v>3.5045760000000009E-2</v>
      </c>
      <c r="AK61" s="1126">
        <f t="shared" si="62"/>
        <v>11988.636363636364</v>
      </c>
      <c r="AL61" s="1115">
        <f t="shared" si="7"/>
        <v>12334.232784090913</v>
      </c>
      <c r="AM61" s="1115">
        <f t="shared" si="8"/>
        <v>12708.302215909092</v>
      </c>
      <c r="AN61" s="1115">
        <f t="shared" si="9"/>
        <v>13204.571818181819</v>
      </c>
      <c r="AO61" s="1115">
        <f t="shared" si="10"/>
        <v>13700.925340909091</v>
      </c>
      <c r="AP61" s="1115">
        <f t="shared" si="11"/>
        <v>14197.482670454545</v>
      </c>
      <c r="AQ61" s="1115">
        <f t="shared" si="58"/>
        <v>14693.752272727275</v>
      </c>
      <c r="AR61" s="1115">
        <f t="shared" si="58"/>
        <v>15190.153750000003</v>
      </c>
      <c r="AS61" s="1115">
        <f t="shared" si="58"/>
        <v>15736.380000000003</v>
      </c>
      <c r="AT61" s="1115">
        <f t="shared" si="58"/>
        <v>16282.426420454545</v>
      </c>
      <c r="AU61" s="1115">
        <f t="shared" si="58"/>
        <v>16828.652670454547</v>
      </c>
      <c r="AV61" s="1115">
        <f t="shared" si="58"/>
        <v>17374.878920454546</v>
      </c>
      <c r="AW61" s="1115">
        <f t="shared" si="58"/>
        <v>17921.416875000003</v>
      </c>
      <c r="AX61" s="1115">
        <f t="shared" si="58"/>
        <v>18345.395</v>
      </c>
      <c r="AY61" s="1115">
        <f t="shared" si="58"/>
        <v>18690.991420454546</v>
      </c>
      <c r="AZ61" s="1115">
        <f t="shared" si="58"/>
        <v>19036.587840909095</v>
      </c>
      <c r="BA61" s="1115">
        <f t="shared" si="58"/>
        <v>19382.18426136364</v>
      </c>
      <c r="BB61" s="1115">
        <f t="shared" si="58"/>
        <v>19727.744715909092</v>
      </c>
      <c r="BC61" s="1115">
        <f t="shared" si="58"/>
        <v>20073.341136363633</v>
      </c>
      <c r="BD61" s="1115">
        <f t="shared" si="58"/>
        <v>20418.901590909085</v>
      </c>
      <c r="BE61" s="1115">
        <f t="shared" si="58"/>
        <v>20764.498011363641</v>
      </c>
      <c r="BF61" s="1115">
        <f t="shared" si="28"/>
        <v>21110.094431818186</v>
      </c>
      <c r="BG61" s="1115">
        <f t="shared" si="29"/>
        <v>21455.654886363638</v>
      </c>
      <c r="BH61" s="1115">
        <f t="shared" si="30"/>
        <v>21801.251306818183</v>
      </c>
      <c r="BI61" s="1115">
        <f t="shared" si="31"/>
        <v>22146.847727272729</v>
      </c>
      <c r="BJ61" s="1115">
        <f t="shared" si="32"/>
        <v>22492.408181818188</v>
      </c>
      <c r="BK61" s="394">
        <f>((0.33*'Traffic Data'!AK61)/Speed!X142)+((0.67*'Traffic Data'!AK61)/Speed!AX142)</f>
        <v>214.46577905864618</v>
      </c>
      <c r="BL61" s="392">
        <f>((0.33*AL61)/Speed!Y142)+((0.67*AL61)/Speed!AY142)</f>
        <v>220.64818821987501</v>
      </c>
      <c r="BM61" s="392">
        <f>((0.33*AM61)/Speed!Z142)+((0.67*AM61)/Speed!AZ142)</f>
        <v>227.33995559997894</v>
      </c>
      <c r="BN61" s="392">
        <f>((0.33*AN61)/Speed!AA142)+((0.67*AN61)/Speed!BA142)</f>
        <v>236.21777822389637</v>
      </c>
      <c r="BO61" s="392">
        <f>((0.33*AO61)/Speed!AB142)+((0.67*AO61)/Speed!BB142)</f>
        <v>245.09710767466362</v>
      </c>
      <c r="BP61" s="392">
        <f>((0.33*AP61)/Speed!AC142)+((0.67*AP61)/Speed!BC142)</f>
        <v>253.98009080795657</v>
      </c>
      <c r="BQ61" s="392">
        <f>((0.33*AQ61)/Speed!AD142)+((0.67*AQ61)/Speed!BD142)</f>
        <v>262.85793742110286</v>
      </c>
      <c r="BR61" s="392">
        <f>((0.33*AR61)/Speed!AE142)+((0.67*AR61)/Speed!BE142)</f>
        <v>271.73815770362825</v>
      </c>
      <c r="BS61" s="392">
        <f>((0.33*AS61)/Speed!AF142)+((0.67*AS61)/Speed!BF142)</f>
        <v>281.50972569035298</v>
      </c>
      <c r="BT61" s="392">
        <f>((0.33*AT61)/Speed!AG142)+((0.67*AT61)/Speed!BG142)</f>
        <v>291.27810928322657</v>
      </c>
      <c r="BU61" s="392">
        <f>((0.33*AU61)/Speed!AH142)+((0.67*AU61)/Speed!BH142)</f>
        <v>301.04975423549342</v>
      </c>
      <c r="BV61" s="392">
        <f>((0.33*AV61)/Speed!AI142)+((0.67*AV61)/Speed!BI142)</f>
        <v>310.82145883664066</v>
      </c>
      <c r="BW61" s="392">
        <f>((0.33*AW61)/Speed!AJ142)+((0.67*AW61)/Speed!BJ142)</f>
        <v>320.59881922816004</v>
      </c>
      <c r="BX61" s="392">
        <f>((0.33*AX61)/Speed!AK142)+((0.67*AX61)/Speed!BK142)</f>
        <v>328.18370078050259</v>
      </c>
      <c r="BY61" s="392">
        <f>((0.33*AY61)/Speed!AL142)+((0.67*AY61)/Speed!BL142)</f>
        <v>334.36640659908471</v>
      </c>
      <c r="BZ61" s="392">
        <f>((0.33*AZ61)/Speed!AM142)+((0.67*AZ61)/Speed!BM142)</f>
        <v>340.54917356646649</v>
      </c>
      <c r="CA61" s="392">
        <f>((0.33*BA61)/Speed!AN142)+((0.67*BA61)/Speed!BN142)</f>
        <v>346.73201263991746</v>
      </c>
      <c r="CB61" s="392">
        <f>((0.33*BB61)/Speed!AO142)+((0.67*BB61)/Speed!BO142)</f>
        <v>352.91429303139887</v>
      </c>
      <c r="CC61" s="392">
        <f>((0.33*BC61)/Speed!AP142)+((0.67*BC61)/Speed!BP142)</f>
        <v>359.09731625157406</v>
      </c>
      <c r="CD61" s="392">
        <f>((0.33*BD61)/Speed!AQ142)+((0.67*BD61)/Speed!BQ142)</f>
        <v>365.27981217910178</v>
      </c>
      <c r="CE61" s="392">
        <f>((0.33*BE61)/Speed!AR142)+((0.67*BE61)/Speed!BR142)</f>
        <v>371.4630870458862</v>
      </c>
      <c r="CF61" s="392">
        <f>((0.33*BF61)/Speed!AS142)+((0.67*BF61)/Speed!BS142)</f>
        <v>377.64651946542722</v>
      </c>
      <c r="CG61" s="392">
        <f>((0.33*BG61)/Speed!AT142)+((0.67*BG61)/Speed!BT142)</f>
        <v>383.82949112809354</v>
      </c>
      <c r="CH61" s="392">
        <f>((0.33*BH61)/Speed!AU142)+((0.67*BH61)/Speed!BU142)</f>
        <v>390.01331782986495</v>
      </c>
      <c r="CI61" s="392">
        <f>((0.33*BI61)/Speed!AV142)+((0.67*BI61)/Speed!BV142)</f>
        <v>396.19738876159977</v>
      </c>
      <c r="CJ61" s="430">
        <f>((0.33*BJ61)/Speed!AW142)+((0.67*BJ61)/Speed!BW142)</f>
        <v>402.38109743135249</v>
      </c>
      <c r="CK61" s="1383">
        <f>Inputs!$L$35</f>
        <v>0.2</v>
      </c>
      <c r="CL61" s="1388">
        <f>Inputs!$L$36</f>
        <v>0.8</v>
      </c>
      <c r="CM61" s="1389">
        <f>1/(1+CK61)</f>
        <v>0.83333333333333337</v>
      </c>
      <c r="CN61" s="1395">
        <v>0.9</v>
      </c>
      <c r="CO61"/>
      <c r="CP61"/>
      <c r="DA61"/>
    </row>
    <row r="62" spans="2:105" ht="21.9" customHeight="1" x14ac:dyDescent="0.25">
      <c r="B62" s="469"/>
      <c r="C62" s="114"/>
      <c r="D62" s="114" t="s">
        <v>333</v>
      </c>
      <c r="E62" s="114" t="s">
        <v>323</v>
      </c>
      <c r="F62" s="114" t="s">
        <v>356</v>
      </c>
      <c r="G62" s="343">
        <v>55</v>
      </c>
      <c r="H62" s="1119">
        <f>1213/foottomile</f>
        <v>0.22973484848484849</v>
      </c>
      <c r="I62" s="343">
        <v>4</v>
      </c>
      <c r="J62" s="1126">
        <f>'Trip Gen'!W157</f>
        <v>7600</v>
      </c>
      <c r="K62" s="1115">
        <f>'Trip Gen'!X157</f>
        <v>7815.7</v>
      </c>
      <c r="L62" s="1115">
        <f>'Trip Gen'!Y157</f>
        <v>8055.07</v>
      </c>
      <c r="M62" s="1115">
        <f>'Trip Gen'!Z157</f>
        <v>8391.0499999999993</v>
      </c>
      <c r="N62" s="1115">
        <f>'Trip Gen'!AA157</f>
        <v>8727.09</v>
      </c>
      <c r="O62" s="1115">
        <f>'Trip Gen'!AB157</f>
        <v>9063.1999999999989</v>
      </c>
      <c r="P62" s="1115">
        <f>'Trip Gen'!AC157</f>
        <v>9399.18</v>
      </c>
      <c r="Q62" s="1115">
        <f>'Trip Gen'!AD157</f>
        <v>9735.18</v>
      </c>
      <c r="R62" s="1115">
        <f>'Trip Gen'!AE157</f>
        <v>10112.830000000002</v>
      </c>
      <c r="S62" s="1115">
        <f>'Trip Gen'!AF157</f>
        <v>10490.349999999999</v>
      </c>
      <c r="T62" s="1115">
        <f>'Trip Gen'!AG157</f>
        <v>10867.999999999998</v>
      </c>
      <c r="U62" s="1115">
        <f>'Trip Gen'!AH157</f>
        <v>11245.649999999998</v>
      </c>
      <c r="V62" s="1115">
        <f>'Trip Gen'!AI157</f>
        <v>11623.36</v>
      </c>
      <c r="W62" s="1115">
        <f>'Trip Gen'!AJ157</f>
        <v>11904.439999999999</v>
      </c>
      <c r="X62" s="1115">
        <f>'Trip Gen'!AK157</f>
        <v>12120.14</v>
      </c>
      <c r="Y62" s="1115">
        <f>'Trip Gen'!AL157</f>
        <v>12335.84</v>
      </c>
      <c r="Z62" s="1115">
        <f>'Trip Gen'!AM157</f>
        <v>12551.539999999999</v>
      </c>
      <c r="AA62" s="1115">
        <f>'Trip Gen'!AN157</f>
        <v>12767.129999999997</v>
      </c>
      <c r="AB62" s="1115">
        <f>'Trip Gen'!AO157</f>
        <v>12982.829999999998</v>
      </c>
      <c r="AC62" s="1115">
        <f>'Trip Gen'!AP157</f>
        <v>13198.42</v>
      </c>
      <c r="AD62" s="1115">
        <f>'Trip Gen'!AQ157</f>
        <v>13414.119999999999</v>
      </c>
      <c r="AE62" s="1115">
        <f>'Trip Gen'!AR157</f>
        <v>13629.82</v>
      </c>
      <c r="AF62" s="1115">
        <f>'Trip Gen'!AS157</f>
        <v>13845.409999999998</v>
      </c>
      <c r="AG62" s="1115">
        <f>'Trip Gen'!AT157</f>
        <v>14061.109999999999</v>
      </c>
      <c r="AH62" s="1115">
        <f>'Trip Gen'!AU157</f>
        <v>14276.809999999998</v>
      </c>
      <c r="AI62" s="1115">
        <f>'Trip Gen'!AV157</f>
        <v>14492.399999999998</v>
      </c>
      <c r="AJ62" s="1141">
        <f t="shared" si="64"/>
        <v>3.6275789473684199E-2</v>
      </c>
      <c r="AK62" s="1126">
        <f t="shared" si="62"/>
        <v>1745.9848484848485</v>
      </c>
      <c r="AL62" s="1115">
        <f t="shared" si="7"/>
        <v>1795.5386553030303</v>
      </c>
      <c r="AM62" s="1115">
        <f t="shared" si="8"/>
        <v>1850.5302859848484</v>
      </c>
      <c r="AN62" s="1115">
        <f t="shared" si="9"/>
        <v>1927.7166003787877</v>
      </c>
      <c r="AO62" s="1115">
        <f t="shared" si="10"/>
        <v>2004.9166988636364</v>
      </c>
      <c r="AP62" s="1115">
        <f t="shared" si="11"/>
        <v>2082.1328787878783</v>
      </c>
      <c r="AQ62" s="1115">
        <f t="shared" ref="AQ62:AQ66" si="65">$H62*P62</f>
        <v>2159.3191931818183</v>
      </c>
      <c r="AR62" s="1115">
        <f t="shared" ref="AR62:AR66" si="66">$H62*Q62</f>
        <v>2236.5101022727272</v>
      </c>
      <c r="AS62" s="1115">
        <f t="shared" ref="AS62:AS66" si="67">$H62*R62</f>
        <v>2323.2694678030307</v>
      </c>
      <c r="AT62" s="1115">
        <f t="shared" ref="AT62:AT66" si="68">$H62*S62</f>
        <v>2409.9989678030302</v>
      </c>
      <c r="AU62" s="1115">
        <f t="shared" ref="AU62:AU66" si="69">$H62*T62</f>
        <v>2496.7583333333328</v>
      </c>
      <c r="AV62" s="1115">
        <f t="shared" ref="AV62:AV66" si="70">$H62*U62</f>
        <v>2583.5176988636358</v>
      </c>
      <c r="AW62" s="1115">
        <f t="shared" ref="AW62:AW66" si="71">$H62*V62</f>
        <v>2670.2908484848485</v>
      </c>
      <c r="AX62" s="1115">
        <f t="shared" ref="AX62:AX66" si="72">$H62*W62</f>
        <v>2734.8647196969696</v>
      </c>
      <c r="AY62" s="1115">
        <f t="shared" ref="AY62:AY66" si="73">$H62*X62</f>
        <v>2784.4185265151514</v>
      </c>
      <c r="AZ62" s="1115">
        <f t="shared" ref="AZ62:AZ66" si="74">$H62*Y62</f>
        <v>2833.9723333333336</v>
      </c>
      <c r="BA62" s="1115">
        <f t="shared" ref="BA62:BA66" si="75">$H62*Z62</f>
        <v>2883.5261401515149</v>
      </c>
      <c r="BB62" s="1115">
        <f t="shared" ref="BB62:BB66" si="76">$H62*AA62</f>
        <v>2933.054676136363</v>
      </c>
      <c r="BC62" s="1115">
        <f t="shared" ref="BC62:BC66" si="77">$H62*AB62</f>
        <v>2982.6084829545453</v>
      </c>
      <c r="BD62" s="1115">
        <f t="shared" ref="BD62:BD66" si="78">$H62*AC62</f>
        <v>3032.1370189393938</v>
      </c>
      <c r="BE62" s="1115">
        <f t="shared" ref="BE62:BE66" si="79">$H62*AD62</f>
        <v>3081.6908257575756</v>
      </c>
      <c r="BF62" s="1115">
        <f t="shared" si="28"/>
        <v>3131.2446325757574</v>
      </c>
      <c r="BG62" s="1115">
        <f t="shared" si="29"/>
        <v>3180.7731685606054</v>
      </c>
      <c r="BH62" s="1115">
        <f t="shared" si="30"/>
        <v>3230.3269753787877</v>
      </c>
      <c r="BI62" s="1115">
        <f t="shared" si="31"/>
        <v>3279.880782196969</v>
      </c>
      <c r="BJ62" s="1115">
        <f t="shared" si="32"/>
        <v>3329.4093181818175</v>
      </c>
      <c r="BK62" s="394">
        <f>((0.33*'Traffic Data'!AK62)/Speed!X143)+((0.67*'Traffic Data'!AK62)/Speed!AX143)</f>
        <v>31.234076116374347</v>
      </c>
      <c r="BL62" s="392">
        <f>((0.33*AL62)/Speed!Y143)+((0.67*AL62)/Speed!AY143)</f>
        <v>32.120548551664228</v>
      </c>
      <c r="BM62" s="392">
        <f>((0.33*AM62)/Speed!Z143)+((0.67*AM62)/Speed!AZ143)</f>
        <v>33.104298714799931</v>
      </c>
      <c r="BN62" s="392">
        <f>((0.33*AN62)/Speed!AA143)+((0.67*AN62)/Speed!BA143)</f>
        <v>34.4850915824601</v>
      </c>
      <c r="BO62" s="392">
        <f>((0.33*AO62)/Speed!AB143)+((0.67*AO62)/Speed!BB143)</f>
        <v>35.866131095747598</v>
      </c>
      <c r="BP62" s="392">
        <f>((0.33*AP62)/Speed!AC143)+((0.67*AP62)/Speed!BC143)</f>
        <v>37.24745837789014</v>
      </c>
      <c r="BQ62" s="392">
        <f>((0.33*AQ62)/Speed!AD143)+((0.67*AQ62)/Speed!BD143)</f>
        <v>38.628251514288444</v>
      </c>
      <c r="BR62" s="392">
        <f>((0.33*AR62)/Speed!AE143)+((0.67*AR62)/Speed!BE143)</f>
        <v>40.009127014068632</v>
      </c>
      <c r="BS62" s="392">
        <f>((0.33*AS62)/Speed!AF143)+((0.67*AS62)/Speed!BF143)</f>
        <v>41.561173818789896</v>
      </c>
      <c r="BT62" s="392">
        <f>((0.33*AT62)/Speed!AG143)+((0.67*AT62)/Speed!BG143)</f>
        <v>43.112686767272081</v>
      </c>
      <c r="BU62" s="392">
        <f>((0.33*AU62)/Speed!AH143)+((0.67*AU62)/Speed!BH143)</f>
        <v>44.664734555035196</v>
      </c>
      <c r="BV62" s="392">
        <f>((0.33*AV62)/Speed!AI143)+((0.67*AV62)/Speed!BI143)</f>
        <v>46.216783128509725</v>
      </c>
      <c r="BW62" s="392">
        <f>((0.33*AW62)/Speed!AJ143)+((0.67*AW62)/Speed!BJ143)</f>
        <v>47.769079355491229</v>
      </c>
      <c r="BX62" s="392">
        <f>((0.33*AX62)/Speed!AK143)+((0.67*AX62)/Speed!BK143)</f>
        <v>48.924250695110807</v>
      </c>
      <c r="BY62" s="392">
        <f>((0.33*AY62)/Speed!AL143)+((0.67*AY62)/Speed!BL143)</f>
        <v>49.810726582266469</v>
      </c>
      <c r="BZ62" s="392">
        <f>((0.33*AZ62)/Speed!AM143)+((0.67*AZ62)/Speed!BM143)</f>
        <v>50.697203149697522</v>
      </c>
      <c r="CA62" s="392">
        <f>((0.33*BA62)/Speed!AN143)+((0.67*BA62)/Speed!BN143)</f>
        <v>51.583680514412421</v>
      </c>
      <c r="CB62" s="392">
        <f>((0.33*BB62)/Speed!AO143)+((0.67*BB62)/Speed!BO143)</f>
        <v>52.469706735539802</v>
      </c>
      <c r="CC62" s="392">
        <f>((0.33*BC62)/Speed!AP143)+((0.67*BC62)/Speed!BP143)</f>
        <v>53.356186117708226</v>
      </c>
      <c r="CD62" s="392">
        <f>((0.33*BD62)/Speed!AQ143)+((0.67*BD62)/Speed!BQ143)</f>
        <v>54.242214685981281</v>
      </c>
      <c r="CE62" s="392">
        <f>((0.33*BE62)/Speed!AR143)+((0.67*BE62)/Speed!BR143)</f>
        <v>55.128696794783082</v>
      </c>
      <c r="CF62" s="392">
        <f>((0.33*BF62)/Speed!AS143)+((0.67*BF62)/Speed!BS143)</f>
        <v>56.015180598045049</v>
      </c>
      <c r="CG62" s="392">
        <f>((0.33*BG62)/Speed!AT143)+((0.67*BG62)/Speed!BT143)</f>
        <v>56.901214277758683</v>
      </c>
      <c r="CH62" s="392">
        <f>((0.33*BH62)/Speed!AU143)+((0.67*BH62)/Speed!BU143)</f>
        <v>57.787702288511326</v>
      </c>
      <c r="CI62" s="392">
        <f>((0.33*BI62)/Speed!AV143)+((0.67*BI62)/Speed!BV143)</f>
        <v>58.67419288799919</v>
      </c>
      <c r="CJ62" s="430">
        <f>((0.33*BJ62)/Speed!AW143)+((0.67*BJ62)/Speed!BW143)</f>
        <v>59.560234372457685</v>
      </c>
      <c r="CK62" s="1383"/>
      <c r="CL62" s="1383"/>
      <c r="CM62" s="1390"/>
      <c r="CN62" s="1396"/>
      <c r="CO62"/>
      <c r="CP62"/>
      <c r="DA62"/>
    </row>
    <row r="63" spans="2:105" ht="21.9" customHeight="1" x14ac:dyDescent="0.25">
      <c r="B63" s="469"/>
      <c r="C63" s="114"/>
      <c r="D63" s="114" t="s">
        <v>323</v>
      </c>
      <c r="E63" s="114" t="s">
        <v>322</v>
      </c>
      <c r="F63" s="114" t="s">
        <v>356</v>
      </c>
      <c r="G63" s="343">
        <v>45</v>
      </c>
      <c r="H63" s="1119">
        <f>300/foottomile</f>
        <v>5.6818181818181816E-2</v>
      </c>
      <c r="I63" s="343">
        <v>4</v>
      </c>
      <c r="J63" s="1126">
        <f>J62</f>
        <v>7600</v>
      </c>
      <c r="K63" s="1115">
        <f>K62</f>
        <v>7815.7</v>
      </c>
      <c r="L63" s="1115">
        <f t="shared" ref="L63:AH63" si="80">L62</f>
        <v>8055.07</v>
      </c>
      <c r="M63" s="1115">
        <f t="shared" si="80"/>
        <v>8391.0499999999993</v>
      </c>
      <c r="N63" s="1115">
        <f t="shared" si="80"/>
        <v>8727.09</v>
      </c>
      <c r="O63" s="1115">
        <f t="shared" si="80"/>
        <v>9063.1999999999989</v>
      </c>
      <c r="P63" s="1115">
        <f t="shared" si="80"/>
        <v>9399.18</v>
      </c>
      <c r="Q63" s="1115">
        <f t="shared" si="80"/>
        <v>9735.18</v>
      </c>
      <c r="R63" s="1115">
        <f t="shared" si="80"/>
        <v>10112.830000000002</v>
      </c>
      <c r="S63" s="1115">
        <f t="shared" si="80"/>
        <v>10490.349999999999</v>
      </c>
      <c r="T63" s="1115">
        <f t="shared" si="80"/>
        <v>10867.999999999998</v>
      </c>
      <c r="U63" s="1115">
        <f t="shared" si="80"/>
        <v>11245.649999999998</v>
      </c>
      <c r="V63" s="1115">
        <f t="shared" si="80"/>
        <v>11623.36</v>
      </c>
      <c r="W63" s="1115">
        <f t="shared" si="80"/>
        <v>11904.439999999999</v>
      </c>
      <c r="X63" s="1115">
        <f t="shared" si="80"/>
        <v>12120.14</v>
      </c>
      <c r="Y63" s="1115">
        <f t="shared" si="80"/>
        <v>12335.84</v>
      </c>
      <c r="Z63" s="1115">
        <f t="shared" si="80"/>
        <v>12551.539999999999</v>
      </c>
      <c r="AA63" s="1115">
        <f t="shared" si="80"/>
        <v>12767.129999999997</v>
      </c>
      <c r="AB63" s="1115">
        <f t="shared" si="80"/>
        <v>12982.829999999998</v>
      </c>
      <c r="AC63" s="1115">
        <f t="shared" si="80"/>
        <v>13198.42</v>
      </c>
      <c r="AD63" s="1115">
        <f t="shared" si="80"/>
        <v>13414.119999999999</v>
      </c>
      <c r="AE63" s="1115">
        <f t="shared" si="80"/>
        <v>13629.82</v>
      </c>
      <c r="AF63" s="1115">
        <f t="shared" si="80"/>
        <v>13845.409999999998</v>
      </c>
      <c r="AG63" s="1115">
        <f t="shared" si="80"/>
        <v>14061.109999999999</v>
      </c>
      <c r="AH63" s="1115">
        <f t="shared" si="80"/>
        <v>14276.809999999998</v>
      </c>
      <c r="AI63" s="1115">
        <f>AI62</f>
        <v>14492.399999999998</v>
      </c>
      <c r="AJ63" s="1141">
        <f t="shared" si="64"/>
        <v>3.6275789473684199E-2</v>
      </c>
      <c r="AK63" s="1126">
        <f t="shared" si="62"/>
        <v>431.81818181818181</v>
      </c>
      <c r="AL63" s="1115">
        <f t="shared" si="7"/>
        <v>444.07386363636363</v>
      </c>
      <c r="AM63" s="1115">
        <f t="shared" si="8"/>
        <v>457.6744318181818</v>
      </c>
      <c r="AN63" s="1115">
        <f t="shared" si="9"/>
        <v>476.7642045454545</v>
      </c>
      <c r="AO63" s="1115">
        <f t="shared" si="10"/>
        <v>495.85738636363635</v>
      </c>
      <c r="AP63" s="1115">
        <f t="shared" si="11"/>
        <v>514.95454545454538</v>
      </c>
      <c r="AQ63" s="1115">
        <f t="shared" si="65"/>
        <v>534.0443181818182</v>
      </c>
      <c r="AR63" s="1115">
        <f t="shared" si="66"/>
        <v>553.13522727272732</v>
      </c>
      <c r="AS63" s="1115">
        <f t="shared" si="67"/>
        <v>574.59261363636369</v>
      </c>
      <c r="AT63" s="1115">
        <f t="shared" si="68"/>
        <v>596.04261363636351</v>
      </c>
      <c r="AU63" s="1115">
        <f t="shared" si="69"/>
        <v>617.49999999999989</v>
      </c>
      <c r="AV63" s="1115">
        <f t="shared" si="70"/>
        <v>638.95738636363626</v>
      </c>
      <c r="AW63" s="1115">
        <f t="shared" si="71"/>
        <v>660.41818181818178</v>
      </c>
      <c r="AX63" s="1115">
        <f t="shared" si="72"/>
        <v>676.38863636363624</v>
      </c>
      <c r="AY63" s="1115">
        <f t="shared" si="73"/>
        <v>688.64431818181811</v>
      </c>
      <c r="AZ63" s="1115">
        <f t="shared" si="74"/>
        <v>700.9</v>
      </c>
      <c r="BA63" s="1115">
        <f t="shared" si="75"/>
        <v>713.15568181818173</v>
      </c>
      <c r="BB63" s="1115">
        <f t="shared" si="76"/>
        <v>725.40511363636347</v>
      </c>
      <c r="BC63" s="1115">
        <f t="shared" si="77"/>
        <v>737.66079545454534</v>
      </c>
      <c r="BD63" s="1115">
        <f t="shared" si="78"/>
        <v>749.9102272727273</v>
      </c>
      <c r="BE63" s="1115">
        <f t="shared" si="79"/>
        <v>762.16590909090905</v>
      </c>
      <c r="BF63" s="1115">
        <f t="shared" si="28"/>
        <v>774.42159090909092</v>
      </c>
      <c r="BG63" s="1115">
        <f t="shared" si="29"/>
        <v>786.67102272727254</v>
      </c>
      <c r="BH63" s="1115">
        <f t="shared" si="30"/>
        <v>798.92670454545441</v>
      </c>
      <c r="BI63" s="1115">
        <f t="shared" si="31"/>
        <v>811.18238636363617</v>
      </c>
      <c r="BJ63" s="1115">
        <f t="shared" si="32"/>
        <v>823.43181818181802</v>
      </c>
      <c r="BK63" s="394">
        <f>((0.33*'Traffic Data'!AK63)/Speed!X144)+((0.67*'Traffic Data'!AK63)/Speed!AX144)</f>
        <v>9.4078036195684422</v>
      </c>
      <c r="BL63" s="392">
        <f>((0.33*AL63)/Speed!Y144)+((0.67*AL63)/Speed!AY144)</f>
        <v>9.6748119719759647</v>
      </c>
      <c r="BM63" s="392">
        <f>((0.33*AM63)/Speed!Z144)+((0.67*AM63)/Speed!AZ144)</f>
        <v>9.9711206973509867</v>
      </c>
      <c r="BN63" s="392">
        <f>((0.33*AN63)/Speed!AA144)+((0.67*AN63)/Speed!BA144)</f>
        <v>10.387019986577329</v>
      </c>
      <c r="BO63" s="392">
        <f>((0.33*AO63)/Speed!AB144)+((0.67*AO63)/Speed!BB144)</f>
        <v>10.802993597772398</v>
      </c>
      <c r="BP63" s="392">
        <f>((0.33*AP63)/Speed!AC144)+((0.67*AP63)/Speed!BC144)</f>
        <v>11.219053930733216</v>
      </c>
      <c r="BQ63" s="392">
        <f>((0.33*AQ63)/Speed!AD144)+((0.67*AQ63)/Speed!BD144)</f>
        <v>11.634953440173998</v>
      </c>
      <c r="BR63" s="392">
        <f>((0.33*AR63)/Speed!AE144)+((0.67*AR63)/Speed!BE144)</f>
        <v>12.050877845022891</v>
      </c>
      <c r="BS63" s="392">
        <f>((0.33*AS63)/Speed!AF144)+((0.67*AS63)/Speed!BF144)</f>
        <v>12.518359774879601</v>
      </c>
      <c r="BT63" s="392">
        <f>((0.33*AT63)/Speed!AG144)+((0.67*AT63)/Speed!BG144)</f>
        <v>12.985681118448058</v>
      </c>
      <c r="BU63" s="392">
        <f>((0.33*AU63)/Speed!AH144)+((0.67*AU63)/Speed!BH144)</f>
        <v>13.453163853847396</v>
      </c>
      <c r="BV63" s="392">
        <f>((0.33*AV63)/Speed!AI144)+((0.67*AV63)/Speed!BI144)</f>
        <v>13.920647233089133</v>
      </c>
      <c r="BW63" s="392">
        <f>((0.33*AW63)/Speed!AJ144)+((0.67*AW63)/Speed!BJ144)</f>
        <v>14.388205760195277</v>
      </c>
      <c r="BX63" s="392">
        <f>((0.33*AX63)/Speed!AK144)+((0.67*AX63)/Speed!BK144)</f>
        <v>14.736148975987113</v>
      </c>
      <c r="BY63" s="392">
        <f>((0.33*AY63)/Speed!AL144)+((0.67*AY63)/Speed!BL144)</f>
        <v>15.003160156987317</v>
      </c>
      <c r="BZ63" s="392">
        <f>((0.33*AZ63)/Speed!AM144)+((0.67*AZ63)/Speed!BM144)</f>
        <v>15.270171895431563</v>
      </c>
      <c r="CA63" s="392">
        <f>((0.33*BA63)/Speed!AN144)+((0.67*BA63)/Speed!BN144)</f>
        <v>15.537184287201123</v>
      </c>
      <c r="CB63" s="392">
        <f>((0.33*BB63)/Speed!AO144)+((0.67*BB63)/Speed!BO144)</f>
        <v>15.804061274295618</v>
      </c>
      <c r="CC63" s="392">
        <f>((0.33*BC63)/Speed!AP144)+((0.67*BC63)/Speed!BP144)</f>
        <v>16.071075319244823</v>
      </c>
      <c r="CD63" s="392">
        <f>((0.33*BD63)/Speed!AQ144)+((0.67*BD63)/Speed!BQ144)</f>
        <v>16.337954229681515</v>
      </c>
      <c r="CE63" s="392">
        <f>((0.33*BE63)/Speed!AR144)+((0.67*BE63)/Speed!BR144)</f>
        <v>16.604970508939857</v>
      </c>
      <c r="CF63" s="392">
        <f>((0.33*BF63)/Speed!AS144)+((0.67*BF63)/Speed!BS144)</f>
        <v>16.871988176704569</v>
      </c>
      <c r="CG63" s="392">
        <f>((0.33*BG63)/Speed!AT144)+((0.67*BG63)/Speed!BT144)</f>
        <v>17.138871275653894</v>
      </c>
      <c r="CH63" s="392">
        <f>((0.33*BH63)/Speed!AU144)+((0.67*BH63)/Speed!BU144)</f>
        <v>17.405892391199643</v>
      </c>
      <c r="CI63" s="392">
        <f>((0.33*BI63)/Speed!AV144)+((0.67*BI63)/Speed!BV144)</f>
        <v>17.672915628055435</v>
      </c>
      <c r="CJ63" s="430">
        <f>((0.33*BJ63)/Speed!AW144)+((0.67*BJ63)/Speed!BW144)</f>
        <v>17.939805122515388</v>
      </c>
      <c r="CK63" s="1383"/>
      <c r="CL63" s="1383"/>
      <c r="CM63" s="1390"/>
      <c r="CN63" s="1396"/>
      <c r="CO63"/>
      <c r="CP63"/>
      <c r="DA63"/>
    </row>
    <row r="64" spans="2:105" ht="21.9" customHeight="1" x14ac:dyDescent="0.25">
      <c r="B64" s="469"/>
      <c r="C64" s="114"/>
      <c r="D64" s="114" t="s">
        <v>322</v>
      </c>
      <c r="E64" s="114" t="s">
        <v>326</v>
      </c>
      <c r="F64" s="114" t="s">
        <v>357</v>
      </c>
      <c r="G64" s="343">
        <v>45</v>
      </c>
      <c r="H64" s="1119">
        <f>975/foottomile</f>
        <v>0.18465909090909091</v>
      </c>
      <c r="I64" s="343">
        <v>4</v>
      </c>
      <c r="J64" s="1126">
        <f>'Trip Gen'!W158</f>
        <v>6000</v>
      </c>
      <c r="K64" s="1115">
        <f>'Trip Gen'!X158</f>
        <v>6170.14</v>
      </c>
      <c r="L64" s="1115">
        <f>'Trip Gen'!Y158</f>
        <v>6364.0099999999993</v>
      </c>
      <c r="M64" s="1115">
        <f>'Trip Gen'!Z158</f>
        <v>6611.7300000000005</v>
      </c>
      <c r="N64" s="1115">
        <f>'Trip Gen'!AA158</f>
        <v>6859.53</v>
      </c>
      <c r="O64" s="1115">
        <f>'Trip Gen'!AB158</f>
        <v>7107.2900000000027</v>
      </c>
      <c r="P64" s="1115">
        <f>'Trip Gen'!AC158</f>
        <v>7355.0100000000011</v>
      </c>
      <c r="Q64" s="1115">
        <f>'Trip Gen'!AD158</f>
        <v>7602.7800000000016</v>
      </c>
      <c r="R64" s="1115">
        <f>'Trip Gen'!AE158</f>
        <v>7882.82</v>
      </c>
      <c r="S64" s="1115">
        <f>'Trip Gen'!AF158</f>
        <v>8162.85</v>
      </c>
      <c r="T64" s="1115">
        <f>'Trip Gen'!AG158</f>
        <v>8442.85</v>
      </c>
      <c r="U64" s="1115">
        <f>'Trip Gen'!AH158</f>
        <v>8722.8900000000012</v>
      </c>
      <c r="V64" s="1115">
        <f>'Trip Gen'!AI158</f>
        <v>9002.98</v>
      </c>
      <c r="W64" s="1115">
        <f>'Trip Gen'!AJ158</f>
        <v>9229.16</v>
      </c>
      <c r="X64" s="1115">
        <f>'Trip Gen'!AK158</f>
        <v>9399.3000000000011</v>
      </c>
      <c r="Y64" s="1115">
        <f>'Trip Gen'!AL158</f>
        <v>9569.4400000000023</v>
      </c>
      <c r="Z64" s="1115">
        <f>'Trip Gen'!AM158</f>
        <v>9739.5800000000017</v>
      </c>
      <c r="AA64" s="1115">
        <f>'Trip Gen'!AN158</f>
        <v>9909.6700000000019</v>
      </c>
      <c r="AB64" s="1115">
        <f>'Trip Gen'!AO158</f>
        <v>10079.809999999998</v>
      </c>
      <c r="AC64" s="1115">
        <f>'Trip Gen'!AP158</f>
        <v>10249.899999999998</v>
      </c>
      <c r="AD64" s="1115">
        <f>'Trip Gen'!AQ158</f>
        <v>10420.039999999997</v>
      </c>
      <c r="AE64" s="1115">
        <f>'Trip Gen'!AR158</f>
        <v>10590.179999999998</v>
      </c>
      <c r="AF64" s="1115">
        <f>'Trip Gen'!AS158</f>
        <v>10760.269999999997</v>
      </c>
      <c r="AG64" s="1115">
        <f>'Trip Gen'!AT158</f>
        <v>10930.409999999998</v>
      </c>
      <c r="AH64" s="1115">
        <f>'Trip Gen'!AU158</f>
        <v>11100.549999999997</v>
      </c>
      <c r="AI64" s="1115">
        <f>'Trip Gen'!AV158</f>
        <v>11270.639999999998</v>
      </c>
      <c r="AJ64" s="1141">
        <f t="shared" si="64"/>
        <v>3.5137599999999984E-2</v>
      </c>
      <c r="AK64" s="1126">
        <f t="shared" ref="AK64:AK65" si="81">$H64*J64</f>
        <v>1107.9545454545455</v>
      </c>
      <c r="AL64" s="1115">
        <f t="shared" si="7"/>
        <v>1139.3724431818182</v>
      </c>
      <c r="AM64" s="1115">
        <f t="shared" si="8"/>
        <v>1175.1723011363636</v>
      </c>
      <c r="AN64" s="1115">
        <f t="shared" si="9"/>
        <v>1220.9160511363636</v>
      </c>
      <c r="AO64" s="1115">
        <f t="shared" si="10"/>
        <v>1266.6745738636364</v>
      </c>
      <c r="AP64" s="1115">
        <f t="shared" si="11"/>
        <v>1312.4257102272732</v>
      </c>
      <c r="AQ64" s="1115">
        <f t="shared" si="65"/>
        <v>1358.169460227273</v>
      </c>
      <c r="AR64" s="1115">
        <f t="shared" si="66"/>
        <v>1403.9224431818184</v>
      </c>
      <c r="AS64" s="1115">
        <f t="shared" si="67"/>
        <v>1455.6343749999999</v>
      </c>
      <c r="AT64" s="1115">
        <f t="shared" si="68"/>
        <v>1507.3444602272727</v>
      </c>
      <c r="AU64" s="1115">
        <f t="shared" si="69"/>
        <v>1559.0490056818182</v>
      </c>
      <c r="AV64" s="1115">
        <f t="shared" si="70"/>
        <v>1610.7609375000002</v>
      </c>
      <c r="AW64" s="1115">
        <f t="shared" si="71"/>
        <v>1662.4821022727272</v>
      </c>
      <c r="AX64" s="1115">
        <f t="shared" si="72"/>
        <v>1704.2482954545455</v>
      </c>
      <c r="AY64" s="1115">
        <f t="shared" si="73"/>
        <v>1735.6661931818185</v>
      </c>
      <c r="AZ64" s="1115">
        <f t="shared" si="74"/>
        <v>1767.0840909090914</v>
      </c>
      <c r="BA64" s="1115">
        <f t="shared" si="75"/>
        <v>1798.5019886363639</v>
      </c>
      <c r="BB64" s="1115">
        <f t="shared" si="76"/>
        <v>1829.9106534090913</v>
      </c>
      <c r="BC64" s="1115">
        <f t="shared" si="77"/>
        <v>1861.3285511363633</v>
      </c>
      <c r="BD64" s="1115">
        <f t="shared" si="78"/>
        <v>1892.7372159090905</v>
      </c>
      <c r="BE64" s="1115">
        <f t="shared" si="79"/>
        <v>1924.1551136363632</v>
      </c>
      <c r="BF64" s="1115">
        <f t="shared" si="28"/>
        <v>1955.5730113636362</v>
      </c>
      <c r="BG64" s="1115">
        <f t="shared" si="29"/>
        <v>1986.9816761363631</v>
      </c>
      <c r="BH64" s="1115">
        <f t="shared" si="30"/>
        <v>2018.3995738636361</v>
      </c>
      <c r="BI64" s="1115">
        <f t="shared" si="31"/>
        <v>2049.8174715909086</v>
      </c>
      <c r="BJ64" s="1115">
        <f t="shared" si="32"/>
        <v>2081.2261363636358</v>
      </c>
      <c r="BK64" s="394">
        <f>((0.33*'Traffic Data'!AK64)/Speed!X145)+((0.67*'Traffic Data'!AK64)/Speed!AX145)</f>
        <v>24.138443278803063</v>
      </c>
      <c r="BL64" s="392">
        <f>((0.33*AL64)/Speed!Y145)+((0.67*AL64)/Speed!AY145)</f>
        <v>24.822929076247767</v>
      </c>
      <c r="BM64" s="392">
        <f>((0.33*AM64)/Speed!Z145)+((0.67*AM64)/Speed!AZ145)</f>
        <v>25.602882421113925</v>
      </c>
      <c r="BN64" s="392">
        <f>((0.33*AN64)/Speed!AA145)+((0.67*AN64)/Speed!BA145)</f>
        <v>26.599478304345006</v>
      </c>
      <c r="BO64" s="392">
        <f>((0.33*AO64)/Speed!AB145)+((0.67*AO64)/Speed!BB145)</f>
        <v>27.596396043788651</v>
      </c>
      <c r="BP64" s="392">
        <f>((0.33*AP64)/Speed!AC145)+((0.67*AP64)/Speed!BC145)</f>
        <v>28.593152874598079</v>
      </c>
      <c r="BQ64" s="392">
        <f>((0.33*AQ64)/Speed!AD145)+((0.67*AQ64)/Speed!BD145)</f>
        <v>29.589748802143767</v>
      </c>
      <c r="BR64" s="392">
        <f>((0.33*AR64)/Speed!AE145)+((0.67*AR64)/Speed!BE145)</f>
        <v>30.586545910204492</v>
      </c>
      <c r="BS64" s="392">
        <f>((0.33*AS64)/Speed!AF145)+((0.67*AS64)/Speed!BF145)</f>
        <v>31.713167668524129</v>
      </c>
      <c r="BT64" s="392">
        <f>((0.33*AT64)/Speed!AG145)+((0.67*AT64)/Speed!BG145)</f>
        <v>32.839749260048009</v>
      </c>
      <c r="BU64" s="392">
        <f>((0.33*AU64)/Speed!AH145)+((0.67*AU64)/Speed!BH145)</f>
        <v>33.96621024682468</v>
      </c>
      <c r="BV64" s="392">
        <f>((0.33*AV64)/Speed!AI145)+((0.67*AV64)/Speed!BI145)</f>
        <v>35.09283227508773</v>
      </c>
      <c r="BW64" s="392">
        <f>((0.33*AW64)/Speed!AJ145)+((0.67*AW64)/Speed!BJ145)</f>
        <v>36.219655616042374</v>
      </c>
      <c r="BX64" s="392">
        <f>((0.33*AX64)/Speed!AK145)+((0.67*AX64)/Speed!BK145)</f>
        <v>37.129595084091591</v>
      </c>
      <c r="BY64" s="392">
        <f>((0.33*AY64)/Speed!AL145)+((0.67*AY64)/Speed!BL145)</f>
        <v>37.814081449881925</v>
      </c>
      <c r="BZ64" s="392">
        <f>((0.33*AZ64)/Speed!AM145)+((0.67*AZ64)/Speed!BM145)</f>
        <v>38.498567930043293</v>
      </c>
      <c r="CA64" s="392">
        <f>((0.33*BA64)/Speed!AN145)+((0.67*BA64)/Speed!BN145)</f>
        <v>39.18305454460878</v>
      </c>
      <c r="CB64" s="392">
        <f>((0.33*BB64)/Speed!AO145)+((0.67*BB64)/Speed!BO145)</f>
        <v>39.867340162661222</v>
      </c>
      <c r="CC64" s="392">
        <f>((0.33*BC64)/Speed!AP145)+((0.67*BC64)/Speed!BP145)</f>
        <v>40.551827118711422</v>
      </c>
      <c r="CD64" s="392">
        <f>((0.33*BD64)/Speed!AQ145)+((0.67*BD64)/Speed!BQ145)</f>
        <v>41.23611313512535</v>
      </c>
      <c r="CE64" s="392">
        <f>((0.33*BE64)/Speed!AR145)+((0.67*BE64)/Speed!BR145)</f>
        <v>41.92060055495331</v>
      </c>
      <c r="CF64" s="392">
        <f>((0.33*BF64)/Speed!AS145)+((0.67*BF64)/Speed!BS145)</f>
        <v>42.605088263935485</v>
      </c>
      <c r="CG64" s="392">
        <f>((0.33*BG64)/Speed!AT145)+((0.67*BG64)/Speed!BT145)</f>
        <v>43.289375153020359</v>
      </c>
      <c r="CH64" s="392">
        <f>((0.33*BH64)/Speed!AU145)+((0.67*BH64)/Speed!BU145)</f>
        <v>43.973863582483787</v>
      </c>
      <c r="CI64" s="392">
        <f>((0.33*BI64)/Speed!AV145)+((0.67*BI64)/Speed!BV145)</f>
        <v>44.65835245654759</v>
      </c>
      <c r="CJ64" s="430">
        <f>((0.33*BJ64)/Speed!AW145)+((0.67*BJ64)/Speed!BW145)</f>
        <v>45.342640686663643</v>
      </c>
      <c r="CK64" s="1383"/>
      <c r="CL64" s="1383"/>
      <c r="CM64" s="1390"/>
      <c r="CN64" s="1396"/>
      <c r="CO64"/>
      <c r="CP64"/>
      <c r="DA64"/>
    </row>
    <row r="65" spans="2:105" ht="21.9" customHeight="1" x14ac:dyDescent="0.25">
      <c r="B65" s="469"/>
      <c r="C65" s="114"/>
      <c r="D65" s="114" t="s">
        <v>326</v>
      </c>
      <c r="E65" s="114" t="s">
        <v>274</v>
      </c>
      <c r="F65" s="114" t="s">
        <v>357</v>
      </c>
      <c r="G65" s="343">
        <v>55</v>
      </c>
      <c r="H65" s="1119">
        <f>8095/foottomile</f>
        <v>1.5331439393939394</v>
      </c>
      <c r="I65" s="343">
        <v>4</v>
      </c>
      <c r="J65" s="1126">
        <f>J64</f>
        <v>6000</v>
      </c>
      <c r="K65" s="1115">
        <f>K64</f>
        <v>6170.14</v>
      </c>
      <c r="L65" s="1115">
        <f t="shared" ref="L65:AH65" si="82">L64</f>
        <v>6364.0099999999993</v>
      </c>
      <c r="M65" s="1115">
        <f t="shared" si="82"/>
        <v>6611.7300000000005</v>
      </c>
      <c r="N65" s="1115">
        <f t="shared" si="82"/>
        <v>6859.53</v>
      </c>
      <c r="O65" s="1115">
        <f t="shared" si="82"/>
        <v>7107.2900000000027</v>
      </c>
      <c r="P65" s="1115">
        <f t="shared" si="82"/>
        <v>7355.0100000000011</v>
      </c>
      <c r="Q65" s="1115">
        <f t="shared" si="82"/>
        <v>7602.7800000000016</v>
      </c>
      <c r="R65" s="1115">
        <f t="shared" si="82"/>
        <v>7882.82</v>
      </c>
      <c r="S65" s="1115">
        <f t="shared" si="82"/>
        <v>8162.85</v>
      </c>
      <c r="T65" s="1115">
        <f t="shared" si="82"/>
        <v>8442.85</v>
      </c>
      <c r="U65" s="1115">
        <f t="shared" si="82"/>
        <v>8722.8900000000012</v>
      </c>
      <c r="V65" s="1115">
        <f t="shared" si="82"/>
        <v>9002.98</v>
      </c>
      <c r="W65" s="1115">
        <f t="shared" si="82"/>
        <v>9229.16</v>
      </c>
      <c r="X65" s="1115">
        <f t="shared" si="82"/>
        <v>9399.3000000000011</v>
      </c>
      <c r="Y65" s="1115">
        <f t="shared" si="82"/>
        <v>9569.4400000000023</v>
      </c>
      <c r="Z65" s="1115">
        <f t="shared" si="82"/>
        <v>9739.5800000000017</v>
      </c>
      <c r="AA65" s="1115">
        <f t="shared" si="82"/>
        <v>9909.6700000000019</v>
      </c>
      <c r="AB65" s="1115">
        <f t="shared" si="82"/>
        <v>10079.809999999998</v>
      </c>
      <c r="AC65" s="1115">
        <f t="shared" si="82"/>
        <v>10249.899999999998</v>
      </c>
      <c r="AD65" s="1115">
        <f t="shared" si="82"/>
        <v>10420.039999999997</v>
      </c>
      <c r="AE65" s="1115">
        <f t="shared" si="82"/>
        <v>10590.179999999998</v>
      </c>
      <c r="AF65" s="1115">
        <f t="shared" si="82"/>
        <v>10760.269999999997</v>
      </c>
      <c r="AG65" s="1115">
        <f t="shared" si="82"/>
        <v>10930.409999999998</v>
      </c>
      <c r="AH65" s="1115">
        <f t="shared" si="82"/>
        <v>11100.549999999997</v>
      </c>
      <c r="AI65" s="1115">
        <f>AI64</f>
        <v>11270.639999999998</v>
      </c>
      <c r="AJ65" s="1141">
        <f t="shared" si="64"/>
        <v>3.5137599999999984E-2</v>
      </c>
      <c r="AK65" s="1126">
        <f t="shared" si="81"/>
        <v>9198.863636363636</v>
      </c>
      <c r="AL65" s="1115">
        <f t="shared" si="7"/>
        <v>9459.7127462121225</v>
      </c>
      <c r="AM65" s="1115">
        <f t="shared" si="8"/>
        <v>9756.9433617424238</v>
      </c>
      <c r="AN65" s="1115">
        <f t="shared" si="9"/>
        <v>10136.733778409092</v>
      </c>
      <c r="AO65" s="1115">
        <f t="shared" si="10"/>
        <v>10516.646846590909</v>
      </c>
      <c r="AP65" s="1115">
        <f t="shared" si="11"/>
        <v>10896.498589015157</v>
      </c>
      <c r="AQ65" s="1115">
        <f t="shared" si="65"/>
        <v>11276.28900568182</v>
      </c>
      <c r="AR65" s="1115">
        <f t="shared" si="66"/>
        <v>11656.156079545457</v>
      </c>
      <c r="AS65" s="1115">
        <f t="shared" si="67"/>
        <v>12085.497708333332</v>
      </c>
      <c r="AT65" s="1115">
        <f t="shared" si="68"/>
        <v>12514.824005681819</v>
      </c>
      <c r="AU65" s="1115">
        <f t="shared" si="69"/>
        <v>12944.104308712122</v>
      </c>
      <c r="AV65" s="1115">
        <f t="shared" si="70"/>
        <v>13373.445937500002</v>
      </c>
      <c r="AW65" s="1115">
        <f t="shared" si="71"/>
        <v>13802.864223484848</v>
      </c>
      <c r="AX65" s="1115">
        <f t="shared" si="72"/>
        <v>14149.63071969697</v>
      </c>
      <c r="AY65" s="1115">
        <f t="shared" si="73"/>
        <v>14410.479829545457</v>
      </c>
      <c r="AZ65" s="1115">
        <f t="shared" si="74"/>
        <v>14671.328939393943</v>
      </c>
      <c r="BA65" s="1115">
        <f t="shared" si="75"/>
        <v>14932.178049242428</v>
      </c>
      <c r="BB65" s="1115">
        <f t="shared" si="76"/>
        <v>15192.950501893944</v>
      </c>
      <c r="BC65" s="1115">
        <f t="shared" si="77"/>
        <v>15453.799611742421</v>
      </c>
      <c r="BD65" s="1115">
        <f t="shared" si="78"/>
        <v>15714.572064393937</v>
      </c>
      <c r="BE65" s="1115">
        <f t="shared" si="79"/>
        <v>15975.421174242421</v>
      </c>
      <c r="BF65" s="1115">
        <f t="shared" si="28"/>
        <v>16236.270284090908</v>
      </c>
      <c r="BG65" s="1115">
        <f t="shared" si="29"/>
        <v>16497.04273674242</v>
      </c>
      <c r="BH65" s="1115">
        <f t="shared" si="30"/>
        <v>16757.891846590908</v>
      </c>
      <c r="BI65" s="1115">
        <f t="shared" si="31"/>
        <v>17018.740956439389</v>
      </c>
      <c r="BJ65" s="1115">
        <f t="shared" si="32"/>
        <v>17279.513409090905</v>
      </c>
      <c r="BK65" s="394">
        <f>((0.33*'Traffic Data'!AK65)/Speed!X146)+((0.67*'Traffic Data'!AK65)/Speed!AX146)</f>
        <v>164.55927798828586</v>
      </c>
      <c r="BL65" s="392">
        <f>((0.33*AL65)/Speed!Y146)+((0.67*AL65)/Speed!AY146)</f>
        <v>169.22563059998978</v>
      </c>
      <c r="BM65" s="392">
        <f>((0.33*AM65)/Speed!Z146)+((0.67*AM65)/Speed!AZ146)</f>
        <v>174.54281516679669</v>
      </c>
      <c r="BN65" s="392">
        <f>((0.33*AN65)/Speed!AA146)+((0.67*AN65)/Speed!BA146)</f>
        <v>181.33691927845092</v>
      </c>
      <c r="BO65" s="392">
        <f>((0.33*AO65)/Speed!AB146)+((0.67*AO65)/Speed!BB146)</f>
        <v>188.13321753962737</v>
      </c>
      <c r="BP65" s="392">
        <f>((0.33*AP65)/Speed!AC146)+((0.67*AP65)/Speed!BC146)</f>
        <v>194.92841877483693</v>
      </c>
      <c r="BQ65" s="392">
        <f>((0.33*AQ65)/Speed!AD146)+((0.67*AQ65)/Speed!BD146)</f>
        <v>201.72252299753711</v>
      </c>
      <c r="BR65" s="392">
        <f>((0.33*AR65)/Speed!AE146)+((0.67*AR65)/Speed!BE146)</f>
        <v>208.5179986147636</v>
      </c>
      <c r="BS65" s="392">
        <f>((0.33*AS65)/Speed!AF146)+((0.67*AS65)/Speed!BF146)</f>
        <v>216.19852902282696</v>
      </c>
      <c r="BT65" s="392">
        <f>((0.33*AT65)/Speed!AG146)+((0.67*AT65)/Speed!BG146)</f>
        <v>223.87878532565918</v>
      </c>
      <c r="BU65" s="392">
        <f>((0.33*AU65)/Speed!AH146)+((0.67*AU65)/Speed!BH146)</f>
        <v>231.55821905128661</v>
      </c>
      <c r="BV65" s="392">
        <f>((0.33*AV65)/Speed!AI146)+((0.67*AV65)/Speed!BI146)</f>
        <v>239.23875013578953</v>
      </c>
      <c r="BW65" s="392">
        <f>((0.33*AW65)/Speed!AJ146)+((0.67*AW65)/Speed!BJ146)</f>
        <v>246.92065294603401</v>
      </c>
      <c r="BX65" s="392">
        <f>((0.33*AX65)/Speed!AK146)+((0.67*AX65)/Speed!BK146)</f>
        <v>253.12399074367437</v>
      </c>
      <c r="BY65" s="392">
        <f>((0.33*AY65)/Speed!AL146)+((0.67*AY65)/Speed!BL146)</f>
        <v>257.79034477957077</v>
      </c>
      <c r="BZ65" s="392">
        <f>((0.33*AZ65)/Speed!AM146)+((0.67*AZ65)/Speed!BM146)</f>
        <v>262.45669910206459</v>
      </c>
      <c r="CA65" s="392">
        <f>((0.33*BA65)/Speed!AN146)+((0.67*BA65)/Speed!BN146)</f>
        <v>267.12305376135583</v>
      </c>
      <c r="CB65" s="392">
        <f>((0.33*BB65)/Speed!AO146)+((0.67*BB65)/Speed!BO146)</f>
        <v>271.78803748720338</v>
      </c>
      <c r="CC65" s="392">
        <f>((0.33*BC65)/Speed!AP146)+((0.67*BC65)/Speed!BP146)</f>
        <v>276.45439300220619</v>
      </c>
      <c r="CD65" s="392">
        <f>((0.33*BD65)/Speed!AQ146)+((0.67*BD65)/Speed!BQ146)</f>
        <v>281.1193777262904</v>
      </c>
      <c r="CE65" s="392">
        <f>((0.33*BE65)/Speed!AR146)+((0.67*BE65)/Speed!BR146)</f>
        <v>285.78573440345377</v>
      </c>
      <c r="CF65" s="392">
        <f>((0.33*BF65)/Speed!AS146)+((0.67*BF65)/Speed!BS146)</f>
        <v>290.45209180519612</v>
      </c>
      <c r="CG65" s="392">
        <f>((0.33*BG65)/Speed!AT146)+((0.67*BG65)/Speed!BT146)</f>
        <v>295.11707871606836</v>
      </c>
      <c r="CH65" s="392">
        <f>((0.33*BH65)/Speed!AU146)+((0.67*BH65)/Speed!BU146)</f>
        <v>299.78343792323324</v>
      </c>
      <c r="CI65" s="392">
        <f>((0.33*BI65)/Speed!AV146)+((0.67*BI65)/Speed!BV146)</f>
        <v>304.44979824450263</v>
      </c>
      <c r="CJ65" s="430">
        <f>((0.33*BJ65)/Speed!AW146)+((0.67*BJ65)/Speed!BW146)</f>
        <v>309.11478851580648</v>
      </c>
      <c r="CK65" s="1383"/>
      <c r="CL65" s="1383"/>
      <c r="CM65" s="1390"/>
      <c r="CN65" s="1396"/>
      <c r="CO65"/>
      <c r="CP65"/>
      <c r="DA65"/>
    </row>
    <row r="66" spans="2:105" ht="21.9" customHeight="1" thickBot="1" x14ac:dyDescent="0.3">
      <c r="B66" s="768"/>
      <c r="C66" s="274"/>
      <c r="D66" s="274" t="s">
        <v>274</v>
      </c>
      <c r="E66" s="274" t="s">
        <v>317</v>
      </c>
      <c r="F66" s="274"/>
      <c r="G66" s="1128">
        <v>55</v>
      </c>
      <c r="H66" s="1136">
        <f>500/foottomile</f>
        <v>9.4696969696969696E-2</v>
      </c>
      <c r="I66" s="1128">
        <v>4</v>
      </c>
      <c r="J66" s="1127">
        <v>2400</v>
      </c>
      <c r="K66" s="1128">
        <f>K65*0.4</f>
        <v>2468.0560000000005</v>
      </c>
      <c r="L66" s="1128">
        <f t="shared" ref="L66" si="83">L65*0.4</f>
        <v>2545.6039999999998</v>
      </c>
      <c r="M66" s="1128">
        <f t="shared" ref="M66" si="84">M65*0.4</f>
        <v>2644.6920000000005</v>
      </c>
      <c r="N66" s="1128">
        <f t="shared" ref="N66" si="85">N65*0.4</f>
        <v>2743.8119999999999</v>
      </c>
      <c r="O66" s="1128">
        <f t="shared" ref="O66" si="86">O65*0.4</f>
        <v>2842.9160000000011</v>
      </c>
      <c r="P66" s="1128">
        <f t="shared" ref="P66" si="87">P65*0.4</f>
        <v>2942.0040000000008</v>
      </c>
      <c r="Q66" s="1128">
        <f t="shared" ref="Q66" si="88">Q65*0.4</f>
        <v>3041.112000000001</v>
      </c>
      <c r="R66" s="1128">
        <f t="shared" ref="R66" si="89">R65*0.4</f>
        <v>3153.1280000000002</v>
      </c>
      <c r="S66" s="1128">
        <f t="shared" ref="S66" si="90">S65*0.4</f>
        <v>3265.1400000000003</v>
      </c>
      <c r="T66" s="1128">
        <f t="shared" ref="T66" si="91">T65*0.4</f>
        <v>3377.1400000000003</v>
      </c>
      <c r="U66" s="1128">
        <f t="shared" ref="U66" si="92">U65*0.4</f>
        <v>3489.1560000000009</v>
      </c>
      <c r="V66" s="1128">
        <f t="shared" ref="V66" si="93">V65*0.4</f>
        <v>3601.192</v>
      </c>
      <c r="W66" s="1128">
        <f t="shared" ref="W66" si="94">W65*0.4</f>
        <v>3691.6640000000002</v>
      </c>
      <c r="X66" s="1128">
        <f t="shared" ref="X66" si="95">X65*0.4</f>
        <v>3759.7200000000007</v>
      </c>
      <c r="Y66" s="1128">
        <f t="shared" ref="Y66" si="96">Y65*0.4</f>
        <v>3827.7760000000012</v>
      </c>
      <c r="Z66" s="1128">
        <f t="shared" ref="Z66" si="97">Z65*0.4</f>
        <v>3895.8320000000008</v>
      </c>
      <c r="AA66" s="1128">
        <f t="shared" ref="AA66" si="98">AA65*0.4</f>
        <v>3963.8680000000008</v>
      </c>
      <c r="AB66" s="1128">
        <f t="shared" ref="AB66" si="99">AB65*0.4</f>
        <v>4031.9239999999991</v>
      </c>
      <c r="AC66" s="1128">
        <f t="shared" ref="AC66" si="100">AC65*0.4</f>
        <v>4099.9599999999991</v>
      </c>
      <c r="AD66" s="1128">
        <f t="shared" ref="AD66" si="101">AD65*0.4</f>
        <v>4168.0159999999987</v>
      </c>
      <c r="AE66" s="1128">
        <f t="shared" ref="AE66" si="102">AE65*0.4</f>
        <v>4236.0719999999992</v>
      </c>
      <c r="AF66" s="1128">
        <f t="shared" ref="AF66" si="103">AF65*0.4</f>
        <v>4304.1079999999993</v>
      </c>
      <c r="AG66" s="1128">
        <f t="shared" ref="AG66" si="104">AG65*0.4</f>
        <v>4372.1639999999998</v>
      </c>
      <c r="AH66" s="1128">
        <f t="shared" ref="AH66" si="105">AH65*0.4</f>
        <v>4440.2199999999993</v>
      </c>
      <c r="AI66" s="1128">
        <f t="shared" ref="AI66" si="106">AI65*0.4</f>
        <v>4508.2559999999994</v>
      </c>
      <c r="AJ66" s="1144">
        <f t="shared" si="64"/>
        <v>3.5137599999999991E-2</v>
      </c>
      <c r="AK66" s="1127">
        <f>$H66*J66</f>
        <v>227.27272727272728</v>
      </c>
      <c r="AL66" s="1128">
        <f t="shared" si="7"/>
        <v>233.7174242424243</v>
      </c>
      <c r="AM66" s="1128">
        <f t="shared" si="8"/>
        <v>241.06098484848482</v>
      </c>
      <c r="AN66" s="1128">
        <f t="shared" si="9"/>
        <v>250.44431818181823</v>
      </c>
      <c r="AO66" s="1128">
        <f t="shared" si="10"/>
        <v>259.8306818181818</v>
      </c>
      <c r="AP66" s="1128">
        <f t="shared" si="11"/>
        <v>269.21553030303039</v>
      </c>
      <c r="AQ66" s="1128">
        <f t="shared" si="65"/>
        <v>278.59886363636372</v>
      </c>
      <c r="AR66" s="1128">
        <f t="shared" si="66"/>
        <v>287.98409090909098</v>
      </c>
      <c r="AS66" s="1128">
        <f t="shared" si="67"/>
        <v>298.5916666666667</v>
      </c>
      <c r="AT66" s="1128">
        <f t="shared" si="68"/>
        <v>309.19886363636368</v>
      </c>
      <c r="AU66" s="1128">
        <f t="shared" si="69"/>
        <v>319.80492424242425</v>
      </c>
      <c r="AV66" s="1128">
        <f t="shared" si="70"/>
        <v>330.41250000000008</v>
      </c>
      <c r="AW66" s="1128">
        <f t="shared" si="71"/>
        <v>341.02196969696968</v>
      </c>
      <c r="AX66" s="1128">
        <f t="shared" si="72"/>
        <v>349.58939393939397</v>
      </c>
      <c r="AY66" s="1128">
        <f t="shared" si="73"/>
        <v>356.03409090909099</v>
      </c>
      <c r="AZ66" s="1128">
        <f t="shared" si="74"/>
        <v>362.47878787878801</v>
      </c>
      <c r="BA66" s="1128">
        <f t="shared" si="75"/>
        <v>368.92348484848492</v>
      </c>
      <c r="BB66" s="1128">
        <f t="shared" si="76"/>
        <v>375.36628787878794</v>
      </c>
      <c r="BC66" s="1128">
        <f t="shared" si="77"/>
        <v>381.81098484848474</v>
      </c>
      <c r="BD66" s="1128">
        <f t="shared" si="78"/>
        <v>388.25378787878782</v>
      </c>
      <c r="BE66" s="1128">
        <f t="shared" si="79"/>
        <v>394.69848484848472</v>
      </c>
      <c r="BF66" s="1128">
        <f t="shared" si="28"/>
        <v>401.14318181818174</v>
      </c>
      <c r="BG66" s="1128">
        <f t="shared" si="29"/>
        <v>407.58598484848477</v>
      </c>
      <c r="BH66" s="1128">
        <f t="shared" si="30"/>
        <v>414.03068181818179</v>
      </c>
      <c r="BI66" s="1128">
        <f t="shared" si="31"/>
        <v>420.4753787878787</v>
      </c>
      <c r="BJ66" s="1128">
        <f t="shared" si="32"/>
        <v>426.91818181818178</v>
      </c>
      <c r="BK66" s="395">
        <f>((0.33*'Traffic Data'!AK66)/Speed!X147)+((0.67*'Traffic Data'!AK66)/Speed!AX147)</f>
        <v>4.1098166073256728</v>
      </c>
      <c r="BL66" s="442">
        <f>((0.33*AL66)/Speed!Y147)+((0.67*AL66)/Speed!AY147)</f>
        <v>4.2263580935276419</v>
      </c>
      <c r="BM66" s="442">
        <f>((0.33*AM66)/Speed!Z147)+((0.67*AM66)/Speed!AZ147)</f>
        <v>4.3591543484551938</v>
      </c>
      <c r="BN66" s="442">
        <f>((0.33*AN66)/Speed!AA147)+((0.67*AN66)/Speed!BA147)</f>
        <v>4.5288372448012844</v>
      </c>
      <c r="BO66" s="442">
        <f>((0.33*AO66)/Speed!AB147)+((0.67*AO66)/Speed!BB147)</f>
        <v>4.6985760141229438</v>
      </c>
      <c r="BP66" s="442">
        <f>((0.33*AP66)/Speed!AC147)+((0.67*AP66)/Speed!BC147)</f>
        <v>4.8682888795979888</v>
      </c>
      <c r="BQ66" s="442">
        <f>((0.33*AQ66)/Speed!AD147)+((0.67*AQ66)/Speed!BD147)</f>
        <v>5.0379764018406874</v>
      </c>
      <c r="BR66" s="442">
        <f>((0.33*AR66)/Speed!AE147)+((0.67*AR66)/Speed!BE147)</f>
        <v>5.2077009723411614</v>
      </c>
      <c r="BS66" s="442">
        <f>((0.33*AS66)/Speed!AF147)+((0.67*AS66)/Speed!BF147)</f>
        <v>5.3995353686660401</v>
      </c>
      <c r="BT66" s="442">
        <f>((0.33*AT66)/Speed!AG147)+((0.67*AT66)/Speed!BG147)</f>
        <v>5.5913695901580205</v>
      </c>
      <c r="BU66" s="442">
        <f>((0.33*AU66)/Speed!AH147)+((0.67*AU66)/Speed!BH147)</f>
        <v>5.7831923932666776</v>
      </c>
      <c r="BV66" s="442">
        <f>((0.33*AV66)/Speed!AI147)+((0.67*AV66)/Speed!BI147)</f>
        <v>5.9750549683384424</v>
      </c>
      <c r="BW66" s="442">
        <f>((0.33*AW66)/Speed!AJ147)+((0.67*AW66)/Speed!BJ147)</f>
        <v>6.1669683892631788</v>
      </c>
      <c r="BX66" s="442">
        <f>((0.33*AX66)/Speed!AK147)+((0.67*AX66)/Speed!BK147)</f>
        <v>6.3219592787364434</v>
      </c>
      <c r="BY66" s="442">
        <f>((0.33*AY66)/Speed!AL147)+((0.67*AY66)/Speed!BL147)</f>
        <v>6.4385600931778431</v>
      </c>
      <c r="BZ66" s="442">
        <f>((0.33*AZ66)/Speed!AM147)+((0.67*AZ66)/Speed!BM147)</f>
        <v>6.5551728465395769</v>
      </c>
      <c r="CA66" s="442">
        <f>((0.33*BA66)/Speed!AN147)+((0.67*BA66)/Speed!BN147)</f>
        <v>6.6717996300245872</v>
      </c>
      <c r="CB66" s="442">
        <f>((0.33*BB66)/Speed!AO147)+((0.67*BB66)/Speed!BO147)</f>
        <v>6.7884085727822407</v>
      </c>
      <c r="CC66" s="442">
        <f>((0.33*BC66)/Speed!AP147)+((0.67*BC66)/Speed!BP147)</f>
        <v>6.9050710030408249</v>
      </c>
      <c r="CD66" s="442">
        <f>((0.33*BD66)/Speed!AQ147)+((0.67*BD66)/Speed!BQ147)</f>
        <v>7.0217215298009208</v>
      </c>
      <c r="CE66" s="442">
        <f>((0.33*BE66)/Speed!AR147)+((0.67*BE66)/Speed!BR147)</f>
        <v>7.1384323727100245</v>
      </c>
      <c r="CF66" s="442">
        <f>((0.33*BF66)/Speed!AS147)+((0.67*BF66)/Speed!BS147)</f>
        <v>7.2551733997344883</v>
      </c>
      <c r="CG66" s="442">
        <f>((0.33*BG66)/Speed!AT147)+((0.67*BG66)/Speed!BT147)</f>
        <v>7.3719150225261867</v>
      </c>
      <c r="CH66" s="442">
        <f>((0.33*BH66)/Speed!AU147)+((0.67*BH66)/Speed!BU147)</f>
        <v>7.4887312588652737</v>
      </c>
      <c r="CI66" s="442">
        <f>((0.33*BI66)/Speed!AV147)+((0.67*BI66)/Speed!BV147)</f>
        <v>7.6055939059746951</v>
      </c>
      <c r="CJ66" s="439">
        <f>((0.33*BJ66)/Speed!AW147)+((0.67*BJ66)/Speed!BW147)</f>
        <v>7.7224755158027385</v>
      </c>
      <c r="CK66" s="1384"/>
      <c r="CL66" s="1384"/>
      <c r="CM66" s="1391"/>
      <c r="CN66" s="1397"/>
      <c r="CO66"/>
      <c r="CP66"/>
      <c r="DA66"/>
    </row>
    <row r="67" spans="2:105" ht="21.9" customHeight="1" x14ac:dyDescent="0.25">
      <c r="B67" s="9" t="s">
        <v>247</v>
      </c>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M67"/>
      <c r="CO67"/>
      <c r="CP67"/>
      <c r="CQ67"/>
    </row>
    <row r="68" spans="2:105" ht="21.9" customHeight="1" x14ac:dyDescent="0.25">
      <c r="B68" s="9"/>
      <c r="I68" s="28" t="s">
        <v>720</v>
      </c>
      <c r="J68" s="12">
        <f>SUM(J7:J26)-SUM(J27:J46)</f>
        <v>520</v>
      </c>
      <c r="K68" s="12">
        <f t="shared" ref="K68:O68" si="107">SUM(K7:K26)-SUM(K27:K46)</f>
        <v>655.32600000003004</v>
      </c>
      <c r="L68" s="12">
        <f t="shared" si="107"/>
        <v>-762.3700000000099</v>
      </c>
      <c r="M68" s="12">
        <f t="shared" si="107"/>
        <v>-387.1140000000305</v>
      </c>
      <c r="N68" s="12">
        <f t="shared" si="107"/>
        <v>-14.13399999999092</v>
      </c>
      <c r="O68" s="12">
        <f t="shared" si="107"/>
        <v>364.00600000002305</v>
      </c>
      <c r="P68" s="12">
        <f>SUM(P7:P26)-SUM(P27:P46)</f>
        <v>739.26199999998789</v>
      </c>
      <c r="Q68" s="12">
        <f t="shared" ref="Q68:AI68" si="108">SUM(Q7:Q26)-SUM(Q27:Q46)</f>
        <v>1114.1920000000391</v>
      </c>
      <c r="R68" s="12">
        <f t="shared" si="108"/>
        <v>5243.7780000000203</v>
      </c>
      <c r="S68" s="12">
        <f t="shared" si="108"/>
        <v>9371.9839999999967</v>
      </c>
      <c r="T68" s="12">
        <f t="shared" si="108"/>
        <v>13500.555999999982</v>
      </c>
      <c r="U68" s="12">
        <f t="shared" si="108"/>
        <v>17630.141999999905</v>
      </c>
      <c r="V68" s="12">
        <f t="shared" si="108"/>
        <v>21762.013999999937</v>
      </c>
      <c r="W68" s="12">
        <f>SUM(W7:W26)-SUM(W27:W46)</f>
        <v>23886.184000000037</v>
      </c>
      <c r="X68" s="12">
        <f t="shared" si="108"/>
        <v>24432.010000000009</v>
      </c>
      <c r="Y68" s="12">
        <f t="shared" si="108"/>
        <v>24978.835999999894</v>
      </c>
      <c r="Z68" s="12">
        <f t="shared" si="108"/>
        <v>25525.661999999895</v>
      </c>
      <c r="AA68" s="12">
        <f t="shared" si="108"/>
        <v>26072.335999999952</v>
      </c>
      <c r="AB68" s="12">
        <f t="shared" si="108"/>
        <v>26619.161999999895</v>
      </c>
      <c r="AC68" s="12">
        <f t="shared" si="108"/>
        <v>27165.835999999836</v>
      </c>
      <c r="AD68" s="12">
        <f t="shared" si="108"/>
        <v>27712.662000000128</v>
      </c>
      <c r="AE68" s="12">
        <f t="shared" si="108"/>
        <v>28259.488000000012</v>
      </c>
      <c r="AF68" s="12">
        <f t="shared" si="108"/>
        <v>28805.161999999953</v>
      </c>
      <c r="AG68" s="12">
        <f t="shared" si="108"/>
        <v>29351.988000000129</v>
      </c>
      <c r="AH68" s="12">
        <f t="shared" si="108"/>
        <v>29898.814000000071</v>
      </c>
      <c r="AI68" s="12">
        <f t="shared" si="108"/>
        <v>30445.487999999896</v>
      </c>
      <c r="AJ68" s="28" t="s">
        <v>720</v>
      </c>
      <c r="AK68" s="12">
        <f>SUM(AK7:AK26)-SUM(AK27:AK46)</f>
        <v>280.60000000000582</v>
      </c>
      <c r="AL68" s="12">
        <f t="shared" ref="AL68:BJ68" si="109">SUM(AL7:AL26)-SUM(AL27:AL46)</f>
        <v>419.09336704543966</v>
      </c>
      <c r="AM68" s="12">
        <f t="shared" si="109"/>
        <v>-2740.9238534090982</v>
      </c>
      <c r="AN68" s="12">
        <f t="shared" si="109"/>
        <v>-4897.8930878787942</v>
      </c>
      <c r="AO68" s="12">
        <f t="shared" si="109"/>
        <v>-7057.904598863679</v>
      </c>
      <c r="AP68" s="12">
        <f t="shared" si="109"/>
        <v>-9213.4469511363714</v>
      </c>
      <c r="AQ68" s="12">
        <f>SUM(AQ7:AQ26)-SUM(AQ27:AQ46)</f>
        <v>-11370.416185606009</v>
      </c>
      <c r="AR68" s="12">
        <f t="shared" si="109"/>
        <v>-13529.866684848472</v>
      </c>
      <c r="AS68" s="12">
        <f t="shared" si="109"/>
        <v>-11041.821378409077</v>
      </c>
      <c r="AT68" s="12">
        <f t="shared" si="109"/>
        <v>-8554.6567371211131</v>
      </c>
      <c r="AU68" s="12">
        <f>SUM(AU7:AU26)-SUM(AU27:AU46)</f>
        <v>-6067.075545075757</v>
      </c>
      <c r="AV68" s="12">
        <f>SUM(AV7:AV26)-SUM(AV27:AV46)</f>
        <v>-3579.0302386363037</v>
      </c>
      <c r="AW68" s="12">
        <f t="shared" si="109"/>
        <v>-1090.0407321968232</v>
      </c>
      <c r="AX68" s="12">
        <f t="shared" si="109"/>
        <v>287.683962121082</v>
      </c>
      <c r="AY68" s="12">
        <f t="shared" si="109"/>
        <v>633.70482916664332</v>
      </c>
      <c r="AZ68" s="12">
        <f t="shared" si="109"/>
        <v>980.00569621211616</v>
      </c>
      <c r="BA68" s="12">
        <f t="shared" si="109"/>
        <v>1326.3065632575308</v>
      </c>
      <c r="BB68" s="12">
        <f t="shared" si="109"/>
        <v>1672.1286337121855</v>
      </c>
      <c r="BC68" s="12">
        <f t="shared" si="109"/>
        <v>2018.4295007576584</v>
      </c>
      <c r="BD68" s="12">
        <f t="shared" si="109"/>
        <v>2364.2406621211558</v>
      </c>
      <c r="BE68" s="12">
        <f t="shared" si="109"/>
        <v>2710.5415291666868</v>
      </c>
      <c r="BF68" s="12">
        <f t="shared" si="109"/>
        <v>3056.8423962121597</v>
      </c>
      <c r="BG68" s="12">
        <f t="shared" si="109"/>
        <v>3402.3844666665536</v>
      </c>
      <c r="BH68" s="12">
        <f t="shared" si="109"/>
        <v>3748.6853337122011</v>
      </c>
      <c r="BI68" s="12">
        <f t="shared" si="109"/>
        <v>4094.9862007576739</v>
      </c>
      <c r="BJ68" s="12">
        <f t="shared" si="109"/>
        <v>4440.7973621212877</v>
      </c>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M68"/>
      <c r="CO68"/>
      <c r="CP68"/>
      <c r="CQ68"/>
    </row>
    <row r="69" spans="2:105" ht="21.9" customHeight="1" x14ac:dyDescent="0.25">
      <c r="J69" s="12">
        <f>SUM(J68:AI68)</f>
        <v>422891.26999999961</v>
      </c>
      <c r="AK69" s="12">
        <f>SUM(AK68:BJ68)</f>
        <v>-47706.645490151117</v>
      </c>
    </row>
    <row r="70" spans="2:105" ht="21.9" customHeight="1" x14ac:dyDescent="0.25">
      <c r="I70" s="28" t="s">
        <v>719</v>
      </c>
      <c r="J70" s="12">
        <f>SUM(J7:J26)-SUM(J47:J66)</f>
        <v>520</v>
      </c>
      <c r="K70" s="12">
        <f t="shared" ref="K70:AI70" si="110">SUM(K7:K26)-SUM(K47:K66)</f>
        <v>-1154.3839999999764</v>
      </c>
      <c r="L70" s="12">
        <f t="shared" si="110"/>
        <v>-2629.6100000000006</v>
      </c>
      <c r="M70" s="12">
        <f t="shared" si="110"/>
        <v>-2129.2340000000113</v>
      </c>
      <c r="N70" s="12">
        <f t="shared" si="110"/>
        <v>-1631.17399999997</v>
      </c>
      <c r="O70" s="12">
        <f t="shared" si="110"/>
        <v>-1127.7739999999758</v>
      </c>
      <c r="P70" s="12">
        <f t="shared" si="110"/>
        <v>-627.3979999999865</v>
      </c>
      <c r="Q70" s="12">
        <f t="shared" si="110"/>
        <v>-127.36799999995856</v>
      </c>
      <c r="R70" s="12">
        <f t="shared" si="110"/>
        <v>4770.7580000000016</v>
      </c>
      <c r="S70" s="12">
        <f t="shared" si="110"/>
        <v>9667.4740000000165</v>
      </c>
      <c r="T70" s="12">
        <f t="shared" si="110"/>
        <v>14564.105999999971</v>
      </c>
      <c r="U70" s="12">
        <f t="shared" si="110"/>
        <v>19462.231999999931</v>
      </c>
      <c r="V70" s="12">
        <f t="shared" si="110"/>
        <v>24362.623999999982</v>
      </c>
      <c r="W70" s="12">
        <f t="shared" si="110"/>
        <v>27078.184000000008</v>
      </c>
      <c r="X70" s="12">
        <f t="shared" si="110"/>
        <v>27608.299999999959</v>
      </c>
      <c r="Y70" s="12">
        <f t="shared" si="110"/>
        <v>28139.41599999991</v>
      </c>
      <c r="Z70" s="12">
        <f t="shared" si="110"/>
        <v>28670.53199999989</v>
      </c>
      <c r="AA70" s="12">
        <f t="shared" si="110"/>
        <v>29201.34600000002</v>
      </c>
      <c r="AB70" s="12">
        <f t="shared" si="110"/>
        <v>29732.461999999883</v>
      </c>
      <c r="AC70" s="12">
        <f t="shared" si="110"/>
        <v>30263.375999999873</v>
      </c>
      <c r="AD70" s="12">
        <f t="shared" si="110"/>
        <v>30794.492000000144</v>
      </c>
      <c r="AE70" s="12">
        <f t="shared" si="110"/>
        <v>31325.607999999949</v>
      </c>
      <c r="AF70" s="12">
        <f t="shared" si="110"/>
        <v>31855.421999999962</v>
      </c>
      <c r="AG70" s="12">
        <f t="shared" si="110"/>
        <v>32386.538000000117</v>
      </c>
      <c r="AH70" s="12">
        <f t="shared" si="110"/>
        <v>32917.654000000039</v>
      </c>
      <c r="AI70" s="12">
        <f t="shared" si="110"/>
        <v>33448.567999999912</v>
      </c>
      <c r="AJ70" s="28" t="s">
        <v>719</v>
      </c>
      <c r="AK70" s="12">
        <f t="shared" ref="AK70:BJ70" si="111">SUM(AK7:AK26)-SUM(AK47:AK66)</f>
        <v>280.60000000000582</v>
      </c>
      <c r="AL70" s="12">
        <f t="shared" si="111"/>
        <v>-2420.4105329545418</v>
      </c>
      <c r="AM70" s="12">
        <f t="shared" si="111"/>
        <v>-5638.4363534091099</v>
      </c>
      <c r="AN70" s="12">
        <f t="shared" si="111"/>
        <v>-7654.2470878787863</v>
      </c>
      <c r="AO70" s="12">
        <f t="shared" si="111"/>
        <v>-9673.184898863663</v>
      </c>
      <c r="AP70" s="12">
        <f t="shared" si="111"/>
        <v>-11687.127651136398</v>
      </c>
      <c r="AQ70" s="12">
        <f t="shared" si="111"/>
        <v>-13702.938385606045</v>
      </c>
      <c r="AR70" s="12">
        <f t="shared" si="111"/>
        <v>-15721.19918484849</v>
      </c>
      <c r="AS70" s="12">
        <f t="shared" si="111"/>
        <v>-12398.995278409071</v>
      </c>
      <c r="AT70" s="12">
        <f t="shared" si="111"/>
        <v>-9077.6840371211292</v>
      </c>
      <c r="AU70" s="12">
        <f t="shared" si="111"/>
        <v>-5756.4230450757896</v>
      </c>
      <c r="AV70" s="12">
        <f t="shared" si="111"/>
        <v>-2434.2191386363702</v>
      </c>
      <c r="AW70" s="12">
        <f t="shared" si="111"/>
        <v>889.2465678032022</v>
      </c>
      <c r="AX70" s="12">
        <f t="shared" si="111"/>
        <v>2904.3979621210601</v>
      </c>
      <c r="AY70" s="12">
        <f t="shared" si="111"/>
        <v>3251.8849291666411</v>
      </c>
      <c r="AZ70" s="12">
        <f t="shared" si="111"/>
        <v>3599.6518962121336</v>
      </c>
      <c r="BA70" s="12">
        <f t="shared" si="111"/>
        <v>3947.4188632575679</v>
      </c>
      <c r="BB70" s="12">
        <f t="shared" si="111"/>
        <v>4294.6209337122273</v>
      </c>
      <c r="BC70" s="12">
        <f t="shared" si="111"/>
        <v>4642.3879007576616</v>
      </c>
      <c r="BD70" s="12">
        <f t="shared" si="111"/>
        <v>4989.9295621211641</v>
      </c>
      <c r="BE70" s="12">
        <f t="shared" si="111"/>
        <v>5337.6965291667148</v>
      </c>
      <c r="BF70" s="12">
        <f t="shared" si="111"/>
        <v>5685.463496212149</v>
      </c>
      <c r="BG70" s="12">
        <f t="shared" si="111"/>
        <v>6032.3855666666641</v>
      </c>
      <c r="BH70" s="12">
        <f t="shared" si="111"/>
        <v>6380.1525337121566</v>
      </c>
      <c r="BI70" s="12">
        <f t="shared" si="111"/>
        <v>6727.9195007577073</v>
      </c>
      <c r="BJ70" s="12">
        <f t="shared" si="111"/>
        <v>7075.4611621213262</v>
      </c>
      <c r="CI70" s="110">
        <f>(20642+413692)*365.25</f>
        <v>158640493.5</v>
      </c>
    </row>
    <row r="71" spans="2:105" ht="21.9" customHeight="1" x14ac:dyDescent="0.25">
      <c r="J71" s="12">
        <f>SUM(J70:AI70)</f>
        <v>457342.14999999967</v>
      </c>
      <c r="AK71" s="12">
        <f>SUM(AK70:BJ70)</f>
        <v>-30125.648190151012</v>
      </c>
      <c r="CI71" s="110">
        <f>(26916+459103)*365.25</f>
        <v>177518439.75</v>
      </c>
    </row>
    <row r="72" spans="2:105" ht="21.9" customHeight="1" x14ac:dyDescent="0.25">
      <c r="G72" s="1325" t="s">
        <v>315</v>
      </c>
      <c r="H72" s="12">
        <f>H7-H27</f>
        <v>0</v>
      </c>
    </row>
    <row r="73" spans="2:105" ht="21.9" customHeight="1" x14ac:dyDescent="0.25">
      <c r="G73" s="1327"/>
      <c r="H73" s="12">
        <f t="shared" ref="H73:H91" si="112">H8-H28</f>
        <v>0</v>
      </c>
      <c r="BH73" s="110">
        <f>13942000*365.25</f>
        <v>5092315500</v>
      </c>
      <c r="CI73" s="110">
        <f>318618*365.25</f>
        <v>116375224.5</v>
      </c>
    </row>
    <row r="74" spans="2:105" ht="21.9" customHeight="1" x14ac:dyDescent="0.25">
      <c r="G74" s="1327"/>
      <c r="H74" s="12">
        <f t="shared" si="112"/>
        <v>0</v>
      </c>
      <c r="BH74" s="110">
        <f>13485600*365.25</f>
        <v>4925615400</v>
      </c>
    </row>
    <row r="75" spans="2:105" ht="21.9" customHeight="1" x14ac:dyDescent="0.25">
      <c r="G75" s="1325" t="s">
        <v>274</v>
      </c>
      <c r="H75" s="12">
        <f t="shared" si="112"/>
        <v>0</v>
      </c>
      <c r="BH75" s="110">
        <f>13481000*365.25</f>
        <v>4923935250</v>
      </c>
    </row>
    <row r="76" spans="2:105" ht="21.9" customHeight="1" x14ac:dyDescent="0.25">
      <c r="G76" s="1327"/>
      <c r="H76" s="12">
        <f t="shared" si="112"/>
        <v>0</v>
      </c>
    </row>
    <row r="77" spans="2:105" ht="21.9" customHeight="1" x14ac:dyDescent="0.25">
      <c r="G77" s="1339"/>
      <c r="H77" s="12">
        <f t="shared" si="112"/>
        <v>0</v>
      </c>
    </row>
    <row r="78" spans="2:105" ht="21.9" customHeight="1" x14ac:dyDescent="0.25">
      <c r="G78" s="114" t="s">
        <v>320</v>
      </c>
      <c r="H78" s="12">
        <f t="shared" si="112"/>
        <v>0</v>
      </c>
    </row>
    <row r="79" spans="2:105" ht="21.9" customHeight="1" x14ac:dyDescent="0.25">
      <c r="G79" s="1325" t="s">
        <v>308</v>
      </c>
      <c r="H79" s="12">
        <f t="shared" si="112"/>
        <v>0</v>
      </c>
    </row>
    <row r="80" spans="2:105" ht="21.9" customHeight="1" x14ac:dyDescent="0.25">
      <c r="G80" s="1327"/>
      <c r="H80" s="12">
        <f t="shared" si="112"/>
        <v>0</v>
      </c>
    </row>
    <row r="81" spans="7:8" ht="21.9" customHeight="1" x14ac:dyDescent="0.25">
      <c r="G81" s="1327"/>
      <c r="H81" s="12">
        <f t="shared" si="112"/>
        <v>0</v>
      </c>
    </row>
    <row r="82" spans="7:8" ht="21.9" customHeight="1" x14ac:dyDescent="0.25">
      <c r="G82" s="1339"/>
      <c r="H82" s="12">
        <f t="shared" si="112"/>
        <v>0</v>
      </c>
    </row>
    <row r="83" spans="7:8" ht="21.9" customHeight="1" x14ac:dyDescent="0.25">
      <c r="G83" s="114" t="s">
        <v>282</v>
      </c>
      <c r="H83" s="12">
        <f t="shared" si="112"/>
        <v>0</v>
      </c>
    </row>
    <row r="84" spans="7:8" ht="21.9" customHeight="1" x14ac:dyDescent="0.25">
      <c r="G84" s="273" t="s">
        <v>321</v>
      </c>
      <c r="H84" s="12">
        <f t="shared" si="112"/>
        <v>0</v>
      </c>
    </row>
    <row r="85" spans="7:8" ht="21.9" customHeight="1" x14ac:dyDescent="0.25">
      <c r="G85" s="273" t="s">
        <v>333</v>
      </c>
      <c r="H85" s="12">
        <f t="shared" si="112"/>
        <v>0</v>
      </c>
    </row>
    <row r="86" spans="7:8" ht="21.9" customHeight="1" x14ac:dyDescent="0.25">
      <c r="G86" s="114" t="s">
        <v>319</v>
      </c>
      <c r="H86" s="12">
        <f t="shared" si="112"/>
        <v>0</v>
      </c>
    </row>
    <row r="87" spans="7:8" ht="21.9" customHeight="1" x14ac:dyDescent="0.25">
      <c r="G87" s="114"/>
      <c r="H87" s="12">
        <f t="shared" si="112"/>
        <v>0</v>
      </c>
    </row>
    <row r="88" spans="7:8" ht="21.9" customHeight="1" x14ac:dyDescent="0.25">
      <c r="G88" s="114"/>
      <c r="H88" s="12">
        <f t="shared" si="112"/>
        <v>0</v>
      </c>
    </row>
    <row r="89" spans="7:8" ht="21.9" customHeight="1" x14ac:dyDescent="0.25">
      <c r="G89" s="114"/>
      <c r="H89" s="12">
        <f t="shared" si="112"/>
        <v>0</v>
      </c>
    </row>
    <row r="90" spans="7:8" ht="21.9" customHeight="1" x14ac:dyDescent="0.25">
      <c r="G90" s="114"/>
      <c r="H90" s="12">
        <f t="shared" si="112"/>
        <v>0</v>
      </c>
    </row>
    <row r="91" spans="7:8" ht="21.9" customHeight="1" thickBot="1" x14ac:dyDescent="0.3">
      <c r="G91" s="274"/>
      <c r="H91" s="12">
        <f t="shared" si="112"/>
        <v>0</v>
      </c>
    </row>
  </sheetData>
  <mergeCells count="75">
    <mergeCell ref="CK61:CK66"/>
    <mergeCell ref="CL61:CL66"/>
    <mergeCell ref="CM61:CM66"/>
    <mergeCell ref="CN61:CN66"/>
    <mergeCell ref="CN54:CN57"/>
    <mergeCell ref="CK54:CK57"/>
    <mergeCell ref="CL54:CL57"/>
    <mergeCell ref="CM54:CM57"/>
    <mergeCell ref="CN47:CN49"/>
    <mergeCell ref="C50:C52"/>
    <mergeCell ref="CK50:CK52"/>
    <mergeCell ref="CL50:CL52"/>
    <mergeCell ref="CM50:CM52"/>
    <mergeCell ref="CN50:CN52"/>
    <mergeCell ref="C47:C49"/>
    <mergeCell ref="CK47:CK49"/>
    <mergeCell ref="CL47:CL49"/>
    <mergeCell ref="CM47:CM49"/>
    <mergeCell ref="CK41:CK46"/>
    <mergeCell ref="CL41:CL46"/>
    <mergeCell ref="CM41:CM46"/>
    <mergeCell ref="CN41:CN46"/>
    <mergeCell ref="CN34:CN37"/>
    <mergeCell ref="CK34:CK37"/>
    <mergeCell ref="CL34:CL37"/>
    <mergeCell ref="CM34:CM37"/>
    <mergeCell ref="CN27:CN29"/>
    <mergeCell ref="C30:C32"/>
    <mergeCell ref="CK30:CK32"/>
    <mergeCell ref="CL30:CL32"/>
    <mergeCell ref="CM30:CM32"/>
    <mergeCell ref="CN30:CN32"/>
    <mergeCell ref="C27:C29"/>
    <mergeCell ref="CK27:CK29"/>
    <mergeCell ref="CL27:CL29"/>
    <mergeCell ref="CM27:CM29"/>
    <mergeCell ref="CM21:CM26"/>
    <mergeCell ref="CN7:CN9"/>
    <mergeCell ref="CN10:CN12"/>
    <mergeCell ref="CN14:CN17"/>
    <mergeCell ref="CN21:CN26"/>
    <mergeCell ref="CK21:CK26"/>
    <mergeCell ref="CL7:CL9"/>
    <mergeCell ref="CL10:CL12"/>
    <mergeCell ref="CL14:CL17"/>
    <mergeCell ref="CL21:CL26"/>
    <mergeCell ref="CK7:CK9"/>
    <mergeCell ref="CK10:CK12"/>
    <mergeCell ref="CK14:CK17"/>
    <mergeCell ref="CM5:CM6"/>
    <mergeCell ref="CN5:CN6"/>
    <mergeCell ref="CM7:CM9"/>
    <mergeCell ref="CM10:CM12"/>
    <mergeCell ref="CM14:CM17"/>
    <mergeCell ref="J5:AI5"/>
    <mergeCell ref="AJ5:AJ6"/>
    <mergeCell ref="CK5:CK6"/>
    <mergeCell ref="CL5:CL6"/>
    <mergeCell ref="F5:F6"/>
    <mergeCell ref="AK5:BJ5"/>
    <mergeCell ref="BK5:CJ5"/>
    <mergeCell ref="I5:I6"/>
    <mergeCell ref="G75:G77"/>
    <mergeCell ref="G79:G82"/>
    <mergeCell ref="B5:B6"/>
    <mergeCell ref="H5:H6"/>
    <mergeCell ref="C5:C6"/>
    <mergeCell ref="D5:E5"/>
    <mergeCell ref="C34:C37"/>
    <mergeCell ref="C54:C57"/>
    <mergeCell ref="C7:C9"/>
    <mergeCell ref="C10:C12"/>
    <mergeCell ref="C14:C17"/>
    <mergeCell ref="G5:G6"/>
    <mergeCell ref="G72:G74"/>
  </mergeCells>
  <phoneticPr fontId="50" type="noConversion"/>
  <pageMargins left="0.7" right="0.7" top="0.75" bottom="0.75" header="0.3" footer="0.3"/>
  <pageSetup orientation="portrait" horizontalDpi="90" verticalDpi="90" r:id="rId1"/>
  <ignoredErrors>
    <ignoredError sqref="H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ECB1-CEA2-42AF-B5E9-9547D658E29D}">
  <sheetPr>
    <tabColor theme="4" tint="0.59999389629810485"/>
  </sheetPr>
  <dimension ref="A1:CK485"/>
  <sheetViews>
    <sheetView topLeftCell="M49" zoomScale="70" zoomScaleNormal="70" workbookViewId="0">
      <selection activeCell="AF90" sqref="AF90"/>
    </sheetView>
  </sheetViews>
  <sheetFormatPr defaultRowHeight="13.8" x14ac:dyDescent="0.25"/>
  <cols>
    <col min="1" max="1" width="21.5" bestFit="1" customWidth="1"/>
    <col min="2" max="2" width="7.69921875" bestFit="1" customWidth="1"/>
    <col min="3" max="3" width="13.19921875" bestFit="1" customWidth="1"/>
    <col min="4" max="4" width="14.59765625" bestFit="1" customWidth="1"/>
    <col min="5" max="5" width="11" bestFit="1" customWidth="1"/>
    <col min="6" max="6" width="13.3984375" bestFit="1" customWidth="1"/>
    <col min="8" max="8" width="11.5" bestFit="1" customWidth="1"/>
    <col min="10" max="10" width="10.59765625" bestFit="1" customWidth="1"/>
    <col min="11" max="11" width="10.8984375" bestFit="1" customWidth="1"/>
    <col min="12" max="12" width="8.8984375" bestFit="1" customWidth="1"/>
    <col min="13" max="13" width="10.5" bestFit="1" customWidth="1"/>
    <col min="14" max="14" width="11.5" bestFit="1" customWidth="1"/>
    <col min="15" max="15" width="9.19921875" bestFit="1" customWidth="1"/>
    <col min="16" max="16" width="10.8984375" bestFit="1" customWidth="1"/>
    <col min="18" max="18" width="18.69921875" bestFit="1" customWidth="1"/>
    <col min="19" max="19" width="16.5" bestFit="1" customWidth="1"/>
    <col min="20" max="20" width="20.09765625" bestFit="1" customWidth="1"/>
    <col min="51" max="51" width="12" bestFit="1" customWidth="1"/>
  </cols>
  <sheetData>
    <row r="1" spans="1:89" ht="15" customHeight="1" x14ac:dyDescent="0.3">
      <c r="A1" s="1417" t="s">
        <v>596</v>
      </c>
      <c r="B1" s="1418"/>
      <c r="C1" s="1110"/>
      <c r="D1" s="1110"/>
      <c r="E1" s="1419" t="s">
        <v>597</v>
      </c>
      <c r="F1" s="1419"/>
      <c r="G1" s="1419"/>
      <c r="H1" s="1110"/>
      <c r="I1" s="1110"/>
      <c r="J1" s="1110"/>
      <c r="K1" s="1110"/>
      <c r="L1" s="1110"/>
      <c r="M1" s="1110"/>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c r="AL1" s="1110"/>
      <c r="AM1" s="1110"/>
      <c r="AN1" s="1110"/>
      <c r="AO1" s="1110"/>
      <c r="AP1" s="1110"/>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N1" s="1110"/>
      <c r="BO1" s="1110"/>
      <c r="BP1" s="1110"/>
      <c r="BQ1" s="1110"/>
      <c r="BR1" s="1110"/>
      <c r="BS1" s="1110"/>
      <c r="BT1" s="1110"/>
      <c r="BU1" s="1110"/>
      <c r="BV1" s="1110"/>
      <c r="BW1" s="1110"/>
      <c r="BX1" s="1110"/>
      <c r="BY1" s="1110"/>
      <c r="BZ1" s="1110"/>
      <c r="CA1" s="1110"/>
      <c r="CB1" s="1110"/>
      <c r="CC1" s="1110"/>
      <c r="CD1" s="1110"/>
      <c r="CE1" s="1110"/>
      <c r="CF1" s="1110"/>
      <c r="CG1" s="1110"/>
      <c r="CH1" s="1110"/>
      <c r="CI1" s="1110"/>
      <c r="CJ1" s="1110"/>
      <c r="CK1" s="1110"/>
    </row>
    <row r="2" spans="1:89" ht="14.4" x14ac:dyDescent="0.3">
      <c r="A2" s="1175" t="s">
        <v>598</v>
      </c>
      <c r="B2" s="1157">
        <v>0.1</v>
      </c>
      <c r="C2" s="1110"/>
      <c r="D2" s="1110"/>
      <c r="E2" s="1419"/>
      <c r="F2" s="1419"/>
      <c r="G2" s="1419"/>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1110"/>
      <c r="AZ2" s="1110"/>
      <c r="BA2" s="1110"/>
      <c r="BB2" s="1110"/>
      <c r="BC2" s="1110"/>
      <c r="BD2" s="1110"/>
      <c r="BE2" s="1110"/>
      <c r="BF2" s="1110"/>
      <c r="BG2" s="1110"/>
      <c r="BH2" s="1110"/>
      <c r="BI2" s="1110"/>
      <c r="BJ2" s="1110"/>
      <c r="BK2" s="1110"/>
      <c r="BL2" s="1110"/>
      <c r="BM2" s="1110"/>
      <c r="BN2" s="1110"/>
      <c r="BO2" s="1110"/>
      <c r="BP2" s="1110"/>
      <c r="BQ2" s="1110"/>
      <c r="BR2" s="1110"/>
      <c r="BS2" s="1110"/>
      <c r="BT2" s="1110"/>
      <c r="BU2" s="1110"/>
      <c r="BV2" s="1110"/>
      <c r="BW2" s="1110"/>
      <c r="BX2" s="1110"/>
      <c r="BY2" s="1110"/>
      <c r="BZ2" s="1110"/>
      <c r="CA2" s="1110"/>
      <c r="CB2" s="1110"/>
      <c r="CC2" s="1110"/>
      <c r="CD2" s="1110"/>
      <c r="CE2" s="1110"/>
      <c r="CF2" s="1110"/>
      <c r="CG2" s="1110"/>
      <c r="CH2" s="1110"/>
      <c r="CI2" s="1110"/>
      <c r="CJ2" s="1110"/>
      <c r="CK2" s="1110"/>
    </row>
    <row r="3" spans="1:89" ht="14.4" x14ac:dyDescent="0.3">
      <c r="A3" s="1175" t="s">
        <v>599</v>
      </c>
      <c r="B3" s="1157">
        <v>1E-3</v>
      </c>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f>AD7*2</f>
        <v>10704</v>
      </c>
      <c r="AE3" s="1110"/>
      <c r="AF3" s="1110"/>
      <c r="AG3" s="1110">
        <f>AG8*2</f>
        <v>5608</v>
      </c>
      <c r="AH3" s="1110"/>
      <c r="AI3" s="1110"/>
      <c r="AJ3" s="1110"/>
      <c r="AK3" s="1110"/>
      <c r="AL3" s="1110"/>
      <c r="AM3" s="1110"/>
      <c r="AN3" s="1110"/>
      <c r="AO3" s="1110"/>
      <c r="AP3" s="1110"/>
      <c r="AQ3" s="1110"/>
      <c r="AR3" s="1110"/>
      <c r="AS3" s="1110"/>
      <c r="AT3" s="1110"/>
      <c r="AU3" s="1110"/>
      <c r="AV3" s="1110"/>
      <c r="AW3" s="1110"/>
      <c r="AX3" s="1110"/>
      <c r="AY3" s="1110"/>
      <c r="AZ3" s="1110"/>
      <c r="BA3" s="1110"/>
      <c r="BB3" s="1110"/>
      <c r="BC3" s="1110"/>
      <c r="BD3" s="1110"/>
      <c r="BE3" s="1110"/>
      <c r="BF3" s="1110"/>
      <c r="BG3" s="1110"/>
      <c r="BH3" s="1110"/>
      <c r="BI3" s="1110"/>
      <c r="BJ3" s="1110"/>
      <c r="BK3" s="1110"/>
      <c r="BL3" s="1110"/>
      <c r="BM3" s="1110"/>
      <c r="BN3" s="1110"/>
      <c r="BO3" s="1110"/>
      <c r="BP3" s="1110"/>
      <c r="BQ3" s="1110"/>
      <c r="BR3" s="1110"/>
      <c r="BS3" s="1110"/>
      <c r="BT3" s="1110"/>
      <c r="BU3" s="1110"/>
      <c r="BV3" s="1110"/>
      <c r="BW3" s="1110"/>
      <c r="BX3" s="1110"/>
      <c r="BY3" s="1110"/>
      <c r="BZ3" s="1110"/>
      <c r="CA3" s="1110"/>
      <c r="CB3" s="1110"/>
      <c r="CC3" s="1110"/>
      <c r="CD3" s="1110"/>
      <c r="CE3" s="1110"/>
      <c r="CF3" s="1110"/>
      <c r="CG3" s="1110"/>
      <c r="CH3" s="1110"/>
      <c r="CI3" s="1110"/>
      <c r="CJ3" s="1110"/>
      <c r="CK3" s="1110"/>
    </row>
    <row r="4" spans="1:89" ht="14.4" x14ac:dyDescent="0.3">
      <c r="A4" s="1110"/>
      <c r="B4" s="1110"/>
      <c r="C4" s="1110"/>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c r="BS4" s="1110"/>
      <c r="BT4" s="1110"/>
      <c r="BU4" s="1110"/>
      <c r="BV4" s="1110"/>
      <c r="BW4" s="1110"/>
      <c r="BX4" s="1110"/>
      <c r="BY4" s="1110"/>
      <c r="BZ4" s="1110"/>
      <c r="CA4" s="1110"/>
      <c r="CB4" s="1110"/>
      <c r="CC4" s="1110"/>
      <c r="CD4" s="1110"/>
      <c r="CE4" s="1110"/>
      <c r="CF4" s="1110"/>
      <c r="CG4" s="1110"/>
      <c r="CH4" s="1110"/>
      <c r="CI4" s="1110"/>
      <c r="CJ4" s="1110"/>
      <c r="CK4" s="1110"/>
    </row>
    <row r="5" spans="1:89" ht="14.4" x14ac:dyDescent="0.3">
      <c r="A5" s="1110"/>
      <c r="B5" s="1160" t="s">
        <v>600</v>
      </c>
      <c r="C5" s="1160" t="s">
        <v>601</v>
      </c>
      <c r="D5" s="1160" t="s">
        <v>602</v>
      </c>
      <c r="E5" s="1160" t="s">
        <v>603</v>
      </c>
      <c r="F5" s="1160" t="s">
        <v>604</v>
      </c>
      <c r="G5" s="1160" t="s">
        <v>605</v>
      </c>
      <c r="H5" s="1160" t="s">
        <v>606</v>
      </c>
      <c r="I5" s="1160" t="s">
        <v>607</v>
      </c>
      <c r="J5" s="1160" t="s">
        <v>608</v>
      </c>
      <c r="K5" s="1160" t="s">
        <v>609</v>
      </c>
      <c r="L5" s="1160" t="s">
        <v>610</v>
      </c>
      <c r="M5" s="1160" t="s">
        <v>611</v>
      </c>
      <c r="N5" s="1160" t="s">
        <v>612</v>
      </c>
      <c r="O5" s="1160" t="s">
        <v>613</v>
      </c>
      <c r="P5" s="1160" t="s">
        <v>614</v>
      </c>
      <c r="Q5" s="1110"/>
      <c r="R5" s="1163" t="s">
        <v>615</v>
      </c>
      <c r="S5" s="1163" t="s">
        <v>616</v>
      </c>
      <c r="T5" s="1163" t="s">
        <v>617</v>
      </c>
      <c r="U5" s="1110"/>
      <c r="V5" s="1110"/>
      <c r="W5" s="1165">
        <v>2023</v>
      </c>
      <c r="X5" s="1165">
        <v>2024</v>
      </c>
      <c r="Y5" s="1165">
        <v>2025</v>
      </c>
      <c r="Z5" s="1165">
        <v>2026</v>
      </c>
      <c r="AA5" s="1165">
        <v>2027</v>
      </c>
      <c r="AB5" s="1165">
        <v>2028</v>
      </c>
      <c r="AC5" s="1165">
        <v>2029</v>
      </c>
      <c r="AD5" s="1165">
        <v>2030</v>
      </c>
      <c r="AE5" s="1165">
        <v>2031</v>
      </c>
      <c r="AF5" s="1165">
        <v>2032</v>
      </c>
      <c r="AG5" s="1165">
        <v>2033</v>
      </c>
      <c r="AH5" s="1165">
        <v>2034</v>
      </c>
      <c r="AI5" s="1165">
        <v>2035</v>
      </c>
      <c r="AJ5" s="1165">
        <v>2036</v>
      </c>
      <c r="AK5" s="1165">
        <v>2037</v>
      </c>
      <c r="AL5" s="1165">
        <v>2038</v>
      </c>
      <c r="AM5" s="1165">
        <v>2039</v>
      </c>
      <c r="AN5" s="1165">
        <v>2040</v>
      </c>
      <c r="AO5" s="1165">
        <v>2041</v>
      </c>
      <c r="AP5" s="1165">
        <v>2042</v>
      </c>
      <c r="AQ5" s="1165">
        <v>2043</v>
      </c>
      <c r="AR5" s="1165">
        <v>2044</v>
      </c>
      <c r="AS5" s="1165">
        <v>2045</v>
      </c>
      <c r="AT5" s="1165">
        <v>2046</v>
      </c>
      <c r="AU5" s="1165">
        <v>2047</v>
      </c>
      <c r="AV5" s="1165">
        <v>2048</v>
      </c>
      <c r="AW5" s="1111"/>
      <c r="AX5" s="1111"/>
      <c r="AY5" s="1111"/>
      <c r="AZ5" s="1111"/>
      <c r="BA5" s="1111"/>
      <c r="BB5" s="1111"/>
      <c r="BC5" s="1111"/>
      <c r="BD5" s="1111"/>
      <c r="BE5" s="1111"/>
      <c r="BF5" s="1111"/>
      <c r="BG5" s="1111"/>
      <c r="BH5" s="1111"/>
      <c r="BI5" s="1111"/>
      <c r="BJ5" s="1111"/>
      <c r="BK5" s="1111"/>
      <c r="BL5" s="1111"/>
      <c r="BM5" s="1111"/>
      <c r="BN5" s="1111"/>
      <c r="BO5" s="1111"/>
      <c r="BP5" s="1111"/>
      <c r="BQ5" s="1111"/>
      <c r="BR5" s="1111"/>
      <c r="BS5" s="1111"/>
      <c r="BT5" s="1111"/>
      <c r="BU5" s="1111"/>
      <c r="BV5" s="1111"/>
      <c r="BW5" s="1111"/>
      <c r="BX5" s="1111"/>
      <c r="BY5" s="1111"/>
      <c r="BZ5" s="1111"/>
      <c r="CA5" s="1111"/>
      <c r="CB5" s="1111"/>
      <c r="CC5" s="1111"/>
      <c r="CD5" s="1111"/>
      <c r="CE5" s="1111"/>
      <c r="CF5" s="1111"/>
      <c r="CG5" s="1111"/>
      <c r="CH5" s="1111"/>
      <c r="CI5" s="1111"/>
      <c r="CJ5" s="1176"/>
      <c r="CK5" s="1110"/>
    </row>
    <row r="6" spans="1:89" ht="14.4" x14ac:dyDescent="0.3">
      <c r="A6" s="1110"/>
      <c r="B6" s="1161">
        <v>1</v>
      </c>
      <c r="C6" s="1157">
        <v>700</v>
      </c>
      <c r="D6" s="1158">
        <f>C6*43560</f>
        <v>30492000</v>
      </c>
      <c r="E6" s="1158">
        <f>D6*$B$2</f>
        <v>3049200</v>
      </c>
      <c r="F6" s="1158">
        <f>E6*$B$3</f>
        <v>3049.2000000000003</v>
      </c>
      <c r="G6" s="1158">
        <f>ROUNDUP(2.34*F6,0)</f>
        <v>7136</v>
      </c>
      <c r="H6" s="1158">
        <f>ROUNDUP($K$29*F6,0)</f>
        <v>1031</v>
      </c>
      <c r="I6" s="1157">
        <f>ROUNDUP($L$29*H6,0)</f>
        <v>726</v>
      </c>
      <c r="J6" s="1158">
        <f>H6-I6</f>
        <v>305</v>
      </c>
      <c r="K6" s="1158">
        <f>ROUNDUP($O$29*F6,0)</f>
        <v>1014</v>
      </c>
      <c r="L6" s="1157">
        <f>ROUNDUP($P$29*K6,0)</f>
        <v>338</v>
      </c>
      <c r="M6" s="1158">
        <f>K6-L6</f>
        <v>676</v>
      </c>
      <c r="N6" s="1158">
        <f>G6-H6-K6</f>
        <v>5091</v>
      </c>
      <c r="O6" s="1158">
        <f>ROUNDUP((0.5*G6)-I6-L6,0)</f>
        <v>2504</v>
      </c>
      <c r="P6" s="1158">
        <f>N6-O6</f>
        <v>2587</v>
      </c>
      <c r="Q6" s="1110"/>
      <c r="R6" s="1163">
        <v>2024</v>
      </c>
      <c r="S6" s="1163">
        <v>2027</v>
      </c>
      <c r="T6" s="1163">
        <v>2030</v>
      </c>
      <c r="U6" s="1110"/>
      <c r="V6" s="1110"/>
      <c r="W6" s="1111">
        <v>0</v>
      </c>
      <c r="X6" s="1111">
        <v>0</v>
      </c>
      <c r="Y6" s="1167">
        <f>ROUND((((1)/($S$6-$R$6))*0.5*$G$6),0)</f>
        <v>1189</v>
      </c>
      <c r="Z6" s="1167">
        <f>ROUND((((1)/($S$6-$R$6))*0.5*$G$6),0)+Y6</f>
        <v>2378</v>
      </c>
      <c r="AA6" s="1167">
        <f>ROUND((((1)/($S$6-$R$6))*0.5*$G$6),0)+1+Z6</f>
        <v>3568</v>
      </c>
      <c r="AB6" s="1167">
        <f>ROUND((((1)/($T$6-$S$6))*0.5*$G$6),0)+AA6</f>
        <v>4757</v>
      </c>
      <c r="AC6" s="1167">
        <f>ROUND((((1)/($T$6-$S$6))*0.5*$G$6),0)+AB6</f>
        <v>5946</v>
      </c>
      <c r="AD6" s="1167">
        <f>ROUND((((1)/($T$6-$S$6))*0.5*$G$6),0)+1+AC6</f>
        <v>7136</v>
      </c>
      <c r="AE6" s="1168">
        <f>AD6</f>
        <v>7136</v>
      </c>
      <c r="AF6" s="1167">
        <v>7136</v>
      </c>
      <c r="AG6" s="1167">
        <v>7136</v>
      </c>
      <c r="AH6" s="1167">
        <v>7136</v>
      </c>
      <c r="AI6" s="1167">
        <v>7136</v>
      </c>
      <c r="AJ6" s="1167">
        <v>7136</v>
      </c>
      <c r="AK6" s="1167">
        <v>7136</v>
      </c>
      <c r="AL6" s="1167">
        <v>7136</v>
      </c>
      <c r="AM6" s="1167">
        <v>7136</v>
      </c>
      <c r="AN6" s="1167">
        <v>7136</v>
      </c>
      <c r="AO6" s="1167">
        <v>7136</v>
      </c>
      <c r="AP6" s="1167">
        <v>7136</v>
      </c>
      <c r="AQ6" s="1167">
        <v>7136</v>
      </c>
      <c r="AR6" s="1167">
        <v>7136</v>
      </c>
      <c r="AS6" s="1167">
        <v>7136</v>
      </c>
      <c r="AT6" s="1167">
        <v>7136</v>
      </c>
      <c r="AU6" s="1167">
        <v>7136</v>
      </c>
      <c r="AV6" s="1167">
        <v>7136</v>
      </c>
      <c r="AW6" s="1111"/>
      <c r="AX6" s="1111"/>
      <c r="AY6" s="1111"/>
      <c r="AZ6" s="1111"/>
      <c r="BA6" s="1111"/>
      <c r="BB6" s="1111"/>
      <c r="BC6" s="1111"/>
      <c r="BD6" s="1111"/>
      <c r="BE6" s="1111"/>
      <c r="BF6" s="1111"/>
      <c r="BG6" s="1111"/>
      <c r="BH6" s="1111"/>
      <c r="BI6" s="1111"/>
      <c r="BJ6" s="1111"/>
      <c r="BK6" s="1111"/>
      <c r="BL6" s="1111"/>
      <c r="BM6" s="1111"/>
      <c r="BN6" s="1111"/>
      <c r="BO6" s="1111"/>
      <c r="BP6" s="1111"/>
      <c r="BQ6" s="1111"/>
      <c r="BR6" s="1111"/>
      <c r="BS6" s="1111"/>
      <c r="BT6" s="1111"/>
      <c r="BU6" s="1111"/>
      <c r="BV6" s="1111"/>
      <c r="BW6" s="1111"/>
      <c r="BX6" s="1111"/>
      <c r="BY6" s="1111"/>
      <c r="BZ6" s="1111"/>
      <c r="CA6" s="1111"/>
      <c r="CB6" s="1111"/>
      <c r="CC6" s="1111"/>
      <c r="CD6" s="1111"/>
      <c r="CE6" s="1111"/>
      <c r="CF6" s="1111"/>
      <c r="CG6" s="1111"/>
      <c r="CH6" s="1111"/>
      <c r="CI6" s="1111"/>
      <c r="CJ6" s="1176"/>
      <c r="CK6" s="1110"/>
    </row>
    <row r="7" spans="1:89" ht="14.4" x14ac:dyDescent="0.3">
      <c r="A7" s="1110"/>
      <c r="B7" s="1161">
        <v>2</v>
      </c>
      <c r="C7" s="1159">
        <v>1050</v>
      </c>
      <c r="D7" s="1158">
        <f t="shared" ref="D7:D13" si="0">C7*43560</f>
        <v>45738000</v>
      </c>
      <c r="E7" s="1158">
        <f t="shared" ref="E7:E13" si="1">D7*$B$2</f>
        <v>4573800</v>
      </c>
      <c r="F7" s="1158">
        <f t="shared" ref="F7:F13" si="2">E7*$B$3</f>
        <v>4573.8</v>
      </c>
      <c r="G7" s="1158">
        <f>ROUNDUP(2.34*F7,0)+1</f>
        <v>10704</v>
      </c>
      <c r="H7" s="1158">
        <f t="shared" ref="H7:H13" si="3">ROUNDUP($K$29*F7,0)</f>
        <v>1546</v>
      </c>
      <c r="I7" s="1157">
        <f t="shared" ref="I7:I13" si="4">ROUNDUP($L$29*H7,0)</f>
        <v>1088</v>
      </c>
      <c r="J7" s="1158">
        <f t="shared" ref="J7:J13" si="5">H7-I7</f>
        <v>458</v>
      </c>
      <c r="K7" s="1158">
        <f t="shared" ref="K7:K13" si="6">ROUNDUP($O$29*F7,0)</f>
        <v>1521</v>
      </c>
      <c r="L7" s="1157">
        <f t="shared" ref="L7:L13" si="7">ROUNDUP($P$29*K7,0)</f>
        <v>506</v>
      </c>
      <c r="M7" s="1158">
        <f t="shared" ref="M7:M13" si="8">K7-L7</f>
        <v>1015</v>
      </c>
      <c r="N7" s="1158">
        <f t="shared" ref="N7:N13" si="9">G7-H7-K7</f>
        <v>7637</v>
      </c>
      <c r="O7" s="1158">
        <f>ROUNDUP(0.5*N7,0)</f>
        <v>3819</v>
      </c>
      <c r="P7" s="1158">
        <f t="shared" ref="P7:P13" si="10">N7-O7</f>
        <v>3818</v>
      </c>
      <c r="Q7" s="1110"/>
      <c r="R7" s="1163">
        <v>2025</v>
      </c>
      <c r="S7" s="1163">
        <v>2030</v>
      </c>
      <c r="T7" s="1163">
        <v>2035</v>
      </c>
      <c r="U7" s="1110"/>
      <c r="V7" s="1110"/>
      <c r="W7" s="1111">
        <v>0</v>
      </c>
      <c r="X7" s="1111">
        <v>0</v>
      </c>
      <c r="Y7" s="1111">
        <v>0</v>
      </c>
      <c r="Z7" s="1167">
        <f>ROUND((((1)/($S$7-$R$7))*0.5*$G$7),0)+Y7</f>
        <v>1070</v>
      </c>
      <c r="AA7" s="1167">
        <f>ROUND((((1)/($S$7-$R$7))*0.5*$G$7),0)+Z7</f>
        <v>2140</v>
      </c>
      <c r="AB7" s="1167">
        <f>ROUND((((1)/($S$7-$R$7))*0.5*$G$7),0)+AA7+1</f>
        <v>3211</v>
      </c>
      <c r="AC7" s="1167">
        <f t="shared" ref="AC7:AF7" si="11">ROUND((((1)/($S$7-$R$7))*0.5*$G$7),0)+AB7</f>
        <v>4281</v>
      </c>
      <c r="AD7" s="1167">
        <f>ROUND((((1)/($S$7-$R$7))*0.5*$G$7),0)+AC7+1</f>
        <v>5352</v>
      </c>
      <c r="AE7" s="1167">
        <f t="shared" si="11"/>
        <v>6422</v>
      </c>
      <c r="AF7" s="1167">
        <f t="shared" si="11"/>
        <v>7492</v>
      </c>
      <c r="AG7" s="1167">
        <f>ROUND((((1)/($S$7-$R$7))*0.5*$G$7),0)+AF7+1</f>
        <v>8563</v>
      </c>
      <c r="AH7" s="1167">
        <f>ROUND((((1)/($S$7-$R$7))*0.5*$G$7),0)+AG7</f>
        <v>9633</v>
      </c>
      <c r="AI7" s="1167">
        <f t="shared" ref="AI7" si="12">ROUND((((1)/($S$7-$R$7))*0.5*$G$7),0)+AH7+1</f>
        <v>10704</v>
      </c>
      <c r="AJ7" s="1167">
        <f>AI7</f>
        <v>10704</v>
      </c>
      <c r="AK7" s="1167">
        <f t="shared" ref="AK7:AV7" si="13">AJ7</f>
        <v>10704</v>
      </c>
      <c r="AL7" s="1167">
        <f t="shared" si="13"/>
        <v>10704</v>
      </c>
      <c r="AM7" s="1167">
        <f t="shared" si="13"/>
        <v>10704</v>
      </c>
      <c r="AN7" s="1167">
        <f t="shared" si="13"/>
        <v>10704</v>
      </c>
      <c r="AO7" s="1167">
        <f t="shared" si="13"/>
        <v>10704</v>
      </c>
      <c r="AP7" s="1167">
        <f t="shared" si="13"/>
        <v>10704</v>
      </c>
      <c r="AQ7" s="1167">
        <f t="shared" si="13"/>
        <v>10704</v>
      </c>
      <c r="AR7" s="1167">
        <f t="shared" si="13"/>
        <v>10704</v>
      </c>
      <c r="AS7" s="1167">
        <f t="shared" si="13"/>
        <v>10704</v>
      </c>
      <c r="AT7" s="1167">
        <f t="shared" si="13"/>
        <v>10704</v>
      </c>
      <c r="AU7" s="1167">
        <f t="shared" si="13"/>
        <v>10704</v>
      </c>
      <c r="AV7" s="1167">
        <f t="shared" si="13"/>
        <v>10704</v>
      </c>
      <c r="AW7" s="1111"/>
      <c r="AX7" s="1111"/>
      <c r="AY7" s="1111"/>
      <c r="AZ7" s="1111"/>
      <c r="BA7" s="1111"/>
      <c r="BB7" s="1111"/>
      <c r="BC7" s="1111"/>
      <c r="BD7" s="1111"/>
      <c r="BE7" s="1111"/>
      <c r="BF7" s="1111"/>
      <c r="BG7" s="1111"/>
      <c r="BH7" s="1111"/>
      <c r="BI7" s="1111"/>
      <c r="BJ7" s="1111"/>
      <c r="BK7" s="1111"/>
      <c r="BL7" s="1111"/>
      <c r="BM7" s="1111"/>
      <c r="BN7" s="1111"/>
      <c r="BO7" s="1111"/>
      <c r="BP7" s="1111"/>
      <c r="BQ7" s="1111"/>
      <c r="BR7" s="1111"/>
      <c r="BS7" s="1111"/>
      <c r="BT7" s="1111"/>
      <c r="BU7" s="1111"/>
      <c r="BV7" s="1111"/>
      <c r="BW7" s="1111"/>
      <c r="BX7" s="1111"/>
      <c r="BY7" s="1111"/>
      <c r="BZ7" s="1111"/>
      <c r="CA7" s="1111"/>
      <c r="CB7" s="1111"/>
      <c r="CC7" s="1111"/>
      <c r="CD7" s="1111"/>
      <c r="CE7" s="1111"/>
      <c r="CF7" s="1111"/>
      <c r="CG7" s="1111"/>
      <c r="CH7" s="1111"/>
      <c r="CI7" s="1111"/>
      <c r="CJ7" s="1176"/>
      <c r="CK7" s="1110"/>
    </row>
    <row r="8" spans="1:89" ht="14.4" x14ac:dyDescent="0.3">
      <c r="A8" s="1110"/>
      <c r="B8" s="1161">
        <v>3</v>
      </c>
      <c r="C8" s="1157">
        <v>550</v>
      </c>
      <c r="D8" s="1158">
        <f t="shared" si="0"/>
        <v>23958000</v>
      </c>
      <c r="E8" s="1158">
        <f t="shared" si="1"/>
        <v>2395800</v>
      </c>
      <c r="F8" s="1158">
        <f t="shared" si="2"/>
        <v>2395.8000000000002</v>
      </c>
      <c r="G8" s="1158">
        <f t="shared" ref="G8:G13" si="14">ROUNDUP(2.34*F8,0)+1</f>
        <v>5608</v>
      </c>
      <c r="H8" s="1158">
        <f t="shared" si="3"/>
        <v>810</v>
      </c>
      <c r="I8" s="1157">
        <f t="shared" si="4"/>
        <v>570</v>
      </c>
      <c r="J8" s="1158">
        <f t="shared" si="5"/>
        <v>240</v>
      </c>
      <c r="K8" s="1158">
        <f t="shared" si="6"/>
        <v>797</v>
      </c>
      <c r="L8" s="1157">
        <f t="shared" si="7"/>
        <v>266</v>
      </c>
      <c r="M8" s="1158">
        <f t="shared" si="8"/>
        <v>531</v>
      </c>
      <c r="N8" s="1158">
        <f t="shared" si="9"/>
        <v>4001</v>
      </c>
      <c r="O8" s="1158">
        <f t="shared" ref="O8:O13" si="15">ROUNDUP(0.5*N8,0)</f>
        <v>2001</v>
      </c>
      <c r="P8" s="1158">
        <f t="shared" si="10"/>
        <v>2000</v>
      </c>
      <c r="Q8" s="1110"/>
      <c r="R8" s="1163">
        <v>2030</v>
      </c>
      <c r="S8" s="1163">
        <v>2033</v>
      </c>
      <c r="T8" s="1163">
        <v>2036</v>
      </c>
      <c r="U8" s="1110"/>
      <c r="V8" s="1110"/>
      <c r="W8" s="1111">
        <v>0</v>
      </c>
      <c r="X8" s="1111">
        <v>0</v>
      </c>
      <c r="Y8" s="1111">
        <v>0</v>
      </c>
      <c r="Z8" s="1111">
        <v>0</v>
      </c>
      <c r="AA8" s="1111">
        <v>0</v>
      </c>
      <c r="AB8" s="1111">
        <v>0</v>
      </c>
      <c r="AC8" s="1111">
        <v>0</v>
      </c>
      <c r="AD8" s="1111">
        <v>0</v>
      </c>
      <c r="AE8" s="1111">
        <f>ROUND((((1)/($S$8-$R$8))*0.5*$G$8),0)</f>
        <v>935</v>
      </c>
      <c r="AF8" s="1111">
        <f>ROUND((((1)/($S$8-$R$8))*0.5*$G$8),0)+AE8</f>
        <v>1870</v>
      </c>
      <c r="AG8" s="1111">
        <f>ROUND((((1)/($S$8-$R$8))*0.5*$G$8),0)+AF8-1</f>
        <v>2804</v>
      </c>
      <c r="AH8" s="1111">
        <f t="shared" ref="AH8:AI8" si="16">ROUND((((1)/($S$8-$R$8))*0.5*$G$8),0)+AG8</f>
        <v>3739</v>
      </c>
      <c r="AI8" s="1111">
        <f t="shared" si="16"/>
        <v>4674</v>
      </c>
      <c r="AJ8" s="1111">
        <f>ROUND((((1)/($S$8-$R$8))*0.5*$G$8),0)+AI8-1</f>
        <v>5608</v>
      </c>
      <c r="AK8" s="1111">
        <f>AJ8</f>
        <v>5608</v>
      </c>
      <c r="AL8" s="1111">
        <f t="shared" ref="AL8:AV8" si="17">AK8</f>
        <v>5608</v>
      </c>
      <c r="AM8" s="1111">
        <f t="shared" si="17"/>
        <v>5608</v>
      </c>
      <c r="AN8" s="1111">
        <f t="shared" si="17"/>
        <v>5608</v>
      </c>
      <c r="AO8" s="1111">
        <f t="shared" si="17"/>
        <v>5608</v>
      </c>
      <c r="AP8" s="1111">
        <f t="shared" si="17"/>
        <v>5608</v>
      </c>
      <c r="AQ8" s="1111">
        <f t="shared" si="17"/>
        <v>5608</v>
      </c>
      <c r="AR8" s="1111">
        <f t="shared" si="17"/>
        <v>5608</v>
      </c>
      <c r="AS8" s="1111">
        <f t="shared" si="17"/>
        <v>5608</v>
      </c>
      <c r="AT8" s="1111">
        <f t="shared" si="17"/>
        <v>5608</v>
      </c>
      <c r="AU8" s="1111">
        <f t="shared" si="17"/>
        <v>5608</v>
      </c>
      <c r="AV8" s="1111">
        <f t="shared" si="17"/>
        <v>5608</v>
      </c>
      <c r="AW8" s="1111"/>
      <c r="AX8" s="1111"/>
      <c r="AY8" s="1111"/>
      <c r="AZ8" s="1111"/>
      <c r="BA8" s="1111"/>
      <c r="BB8" s="1111"/>
      <c r="BC8" s="1111"/>
      <c r="BD8" s="1111"/>
      <c r="BE8" s="1111"/>
      <c r="BF8" s="1111"/>
      <c r="BG8" s="1111"/>
      <c r="BH8" s="1111"/>
      <c r="BI8" s="1111"/>
      <c r="BJ8" s="1111"/>
      <c r="BK8" s="1111"/>
      <c r="BL8" s="1111"/>
      <c r="BM8" s="1111"/>
      <c r="BN8" s="1111"/>
      <c r="BO8" s="1111"/>
      <c r="BP8" s="1111"/>
      <c r="BQ8" s="1111"/>
      <c r="BR8" s="1111"/>
      <c r="BS8" s="1111"/>
      <c r="BT8" s="1111"/>
      <c r="BU8" s="1111"/>
      <c r="BV8" s="1111"/>
      <c r="BW8" s="1111"/>
      <c r="BX8" s="1111"/>
      <c r="BY8" s="1111"/>
      <c r="BZ8" s="1111"/>
      <c r="CA8" s="1111"/>
      <c r="CB8" s="1111"/>
      <c r="CC8" s="1111"/>
      <c r="CD8" s="1111"/>
      <c r="CE8" s="1111"/>
      <c r="CF8" s="1111"/>
      <c r="CG8" s="1111"/>
      <c r="CH8" s="1111"/>
      <c r="CI8" s="1111"/>
      <c r="CJ8" s="1176"/>
      <c r="CK8" s="1110"/>
    </row>
    <row r="9" spans="1:89" ht="14.4" x14ac:dyDescent="0.3">
      <c r="A9" s="1110"/>
      <c r="B9" s="1161" t="s">
        <v>618</v>
      </c>
      <c r="C9" s="1157">
        <v>150</v>
      </c>
      <c r="D9" s="1158">
        <f t="shared" si="0"/>
        <v>6534000</v>
      </c>
      <c r="E9" s="1158">
        <f t="shared" si="1"/>
        <v>653400</v>
      </c>
      <c r="F9" s="1158">
        <f t="shared" si="2"/>
        <v>653.4</v>
      </c>
      <c r="G9" s="1158">
        <f t="shared" si="14"/>
        <v>1530</v>
      </c>
      <c r="H9" s="1158">
        <f t="shared" si="3"/>
        <v>221</v>
      </c>
      <c r="I9" s="1157">
        <f t="shared" si="4"/>
        <v>156</v>
      </c>
      <c r="J9" s="1158">
        <f t="shared" si="5"/>
        <v>65</v>
      </c>
      <c r="K9" s="1158">
        <f t="shared" si="6"/>
        <v>218</v>
      </c>
      <c r="L9" s="1157">
        <f t="shared" si="7"/>
        <v>73</v>
      </c>
      <c r="M9" s="1158">
        <f t="shared" si="8"/>
        <v>145</v>
      </c>
      <c r="N9" s="1158">
        <f t="shared" si="9"/>
        <v>1091</v>
      </c>
      <c r="O9" s="1158">
        <f t="shared" si="15"/>
        <v>546</v>
      </c>
      <c r="P9" s="1158">
        <f t="shared" si="10"/>
        <v>545</v>
      </c>
      <c r="Q9" s="1110"/>
      <c r="R9" s="1163">
        <v>2023</v>
      </c>
      <c r="S9" s="1163">
        <v>2036</v>
      </c>
      <c r="T9" s="1163">
        <v>2048</v>
      </c>
      <c r="U9" s="1110"/>
      <c r="V9" s="1110"/>
      <c r="W9" s="1111">
        <v>0</v>
      </c>
      <c r="X9" s="1111">
        <f>ROUND(($D$22*$G$9),0)</f>
        <v>61</v>
      </c>
      <c r="Y9" s="1111">
        <f>ROUND(($D$22*$G$9),0)+X9+1</f>
        <v>123</v>
      </c>
      <c r="Z9" s="1111">
        <f>ROUND(($D$22*$G$9),0)+Y9</f>
        <v>184</v>
      </c>
      <c r="AA9" s="1111">
        <f>ROUND(($D$22*$G$9),0)+Z9</f>
        <v>245</v>
      </c>
      <c r="AB9" s="1111">
        <f t="shared" ref="AB9:AV9" si="18">ROUND(($D$22*$G$9),0)+AA9</f>
        <v>306</v>
      </c>
      <c r="AC9" s="1111">
        <f t="shared" si="18"/>
        <v>367</v>
      </c>
      <c r="AD9" s="1111">
        <f>ROUND(($D$22*$G$9),0)+AC9+1</f>
        <v>429</v>
      </c>
      <c r="AE9" s="1111">
        <f t="shared" si="18"/>
        <v>490</v>
      </c>
      <c r="AF9" s="1111">
        <f t="shared" si="18"/>
        <v>551</v>
      </c>
      <c r="AG9" s="1111">
        <f t="shared" si="18"/>
        <v>612</v>
      </c>
      <c r="AH9" s="1111">
        <f t="shared" si="18"/>
        <v>673</v>
      </c>
      <c r="AI9" s="1111">
        <f>ROUND(($D$22*$G$9),0)+AH9+1</f>
        <v>735</v>
      </c>
      <c r="AJ9" s="1111">
        <f t="shared" si="18"/>
        <v>796</v>
      </c>
      <c r="AK9" s="1111">
        <f t="shared" si="18"/>
        <v>857</v>
      </c>
      <c r="AL9" s="1111">
        <f t="shared" si="18"/>
        <v>918</v>
      </c>
      <c r="AM9" s="1111">
        <f t="shared" si="18"/>
        <v>979</v>
      </c>
      <c r="AN9" s="1111">
        <f>ROUND(($D$22*$G$9),0)+AM9+1</f>
        <v>1041</v>
      </c>
      <c r="AO9" s="1111">
        <f t="shared" si="18"/>
        <v>1102</v>
      </c>
      <c r="AP9" s="1111">
        <f t="shared" si="18"/>
        <v>1163</v>
      </c>
      <c r="AQ9" s="1111">
        <f t="shared" si="18"/>
        <v>1224</v>
      </c>
      <c r="AR9" s="1111">
        <f t="shared" si="18"/>
        <v>1285</v>
      </c>
      <c r="AS9" s="1111">
        <f>ROUND(($D$22*$G$9),0)+AR9+1</f>
        <v>1347</v>
      </c>
      <c r="AT9" s="1111">
        <f t="shared" si="18"/>
        <v>1408</v>
      </c>
      <c r="AU9" s="1111">
        <f t="shared" si="18"/>
        <v>1469</v>
      </c>
      <c r="AV9" s="1111">
        <f t="shared" si="18"/>
        <v>1530</v>
      </c>
      <c r="AW9" s="1111"/>
      <c r="AX9" s="1111"/>
      <c r="AY9" s="1111"/>
      <c r="AZ9" s="1111"/>
      <c r="BA9" s="1111"/>
      <c r="BB9" s="1111"/>
      <c r="BC9" s="1111"/>
      <c r="BD9" s="1111"/>
      <c r="BE9" s="1111"/>
      <c r="BF9" s="1111"/>
      <c r="BG9" s="1111"/>
      <c r="BH9" s="1111"/>
      <c r="BI9" s="1111"/>
      <c r="BJ9" s="1111"/>
      <c r="BK9" s="1111"/>
      <c r="BL9" s="1111"/>
      <c r="BM9" s="1111"/>
      <c r="BN9" s="1111"/>
      <c r="BO9" s="1111"/>
      <c r="BP9" s="1111"/>
      <c r="BQ9" s="1111"/>
      <c r="BR9" s="1111"/>
      <c r="BS9" s="1111"/>
      <c r="BT9" s="1111"/>
      <c r="BU9" s="1111"/>
      <c r="BV9" s="1111"/>
      <c r="BW9" s="1111"/>
      <c r="BX9" s="1111"/>
      <c r="BY9" s="1111"/>
      <c r="BZ9" s="1111"/>
      <c r="CA9" s="1111"/>
      <c r="CB9" s="1111"/>
      <c r="CC9" s="1111"/>
      <c r="CD9" s="1111"/>
      <c r="CE9" s="1111"/>
      <c r="CF9" s="1111"/>
      <c r="CG9" s="1111"/>
      <c r="CH9" s="1111"/>
      <c r="CI9" s="1111"/>
      <c r="CJ9" s="1176"/>
      <c r="CK9" s="1110"/>
    </row>
    <row r="10" spans="1:89" ht="14.4" x14ac:dyDescent="0.3">
      <c r="A10" s="1110"/>
      <c r="B10" s="1161" t="s">
        <v>619</v>
      </c>
      <c r="C10" s="1157">
        <v>270</v>
      </c>
      <c r="D10" s="1158">
        <f t="shared" si="0"/>
        <v>11761200</v>
      </c>
      <c r="E10" s="1158">
        <f t="shared" si="1"/>
        <v>1176120</v>
      </c>
      <c r="F10" s="1158">
        <f t="shared" si="2"/>
        <v>1176.1200000000001</v>
      </c>
      <c r="G10" s="1158">
        <f t="shared" si="14"/>
        <v>2754</v>
      </c>
      <c r="H10" s="1158">
        <f t="shared" si="3"/>
        <v>398</v>
      </c>
      <c r="I10" s="1157">
        <f t="shared" si="4"/>
        <v>280</v>
      </c>
      <c r="J10" s="1158">
        <f t="shared" si="5"/>
        <v>118</v>
      </c>
      <c r="K10" s="1158">
        <f t="shared" si="6"/>
        <v>392</v>
      </c>
      <c r="L10" s="1157">
        <f t="shared" si="7"/>
        <v>131</v>
      </c>
      <c r="M10" s="1158">
        <f t="shared" si="8"/>
        <v>261</v>
      </c>
      <c r="N10" s="1158">
        <f t="shared" si="9"/>
        <v>1964</v>
      </c>
      <c r="O10" s="1158">
        <f t="shared" si="15"/>
        <v>982</v>
      </c>
      <c r="P10" s="1158">
        <f t="shared" si="10"/>
        <v>982</v>
      </c>
      <c r="Q10" s="1110"/>
      <c r="R10" s="1163">
        <v>2023</v>
      </c>
      <c r="S10" s="1163">
        <v>2036</v>
      </c>
      <c r="T10" s="1163">
        <v>2048</v>
      </c>
      <c r="U10" s="1110"/>
      <c r="V10" s="1110"/>
      <c r="W10" s="1111">
        <v>0</v>
      </c>
      <c r="X10" s="1111">
        <f>ROUND(($D$22*$G$10),0)</f>
        <v>110</v>
      </c>
      <c r="Y10" s="1111">
        <f>ROUND(($D$22*$G$10),0)+X10</f>
        <v>220</v>
      </c>
      <c r="Z10" s="1111">
        <f>ROUND(($D$22*$G$10),0)+Y10</f>
        <v>330</v>
      </c>
      <c r="AA10" s="1111">
        <f>ROUND(($D$22*$G$10),0)+Z10</f>
        <v>440</v>
      </c>
      <c r="AB10" s="1111">
        <f>ROUND(($D$22*$G$10),0)+AA10+1</f>
        <v>551</v>
      </c>
      <c r="AC10" s="1111">
        <f t="shared" ref="AC10:AU10" si="19">ROUND(($D$22*$G$10),0)+AB10</f>
        <v>661</v>
      </c>
      <c r="AD10" s="1111">
        <f t="shared" si="19"/>
        <v>771</v>
      </c>
      <c r="AE10" s="1111">
        <f t="shared" si="19"/>
        <v>881</v>
      </c>
      <c r="AF10" s="1111">
        <f t="shared" si="19"/>
        <v>991</v>
      </c>
      <c r="AG10" s="1111">
        <f t="shared" si="19"/>
        <v>1101</v>
      </c>
      <c r="AH10" s="1111">
        <f t="shared" si="19"/>
        <v>1211</v>
      </c>
      <c r="AI10" s="1111">
        <f>ROUND(($D$22*$G$10),0)+AH10+1</f>
        <v>1322</v>
      </c>
      <c r="AJ10" s="1111">
        <f t="shared" si="19"/>
        <v>1432</v>
      </c>
      <c r="AK10" s="1111">
        <f t="shared" si="19"/>
        <v>1542</v>
      </c>
      <c r="AL10" s="1111">
        <f t="shared" si="19"/>
        <v>1652</v>
      </c>
      <c r="AM10" s="1111">
        <f t="shared" si="19"/>
        <v>1762</v>
      </c>
      <c r="AN10" s="1111">
        <f t="shared" si="19"/>
        <v>1872</v>
      </c>
      <c r="AO10" s="1111">
        <f t="shared" si="19"/>
        <v>1982</v>
      </c>
      <c r="AP10" s="1111">
        <f>ROUND(($D$22*$G$10),0)+AO10+1</f>
        <v>2093</v>
      </c>
      <c r="AQ10" s="1111">
        <f t="shared" si="19"/>
        <v>2203</v>
      </c>
      <c r="AR10" s="1111">
        <f t="shared" si="19"/>
        <v>2313</v>
      </c>
      <c r="AS10" s="1111">
        <f t="shared" si="19"/>
        <v>2423</v>
      </c>
      <c r="AT10" s="1111">
        <f t="shared" si="19"/>
        <v>2533</v>
      </c>
      <c r="AU10" s="1111">
        <f t="shared" si="19"/>
        <v>2643</v>
      </c>
      <c r="AV10" s="1111">
        <f>ROUND(($D$22*$G$10),0)+AU10+1</f>
        <v>2754</v>
      </c>
      <c r="AW10" s="1111"/>
      <c r="AX10" s="1111"/>
      <c r="AY10" s="1111"/>
      <c r="AZ10" s="1111"/>
      <c r="BA10" s="1111"/>
      <c r="BB10" s="1111"/>
      <c r="BC10" s="1111"/>
      <c r="BD10" s="1111"/>
      <c r="BE10" s="1111"/>
      <c r="BF10" s="1111"/>
      <c r="BG10" s="1111"/>
      <c r="BH10" s="1111"/>
      <c r="BI10" s="1111"/>
      <c r="BJ10" s="1111"/>
      <c r="BK10" s="1111"/>
      <c r="BL10" s="1111"/>
      <c r="BM10" s="1111"/>
      <c r="BN10" s="1111"/>
      <c r="BO10" s="1111"/>
      <c r="BP10" s="1111"/>
      <c r="BQ10" s="1111"/>
      <c r="BR10" s="1111"/>
      <c r="BS10" s="1111"/>
      <c r="BT10" s="1111"/>
      <c r="BU10" s="1111"/>
      <c r="BV10" s="1111"/>
      <c r="BW10" s="1111"/>
      <c r="BX10" s="1111"/>
      <c r="BY10" s="1111"/>
      <c r="BZ10" s="1111"/>
      <c r="CA10" s="1111"/>
      <c r="CB10" s="1111"/>
      <c r="CC10" s="1111"/>
      <c r="CD10" s="1111"/>
      <c r="CE10" s="1111"/>
      <c r="CF10" s="1111"/>
      <c r="CG10" s="1111"/>
      <c r="CH10" s="1111"/>
      <c r="CI10" s="1111"/>
      <c r="CJ10" s="1176"/>
      <c r="CK10" s="1110"/>
    </row>
    <row r="11" spans="1:89" ht="14.4" x14ac:dyDescent="0.3">
      <c r="A11" s="1110"/>
      <c r="B11" s="1161" t="s">
        <v>620</v>
      </c>
      <c r="C11" s="1157">
        <v>470</v>
      </c>
      <c r="D11" s="1158">
        <f t="shared" si="0"/>
        <v>20473200</v>
      </c>
      <c r="E11" s="1158">
        <f t="shared" si="1"/>
        <v>2047320</v>
      </c>
      <c r="F11" s="1158">
        <f t="shared" si="2"/>
        <v>2047.32</v>
      </c>
      <c r="G11" s="1158">
        <f t="shared" si="14"/>
        <v>4792</v>
      </c>
      <c r="H11" s="1158">
        <f t="shared" si="3"/>
        <v>692</v>
      </c>
      <c r="I11" s="1157">
        <f t="shared" si="4"/>
        <v>487</v>
      </c>
      <c r="J11" s="1158">
        <f t="shared" si="5"/>
        <v>205</v>
      </c>
      <c r="K11" s="1158">
        <f t="shared" si="6"/>
        <v>681</v>
      </c>
      <c r="L11" s="1157">
        <f t="shared" si="7"/>
        <v>227</v>
      </c>
      <c r="M11" s="1158">
        <f t="shared" si="8"/>
        <v>454</v>
      </c>
      <c r="N11" s="1158">
        <f t="shared" si="9"/>
        <v>3419</v>
      </c>
      <c r="O11" s="1158">
        <f t="shared" si="15"/>
        <v>1710</v>
      </c>
      <c r="P11" s="1158">
        <f t="shared" si="10"/>
        <v>1709</v>
      </c>
      <c r="Q11" s="1110"/>
      <c r="R11" s="1163">
        <v>2023</v>
      </c>
      <c r="S11" s="1163">
        <v>2036</v>
      </c>
      <c r="T11" s="1163">
        <v>2048</v>
      </c>
      <c r="U11" s="1110"/>
      <c r="V11" s="1110"/>
      <c r="W11" s="1111">
        <v>0</v>
      </c>
      <c r="X11" s="1111">
        <f>ROUND(($D$22*$G$11),0)</f>
        <v>192</v>
      </c>
      <c r="Y11" s="1111">
        <f>ROUND(($D$22*$G$11),0)+X11-1</f>
        <v>383</v>
      </c>
      <c r="Z11" s="1111">
        <f>ROUND(($D$22*$G$11),0)+Y11</f>
        <v>575</v>
      </c>
      <c r="AA11" s="1111">
        <f>ROUND(($D$22*$G$11),0)+Z11</f>
        <v>767</v>
      </c>
      <c r="AB11" s="1111">
        <f t="shared" ref="AB11:AU11" si="20">ROUND(($D$22*$G$11),0)+AA11</f>
        <v>959</v>
      </c>
      <c r="AC11" s="1111">
        <f t="shared" si="20"/>
        <v>1151</v>
      </c>
      <c r="AD11" s="1111">
        <f>ROUND(($D$22*$G$11),0)+AC11-1</f>
        <v>1342</v>
      </c>
      <c r="AE11" s="1111">
        <f t="shared" si="20"/>
        <v>1534</v>
      </c>
      <c r="AF11" s="1111">
        <f>ROUND(($D$22*$G$11),0)+AE11-1</f>
        <v>1725</v>
      </c>
      <c r="AG11" s="1111">
        <f t="shared" si="20"/>
        <v>1917</v>
      </c>
      <c r="AH11" s="1111">
        <f t="shared" si="20"/>
        <v>2109</v>
      </c>
      <c r="AI11" s="1111">
        <f>ROUND(($D$22*$G$11),0)+AH11-1</f>
        <v>2300</v>
      </c>
      <c r="AJ11" s="1111">
        <f t="shared" si="20"/>
        <v>2492</v>
      </c>
      <c r="AK11" s="1111">
        <f t="shared" si="20"/>
        <v>2684</v>
      </c>
      <c r="AL11" s="1111">
        <f t="shared" si="20"/>
        <v>2876</v>
      </c>
      <c r="AM11" s="1111">
        <f t="shared" si="20"/>
        <v>3068</v>
      </c>
      <c r="AN11" s="1111">
        <f>ROUND(($D$22*$G$11),0)+AM11-1</f>
        <v>3259</v>
      </c>
      <c r="AO11" s="1111">
        <f t="shared" si="20"/>
        <v>3451</v>
      </c>
      <c r="AP11" s="1111">
        <f>ROUND(($D$22*$G$11),0)+AO11-1</f>
        <v>3642</v>
      </c>
      <c r="AQ11" s="1111">
        <f t="shared" si="20"/>
        <v>3834</v>
      </c>
      <c r="AR11" s="1111">
        <f t="shared" si="20"/>
        <v>4026</v>
      </c>
      <c r="AS11" s="1111">
        <f>ROUND(($D$22*$G$11),0)+AR11-1</f>
        <v>4217</v>
      </c>
      <c r="AT11" s="1111">
        <f t="shared" si="20"/>
        <v>4409</v>
      </c>
      <c r="AU11" s="1111">
        <f t="shared" si="20"/>
        <v>4601</v>
      </c>
      <c r="AV11" s="1111">
        <f>ROUND(($D$22*$G$11),0)+AU11-1</f>
        <v>4792</v>
      </c>
      <c r="AW11" s="1111"/>
      <c r="AX11" s="1111"/>
      <c r="AY11" s="1111"/>
      <c r="AZ11" s="1111"/>
      <c r="BA11" s="1111"/>
      <c r="BB11" s="1111"/>
      <c r="BC11" s="1111"/>
      <c r="BD11" s="1111"/>
      <c r="BE11" s="1111"/>
      <c r="BF11" s="1111"/>
      <c r="BG11" s="1111"/>
      <c r="BH11" s="1111"/>
      <c r="BI11" s="1111"/>
      <c r="BJ11" s="1111"/>
      <c r="BK11" s="1111"/>
      <c r="BL11" s="1111"/>
      <c r="BM11" s="1111"/>
      <c r="BN11" s="1111"/>
      <c r="BO11" s="1111"/>
      <c r="BP11" s="1111"/>
      <c r="BQ11" s="1111"/>
      <c r="BR11" s="1111"/>
      <c r="BS11" s="1111"/>
      <c r="BT11" s="1111"/>
      <c r="BU11" s="1111"/>
      <c r="BV11" s="1111"/>
      <c r="BW11" s="1111"/>
      <c r="BX11" s="1111"/>
      <c r="BY11" s="1111"/>
      <c r="BZ11" s="1111"/>
      <c r="CA11" s="1111"/>
      <c r="CB11" s="1111"/>
      <c r="CC11" s="1111"/>
      <c r="CD11" s="1111"/>
      <c r="CE11" s="1111"/>
      <c r="CF11" s="1111"/>
      <c r="CG11" s="1111"/>
      <c r="CH11" s="1111"/>
      <c r="CI11" s="1111"/>
      <c r="CJ11" s="1176"/>
      <c r="CK11" s="1110"/>
    </row>
    <row r="12" spans="1:89" ht="14.4" x14ac:dyDescent="0.3">
      <c r="A12" s="1110"/>
      <c r="B12" s="1161">
        <v>5</v>
      </c>
      <c r="C12" s="1157">
        <v>530</v>
      </c>
      <c r="D12" s="1158">
        <f t="shared" si="0"/>
        <v>23086800</v>
      </c>
      <c r="E12" s="1158">
        <f t="shared" si="1"/>
        <v>2308680</v>
      </c>
      <c r="F12" s="1158">
        <f t="shared" si="2"/>
        <v>2308.6799999999998</v>
      </c>
      <c r="G12" s="1158">
        <f t="shared" si="14"/>
        <v>5404</v>
      </c>
      <c r="H12" s="1158">
        <f t="shared" si="3"/>
        <v>781</v>
      </c>
      <c r="I12" s="1157">
        <f t="shared" si="4"/>
        <v>550</v>
      </c>
      <c r="J12" s="1158">
        <f t="shared" si="5"/>
        <v>231</v>
      </c>
      <c r="K12" s="1158">
        <f t="shared" si="6"/>
        <v>768</v>
      </c>
      <c r="L12" s="1157">
        <f t="shared" si="7"/>
        <v>256</v>
      </c>
      <c r="M12" s="1158">
        <f t="shared" si="8"/>
        <v>512</v>
      </c>
      <c r="N12" s="1158">
        <f t="shared" si="9"/>
        <v>3855</v>
      </c>
      <c r="O12" s="1158">
        <f t="shared" si="15"/>
        <v>1928</v>
      </c>
      <c r="P12" s="1158">
        <f t="shared" si="10"/>
        <v>1927</v>
      </c>
      <c r="Q12" s="1110"/>
      <c r="R12" s="1163">
        <v>2025</v>
      </c>
      <c r="S12" s="1163">
        <v>2030</v>
      </c>
      <c r="T12" s="1163">
        <v>2035</v>
      </c>
      <c r="U12" s="1110"/>
      <c r="V12" s="1110"/>
      <c r="W12" s="1111">
        <v>0</v>
      </c>
      <c r="X12" s="1111">
        <v>0</v>
      </c>
      <c r="Y12" s="1111">
        <v>0</v>
      </c>
      <c r="Z12" s="1111">
        <f>ROUND((((1)/($S$12-$R$12))*0.5*$G$12),0)+Y12</f>
        <v>540</v>
      </c>
      <c r="AA12" s="1167">
        <f>ROUND((((1)/($S$12-$R$12))*0.5*$G$12),0)+Z12+1</f>
        <v>1081</v>
      </c>
      <c r="AB12" s="1167">
        <f>ROUND((((1)/($S$12-$R$12))*0.5*$G$12),0)+AA12</f>
        <v>1621</v>
      </c>
      <c r="AC12" s="1167">
        <f t="shared" ref="AC12:AH12" si="21">ROUND((((1)/($S$12-$R$12))*0.5*$G$12),0)+AB12</f>
        <v>2161</v>
      </c>
      <c r="AD12" s="1167">
        <f>ROUND((((1)/($S$12-$R$12))*0.5*$G$12),0)+AC12+1</f>
        <v>2702</v>
      </c>
      <c r="AE12" s="1167">
        <f t="shared" si="21"/>
        <v>3242</v>
      </c>
      <c r="AF12" s="1167">
        <f>ROUND((((1)/($S$12-$R$12))*0.5*$G$12),0)+AE12+1</f>
        <v>3783</v>
      </c>
      <c r="AG12" s="1167">
        <f t="shared" si="21"/>
        <v>4323</v>
      </c>
      <c r="AH12" s="1167">
        <f t="shared" si="21"/>
        <v>4863</v>
      </c>
      <c r="AI12" s="1167">
        <f>ROUND((((1)/($S$12-$R$12))*0.5*$G$12),0)+AH12+1</f>
        <v>5404</v>
      </c>
      <c r="AJ12" s="1167">
        <f>AI12</f>
        <v>5404</v>
      </c>
      <c r="AK12" s="1167">
        <f t="shared" ref="AK12:AV12" si="22">AJ12</f>
        <v>5404</v>
      </c>
      <c r="AL12" s="1167">
        <f t="shared" si="22"/>
        <v>5404</v>
      </c>
      <c r="AM12" s="1167">
        <f t="shared" si="22"/>
        <v>5404</v>
      </c>
      <c r="AN12" s="1167">
        <f t="shared" si="22"/>
        <v>5404</v>
      </c>
      <c r="AO12" s="1167">
        <f t="shared" si="22"/>
        <v>5404</v>
      </c>
      <c r="AP12" s="1167">
        <f t="shared" si="22"/>
        <v>5404</v>
      </c>
      <c r="AQ12" s="1167">
        <f t="shared" si="22"/>
        <v>5404</v>
      </c>
      <c r="AR12" s="1167">
        <f t="shared" si="22"/>
        <v>5404</v>
      </c>
      <c r="AS12" s="1167">
        <f t="shared" si="22"/>
        <v>5404</v>
      </c>
      <c r="AT12" s="1167">
        <f t="shared" si="22"/>
        <v>5404</v>
      </c>
      <c r="AU12" s="1167">
        <f t="shared" si="22"/>
        <v>5404</v>
      </c>
      <c r="AV12" s="1167">
        <f t="shared" si="22"/>
        <v>5404</v>
      </c>
      <c r="AW12" s="1111"/>
      <c r="AX12" s="1111"/>
      <c r="AY12" s="1111"/>
      <c r="AZ12" s="1111"/>
      <c r="BA12" s="1111"/>
      <c r="BB12" s="1111"/>
      <c r="BC12" s="1111"/>
      <c r="BD12" s="1111"/>
      <c r="BE12" s="1111"/>
      <c r="BF12" s="1111"/>
      <c r="BG12" s="1111"/>
      <c r="BH12" s="1111"/>
      <c r="BI12" s="1111"/>
      <c r="BJ12" s="1111"/>
      <c r="BK12" s="1111"/>
      <c r="BL12" s="1111"/>
      <c r="BM12" s="1111"/>
      <c r="BN12" s="1111"/>
      <c r="BO12" s="1111"/>
      <c r="BP12" s="1111"/>
      <c r="BQ12" s="1111"/>
      <c r="BR12" s="1111"/>
      <c r="BS12" s="1111"/>
      <c r="BT12" s="1111"/>
      <c r="BU12" s="1111"/>
      <c r="BV12" s="1111"/>
      <c r="BW12" s="1111"/>
      <c r="BX12" s="1111"/>
      <c r="BY12" s="1111"/>
      <c r="BZ12" s="1111"/>
      <c r="CA12" s="1111"/>
      <c r="CB12" s="1111"/>
      <c r="CC12" s="1111"/>
      <c r="CD12" s="1111"/>
      <c r="CE12" s="1111"/>
      <c r="CF12" s="1111"/>
      <c r="CG12" s="1111"/>
      <c r="CH12" s="1111"/>
      <c r="CI12" s="1111"/>
      <c r="CJ12" s="1176"/>
      <c r="CK12" s="1110"/>
    </row>
    <row r="13" spans="1:89" ht="14.4" x14ac:dyDescent="0.3">
      <c r="A13" s="1110"/>
      <c r="B13" s="1161">
        <v>6</v>
      </c>
      <c r="C13" s="1157">
        <v>550</v>
      </c>
      <c r="D13" s="1158">
        <f t="shared" si="0"/>
        <v>23958000</v>
      </c>
      <c r="E13" s="1158">
        <f t="shared" si="1"/>
        <v>2395800</v>
      </c>
      <c r="F13" s="1158">
        <f t="shared" si="2"/>
        <v>2395.8000000000002</v>
      </c>
      <c r="G13" s="1158">
        <f t="shared" si="14"/>
        <v>5608</v>
      </c>
      <c r="H13" s="1158">
        <f t="shared" si="3"/>
        <v>810</v>
      </c>
      <c r="I13" s="1157">
        <f t="shared" si="4"/>
        <v>570</v>
      </c>
      <c r="J13" s="1158">
        <f t="shared" si="5"/>
        <v>240</v>
      </c>
      <c r="K13" s="1158">
        <f t="shared" si="6"/>
        <v>797</v>
      </c>
      <c r="L13" s="1157">
        <f t="shared" si="7"/>
        <v>266</v>
      </c>
      <c r="M13" s="1158">
        <f t="shared" si="8"/>
        <v>531</v>
      </c>
      <c r="N13" s="1158">
        <f t="shared" si="9"/>
        <v>4001</v>
      </c>
      <c r="O13" s="1158">
        <f t="shared" si="15"/>
        <v>2001</v>
      </c>
      <c r="P13" s="1158">
        <f t="shared" si="10"/>
        <v>2000</v>
      </c>
      <c r="Q13" s="1110"/>
      <c r="R13" s="1163">
        <v>2023</v>
      </c>
      <c r="S13" s="1163">
        <v>2036</v>
      </c>
      <c r="T13" s="1163">
        <v>2048</v>
      </c>
      <c r="U13" s="1110"/>
      <c r="V13" s="1110"/>
      <c r="W13" s="1111">
        <v>0</v>
      </c>
      <c r="X13" s="1111">
        <f>ROUND(($D$22*$G$13),0)</f>
        <v>224</v>
      </c>
      <c r="Y13" s="1111">
        <f>ROUND(($D$22*$G$13),0)+X13+1</f>
        <v>449</v>
      </c>
      <c r="Z13" s="1111">
        <f>ROUND(($D$22*$G$13),0)+Y13</f>
        <v>673</v>
      </c>
      <c r="AA13" s="1111">
        <f>ROUND(($D$22*$G$13),0)+Z13</f>
        <v>897</v>
      </c>
      <c r="AB13" s="1111">
        <f t="shared" ref="AB13:AU13" si="23">ROUND(($D$22*$G$13),0)+AA13</f>
        <v>1121</v>
      </c>
      <c r="AC13" s="1111">
        <f t="shared" si="23"/>
        <v>1345</v>
      </c>
      <c r="AD13" s="1111">
        <f>ROUND(($D$22*$G$13),0)+AC13+1</f>
        <v>1570</v>
      </c>
      <c r="AE13" s="1111">
        <f t="shared" si="23"/>
        <v>1794</v>
      </c>
      <c r="AF13" s="1111">
        <f>ROUND(($D$22*$G$13),0)+AE13+1</f>
        <v>2019</v>
      </c>
      <c r="AG13" s="1111">
        <f t="shared" si="23"/>
        <v>2243</v>
      </c>
      <c r="AH13" s="1111">
        <f t="shared" si="23"/>
        <v>2467</v>
      </c>
      <c r="AI13" s="1111">
        <f>ROUND(($D$22*$G$13),0)+AH13+1</f>
        <v>2692</v>
      </c>
      <c r="AJ13" s="1111">
        <f t="shared" si="23"/>
        <v>2916</v>
      </c>
      <c r="AK13" s="1111">
        <f t="shared" si="23"/>
        <v>3140</v>
      </c>
      <c r="AL13" s="1111">
        <f t="shared" si="23"/>
        <v>3364</v>
      </c>
      <c r="AM13" s="1111">
        <f t="shared" si="23"/>
        <v>3588</v>
      </c>
      <c r="AN13" s="1111">
        <f>ROUND(($D$22*$G$13),0)+AM13+1</f>
        <v>3813</v>
      </c>
      <c r="AO13" s="1111">
        <f t="shared" si="23"/>
        <v>4037</v>
      </c>
      <c r="AP13" s="1111">
        <f>ROUND(($D$22*$G$13),0)+AO13+1</f>
        <v>4262</v>
      </c>
      <c r="AQ13" s="1111">
        <f t="shared" si="23"/>
        <v>4486</v>
      </c>
      <c r="AR13" s="1111">
        <f t="shared" si="23"/>
        <v>4710</v>
      </c>
      <c r="AS13" s="1111">
        <f>ROUND(($D$22*$G$13),0)+AR13+1</f>
        <v>4935</v>
      </c>
      <c r="AT13" s="1111">
        <f t="shared" si="23"/>
        <v>5159</v>
      </c>
      <c r="AU13" s="1111">
        <f t="shared" si="23"/>
        <v>5383</v>
      </c>
      <c r="AV13" s="1111">
        <f>ROUND(($D$22*$G$13),0)+AU13+1</f>
        <v>5608</v>
      </c>
      <c r="AW13" s="1111"/>
      <c r="AX13" s="1111"/>
      <c r="AY13" s="1111"/>
      <c r="AZ13" s="1111"/>
      <c r="BA13" s="1111"/>
      <c r="BB13" s="1111"/>
      <c r="BC13" s="1111"/>
      <c r="BD13" s="1111"/>
      <c r="BE13" s="1111"/>
      <c r="BF13" s="1111"/>
      <c r="BG13" s="1111"/>
      <c r="BH13" s="1111"/>
      <c r="BI13" s="1111"/>
      <c r="BJ13" s="1111"/>
      <c r="BK13" s="1111"/>
      <c r="BL13" s="1111"/>
      <c r="BM13" s="1111"/>
      <c r="BN13" s="1111"/>
      <c r="BO13" s="1111"/>
      <c r="BP13" s="1111"/>
      <c r="BQ13" s="1111"/>
      <c r="BR13" s="1111"/>
      <c r="BS13" s="1111"/>
      <c r="BT13" s="1111"/>
      <c r="BU13" s="1111"/>
      <c r="BV13" s="1111"/>
      <c r="BW13" s="1111"/>
      <c r="BX13" s="1111"/>
      <c r="BY13" s="1111"/>
      <c r="BZ13" s="1111"/>
      <c r="CA13" s="1111"/>
      <c r="CB13" s="1111"/>
      <c r="CC13" s="1111"/>
      <c r="CD13" s="1111"/>
      <c r="CE13" s="1111"/>
      <c r="CF13" s="1111"/>
      <c r="CG13" s="1111"/>
      <c r="CH13" s="1111"/>
      <c r="CI13" s="1111"/>
      <c r="CJ13" s="1176"/>
      <c r="CK13" s="1110"/>
    </row>
    <row r="14" spans="1:89" ht="14.4" x14ac:dyDescent="0.3">
      <c r="A14" s="1110"/>
      <c r="B14" s="1110"/>
      <c r="C14" s="1110"/>
      <c r="D14" s="1110"/>
      <c r="E14" s="1110"/>
      <c r="F14" s="1110"/>
      <c r="G14" s="1110"/>
      <c r="H14" s="1110"/>
      <c r="I14" s="1110"/>
      <c r="J14" s="1110"/>
      <c r="K14" s="1110"/>
      <c r="L14" s="1110"/>
      <c r="M14" s="1110"/>
      <c r="N14" s="1110"/>
      <c r="O14" s="1110"/>
      <c r="P14" s="1110"/>
      <c r="Q14" s="1110"/>
      <c r="R14" s="1110"/>
      <c r="S14" s="1110"/>
      <c r="T14" s="1110"/>
      <c r="U14" s="1110"/>
      <c r="V14" s="1110"/>
      <c r="W14" s="1111"/>
      <c r="X14" s="1111"/>
      <c r="Y14" s="1111"/>
      <c r="Z14" s="1111"/>
      <c r="AA14" s="1111"/>
      <c r="AB14" s="1111"/>
      <c r="AC14" s="1111"/>
      <c r="AD14" s="1111"/>
      <c r="AE14" s="1111"/>
      <c r="AF14" s="1111"/>
      <c r="AG14" s="1111"/>
      <c r="AH14" s="1111"/>
      <c r="AI14" s="1111"/>
      <c r="AJ14" s="1111"/>
      <c r="AK14" s="1111"/>
      <c r="AL14" s="1111"/>
      <c r="AM14" s="1111"/>
      <c r="AN14" s="1111"/>
      <c r="AO14" s="1111"/>
      <c r="AP14" s="1111"/>
      <c r="AQ14" s="1111"/>
      <c r="AR14" s="1111"/>
      <c r="AS14" s="1111"/>
      <c r="AT14" s="1111"/>
      <c r="AU14" s="1111"/>
      <c r="AV14" s="1111"/>
      <c r="AW14" s="1111"/>
      <c r="AX14" s="1111"/>
      <c r="AY14" s="1111"/>
      <c r="AZ14" s="1111"/>
      <c r="BA14" s="1111"/>
      <c r="BB14" s="1111"/>
      <c r="BC14" s="1111"/>
      <c r="BD14" s="1111"/>
      <c r="BE14" s="1111"/>
      <c r="BF14" s="1111"/>
      <c r="BG14" s="1111"/>
      <c r="BH14" s="1111"/>
      <c r="BI14" s="1111"/>
      <c r="BJ14" s="1111"/>
      <c r="BK14" s="1111"/>
      <c r="BL14" s="1111"/>
      <c r="BM14" s="1111"/>
      <c r="BN14" s="1111"/>
      <c r="BO14" s="1111"/>
      <c r="BP14" s="1111"/>
      <c r="BQ14" s="1111"/>
      <c r="BR14" s="1111"/>
      <c r="BS14" s="1111"/>
      <c r="BT14" s="1111"/>
      <c r="BU14" s="1111"/>
      <c r="BV14" s="1111"/>
      <c r="BW14" s="1111"/>
      <c r="BX14" s="1111"/>
      <c r="BY14" s="1111"/>
      <c r="BZ14" s="1111"/>
      <c r="CA14" s="1111"/>
      <c r="CB14" s="1111"/>
      <c r="CC14" s="1111"/>
      <c r="CD14" s="1111"/>
      <c r="CE14" s="1111"/>
      <c r="CF14" s="1111"/>
      <c r="CG14" s="1111"/>
      <c r="CH14" s="1111"/>
      <c r="CI14" s="1111"/>
      <c r="CJ14" s="1176"/>
      <c r="CK14" s="1110"/>
    </row>
    <row r="15" spans="1:89" ht="14.4" x14ac:dyDescent="0.3">
      <c r="A15" s="1110"/>
      <c r="B15" s="1157" t="s">
        <v>25</v>
      </c>
      <c r="C15" s="1158">
        <f>SUM(C6:C13)</f>
        <v>4270</v>
      </c>
      <c r="D15" s="1158">
        <f>SUM(D6:D13)</f>
        <v>186001200</v>
      </c>
      <c r="E15" s="1158">
        <f>SUM(E6:E13)</f>
        <v>18600120</v>
      </c>
      <c r="F15" s="1158">
        <f t="shared" ref="F15:O15" si="24">SUM(F6:F13)</f>
        <v>18600.12</v>
      </c>
      <c r="G15" s="1158">
        <f t="shared" si="24"/>
        <v>43536</v>
      </c>
      <c r="H15" s="1158">
        <f t="shared" si="24"/>
        <v>6289</v>
      </c>
      <c r="I15" s="1158">
        <f t="shared" si="24"/>
        <v>4427</v>
      </c>
      <c r="J15" s="1158">
        <f t="shared" si="24"/>
        <v>1862</v>
      </c>
      <c r="K15" s="1158">
        <f t="shared" si="24"/>
        <v>6188</v>
      </c>
      <c r="L15" s="1158">
        <f t="shared" si="24"/>
        <v>2063</v>
      </c>
      <c r="M15" s="1158">
        <f t="shared" si="24"/>
        <v>4125</v>
      </c>
      <c r="N15" s="1158">
        <f t="shared" si="24"/>
        <v>31059</v>
      </c>
      <c r="O15" s="1158">
        <f t="shared" si="24"/>
        <v>15491</v>
      </c>
      <c r="P15" s="1158">
        <f>SUM(P6:P13)</f>
        <v>15568</v>
      </c>
      <c r="Q15" s="1110"/>
      <c r="R15" s="1110"/>
      <c r="S15" s="1110"/>
      <c r="T15" s="1110"/>
      <c r="U15" s="1110"/>
      <c r="V15" s="1110"/>
      <c r="W15" s="1111">
        <f>SUM(W6:W13)</f>
        <v>0</v>
      </c>
      <c r="X15" s="1111">
        <f t="shared" ref="X15:AV15" si="25">SUM(X6:X13)</f>
        <v>587</v>
      </c>
      <c r="Y15" s="1111">
        <f t="shared" si="25"/>
        <v>2364</v>
      </c>
      <c r="Z15" s="1111">
        <f t="shared" si="25"/>
        <v>5750</v>
      </c>
      <c r="AA15" s="1111">
        <f t="shared" si="25"/>
        <v>9138</v>
      </c>
      <c r="AB15" s="1111">
        <f t="shared" si="25"/>
        <v>12526</v>
      </c>
      <c r="AC15" s="1111">
        <f t="shared" si="25"/>
        <v>15912</v>
      </c>
      <c r="AD15" s="1111">
        <f t="shared" si="25"/>
        <v>19302</v>
      </c>
      <c r="AE15" s="1111">
        <f t="shared" si="25"/>
        <v>22434</v>
      </c>
      <c r="AF15" s="1111">
        <f t="shared" si="25"/>
        <v>25567</v>
      </c>
      <c r="AG15" s="1111">
        <f t="shared" si="25"/>
        <v>28699</v>
      </c>
      <c r="AH15" s="1111">
        <f t="shared" si="25"/>
        <v>31831</v>
      </c>
      <c r="AI15" s="1111">
        <f t="shared" si="25"/>
        <v>34967</v>
      </c>
      <c r="AJ15" s="1111">
        <f t="shared" si="25"/>
        <v>36488</v>
      </c>
      <c r="AK15" s="1111">
        <f t="shared" si="25"/>
        <v>37075</v>
      </c>
      <c r="AL15" s="1111">
        <f t="shared" si="25"/>
        <v>37662</v>
      </c>
      <c r="AM15" s="1111">
        <f t="shared" si="25"/>
        <v>38249</v>
      </c>
      <c r="AN15" s="1111">
        <f t="shared" si="25"/>
        <v>38837</v>
      </c>
      <c r="AO15" s="1111">
        <f t="shared" si="25"/>
        <v>39424</v>
      </c>
      <c r="AP15" s="1111">
        <f t="shared" si="25"/>
        <v>40012</v>
      </c>
      <c r="AQ15" s="1111">
        <f t="shared" si="25"/>
        <v>40599</v>
      </c>
      <c r="AR15" s="1111">
        <f t="shared" si="25"/>
        <v>41186</v>
      </c>
      <c r="AS15" s="1111">
        <f t="shared" si="25"/>
        <v>41774</v>
      </c>
      <c r="AT15" s="1111">
        <f t="shared" si="25"/>
        <v>42361</v>
      </c>
      <c r="AU15" s="1111">
        <f t="shared" si="25"/>
        <v>42948</v>
      </c>
      <c r="AV15" s="1111">
        <f t="shared" si="25"/>
        <v>43536</v>
      </c>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76"/>
      <c r="CE15" s="1176"/>
      <c r="CF15" s="1176"/>
      <c r="CG15" s="1176"/>
      <c r="CH15" s="1176"/>
      <c r="CI15" s="1176"/>
      <c r="CJ15" s="1176"/>
      <c r="CK15" s="1110"/>
    </row>
    <row r="16" spans="1:89" ht="15" thickBot="1" x14ac:dyDescent="0.35">
      <c r="A16" s="1110"/>
      <c r="B16" s="1110"/>
      <c r="C16" s="1110"/>
      <c r="D16" s="1110"/>
      <c r="E16" s="1110"/>
      <c r="F16" s="1110"/>
      <c r="G16" s="1110"/>
      <c r="H16" s="1110"/>
      <c r="I16" s="1110"/>
      <c r="J16" s="1110"/>
      <c r="K16" s="1110"/>
      <c r="L16" s="1110"/>
      <c r="M16" s="1110"/>
      <c r="N16" s="1110"/>
      <c r="O16" s="1110"/>
      <c r="P16" s="1110"/>
      <c r="Q16" s="1110"/>
      <c r="R16" s="1110"/>
      <c r="S16" s="1110"/>
      <c r="T16" s="1110"/>
      <c r="U16" s="1110"/>
      <c r="V16" s="1110"/>
      <c r="W16" s="1166"/>
      <c r="X16" s="1166"/>
      <c r="Y16" s="1166"/>
      <c r="Z16" s="1166"/>
      <c r="AA16" s="1166"/>
      <c r="AB16" s="1166"/>
      <c r="AC16" s="1166"/>
      <c r="AD16" s="1166"/>
      <c r="AE16" s="1166"/>
      <c r="AF16" s="1166"/>
      <c r="AG16" s="1166"/>
      <c r="AH16" s="1166"/>
      <c r="AI16" s="1166"/>
      <c r="AJ16" s="1166"/>
      <c r="AK16" s="1166"/>
      <c r="AL16" s="1166"/>
      <c r="AM16" s="1166"/>
      <c r="AN16" s="1166"/>
      <c r="AO16" s="1166"/>
      <c r="AP16" s="1166"/>
      <c r="AQ16" s="1166"/>
      <c r="AR16" s="1166"/>
      <c r="AS16" s="1166"/>
      <c r="AT16" s="1166"/>
      <c r="AU16" s="1166"/>
      <c r="AV16" s="1166"/>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c r="BS16" s="1110"/>
      <c r="BT16" s="1110"/>
      <c r="BU16" s="1110"/>
      <c r="BV16" s="1110"/>
      <c r="BW16" s="1110"/>
      <c r="BX16" s="1110"/>
      <c r="BY16" s="1110"/>
      <c r="BZ16" s="1110"/>
      <c r="CA16" s="1110"/>
      <c r="CB16" s="1110"/>
      <c r="CC16" s="1110"/>
      <c r="CD16" s="1110"/>
      <c r="CE16" s="1110"/>
      <c r="CF16" s="1110"/>
      <c r="CG16" s="1110"/>
      <c r="CH16" s="1110"/>
      <c r="CI16" s="1110"/>
      <c r="CJ16" s="1110"/>
      <c r="CK16" s="1110"/>
    </row>
    <row r="17" spans="1:89" ht="14.4" x14ac:dyDescent="0.3">
      <c r="A17" s="1110"/>
      <c r="B17" s="1110"/>
      <c r="C17" s="1110"/>
      <c r="D17" s="1158">
        <v>17800000</v>
      </c>
      <c r="E17" s="1162">
        <f>D17*$B$2</f>
        <v>1780000</v>
      </c>
      <c r="F17" s="1158">
        <f>E17*$B$3</f>
        <v>1780</v>
      </c>
      <c r="G17" s="1158">
        <f>ROUNDUP(2.91*F17,0)</f>
        <v>5180</v>
      </c>
      <c r="H17" s="1157">
        <f>ROUNDUP(0.42*F17,0)</f>
        <v>748</v>
      </c>
      <c r="I17" s="1157">
        <f>ROUNDUP(0.87*H17,0)</f>
        <v>651</v>
      </c>
      <c r="J17" s="1157">
        <f>H17-I17</f>
        <v>97</v>
      </c>
      <c r="K17" s="1157">
        <f>ROUNDUP(0.42*F17,0)</f>
        <v>748</v>
      </c>
      <c r="L17" s="1157">
        <f>ROUNDUP(0.21*K17,0)</f>
        <v>158</v>
      </c>
      <c r="M17" s="1157">
        <f>K17-L17</f>
        <v>590</v>
      </c>
      <c r="N17" s="1158">
        <f>G17-H17-K17</f>
        <v>3684</v>
      </c>
      <c r="O17" s="1158">
        <f>ROUNDUP(0.5*N17,0)</f>
        <v>1842</v>
      </c>
      <c r="P17" s="1158">
        <f>N17-O17</f>
        <v>1842</v>
      </c>
      <c r="Q17" s="1110"/>
      <c r="R17" s="1110"/>
      <c r="S17" s="1110"/>
      <c r="T17" s="1164" t="s">
        <v>621</v>
      </c>
      <c r="U17" s="1182" t="s">
        <v>344</v>
      </c>
      <c r="V17" s="1182"/>
      <c r="W17" s="1183">
        <v>16000</v>
      </c>
      <c r="X17" s="1183">
        <f>$W17*(1+$T$19*(X$5-$W$5))</f>
        <v>16560</v>
      </c>
      <c r="Y17" s="1183">
        <f t="shared" ref="Y17:AV19" si="26">$W17*(1+$T$19*(Y$5-$W$5))</f>
        <v>17120</v>
      </c>
      <c r="Z17" s="1183">
        <f t="shared" si="26"/>
        <v>17680</v>
      </c>
      <c r="AA17" s="1183">
        <f t="shared" si="26"/>
        <v>18240.000000000004</v>
      </c>
      <c r="AB17" s="1183">
        <f t="shared" si="26"/>
        <v>18800</v>
      </c>
      <c r="AC17" s="1183">
        <f t="shared" si="26"/>
        <v>19360</v>
      </c>
      <c r="AD17" s="1183">
        <f t="shared" si="26"/>
        <v>19920</v>
      </c>
      <c r="AE17" s="1183">
        <f t="shared" si="26"/>
        <v>20480</v>
      </c>
      <c r="AF17" s="1183">
        <f t="shared" si="26"/>
        <v>21040</v>
      </c>
      <c r="AG17" s="1183">
        <f t="shared" si="26"/>
        <v>21600</v>
      </c>
      <c r="AH17" s="1183">
        <f t="shared" si="26"/>
        <v>22160</v>
      </c>
      <c r="AI17" s="1183">
        <f t="shared" si="26"/>
        <v>22720</v>
      </c>
      <c r="AJ17" s="1183">
        <f t="shared" si="26"/>
        <v>23280</v>
      </c>
      <c r="AK17" s="1183">
        <f t="shared" si="26"/>
        <v>23840</v>
      </c>
      <c r="AL17" s="1183">
        <f t="shared" si="26"/>
        <v>24400</v>
      </c>
      <c r="AM17" s="1183">
        <f t="shared" si="26"/>
        <v>24960</v>
      </c>
      <c r="AN17" s="1183">
        <f t="shared" si="26"/>
        <v>25520.000000000004</v>
      </c>
      <c r="AO17" s="1183">
        <f t="shared" si="26"/>
        <v>26080.000000000004</v>
      </c>
      <c r="AP17" s="1183">
        <f t="shared" si="26"/>
        <v>26640</v>
      </c>
      <c r="AQ17" s="1183">
        <f t="shared" si="26"/>
        <v>27200.000000000004</v>
      </c>
      <c r="AR17" s="1183">
        <f t="shared" si="26"/>
        <v>27760</v>
      </c>
      <c r="AS17" s="1183">
        <f t="shared" si="26"/>
        <v>28320</v>
      </c>
      <c r="AT17" s="1183">
        <f t="shared" si="26"/>
        <v>28880.000000000004</v>
      </c>
      <c r="AU17" s="1183">
        <f t="shared" si="26"/>
        <v>29440</v>
      </c>
      <c r="AV17" s="1183">
        <f t="shared" si="26"/>
        <v>30000</v>
      </c>
      <c r="AW17" s="1111"/>
      <c r="AX17" s="1111"/>
      <c r="AY17" s="1111"/>
      <c r="AZ17" s="1111"/>
      <c r="BA17" s="1111"/>
      <c r="BB17" s="1111"/>
      <c r="BC17" s="1111"/>
      <c r="BD17" s="1111"/>
      <c r="BE17" s="1111"/>
      <c r="BF17" s="1111"/>
      <c r="BG17" s="1111"/>
      <c r="BH17" s="1111"/>
      <c r="BI17" s="1111"/>
      <c r="BJ17" s="1111"/>
      <c r="BK17" s="1111"/>
      <c r="BL17" s="1111"/>
      <c r="BM17" s="1111"/>
      <c r="BN17" s="1111"/>
      <c r="BO17" s="1111"/>
      <c r="BP17" s="1111"/>
      <c r="BQ17" s="1111"/>
      <c r="BR17" s="1111"/>
      <c r="BS17" s="1111"/>
      <c r="BT17" s="1111"/>
      <c r="BU17" s="1111"/>
      <c r="BV17" s="1111"/>
      <c r="BW17" s="1111"/>
      <c r="BX17" s="1111"/>
      <c r="BY17" s="1111"/>
      <c r="BZ17" s="1111"/>
      <c r="CA17" s="1111"/>
      <c r="CB17" s="1111"/>
      <c r="CC17" s="1111"/>
      <c r="CD17" s="1111"/>
      <c r="CE17" s="1111"/>
      <c r="CF17" s="1111"/>
      <c r="CG17" s="1111"/>
      <c r="CH17" s="1111"/>
      <c r="CI17" s="1111"/>
      <c r="CJ17" s="1111"/>
      <c r="CK17" s="1110"/>
    </row>
    <row r="18" spans="1:89" ht="14.4" x14ac:dyDescent="0.3">
      <c r="A18" s="1110"/>
      <c r="B18" s="1110"/>
      <c r="C18" s="1110"/>
      <c r="D18" s="1110"/>
      <c r="E18" s="1110"/>
      <c r="F18" s="1110"/>
      <c r="G18" s="1110"/>
      <c r="H18" s="1110"/>
      <c r="I18" s="1110"/>
      <c r="J18" s="1110"/>
      <c r="K18" s="1110"/>
      <c r="L18" s="1110"/>
      <c r="M18" s="1110"/>
      <c r="N18" s="1110"/>
      <c r="O18" s="1110"/>
      <c r="P18" s="1110"/>
      <c r="Q18" s="1110"/>
      <c r="R18" s="1110"/>
      <c r="S18" s="1110"/>
      <c r="T18" s="1111"/>
      <c r="U18" s="1111" t="s">
        <v>345</v>
      </c>
      <c r="V18" s="1111"/>
      <c r="W18" s="1167">
        <v>13500</v>
      </c>
      <c r="X18" s="1167">
        <f>$W18*(1+$T$19*(X$5-$W$5))</f>
        <v>13972.499999999998</v>
      </c>
      <c r="Y18" s="1167">
        <f t="shared" si="26"/>
        <v>14445</v>
      </c>
      <c r="Z18" s="1167">
        <f t="shared" si="26"/>
        <v>14917.5</v>
      </c>
      <c r="AA18" s="1167">
        <f t="shared" si="26"/>
        <v>15390.000000000002</v>
      </c>
      <c r="AB18" s="1167">
        <f t="shared" si="26"/>
        <v>15862.5</v>
      </c>
      <c r="AC18" s="1167">
        <f t="shared" si="26"/>
        <v>16335</v>
      </c>
      <c r="AD18" s="1167">
        <f t="shared" si="26"/>
        <v>16807.5</v>
      </c>
      <c r="AE18" s="1167">
        <f t="shared" si="26"/>
        <v>17280</v>
      </c>
      <c r="AF18" s="1167">
        <f t="shared" si="26"/>
        <v>17752.5</v>
      </c>
      <c r="AG18" s="1167">
        <f t="shared" si="26"/>
        <v>18225</v>
      </c>
      <c r="AH18" s="1167">
        <f t="shared" si="26"/>
        <v>18697.5</v>
      </c>
      <c r="AI18" s="1167">
        <f t="shared" si="26"/>
        <v>19170</v>
      </c>
      <c r="AJ18" s="1167">
        <f t="shared" si="26"/>
        <v>19642.5</v>
      </c>
      <c r="AK18" s="1167">
        <f t="shared" si="26"/>
        <v>20115</v>
      </c>
      <c r="AL18" s="1167">
        <f t="shared" si="26"/>
        <v>20587.5</v>
      </c>
      <c r="AM18" s="1167">
        <f t="shared" si="26"/>
        <v>21060</v>
      </c>
      <c r="AN18" s="1167">
        <f t="shared" si="26"/>
        <v>21532.500000000004</v>
      </c>
      <c r="AO18" s="1167">
        <f t="shared" si="26"/>
        <v>22005</v>
      </c>
      <c r="AP18" s="1167">
        <f t="shared" si="26"/>
        <v>22477.5</v>
      </c>
      <c r="AQ18" s="1167">
        <f t="shared" si="26"/>
        <v>22950.000000000004</v>
      </c>
      <c r="AR18" s="1167">
        <f t="shared" si="26"/>
        <v>23422.5</v>
      </c>
      <c r="AS18" s="1167">
        <f t="shared" si="26"/>
        <v>23895</v>
      </c>
      <c r="AT18" s="1167">
        <f t="shared" si="26"/>
        <v>24367.500000000004</v>
      </c>
      <c r="AU18" s="1167">
        <f t="shared" si="26"/>
        <v>24840</v>
      </c>
      <c r="AV18" s="1167">
        <f t="shared" si="26"/>
        <v>25312.5</v>
      </c>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1"/>
      <c r="BU18" s="1111"/>
      <c r="BV18" s="1111"/>
      <c r="BW18" s="1111"/>
      <c r="BX18" s="1111"/>
      <c r="BY18" s="1111"/>
      <c r="BZ18" s="1111"/>
      <c r="CA18" s="1111"/>
      <c r="CB18" s="1111"/>
      <c r="CC18" s="1111"/>
      <c r="CD18" s="1111"/>
      <c r="CE18" s="1111"/>
      <c r="CF18" s="1111"/>
      <c r="CG18" s="1111"/>
      <c r="CH18" s="1111"/>
      <c r="CI18" s="1111"/>
      <c r="CJ18" s="1111"/>
      <c r="CK18" s="1110"/>
    </row>
    <row r="19" spans="1:89" ht="14.4" x14ac:dyDescent="0.3">
      <c r="A19" s="1110"/>
      <c r="B19" s="1110"/>
      <c r="C19" s="1110"/>
      <c r="D19" s="1110"/>
      <c r="E19" s="1110"/>
      <c r="F19" s="1110"/>
      <c r="G19" s="1110"/>
      <c r="H19" s="1110"/>
      <c r="I19" s="1110"/>
      <c r="J19" s="1110"/>
      <c r="K19" s="1110"/>
      <c r="L19" s="1110"/>
      <c r="M19" s="1110"/>
      <c r="N19" s="1110"/>
      <c r="O19" s="1110"/>
      <c r="P19" s="1110"/>
      <c r="Q19" s="1110"/>
      <c r="R19" s="1110"/>
      <c r="S19" s="1157" t="s">
        <v>315</v>
      </c>
      <c r="T19" s="1188">
        <v>3.5000000000000003E-2</v>
      </c>
      <c r="U19" s="1111" t="s">
        <v>346</v>
      </c>
      <c r="V19" s="1111"/>
      <c r="W19" s="1167">
        <v>12000</v>
      </c>
      <c r="X19" s="1167">
        <f>$W19*(1+$T$19*(X$5-$W$5))</f>
        <v>12419.999999999998</v>
      </c>
      <c r="Y19" s="1167">
        <f t="shared" si="26"/>
        <v>12840</v>
      </c>
      <c r="Z19" s="1167">
        <f t="shared" si="26"/>
        <v>13260</v>
      </c>
      <c r="AA19" s="1167">
        <f t="shared" si="26"/>
        <v>13680.000000000002</v>
      </c>
      <c r="AB19" s="1167">
        <f t="shared" si="26"/>
        <v>14100</v>
      </c>
      <c r="AC19" s="1167">
        <f t="shared" si="26"/>
        <v>14520</v>
      </c>
      <c r="AD19" s="1167">
        <f t="shared" si="26"/>
        <v>14940.000000000002</v>
      </c>
      <c r="AE19" s="1167">
        <f t="shared" si="26"/>
        <v>15360</v>
      </c>
      <c r="AF19" s="1167">
        <f t="shared" si="26"/>
        <v>15780</v>
      </c>
      <c r="AG19" s="1167">
        <f t="shared" si="26"/>
        <v>16200.000000000002</v>
      </c>
      <c r="AH19" s="1167">
        <f t="shared" si="26"/>
        <v>16620</v>
      </c>
      <c r="AI19" s="1167">
        <f t="shared" si="26"/>
        <v>17040</v>
      </c>
      <c r="AJ19" s="1167">
        <f t="shared" si="26"/>
        <v>17460</v>
      </c>
      <c r="AK19" s="1167">
        <f t="shared" si="26"/>
        <v>17880</v>
      </c>
      <c r="AL19" s="1167">
        <f t="shared" si="26"/>
        <v>18300</v>
      </c>
      <c r="AM19" s="1167">
        <f t="shared" si="26"/>
        <v>18720</v>
      </c>
      <c r="AN19" s="1167">
        <f t="shared" si="26"/>
        <v>19140.000000000004</v>
      </c>
      <c r="AO19" s="1167">
        <f t="shared" si="26"/>
        <v>19560</v>
      </c>
      <c r="AP19" s="1167">
        <f t="shared" si="26"/>
        <v>19980</v>
      </c>
      <c r="AQ19" s="1167">
        <f t="shared" si="26"/>
        <v>20400.000000000004</v>
      </c>
      <c r="AR19" s="1167">
        <f t="shared" si="26"/>
        <v>20820</v>
      </c>
      <c r="AS19" s="1167">
        <f t="shared" si="26"/>
        <v>21240</v>
      </c>
      <c r="AT19" s="1167">
        <f t="shared" si="26"/>
        <v>21660.000000000004</v>
      </c>
      <c r="AU19" s="1167">
        <f t="shared" si="26"/>
        <v>22080</v>
      </c>
      <c r="AV19" s="1167">
        <f t="shared" si="26"/>
        <v>22500</v>
      </c>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0"/>
    </row>
    <row r="20" spans="1:89" ht="14.4" x14ac:dyDescent="0.3">
      <c r="A20" s="1110"/>
      <c r="B20" s="1110"/>
      <c r="C20" s="1110"/>
      <c r="D20" s="1110"/>
      <c r="E20" s="1110"/>
      <c r="F20" s="1110"/>
      <c r="G20" s="1110"/>
      <c r="H20" s="1110"/>
      <c r="I20" s="1110"/>
      <c r="J20" s="1110"/>
      <c r="K20" s="1110"/>
      <c r="L20" s="1110"/>
      <c r="M20" s="1110"/>
      <c r="N20" s="1110"/>
      <c r="O20" s="1110"/>
      <c r="P20" s="1110"/>
      <c r="Q20" s="1110"/>
      <c r="R20" s="1110"/>
      <c r="S20" s="1157" t="s">
        <v>622</v>
      </c>
      <c r="T20" s="1189">
        <v>0.02</v>
      </c>
      <c r="U20" s="1111" t="s">
        <v>343</v>
      </c>
      <c r="V20" s="1111"/>
      <c r="W20" s="1167">
        <v>14000</v>
      </c>
      <c r="X20" s="1167">
        <f>$W20*(1+$T$20*(X$5-$W$5))</f>
        <v>14280</v>
      </c>
      <c r="Y20" s="1167">
        <f t="shared" ref="Y20:AV30" si="27">$W20*(1+$T$20*(Y$5-$W$5))</f>
        <v>14560</v>
      </c>
      <c r="Z20" s="1167">
        <f t="shared" si="27"/>
        <v>14840</v>
      </c>
      <c r="AA20" s="1167">
        <f t="shared" si="27"/>
        <v>15120.000000000002</v>
      </c>
      <c r="AB20" s="1167">
        <f t="shared" si="27"/>
        <v>15400.000000000002</v>
      </c>
      <c r="AC20" s="1167">
        <f t="shared" si="27"/>
        <v>15680.000000000002</v>
      </c>
      <c r="AD20" s="1167">
        <f t="shared" si="27"/>
        <v>15960.000000000002</v>
      </c>
      <c r="AE20" s="1167">
        <f t="shared" si="27"/>
        <v>16239.999999999998</v>
      </c>
      <c r="AF20" s="1167">
        <f t="shared" si="27"/>
        <v>16520</v>
      </c>
      <c r="AG20" s="1167">
        <f t="shared" si="27"/>
        <v>16800</v>
      </c>
      <c r="AH20" s="1167">
        <f t="shared" si="27"/>
        <v>17080</v>
      </c>
      <c r="AI20" s="1167">
        <f t="shared" si="27"/>
        <v>17360</v>
      </c>
      <c r="AJ20" s="1167">
        <f t="shared" si="27"/>
        <v>17640</v>
      </c>
      <c r="AK20" s="1167">
        <f t="shared" si="27"/>
        <v>17920</v>
      </c>
      <c r="AL20" s="1167">
        <f t="shared" si="27"/>
        <v>18200</v>
      </c>
      <c r="AM20" s="1167">
        <f t="shared" si="27"/>
        <v>18480</v>
      </c>
      <c r="AN20" s="1167">
        <f t="shared" si="27"/>
        <v>18760</v>
      </c>
      <c r="AO20" s="1167">
        <f t="shared" si="27"/>
        <v>19040</v>
      </c>
      <c r="AP20" s="1167">
        <f t="shared" si="27"/>
        <v>19320</v>
      </c>
      <c r="AQ20" s="1167">
        <f t="shared" si="27"/>
        <v>19600</v>
      </c>
      <c r="AR20" s="1167">
        <f t="shared" si="27"/>
        <v>19880</v>
      </c>
      <c r="AS20" s="1167">
        <f t="shared" si="27"/>
        <v>20160</v>
      </c>
      <c r="AT20" s="1167">
        <f t="shared" si="27"/>
        <v>20440</v>
      </c>
      <c r="AU20" s="1167">
        <f t="shared" si="27"/>
        <v>20720</v>
      </c>
      <c r="AV20" s="1167">
        <f t="shared" si="27"/>
        <v>21000</v>
      </c>
      <c r="AW20" s="1111"/>
      <c r="AX20" s="1111"/>
      <c r="AY20" s="1111"/>
      <c r="AZ20" s="1111"/>
      <c r="BA20" s="1111"/>
      <c r="BB20" s="1111"/>
      <c r="BC20" s="1111"/>
      <c r="BD20" s="1111"/>
      <c r="BE20" s="1111"/>
      <c r="BF20" s="1111"/>
      <c r="BG20" s="1111"/>
      <c r="BH20" s="1111"/>
      <c r="BI20" s="1111"/>
      <c r="BJ20" s="1111"/>
      <c r="BK20" s="1111"/>
      <c r="BL20" s="1111"/>
      <c r="BM20" s="1111"/>
      <c r="BN20" s="1111"/>
      <c r="BO20" s="1111"/>
      <c r="BP20" s="1111"/>
      <c r="BQ20" s="1111"/>
      <c r="BR20" s="1111"/>
      <c r="BS20" s="1111"/>
      <c r="BT20" s="1111"/>
      <c r="BU20" s="1111"/>
      <c r="BV20" s="1111"/>
      <c r="BW20" s="1111"/>
      <c r="BX20" s="1111"/>
      <c r="BY20" s="1111"/>
      <c r="BZ20" s="1111"/>
      <c r="CA20" s="1111"/>
      <c r="CB20" s="1111"/>
      <c r="CC20" s="1111"/>
      <c r="CD20" s="1111"/>
      <c r="CE20" s="1111"/>
      <c r="CF20" s="1111"/>
      <c r="CG20" s="1111"/>
      <c r="CH20" s="1111"/>
      <c r="CI20" s="1111"/>
      <c r="CJ20" s="1111"/>
      <c r="CK20" s="1110"/>
    </row>
    <row r="21" spans="1:89" ht="14.4" x14ac:dyDescent="0.3">
      <c r="A21" s="1110"/>
      <c r="B21" s="1110"/>
      <c r="C21" s="1110">
        <f>1440/23</f>
        <v>62.608695652173914</v>
      </c>
      <c r="D21" s="1110"/>
      <c r="E21" s="1110"/>
      <c r="F21" s="1110"/>
      <c r="G21" s="1110"/>
      <c r="H21" s="1110"/>
      <c r="I21" s="1110"/>
      <c r="J21" s="1110"/>
      <c r="K21" s="1110"/>
      <c r="L21" s="1110"/>
      <c r="M21" s="1110"/>
      <c r="N21" s="1110"/>
      <c r="O21" s="1110"/>
      <c r="P21" s="1110"/>
      <c r="Q21" s="1110"/>
      <c r="R21" s="1110"/>
      <c r="S21" s="1157" t="s">
        <v>623</v>
      </c>
      <c r="T21" s="1189">
        <v>0</v>
      </c>
      <c r="U21" s="1111" t="s">
        <v>342</v>
      </c>
      <c r="V21" s="1111"/>
      <c r="W21" s="1167">
        <v>28000</v>
      </c>
      <c r="X21" s="1167">
        <f t="shared" ref="X21:AM30" si="28">$W21*(1+$T$20*(X$5-$W$5))</f>
        <v>28560</v>
      </c>
      <c r="Y21" s="1167">
        <f t="shared" si="28"/>
        <v>29120</v>
      </c>
      <c r="Z21" s="1167">
        <f t="shared" si="28"/>
        <v>29680</v>
      </c>
      <c r="AA21" s="1167">
        <f t="shared" si="28"/>
        <v>30240.000000000004</v>
      </c>
      <c r="AB21" s="1167">
        <f t="shared" si="28"/>
        <v>30800.000000000004</v>
      </c>
      <c r="AC21" s="1167">
        <f t="shared" si="28"/>
        <v>31360.000000000004</v>
      </c>
      <c r="AD21" s="1167">
        <f t="shared" si="28"/>
        <v>31920.000000000004</v>
      </c>
      <c r="AE21" s="1167">
        <f t="shared" si="28"/>
        <v>32479.999999999996</v>
      </c>
      <c r="AF21" s="1167">
        <f t="shared" si="28"/>
        <v>33040</v>
      </c>
      <c r="AG21" s="1167">
        <f t="shared" si="28"/>
        <v>33600</v>
      </c>
      <c r="AH21" s="1167">
        <f t="shared" si="28"/>
        <v>34160</v>
      </c>
      <c r="AI21" s="1167">
        <f t="shared" si="28"/>
        <v>34720</v>
      </c>
      <c r="AJ21" s="1167">
        <f t="shared" si="28"/>
        <v>35280</v>
      </c>
      <c r="AK21" s="1167">
        <f t="shared" si="28"/>
        <v>35840</v>
      </c>
      <c r="AL21" s="1167">
        <f t="shared" si="28"/>
        <v>36400</v>
      </c>
      <c r="AM21" s="1167">
        <f t="shared" si="28"/>
        <v>36960</v>
      </c>
      <c r="AN21" s="1167">
        <f t="shared" si="27"/>
        <v>37520</v>
      </c>
      <c r="AO21" s="1167">
        <f t="shared" si="27"/>
        <v>38080</v>
      </c>
      <c r="AP21" s="1167">
        <f t="shared" si="27"/>
        <v>38640</v>
      </c>
      <c r="AQ21" s="1167">
        <f t="shared" si="27"/>
        <v>39200</v>
      </c>
      <c r="AR21" s="1167">
        <f t="shared" si="27"/>
        <v>39760</v>
      </c>
      <c r="AS21" s="1167">
        <f t="shared" si="27"/>
        <v>40320</v>
      </c>
      <c r="AT21" s="1167">
        <f t="shared" si="27"/>
        <v>40880</v>
      </c>
      <c r="AU21" s="1167">
        <f t="shared" si="27"/>
        <v>41440</v>
      </c>
      <c r="AV21" s="1167">
        <f t="shared" si="27"/>
        <v>42000</v>
      </c>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1"/>
      <c r="BU21" s="1111"/>
      <c r="BV21" s="1111"/>
      <c r="BW21" s="1111"/>
      <c r="BX21" s="1111"/>
      <c r="BY21" s="1111"/>
      <c r="BZ21" s="1111"/>
      <c r="CA21" s="1111"/>
      <c r="CB21" s="1111"/>
      <c r="CC21" s="1111"/>
      <c r="CD21" s="1111"/>
      <c r="CE21" s="1111"/>
      <c r="CF21" s="1111"/>
      <c r="CG21" s="1111"/>
      <c r="CH21" s="1111"/>
      <c r="CI21" s="1111"/>
      <c r="CJ21" s="1111"/>
      <c r="CK21" s="1110"/>
    </row>
    <row r="22" spans="1:89" ht="14.4" x14ac:dyDescent="0.3">
      <c r="A22" s="1110"/>
      <c r="B22" s="1110"/>
      <c r="C22" s="1110"/>
      <c r="D22" s="1177">
        <f>1/25</f>
        <v>0.04</v>
      </c>
      <c r="E22" s="1110"/>
      <c r="F22" s="1110" t="s">
        <v>624</v>
      </c>
      <c r="G22" s="1110" t="s">
        <v>625</v>
      </c>
      <c r="H22" s="1110" t="s">
        <v>626</v>
      </c>
      <c r="I22" s="1110" t="s">
        <v>627</v>
      </c>
      <c r="J22" s="1110"/>
      <c r="K22" s="1110" t="s">
        <v>628</v>
      </c>
      <c r="L22" s="1110" t="s">
        <v>607</v>
      </c>
      <c r="M22" s="1110"/>
      <c r="N22" s="1110"/>
      <c r="O22" s="1110" t="s">
        <v>629</v>
      </c>
      <c r="P22" s="1110" t="s">
        <v>610</v>
      </c>
      <c r="Q22" s="1110"/>
      <c r="R22" s="1110"/>
      <c r="S22" s="1110"/>
      <c r="T22" s="1111"/>
      <c r="U22" s="1111" t="s">
        <v>341</v>
      </c>
      <c r="V22" s="1111"/>
      <c r="W22" s="1167">
        <v>28000</v>
      </c>
      <c r="X22" s="1167">
        <f t="shared" si="28"/>
        <v>28560</v>
      </c>
      <c r="Y22" s="1167">
        <f t="shared" si="27"/>
        <v>29120</v>
      </c>
      <c r="Z22" s="1167">
        <f t="shared" si="27"/>
        <v>29680</v>
      </c>
      <c r="AA22" s="1167">
        <f t="shared" si="27"/>
        <v>30240.000000000004</v>
      </c>
      <c r="AB22" s="1167">
        <f t="shared" si="27"/>
        <v>30800.000000000004</v>
      </c>
      <c r="AC22" s="1167">
        <f t="shared" si="27"/>
        <v>31360.000000000004</v>
      </c>
      <c r="AD22" s="1167">
        <f t="shared" si="27"/>
        <v>31920.000000000004</v>
      </c>
      <c r="AE22" s="1167">
        <f t="shared" si="27"/>
        <v>32479.999999999996</v>
      </c>
      <c r="AF22" s="1167">
        <f t="shared" si="27"/>
        <v>33040</v>
      </c>
      <c r="AG22" s="1167">
        <f t="shared" si="27"/>
        <v>33600</v>
      </c>
      <c r="AH22" s="1167">
        <f t="shared" si="27"/>
        <v>34160</v>
      </c>
      <c r="AI22" s="1167">
        <f t="shared" si="27"/>
        <v>34720</v>
      </c>
      <c r="AJ22" s="1167">
        <f t="shared" si="27"/>
        <v>35280</v>
      </c>
      <c r="AK22" s="1167">
        <f t="shared" si="27"/>
        <v>35840</v>
      </c>
      <c r="AL22" s="1167">
        <f t="shared" si="27"/>
        <v>36400</v>
      </c>
      <c r="AM22" s="1167">
        <f t="shared" si="27"/>
        <v>36960</v>
      </c>
      <c r="AN22" s="1167">
        <f t="shared" si="27"/>
        <v>37520</v>
      </c>
      <c r="AO22" s="1167">
        <f t="shared" si="27"/>
        <v>38080</v>
      </c>
      <c r="AP22" s="1167">
        <f t="shared" si="27"/>
        <v>38640</v>
      </c>
      <c r="AQ22" s="1167">
        <f t="shared" si="27"/>
        <v>39200</v>
      </c>
      <c r="AR22" s="1167">
        <f t="shared" si="27"/>
        <v>39760</v>
      </c>
      <c r="AS22" s="1167">
        <f t="shared" si="27"/>
        <v>40320</v>
      </c>
      <c r="AT22" s="1167">
        <f t="shared" si="27"/>
        <v>40880</v>
      </c>
      <c r="AU22" s="1167">
        <f t="shared" si="27"/>
        <v>41440</v>
      </c>
      <c r="AV22" s="1167">
        <f t="shared" si="27"/>
        <v>42000</v>
      </c>
      <c r="AW22" s="1111"/>
      <c r="AX22" s="1111"/>
      <c r="AY22" s="1111"/>
      <c r="AZ22" s="1111"/>
      <c r="BA22" s="1111"/>
      <c r="BB22" s="1111"/>
      <c r="BC22" s="1111"/>
      <c r="BD22" s="1111"/>
      <c r="BE22" s="1111"/>
      <c r="BF22" s="1111"/>
      <c r="BG22" s="1111"/>
      <c r="BH22" s="1111"/>
      <c r="BI22" s="1111"/>
      <c r="BJ22" s="1111"/>
      <c r="BK22" s="1111"/>
      <c r="BL22" s="1111"/>
      <c r="BM22" s="1111"/>
      <c r="BN22" s="1111"/>
      <c r="BO22" s="1111"/>
      <c r="BP22" s="1111"/>
      <c r="BQ22" s="1111"/>
      <c r="BR22" s="1111"/>
      <c r="BS22" s="1111"/>
      <c r="BT22" s="1111"/>
      <c r="BU22" s="1111"/>
      <c r="BV22" s="1111"/>
      <c r="BW22" s="1111"/>
      <c r="BX22" s="1111"/>
      <c r="BY22" s="1111"/>
      <c r="BZ22" s="1111"/>
      <c r="CA22" s="1111"/>
      <c r="CB22" s="1111"/>
      <c r="CC22" s="1111"/>
      <c r="CD22" s="1111"/>
      <c r="CE22" s="1111"/>
      <c r="CF22" s="1111"/>
      <c r="CG22" s="1111"/>
      <c r="CH22" s="1111"/>
      <c r="CI22" s="1111"/>
      <c r="CJ22" s="1111"/>
      <c r="CK22" s="1110"/>
    </row>
    <row r="23" spans="1:89" ht="14.4" x14ac:dyDescent="0.3">
      <c r="A23" s="1110"/>
      <c r="B23" s="1110"/>
      <c r="C23" s="1110"/>
      <c r="D23" s="1110"/>
      <c r="E23" s="1110"/>
      <c r="F23" s="1110">
        <v>110</v>
      </c>
      <c r="G23" s="1110" t="s">
        <v>630</v>
      </c>
      <c r="H23" s="1110">
        <v>10</v>
      </c>
      <c r="I23" s="1110">
        <v>4.87</v>
      </c>
      <c r="J23" s="1179">
        <f>H23*I23/100</f>
        <v>0.48700000000000004</v>
      </c>
      <c r="K23" s="1110">
        <v>0.91</v>
      </c>
      <c r="L23" s="1110">
        <v>87</v>
      </c>
      <c r="M23" s="1110"/>
      <c r="N23" s="1110"/>
      <c r="O23" s="1110">
        <v>0.8</v>
      </c>
      <c r="P23" s="1110">
        <v>18</v>
      </c>
      <c r="Q23" s="1110"/>
      <c r="R23" s="1110"/>
      <c r="S23" s="1110"/>
      <c r="T23" s="1111"/>
      <c r="U23" s="1111" t="s">
        <v>340</v>
      </c>
      <c r="V23" s="1111"/>
      <c r="W23" s="1167">
        <v>28000</v>
      </c>
      <c r="X23" s="1167">
        <f t="shared" si="28"/>
        <v>28560</v>
      </c>
      <c r="Y23" s="1167">
        <f t="shared" si="27"/>
        <v>29120</v>
      </c>
      <c r="Z23" s="1167">
        <f t="shared" si="27"/>
        <v>29680</v>
      </c>
      <c r="AA23" s="1167">
        <f t="shared" si="27"/>
        <v>30240.000000000004</v>
      </c>
      <c r="AB23" s="1167">
        <f t="shared" si="27"/>
        <v>30800.000000000004</v>
      </c>
      <c r="AC23" s="1167">
        <f t="shared" si="27"/>
        <v>31360.000000000004</v>
      </c>
      <c r="AD23" s="1167">
        <f t="shared" si="27"/>
        <v>31920.000000000004</v>
      </c>
      <c r="AE23" s="1167">
        <f t="shared" si="27"/>
        <v>32479.999999999996</v>
      </c>
      <c r="AF23" s="1167">
        <f t="shared" si="27"/>
        <v>33040</v>
      </c>
      <c r="AG23" s="1167">
        <f t="shared" si="27"/>
        <v>33600</v>
      </c>
      <c r="AH23" s="1167">
        <f t="shared" si="27"/>
        <v>34160</v>
      </c>
      <c r="AI23" s="1167">
        <f t="shared" si="27"/>
        <v>34720</v>
      </c>
      <c r="AJ23" s="1167">
        <f t="shared" si="27"/>
        <v>35280</v>
      </c>
      <c r="AK23" s="1167">
        <f t="shared" si="27"/>
        <v>35840</v>
      </c>
      <c r="AL23" s="1167">
        <f t="shared" si="27"/>
        <v>36400</v>
      </c>
      <c r="AM23" s="1167">
        <f t="shared" si="27"/>
        <v>36960</v>
      </c>
      <c r="AN23" s="1167">
        <f t="shared" si="27"/>
        <v>37520</v>
      </c>
      <c r="AO23" s="1167">
        <f t="shared" si="27"/>
        <v>38080</v>
      </c>
      <c r="AP23" s="1167">
        <f t="shared" si="27"/>
        <v>38640</v>
      </c>
      <c r="AQ23" s="1167">
        <f t="shared" si="27"/>
        <v>39200</v>
      </c>
      <c r="AR23" s="1167">
        <f t="shared" si="27"/>
        <v>39760</v>
      </c>
      <c r="AS23" s="1167">
        <f t="shared" si="27"/>
        <v>40320</v>
      </c>
      <c r="AT23" s="1167">
        <f t="shared" si="27"/>
        <v>40880</v>
      </c>
      <c r="AU23" s="1167">
        <f t="shared" si="27"/>
        <v>41440</v>
      </c>
      <c r="AV23" s="1167">
        <f t="shared" si="27"/>
        <v>42000</v>
      </c>
      <c r="AW23" s="1111"/>
      <c r="AX23" s="1111"/>
      <c r="AY23" s="1111"/>
      <c r="AZ23" s="1111"/>
      <c r="BA23" s="1111"/>
      <c r="BB23" s="1111"/>
      <c r="BC23" s="1111"/>
      <c r="BD23" s="1111"/>
      <c r="BE23" s="1111"/>
      <c r="BF23" s="1111"/>
      <c r="BG23" s="1111"/>
      <c r="BH23" s="1111"/>
      <c r="BI23" s="1111"/>
      <c r="BJ23" s="1111"/>
      <c r="BK23" s="1111"/>
      <c r="BL23" s="1111"/>
      <c r="BM23" s="1111"/>
      <c r="BN23" s="1111"/>
      <c r="BO23" s="1111"/>
      <c r="BP23" s="1111"/>
      <c r="BQ23" s="1111"/>
      <c r="BR23" s="1111"/>
      <c r="BS23" s="1111"/>
      <c r="BT23" s="1111"/>
      <c r="BU23" s="1111"/>
      <c r="BV23" s="1111"/>
      <c r="BW23" s="1111"/>
      <c r="BX23" s="1111"/>
      <c r="BY23" s="1111"/>
      <c r="BZ23" s="1111"/>
      <c r="CA23" s="1111"/>
      <c r="CB23" s="1111"/>
      <c r="CC23" s="1111"/>
      <c r="CD23" s="1111"/>
      <c r="CE23" s="1111"/>
      <c r="CF23" s="1111"/>
      <c r="CG23" s="1111"/>
      <c r="CH23" s="1111"/>
      <c r="CI23" s="1111"/>
      <c r="CJ23" s="1111"/>
      <c r="CK23" s="1110"/>
    </row>
    <row r="24" spans="1:89" ht="14.4" x14ac:dyDescent="0.3">
      <c r="A24" s="1110"/>
      <c r="B24" s="1110"/>
      <c r="C24" s="1110"/>
      <c r="D24" s="1110"/>
      <c r="E24" s="1110"/>
      <c r="F24" s="1110">
        <v>130</v>
      </c>
      <c r="G24" s="1110" t="s">
        <v>631</v>
      </c>
      <c r="H24" s="1110">
        <v>15</v>
      </c>
      <c r="I24" s="1110">
        <v>3.37</v>
      </c>
      <c r="J24" s="1179">
        <f t="shared" ref="J24:J28" si="29">H24*I24/100</f>
        <v>0.50550000000000006</v>
      </c>
      <c r="K24" s="1110">
        <v>0.41</v>
      </c>
      <c r="L24" s="1110">
        <v>87</v>
      </c>
      <c r="M24" s="1110"/>
      <c r="N24" s="1110"/>
      <c r="O24" s="1110">
        <v>0.4</v>
      </c>
      <c r="P24" s="1110">
        <v>21</v>
      </c>
      <c r="Q24" s="1110"/>
      <c r="R24" s="1110"/>
      <c r="S24" s="1110"/>
      <c r="T24" s="1111"/>
      <c r="U24" s="1111" t="s">
        <v>339</v>
      </c>
      <c r="V24" s="1111"/>
      <c r="W24" s="1167">
        <v>32000</v>
      </c>
      <c r="X24" s="1167">
        <f t="shared" si="28"/>
        <v>32640</v>
      </c>
      <c r="Y24" s="1167">
        <f t="shared" si="27"/>
        <v>33280</v>
      </c>
      <c r="Z24" s="1167">
        <f t="shared" si="27"/>
        <v>33920</v>
      </c>
      <c r="AA24" s="1167">
        <f t="shared" si="27"/>
        <v>34560</v>
      </c>
      <c r="AB24" s="1167">
        <f t="shared" si="27"/>
        <v>35200</v>
      </c>
      <c r="AC24" s="1167">
        <f t="shared" si="27"/>
        <v>35840</v>
      </c>
      <c r="AD24" s="1167">
        <f t="shared" si="27"/>
        <v>36480.000000000007</v>
      </c>
      <c r="AE24" s="1167">
        <f t="shared" si="27"/>
        <v>37120</v>
      </c>
      <c r="AF24" s="1167">
        <f t="shared" si="27"/>
        <v>37760</v>
      </c>
      <c r="AG24" s="1167">
        <f t="shared" si="27"/>
        <v>38400</v>
      </c>
      <c r="AH24" s="1167">
        <f t="shared" si="27"/>
        <v>39040</v>
      </c>
      <c r="AI24" s="1167">
        <f t="shared" si="27"/>
        <v>39680</v>
      </c>
      <c r="AJ24" s="1167">
        <f t="shared" si="27"/>
        <v>40320</v>
      </c>
      <c r="AK24" s="1167">
        <f t="shared" si="27"/>
        <v>40960</v>
      </c>
      <c r="AL24" s="1167">
        <f t="shared" si="27"/>
        <v>41600</v>
      </c>
      <c r="AM24" s="1167">
        <f t="shared" si="27"/>
        <v>42240</v>
      </c>
      <c r="AN24" s="1167">
        <f t="shared" si="27"/>
        <v>42880</v>
      </c>
      <c r="AO24" s="1167">
        <f t="shared" si="27"/>
        <v>43519.999999999993</v>
      </c>
      <c r="AP24" s="1167">
        <f t="shared" si="27"/>
        <v>44160</v>
      </c>
      <c r="AQ24" s="1167">
        <f t="shared" si="27"/>
        <v>44800</v>
      </c>
      <c r="AR24" s="1167">
        <f t="shared" si="27"/>
        <v>45440</v>
      </c>
      <c r="AS24" s="1167">
        <f t="shared" si="27"/>
        <v>46080</v>
      </c>
      <c r="AT24" s="1167">
        <f t="shared" si="27"/>
        <v>46720</v>
      </c>
      <c r="AU24" s="1167">
        <f t="shared" si="27"/>
        <v>47360</v>
      </c>
      <c r="AV24" s="1167">
        <f t="shared" si="27"/>
        <v>48000</v>
      </c>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1"/>
      <c r="BU24" s="1111"/>
      <c r="BV24" s="1111"/>
      <c r="BW24" s="1111"/>
      <c r="BX24" s="1111"/>
      <c r="BY24" s="1111"/>
      <c r="BZ24" s="1111"/>
      <c r="CA24" s="1111"/>
      <c r="CB24" s="1111"/>
      <c r="CC24" s="1111"/>
      <c r="CD24" s="1111"/>
      <c r="CE24" s="1111"/>
      <c r="CF24" s="1111"/>
      <c r="CG24" s="1111"/>
      <c r="CH24" s="1111"/>
      <c r="CI24" s="1111"/>
      <c r="CJ24" s="1111"/>
      <c r="CK24" s="1110"/>
    </row>
    <row r="25" spans="1:89" ht="14.4" x14ac:dyDescent="0.3">
      <c r="A25" s="1110"/>
      <c r="B25" s="1110"/>
      <c r="C25" s="1110"/>
      <c r="D25" s="1110"/>
      <c r="E25" s="1110"/>
      <c r="F25" s="1110">
        <v>140</v>
      </c>
      <c r="G25" s="1110" t="s">
        <v>632</v>
      </c>
      <c r="H25" s="1110">
        <v>10</v>
      </c>
      <c r="I25" s="1110">
        <v>4.75</v>
      </c>
      <c r="J25" s="1179">
        <f t="shared" si="29"/>
        <v>0.47499999999999998</v>
      </c>
      <c r="K25" s="1110">
        <v>0.8</v>
      </c>
      <c r="L25" s="1110">
        <v>73</v>
      </c>
      <c r="M25" s="1110"/>
      <c r="N25" s="1110"/>
      <c r="O25" s="1110">
        <v>0.8</v>
      </c>
      <c r="P25" s="1110">
        <v>42</v>
      </c>
      <c r="Q25" s="1110"/>
      <c r="R25" s="1110"/>
      <c r="S25" s="1110"/>
      <c r="T25" s="1111"/>
      <c r="U25" s="1111" t="s">
        <v>355</v>
      </c>
      <c r="V25" s="1111"/>
      <c r="W25" s="1167">
        <v>10000</v>
      </c>
      <c r="X25" s="1167">
        <f t="shared" si="28"/>
        <v>10200</v>
      </c>
      <c r="Y25" s="1167">
        <f t="shared" si="27"/>
        <v>10400</v>
      </c>
      <c r="Z25" s="1167">
        <f t="shared" si="27"/>
        <v>10600</v>
      </c>
      <c r="AA25" s="1167">
        <f t="shared" si="27"/>
        <v>10800</v>
      </c>
      <c r="AB25" s="1167">
        <f t="shared" si="27"/>
        <v>11000</v>
      </c>
      <c r="AC25" s="1167">
        <f t="shared" si="27"/>
        <v>11200.000000000002</v>
      </c>
      <c r="AD25" s="1167">
        <f t="shared" si="27"/>
        <v>11400.000000000002</v>
      </c>
      <c r="AE25" s="1167">
        <f t="shared" si="27"/>
        <v>11600</v>
      </c>
      <c r="AF25" s="1167">
        <f t="shared" si="27"/>
        <v>11800</v>
      </c>
      <c r="AG25" s="1167">
        <f t="shared" si="27"/>
        <v>12000</v>
      </c>
      <c r="AH25" s="1167">
        <f t="shared" si="27"/>
        <v>12200</v>
      </c>
      <c r="AI25" s="1167">
        <f t="shared" si="27"/>
        <v>12400</v>
      </c>
      <c r="AJ25" s="1167">
        <f t="shared" si="27"/>
        <v>12600</v>
      </c>
      <c r="AK25" s="1167">
        <f t="shared" si="27"/>
        <v>12800</v>
      </c>
      <c r="AL25" s="1167">
        <f t="shared" si="27"/>
        <v>13000</v>
      </c>
      <c r="AM25" s="1167">
        <f t="shared" si="27"/>
        <v>13200</v>
      </c>
      <c r="AN25" s="1167">
        <f t="shared" si="27"/>
        <v>13400</v>
      </c>
      <c r="AO25" s="1167">
        <f t="shared" si="27"/>
        <v>13599.999999999998</v>
      </c>
      <c r="AP25" s="1167">
        <f t="shared" si="27"/>
        <v>13799.999999999998</v>
      </c>
      <c r="AQ25" s="1167">
        <f t="shared" si="27"/>
        <v>14000</v>
      </c>
      <c r="AR25" s="1167">
        <f t="shared" si="27"/>
        <v>14200</v>
      </c>
      <c r="AS25" s="1167">
        <f t="shared" si="27"/>
        <v>14400</v>
      </c>
      <c r="AT25" s="1167">
        <f t="shared" si="27"/>
        <v>14600</v>
      </c>
      <c r="AU25" s="1167">
        <f t="shared" si="27"/>
        <v>14800</v>
      </c>
      <c r="AV25" s="1167">
        <f t="shared" si="27"/>
        <v>15000</v>
      </c>
      <c r="AW25" s="1111"/>
      <c r="AX25" s="1111"/>
      <c r="AY25" s="1111"/>
      <c r="AZ25" s="1111"/>
      <c r="BA25" s="1111"/>
      <c r="BB25" s="1111"/>
      <c r="BC25" s="1111"/>
      <c r="BD25" s="1111"/>
      <c r="BE25" s="1111"/>
      <c r="BF25" s="1111"/>
      <c r="BG25" s="1111"/>
      <c r="BH25" s="1111"/>
      <c r="BI25" s="1111"/>
      <c r="BJ25" s="1111"/>
      <c r="BK25" s="1111"/>
      <c r="BL25" s="1111"/>
      <c r="BM25" s="1111"/>
      <c r="BN25" s="1111"/>
      <c r="BO25" s="1111"/>
      <c r="BP25" s="1111"/>
      <c r="BQ25" s="1111"/>
      <c r="BR25" s="1111"/>
      <c r="BS25" s="1111"/>
      <c r="BT25" s="1111"/>
      <c r="BU25" s="1111"/>
      <c r="BV25" s="1111"/>
      <c r="BW25" s="1111"/>
      <c r="BX25" s="1111"/>
      <c r="BY25" s="1111"/>
      <c r="BZ25" s="1111"/>
      <c r="CA25" s="1111"/>
      <c r="CB25" s="1111"/>
      <c r="CC25" s="1111"/>
      <c r="CD25" s="1111"/>
      <c r="CE25" s="1111"/>
      <c r="CF25" s="1111"/>
      <c r="CG25" s="1111"/>
      <c r="CH25" s="1111"/>
      <c r="CI25" s="1111"/>
      <c r="CJ25" s="1111"/>
      <c r="CK25" s="1110"/>
    </row>
    <row r="26" spans="1:89" ht="14.4" x14ac:dyDescent="0.3">
      <c r="A26" s="1110"/>
      <c r="B26" s="1110"/>
      <c r="C26" s="1110"/>
      <c r="D26" s="1110"/>
      <c r="E26" s="1110"/>
      <c r="F26" s="1110">
        <v>150</v>
      </c>
      <c r="G26" s="1110" t="s">
        <v>633</v>
      </c>
      <c r="H26" s="1110">
        <v>20</v>
      </c>
      <c r="I26" s="1110">
        <v>1.71</v>
      </c>
      <c r="J26" s="1179">
        <f t="shared" si="29"/>
        <v>0.34200000000000003</v>
      </c>
      <c r="K26" s="1110">
        <v>0.21</v>
      </c>
      <c r="L26" s="1110">
        <v>66</v>
      </c>
      <c r="M26" s="1110"/>
      <c r="N26" s="1110"/>
      <c r="O26" s="1110">
        <v>0.23</v>
      </c>
      <c r="P26" s="1110">
        <v>24</v>
      </c>
      <c r="Q26" s="1110"/>
      <c r="R26" s="1110"/>
      <c r="S26" s="1110"/>
      <c r="T26" s="1111"/>
      <c r="U26" s="1111" t="s">
        <v>356</v>
      </c>
      <c r="V26" s="1111"/>
      <c r="W26" s="1167">
        <v>7600</v>
      </c>
      <c r="X26" s="1167">
        <f t="shared" si="28"/>
        <v>7752</v>
      </c>
      <c r="Y26" s="1167">
        <f t="shared" si="27"/>
        <v>7904</v>
      </c>
      <c r="Z26" s="1167">
        <f t="shared" si="27"/>
        <v>8056</v>
      </c>
      <c r="AA26" s="1167">
        <f t="shared" si="27"/>
        <v>8208</v>
      </c>
      <c r="AB26" s="1167">
        <f t="shared" si="27"/>
        <v>8360</v>
      </c>
      <c r="AC26" s="1167">
        <f t="shared" si="27"/>
        <v>8512</v>
      </c>
      <c r="AD26" s="1167">
        <f t="shared" si="27"/>
        <v>8664.0000000000018</v>
      </c>
      <c r="AE26" s="1167">
        <f t="shared" si="27"/>
        <v>8816</v>
      </c>
      <c r="AF26" s="1167">
        <f t="shared" si="27"/>
        <v>8968</v>
      </c>
      <c r="AG26" s="1167">
        <f t="shared" si="27"/>
        <v>9120</v>
      </c>
      <c r="AH26" s="1167">
        <f t="shared" si="27"/>
        <v>9272</v>
      </c>
      <c r="AI26" s="1167">
        <f t="shared" si="27"/>
        <v>9424</v>
      </c>
      <c r="AJ26" s="1167">
        <f t="shared" si="27"/>
        <v>9576</v>
      </c>
      <c r="AK26" s="1167">
        <f t="shared" si="27"/>
        <v>9728</v>
      </c>
      <c r="AL26" s="1167">
        <f t="shared" si="27"/>
        <v>9880</v>
      </c>
      <c r="AM26" s="1167">
        <f t="shared" si="27"/>
        <v>10032</v>
      </c>
      <c r="AN26" s="1167">
        <f t="shared" si="27"/>
        <v>10184</v>
      </c>
      <c r="AO26" s="1167">
        <f t="shared" si="27"/>
        <v>10335.999999999998</v>
      </c>
      <c r="AP26" s="1167">
        <f t="shared" si="27"/>
        <v>10488</v>
      </c>
      <c r="AQ26" s="1167">
        <f t="shared" si="27"/>
        <v>10640</v>
      </c>
      <c r="AR26" s="1167">
        <f t="shared" si="27"/>
        <v>10792</v>
      </c>
      <c r="AS26" s="1167">
        <f t="shared" si="27"/>
        <v>10944</v>
      </c>
      <c r="AT26" s="1167">
        <f t="shared" si="27"/>
        <v>11096</v>
      </c>
      <c r="AU26" s="1167">
        <f t="shared" si="27"/>
        <v>11248</v>
      </c>
      <c r="AV26" s="1167">
        <f t="shared" si="27"/>
        <v>11400</v>
      </c>
      <c r="AW26" s="1111"/>
      <c r="AX26" s="1111"/>
      <c r="AY26" s="1111"/>
      <c r="AZ26" s="1111"/>
      <c r="BA26" s="1111"/>
      <c r="BB26" s="1111"/>
      <c r="BC26" s="1111"/>
      <c r="BD26" s="1111"/>
      <c r="BE26" s="1111"/>
      <c r="BF26" s="1111"/>
      <c r="BG26" s="1111"/>
      <c r="BH26" s="1111"/>
      <c r="BI26" s="1111"/>
      <c r="BJ26" s="1111"/>
      <c r="BK26" s="1111"/>
      <c r="BL26" s="1111"/>
      <c r="BM26" s="1111"/>
      <c r="BN26" s="1111"/>
      <c r="BO26" s="1111"/>
      <c r="BP26" s="1111"/>
      <c r="BQ26" s="1111"/>
      <c r="BR26" s="1111"/>
      <c r="BS26" s="1111"/>
      <c r="BT26" s="1111"/>
      <c r="BU26" s="1111"/>
      <c r="BV26" s="1111"/>
      <c r="BW26" s="1111"/>
      <c r="BX26" s="1111"/>
      <c r="BY26" s="1111"/>
      <c r="BZ26" s="1111"/>
      <c r="CA26" s="1111"/>
      <c r="CB26" s="1111"/>
      <c r="CC26" s="1111"/>
      <c r="CD26" s="1111"/>
      <c r="CE26" s="1111"/>
      <c r="CF26" s="1111"/>
      <c r="CG26" s="1111"/>
      <c r="CH26" s="1111"/>
      <c r="CI26" s="1111"/>
      <c r="CJ26" s="1111"/>
      <c r="CK26" s="1110"/>
    </row>
    <row r="27" spans="1:89" ht="14.4" x14ac:dyDescent="0.3">
      <c r="A27" s="1110"/>
      <c r="B27" s="1110"/>
      <c r="C27" s="1110"/>
      <c r="D27" s="1110"/>
      <c r="E27" s="1110"/>
      <c r="F27" s="1110">
        <v>154</v>
      </c>
      <c r="G27" s="1110" t="s">
        <v>634</v>
      </c>
      <c r="H27" s="1110">
        <v>20</v>
      </c>
      <c r="I27" s="1110">
        <v>1.4</v>
      </c>
      <c r="J27" s="1179">
        <f t="shared" si="29"/>
        <v>0.28000000000000003</v>
      </c>
      <c r="K27" s="1110">
        <v>0.13</v>
      </c>
      <c r="L27" s="1110">
        <v>78</v>
      </c>
      <c r="M27" s="1110"/>
      <c r="N27" s="1110"/>
      <c r="O27" s="1110">
        <v>0.17</v>
      </c>
      <c r="P27" s="1110">
        <v>34</v>
      </c>
      <c r="Q27" s="1110"/>
      <c r="R27" s="1110"/>
      <c r="S27" s="1110"/>
      <c r="T27" s="1111"/>
      <c r="U27" s="1111" t="s">
        <v>357</v>
      </c>
      <c r="V27" s="1111"/>
      <c r="W27" s="1167">
        <v>6000</v>
      </c>
      <c r="X27" s="1167">
        <f t="shared" si="28"/>
        <v>6120</v>
      </c>
      <c r="Y27" s="1167">
        <f t="shared" si="27"/>
        <v>6240</v>
      </c>
      <c r="Z27" s="1167">
        <f t="shared" si="27"/>
        <v>6360</v>
      </c>
      <c r="AA27" s="1167">
        <f t="shared" si="27"/>
        <v>6480</v>
      </c>
      <c r="AB27" s="1167">
        <f t="shared" si="27"/>
        <v>6600.0000000000009</v>
      </c>
      <c r="AC27" s="1167">
        <f t="shared" si="27"/>
        <v>6720.0000000000009</v>
      </c>
      <c r="AD27" s="1167">
        <f t="shared" si="27"/>
        <v>6840.0000000000009</v>
      </c>
      <c r="AE27" s="1167">
        <f t="shared" si="27"/>
        <v>6959.9999999999991</v>
      </c>
      <c r="AF27" s="1167">
        <f t="shared" si="27"/>
        <v>7080</v>
      </c>
      <c r="AG27" s="1167">
        <f t="shared" si="27"/>
        <v>7200</v>
      </c>
      <c r="AH27" s="1167">
        <f t="shared" si="27"/>
        <v>7320</v>
      </c>
      <c r="AI27" s="1167">
        <f t="shared" si="27"/>
        <v>7440</v>
      </c>
      <c r="AJ27" s="1167">
        <f t="shared" si="27"/>
        <v>7560</v>
      </c>
      <c r="AK27" s="1167">
        <f t="shared" si="27"/>
        <v>7680</v>
      </c>
      <c r="AL27" s="1167">
        <f t="shared" si="27"/>
        <v>7800</v>
      </c>
      <c r="AM27" s="1167">
        <f t="shared" si="27"/>
        <v>7920</v>
      </c>
      <c r="AN27" s="1167">
        <f t="shared" si="27"/>
        <v>8040.0000000000009</v>
      </c>
      <c r="AO27" s="1167">
        <f t="shared" si="27"/>
        <v>8159.9999999999991</v>
      </c>
      <c r="AP27" s="1167">
        <f t="shared" si="27"/>
        <v>8280</v>
      </c>
      <c r="AQ27" s="1167">
        <f t="shared" si="27"/>
        <v>8400</v>
      </c>
      <c r="AR27" s="1167">
        <f t="shared" si="27"/>
        <v>8520</v>
      </c>
      <c r="AS27" s="1167">
        <f t="shared" si="27"/>
        <v>8640</v>
      </c>
      <c r="AT27" s="1167">
        <f t="shared" si="27"/>
        <v>8760</v>
      </c>
      <c r="AU27" s="1167">
        <f t="shared" si="27"/>
        <v>8880</v>
      </c>
      <c r="AV27" s="1167">
        <f t="shared" si="27"/>
        <v>9000</v>
      </c>
      <c r="AW27" s="1111"/>
      <c r="AX27" s="1111"/>
      <c r="AY27" s="1111"/>
      <c r="AZ27" s="1111"/>
      <c r="BA27" s="1111"/>
      <c r="BB27" s="1111"/>
      <c r="BC27" s="1111"/>
      <c r="BD27" s="1111"/>
      <c r="BE27" s="1111"/>
      <c r="BF27" s="1111"/>
      <c r="BG27" s="1111"/>
      <c r="BH27" s="1111"/>
      <c r="BI27" s="1111"/>
      <c r="BJ27" s="1111"/>
      <c r="BK27" s="1111"/>
      <c r="BL27" s="1111"/>
      <c r="BM27" s="1111"/>
      <c r="BN27" s="1111"/>
      <c r="BO27" s="1111"/>
      <c r="BP27" s="1111"/>
      <c r="BQ27" s="1111"/>
      <c r="BR27" s="1111"/>
      <c r="BS27" s="1111"/>
      <c r="BT27" s="1111"/>
      <c r="BU27" s="1111"/>
      <c r="BV27" s="1111"/>
      <c r="BW27" s="1111"/>
      <c r="BX27" s="1111"/>
      <c r="BY27" s="1111"/>
      <c r="BZ27" s="1111"/>
      <c r="CA27" s="1111"/>
      <c r="CB27" s="1111"/>
      <c r="CC27" s="1111"/>
      <c r="CD27" s="1111"/>
      <c r="CE27" s="1111"/>
      <c r="CF27" s="1111"/>
      <c r="CG27" s="1111"/>
      <c r="CH27" s="1111"/>
      <c r="CI27" s="1111"/>
      <c r="CJ27" s="1111"/>
      <c r="CK27" s="1110"/>
    </row>
    <row r="28" spans="1:89" ht="14.4" x14ac:dyDescent="0.3">
      <c r="A28" s="1110"/>
      <c r="B28" s="1110"/>
      <c r="C28" s="1110"/>
      <c r="D28" s="1178"/>
      <c r="E28" s="1110"/>
      <c r="F28" s="1110">
        <v>160</v>
      </c>
      <c r="G28" s="1110" t="s">
        <v>635</v>
      </c>
      <c r="H28" s="1110">
        <v>25</v>
      </c>
      <c r="I28" s="1110">
        <v>0.99</v>
      </c>
      <c r="J28" s="1179">
        <f t="shared" si="29"/>
        <v>0.2475</v>
      </c>
      <c r="K28" s="1110">
        <v>0.15</v>
      </c>
      <c r="L28" s="1110">
        <v>50</v>
      </c>
      <c r="M28" s="1110"/>
      <c r="N28" s="1110"/>
      <c r="O28" s="1110">
        <v>0.13</v>
      </c>
      <c r="P28" s="1110">
        <v>50</v>
      </c>
      <c r="Q28" s="1110"/>
      <c r="R28" s="1110"/>
      <c r="S28" s="1110"/>
      <c r="T28" s="1111"/>
      <c r="U28" s="1111" t="s">
        <v>347</v>
      </c>
      <c r="V28" s="1111"/>
      <c r="W28" s="1167">
        <v>4000</v>
      </c>
      <c r="X28" s="1167">
        <f t="shared" si="28"/>
        <v>4080</v>
      </c>
      <c r="Y28" s="1167">
        <f t="shared" si="27"/>
        <v>4160</v>
      </c>
      <c r="Z28" s="1167">
        <f t="shared" si="27"/>
        <v>4240</v>
      </c>
      <c r="AA28" s="1167">
        <f t="shared" si="27"/>
        <v>4320</v>
      </c>
      <c r="AB28" s="1167">
        <f t="shared" si="27"/>
        <v>4400</v>
      </c>
      <c r="AC28" s="1167">
        <f t="shared" si="27"/>
        <v>4480</v>
      </c>
      <c r="AD28" s="1167">
        <f t="shared" si="27"/>
        <v>4560.0000000000009</v>
      </c>
      <c r="AE28" s="1167">
        <f t="shared" si="27"/>
        <v>4640</v>
      </c>
      <c r="AF28" s="1167">
        <f t="shared" si="27"/>
        <v>4720</v>
      </c>
      <c r="AG28" s="1167">
        <f t="shared" si="27"/>
        <v>4800</v>
      </c>
      <c r="AH28" s="1167">
        <f t="shared" si="27"/>
        <v>4880</v>
      </c>
      <c r="AI28" s="1167">
        <f t="shared" si="27"/>
        <v>4960</v>
      </c>
      <c r="AJ28" s="1167">
        <f t="shared" si="27"/>
        <v>5040</v>
      </c>
      <c r="AK28" s="1167">
        <f t="shared" si="27"/>
        <v>5120</v>
      </c>
      <c r="AL28" s="1167">
        <f t="shared" si="27"/>
        <v>5200</v>
      </c>
      <c r="AM28" s="1167">
        <f t="shared" si="27"/>
        <v>5280</v>
      </c>
      <c r="AN28" s="1167">
        <f t="shared" si="27"/>
        <v>5360</v>
      </c>
      <c r="AO28" s="1167">
        <f t="shared" si="27"/>
        <v>5439.9999999999991</v>
      </c>
      <c r="AP28" s="1167">
        <f t="shared" si="27"/>
        <v>5520</v>
      </c>
      <c r="AQ28" s="1167">
        <f t="shared" si="27"/>
        <v>5600</v>
      </c>
      <c r="AR28" s="1167">
        <f t="shared" si="27"/>
        <v>5680</v>
      </c>
      <c r="AS28" s="1167">
        <f t="shared" si="27"/>
        <v>5760</v>
      </c>
      <c r="AT28" s="1167">
        <f t="shared" si="27"/>
        <v>5840</v>
      </c>
      <c r="AU28" s="1167">
        <f t="shared" si="27"/>
        <v>5920</v>
      </c>
      <c r="AV28" s="1167">
        <f t="shared" si="27"/>
        <v>6000</v>
      </c>
      <c r="AW28" s="1111"/>
      <c r="AX28" s="1111"/>
      <c r="AY28" s="1111"/>
      <c r="AZ28" s="1111"/>
      <c r="BA28" s="1111"/>
      <c r="BB28" s="1111"/>
      <c r="BC28" s="1111"/>
      <c r="BD28" s="1111"/>
      <c r="BE28" s="1111"/>
      <c r="BF28" s="1111"/>
      <c r="BG28" s="1111"/>
      <c r="BH28" s="1111"/>
      <c r="BI28" s="1111"/>
      <c r="BJ28" s="1111"/>
      <c r="BK28" s="1111"/>
      <c r="BL28" s="1111"/>
      <c r="BM28" s="1111"/>
      <c r="BN28" s="1111"/>
      <c r="BO28" s="1111"/>
      <c r="BP28" s="1111"/>
      <c r="BQ28" s="1111"/>
      <c r="BR28" s="1111"/>
      <c r="BS28" s="1111"/>
      <c r="BT28" s="1111"/>
      <c r="BU28" s="1111"/>
      <c r="BV28" s="1111"/>
      <c r="BW28" s="1111"/>
      <c r="BX28" s="1111"/>
      <c r="BY28" s="1111"/>
      <c r="BZ28" s="1111"/>
      <c r="CA28" s="1111"/>
      <c r="CB28" s="1111"/>
      <c r="CC28" s="1111"/>
      <c r="CD28" s="1111"/>
      <c r="CE28" s="1111"/>
      <c r="CF28" s="1111"/>
      <c r="CG28" s="1111"/>
      <c r="CH28" s="1111"/>
      <c r="CI28" s="1111"/>
      <c r="CJ28" s="1111"/>
      <c r="CK28" s="1110"/>
    </row>
    <row r="29" spans="1:89" ht="14.4" x14ac:dyDescent="0.3">
      <c r="A29" s="1110"/>
      <c r="B29" s="1110"/>
      <c r="C29" s="1110"/>
      <c r="D29" s="1110"/>
      <c r="E29" s="1110"/>
      <c r="F29" s="1110"/>
      <c r="G29" s="1110"/>
      <c r="H29" s="1110">
        <f>SUM(H23:H28)</f>
        <v>100</v>
      </c>
      <c r="I29" s="1110"/>
      <c r="J29" s="1179">
        <f>SUM(J23:J28)</f>
        <v>2.3370000000000002</v>
      </c>
      <c r="K29" s="1110">
        <f>(H23*K23+H24*K24+H25*K25+H26*K26+H27*K27+H28*K28)/100</f>
        <v>0.33799999999999997</v>
      </c>
      <c r="L29" s="1110">
        <f>(H23*L23+H24*L24+H25*L25+H26*L26+H27*L27+H28*L28)/10000</f>
        <v>0.70350000000000001</v>
      </c>
      <c r="M29" s="1110">
        <f>100-L29</f>
        <v>99.296499999999995</v>
      </c>
      <c r="N29" s="1110"/>
      <c r="O29" s="1110">
        <f>(H23*O23+H24*O24+H25*O25+H26*O26+H27*O27+H28*O28)/100</f>
        <v>0.33250000000000002</v>
      </c>
      <c r="P29" s="1110">
        <f>(H23*P23+H24*P24+H25*P25+H26*P26+H27*P27+H28*P28)/10000</f>
        <v>0.33250000000000002</v>
      </c>
      <c r="Q29" s="1110">
        <f>100-P29</f>
        <v>99.667500000000004</v>
      </c>
      <c r="R29" s="1110"/>
      <c r="S29" s="1110"/>
      <c r="T29" s="1111"/>
      <c r="U29" s="1111" t="s">
        <v>348</v>
      </c>
      <c r="V29" s="1111"/>
      <c r="W29" s="1167">
        <v>2400</v>
      </c>
      <c r="X29" s="1167">
        <f t="shared" si="28"/>
        <v>2448</v>
      </c>
      <c r="Y29" s="1167">
        <f t="shared" si="27"/>
        <v>2496</v>
      </c>
      <c r="Z29" s="1167">
        <f t="shared" si="27"/>
        <v>2544</v>
      </c>
      <c r="AA29" s="1167">
        <f t="shared" si="27"/>
        <v>2592</v>
      </c>
      <c r="AB29" s="1167">
        <f t="shared" si="27"/>
        <v>2640</v>
      </c>
      <c r="AC29" s="1167">
        <f t="shared" si="27"/>
        <v>2688.0000000000005</v>
      </c>
      <c r="AD29" s="1167">
        <f t="shared" si="27"/>
        <v>2736.0000000000005</v>
      </c>
      <c r="AE29" s="1167">
        <f t="shared" si="27"/>
        <v>2784</v>
      </c>
      <c r="AF29" s="1167">
        <f t="shared" si="27"/>
        <v>2832</v>
      </c>
      <c r="AG29" s="1167">
        <f t="shared" si="27"/>
        <v>2880</v>
      </c>
      <c r="AH29" s="1167">
        <f t="shared" si="27"/>
        <v>2928</v>
      </c>
      <c r="AI29" s="1167">
        <f t="shared" si="27"/>
        <v>2976</v>
      </c>
      <c r="AJ29" s="1167">
        <f t="shared" si="27"/>
        <v>3024</v>
      </c>
      <c r="AK29" s="1167">
        <f t="shared" si="27"/>
        <v>3072</v>
      </c>
      <c r="AL29" s="1167">
        <f t="shared" si="27"/>
        <v>3120</v>
      </c>
      <c r="AM29" s="1167">
        <f t="shared" si="27"/>
        <v>3168</v>
      </c>
      <c r="AN29" s="1167">
        <f t="shared" si="27"/>
        <v>3216</v>
      </c>
      <c r="AO29" s="1167">
        <f t="shared" si="27"/>
        <v>3263.9999999999995</v>
      </c>
      <c r="AP29" s="1167">
        <f t="shared" si="27"/>
        <v>3311.9999999999995</v>
      </c>
      <c r="AQ29" s="1167">
        <f t="shared" si="27"/>
        <v>3360</v>
      </c>
      <c r="AR29" s="1167">
        <f t="shared" si="27"/>
        <v>3408</v>
      </c>
      <c r="AS29" s="1167">
        <f t="shared" si="27"/>
        <v>3456</v>
      </c>
      <c r="AT29" s="1167">
        <f t="shared" si="27"/>
        <v>3504</v>
      </c>
      <c r="AU29" s="1167">
        <f t="shared" si="27"/>
        <v>3552</v>
      </c>
      <c r="AV29" s="1167">
        <f t="shared" si="27"/>
        <v>3600</v>
      </c>
      <c r="AW29" s="1111"/>
      <c r="AX29" s="1111"/>
      <c r="AY29" s="1111"/>
      <c r="AZ29" s="1111"/>
      <c r="BA29" s="1111"/>
      <c r="BB29" s="1111"/>
      <c r="BC29" s="1111"/>
      <c r="BD29" s="1111"/>
      <c r="BE29" s="1111"/>
      <c r="BF29" s="1111"/>
      <c r="BG29" s="1111"/>
      <c r="BH29" s="1111"/>
      <c r="BI29" s="1111"/>
      <c r="BJ29" s="1111"/>
      <c r="BK29" s="1111"/>
      <c r="BL29" s="1111"/>
      <c r="BM29" s="1111"/>
      <c r="BN29" s="1111"/>
      <c r="BO29" s="1111"/>
      <c r="BP29" s="1111"/>
      <c r="BQ29" s="1111"/>
      <c r="BR29" s="1111"/>
      <c r="BS29" s="1111"/>
      <c r="BT29" s="1111"/>
      <c r="BU29" s="1111"/>
      <c r="BV29" s="1111"/>
      <c r="BW29" s="1111"/>
      <c r="BX29" s="1111"/>
      <c r="BY29" s="1111"/>
      <c r="BZ29" s="1111"/>
      <c r="CA29" s="1111"/>
      <c r="CB29" s="1111"/>
      <c r="CC29" s="1111"/>
      <c r="CD29" s="1111"/>
      <c r="CE29" s="1111"/>
      <c r="CF29" s="1111"/>
      <c r="CG29" s="1111"/>
      <c r="CH29" s="1111"/>
      <c r="CI29" s="1111"/>
      <c r="CJ29" s="1111"/>
      <c r="CK29" s="1110"/>
    </row>
    <row r="30" spans="1:89" ht="14.4" x14ac:dyDescent="0.3">
      <c r="A30" s="1110"/>
      <c r="B30" s="1110"/>
      <c r="C30" s="1110"/>
      <c r="D30" s="1110"/>
      <c r="E30" s="1110"/>
      <c r="F30" s="1110"/>
      <c r="G30" s="1110"/>
      <c r="H30" s="1110"/>
      <c r="I30" s="1110"/>
      <c r="J30" s="1110"/>
      <c r="K30" s="1110"/>
      <c r="L30" s="1110"/>
      <c r="M30" s="1110"/>
      <c r="N30" s="1110"/>
      <c r="O30" s="1110"/>
      <c r="P30" s="1110"/>
      <c r="Q30" s="1110"/>
      <c r="R30" s="1110"/>
      <c r="S30" s="1110"/>
      <c r="T30" s="1111"/>
      <c r="U30" s="1111" t="s">
        <v>349</v>
      </c>
      <c r="V30" s="1111"/>
      <c r="W30" s="1167">
        <v>6000</v>
      </c>
      <c r="X30" s="1167">
        <f t="shared" si="28"/>
        <v>6120</v>
      </c>
      <c r="Y30" s="1167">
        <f t="shared" si="27"/>
        <v>6240</v>
      </c>
      <c r="Z30" s="1167">
        <f t="shared" si="27"/>
        <v>6360</v>
      </c>
      <c r="AA30" s="1167">
        <f t="shared" si="27"/>
        <v>6480</v>
      </c>
      <c r="AB30" s="1167">
        <f t="shared" si="27"/>
        <v>6600.0000000000009</v>
      </c>
      <c r="AC30" s="1167">
        <f t="shared" si="27"/>
        <v>6720.0000000000009</v>
      </c>
      <c r="AD30" s="1167">
        <f t="shared" si="27"/>
        <v>6840.0000000000009</v>
      </c>
      <c r="AE30" s="1167">
        <f t="shared" si="27"/>
        <v>6959.9999999999991</v>
      </c>
      <c r="AF30" s="1167">
        <f t="shared" si="27"/>
        <v>7080</v>
      </c>
      <c r="AG30" s="1167">
        <f t="shared" si="27"/>
        <v>7200</v>
      </c>
      <c r="AH30" s="1167">
        <f t="shared" si="27"/>
        <v>7320</v>
      </c>
      <c r="AI30" s="1167">
        <f t="shared" si="27"/>
        <v>7440</v>
      </c>
      <c r="AJ30" s="1167">
        <f t="shared" si="27"/>
        <v>7560</v>
      </c>
      <c r="AK30" s="1167">
        <f t="shared" si="27"/>
        <v>7680</v>
      </c>
      <c r="AL30" s="1167">
        <f t="shared" si="27"/>
        <v>7800</v>
      </c>
      <c r="AM30" s="1167">
        <f t="shared" si="27"/>
        <v>7920</v>
      </c>
      <c r="AN30" s="1167">
        <f t="shared" si="27"/>
        <v>8040.0000000000009</v>
      </c>
      <c r="AO30" s="1167">
        <f t="shared" si="27"/>
        <v>8159.9999999999991</v>
      </c>
      <c r="AP30" s="1167">
        <f t="shared" si="27"/>
        <v>8280</v>
      </c>
      <c r="AQ30" s="1167">
        <f t="shared" si="27"/>
        <v>8400</v>
      </c>
      <c r="AR30" s="1167">
        <f t="shared" si="27"/>
        <v>8520</v>
      </c>
      <c r="AS30" s="1167">
        <f t="shared" si="27"/>
        <v>8640</v>
      </c>
      <c r="AT30" s="1167">
        <f t="shared" si="27"/>
        <v>8760</v>
      </c>
      <c r="AU30" s="1167">
        <f t="shared" si="27"/>
        <v>8880</v>
      </c>
      <c r="AV30" s="1167">
        <f t="shared" si="27"/>
        <v>9000</v>
      </c>
      <c r="AW30" s="1111"/>
      <c r="AX30" s="1111"/>
      <c r="AY30" s="1111"/>
      <c r="AZ30" s="1111"/>
      <c r="BA30" s="1111"/>
      <c r="BB30" s="1111"/>
      <c r="BC30" s="1111"/>
      <c r="BD30" s="1111"/>
      <c r="BE30" s="1111"/>
      <c r="BF30" s="1111"/>
      <c r="BG30" s="1111"/>
      <c r="BH30" s="1111"/>
      <c r="BI30" s="1111"/>
      <c r="BJ30" s="1111"/>
      <c r="BK30" s="1111"/>
      <c r="BL30" s="1111"/>
      <c r="BM30" s="1111"/>
      <c r="BN30" s="1111"/>
      <c r="BO30" s="1111"/>
      <c r="BP30" s="1111"/>
      <c r="BQ30" s="1111"/>
      <c r="BR30" s="1111"/>
      <c r="BS30" s="1111"/>
      <c r="BT30" s="1111"/>
      <c r="BU30" s="1111"/>
      <c r="BV30" s="1111"/>
      <c r="BW30" s="1111"/>
      <c r="BX30" s="1111"/>
      <c r="BY30" s="1111"/>
      <c r="BZ30" s="1111"/>
      <c r="CA30" s="1111"/>
      <c r="CB30" s="1111"/>
      <c r="CC30" s="1111"/>
      <c r="CD30" s="1111"/>
      <c r="CE30" s="1111"/>
      <c r="CF30" s="1111"/>
      <c r="CG30" s="1111"/>
      <c r="CH30" s="1111"/>
      <c r="CI30" s="1111"/>
      <c r="CJ30" s="1111"/>
      <c r="CK30" s="1110"/>
    </row>
    <row r="31" spans="1:89" ht="14.4" x14ac:dyDescent="0.3">
      <c r="A31" s="1110"/>
      <c r="B31" s="1110"/>
      <c r="C31" s="1110"/>
      <c r="D31" s="1110"/>
      <c r="E31" s="1110"/>
      <c r="F31" s="1110"/>
      <c r="G31" s="1110"/>
      <c r="H31" s="1110"/>
      <c r="I31" s="1110"/>
      <c r="J31" s="1110"/>
      <c r="K31" s="1110"/>
      <c r="L31" s="1110"/>
      <c r="M31" s="1110"/>
      <c r="N31" s="1110"/>
      <c r="O31" s="1110"/>
      <c r="P31" s="1110"/>
      <c r="Q31" s="1110"/>
      <c r="R31" s="1110"/>
      <c r="S31" s="1110"/>
      <c r="T31" s="1111"/>
      <c r="U31" s="1111" t="s">
        <v>351</v>
      </c>
      <c r="V31" s="1111"/>
      <c r="W31" s="1111">
        <v>100</v>
      </c>
      <c r="X31" s="1167">
        <f>$W31*(1+$T$21*(X$5-$W$5))</f>
        <v>100</v>
      </c>
      <c r="Y31" s="1167">
        <f t="shared" ref="Y31:AV36" si="30">$W31*(1+$T$21*(Y$5-$W$5))</f>
        <v>100</v>
      </c>
      <c r="Z31" s="1167">
        <f t="shared" si="30"/>
        <v>100</v>
      </c>
      <c r="AA31" s="1167">
        <f t="shared" si="30"/>
        <v>100</v>
      </c>
      <c r="AB31" s="1167">
        <f t="shared" si="30"/>
        <v>100</v>
      </c>
      <c r="AC31" s="1167">
        <f t="shared" si="30"/>
        <v>100</v>
      </c>
      <c r="AD31" s="1167">
        <f t="shared" si="30"/>
        <v>100</v>
      </c>
      <c r="AE31" s="1167">
        <f t="shared" si="30"/>
        <v>100</v>
      </c>
      <c r="AF31" s="1167">
        <f t="shared" si="30"/>
        <v>100</v>
      </c>
      <c r="AG31" s="1167">
        <f t="shared" si="30"/>
        <v>100</v>
      </c>
      <c r="AH31" s="1167">
        <f t="shared" si="30"/>
        <v>100</v>
      </c>
      <c r="AI31" s="1167">
        <f t="shared" si="30"/>
        <v>100</v>
      </c>
      <c r="AJ31" s="1167">
        <f t="shared" si="30"/>
        <v>100</v>
      </c>
      <c r="AK31" s="1167">
        <f t="shared" si="30"/>
        <v>100</v>
      </c>
      <c r="AL31" s="1167">
        <f t="shared" si="30"/>
        <v>100</v>
      </c>
      <c r="AM31" s="1167">
        <f t="shared" si="30"/>
        <v>100</v>
      </c>
      <c r="AN31" s="1167">
        <f t="shared" si="30"/>
        <v>100</v>
      </c>
      <c r="AO31" s="1167">
        <f t="shared" si="30"/>
        <v>100</v>
      </c>
      <c r="AP31" s="1167">
        <f t="shared" si="30"/>
        <v>100</v>
      </c>
      <c r="AQ31" s="1167">
        <f t="shared" si="30"/>
        <v>100</v>
      </c>
      <c r="AR31" s="1167">
        <f t="shared" si="30"/>
        <v>100</v>
      </c>
      <c r="AS31" s="1167">
        <f t="shared" si="30"/>
        <v>100</v>
      </c>
      <c r="AT31" s="1167">
        <f t="shared" si="30"/>
        <v>100</v>
      </c>
      <c r="AU31" s="1167">
        <f t="shared" si="30"/>
        <v>100</v>
      </c>
      <c r="AV31" s="1167">
        <f t="shared" si="30"/>
        <v>100</v>
      </c>
      <c r="AW31" s="1111"/>
      <c r="AX31" s="1111"/>
      <c r="AY31" s="1111"/>
      <c r="AZ31" s="1111"/>
      <c r="BA31" s="1111"/>
      <c r="BB31" s="1111"/>
      <c r="BC31" s="1111"/>
      <c r="BD31" s="1111"/>
      <c r="BE31" s="1111"/>
      <c r="BF31" s="1111"/>
      <c r="BG31" s="1111"/>
      <c r="BH31" s="1111"/>
      <c r="BI31" s="1111"/>
      <c r="BJ31" s="1111"/>
      <c r="BK31" s="1111"/>
      <c r="BL31" s="1111"/>
      <c r="BM31" s="1111"/>
      <c r="BN31" s="1111"/>
      <c r="BO31" s="1111"/>
      <c r="BP31" s="1111"/>
      <c r="BQ31" s="1111"/>
      <c r="BR31" s="1111"/>
      <c r="BS31" s="1111"/>
      <c r="BT31" s="1111"/>
      <c r="BU31" s="1111"/>
      <c r="BV31" s="1111"/>
      <c r="BW31" s="1111"/>
      <c r="BX31" s="1111"/>
      <c r="BY31" s="1111"/>
      <c r="BZ31" s="1111"/>
      <c r="CA31" s="1111"/>
      <c r="CB31" s="1111"/>
      <c r="CC31" s="1111"/>
      <c r="CD31" s="1111"/>
      <c r="CE31" s="1111"/>
      <c r="CF31" s="1111"/>
      <c r="CG31" s="1111"/>
      <c r="CH31" s="1111"/>
      <c r="CI31" s="1111"/>
      <c r="CJ31" s="1111"/>
      <c r="CK31" s="1110"/>
    </row>
    <row r="32" spans="1:89" ht="14.4" x14ac:dyDescent="0.3">
      <c r="A32" s="1110"/>
      <c r="B32" s="1110"/>
      <c r="C32" s="1110"/>
      <c r="D32" s="1110"/>
      <c r="E32" s="1110"/>
      <c r="F32" s="1110"/>
      <c r="G32" s="1110"/>
      <c r="H32" s="1110"/>
      <c r="I32" s="1110"/>
      <c r="J32" s="1110"/>
      <c r="K32" s="1110"/>
      <c r="L32" s="1110"/>
      <c r="M32" s="1110"/>
      <c r="N32" s="1110"/>
      <c r="O32" s="1110"/>
      <c r="P32" s="1110"/>
      <c r="Q32" s="1110"/>
      <c r="R32" s="1110"/>
      <c r="S32" s="1110"/>
      <c r="T32" s="1111"/>
      <c r="U32" s="1111" t="s">
        <v>358</v>
      </c>
      <c r="V32" s="1111"/>
      <c r="W32" s="1167">
        <v>3600</v>
      </c>
      <c r="X32" s="1167">
        <f t="shared" ref="X32:AM36" si="31">$W32*(1+$T$21*(X$5-$W$5))</f>
        <v>3600</v>
      </c>
      <c r="Y32" s="1167">
        <f t="shared" si="31"/>
        <v>3600</v>
      </c>
      <c r="Z32" s="1167">
        <f t="shared" si="31"/>
        <v>3600</v>
      </c>
      <c r="AA32" s="1167">
        <f t="shared" si="31"/>
        <v>3600</v>
      </c>
      <c r="AB32" s="1167">
        <f t="shared" si="31"/>
        <v>3600</v>
      </c>
      <c r="AC32" s="1167">
        <f t="shared" si="31"/>
        <v>3600</v>
      </c>
      <c r="AD32" s="1167">
        <f t="shared" si="31"/>
        <v>3600</v>
      </c>
      <c r="AE32" s="1167">
        <f t="shared" si="31"/>
        <v>3600</v>
      </c>
      <c r="AF32" s="1167">
        <f t="shared" si="31"/>
        <v>3600</v>
      </c>
      <c r="AG32" s="1167">
        <f t="shared" si="31"/>
        <v>3600</v>
      </c>
      <c r="AH32" s="1167">
        <f t="shared" si="31"/>
        <v>3600</v>
      </c>
      <c r="AI32" s="1167">
        <f t="shared" si="31"/>
        <v>3600</v>
      </c>
      <c r="AJ32" s="1167">
        <f t="shared" si="31"/>
        <v>3600</v>
      </c>
      <c r="AK32" s="1167">
        <f t="shared" si="31"/>
        <v>3600</v>
      </c>
      <c r="AL32" s="1167">
        <f t="shared" si="31"/>
        <v>3600</v>
      </c>
      <c r="AM32" s="1167">
        <f t="shared" si="31"/>
        <v>3600</v>
      </c>
      <c r="AN32" s="1167">
        <f t="shared" si="30"/>
        <v>3600</v>
      </c>
      <c r="AO32" s="1167">
        <f t="shared" si="30"/>
        <v>3600</v>
      </c>
      <c r="AP32" s="1167">
        <f t="shared" si="30"/>
        <v>3600</v>
      </c>
      <c r="AQ32" s="1167">
        <f t="shared" si="30"/>
        <v>3600</v>
      </c>
      <c r="AR32" s="1167">
        <f t="shared" si="30"/>
        <v>3600</v>
      </c>
      <c r="AS32" s="1167">
        <f t="shared" si="30"/>
        <v>3600</v>
      </c>
      <c r="AT32" s="1167">
        <f t="shared" si="30"/>
        <v>3600</v>
      </c>
      <c r="AU32" s="1167">
        <f t="shared" si="30"/>
        <v>3600</v>
      </c>
      <c r="AV32" s="1167">
        <f t="shared" si="30"/>
        <v>3600</v>
      </c>
      <c r="AW32" s="1111"/>
      <c r="AX32" s="1111"/>
      <c r="AY32" s="1111"/>
      <c r="AZ32" s="1111"/>
      <c r="BA32" s="1111"/>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0"/>
    </row>
    <row r="33" spans="1:89" ht="14.4" x14ac:dyDescent="0.3">
      <c r="A33" s="1110"/>
      <c r="B33" s="1110"/>
      <c r="C33" s="1110"/>
      <c r="D33" s="1110"/>
      <c r="E33" s="1110"/>
      <c r="F33" s="1110"/>
      <c r="G33" s="1110"/>
      <c r="H33" s="1110"/>
      <c r="I33" s="1110"/>
      <c r="J33" s="1110"/>
      <c r="K33" s="1110"/>
      <c r="L33" s="1110"/>
      <c r="M33" s="1110"/>
      <c r="N33" s="1110"/>
      <c r="O33" s="1110"/>
      <c r="P33" s="1110"/>
      <c r="Q33" s="1110"/>
      <c r="R33" s="1110"/>
      <c r="S33" s="1110"/>
      <c r="T33" s="1111"/>
      <c r="U33" s="1111" t="s">
        <v>353</v>
      </c>
      <c r="V33" s="1111"/>
      <c r="W33" s="1167">
        <v>1800</v>
      </c>
      <c r="X33" s="1167">
        <f t="shared" si="31"/>
        <v>1800</v>
      </c>
      <c r="Y33" s="1167">
        <f t="shared" si="30"/>
        <v>1800</v>
      </c>
      <c r="Z33" s="1167">
        <f t="shared" si="30"/>
        <v>1800</v>
      </c>
      <c r="AA33" s="1167">
        <f t="shared" si="30"/>
        <v>1800</v>
      </c>
      <c r="AB33" s="1167">
        <f t="shared" si="30"/>
        <v>1800</v>
      </c>
      <c r="AC33" s="1167">
        <f t="shared" si="30"/>
        <v>1800</v>
      </c>
      <c r="AD33" s="1167">
        <f t="shared" si="30"/>
        <v>1800</v>
      </c>
      <c r="AE33" s="1167">
        <f t="shared" si="30"/>
        <v>1800</v>
      </c>
      <c r="AF33" s="1167">
        <f t="shared" si="30"/>
        <v>1800</v>
      </c>
      <c r="AG33" s="1167">
        <f t="shared" si="30"/>
        <v>1800</v>
      </c>
      <c r="AH33" s="1167">
        <f t="shared" si="30"/>
        <v>1800</v>
      </c>
      <c r="AI33" s="1167">
        <f t="shared" si="30"/>
        <v>1800</v>
      </c>
      <c r="AJ33" s="1167">
        <f t="shared" si="30"/>
        <v>1800</v>
      </c>
      <c r="AK33" s="1167">
        <f t="shared" si="30"/>
        <v>1800</v>
      </c>
      <c r="AL33" s="1167">
        <f t="shared" si="30"/>
        <v>1800</v>
      </c>
      <c r="AM33" s="1167">
        <f t="shared" si="30"/>
        <v>1800</v>
      </c>
      <c r="AN33" s="1167">
        <f t="shared" si="30"/>
        <v>1800</v>
      </c>
      <c r="AO33" s="1167">
        <f t="shared" si="30"/>
        <v>1800</v>
      </c>
      <c r="AP33" s="1167">
        <f t="shared" si="30"/>
        <v>1800</v>
      </c>
      <c r="AQ33" s="1167">
        <f t="shared" si="30"/>
        <v>1800</v>
      </c>
      <c r="AR33" s="1167">
        <f t="shared" si="30"/>
        <v>1800</v>
      </c>
      <c r="AS33" s="1167">
        <f t="shared" si="30"/>
        <v>1800</v>
      </c>
      <c r="AT33" s="1167">
        <f t="shared" si="30"/>
        <v>1800</v>
      </c>
      <c r="AU33" s="1167">
        <f t="shared" si="30"/>
        <v>1800</v>
      </c>
      <c r="AV33" s="1167">
        <f t="shared" si="30"/>
        <v>1800</v>
      </c>
      <c r="AW33" s="1111"/>
      <c r="AX33" s="1111"/>
      <c r="AY33" s="1111"/>
      <c r="AZ33" s="1111"/>
      <c r="BA33" s="1111"/>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0"/>
    </row>
    <row r="34" spans="1:89" ht="14.4" x14ac:dyDescent="0.3">
      <c r="A34" s="1110"/>
      <c r="B34" s="1110"/>
      <c r="C34" s="1110"/>
      <c r="D34" s="1110"/>
      <c r="E34" s="1110"/>
      <c r="F34" s="1110"/>
      <c r="G34" s="1110"/>
      <c r="H34" s="1110"/>
      <c r="I34" s="1110"/>
      <c r="J34" s="1110"/>
      <c r="K34" s="1110"/>
      <c r="L34" s="1110"/>
      <c r="M34" s="1110"/>
      <c r="N34" s="1110"/>
      <c r="O34" s="1110"/>
      <c r="P34" s="1110"/>
      <c r="Q34" s="1110"/>
      <c r="R34" s="1110"/>
      <c r="S34" s="1110"/>
      <c r="T34" s="1111"/>
      <c r="U34" s="1111" t="s">
        <v>350</v>
      </c>
      <c r="V34" s="1111"/>
      <c r="W34" s="1111">
        <v>20</v>
      </c>
      <c r="X34" s="1167">
        <f t="shared" si="31"/>
        <v>20</v>
      </c>
      <c r="Y34" s="1167">
        <f t="shared" si="30"/>
        <v>20</v>
      </c>
      <c r="Z34" s="1167">
        <f t="shared" si="30"/>
        <v>20</v>
      </c>
      <c r="AA34" s="1167">
        <f t="shared" si="30"/>
        <v>20</v>
      </c>
      <c r="AB34" s="1167">
        <f t="shared" si="30"/>
        <v>20</v>
      </c>
      <c r="AC34" s="1167">
        <f t="shared" si="30"/>
        <v>20</v>
      </c>
      <c r="AD34" s="1167">
        <f t="shared" si="30"/>
        <v>20</v>
      </c>
      <c r="AE34" s="1167">
        <f t="shared" si="30"/>
        <v>20</v>
      </c>
      <c r="AF34" s="1167">
        <f t="shared" si="30"/>
        <v>20</v>
      </c>
      <c r="AG34" s="1167">
        <f t="shared" si="30"/>
        <v>20</v>
      </c>
      <c r="AH34" s="1167">
        <f t="shared" si="30"/>
        <v>20</v>
      </c>
      <c r="AI34" s="1167">
        <f t="shared" si="30"/>
        <v>20</v>
      </c>
      <c r="AJ34" s="1167">
        <f t="shared" si="30"/>
        <v>20</v>
      </c>
      <c r="AK34" s="1167">
        <f t="shared" si="30"/>
        <v>20</v>
      </c>
      <c r="AL34" s="1167">
        <f t="shared" si="30"/>
        <v>20</v>
      </c>
      <c r="AM34" s="1167">
        <f t="shared" si="30"/>
        <v>20</v>
      </c>
      <c r="AN34" s="1167">
        <f t="shared" si="30"/>
        <v>20</v>
      </c>
      <c r="AO34" s="1167">
        <f t="shared" si="30"/>
        <v>20</v>
      </c>
      <c r="AP34" s="1167">
        <f t="shared" si="30"/>
        <v>20</v>
      </c>
      <c r="AQ34" s="1167">
        <f t="shared" si="30"/>
        <v>20</v>
      </c>
      <c r="AR34" s="1167">
        <f t="shared" si="30"/>
        <v>20</v>
      </c>
      <c r="AS34" s="1167">
        <f t="shared" si="30"/>
        <v>20</v>
      </c>
      <c r="AT34" s="1167">
        <f t="shared" si="30"/>
        <v>20</v>
      </c>
      <c r="AU34" s="1167">
        <f t="shared" si="30"/>
        <v>20</v>
      </c>
      <c r="AV34" s="1167">
        <f t="shared" si="30"/>
        <v>20</v>
      </c>
      <c r="AW34" s="1111"/>
      <c r="AX34" s="1111"/>
      <c r="AY34" s="1111"/>
      <c r="AZ34" s="1111"/>
      <c r="BA34" s="1111"/>
      <c r="BB34" s="1111"/>
      <c r="BC34" s="1111"/>
      <c r="BD34" s="1111"/>
      <c r="BE34" s="1111"/>
      <c r="BF34" s="1111"/>
      <c r="BG34" s="1111"/>
      <c r="BH34" s="1111"/>
      <c r="BI34" s="1111"/>
      <c r="BJ34" s="1111"/>
      <c r="BK34" s="1111"/>
      <c r="BL34" s="1111"/>
      <c r="BM34" s="1111"/>
      <c r="BN34" s="1111"/>
      <c r="BO34" s="1111"/>
      <c r="BP34" s="1111"/>
      <c r="BQ34" s="1111"/>
      <c r="BR34" s="1111"/>
      <c r="BS34" s="1111"/>
      <c r="BT34" s="1111"/>
      <c r="BU34" s="1111"/>
      <c r="BV34" s="1111"/>
      <c r="BW34" s="1111"/>
      <c r="BX34" s="1111"/>
      <c r="BY34" s="1111"/>
      <c r="BZ34" s="1111"/>
      <c r="CA34" s="1111"/>
      <c r="CB34" s="1111"/>
      <c r="CC34" s="1111"/>
      <c r="CD34" s="1111"/>
      <c r="CE34" s="1111"/>
      <c r="CF34" s="1111"/>
      <c r="CG34" s="1111"/>
      <c r="CH34" s="1111"/>
      <c r="CI34" s="1111"/>
      <c r="CJ34" s="1111"/>
      <c r="CK34" s="1110"/>
    </row>
    <row r="35" spans="1:89" ht="14.4" x14ac:dyDescent="0.3">
      <c r="A35" s="1110"/>
      <c r="B35" s="1110"/>
      <c r="C35" s="1110"/>
      <c r="D35" s="1110"/>
      <c r="E35" s="1110"/>
      <c r="F35" s="1110"/>
      <c r="G35" s="1110"/>
      <c r="H35" s="1110"/>
      <c r="I35" s="1110"/>
      <c r="J35" s="1110"/>
      <c r="K35" s="1110"/>
      <c r="L35" s="1110"/>
      <c r="M35" s="1110"/>
      <c r="N35" s="1110"/>
      <c r="O35" s="1110"/>
      <c r="P35" s="1110"/>
      <c r="Q35" s="1110"/>
      <c r="R35" s="1110"/>
      <c r="S35" s="1110"/>
      <c r="T35" s="1111"/>
      <c r="U35" s="1111" t="s">
        <v>352</v>
      </c>
      <c r="V35" s="1111"/>
      <c r="W35" s="1111">
        <v>300</v>
      </c>
      <c r="X35" s="1167">
        <f t="shared" si="31"/>
        <v>300</v>
      </c>
      <c r="Y35" s="1167">
        <f t="shared" si="30"/>
        <v>300</v>
      </c>
      <c r="Z35" s="1167">
        <f t="shared" si="30"/>
        <v>300</v>
      </c>
      <c r="AA35" s="1167">
        <f t="shared" si="30"/>
        <v>300</v>
      </c>
      <c r="AB35" s="1167">
        <f t="shared" si="30"/>
        <v>300</v>
      </c>
      <c r="AC35" s="1167">
        <f t="shared" si="30"/>
        <v>300</v>
      </c>
      <c r="AD35" s="1167">
        <f t="shared" si="30"/>
        <v>300</v>
      </c>
      <c r="AE35" s="1167">
        <f t="shared" si="30"/>
        <v>300</v>
      </c>
      <c r="AF35" s="1167">
        <f t="shared" si="30"/>
        <v>300</v>
      </c>
      <c r="AG35" s="1167">
        <f t="shared" si="30"/>
        <v>300</v>
      </c>
      <c r="AH35" s="1167">
        <f t="shared" si="30"/>
        <v>300</v>
      </c>
      <c r="AI35" s="1167">
        <f t="shared" si="30"/>
        <v>300</v>
      </c>
      <c r="AJ35" s="1167">
        <f t="shared" si="30"/>
        <v>300</v>
      </c>
      <c r="AK35" s="1167">
        <f t="shared" si="30"/>
        <v>300</v>
      </c>
      <c r="AL35" s="1167">
        <f t="shared" si="30"/>
        <v>300</v>
      </c>
      <c r="AM35" s="1167">
        <f t="shared" si="30"/>
        <v>300</v>
      </c>
      <c r="AN35" s="1167">
        <f t="shared" si="30"/>
        <v>300</v>
      </c>
      <c r="AO35" s="1167">
        <f t="shared" si="30"/>
        <v>300</v>
      </c>
      <c r="AP35" s="1167">
        <f t="shared" si="30"/>
        <v>300</v>
      </c>
      <c r="AQ35" s="1167">
        <f t="shared" si="30"/>
        <v>300</v>
      </c>
      <c r="AR35" s="1167">
        <f t="shared" si="30"/>
        <v>300</v>
      </c>
      <c r="AS35" s="1167">
        <f t="shared" si="30"/>
        <v>300</v>
      </c>
      <c r="AT35" s="1167">
        <f t="shared" si="30"/>
        <v>300</v>
      </c>
      <c r="AU35" s="1167">
        <f t="shared" si="30"/>
        <v>300</v>
      </c>
      <c r="AV35" s="1167">
        <f t="shared" si="30"/>
        <v>300</v>
      </c>
      <c r="AW35" s="1111"/>
      <c r="AX35" s="1111"/>
      <c r="AY35" s="1111"/>
      <c r="AZ35" s="1111"/>
      <c r="BA35" s="1111"/>
      <c r="BB35" s="1111"/>
      <c r="BC35" s="1111"/>
      <c r="BD35" s="1111"/>
      <c r="BE35" s="1111"/>
      <c r="BF35" s="1111"/>
      <c r="BG35" s="1111"/>
      <c r="BH35" s="1111"/>
      <c r="BI35" s="1111"/>
      <c r="BJ35" s="1111"/>
      <c r="BK35" s="1111"/>
      <c r="BL35" s="1111"/>
      <c r="BM35" s="1111"/>
      <c r="BN35" s="1111"/>
      <c r="BO35" s="1111"/>
      <c r="BP35" s="1111"/>
      <c r="BQ35" s="1111"/>
      <c r="BR35" s="1111"/>
      <c r="BS35" s="1111"/>
      <c r="BT35" s="1111"/>
      <c r="BU35" s="1111"/>
      <c r="BV35" s="1111"/>
      <c r="BW35" s="1111"/>
      <c r="BX35" s="1111"/>
      <c r="BY35" s="1111"/>
      <c r="BZ35" s="1111"/>
      <c r="CA35" s="1111"/>
      <c r="CB35" s="1111"/>
      <c r="CC35" s="1111"/>
      <c r="CD35" s="1111"/>
      <c r="CE35" s="1111"/>
      <c r="CF35" s="1111"/>
      <c r="CG35" s="1111"/>
      <c r="CH35" s="1111"/>
      <c r="CI35" s="1111"/>
      <c r="CJ35" s="1111"/>
      <c r="CK35" s="1110"/>
    </row>
    <row r="36" spans="1:89" ht="15" thickBot="1" x14ac:dyDescent="0.35">
      <c r="A36" s="1110"/>
      <c r="B36" s="1110"/>
      <c r="C36" s="1110"/>
      <c r="D36" s="1110"/>
      <c r="E36" s="1110"/>
      <c r="F36" s="1110"/>
      <c r="G36" s="1110"/>
      <c r="H36" s="1110"/>
      <c r="I36" s="1110"/>
      <c r="J36" s="1110"/>
      <c r="K36" s="1110"/>
      <c r="L36" s="1110"/>
      <c r="M36" s="1110"/>
      <c r="N36" s="1110"/>
      <c r="O36" s="1110"/>
      <c r="P36" s="1110"/>
      <c r="Q36" s="1110"/>
      <c r="R36" s="1110"/>
      <c r="S36" s="1110"/>
      <c r="T36" s="1181"/>
      <c r="U36" s="1181" t="s">
        <v>354</v>
      </c>
      <c r="V36" s="1181"/>
      <c r="W36" s="1181">
        <v>0</v>
      </c>
      <c r="X36" s="1184">
        <f t="shared" si="31"/>
        <v>0</v>
      </c>
      <c r="Y36" s="1184">
        <f t="shared" si="30"/>
        <v>0</v>
      </c>
      <c r="Z36" s="1184">
        <f t="shared" si="30"/>
        <v>0</v>
      </c>
      <c r="AA36" s="1184">
        <f t="shared" si="30"/>
        <v>0</v>
      </c>
      <c r="AB36" s="1184">
        <f t="shared" si="30"/>
        <v>0</v>
      </c>
      <c r="AC36" s="1184">
        <f t="shared" si="30"/>
        <v>0</v>
      </c>
      <c r="AD36" s="1184">
        <f t="shared" si="30"/>
        <v>0</v>
      </c>
      <c r="AE36" s="1184">
        <f t="shared" si="30"/>
        <v>0</v>
      </c>
      <c r="AF36" s="1184">
        <f t="shared" si="30"/>
        <v>0</v>
      </c>
      <c r="AG36" s="1184">
        <f t="shared" si="30"/>
        <v>0</v>
      </c>
      <c r="AH36" s="1184">
        <f t="shared" si="30"/>
        <v>0</v>
      </c>
      <c r="AI36" s="1184">
        <f t="shared" si="30"/>
        <v>0</v>
      </c>
      <c r="AJ36" s="1184">
        <f t="shared" si="30"/>
        <v>0</v>
      </c>
      <c r="AK36" s="1184">
        <f t="shared" si="30"/>
        <v>0</v>
      </c>
      <c r="AL36" s="1184">
        <f t="shared" si="30"/>
        <v>0</v>
      </c>
      <c r="AM36" s="1184">
        <f t="shared" si="30"/>
        <v>0</v>
      </c>
      <c r="AN36" s="1184">
        <f t="shared" si="30"/>
        <v>0</v>
      </c>
      <c r="AO36" s="1184">
        <f t="shared" si="30"/>
        <v>0</v>
      </c>
      <c r="AP36" s="1184">
        <f t="shared" si="30"/>
        <v>0</v>
      </c>
      <c r="AQ36" s="1184">
        <f t="shared" si="30"/>
        <v>0</v>
      </c>
      <c r="AR36" s="1184">
        <f t="shared" si="30"/>
        <v>0</v>
      </c>
      <c r="AS36" s="1184">
        <f t="shared" si="30"/>
        <v>0</v>
      </c>
      <c r="AT36" s="1184">
        <f t="shared" si="30"/>
        <v>0</v>
      </c>
      <c r="AU36" s="1184">
        <f t="shared" si="30"/>
        <v>0</v>
      </c>
      <c r="AV36" s="1184">
        <f t="shared" si="30"/>
        <v>0</v>
      </c>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1"/>
      <c r="BS36" s="1111"/>
      <c r="BT36" s="1111"/>
      <c r="BU36" s="1111"/>
      <c r="BV36" s="1111"/>
      <c r="BW36" s="1111"/>
      <c r="BX36" s="1111"/>
      <c r="BY36" s="1111"/>
      <c r="BZ36" s="1111"/>
      <c r="CA36" s="1111"/>
      <c r="CB36" s="1111"/>
      <c r="CC36" s="1111"/>
      <c r="CD36" s="1111"/>
      <c r="CE36" s="1111"/>
      <c r="CF36" s="1111"/>
      <c r="CG36" s="1111"/>
      <c r="CH36" s="1111"/>
      <c r="CI36" s="1111"/>
      <c r="CJ36" s="1111"/>
      <c r="CK36" s="1110"/>
    </row>
    <row r="37" spans="1:89" ht="14.4" x14ac:dyDescent="0.3">
      <c r="A37" s="1110"/>
      <c r="B37" s="1110"/>
      <c r="C37" s="1110"/>
      <c r="D37" s="1110"/>
      <c r="E37" s="1110"/>
      <c r="F37" s="1110"/>
      <c r="G37" s="1110"/>
      <c r="H37" s="1110"/>
      <c r="I37" s="1110"/>
      <c r="J37" s="1110"/>
      <c r="K37" s="1110"/>
      <c r="L37" s="1110"/>
      <c r="M37" s="1110"/>
      <c r="N37" s="1110"/>
      <c r="O37" s="1110"/>
      <c r="P37" s="1110"/>
      <c r="Q37" s="1110"/>
      <c r="R37" s="1110"/>
      <c r="S37" s="1110"/>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1"/>
      <c r="AY37" s="1111"/>
      <c r="AZ37" s="1111"/>
      <c r="BA37" s="1111"/>
      <c r="BB37" s="1111"/>
      <c r="BC37" s="1111"/>
      <c r="BD37" s="1111"/>
      <c r="BE37" s="1111"/>
      <c r="BF37" s="1111"/>
      <c r="BG37" s="1111"/>
      <c r="BH37" s="1111"/>
      <c r="BI37" s="1111"/>
      <c r="BJ37" s="1111"/>
      <c r="BK37" s="1111"/>
      <c r="BL37" s="1111"/>
      <c r="BM37" s="1111"/>
      <c r="BN37" s="1111"/>
      <c r="BO37" s="1111"/>
      <c r="BP37" s="1111"/>
      <c r="BQ37" s="1111"/>
      <c r="BR37" s="1111"/>
      <c r="BS37" s="1111"/>
      <c r="BT37" s="1111"/>
      <c r="BU37" s="1111"/>
      <c r="BV37" s="1111"/>
      <c r="BW37" s="1111"/>
      <c r="BX37" s="1111"/>
      <c r="BY37" s="1111"/>
      <c r="BZ37" s="1111"/>
      <c r="CA37" s="1111"/>
      <c r="CB37" s="1111"/>
      <c r="CC37" s="1111"/>
      <c r="CD37" s="1111"/>
      <c r="CE37" s="1111"/>
      <c r="CF37" s="1111"/>
      <c r="CG37" s="1111"/>
      <c r="CH37" s="1111"/>
      <c r="CI37" s="1111"/>
      <c r="CJ37" s="1111"/>
      <c r="CK37" s="1110"/>
    </row>
    <row r="38" spans="1:89" ht="15" thickBot="1" x14ac:dyDescent="0.35">
      <c r="A38" s="1110"/>
      <c r="B38" s="1110"/>
      <c r="C38" s="1110"/>
      <c r="D38" s="1110"/>
      <c r="E38" s="1110"/>
      <c r="F38" s="1110"/>
      <c r="G38" s="1110"/>
      <c r="H38" s="1110"/>
      <c r="I38" s="1110"/>
      <c r="J38" s="1110"/>
      <c r="K38" s="1110"/>
      <c r="L38" s="1110"/>
      <c r="M38" s="1110"/>
      <c r="N38" s="1110"/>
      <c r="O38" s="1110"/>
      <c r="P38" s="1110"/>
      <c r="Q38" s="1110"/>
      <c r="R38" s="1110"/>
      <c r="S38" s="1110"/>
      <c r="T38" s="1111"/>
      <c r="U38" s="1111"/>
      <c r="V38" s="1185">
        <v>1</v>
      </c>
      <c r="W38" s="1185">
        <v>2</v>
      </c>
      <c r="X38" s="1185">
        <v>3</v>
      </c>
      <c r="Y38" s="1185" t="s">
        <v>618</v>
      </c>
      <c r="Z38" s="1185" t="s">
        <v>619</v>
      </c>
      <c r="AA38" s="1185" t="s">
        <v>620</v>
      </c>
      <c r="AB38" s="1185">
        <v>5</v>
      </c>
      <c r="AC38" s="1185">
        <v>6</v>
      </c>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c r="CC38" s="1111"/>
      <c r="CD38" s="1111"/>
      <c r="CE38" s="1111"/>
      <c r="CF38" s="1111"/>
      <c r="CG38" s="1111"/>
      <c r="CH38" s="1111"/>
      <c r="CI38" s="1111"/>
      <c r="CJ38" s="1111"/>
      <c r="CK38" s="1110"/>
    </row>
    <row r="39" spans="1:89" ht="14.4" x14ac:dyDescent="0.3">
      <c r="A39" s="1110"/>
      <c r="B39" s="1110"/>
      <c r="C39" s="1110"/>
      <c r="D39" s="1110"/>
      <c r="E39" s="1110"/>
      <c r="F39" s="1110"/>
      <c r="G39" s="1110"/>
      <c r="H39" s="1110"/>
      <c r="I39" s="1110"/>
      <c r="J39" s="1110"/>
      <c r="K39" s="1110"/>
      <c r="L39" s="1110"/>
      <c r="M39" s="1110"/>
      <c r="N39" s="1110"/>
      <c r="O39" s="1110"/>
      <c r="P39" s="1110"/>
      <c r="Q39" s="1110"/>
      <c r="R39" s="1110"/>
      <c r="S39" s="1110"/>
      <c r="T39" s="1164" t="s">
        <v>636</v>
      </c>
      <c r="U39" s="1182" t="s">
        <v>344</v>
      </c>
      <c r="V39" s="1186">
        <v>0.25</v>
      </c>
      <c r="W39" s="1186">
        <v>0.3</v>
      </c>
      <c r="X39" s="1186">
        <v>0.3</v>
      </c>
      <c r="Y39" s="1186">
        <v>0.3</v>
      </c>
      <c r="Z39" s="1186">
        <v>0.3</v>
      </c>
      <c r="AA39" s="1186">
        <v>0.3</v>
      </c>
      <c r="AB39" s="1186">
        <v>0.3</v>
      </c>
      <c r="AC39" s="1186">
        <v>0.3</v>
      </c>
      <c r="AD39" s="1182"/>
      <c r="AE39" s="1182"/>
      <c r="AF39" s="1182"/>
      <c r="AG39" s="1182"/>
      <c r="AH39" s="1182"/>
      <c r="AI39" s="1182"/>
      <c r="AJ39" s="1182"/>
      <c r="AK39" s="1182"/>
      <c r="AL39" s="1182"/>
      <c r="AM39" s="1182"/>
      <c r="AN39" s="1182"/>
      <c r="AO39" s="1182"/>
      <c r="AP39" s="1182"/>
      <c r="AQ39" s="1182"/>
      <c r="AR39" s="1182"/>
      <c r="AS39" s="1182"/>
      <c r="AT39" s="1182"/>
      <c r="AU39" s="1182"/>
      <c r="AV39" s="1182"/>
      <c r="AW39" s="1111"/>
      <c r="AX39" s="1111"/>
      <c r="AY39" s="1111"/>
      <c r="AZ39" s="1111"/>
      <c r="BA39" s="1111"/>
      <c r="BB39" s="1111"/>
      <c r="BC39" s="1111"/>
      <c r="BD39" s="1111"/>
      <c r="BE39" s="1111"/>
      <c r="BF39" s="1111"/>
      <c r="BG39" s="1111"/>
      <c r="BH39" s="1111"/>
      <c r="BI39" s="1111"/>
      <c r="BJ39" s="1111"/>
      <c r="BK39" s="1111"/>
      <c r="BL39" s="1111"/>
      <c r="BM39" s="1111"/>
      <c r="BN39" s="1111"/>
      <c r="BO39" s="1111"/>
      <c r="BP39" s="1111"/>
      <c r="BQ39" s="1111"/>
      <c r="BR39" s="1111"/>
      <c r="BS39" s="1111"/>
      <c r="BT39" s="1111"/>
      <c r="BU39" s="1111"/>
      <c r="BV39" s="1111"/>
      <c r="BW39" s="1111"/>
      <c r="BX39" s="1111"/>
      <c r="BY39" s="1111"/>
      <c r="BZ39" s="1111"/>
      <c r="CA39" s="1111"/>
      <c r="CB39" s="1111"/>
      <c r="CC39" s="1111"/>
      <c r="CD39" s="1111"/>
      <c r="CE39" s="1111"/>
      <c r="CF39" s="1111"/>
      <c r="CG39" s="1111"/>
      <c r="CH39" s="1111"/>
      <c r="CI39" s="1111"/>
      <c r="CJ39" s="1111"/>
      <c r="CK39" s="1110"/>
    </row>
    <row r="40" spans="1:89" ht="14.4" x14ac:dyDescent="0.3">
      <c r="A40" s="1110"/>
      <c r="B40" s="1110"/>
      <c r="C40" s="1110"/>
      <c r="D40" s="1110"/>
      <c r="E40" s="1110"/>
      <c r="F40" s="1110"/>
      <c r="G40" s="1110"/>
      <c r="H40" s="1110"/>
      <c r="I40" s="1110"/>
      <c r="J40" s="1110"/>
      <c r="K40" s="1110"/>
      <c r="L40" s="1110"/>
      <c r="M40" s="1110"/>
      <c r="N40" s="1110"/>
      <c r="O40" s="1110"/>
      <c r="P40" s="1110"/>
      <c r="Q40" s="1110"/>
      <c r="R40" s="1110"/>
      <c r="S40" s="1110"/>
      <c r="T40" s="1111" t="s">
        <v>637</v>
      </c>
      <c r="U40" s="1111" t="s">
        <v>345</v>
      </c>
      <c r="V40" s="1180">
        <v>0.1</v>
      </c>
      <c r="W40" s="1180">
        <v>0.45</v>
      </c>
      <c r="X40" s="1180">
        <v>0.45</v>
      </c>
      <c r="Y40" s="1180">
        <v>0.45</v>
      </c>
      <c r="Z40" s="1180">
        <v>0.45</v>
      </c>
      <c r="AA40" s="1180">
        <v>0.45</v>
      </c>
      <c r="AB40" s="1180">
        <v>0.5</v>
      </c>
      <c r="AC40" s="1180">
        <v>0.5</v>
      </c>
      <c r="AD40" s="1111"/>
      <c r="AE40" s="1111"/>
      <c r="AF40" s="1111"/>
      <c r="AG40" s="1111"/>
      <c r="AH40" s="1111"/>
      <c r="AI40" s="1111"/>
      <c r="AJ40" s="1111"/>
      <c r="AK40" s="1111"/>
      <c r="AL40" s="1111"/>
      <c r="AM40" s="1111"/>
      <c r="AN40" s="1111"/>
      <c r="AO40" s="1111"/>
      <c r="AP40" s="1111"/>
      <c r="AQ40" s="1111"/>
      <c r="AR40" s="1111"/>
      <c r="AS40" s="1111"/>
      <c r="AT40" s="1111"/>
      <c r="AU40" s="1111"/>
      <c r="AV40" s="1111"/>
      <c r="AW40" s="1111"/>
      <c r="AX40" s="1111"/>
      <c r="AY40" s="1111"/>
      <c r="AZ40" s="1111"/>
      <c r="BA40" s="1111"/>
      <c r="BB40" s="1111"/>
      <c r="BC40" s="1111"/>
      <c r="BD40" s="1111"/>
      <c r="BE40" s="1111"/>
      <c r="BF40" s="1111"/>
      <c r="BG40" s="1111"/>
      <c r="BH40" s="1111"/>
      <c r="BI40" s="1111"/>
      <c r="BJ40" s="1111"/>
      <c r="BK40" s="1111"/>
      <c r="BL40" s="1111"/>
      <c r="BM40" s="1111"/>
      <c r="BN40" s="1111"/>
      <c r="BO40" s="1111"/>
      <c r="BP40" s="1111"/>
      <c r="BQ40" s="1111"/>
      <c r="BR40" s="1111"/>
      <c r="BS40" s="1111"/>
      <c r="BT40" s="1111"/>
      <c r="BU40" s="1111"/>
      <c r="BV40" s="1111"/>
      <c r="BW40" s="1111"/>
      <c r="BX40" s="1111"/>
      <c r="BY40" s="1111"/>
      <c r="BZ40" s="1111"/>
      <c r="CA40" s="1111"/>
      <c r="CB40" s="1111"/>
      <c r="CC40" s="1111"/>
      <c r="CD40" s="1111"/>
      <c r="CE40" s="1111"/>
      <c r="CF40" s="1111"/>
      <c r="CG40" s="1111"/>
      <c r="CH40" s="1111"/>
      <c r="CI40" s="1111"/>
      <c r="CJ40" s="1111"/>
      <c r="CK40" s="1110"/>
    </row>
    <row r="41" spans="1:89" ht="14.4" x14ac:dyDescent="0.3">
      <c r="A41" s="1110"/>
      <c r="B41" s="1110"/>
      <c r="C41" s="1110"/>
      <c r="D41" s="1110"/>
      <c r="E41" s="1110"/>
      <c r="F41" s="1110"/>
      <c r="G41" s="1110"/>
      <c r="H41" s="1110"/>
      <c r="I41" s="1110"/>
      <c r="J41" s="1110"/>
      <c r="K41" s="1110"/>
      <c r="L41" s="1110"/>
      <c r="M41" s="1110"/>
      <c r="N41" s="1110"/>
      <c r="O41" s="1110"/>
      <c r="P41" s="1110"/>
      <c r="Q41" s="1110"/>
      <c r="R41" s="1110"/>
      <c r="S41" s="1110"/>
      <c r="T41" s="1111" t="s">
        <v>638</v>
      </c>
      <c r="U41" s="1111" t="s">
        <v>346</v>
      </c>
      <c r="V41" s="1180">
        <v>0.1</v>
      </c>
      <c r="W41" s="1180">
        <v>0.1</v>
      </c>
      <c r="X41" s="1180">
        <v>0.1</v>
      </c>
      <c r="Y41" s="1180">
        <v>0.1</v>
      </c>
      <c r="Z41" s="1180">
        <v>0.1</v>
      </c>
      <c r="AA41" s="1180">
        <v>0.1</v>
      </c>
      <c r="AB41" s="1180">
        <v>0.2</v>
      </c>
      <c r="AC41" s="1180">
        <v>0.2</v>
      </c>
      <c r="AD41" s="1111"/>
      <c r="AE41" s="1111"/>
      <c r="AF41" s="1111"/>
      <c r="AG41" s="1111"/>
      <c r="AH41" s="1111"/>
      <c r="AI41" s="1111"/>
      <c r="AJ41" s="1111"/>
      <c r="AK41" s="1111"/>
      <c r="AL41" s="1111"/>
      <c r="AM41" s="1111"/>
      <c r="AN41" s="1111"/>
      <c r="AO41" s="1111"/>
      <c r="AP41" s="1111"/>
      <c r="AQ41" s="1111"/>
      <c r="AR41" s="1111"/>
      <c r="AS41" s="1111"/>
      <c r="AT41" s="1111"/>
      <c r="AU41" s="1111"/>
      <c r="AV41" s="1111"/>
      <c r="AW41" s="1111"/>
      <c r="AX41" s="1111"/>
      <c r="AY41" s="1111"/>
      <c r="AZ41" s="1111"/>
      <c r="BA41" s="1111"/>
      <c r="BB41" s="1111"/>
      <c r="BC41" s="1111"/>
      <c r="BD41" s="1111"/>
      <c r="BE41" s="1111"/>
      <c r="BF41" s="1111"/>
      <c r="BG41" s="1111"/>
      <c r="BH41" s="1111"/>
      <c r="BI41" s="1111"/>
      <c r="BJ41" s="1111"/>
      <c r="BK41" s="1111"/>
      <c r="BL41" s="1111"/>
      <c r="BM41" s="1111"/>
      <c r="BN41" s="1111"/>
      <c r="BO41" s="1111"/>
      <c r="BP41" s="1111"/>
      <c r="BQ41" s="1111"/>
      <c r="BR41" s="1111"/>
      <c r="BS41" s="1111"/>
      <c r="BT41" s="1111"/>
      <c r="BU41" s="1111"/>
      <c r="BV41" s="1111"/>
      <c r="BW41" s="1111"/>
      <c r="BX41" s="1111"/>
      <c r="BY41" s="1111"/>
      <c r="BZ41" s="1111"/>
      <c r="CA41" s="1111"/>
      <c r="CB41" s="1111"/>
      <c r="CC41" s="1111"/>
      <c r="CD41" s="1111"/>
      <c r="CE41" s="1111"/>
      <c r="CF41" s="1111"/>
      <c r="CG41" s="1111"/>
      <c r="CH41" s="1111"/>
      <c r="CI41" s="1111"/>
      <c r="CJ41" s="1111"/>
      <c r="CK41" s="1110"/>
    </row>
    <row r="42" spans="1:89" ht="14.4" x14ac:dyDescent="0.3">
      <c r="A42" s="1110"/>
      <c r="B42" s="1110"/>
      <c r="C42" s="1110"/>
      <c r="D42" s="1110"/>
      <c r="E42" s="1110"/>
      <c r="F42" s="1110"/>
      <c r="G42" s="1110"/>
      <c r="H42" s="1110"/>
      <c r="I42" s="1110"/>
      <c r="J42" s="1110"/>
      <c r="K42" s="1110"/>
      <c r="L42" s="1110"/>
      <c r="M42" s="1110"/>
      <c r="N42" s="1110"/>
      <c r="O42" s="1110"/>
      <c r="P42" s="1110"/>
      <c r="Q42" s="1110"/>
      <c r="R42" s="1110"/>
      <c r="S42" s="1110"/>
      <c r="T42" s="1111"/>
      <c r="U42" s="1111" t="s">
        <v>343</v>
      </c>
      <c r="V42" s="1180">
        <v>0.2</v>
      </c>
      <c r="W42" s="1180">
        <v>0.15</v>
      </c>
      <c r="X42" s="1180">
        <v>0.15</v>
      </c>
      <c r="Y42" s="1180">
        <v>0.15</v>
      </c>
      <c r="Z42" s="1180">
        <v>0.15</v>
      </c>
      <c r="AA42" s="1180">
        <v>0.15</v>
      </c>
      <c r="AB42" s="1180">
        <v>0.2</v>
      </c>
      <c r="AC42" s="1180">
        <v>0.2</v>
      </c>
      <c r="AD42" s="1111"/>
      <c r="AE42" s="1111"/>
      <c r="AF42" s="1111"/>
      <c r="AG42" s="1111"/>
      <c r="AH42" s="1111"/>
      <c r="AI42" s="1111"/>
      <c r="AJ42" s="1111"/>
      <c r="AK42" s="1111"/>
      <c r="AL42" s="1111"/>
      <c r="AM42" s="1111"/>
      <c r="AN42" s="1111"/>
      <c r="AO42" s="1111"/>
      <c r="AP42" s="1111"/>
      <c r="AQ42" s="1111"/>
      <c r="AR42" s="1111"/>
      <c r="AS42" s="1111"/>
      <c r="AT42" s="1111"/>
      <c r="AU42" s="1111"/>
      <c r="AV42" s="1111"/>
      <c r="AW42" s="1111"/>
      <c r="AX42" s="1111"/>
      <c r="AY42" s="1111"/>
      <c r="AZ42" s="1111"/>
      <c r="BA42" s="1111"/>
      <c r="BB42" s="1111"/>
      <c r="BC42" s="1111"/>
      <c r="BD42" s="1111"/>
      <c r="BE42" s="1111"/>
      <c r="BF42" s="1111"/>
      <c r="BG42" s="1111"/>
      <c r="BH42" s="1111"/>
      <c r="BI42" s="1111"/>
      <c r="BJ42" s="1111"/>
      <c r="BK42" s="1111"/>
      <c r="BL42" s="1111"/>
      <c r="BM42" s="1111"/>
      <c r="BN42" s="1111"/>
      <c r="BO42" s="1111"/>
      <c r="BP42" s="1111"/>
      <c r="BQ42" s="1111"/>
      <c r="BR42" s="1111"/>
      <c r="BS42" s="1111"/>
      <c r="BT42" s="1111"/>
      <c r="BU42" s="1111"/>
      <c r="BV42" s="1111"/>
      <c r="BW42" s="1111"/>
      <c r="BX42" s="1111"/>
      <c r="BY42" s="1111"/>
      <c r="BZ42" s="1111"/>
      <c r="CA42" s="1111"/>
      <c r="CB42" s="1111"/>
      <c r="CC42" s="1111"/>
      <c r="CD42" s="1111"/>
      <c r="CE42" s="1111"/>
      <c r="CF42" s="1111"/>
      <c r="CG42" s="1111"/>
      <c r="CH42" s="1111"/>
      <c r="CI42" s="1111"/>
      <c r="CJ42" s="1111"/>
      <c r="CK42" s="1110"/>
    </row>
    <row r="43" spans="1:89" ht="14.4" x14ac:dyDescent="0.3">
      <c r="A43" s="1110"/>
      <c r="B43" s="1110"/>
      <c r="C43" s="1110"/>
      <c r="D43" s="1110"/>
      <c r="E43" s="1110"/>
      <c r="F43" s="1110"/>
      <c r="G43" s="1110"/>
      <c r="H43" s="1110"/>
      <c r="I43" s="1110"/>
      <c r="J43" s="1110"/>
      <c r="K43" s="1110"/>
      <c r="L43" s="1110"/>
      <c r="M43" s="1110"/>
      <c r="N43" s="1110"/>
      <c r="O43" s="1110"/>
      <c r="P43" s="1110"/>
      <c r="Q43" s="1110"/>
      <c r="R43" s="1110"/>
      <c r="S43" s="1110"/>
      <c r="T43" s="1111"/>
      <c r="U43" s="1111" t="s">
        <v>342</v>
      </c>
      <c r="V43" s="1180">
        <v>0.65</v>
      </c>
      <c r="W43" s="1180">
        <v>0.1</v>
      </c>
      <c r="X43" s="1180">
        <v>0.1</v>
      </c>
      <c r="Y43" s="1180">
        <v>0.1</v>
      </c>
      <c r="Z43" s="1180">
        <v>0.1</v>
      </c>
      <c r="AA43" s="1180">
        <v>0.1</v>
      </c>
      <c r="AB43" s="1180">
        <v>0.05</v>
      </c>
      <c r="AC43" s="1180">
        <v>0.05</v>
      </c>
      <c r="AD43" s="1111"/>
      <c r="AE43" s="1111"/>
      <c r="AF43" s="1111"/>
      <c r="AG43" s="1111"/>
      <c r="AH43" s="1111"/>
      <c r="AI43" s="1111"/>
      <c r="AJ43" s="1111"/>
      <c r="AK43" s="1111"/>
      <c r="AL43" s="1111"/>
      <c r="AM43" s="1111"/>
      <c r="AN43" s="1111"/>
      <c r="AO43" s="1111"/>
      <c r="AP43" s="1111"/>
      <c r="AQ43" s="1111"/>
      <c r="AR43" s="1111"/>
      <c r="AS43" s="1111"/>
      <c r="AT43" s="1111"/>
      <c r="AU43" s="1111"/>
      <c r="AV43" s="1111"/>
      <c r="AW43" s="1111"/>
      <c r="AX43" s="1111"/>
      <c r="AY43" s="1111"/>
      <c r="AZ43" s="1111"/>
      <c r="BA43" s="1111"/>
      <c r="BB43" s="1111"/>
      <c r="BC43" s="1111"/>
      <c r="BD43" s="1111"/>
      <c r="BE43" s="1111"/>
      <c r="BF43" s="1111"/>
      <c r="BG43" s="1111"/>
      <c r="BH43" s="1111"/>
      <c r="BI43" s="1111"/>
      <c r="BJ43" s="1111"/>
      <c r="BK43" s="1111"/>
      <c r="BL43" s="1111"/>
      <c r="BM43" s="1111"/>
      <c r="BN43" s="1111"/>
      <c r="BO43" s="1111"/>
      <c r="BP43" s="1111"/>
      <c r="BQ43" s="1111"/>
      <c r="BR43" s="1111"/>
      <c r="BS43" s="1111"/>
      <c r="BT43" s="1111"/>
      <c r="BU43" s="1111"/>
      <c r="BV43" s="1111"/>
      <c r="BW43" s="1111"/>
      <c r="BX43" s="1111"/>
      <c r="BY43" s="1111"/>
      <c r="BZ43" s="1111"/>
      <c r="CA43" s="1111"/>
      <c r="CB43" s="1111"/>
      <c r="CC43" s="1111"/>
      <c r="CD43" s="1111"/>
      <c r="CE43" s="1111"/>
      <c r="CF43" s="1111"/>
      <c r="CG43" s="1111"/>
      <c r="CH43" s="1111"/>
      <c r="CI43" s="1111"/>
      <c r="CJ43" s="1111"/>
      <c r="CK43" s="1110"/>
    </row>
    <row r="44" spans="1:89" ht="14.4" x14ac:dyDescent="0.3">
      <c r="A44" s="1110"/>
      <c r="B44" s="1110"/>
      <c r="C44" s="1110"/>
      <c r="D44" s="1110"/>
      <c r="E44" s="1110"/>
      <c r="F44" s="1110"/>
      <c r="G44" s="1110"/>
      <c r="H44" s="1110"/>
      <c r="I44" s="1110"/>
      <c r="J44" s="1110"/>
      <c r="K44" s="1110"/>
      <c r="L44" s="1110"/>
      <c r="M44" s="1110"/>
      <c r="N44" s="1110"/>
      <c r="O44" s="1110"/>
      <c r="P44" s="1110"/>
      <c r="Q44" s="1110"/>
      <c r="R44" s="1110"/>
      <c r="S44" s="1110"/>
      <c r="T44" s="1111"/>
      <c r="U44" s="1111" t="s">
        <v>341</v>
      </c>
      <c r="V44" s="1180">
        <v>0.25</v>
      </c>
      <c r="W44" s="1180">
        <v>0.1</v>
      </c>
      <c r="X44" s="1180">
        <v>0.1</v>
      </c>
      <c r="Y44" s="1180">
        <v>0.1</v>
      </c>
      <c r="Z44" s="1180">
        <v>0.1</v>
      </c>
      <c r="AA44" s="1180">
        <v>0.1</v>
      </c>
      <c r="AB44" s="1180">
        <v>0.05</v>
      </c>
      <c r="AC44" s="1180">
        <v>0.05</v>
      </c>
      <c r="AD44" s="1111"/>
      <c r="AE44" s="1111"/>
      <c r="AF44" s="1111"/>
      <c r="AG44" s="1111"/>
      <c r="AH44" s="1111"/>
      <c r="AI44" s="1111"/>
      <c r="AJ44" s="1111"/>
      <c r="AK44" s="1111"/>
      <c r="AL44" s="1111"/>
      <c r="AM44" s="1111"/>
      <c r="AN44" s="1111"/>
      <c r="AO44" s="1111"/>
      <c r="AP44" s="1111"/>
      <c r="AQ44" s="1111"/>
      <c r="AR44" s="1111"/>
      <c r="AS44" s="1111"/>
      <c r="AT44" s="1111"/>
      <c r="AU44" s="1111"/>
      <c r="AV44" s="1111"/>
      <c r="AW44" s="1111"/>
      <c r="AX44" s="1111"/>
      <c r="AY44" s="1111"/>
      <c r="AZ44" s="1111"/>
      <c r="BA44" s="1111"/>
      <c r="BB44" s="1111"/>
      <c r="BC44" s="1111"/>
      <c r="BD44" s="1111"/>
      <c r="BE44" s="1111"/>
      <c r="BF44" s="1111"/>
      <c r="BG44" s="1111"/>
      <c r="BH44" s="1111"/>
      <c r="BI44" s="1111"/>
      <c r="BJ44" s="1111"/>
      <c r="BK44" s="1111"/>
      <c r="BL44" s="1111"/>
      <c r="BM44" s="1111"/>
      <c r="BN44" s="1111"/>
      <c r="BO44" s="1111"/>
      <c r="BP44" s="1111"/>
      <c r="BQ44" s="1111"/>
      <c r="BR44" s="1111"/>
      <c r="BS44" s="1111"/>
      <c r="BT44" s="1111"/>
      <c r="BU44" s="1111"/>
      <c r="BV44" s="1111"/>
      <c r="BW44" s="1111"/>
      <c r="BX44" s="1111"/>
      <c r="BY44" s="1111"/>
      <c r="BZ44" s="1111"/>
      <c r="CA44" s="1111"/>
      <c r="CB44" s="1111"/>
      <c r="CC44" s="1111"/>
      <c r="CD44" s="1111"/>
      <c r="CE44" s="1111"/>
      <c r="CF44" s="1111"/>
      <c r="CG44" s="1111"/>
      <c r="CH44" s="1111"/>
      <c r="CI44" s="1111"/>
      <c r="CJ44" s="1111"/>
      <c r="CK44" s="1110"/>
    </row>
    <row r="45" spans="1:89" ht="14.4" x14ac:dyDescent="0.3">
      <c r="A45" s="1110"/>
      <c r="B45" s="1110"/>
      <c r="C45" s="1110"/>
      <c r="D45" s="1110"/>
      <c r="E45" s="1110"/>
      <c r="F45" s="1110"/>
      <c r="G45" s="1110"/>
      <c r="H45" s="1110"/>
      <c r="I45" s="1110"/>
      <c r="J45" s="1110"/>
      <c r="K45" s="1110"/>
      <c r="L45" s="1110"/>
      <c r="M45" s="1110"/>
      <c r="N45" s="1110"/>
      <c r="O45" s="1110"/>
      <c r="P45" s="1110"/>
      <c r="Q45" s="1110"/>
      <c r="R45" s="1110"/>
      <c r="S45" s="1110"/>
      <c r="T45" s="1111"/>
      <c r="U45" s="1111" t="s">
        <v>340</v>
      </c>
      <c r="V45" s="1180">
        <v>0.25</v>
      </c>
      <c r="W45" s="1180">
        <v>0.1</v>
      </c>
      <c r="X45" s="1180">
        <v>0.1</v>
      </c>
      <c r="Y45" s="1180">
        <v>0.1</v>
      </c>
      <c r="Z45" s="1180">
        <v>0.1</v>
      </c>
      <c r="AA45" s="1180">
        <v>0.1</v>
      </c>
      <c r="AB45" s="1180">
        <v>0.05</v>
      </c>
      <c r="AC45" s="1180">
        <v>0.05</v>
      </c>
      <c r="AD45" s="1111"/>
      <c r="AE45" s="1111"/>
      <c r="AF45" s="1111"/>
      <c r="AG45" s="1111"/>
      <c r="AH45" s="1111"/>
      <c r="AI45" s="1111"/>
      <c r="AJ45" s="1111"/>
      <c r="AK45" s="1111"/>
      <c r="AL45" s="1111"/>
      <c r="AM45" s="1111"/>
      <c r="AN45" s="1111"/>
      <c r="AO45" s="1111"/>
      <c r="AP45" s="1111"/>
      <c r="AQ45" s="1111"/>
      <c r="AR45" s="1111"/>
      <c r="AS45" s="1111"/>
      <c r="AT45" s="1111"/>
      <c r="AU45" s="1111"/>
      <c r="AV45" s="1111"/>
      <c r="AW45" s="1111"/>
      <c r="AX45" s="1111"/>
      <c r="AY45" s="1111"/>
      <c r="AZ45" s="1111"/>
      <c r="BA45" s="1111"/>
      <c r="BB45" s="1111"/>
      <c r="BC45" s="1111"/>
      <c r="BD45" s="1111"/>
      <c r="BE45" s="1111"/>
      <c r="BF45" s="1111"/>
      <c r="BG45" s="1111"/>
      <c r="BH45" s="1111"/>
      <c r="BI45" s="1111"/>
      <c r="BJ45" s="1111"/>
      <c r="BK45" s="1111"/>
      <c r="BL45" s="1111"/>
      <c r="BM45" s="1111"/>
      <c r="BN45" s="1111"/>
      <c r="BO45" s="1111"/>
      <c r="BP45" s="1111"/>
      <c r="BQ45" s="1111"/>
      <c r="BR45" s="1111"/>
      <c r="BS45" s="1111"/>
      <c r="BT45" s="1111"/>
      <c r="BU45" s="1111"/>
      <c r="BV45" s="1111"/>
      <c r="BW45" s="1111"/>
      <c r="BX45" s="1111"/>
      <c r="BY45" s="1111"/>
      <c r="BZ45" s="1111"/>
      <c r="CA45" s="1111"/>
      <c r="CB45" s="1111"/>
      <c r="CC45" s="1111"/>
      <c r="CD45" s="1111"/>
      <c r="CE45" s="1111"/>
      <c r="CF45" s="1111"/>
      <c r="CG45" s="1111"/>
      <c r="CH45" s="1111"/>
      <c r="CI45" s="1111"/>
      <c r="CJ45" s="1111"/>
      <c r="CK45" s="1110"/>
    </row>
    <row r="46" spans="1:89" ht="14.4" x14ac:dyDescent="0.3">
      <c r="A46" s="1110"/>
      <c r="B46" s="1110"/>
      <c r="C46" s="1110"/>
      <c r="D46" s="1110"/>
      <c r="E46" s="1110"/>
      <c r="F46" s="1110"/>
      <c r="G46" s="1110"/>
      <c r="H46" s="1110"/>
      <c r="I46" s="1110"/>
      <c r="J46" s="1110"/>
      <c r="K46" s="1110"/>
      <c r="L46" s="1110"/>
      <c r="M46" s="1110"/>
      <c r="N46" s="1110"/>
      <c r="O46" s="1110"/>
      <c r="P46" s="1110"/>
      <c r="Q46" s="1110"/>
      <c r="R46" s="1110"/>
      <c r="S46" s="1110"/>
      <c r="T46" s="1111"/>
      <c r="U46" s="1111" t="s">
        <v>339</v>
      </c>
      <c r="V46" s="1180">
        <v>0.25</v>
      </c>
      <c r="W46" s="1180">
        <v>0.25</v>
      </c>
      <c r="X46" s="1180">
        <v>0.25</v>
      </c>
      <c r="Y46" s="1180">
        <v>0.25</v>
      </c>
      <c r="Z46" s="1180">
        <v>0.25</v>
      </c>
      <c r="AA46" s="1180">
        <v>0.25</v>
      </c>
      <c r="AB46" s="1180">
        <v>0.15</v>
      </c>
      <c r="AC46" s="1180">
        <v>0.15</v>
      </c>
      <c r="AD46" s="1111"/>
      <c r="AE46" s="1111"/>
      <c r="AF46" s="1111"/>
      <c r="AG46" s="1111"/>
      <c r="AH46" s="1111"/>
      <c r="AI46" s="1111"/>
      <c r="AJ46" s="1111"/>
      <c r="AK46" s="1111"/>
      <c r="AL46" s="1111"/>
      <c r="AM46" s="1111"/>
      <c r="AN46" s="1111"/>
      <c r="AO46" s="1111"/>
      <c r="AP46" s="1111"/>
      <c r="AQ46" s="1111"/>
      <c r="AR46" s="1111"/>
      <c r="AS46" s="1111"/>
      <c r="AT46" s="1111"/>
      <c r="AU46" s="1111"/>
      <c r="AV46" s="1111"/>
      <c r="AW46" s="1111"/>
      <c r="AX46" s="1111"/>
      <c r="AY46" s="1111"/>
      <c r="AZ46" s="1111"/>
      <c r="BA46" s="1111"/>
      <c r="BB46" s="1111"/>
      <c r="BC46" s="1111"/>
      <c r="BD46" s="1111"/>
      <c r="BE46" s="1111"/>
      <c r="BF46" s="1111"/>
      <c r="BG46" s="1111"/>
      <c r="BH46" s="1111"/>
      <c r="BI46" s="1111"/>
      <c r="BJ46" s="1111"/>
      <c r="BK46" s="1111"/>
      <c r="BL46" s="1111"/>
      <c r="BM46" s="1111"/>
      <c r="BN46" s="1111"/>
      <c r="BO46" s="1111"/>
      <c r="BP46" s="1111"/>
      <c r="BQ46" s="1111"/>
      <c r="BR46" s="1111"/>
      <c r="BS46" s="1111"/>
      <c r="BT46" s="1111"/>
      <c r="BU46" s="1111"/>
      <c r="BV46" s="1111"/>
      <c r="BW46" s="1111"/>
      <c r="BX46" s="1111"/>
      <c r="BY46" s="1111"/>
      <c r="BZ46" s="1111"/>
      <c r="CA46" s="1111"/>
      <c r="CB46" s="1111"/>
      <c r="CC46" s="1111"/>
      <c r="CD46" s="1111"/>
      <c r="CE46" s="1111"/>
      <c r="CF46" s="1111"/>
      <c r="CG46" s="1111"/>
      <c r="CH46" s="1111"/>
      <c r="CI46" s="1111"/>
      <c r="CJ46" s="1111"/>
      <c r="CK46" s="1110"/>
    </row>
    <row r="47" spans="1:89" ht="14.4" x14ac:dyDescent="0.3">
      <c r="A47" s="1110"/>
      <c r="B47" s="1110"/>
      <c r="C47" s="1110"/>
      <c r="D47" s="1110"/>
      <c r="E47" s="1110"/>
      <c r="F47" s="1110"/>
      <c r="G47" s="1110"/>
      <c r="H47" s="1110"/>
      <c r="I47" s="1110"/>
      <c r="J47" s="1110"/>
      <c r="K47" s="1110"/>
      <c r="L47" s="1110"/>
      <c r="M47" s="1110"/>
      <c r="N47" s="1110"/>
      <c r="O47" s="1110"/>
      <c r="P47" s="1110"/>
      <c r="Q47" s="1110"/>
      <c r="R47" s="1110"/>
      <c r="S47" s="1110"/>
      <c r="T47" s="1111"/>
      <c r="U47" s="1111" t="s">
        <v>355</v>
      </c>
      <c r="V47" s="1180">
        <v>0.02</v>
      </c>
      <c r="W47" s="1180">
        <v>0.35</v>
      </c>
      <c r="X47" s="1180">
        <v>0.35</v>
      </c>
      <c r="Y47" s="1180">
        <v>0.35</v>
      </c>
      <c r="Z47" s="1180">
        <v>0.35</v>
      </c>
      <c r="AA47" s="1180">
        <v>0.35</v>
      </c>
      <c r="AB47" s="1180">
        <v>0.2</v>
      </c>
      <c r="AC47" s="1180">
        <v>0.2</v>
      </c>
      <c r="AD47" s="1111"/>
      <c r="AE47" s="1111"/>
      <c r="AF47" s="1111"/>
      <c r="AG47" s="1111"/>
      <c r="AH47" s="1111"/>
      <c r="AI47" s="1111"/>
      <c r="AJ47" s="1111"/>
      <c r="AK47" s="1111"/>
      <c r="AL47" s="1111"/>
      <c r="AM47" s="1111"/>
      <c r="AN47" s="1111"/>
      <c r="AO47" s="1111"/>
      <c r="AP47" s="1111"/>
      <c r="AQ47" s="1111"/>
      <c r="AR47" s="1111"/>
      <c r="AS47" s="1111"/>
      <c r="AT47" s="1111"/>
      <c r="AU47" s="1111"/>
      <c r="AV47" s="1111"/>
      <c r="AW47" s="1111"/>
      <c r="AX47" s="1111"/>
      <c r="AY47" s="1111"/>
      <c r="AZ47" s="1111"/>
      <c r="BA47" s="1111"/>
      <c r="BB47" s="1111"/>
      <c r="BC47" s="1111"/>
      <c r="BD47" s="1111"/>
      <c r="BE47" s="1111"/>
      <c r="BF47" s="1111"/>
      <c r="BG47" s="1111"/>
      <c r="BH47" s="1111"/>
      <c r="BI47" s="1111"/>
      <c r="BJ47" s="1111"/>
      <c r="BK47" s="1111"/>
      <c r="BL47" s="1111"/>
      <c r="BM47" s="1111"/>
      <c r="BN47" s="1111"/>
      <c r="BO47" s="1111"/>
      <c r="BP47" s="1111"/>
      <c r="BQ47" s="1111"/>
      <c r="BR47" s="1111"/>
      <c r="BS47" s="1111"/>
      <c r="BT47" s="1111"/>
      <c r="BU47" s="1111"/>
      <c r="BV47" s="1111"/>
      <c r="BW47" s="1111"/>
      <c r="BX47" s="1111"/>
      <c r="BY47" s="1111"/>
      <c r="BZ47" s="1111"/>
      <c r="CA47" s="1111"/>
      <c r="CB47" s="1111"/>
      <c r="CC47" s="1111"/>
      <c r="CD47" s="1111"/>
      <c r="CE47" s="1111"/>
      <c r="CF47" s="1111"/>
      <c r="CG47" s="1111"/>
      <c r="CH47" s="1111"/>
      <c r="CI47" s="1111"/>
      <c r="CJ47" s="1111"/>
      <c r="CK47" s="1110"/>
    </row>
    <row r="48" spans="1:89" ht="14.4" x14ac:dyDescent="0.3">
      <c r="A48" s="1110"/>
      <c r="B48" s="1110"/>
      <c r="C48" s="1110"/>
      <c r="D48" s="1110"/>
      <c r="E48" s="1110"/>
      <c r="F48" s="1110"/>
      <c r="G48" s="1110"/>
      <c r="H48" s="1110"/>
      <c r="I48" s="1110"/>
      <c r="J48" s="1110"/>
      <c r="K48" s="1110"/>
      <c r="L48" s="1110"/>
      <c r="M48" s="1110"/>
      <c r="N48" s="1110"/>
      <c r="O48" s="1110"/>
      <c r="P48" s="1110"/>
      <c r="Q48" s="1110"/>
      <c r="R48" s="1110"/>
      <c r="S48" s="1110"/>
      <c r="T48" s="1111"/>
      <c r="U48" s="1111" t="s">
        <v>356</v>
      </c>
      <c r="V48" s="1180">
        <v>0.02</v>
      </c>
      <c r="W48" s="1180">
        <v>0.15</v>
      </c>
      <c r="X48" s="1180">
        <v>0.25</v>
      </c>
      <c r="Y48" s="1180">
        <v>0.15</v>
      </c>
      <c r="Z48" s="1180">
        <v>0.15</v>
      </c>
      <c r="AA48" s="1180">
        <v>0.25</v>
      </c>
      <c r="AB48" s="1180">
        <v>0.2</v>
      </c>
      <c r="AC48" s="1180">
        <v>0.2</v>
      </c>
      <c r="AD48" s="1111"/>
      <c r="AE48" s="1111"/>
      <c r="AF48" s="1111"/>
      <c r="AG48" s="1111"/>
      <c r="AH48" s="1111"/>
      <c r="AI48" s="1111"/>
      <c r="AJ48" s="1111"/>
      <c r="AK48" s="1111"/>
      <c r="AL48" s="1111"/>
      <c r="AM48" s="1111"/>
      <c r="AN48" s="1111"/>
      <c r="AO48" s="1111"/>
      <c r="AP48" s="1111"/>
      <c r="AQ48" s="1111"/>
      <c r="AR48" s="1111"/>
      <c r="AS48" s="1111"/>
      <c r="AT48" s="1111"/>
      <c r="AU48" s="1111"/>
      <c r="AV48" s="1111"/>
      <c r="AW48" s="1111"/>
      <c r="AX48" s="1111"/>
      <c r="AY48" s="1111"/>
      <c r="AZ48" s="1111"/>
      <c r="BA48" s="1111"/>
      <c r="BB48" s="1111"/>
      <c r="BC48" s="1111"/>
      <c r="BD48" s="1111"/>
      <c r="BE48" s="1111"/>
      <c r="BF48" s="1111"/>
      <c r="BG48" s="1111"/>
      <c r="BH48" s="1111"/>
      <c r="BI48" s="1111"/>
      <c r="BJ48" s="1111"/>
      <c r="BK48" s="1111"/>
      <c r="BL48" s="1111"/>
      <c r="BM48" s="1111"/>
      <c r="BN48" s="1111"/>
      <c r="BO48" s="1111"/>
      <c r="BP48" s="1111"/>
      <c r="BQ48" s="1111"/>
      <c r="BR48" s="1111"/>
      <c r="BS48" s="1111"/>
      <c r="BT48" s="1111"/>
      <c r="BU48" s="1111"/>
      <c r="BV48" s="1111"/>
      <c r="BW48" s="1111"/>
      <c r="BX48" s="1111"/>
      <c r="BY48" s="1111"/>
      <c r="BZ48" s="1111"/>
      <c r="CA48" s="1111"/>
      <c r="CB48" s="1111"/>
      <c r="CC48" s="1111"/>
      <c r="CD48" s="1111"/>
      <c r="CE48" s="1111"/>
      <c r="CF48" s="1111"/>
      <c r="CG48" s="1111"/>
      <c r="CH48" s="1111"/>
      <c r="CI48" s="1111"/>
      <c r="CJ48" s="1111"/>
      <c r="CK48" s="1110"/>
    </row>
    <row r="49" spans="1:89" ht="14.4" x14ac:dyDescent="0.3">
      <c r="A49" s="1110"/>
      <c r="B49" s="1110"/>
      <c r="C49" s="1110"/>
      <c r="D49" s="1110"/>
      <c r="E49" s="1110"/>
      <c r="F49" s="1110"/>
      <c r="G49" s="1110"/>
      <c r="H49" s="1110"/>
      <c r="I49" s="1110"/>
      <c r="J49" s="1110"/>
      <c r="K49" s="1110"/>
      <c r="L49" s="1110"/>
      <c r="M49" s="1110"/>
      <c r="N49" s="1110"/>
      <c r="O49" s="1110"/>
      <c r="P49" s="1110"/>
      <c r="Q49" s="1110"/>
      <c r="R49" s="1110"/>
      <c r="S49" s="1110"/>
      <c r="T49" s="1111"/>
      <c r="U49" s="1111" t="s">
        <v>357</v>
      </c>
      <c r="V49" s="1180">
        <v>0.02</v>
      </c>
      <c r="W49" s="1180">
        <v>0.05</v>
      </c>
      <c r="X49" s="1180">
        <v>0.15</v>
      </c>
      <c r="Y49" s="1180">
        <v>0.05</v>
      </c>
      <c r="Z49" s="1180">
        <v>0.05</v>
      </c>
      <c r="AA49" s="1180">
        <v>0.15</v>
      </c>
      <c r="AB49" s="1180">
        <v>0.22</v>
      </c>
      <c r="AC49" s="1180">
        <v>0.22</v>
      </c>
      <c r="AD49" s="1111"/>
      <c r="AE49" s="1111"/>
      <c r="AF49" s="1111"/>
      <c r="AG49" s="1111"/>
      <c r="AH49" s="1111"/>
      <c r="AI49" s="1111"/>
      <c r="AJ49" s="1111"/>
      <c r="AK49" s="1111"/>
      <c r="AL49" s="1111"/>
      <c r="AM49" s="1111"/>
      <c r="AN49" s="1111"/>
      <c r="AO49" s="1111"/>
      <c r="AP49" s="1111"/>
      <c r="AQ49" s="1111"/>
      <c r="AR49" s="1111"/>
      <c r="AS49" s="1111"/>
      <c r="AT49" s="1111"/>
      <c r="AU49" s="1111"/>
      <c r="AV49" s="1111"/>
      <c r="AW49" s="1111"/>
      <c r="AX49" s="1111"/>
      <c r="AY49" s="1111"/>
      <c r="AZ49" s="1111"/>
      <c r="BA49" s="1111"/>
      <c r="BB49" s="1111"/>
      <c r="BC49" s="1111"/>
      <c r="BD49" s="1111"/>
      <c r="BE49" s="1111"/>
      <c r="BF49" s="1111"/>
      <c r="BG49" s="1111"/>
      <c r="BH49" s="1111"/>
      <c r="BI49" s="1111"/>
      <c r="BJ49" s="1111"/>
      <c r="BK49" s="1111"/>
      <c r="BL49" s="1111"/>
      <c r="BM49" s="1111"/>
      <c r="BN49" s="1111"/>
      <c r="BO49" s="1111"/>
      <c r="BP49" s="1111"/>
      <c r="BQ49" s="1111"/>
      <c r="BR49" s="1111"/>
      <c r="BS49" s="1111"/>
      <c r="BT49" s="1111"/>
      <c r="BU49" s="1111"/>
      <c r="BV49" s="1111"/>
      <c r="BW49" s="1111"/>
      <c r="BX49" s="1111"/>
      <c r="BY49" s="1111"/>
      <c r="BZ49" s="1111"/>
      <c r="CA49" s="1111"/>
      <c r="CB49" s="1111"/>
      <c r="CC49" s="1111"/>
      <c r="CD49" s="1111"/>
      <c r="CE49" s="1111"/>
      <c r="CF49" s="1111"/>
      <c r="CG49" s="1111"/>
      <c r="CH49" s="1111"/>
      <c r="CI49" s="1111"/>
      <c r="CJ49" s="1111"/>
      <c r="CK49" s="1110"/>
    </row>
    <row r="50" spans="1:89" ht="14.4" x14ac:dyDescent="0.3">
      <c r="A50" s="1110"/>
      <c r="B50" s="1110"/>
      <c r="C50" s="1110"/>
      <c r="D50" s="1110"/>
      <c r="E50" s="1110"/>
      <c r="F50" s="1110"/>
      <c r="G50" s="1110"/>
      <c r="H50" s="1110"/>
      <c r="I50" s="1110"/>
      <c r="J50" s="1110"/>
      <c r="K50" s="1110"/>
      <c r="L50" s="1110"/>
      <c r="M50" s="1110"/>
      <c r="N50" s="1110"/>
      <c r="O50" s="1110"/>
      <c r="P50" s="1110"/>
      <c r="Q50" s="1110"/>
      <c r="R50" s="1110"/>
      <c r="S50" s="1110"/>
      <c r="T50" s="1111"/>
      <c r="U50" s="1111" t="s">
        <v>347</v>
      </c>
      <c r="V50" s="1180">
        <v>0.02</v>
      </c>
      <c r="W50" s="1180">
        <v>0.55000000000000004</v>
      </c>
      <c r="X50" s="1180">
        <v>0.55000000000000004</v>
      </c>
      <c r="Y50" s="1180">
        <v>0.55000000000000004</v>
      </c>
      <c r="Z50" s="1180">
        <v>0.55000000000000004</v>
      </c>
      <c r="AA50" s="1180">
        <v>0.55000000000000004</v>
      </c>
      <c r="AB50" s="1180">
        <v>0.7</v>
      </c>
      <c r="AC50" s="1180">
        <v>0.7</v>
      </c>
      <c r="AD50" s="1111"/>
      <c r="AE50" s="1111"/>
      <c r="AF50" s="1111"/>
      <c r="AG50" s="1111"/>
      <c r="AH50" s="1111"/>
      <c r="AI50" s="1111"/>
      <c r="AJ50" s="1111"/>
      <c r="AK50" s="1111"/>
      <c r="AL50" s="1111"/>
      <c r="AM50" s="1111"/>
      <c r="AN50" s="1111"/>
      <c r="AO50" s="1111"/>
      <c r="AP50" s="1111"/>
      <c r="AQ50" s="1111"/>
      <c r="AR50" s="1111"/>
      <c r="AS50" s="1111"/>
      <c r="AT50" s="1111"/>
      <c r="AU50" s="1111"/>
      <c r="AV50" s="1111"/>
      <c r="AW50" s="1111"/>
      <c r="AX50" s="1111"/>
      <c r="AY50" s="1111"/>
      <c r="AZ50" s="1111"/>
      <c r="BA50" s="1111"/>
      <c r="BB50" s="1111"/>
      <c r="BC50" s="1111"/>
      <c r="BD50" s="1111"/>
      <c r="BE50" s="1111"/>
      <c r="BF50" s="1111"/>
      <c r="BG50" s="1111"/>
      <c r="BH50" s="1111"/>
      <c r="BI50" s="1111"/>
      <c r="BJ50" s="1111"/>
      <c r="BK50" s="1111"/>
      <c r="BL50" s="1111"/>
      <c r="BM50" s="1111"/>
      <c r="BN50" s="1111"/>
      <c r="BO50" s="1111"/>
      <c r="BP50" s="1111"/>
      <c r="BQ50" s="1111"/>
      <c r="BR50" s="1111"/>
      <c r="BS50" s="1111"/>
      <c r="BT50" s="1111"/>
      <c r="BU50" s="1111"/>
      <c r="BV50" s="1111"/>
      <c r="BW50" s="1111"/>
      <c r="BX50" s="1111"/>
      <c r="BY50" s="1111"/>
      <c r="BZ50" s="1111"/>
      <c r="CA50" s="1111"/>
      <c r="CB50" s="1111"/>
      <c r="CC50" s="1111"/>
      <c r="CD50" s="1111"/>
      <c r="CE50" s="1111"/>
      <c r="CF50" s="1111"/>
      <c r="CG50" s="1111"/>
      <c r="CH50" s="1111"/>
      <c r="CI50" s="1111"/>
      <c r="CJ50" s="1111"/>
      <c r="CK50" s="1110"/>
    </row>
    <row r="51" spans="1:89" ht="14.4" x14ac:dyDescent="0.3">
      <c r="A51" s="1110"/>
      <c r="B51" s="1110"/>
      <c r="C51" s="1110"/>
      <c r="D51" s="1110"/>
      <c r="E51" s="1110"/>
      <c r="F51" s="1110"/>
      <c r="G51" s="1110"/>
      <c r="H51" s="1110"/>
      <c r="I51" s="1110"/>
      <c r="J51" s="1110"/>
      <c r="K51" s="1110"/>
      <c r="L51" s="1110"/>
      <c r="M51" s="1110"/>
      <c r="N51" s="1110"/>
      <c r="O51" s="1110"/>
      <c r="P51" s="1110"/>
      <c r="Q51" s="1110"/>
      <c r="R51" s="1110"/>
      <c r="S51" s="1110"/>
      <c r="T51" s="1111"/>
      <c r="U51" s="1111" t="s">
        <v>348</v>
      </c>
      <c r="V51" s="1180">
        <v>0</v>
      </c>
      <c r="W51" s="1180">
        <v>0.6</v>
      </c>
      <c r="X51" s="1180">
        <v>0.62</v>
      </c>
      <c r="Y51" s="1180">
        <v>0.6</v>
      </c>
      <c r="Z51" s="1180">
        <v>0.6</v>
      </c>
      <c r="AA51" s="1180">
        <v>0.62</v>
      </c>
      <c r="AB51" s="1180">
        <v>0.22</v>
      </c>
      <c r="AC51" s="1180">
        <v>0.22</v>
      </c>
      <c r="AD51" s="1111"/>
      <c r="AE51" s="1111"/>
      <c r="AF51" s="1111"/>
      <c r="AG51" s="1111"/>
      <c r="AH51" s="1111"/>
      <c r="AI51" s="1111"/>
      <c r="AJ51" s="1111"/>
      <c r="AK51" s="1111"/>
      <c r="AL51" s="1111"/>
      <c r="AM51" s="1111"/>
      <c r="AN51" s="1111"/>
      <c r="AO51" s="1111"/>
      <c r="AP51" s="1111"/>
      <c r="AQ51" s="1111"/>
      <c r="AR51" s="1111"/>
      <c r="AS51" s="1111"/>
      <c r="AT51" s="1111"/>
      <c r="AU51" s="1111"/>
      <c r="AV51" s="1111"/>
      <c r="AW51" s="1111"/>
      <c r="AX51" s="1111"/>
      <c r="AY51" s="1111"/>
      <c r="AZ51" s="1111"/>
      <c r="BA51" s="1111"/>
      <c r="BB51" s="1111"/>
      <c r="BC51" s="1111"/>
      <c r="BD51" s="1111"/>
      <c r="BE51" s="1111"/>
      <c r="BF51" s="1111"/>
      <c r="BG51" s="1111"/>
      <c r="BH51" s="1111"/>
      <c r="BI51" s="1111"/>
      <c r="BJ51" s="1111"/>
      <c r="BK51" s="1111"/>
      <c r="BL51" s="1111"/>
      <c r="BM51" s="1111"/>
      <c r="BN51" s="1111"/>
      <c r="BO51" s="1111"/>
      <c r="BP51" s="1111"/>
      <c r="BQ51" s="1111"/>
      <c r="BR51" s="1111"/>
      <c r="BS51" s="1111"/>
      <c r="BT51" s="1111"/>
      <c r="BU51" s="1111"/>
      <c r="BV51" s="1111"/>
      <c r="BW51" s="1111"/>
      <c r="BX51" s="1111"/>
      <c r="BY51" s="1111"/>
      <c r="BZ51" s="1111"/>
      <c r="CA51" s="1111"/>
      <c r="CB51" s="1111"/>
      <c r="CC51" s="1111"/>
      <c r="CD51" s="1111"/>
      <c r="CE51" s="1111"/>
      <c r="CF51" s="1111"/>
      <c r="CG51" s="1111"/>
      <c r="CH51" s="1111"/>
      <c r="CI51" s="1111"/>
      <c r="CJ51" s="1111"/>
      <c r="CK51" s="1110"/>
    </row>
    <row r="52" spans="1:89" ht="14.4" x14ac:dyDescent="0.3">
      <c r="A52" s="1110"/>
      <c r="B52" s="1110"/>
      <c r="C52" s="1110"/>
      <c r="D52" s="1110"/>
      <c r="E52" s="1110"/>
      <c r="F52" s="1110"/>
      <c r="G52" s="1110"/>
      <c r="H52" s="1110"/>
      <c r="I52" s="1110"/>
      <c r="J52" s="1110"/>
      <c r="K52" s="1110"/>
      <c r="L52" s="1110"/>
      <c r="M52" s="1110"/>
      <c r="N52" s="1110"/>
      <c r="O52" s="1110"/>
      <c r="P52" s="1110"/>
      <c r="Q52" s="1110"/>
      <c r="R52" s="1110"/>
      <c r="S52" s="1110"/>
      <c r="T52" s="1111"/>
      <c r="U52" s="1111" t="s">
        <v>349</v>
      </c>
      <c r="V52" s="1180">
        <v>0</v>
      </c>
      <c r="W52" s="1180">
        <v>7.0000000000000007E-2</v>
      </c>
      <c r="X52" s="1180">
        <v>0.18</v>
      </c>
      <c r="Y52" s="1180">
        <v>7.0000000000000007E-2</v>
      </c>
      <c r="Z52" s="1180">
        <v>7.0000000000000007E-2</v>
      </c>
      <c r="AA52" s="1180">
        <v>0.18</v>
      </c>
      <c r="AB52" s="1180">
        <v>0.25</v>
      </c>
      <c r="AC52" s="1180">
        <v>0.25</v>
      </c>
      <c r="AD52" s="1111"/>
      <c r="AE52" s="1111"/>
      <c r="AF52" s="1111"/>
      <c r="AG52" s="1111"/>
      <c r="AH52" s="1111"/>
      <c r="AI52" s="1111"/>
      <c r="AJ52" s="1111"/>
      <c r="AK52" s="1111"/>
      <c r="AL52" s="1111"/>
      <c r="AM52" s="1111"/>
      <c r="AN52" s="1111"/>
      <c r="AO52" s="1111"/>
      <c r="AP52" s="1111"/>
      <c r="AQ52" s="1111"/>
      <c r="AR52" s="1111"/>
      <c r="AS52" s="1111"/>
      <c r="AT52" s="1111"/>
      <c r="AU52" s="1111"/>
      <c r="AV52" s="1111"/>
      <c r="AW52" s="1111"/>
      <c r="AX52" s="1111"/>
      <c r="AY52" s="1111"/>
      <c r="AZ52" s="1111"/>
      <c r="BA52" s="1111"/>
      <c r="BB52" s="1111"/>
      <c r="BC52" s="1111"/>
      <c r="BD52" s="1111"/>
      <c r="BE52" s="1111"/>
      <c r="BF52" s="1111"/>
      <c r="BG52" s="1111"/>
      <c r="BH52" s="1111"/>
      <c r="BI52" s="1111"/>
      <c r="BJ52" s="1111"/>
      <c r="BK52" s="1111"/>
      <c r="BL52" s="1111"/>
      <c r="BM52" s="1111"/>
      <c r="BN52" s="1111"/>
      <c r="BO52" s="1111"/>
      <c r="BP52" s="1111"/>
      <c r="BQ52" s="1111"/>
      <c r="BR52" s="1111"/>
      <c r="BS52" s="1111"/>
      <c r="BT52" s="1111"/>
      <c r="BU52" s="1111"/>
      <c r="BV52" s="1111"/>
      <c r="BW52" s="1111"/>
      <c r="BX52" s="1111"/>
      <c r="BY52" s="1111"/>
      <c r="BZ52" s="1111"/>
      <c r="CA52" s="1111"/>
      <c r="CB52" s="1111"/>
      <c r="CC52" s="1111"/>
      <c r="CD52" s="1111"/>
      <c r="CE52" s="1111"/>
      <c r="CF52" s="1111"/>
      <c r="CG52" s="1111"/>
      <c r="CH52" s="1111"/>
      <c r="CI52" s="1111"/>
      <c r="CJ52" s="1111"/>
      <c r="CK52" s="1110"/>
    </row>
    <row r="53" spans="1:89" ht="14.4" x14ac:dyDescent="0.3">
      <c r="A53" s="1110"/>
      <c r="B53" s="1110"/>
      <c r="C53" s="1110"/>
      <c r="D53" s="1110"/>
      <c r="E53" s="1110"/>
      <c r="F53" s="1110"/>
      <c r="G53" s="1110"/>
      <c r="H53" s="1110"/>
      <c r="I53" s="1110"/>
      <c r="J53" s="1110"/>
      <c r="K53" s="1110"/>
      <c r="L53" s="1110"/>
      <c r="M53" s="1110"/>
      <c r="N53" s="1110"/>
      <c r="O53" s="1110"/>
      <c r="P53" s="1110"/>
      <c r="Q53" s="1110"/>
      <c r="R53" s="1110"/>
      <c r="S53" s="1110"/>
      <c r="T53" s="1111"/>
      <c r="U53" s="1111" t="s">
        <v>351</v>
      </c>
      <c r="V53" s="1180">
        <v>0.9</v>
      </c>
      <c r="W53" s="1180">
        <v>0</v>
      </c>
      <c r="X53" s="1180">
        <v>0</v>
      </c>
      <c r="Y53" s="1180">
        <v>0</v>
      </c>
      <c r="Z53" s="1180">
        <v>0</v>
      </c>
      <c r="AA53" s="1180">
        <v>0</v>
      </c>
      <c r="AB53" s="1180">
        <v>0</v>
      </c>
      <c r="AC53" s="1180">
        <v>0</v>
      </c>
      <c r="AD53" s="1111"/>
      <c r="AE53" s="1111"/>
      <c r="AF53" s="1111"/>
      <c r="AG53" s="1111"/>
      <c r="AH53" s="1111"/>
      <c r="AI53" s="1111"/>
      <c r="AJ53" s="1111"/>
      <c r="AK53" s="1111"/>
      <c r="AL53" s="1111"/>
      <c r="AM53" s="1111"/>
      <c r="AN53" s="1111"/>
      <c r="AO53" s="1111"/>
      <c r="AP53" s="1111"/>
      <c r="AQ53" s="1111"/>
      <c r="AR53" s="1111"/>
      <c r="AS53" s="1111"/>
      <c r="AT53" s="1111"/>
      <c r="AU53" s="1111"/>
      <c r="AV53" s="1111"/>
      <c r="AW53" s="1111"/>
      <c r="AX53" s="1111"/>
      <c r="AY53" s="1111"/>
      <c r="AZ53" s="1111"/>
      <c r="BA53" s="1111"/>
      <c r="BB53" s="1111"/>
      <c r="BC53" s="1111"/>
      <c r="BD53" s="1111"/>
      <c r="BE53" s="1111"/>
      <c r="BF53" s="1111"/>
      <c r="BG53" s="1111"/>
      <c r="BH53" s="1111"/>
      <c r="BI53" s="1111"/>
      <c r="BJ53" s="1111"/>
      <c r="BK53" s="1111"/>
      <c r="BL53" s="1111"/>
      <c r="BM53" s="1111"/>
      <c r="BN53" s="1111"/>
      <c r="BO53" s="1111"/>
      <c r="BP53" s="1111"/>
      <c r="BQ53" s="1111"/>
      <c r="BR53" s="1111"/>
      <c r="BS53" s="1111"/>
      <c r="BT53" s="1111"/>
      <c r="BU53" s="1111"/>
      <c r="BV53" s="1111"/>
      <c r="BW53" s="1111"/>
      <c r="BX53" s="1111"/>
      <c r="BY53" s="1111"/>
      <c r="BZ53" s="1111"/>
      <c r="CA53" s="1111"/>
      <c r="CB53" s="1111"/>
      <c r="CC53" s="1111"/>
      <c r="CD53" s="1111"/>
      <c r="CE53" s="1111"/>
      <c r="CF53" s="1111"/>
      <c r="CG53" s="1111"/>
      <c r="CH53" s="1111"/>
      <c r="CI53" s="1111"/>
      <c r="CJ53" s="1111"/>
      <c r="CK53" s="1110"/>
    </row>
    <row r="54" spans="1:89" ht="14.4" x14ac:dyDescent="0.3">
      <c r="A54" s="1110"/>
      <c r="B54" s="1110"/>
      <c r="C54" s="1110"/>
      <c r="D54" s="1110"/>
      <c r="E54" s="1110"/>
      <c r="F54" s="1110"/>
      <c r="G54" s="1110"/>
      <c r="H54" s="1110"/>
      <c r="I54" s="1110"/>
      <c r="J54" s="1110"/>
      <c r="K54" s="1110"/>
      <c r="L54" s="1110"/>
      <c r="M54" s="1110"/>
      <c r="N54" s="1110"/>
      <c r="O54" s="1110"/>
      <c r="P54" s="1110"/>
      <c r="Q54" s="1110"/>
      <c r="R54" s="1110"/>
      <c r="S54" s="1110"/>
      <c r="T54" s="1111"/>
      <c r="U54" s="1111" t="s">
        <v>358</v>
      </c>
      <c r="V54" s="1180">
        <v>0.03</v>
      </c>
      <c r="W54" s="1180">
        <v>0.2</v>
      </c>
      <c r="X54" s="1180">
        <v>0.1</v>
      </c>
      <c r="Y54" s="1180">
        <v>0.2</v>
      </c>
      <c r="Z54" s="1180">
        <v>0.2</v>
      </c>
      <c r="AA54" s="1180">
        <v>0.1</v>
      </c>
      <c r="AB54" s="1180">
        <v>0.01</v>
      </c>
      <c r="AC54" s="1180">
        <v>0.01</v>
      </c>
      <c r="AD54" s="1111"/>
      <c r="AE54" s="1111"/>
      <c r="AF54" s="1111"/>
      <c r="AG54" s="1111"/>
      <c r="AH54" s="1111"/>
      <c r="AI54" s="1111"/>
      <c r="AJ54" s="1111"/>
      <c r="AK54" s="1111"/>
      <c r="AL54" s="1111"/>
      <c r="AM54" s="1111"/>
      <c r="AN54" s="1111"/>
      <c r="AO54" s="1111"/>
      <c r="AP54" s="1111"/>
      <c r="AQ54" s="1111"/>
      <c r="AR54" s="1111"/>
      <c r="AS54" s="1111"/>
      <c r="AT54" s="1111"/>
      <c r="AU54" s="1111"/>
      <c r="AV54" s="1111"/>
      <c r="AW54" s="1111"/>
      <c r="AX54" s="1111"/>
      <c r="AY54" s="1111"/>
      <c r="AZ54" s="1111"/>
      <c r="BA54" s="1111"/>
      <c r="BB54" s="1111"/>
      <c r="BC54" s="1111"/>
      <c r="BD54" s="1111"/>
      <c r="BE54" s="1111"/>
      <c r="BF54" s="1111"/>
      <c r="BG54" s="1111"/>
      <c r="BH54" s="1111"/>
      <c r="BI54" s="1111"/>
      <c r="BJ54" s="1111"/>
      <c r="BK54" s="1111"/>
      <c r="BL54" s="1111"/>
      <c r="BM54" s="1111"/>
      <c r="BN54" s="1111"/>
      <c r="BO54" s="1111"/>
      <c r="BP54" s="1111"/>
      <c r="BQ54" s="1111"/>
      <c r="BR54" s="1111"/>
      <c r="BS54" s="1111"/>
      <c r="BT54" s="1111"/>
      <c r="BU54" s="1111"/>
      <c r="BV54" s="1111"/>
      <c r="BW54" s="1111"/>
      <c r="BX54" s="1111"/>
      <c r="BY54" s="1111"/>
      <c r="BZ54" s="1111"/>
      <c r="CA54" s="1111"/>
      <c r="CB54" s="1111"/>
      <c r="CC54" s="1111"/>
      <c r="CD54" s="1111"/>
      <c r="CE54" s="1111"/>
      <c r="CF54" s="1111"/>
      <c r="CG54" s="1111"/>
      <c r="CH54" s="1111"/>
      <c r="CI54" s="1111"/>
      <c r="CJ54" s="1111"/>
      <c r="CK54" s="1110"/>
    </row>
    <row r="55" spans="1:89" ht="14.4" x14ac:dyDescent="0.3">
      <c r="A55" s="1110"/>
      <c r="B55" s="1110"/>
      <c r="C55" s="1110"/>
      <c r="D55" s="1110"/>
      <c r="E55" s="1110"/>
      <c r="F55" s="1110"/>
      <c r="G55" s="1110"/>
      <c r="H55" s="1110"/>
      <c r="I55" s="1110"/>
      <c r="J55" s="1110"/>
      <c r="K55" s="1110"/>
      <c r="L55" s="1110"/>
      <c r="M55" s="1110"/>
      <c r="N55" s="1110"/>
      <c r="O55" s="1110"/>
      <c r="P55" s="1110"/>
      <c r="Q55" s="1110"/>
      <c r="R55" s="1110"/>
      <c r="S55" s="1110"/>
      <c r="T55" s="1111"/>
      <c r="U55" s="1111" t="s">
        <v>353</v>
      </c>
      <c r="V55" s="1180">
        <v>0.03</v>
      </c>
      <c r="W55" s="1180">
        <v>0.2</v>
      </c>
      <c r="X55" s="1180">
        <v>0.15</v>
      </c>
      <c r="Y55" s="1180">
        <v>0.2</v>
      </c>
      <c r="Z55" s="1180">
        <v>0.2</v>
      </c>
      <c r="AA55" s="1180">
        <v>0.15</v>
      </c>
      <c r="AB55" s="1180">
        <v>0.02</v>
      </c>
      <c r="AC55" s="1180">
        <v>0.02</v>
      </c>
      <c r="AD55" s="1111"/>
      <c r="AE55" s="1111"/>
      <c r="AF55" s="1111"/>
      <c r="AG55" s="1111"/>
      <c r="AH55" s="1111"/>
      <c r="AI55" s="1111"/>
      <c r="AJ55" s="1111"/>
      <c r="AK55" s="1111"/>
      <c r="AL55" s="1111"/>
      <c r="AM55" s="1111"/>
      <c r="AN55" s="1111"/>
      <c r="AO55" s="1111"/>
      <c r="AP55" s="1111"/>
      <c r="AQ55" s="1111"/>
      <c r="AR55" s="1111"/>
      <c r="AS55" s="1111"/>
      <c r="AT55" s="1111"/>
      <c r="AU55" s="1111"/>
      <c r="AV55" s="1111"/>
      <c r="AW55" s="1111"/>
      <c r="AX55" s="1111"/>
      <c r="AY55" s="1111"/>
      <c r="AZ55" s="1111"/>
      <c r="BA55" s="1111"/>
      <c r="BB55" s="1111"/>
      <c r="BC55" s="1111"/>
      <c r="BD55" s="1111"/>
      <c r="BE55" s="1111"/>
      <c r="BF55" s="1111"/>
      <c r="BG55" s="1111"/>
      <c r="BH55" s="1111"/>
      <c r="BI55" s="1111"/>
      <c r="BJ55" s="1111"/>
      <c r="BK55" s="1111"/>
      <c r="BL55" s="1111"/>
      <c r="BM55" s="1111"/>
      <c r="BN55" s="1111"/>
      <c r="BO55" s="1111"/>
      <c r="BP55" s="1111"/>
      <c r="BQ55" s="1111"/>
      <c r="BR55" s="1111"/>
      <c r="BS55" s="1111"/>
      <c r="BT55" s="1111"/>
      <c r="BU55" s="1111"/>
      <c r="BV55" s="1111"/>
      <c r="BW55" s="1111"/>
      <c r="BX55" s="1111"/>
      <c r="BY55" s="1111"/>
      <c r="BZ55" s="1111"/>
      <c r="CA55" s="1111"/>
      <c r="CB55" s="1111"/>
      <c r="CC55" s="1111"/>
      <c r="CD55" s="1111"/>
      <c r="CE55" s="1111"/>
      <c r="CF55" s="1111"/>
      <c r="CG55" s="1111"/>
      <c r="CH55" s="1111"/>
      <c r="CI55" s="1111"/>
      <c r="CJ55" s="1111"/>
      <c r="CK55" s="1110"/>
    </row>
    <row r="56" spans="1:89" ht="14.4" x14ac:dyDescent="0.3">
      <c r="A56" s="1110"/>
      <c r="B56" s="1110"/>
      <c r="C56" s="1110"/>
      <c r="D56" s="1110"/>
      <c r="E56" s="1110"/>
      <c r="F56" s="1110"/>
      <c r="G56" s="1110"/>
      <c r="H56" s="1110"/>
      <c r="I56" s="1110"/>
      <c r="J56" s="1110"/>
      <c r="K56" s="1110"/>
      <c r="L56" s="1110"/>
      <c r="M56" s="1110"/>
      <c r="N56" s="1110"/>
      <c r="O56" s="1110"/>
      <c r="P56" s="1110"/>
      <c r="Q56" s="1110"/>
      <c r="R56" s="1110"/>
      <c r="S56" s="1110"/>
      <c r="T56" s="1111"/>
      <c r="U56" s="1111" t="s">
        <v>350</v>
      </c>
      <c r="V56" s="1180">
        <v>0.04</v>
      </c>
      <c r="W56" s="1180">
        <v>0.02</v>
      </c>
      <c r="X56" s="1180">
        <v>0</v>
      </c>
      <c r="Y56" s="1180">
        <v>0.02</v>
      </c>
      <c r="Z56" s="1180">
        <v>0.02</v>
      </c>
      <c r="AA56" s="1180">
        <v>0</v>
      </c>
      <c r="AB56" s="1180">
        <v>0.04</v>
      </c>
      <c r="AC56" s="1180">
        <v>0.04</v>
      </c>
      <c r="AD56" s="1111"/>
      <c r="AE56" s="1111"/>
      <c r="AF56" s="1111"/>
      <c r="AG56" s="1111"/>
      <c r="AH56" s="1111"/>
      <c r="AI56" s="1111"/>
      <c r="AJ56" s="1111"/>
      <c r="AK56" s="1111"/>
      <c r="AL56" s="1111"/>
      <c r="AM56" s="1111"/>
      <c r="AN56" s="1111"/>
      <c r="AO56" s="1111"/>
      <c r="AP56" s="1111"/>
      <c r="AQ56" s="1111"/>
      <c r="AR56" s="1111"/>
      <c r="AS56" s="1111"/>
      <c r="AT56" s="1111"/>
      <c r="AU56" s="1111"/>
      <c r="AV56" s="1111"/>
      <c r="AW56" s="1111"/>
      <c r="AX56" s="1111"/>
      <c r="AY56" s="1111"/>
      <c r="AZ56" s="1111"/>
      <c r="BA56" s="1111"/>
      <c r="BB56" s="1111"/>
      <c r="BC56" s="1111"/>
      <c r="BD56" s="1111"/>
      <c r="BE56" s="1111"/>
      <c r="BF56" s="1111"/>
      <c r="BG56" s="1111"/>
      <c r="BH56" s="1111"/>
      <c r="BI56" s="1111"/>
      <c r="BJ56" s="1111"/>
      <c r="BK56" s="1111"/>
      <c r="BL56" s="1111"/>
      <c r="BM56" s="1111"/>
      <c r="BN56" s="1111"/>
      <c r="BO56" s="1111"/>
      <c r="BP56" s="1111"/>
      <c r="BQ56" s="1111"/>
      <c r="BR56" s="1111"/>
      <c r="BS56" s="1111"/>
      <c r="BT56" s="1111"/>
      <c r="BU56" s="1111"/>
      <c r="BV56" s="1111"/>
      <c r="BW56" s="1111"/>
      <c r="BX56" s="1111"/>
      <c r="BY56" s="1111"/>
      <c r="BZ56" s="1111"/>
      <c r="CA56" s="1111"/>
      <c r="CB56" s="1111"/>
      <c r="CC56" s="1111"/>
      <c r="CD56" s="1111"/>
      <c r="CE56" s="1111"/>
      <c r="CF56" s="1111"/>
      <c r="CG56" s="1111"/>
      <c r="CH56" s="1111"/>
      <c r="CI56" s="1111"/>
      <c r="CJ56" s="1111"/>
      <c r="CK56" s="1110"/>
    </row>
    <row r="57" spans="1:89" ht="14.4" x14ac:dyDescent="0.3">
      <c r="A57" s="1110"/>
      <c r="B57" s="1110"/>
      <c r="C57" s="1110"/>
      <c r="D57" s="1110"/>
      <c r="E57" s="1110"/>
      <c r="F57" s="1110"/>
      <c r="G57" s="1110"/>
      <c r="H57" s="1110"/>
      <c r="I57" s="1110"/>
      <c r="J57" s="1110"/>
      <c r="K57" s="1110"/>
      <c r="L57" s="1110"/>
      <c r="M57" s="1110"/>
      <c r="N57" s="1110"/>
      <c r="O57" s="1110"/>
      <c r="P57" s="1110"/>
      <c r="Q57" s="1110"/>
      <c r="R57" s="1110"/>
      <c r="S57" s="1110"/>
      <c r="T57" s="1111"/>
      <c r="U57" s="1111" t="s">
        <v>352</v>
      </c>
      <c r="V57" s="1180">
        <v>0</v>
      </c>
      <c r="W57" s="1180">
        <v>0.65</v>
      </c>
      <c r="X57" s="1180">
        <v>0.78</v>
      </c>
      <c r="Y57" s="1180">
        <v>0.65</v>
      </c>
      <c r="Z57" s="1180">
        <v>0.65</v>
      </c>
      <c r="AA57" s="1180">
        <v>0.78</v>
      </c>
      <c r="AB57" s="1180">
        <v>0.04</v>
      </c>
      <c r="AC57" s="1180">
        <v>0.04</v>
      </c>
      <c r="AD57" s="1111"/>
      <c r="AE57" s="1111"/>
      <c r="AF57" s="1111"/>
      <c r="AG57" s="1111"/>
      <c r="AH57" s="1111"/>
      <c r="AI57" s="1111"/>
      <c r="AJ57" s="1111"/>
      <c r="AK57" s="1111"/>
      <c r="AL57" s="1111"/>
      <c r="AM57" s="1111"/>
      <c r="AN57" s="1111"/>
      <c r="AO57" s="1111"/>
      <c r="AP57" s="1111"/>
      <c r="AQ57" s="1111"/>
      <c r="AR57" s="1111"/>
      <c r="AS57" s="1111"/>
      <c r="AT57" s="1111"/>
      <c r="AU57" s="1111"/>
      <c r="AV57" s="1111"/>
      <c r="AW57" s="1111"/>
      <c r="AX57" s="1111"/>
      <c r="AY57" s="1111"/>
      <c r="AZ57" s="1111"/>
      <c r="BA57" s="1111"/>
      <c r="BB57" s="1111"/>
      <c r="BC57" s="1111"/>
      <c r="BD57" s="1111"/>
      <c r="BE57" s="1111"/>
      <c r="BF57" s="1111"/>
      <c r="BG57" s="1111"/>
      <c r="BH57" s="1111"/>
      <c r="BI57" s="1111"/>
      <c r="BJ57" s="1111"/>
      <c r="BK57" s="1111"/>
      <c r="BL57" s="1111"/>
      <c r="BM57" s="1111"/>
      <c r="BN57" s="1111"/>
      <c r="BO57" s="1111"/>
      <c r="BP57" s="1111"/>
      <c r="BQ57" s="1111"/>
      <c r="BR57" s="1111"/>
      <c r="BS57" s="1111"/>
      <c r="BT57" s="1111"/>
      <c r="BU57" s="1111"/>
      <c r="BV57" s="1111"/>
      <c r="BW57" s="1111"/>
      <c r="BX57" s="1111"/>
      <c r="BY57" s="1111"/>
      <c r="BZ57" s="1111"/>
      <c r="CA57" s="1111"/>
      <c r="CB57" s="1111"/>
      <c r="CC57" s="1111"/>
      <c r="CD57" s="1111"/>
      <c r="CE57" s="1111"/>
      <c r="CF57" s="1111"/>
      <c r="CG57" s="1111"/>
      <c r="CH57" s="1111"/>
      <c r="CI57" s="1111"/>
      <c r="CJ57" s="1111"/>
      <c r="CK57" s="1110"/>
    </row>
    <row r="58" spans="1:89" ht="15" thickBot="1" x14ac:dyDescent="0.35">
      <c r="A58" s="1110"/>
      <c r="B58" s="1110"/>
      <c r="C58" s="1110"/>
      <c r="D58" s="1110"/>
      <c r="E58" s="1110"/>
      <c r="F58" s="1110"/>
      <c r="G58" s="1110"/>
      <c r="H58" s="1110"/>
      <c r="I58" s="1110"/>
      <c r="J58" s="1110"/>
      <c r="K58" s="1110"/>
      <c r="L58" s="1110"/>
      <c r="M58" s="1110"/>
      <c r="N58" s="1110"/>
      <c r="O58" s="1110"/>
      <c r="P58" s="1110"/>
      <c r="Q58" s="1110"/>
      <c r="R58" s="1110"/>
      <c r="S58" s="1110"/>
      <c r="T58" s="1181"/>
      <c r="U58" s="1181" t="s">
        <v>354</v>
      </c>
      <c r="V58" s="1187">
        <v>0</v>
      </c>
      <c r="W58" s="1187">
        <v>0</v>
      </c>
      <c r="X58" s="1187">
        <v>0</v>
      </c>
      <c r="Y58" s="1187">
        <v>0</v>
      </c>
      <c r="Z58" s="1187">
        <v>0</v>
      </c>
      <c r="AA58" s="1187">
        <v>0</v>
      </c>
      <c r="AB58" s="1187">
        <v>0</v>
      </c>
      <c r="AC58" s="1187">
        <v>0</v>
      </c>
      <c r="AD58" s="1181"/>
      <c r="AE58" s="1181"/>
      <c r="AF58" s="1181"/>
      <c r="AG58" s="1181"/>
      <c r="AH58" s="1181"/>
      <c r="AI58" s="1181"/>
      <c r="AJ58" s="1181"/>
      <c r="AK58" s="1181"/>
      <c r="AL58" s="1181"/>
      <c r="AM58" s="1181"/>
      <c r="AN58" s="1181"/>
      <c r="AO58" s="1181"/>
      <c r="AP58" s="1181"/>
      <c r="AQ58" s="1181"/>
      <c r="AR58" s="1181"/>
      <c r="AS58" s="1181"/>
      <c r="AT58" s="1181"/>
      <c r="AU58" s="1181"/>
      <c r="AV58" s="1181"/>
      <c r="AW58" s="1111"/>
      <c r="AX58" s="1111"/>
      <c r="AY58" s="1111"/>
      <c r="AZ58" s="1111"/>
      <c r="BA58" s="1111"/>
      <c r="BB58" s="1111"/>
      <c r="BC58" s="1111"/>
      <c r="BD58" s="1111"/>
      <c r="BE58" s="1111"/>
      <c r="BF58" s="1111"/>
      <c r="BG58" s="1111"/>
      <c r="BH58" s="1111"/>
      <c r="BI58" s="1111"/>
      <c r="BJ58" s="1111"/>
      <c r="BK58" s="1111"/>
      <c r="BL58" s="1111"/>
      <c r="BM58" s="1111"/>
      <c r="BN58" s="1111"/>
      <c r="BO58" s="1111"/>
      <c r="BP58" s="1111"/>
      <c r="BQ58" s="1111"/>
      <c r="BR58" s="1111"/>
      <c r="BS58" s="1111"/>
      <c r="BT58" s="1111"/>
      <c r="BU58" s="1111"/>
      <c r="BV58" s="1111"/>
      <c r="BW58" s="1111"/>
      <c r="BX58" s="1111"/>
      <c r="BY58" s="1111"/>
      <c r="BZ58" s="1111"/>
      <c r="CA58" s="1111"/>
      <c r="CB58" s="1111"/>
      <c r="CC58" s="1111"/>
      <c r="CD58" s="1111"/>
      <c r="CE58" s="1111"/>
      <c r="CF58" s="1111"/>
      <c r="CG58" s="1111"/>
      <c r="CH58" s="1111"/>
      <c r="CI58" s="1111"/>
      <c r="CJ58" s="1111"/>
      <c r="CK58" s="1110"/>
    </row>
    <row r="59" spans="1:89" ht="15" thickBot="1" x14ac:dyDescent="0.35">
      <c r="A59" s="1110"/>
      <c r="B59" s="1110"/>
      <c r="C59" s="1110"/>
      <c r="D59" s="1110"/>
      <c r="E59" s="1110"/>
      <c r="F59" s="1110"/>
      <c r="G59" s="1110"/>
      <c r="H59" s="1110"/>
      <c r="I59" s="1110"/>
      <c r="J59" s="1110"/>
      <c r="K59" s="1110"/>
      <c r="L59" s="1110"/>
      <c r="M59" s="1110"/>
      <c r="N59" s="1110"/>
      <c r="O59" s="1110"/>
      <c r="P59" s="1110"/>
      <c r="Q59" s="1110"/>
      <c r="R59" s="1110"/>
      <c r="S59" s="1110"/>
      <c r="T59" s="1111"/>
      <c r="U59" s="1111"/>
      <c r="V59" s="1111"/>
      <c r="W59" s="1111"/>
      <c r="X59" s="1111"/>
      <c r="Y59" s="1111"/>
      <c r="Z59" s="1111"/>
      <c r="AA59" s="1111"/>
      <c r="AB59" s="1111"/>
      <c r="AC59" s="1111"/>
      <c r="AD59" s="1111"/>
      <c r="AE59" s="1111"/>
      <c r="AF59" s="1111"/>
      <c r="AG59" s="1111"/>
      <c r="AH59" s="1111"/>
      <c r="AI59" s="1111"/>
      <c r="AJ59" s="1111"/>
      <c r="AK59" s="1111"/>
      <c r="AL59" s="1111"/>
      <c r="AM59" s="1111"/>
      <c r="AN59" s="1111"/>
      <c r="AO59" s="1111"/>
      <c r="AP59" s="1111"/>
      <c r="AQ59" s="1111"/>
      <c r="AR59" s="1111"/>
      <c r="AS59" s="1111"/>
      <c r="AT59" s="1111"/>
      <c r="AU59" s="1111"/>
      <c r="AV59" s="1111"/>
      <c r="AW59" s="1111"/>
      <c r="AX59" s="1111"/>
      <c r="AY59" s="1111"/>
      <c r="AZ59" s="1111"/>
      <c r="BA59" s="1111"/>
      <c r="BB59" s="1111"/>
      <c r="BC59" s="1111"/>
      <c r="BD59" s="1111"/>
      <c r="BE59" s="1111"/>
      <c r="BF59" s="1111"/>
      <c r="BG59" s="1111"/>
      <c r="BH59" s="1111"/>
      <c r="BI59" s="1111"/>
      <c r="BJ59" s="1111"/>
      <c r="BK59" s="1111"/>
      <c r="BL59" s="1111"/>
      <c r="BM59" s="1111"/>
      <c r="BN59" s="1111"/>
      <c r="BO59" s="1111"/>
      <c r="BP59" s="1111"/>
      <c r="BQ59" s="1111"/>
      <c r="BR59" s="1111"/>
      <c r="BS59" s="1111"/>
      <c r="BT59" s="1111"/>
      <c r="BU59" s="1111"/>
      <c r="BV59" s="1111"/>
      <c r="BW59" s="1111"/>
      <c r="BX59" s="1111"/>
      <c r="BY59" s="1111"/>
      <c r="BZ59" s="1111"/>
      <c r="CA59" s="1111"/>
      <c r="CB59" s="1111"/>
      <c r="CC59" s="1111"/>
      <c r="CD59" s="1111"/>
      <c r="CE59" s="1111"/>
      <c r="CF59" s="1111"/>
      <c r="CG59" s="1111"/>
      <c r="CH59" s="1111"/>
      <c r="CI59" s="1111"/>
      <c r="CJ59" s="1111"/>
      <c r="CK59" s="1110"/>
    </row>
    <row r="60" spans="1:89" ht="14.4" x14ac:dyDescent="0.3">
      <c r="A60" s="1110"/>
      <c r="B60" s="1110"/>
      <c r="C60" s="1110"/>
      <c r="D60" s="1110"/>
      <c r="E60" s="1110"/>
      <c r="F60" s="1110"/>
      <c r="G60" s="1110"/>
      <c r="H60" s="1110"/>
      <c r="I60" s="1110"/>
      <c r="J60" s="1110"/>
      <c r="K60" s="1110"/>
      <c r="L60" s="1110"/>
      <c r="M60" s="1110"/>
      <c r="N60" s="1110"/>
      <c r="O60" s="1110"/>
      <c r="P60" s="1110"/>
      <c r="Q60" s="1110"/>
      <c r="R60" s="1110"/>
      <c r="S60" s="1110"/>
      <c r="T60" s="1164" t="s">
        <v>636</v>
      </c>
      <c r="U60" s="1182" t="s">
        <v>344</v>
      </c>
      <c r="V60" s="1182"/>
      <c r="W60" s="1183">
        <f>W17+W$6*$V39+W$7*$W39+W$8*$X39+W$9*$Y39+W$10*$Z39+W$11*$AA39+W$12*$AB39+W$13*$AC39</f>
        <v>16000</v>
      </c>
      <c r="X60" s="1183">
        <f>X17+X$6*$V39+X$7*$W39+X$8*$X39+X$9*$Y39+X$10*$Z39+X$11*$AA39+X$12*$AB39+X$13*$AC39</f>
        <v>16736.099999999999</v>
      </c>
      <c r="Y60" s="1183">
        <f t="shared" ref="Y60:AH60" si="32">Y17+Y$6*$V39+Y$7*$W39+Y$8*$X39+Y$9*$Y39+Y$10*$Z39+Y$11*$AA39+Y$12*$AB39+Y$13*$AC39</f>
        <v>17769.750000000004</v>
      </c>
      <c r="Z60" s="1183">
        <f t="shared" si="32"/>
        <v>19286.100000000002</v>
      </c>
      <c r="AA60" s="1183">
        <f t="shared" si="32"/>
        <v>20803</v>
      </c>
      <c r="AB60" s="1183">
        <f t="shared" si="32"/>
        <v>22319.949999999997</v>
      </c>
      <c r="AC60" s="1183">
        <f t="shared" si="32"/>
        <v>23836.299999999996</v>
      </c>
      <c r="AD60" s="1183">
        <f t="shared" si="32"/>
        <v>25353.799999999996</v>
      </c>
      <c r="AE60" s="1183">
        <f t="shared" si="32"/>
        <v>26853.399999999998</v>
      </c>
      <c r="AF60" s="1183">
        <f t="shared" si="32"/>
        <v>28353.3</v>
      </c>
      <c r="AG60" s="1183">
        <f t="shared" si="32"/>
        <v>29852.9</v>
      </c>
      <c r="AH60" s="1183">
        <f t="shared" si="32"/>
        <v>31352.500000000004</v>
      </c>
      <c r="AI60" s="1183">
        <f t="shared" ref="AI60:AV60" si="33">AI17+AI$6*$V39+AI$7*$W39+AI$8*$X39+AI$9*$Y39+AI$10*$Z39+AI$11*$AA39+AI$12*$AB39+AI$13*$AC39</f>
        <v>32853.300000000003</v>
      </c>
      <c r="AJ60" s="1183">
        <f t="shared" si="33"/>
        <v>33869.599999999999</v>
      </c>
      <c r="AK60" s="1183">
        <f t="shared" si="33"/>
        <v>34605.699999999997</v>
      </c>
      <c r="AL60" s="1183">
        <f t="shared" si="33"/>
        <v>35341.799999999996</v>
      </c>
      <c r="AM60" s="1183">
        <f t="shared" si="33"/>
        <v>36077.9</v>
      </c>
      <c r="AN60" s="1183">
        <f t="shared" si="33"/>
        <v>36814.300000000003</v>
      </c>
      <c r="AO60" s="1183">
        <f t="shared" si="33"/>
        <v>37550.400000000001</v>
      </c>
      <c r="AP60" s="1183">
        <f t="shared" si="33"/>
        <v>38286.799999999996</v>
      </c>
      <c r="AQ60" s="1183">
        <f t="shared" si="33"/>
        <v>39022.9</v>
      </c>
      <c r="AR60" s="1183">
        <f t="shared" si="33"/>
        <v>39759</v>
      </c>
      <c r="AS60" s="1183">
        <f t="shared" si="33"/>
        <v>40495.399999999994</v>
      </c>
      <c r="AT60" s="1183">
        <f t="shared" si="33"/>
        <v>41231.5</v>
      </c>
      <c r="AU60" s="1183">
        <f t="shared" si="33"/>
        <v>41967.6</v>
      </c>
      <c r="AV60" s="1183">
        <f t="shared" si="33"/>
        <v>42703.999999999993</v>
      </c>
      <c r="AW60" s="1111"/>
      <c r="AX60" s="1111"/>
      <c r="AY60" s="1111"/>
      <c r="AZ60" s="1111"/>
      <c r="BA60" s="1111"/>
      <c r="BB60" s="1111"/>
      <c r="BC60" s="1111"/>
      <c r="BD60" s="1111"/>
      <c r="BE60" s="1111"/>
      <c r="BF60" s="1111"/>
      <c r="BG60" s="1111"/>
      <c r="BH60" s="1111"/>
      <c r="BI60" s="1111"/>
      <c r="BJ60" s="1111"/>
      <c r="BK60" s="1111"/>
      <c r="BL60" s="1111"/>
      <c r="BM60" s="1111"/>
      <c r="BN60" s="1111"/>
      <c r="BO60" s="1111"/>
      <c r="BP60" s="1111"/>
      <c r="BQ60" s="1111"/>
      <c r="BR60" s="1111"/>
      <c r="BS60" s="1111"/>
      <c r="BT60" s="1111"/>
      <c r="BU60" s="1111"/>
      <c r="BV60" s="1111"/>
      <c r="BW60" s="1111"/>
      <c r="BX60" s="1111"/>
      <c r="BY60" s="1111"/>
      <c r="BZ60" s="1111"/>
      <c r="CA60" s="1111"/>
      <c r="CB60" s="1111"/>
      <c r="CC60" s="1111"/>
      <c r="CD60" s="1111"/>
      <c r="CE60" s="1111"/>
      <c r="CF60" s="1111"/>
      <c r="CG60" s="1111"/>
      <c r="CH60" s="1111"/>
      <c r="CI60" s="1111"/>
      <c r="CJ60" s="1111"/>
      <c r="CK60" s="1110"/>
    </row>
    <row r="61" spans="1:89" ht="14.4" x14ac:dyDescent="0.3">
      <c r="A61" s="1110"/>
      <c r="B61" s="1110"/>
      <c r="C61" s="1110"/>
      <c r="D61" s="1110"/>
      <c r="E61" s="1110"/>
      <c r="F61" s="1110"/>
      <c r="G61" s="1110"/>
      <c r="H61" s="1110"/>
      <c r="I61" s="1110"/>
      <c r="J61" s="1110"/>
      <c r="K61" s="1110"/>
      <c r="L61" s="1110"/>
      <c r="M61" s="1110"/>
      <c r="N61" s="1110"/>
      <c r="O61" s="1110"/>
      <c r="P61" s="1110"/>
      <c r="Q61" s="1110"/>
      <c r="R61" s="1110"/>
      <c r="S61" s="1110"/>
      <c r="T61" s="1111" t="s">
        <v>639</v>
      </c>
      <c r="U61" s="1111" t="s">
        <v>345</v>
      </c>
      <c r="V61" s="1111"/>
      <c r="W61" s="1167">
        <f>W18+W$6*$V40+W$7*$W40+W$8*$X40+W$9*$Y40+W$10*$Z40+W$11*$AA40+W$12*$AB40+W$13*$AC40</f>
        <v>13500</v>
      </c>
      <c r="X61" s="1167">
        <f>X18+X$6*$V40+X$7*$W40+X$8*$X40+X$9*$Y40+X$10*$Z40+X$11*$AA40+X$12*$AB40+X$13*$AC40</f>
        <v>14247.849999999999</v>
      </c>
      <c r="Y61" s="1167">
        <f t="shared" ref="Y61:AH61" si="34">Y18+Y$6*$V40+Y$7*$W40+Y$8*$X40+Y$9*$Y40+Y$10*$Z40+Y$11*$AA40+Y$12*$AB40+Y$13*$AC40</f>
        <v>15115.1</v>
      </c>
      <c r="Z61" s="1167">
        <f t="shared" si="34"/>
        <v>16733.349999999999</v>
      </c>
      <c r="AA61" s="1167">
        <f t="shared" si="34"/>
        <v>18352.200000000004</v>
      </c>
      <c r="AB61" s="1167">
        <f t="shared" si="34"/>
        <v>19971.350000000002</v>
      </c>
      <c r="AC61" s="1167">
        <f t="shared" si="34"/>
        <v>21589.600000000002</v>
      </c>
      <c r="AD61" s="1167">
        <f t="shared" si="34"/>
        <v>23209.4</v>
      </c>
      <c r="AE61" s="1167">
        <f t="shared" si="34"/>
        <v>25129.5</v>
      </c>
      <c r="AF61" s="1167">
        <f t="shared" si="34"/>
        <v>27050.15</v>
      </c>
      <c r="AG61" s="1167">
        <f t="shared" si="34"/>
        <v>28970.25</v>
      </c>
      <c r="AH61" s="1167">
        <f t="shared" si="34"/>
        <v>30890.349999999995</v>
      </c>
      <c r="AI61" s="1167">
        <f t="shared" ref="AI61:AV61" si="35">AI18+AI$6*$V40+AI$7*$W40+AI$8*$X40+AI$9*$Y40+AI$10*$Z40+AI$11*$AA40+AI$12*$AB40+AI$13*$AC40</f>
        <v>32812.35</v>
      </c>
      <c r="AJ61" s="1167">
        <f t="shared" si="35"/>
        <v>33980.5</v>
      </c>
      <c r="AK61" s="1167">
        <f t="shared" si="35"/>
        <v>34728.35</v>
      </c>
      <c r="AL61" s="1167">
        <f t="shared" si="35"/>
        <v>35476.199999999997</v>
      </c>
      <c r="AM61" s="1167">
        <f t="shared" si="35"/>
        <v>36224.049999999996</v>
      </c>
      <c r="AN61" s="1167">
        <f t="shared" si="35"/>
        <v>36972.400000000001</v>
      </c>
      <c r="AO61" s="1167">
        <f t="shared" si="35"/>
        <v>37720.25</v>
      </c>
      <c r="AP61" s="1167">
        <f t="shared" si="35"/>
        <v>38468.599999999991</v>
      </c>
      <c r="AQ61" s="1167">
        <f t="shared" si="35"/>
        <v>39216.449999999997</v>
      </c>
      <c r="AR61" s="1167">
        <f t="shared" si="35"/>
        <v>39964.299999999996</v>
      </c>
      <c r="AS61" s="1167">
        <f t="shared" si="35"/>
        <v>40712.65</v>
      </c>
      <c r="AT61" s="1167">
        <f t="shared" si="35"/>
        <v>41460.5</v>
      </c>
      <c r="AU61" s="1167">
        <f t="shared" si="35"/>
        <v>42208.35</v>
      </c>
      <c r="AV61" s="1167">
        <f t="shared" si="35"/>
        <v>42956.700000000004</v>
      </c>
      <c r="AW61" s="1111"/>
      <c r="AX61" s="1111"/>
      <c r="AY61" s="1111"/>
      <c r="AZ61" s="1111"/>
      <c r="BA61" s="1111"/>
      <c r="BB61" s="1111"/>
      <c r="BC61" s="1111"/>
      <c r="BD61" s="1111"/>
      <c r="BE61" s="1111"/>
      <c r="BF61" s="1111"/>
      <c r="BG61" s="1111"/>
      <c r="BH61" s="1111"/>
      <c r="BI61" s="1111"/>
      <c r="BJ61" s="1111"/>
      <c r="BK61" s="1111"/>
      <c r="BL61" s="1111"/>
      <c r="BM61" s="1111"/>
      <c r="BN61" s="1111"/>
      <c r="BO61" s="1111"/>
      <c r="BP61" s="1111"/>
      <c r="BQ61" s="1111"/>
      <c r="BR61" s="1111"/>
      <c r="BS61" s="1111"/>
      <c r="BT61" s="1111"/>
      <c r="BU61" s="1111"/>
      <c r="BV61" s="1111"/>
      <c r="BW61" s="1111"/>
      <c r="BX61" s="1111"/>
      <c r="BY61" s="1111"/>
      <c r="BZ61" s="1111"/>
      <c r="CA61" s="1111"/>
      <c r="CB61" s="1111"/>
      <c r="CC61" s="1111"/>
      <c r="CD61" s="1111"/>
      <c r="CE61" s="1111"/>
      <c r="CF61" s="1111"/>
      <c r="CG61" s="1111"/>
      <c r="CH61" s="1111"/>
      <c r="CI61" s="1111"/>
      <c r="CJ61" s="1111"/>
      <c r="CK61" s="1110"/>
    </row>
    <row r="62" spans="1:89" ht="14.4" x14ac:dyDescent="0.3">
      <c r="A62" s="1110"/>
      <c r="B62" s="1110"/>
      <c r="C62" s="1110"/>
      <c r="D62" s="1110"/>
      <c r="E62" s="1110"/>
      <c r="F62" s="1110"/>
      <c r="G62" s="1110"/>
      <c r="H62" s="1110"/>
      <c r="I62" s="1110"/>
      <c r="J62" s="1110"/>
      <c r="K62" s="1110"/>
      <c r="L62" s="1110"/>
      <c r="M62" s="1110"/>
      <c r="N62" s="1110"/>
      <c r="O62" s="1110"/>
      <c r="P62" s="1110"/>
      <c r="Q62" s="1110"/>
      <c r="R62" s="1110"/>
      <c r="S62" s="1110"/>
      <c r="T62" s="1111"/>
      <c r="U62" s="1111" t="s">
        <v>346</v>
      </c>
      <c r="V62" s="1111"/>
      <c r="W62" s="1167">
        <f t="shared" ref="W62:X79" si="36">W19+W$6*$V41+W$7*$W41+W$8*$X41+W$9*$Y41+W$10*$Z41+W$11*$AA41+W$12*$AB41+W$13*$AC41</f>
        <v>12000</v>
      </c>
      <c r="X62" s="1167">
        <f t="shared" si="36"/>
        <v>12501.099999999999</v>
      </c>
      <c r="Y62" s="1167">
        <f t="shared" ref="Y62:AH62" si="37">Y19+Y$6*$V41+Y$7*$W41+Y$8*$X41+Y$9*$Y41+Y$10*$Z41+Y$11*$AA41+Y$12*$AB41+Y$13*$AC41</f>
        <v>13121.299999999997</v>
      </c>
      <c r="Z62" s="1167">
        <f t="shared" si="37"/>
        <v>13956.3</v>
      </c>
      <c r="AA62" s="1167">
        <f t="shared" si="37"/>
        <v>14791.600000000002</v>
      </c>
      <c r="AB62" s="1167">
        <f t="shared" si="37"/>
        <v>15626.800000000003</v>
      </c>
      <c r="AC62" s="1167">
        <f t="shared" si="37"/>
        <v>16461.800000000003</v>
      </c>
      <c r="AD62" s="1167">
        <f t="shared" si="37"/>
        <v>17297.400000000005</v>
      </c>
      <c r="AE62" s="1167">
        <f t="shared" si="37"/>
        <v>18107</v>
      </c>
      <c r="AF62" s="1167">
        <f t="shared" si="37"/>
        <v>18916.899999999994</v>
      </c>
      <c r="AG62" s="1167">
        <f t="shared" si="37"/>
        <v>19726.5</v>
      </c>
      <c r="AH62" s="1167">
        <f t="shared" si="37"/>
        <v>20536.099999999999</v>
      </c>
      <c r="AI62" s="1167">
        <f t="shared" ref="AI62:AV62" si="38">AI19+AI$6*$V41+AI$7*$W41+AI$8*$X41+AI$9*$Y41+AI$10*$Z41+AI$11*$AA41+AI$12*$AB41+AI$13*$AC41</f>
        <v>21346.300000000003</v>
      </c>
      <c r="AJ62" s="1167">
        <f t="shared" si="38"/>
        <v>21940.799999999999</v>
      </c>
      <c r="AK62" s="1167">
        <f t="shared" si="38"/>
        <v>22441.9</v>
      </c>
      <c r="AL62" s="1167">
        <f t="shared" si="38"/>
        <v>22942.999999999996</v>
      </c>
      <c r="AM62" s="1167">
        <f t="shared" si="38"/>
        <v>23444.1</v>
      </c>
      <c r="AN62" s="1167">
        <f t="shared" si="38"/>
        <v>23945.4</v>
      </c>
      <c r="AO62" s="1167">
        <f t="shared" si="38"/>
        <v>24446.5</v>
      </c>
      <c r="AP62" s="1167">
        <f t="shared" si="38"/>
        <v>24947.8</v>
      </c>
      <c r="AQ62" s="1167">
        <f t="shared" si="38"/>
        <v>25448.900000000005</v>
      </c>
      <c r="AR62" s="1167">
        <f t="shared" si="38"/>
        <v>25949.999999999996</v>
      </c>
      <c r="AS62" s="1167">
        <f t="shared" si="38"/>
        <v>26451.3</v>
      </c>
      <c r="AT62" s="1167">
        <f t="shared" si="38"/>
        <v>26952.400000000001</v>
      </c>
      <c r="AU62" s="1167">
        <f t="shared" si="38"/>
        <v>27453.499999999996</v>
      </c>
      <c r="AV62" s="1167">
        <f t="shared" si="38"/>
        <v>27954.799999999999</v>
      </c>
      <c r="AW62" s="1111"/>
      <c r="AX62" s="1111"/>
      <c r="AY62" s="1111"/>
      <c r="AZ62" s="1111"/>
      <c r="BA62" s="1111"/>
      <c r="BB62" s="1111"/>
      <c r="BC62" s="1111"/>
      <c r="BD62" s="1111"/>
      <c r="BE62" s="1111"/>
      <c r="BF62" s="1111"/>
      <c r="BG62" s="1111"/>
      <c r="BH62" s="1111"/>
      <c r="BI62" s="1111"/>
      <c r="BJ62" s="1111"/>
      <c r="BK62" s="1111"/>
      <c r="BL62" s="1111"/>
      <c r="BM62" s="1111"/>
      <c r="BN62" s="1111"/>
      <c r="BO62" s="1111"/>
      <c r="BP62" s="1111"/>
      <c r="BQ62" s="1111"/>
      <c r="BR62" s="1111"/>
      <c r="BS62" s="1111"/>
      <c r="BT62" s="1111"/>
      <c r="BU62" s="1111"/>
      <c r="BV62" s="1111"/>
      <c r="BW62" s="1111"/>
      <c r="BX62" s="1111"/>
      <c r="BY62" s="1111"/>
      <c r="BZ62" s="1111"/>
      <c r="CA62" s="1111"/>
      <c r="CB62" s="1111"/>
      <c r="CC62" s="1111"/>
      <c r="CD62" s="1111"/>
      <c r="CE62" s="1111"/>
      <c r="CF62" s="1111"/>
      <c r="CG62" s="1111"/>
      <c r="CH62" s="1111"/>
      <c r="CI62" s="1111"/>
      <c r="CJ62" s="1111"/>
      <c r="CK62" s="1110"/>
    </row>
    <row r="63" spans="1:89" ht="14.4" x14ac:dyDescent="0.3">
      <c r="A63" s="1110"/>
      <c r="B63" s="1110"/>
      <c r="C63" s="1110"/>
      <c r="D63" s="1110"/>
      <c r="E63" s="1110"/>
      <c r="F63" s="1110"/>
      <c r="G63" s="1110"/>
      <c r="H63" s="1110"/>
      <c r="I63" s="1110"/>
      <c r="J63" s="1110"/>
      <c r="K63" s="1110"/>
      <c r="L63" s="1110"/>
      <c r="M63" s="1110"/>
      <c r="N63" s="1110"/>
      <c r="O63" s="1110"/>
      <c r="P63" s="1110"/>
      <c r="Q63" s="1110"/>
      <c r="R63" s="1110"/>
      <c r="S63" s="1110"/>
      <c r="T63" s="1111"/>
      <c r="U63" s="1111" t="s">
        <v>343</v>
      </c>
      <c r="V63" s="1111"/>
      <c r="W63" s="1167">
        <f t="shared" si="36"/>
        <v>14000</v>
      </c>
      <c r="X63" s="1167">
        <f t="shared" si="36"/>
        <v>14379.249999999998</v>
      </c>
      <c r="Y63" s="1167">
        <f t="shared" ref="Y63:AH63" si="39">Y20+Y$6*$V42+Y$7*$W42+Y$8*$X42+Y$9*$Y42+Y$10*$Z42+Y$11*$AA42+Y$12*$AB42+Y$13*$AC42</f>
        <v>14996.5</v>
      </c>
      <c r="Z63" s="1167">
        <f t="shared" si="39"/>
        <v>15882.050000000001</v>
      </c>
      <c r="AA63" s="1167">
        <f t="shared" si="39"/>
        <v>16768.000000000004</v>
      </c>
      <c r="AB63" s="1167">
        <f t="shared" si="39"/>
        <v>17653.850000000006</v>
      </c>
      <c r="AC63" s="1167">
        <f t="shared" si="39"/>
        <v>18539.400000000005</v>
      </c>
      <c r="AD63" s="1167">
        <f t="shared" si="39"/>
        <v>19425.7</v>
      </c>
      <c r="AE63" s="1167">
        <f t="shared" si="39"/>
        <v>20213.699999999997</v>
      </c>
      <c r="AF63" s="1167">
        <f t="shared" si="39"/>
        <v>21001.95</v>
      </c>
      <c r="AG63" s="1167">
        <f t="shared" si="39"/>
        <v>21789.949999999997</v>
      </c>
      <c r="AH63" s="1167">
        <f t="shared" si="39"/>
        <v>22577.95</v>
      </c>
      <c r="AI63" s="1167">
        <f t="shared" ref="AI63:AV63" si="40">AI20+AI$6*$V42+AI$7*$W42+AI$8*$X42+AI$9*$Y42+AI$10*$Z42+AI$11*$AA42+AI$12*$AB42+AI$13*$AC42</f>
        <v>23366.649999999998</v>
      </c>
      <c r="AJ63" s="1167">
        <f t="shared" si="40"/>
        <v>23886</v>
      </c>
      <c r="AK63" s="1167">
        <f t="shared" si="40"/>
        <v>24265.249999999996</v>
      </c>
      <c r="AL63" s="1167">
        <f t="shared" si="40"/>
        <v>24644.5</v>
      </c>
      <c r="AM63" s="1167">
        <f t="shared" si="40"/>
        <v>25023.749999999996</v>
      </c>
      <c r="AN63" s="1167">
        <f t="shared" si="40"/>
        <v>25403.199999999997</v>
      </c>
      <c r="AO63" s="1167">
        <f t="shared" si="40"/>
        <v>25782.45</v>
      </c>
      <c r="AP63" s="1167">
        <f t="shared" si="40"/>
        <v>26161.9</v>
      </c>
      <c r="AQ63" s="1167">
        <f t="shared" si="40"/>
        <v>26541.149999999998</v>
      </c>
      <c r="AR63" s="1167">
        <f t="shared" si="40"/>
        <v>26920.400000000001</v>
      </c>
      <c r="AS63" s="1167">
        <f t="shared" si="40"/>
        <v>27299.85</v>
      </c>
      <c r="AT63" s="1167">
        <f t="shared" si="40"/>
        <v>27679.1</v>
      </c>
      <c r="AU63" s="1167">
        <f t="shared" si="40"/>
        <v>28058.35</v>
      </c>
      <c r="AV63" s="1167">
        <f t="shared" si="40"/>
        <v>28437.799999999996</v>
      </c>
      <c r="AW63" s="1111"/>
      <c r="AX63" s="1111"/>
      <c r="AY63" s="1111"/>
      <c r="AZ63" s="1111"/>
      <c r="BA63" s="1111"/>
      <c r="BB63" s="1111"/>
      <c r="BC63" s="1111"/>
      <c r="BD63" s="1111"/>
      <c r="BE63" s="1111"/>
      <c r="BF63" s="1111"/>
      <c r="BG63" s="1111"/>
      <c r="BH63" s="1111"/>
      <c r="BI63" s="1111"/>
      <c r="BJ63" s="1111"/>
      <c r="BK63" s="1111"/>
      <c r="BL63" s="1111"/>
      <c r="BM63" s="1111"/>
      <c r="BN63" s="1111"/>
      <c r="BO63" s="1111"/>
      <c r="BP63" s="1111"/>
      <c r="BQ63" s="1111"/>
      <c r="BR63" s="1111"/>
      <c r="BS63" s="1111"/>
      <c r="BT63" s="1111"/>
      <c r="BU63" s="1111"/>
      <c r="BV63" s="1111"/>
      <c r="BW63" s="1111"/>
      <c r="BX63" s="1111"/>
      <c r="BY63" s="1111"/>
      <c r="BZ63" s="1111"/>
      <c r="CA63" s="1111"/>
      <c r="CB63" s="1111"/>
      <c r="CC63" s="1111"/>
      <c r="CD63" s="1111"/>
      <c r="CE63" s="1111"/>
      <c r="CF63" s="1111"/>
      <c r="CG63" s="1111"/>
      <c r="CH63" s="1111"/>
      <c r="CI63" s="1111"/>
      <c r="CJ63" s="1111"/>
      <c r="CK63" s="1110"/>
    </row>
    <row r="64" spans="1:89" ht="14.4" x14ac:dyDescent="0.3">
      <c r="A64" s="1110"/>
      <c r="B64" s="1110"/>
      <c r="C64" s="1110"/>
      <c r="D64" s="1110"/>
      <c r="E64" s="1110"/>
      <c r="F64" s="1110"/>
      <c r="G64" s="1110"/>
      <c r="H64" s="1110"/>
      <c r="I64" s="1110"/>
      <c r="J64" s="1110"/>
      <c r="K64" s="1110"/>
      <c r="L64" s="1110"/>
      <c r="M64" s="1110"/>
      <c r="N64" s="1110"/>
      <c r="O64" s="1110"/>
      <c r="P64" s="1110"/>
      <c r="Q64" s="1110"/>
      <c r="R64" s="1110"/>
      <c r="S64" s="1110"/>
      <c r="T64" s="1111"/>
      <c r="U64" s="1111" t="s">
        <v>342</v>
      </c>
      <c r="V64" s="1111"/>
      <c r="W64" s="1167">
        <f t="shared" si="36"/>
        <v>28000</v>
      </c>
      <c r="X64" s="1167">
        <f t="shared" si="36"/>
        <v>28607.5</v>
      </c>
      <c r="Y64" s="1167">
        <f t="shared" ref="Y64:AH64" si="41">Y21+Y$6*$V43+Y$7*$W43+Y$8*$X43+Y$9*$Y43+Y$10*$Z43+Y$11*$AA43+Y$12*$AB43+Y$13*$AC43</f>
        <v>29987.899999999998</v>
      </c>
      <c r="Z64" s="1167">
        <f t="shared" si="41"/>
        <v>31502.250000000004</v>
      </c>
      <c r="AA64" s="1167">
        <f t="shared" si="41"/>
        <v>33017.300000000003</v>
      </c>
      <c r="AB64" s="1167">
        <f t="shared" si="41"/>
        <v>34531.850000000006</v>
      </c>
      <c r="AC64" s="1167">
        <f t="shared" si="41"/>
        <v>36046.199999999997</v>
      </c>
      <c r="AD64" s="1167">
        <f t="shared" si="41"/>
        <v>37561.399999999994</v>
      </c>
      <c r="AE64" s="1167">
        <f t="shared" si="41"/>
        <v>38396.399999999987</v>
      </c>
      <c r="AF64" s="1167">
        <f t="shared" si="41"/>
        <v>39231.399999999994</v>
      </c>
      <c r="AG64" s="1167">
        <f t="shared" si="41"/>
        <v>40066.400000000001</v>
      </c>
      <c r="AH64" s="1167">
        <f t="shared" si="41"/>
        <v>40901.400000000009</v>
      </c>
      <c r="AI64" s="1167">
        <f t="shared" ref="AI64:AV64" si="42">AI21+AI$6*$V43+AI$7*$W43+AI$8*$X43+AI$9*$Y43+AI$10*$Z43+AI$11*$AA43+AI$12*$AB43+AI$13*$AC43</f>
        <v>41736.699999999997</v>
      </c>
      <c r="AJ64" s="1167">
        <f t="shared" si="42"/>
        <v>42437.599999999999</v>
      </c>
      <c r="AK64" s="1167">
        <f t="shared" si="42"/>
        <v>43045.1</v>
      </c>
      <c r="AL64" s="1167">
        <f t="shared" si="42"/>
        <v>43652.6</v>
      </c>
      <c r="AM64" s="1167">
        <f t="shared" si="42"/>
        <v>44260.100000000006</v>
      </c>
      <c r="AN64" s="1167">
        <f t="shared" si="42"/>
        <v>44867.65</v>
      </c>
      <c r="AO64" s="1167">
        <f t="shared" si="42"/>
        <v>45475.149999999994</v>
      </c>
      <c r="AP64" s="1167">
        <f t="shared" si="42"/>
        <v>46082.700000000004</v>
      </c>
      <c r="AQ64" s="1167">
        <f t="shared" si="42"/>
        <v>46690.200000000012</v>
      </c>
      <c r="AR64" s="1167">
        <f t="shared" si="42"/>
        <v>47297.700000000004</v>
      </c>
      <c r="AS64" s="1167">
        <f t="shared" si="42"/>
        <v>47905.25</v>
      </c>
      <c r="AT64" s="1167">
        <f t="shared" si="42"/>
        <v>48512.750000000007</v>
      </c>
      <c r="AU64" s="1167">
        <f t="shared" si="42"/>
        <v>49120.250000000007</v>
      </c>
      <c r="AV64" s="1167">
        <f t="shared" si="42"/>
        <v>49727.8</v>
      </c>
      <c r="AW64" s="1111"/>
      <c r="AX64" s="1111"/>
      <c r="AY64" s="1111"/>
      <c r="AZ64" s="1111"/>
      <c r="BA64" s="1111"/>
      <c r="BB64" s="1111"/>
      <c r="BC64" s="1111"/>
      <c r="BD64" s="1111"/>
      <c r="BE64" s="1111"/>
      <c r="BF64" s="1111"/>
      <c r="BG64" s="1111"/>
      <c r="BH64" s="1111"/>
      <c r="BI64" s="1111"/>
      <c r="BJ64" s="1111"/>
      <c r="BK64" s="1111"/>
      <c r="BL64" s="1111"/>
      <c r="BM64" s="1111"/>
      <c r="BN64" s="1111"/>
      <c r="BO64" s="1111"/>
      <c r="BP64" s="1111"/>
      <c r="BQ64" s="1111"/>
      <c r="BR64" s="1111"/>
      <c r="BS64" s="1111"/>
      <c r="BT64" s="1111"/>
      <c r="BU64" s="1111"/>
      <c r="BV64" s="1111"/>
      <c r="BW64" s="1111"/>
      <c r="BX64" s="1111"/>
      <c r="BY64" s="1111"/>
      <c r="BZ64" s="1111"/>
      <c r="CA64" s="1111"/>
      <c r="CB64" s="1111"/>
      <c r="CC64" s="1111"/>
      <c r="CD64" s="1111"/>
      <c r="CE64" s="1111"/>
      <c r="CF64" s="1111"/>
      <c r="CG64" s="1111"/>
      <c r="CH64" s="1111"/>
      <c r="CI64" s="1111"/>
      <c r="CJ64" s="1111"/>
      <c r="CK64" s="1110"/>
    </row>
    <row r="65" spans="1:89" ht="14.4" x14ac:dyDescent="0.3">
      <c r="A65" s="1110"/>
      <c r="B65" s="1110"/>
      <c r="C65" s="1110"/>
      <c r="D65" s="1110"/>
      <c r="E65" s="1110"/>
      <c r="F65" s="1110"/>
      <c r="G65" s="1110"/>
      <c r="H65" s="1110"/>
      <c r="I65" s="1110"/>
      <c r="J65" s="1110"/>
      <c r="K65" s="1110"/>
      <c r="L65" s="1110"/>
      <c r="M65" s="1110"/>
      <c r="N65" s="1110"/>
      <c r="O65" s="1110"/>
      <c r="P65" s="1110"/>
      <c r="Q65" s="1110"/>
      <c r="R65" s="1110"/>
      <c r="S65" s="1110"/>
      <c r="T65" s="1111"/>
      <c r="U65" s="1111" t="s">
        <v>341</v>
      </c>
      <c r="V65" s="1111"/>
      <c r="W65" s="1167">
        <f t="shared" si="36"/>
        <v>28000</v>
      </c>
      <c r="X65" s="1167">
        <f t="shared" si="36"/>
        <v>28607.5</v>
      </c>
      <c r="Y65" s="1167">
        <f t="shared" ref="Y65:AH65" si="43">Y22+Y$6*$V44+Y$7*$W44+Y$8*$X44+Y$9*$Y44+Y$10*$Z44+Y$11*$AA44+Y$12*$AB44+Y$13*$AC44</f>
        <v>29512.3</v>
      </c>
      <c r="Z65" s="1167">
        <f t="shared" si="43"/>
        <v>30551.050000000003</v>
      </c>
      <c r="AA65" s="1167">
        <f t="shared" si="43"/>
        <v>31590.100000000002</v>
      </c>
      <c r="AB65" s="1167">
        <f t="shared" si="43"/>
        <v>32629.05</v>
      </c>
      <c r="AC65" s="1167">
        <f t="shared" si="43"/>
        <v>33667.799999999996</v>
      </c>
      <c r="AD65" s="1167">
        <f t="shared" si="43"/>
        <v>34706.999999999993</v>
      </c>
      <c r="AE65" s="1167">
        <f t="shared" si="43"/>
        <v>35541.999999999993</v>
      </c>
      <c r="AF65" s="1167">
        <f t="shared" si="43"/>
        <v>36376.999999999993</v>
      </c>
      <c r="AG65" s="1167">
        <f t="shared" si="43"/>
        <v>37212</v>
      </c>
      <c r="AH65" s="1167">
        <f t="shared" si="43"/>
        <v>38047.000000000007</v>
      </c>
      <c r="AI65" s="1167">
        <f t="shared" ref="AI65:AV65" si="44">AI22+AI$6*$V44+AI$7*$W44+AI$8*$X44+AI$9*$Y44+AI$10*$Z44+AI$11*$AA44+AI$12*$AB44+AI$13*$AC44</f>
        <v>38882.299999999996</v>
      </c>
      <c r="AJ65" s="1167">
        <f t="shared" si="44"/>
        <v>39583.199999999997</v>
      </c>
      <c r="AK65" s="1167">
        <f t="shared" si="44"/>
        <v>40190.699999999997</v>
      </c>
      <c r="AL65" s="1167">
        <f t="shared" si="44"/>
        <v>40798.199999999997</v>
      </c>
      <c r="AM65" s="1167">
        <f t="shared" si="44"/>
        <v>41405.700000000004</v>
      </c>
      <c r="AN65" s="1167">
        <f t="shared" si="44"/>
        <v>42013.25</v>
      </c>
      <c r="AO65" s="1167">
        <f t="shared" si="44"/>
        <v>42620.749999999993</v>
      </c>
      <c r="AP65" s="1167">
        <f t="shared" si="44"/>
        <v>43228.3</v>
      </c>
      <c r="AQ65" s="1167">
        <f t="shared" si="44"/>
        <v>43835.80000000001</v>
      </c>
      <c r="AR65" s="1167">
        <f t="shared" si="44"/>
        <v>44443.3</v>
      </c>
      <c r="AS65" s="1167">
        <f t="shared" si="44"/>
        <v>45050.85</v>
      </c>
      <c r="AT65" s="1167">
        <f t="shared" si="44"/>
        <v>45658.350000000006</v>
      </c>
      <c r="AU65" s="1167">
        <f t="shared" si="44"/>
        <v>46265.850000000006</v>
      </c>
      <c r="AV65" s="1167">
        <f t="shared" si="44"/>
        <v>46873.4</v>
      </c>
      <c r="AW65" s="1111"/>
      <c r="AX65" s="1111"/>
      <c r="AY65" s="1111"/>
      <c r="AZ65" s="1111"/>
      <c r="BA65" s="1111"/>
      <c r="BB65" s="1111"/>
      <c r="BC65" s="1111"/>
      <c r="BD65" s="1111"/>
      <c r="BE65" s="1111"/>
      <c r="BF65" s="1111"/>
      <c r="BG65" s="1111"/>
      <c r="BH65" s="1111"/>
      <c r="BI65" s="1111"/>
      <c r="BJ65" s="1111"/>
      <c r="BK65" s="1111"/>
      <c r="BL65" s="1111"/>
      <c r="BM65" s="1111"/>
      <c r="BN65" s="1111"/>
      <c r="BO65" s="1111"/>
      <c r="BP65" s="1111"/>
      <c r="BQ65" s="1111"/>
      <c r="BR65" s="1111"/>
      <c r="BS65" s="1111"/>
      <c r="BT65" s="1111"/>
      <c r="BU65" s="1111"/>
      <c r="BV65" s="1111"/>
      <c r="BW65" s="1111"/>
      <c r="BX65" s="1111"/>
      <c r="BY65" s="1111"/>
      <c r="BZ65" s="1111"/>
      <c r="CA65" s="1111"/>
      <c r="CB65" s="1111"/>
      <c r="CC65" s="1111"/>
      <c r="CD65" s="1111"/>
      <c r="CE65" s="1111"/>
      <c r="CF65" s="1111"/>
      <c r="CG65" s="1111"/>
      <c r="CH65" s="1111"/>
      <c r="CI65" s="1111"/>
      <c r="CJ65" s="1111"/>
      <c r="CK65" s="1110"/>
    </row>
    <row r="66" spans="1:89" ht="14.4" x14ac:dyDescent="0.3">
      <c r="A66" s="1110"/>
      <c r="B66" s="1110"/>
      <c r="C66" s="1110"/>
      <c r="D66" s="1110"/>
      <c r="E66" s="1110"/>
      <c r="F66" s="1110"/>
      <c r="G66" s="1110"/>
      <c r="H66" s="1110"/>
      <c r="I66" s="1110"/>
      <c r="J66" s="1110"/>
      <c r="K66" s="1110"/>
      <c r="L66" s="1110"/>
      <c r="M66" s="1110"/>
      <c r="N66" s="1110"/>
      <c r="O66" s="1110"/>
      <c r="P66" s="1110"/>
      <c r="Q66" s="1110"/>
      <c r="R66" s="1110"/>
      <c r="S66" s="1110"/>
      <c r="T66" s="1111"/>
      <c r="U66" s="1111" t="s">
        <v>340</v>
      </c>
      <c r="V66" s="1111"/>
      <c r="W66" s="1167">
        <f t="shared" si="36"/>
        <v>28000</v>
      </c>
      <c r="X66" s="1167">
        <f t="shared" si="36"/>
        <v>28607.5</v>
      </c>
      <c r="Y66" s="1167">
        <f t="shared" ref="Y66:AH66" si="45">Y23+Y$6*$V45+Y$7*$W45+Y$8*$X45+Y$9*$Y45+Y$10*$Z45+Y$11*$AA45+Y$12*$AB45+Y$13*$AC45</f>
        <v>29512.3</v>
      </c>
      <c r="Z66" s="1167">
        <f t="shared" si="45"/>
        <v>30551.050000000003</v>
      </c>
      <c r="AA66" s="1167">
        <f t="shared" si="45"/>
        <v>31590.100000000002</v>
      </c>
      <c r="AB66" s="1167">
        <f t="shared" si="45"/>
        <v>32629.05</v>
      </c>
      <c r="AC66" s="1167">
        <f t="shared" si="45"/>
        <v>33667.799999999996</v>
      </c>
      <c r="AD66" s="1167">
        <f t="shared" si="45"/>
        <v>34706.999999999993</v>
      </c>
      <c r="AE66" s="1167">
        <f t="shared" si="45"/>
        <v>35541.999999999993</v>
      </c>
      <c r="AF66" s="1167">
        <f t="shared" si="45"/>
        <v>36376.999999999993</v>
      </c>
      <c r="AG66" s="1167">
        <f t="shared" si="45"/>
        <v>37212</v>
      </c>
      <c r="AH66" s="1167">
        <f t="shared" si="45"/>
        <v>38047.000000000007</v>
      </c>
      <c r="AI66" s="1167">
        <f t="shared" ref="AI66:AV66" si="46">AI23+AI$6*$V45+AI$7*$W45+AI$8*$X45+AI$9*$Y45+AI$10*$Z45+AI$11*$AA45+AI$12*$AB45+AI$13*$AC45</f>
        <v>38882.299999999996</v>
      </c>
      <c r="AJ66" s="1167">
        <f t="shared" si="46"/>
        <v>39583.199999999997</v>
      </c>
      <c r="AK66" s="1167">
        <f t="shared" si="46"/>
        <v>40190.699999999997</v>
      </c>
      <c r="AL66" s="1167">
        <f t="shared" si="46"/>
        <v>40798.199999999997</v>
      </c>
      <c r="AM66" s="1167">
        <f t="shared" si="46"/>
        <v>41405.700000000004</v>
      </c>
      <c r="AN66" s="1167">
        <f t="shared" si="46"/>
        <v>42013.25</v>
      </c>
      <c r="AO66" s="1167">
        <f t="shared" si="46"/>
        <v>42620.749999999993</v>
      </c>
      <c r="AP66" s="1167">
        <f t="shared" si="46"/>
        <v>43228.3</v>
      </c>
      <c r="AQ66" s="1167">
        <f t="shared" si="46"/>
        <v>43835.80000000001</v>
      </c>
      <c r="AR66" s="1167">
        <f t="shared" si="46"/>
        <v>44443.3</v>
      </c>
      <c r="AS66" s="1167">
        <f t="shared" si="46"/>
        <v>45050.85</v>
      </c>
      <c r="AT66" s="1167">
        <f t="shared" si="46"/>
        <v>45658.350000000006</v>
      </c>
      <c r="AU66" s="1167">
        <f t="shared" si="46"/>
        <v>46265.850000000006</v>
      </c>
      <c r="AV66" s="1167">
        <f t="shared" si="46"/>
        <v>46873.4</v>
      </c>
      <c r="AW66" s="1111"/>
      <c r="AX66" s="1111"/>
      <c r="AY66" s="1111"/>
      <c r="AZ66" s="1111"/>
      <c r="BA66" s="1111"/>
      <c r="BB66" s="1111"/>
      <c r="BC66" s="1111"/>
      <c r="BD66" s="1111"/>
      <c r="BE66" s="1111"/>
      <c r="BF66" s="1111"/>
      <c r="BG66" s="1111"/>
      <c r="BH66" s="1111"/>
      <c r="BI66" s="1111"/>
      <c r="BJ66" s="1111"/>
      <c r="BK66" s="1111"/>
      <c r="BL66" s="1111"/>
      <c r="BM66" s="1111"/>
      <c r="BN66" s="1111"/>
      <c r="BO66" s="1111"/>
      <c r="BP66" s="1111"/>
      <c r="BQ66" s="1111"/>
      <c r="BR66" s="1111"/>
      <c r="BS66" s="1111"/>
      <c r="BT66" s="1111"/>
      <c r="BU66" s="1111"/>
      <c r="BV66" s="1111"/>
      <c r="BW66" s="1111"/>
      <c r="BX66" s="1111"/>
      <c r="BY66" s="1111"/>
      <c r="BZ66" s="1111"/>
      <c r="CA66" s="1111"/>
      <c r="CB66" s="1111"/>
      <c r="CC66" s="1111"/>
      <c r="CD66" s="1111"/>
      <c r="CE66" s="1111"/>
      <c r="CF66" s="1111"/>
      <c r="CG66" s="1111"/>
      <c r="CH66" s="1111"/>
      <c r="CI66" s="1111"/>
      <c r="CJ66" s="1111"/>
      <c r="CK66" s="1110"/>
    </row>
    <row r="67" spans="1:89" ht="14.4" x14ac:dyDescent="0.3">
      <c r="A67" s="1110"/>
      <c r="B67" s="1110"/>
      <c r="C67" s="1110"/>
      <c r="D67" s="1110"/>
      <c r="E67" s="1110"/>
      <c r="F67" s="1110"/>
      <c r="G67" s="1110"/>
      <c r="H67" s="1110"/>
      <c r="I67" s="1110"/>
      <c r="J67" s="1110"/>
      <c r="K67" s="1110"/>
      <c r="L67" s="1110"/>
      <c r="M67" s="1110"/>
      <c r="N67" s="1110"/>
      <c r="O67" s="1110"/>
      <c r="P67" s="1110"/>
      <c r="Q67" s="1110"/>
      <c r="R67" s="1110"/>
      <c r="S67" s="1110"/>
      <c r="T67" s="1111"/>
      <c r="U67" s="1111" t="s">
        <v>339</v>
      </c>
      <c r="V67" s="1111"/>
      <c r="W67" s="1167">
        <f t="shared" si="36"/>
        <v>32000</v>
      </c>
      <c r="X67" s="1167">
        <f t="shared" si="36"/>
        <v>32764.35</v>
      </c>
      <c r="Y67" s="1167">
        <f t="shared" ref="Y67:AH67" si="47">Y24+Y$6*$V46+Y$7*$W46+Y$8*$X46+Y$9*$Y46+Y$10*$Z46+Y$11*$AA46+Y$12*$AB46+Y$13*$AC46</f>
        <v>33826.1</v>
      </c>
      <c r="Z67" s="1167">
        <f t="shared" si="47"/>
        <v>35236.199999999997</v>
      </c>
      <c r="AA67" s="1167">
        <f t="shared" si="47"/>
        <v>36646.700000000004</v>
      </c>
      <c r="AB67" s="1167">
        <f t="shared" si="47"/>
        <v>38057.300000000003</v>
      </c>
      <c r="AC67" s="1167">
        <f t="shared" si="47"/>
        <v>39467.4</v>
      </c>
      <c r="AD67" s="1167">
        <f t="shared" si="47"/>
        <v>40878.30000000001</v>
      </c>
      <c r="AE67" s="1167">
        <f t="shared" si="47"/>
        <v>42224.9</v>
      </c>
      <c r="AF67" s="1167">
        <f t="shared" si="47"/>
        <v>43571.549999999996</v>
      </c>
      <c r="AG67" s="1167">
        <f t="shared" si="47"/>
        <v>44918.149999999994</v>
      </c>
      <c r="AH67" s="1167">
        <f t="shared" si="47"/>
        <v>46264.75</v>
      </c>
      <c r="AI67" s="1167">
        <f t="shared" ref="AI67:AV67" si="48">AI24+AI$6*$V46+AI$7*$W46+AI$8*$X46+AI$9*$Y46+AI$10*$Z46+AI$11*$AA46+AI$12*$AB46+AI$13*$AC46</f>
        <v>47612.15</v>
      </c>
      <c r="AJ67" s="1167">
        <f t="shared" si="48"/>
        <v>48610</v>
      </c>
      <c r="AK67" s="1167">
        <f t="shared" si="48"/>
        <v>49374.35</v>
      </c>
      <c r="AL67" s="1167">
        <f t="shared" si="48"/>
        <v>50138.7</v>
      </c>
      <c r="AM67" s="1167">
        <f t="shared" si="48"/>
        <v>50903.049999999996</v>
      </c>
      <c r="AN67" s="1167">
        <f t="shared" si="48"/>
        <v>51667.549999999996</v>
      </c>
      <c r="AO67" s="1167">
        <f t="shared" si="48"/>
        <v>52431.899999999994</v>
      </c>
      <c r="AP67" s="1167">
        <f t="shared" si="48"/>
        <v>53196.4</v>
      </c>
      <c r="AQ67" s="1167">
        <f t="shared" si="48"/>
        <v>53960.75</v>
      </c>
      <c r="AR67" s="1167">
        <f t="shared" si="48"/>
        <v>54725.1</v>
      </c>
      <c r="AS67" s="1167">
        <f t="shared" si="48"/>
        <v>55489.599999999999</v>
      </c>
      <c r="AT67" s="1167">
        <f t="shared" si="48"/>
        <v>56253.95</v>
      </c>
      <c r="AU67" s="1167">
        <f t="shared" si="48"/>
        <v>57018.299999999996</v>
      </c>
      <c r="AV67" s="1167">
        <f t="shared" si="48"/>
        <v>57782.799999999996</v>
      </c>
      <c r="AW67" s="1111"/>
      <c r="AX67" s="1111"/>
      <c r="AY67" s="1111"/>
      <c r="AZ67" s="1111"/>
      <c r="BA67" s="1111"/>
      <c r="BB67" s="1111"/>
      <c r="BC67" s="1111"/>
      <c r="BD67" s="1111"/>
      <c r="BE67" s="1111"/>
      <c r="BF67" s="1111"/>
      <c r="BG67" s="1111"/>
      <c r="BH67" s="1111"/>
      <c r="BI67" s="1111"/>
      <c r="BJ67" s="1111"/>
      <c r="BK67" s="1111"/>
      <c r="BL67" s="1111"/>
      <c r="BM67" s="1111"/>
      <c r="BN67" s="1111"/>
      <c r="BO67" s="1111"/>
      <c r="BP67" s="1111"/>
      <c r="BQ67" s="1111"/>
      <c r="BR67" s="1111"/>
      <c r="BS67" s="1111"/>
      <c r="BT67" s="1111"/>
      <c r="BU67" s="1111"/>
      <c r="BV67" s="1111"/>
      <c r="BW67" s="1111"/>
      <c r="BX67" s="1111"/>
      <c r="BY67" s="1111"/>
      <c r="BZ67" s="1111"/>
      <c r="CA67" s="1111"/>
      <c r="CB67" s="1111"/>
      <c r="CC67" s="1111"/>
      <c r="CD67" s="1111"/>
      <c r="CE67" s="1111"/>
      <c r="CF67" s="1111"/>
      <c r="CG67" s="1111"/>
      <c r="CH67" s="1111"/>
      <c r="CI67" s="1111"/>
      <c r="CJ67" s="1111"/>
      <c r="CK67" s="1110"/>
    </row>
    <row r="68" spans="1:89" ht="14.4" x14ac:dyDescent="0.3">
      <c r="A68" s="1110"/>
      <c r="B68" s="1110"/>
      <c r="C68" s="1110"/>
      <c r="D68" s="1110"/>
      <c r="E68" s="1110"/>
      <c r="F68" s="1110"/>
      <c r="G68" s="1110"/>
      <c r="H68" s="1110"/>
      <c r="I68" s="1110"/>
      <c r="J68" s="1110"/>
      <c r="K68" s="1110"/>
      <c r="L68" s="1110"/>
      <c r="M68" s="1110"/>
      <c r="N68" s="1110"/>
      <c r="O68" s="1110"/>
      <c r="P68" s="1110"/>
      <c r="Q68" s="1110"/>
      <c r="R68" s="1110"/>
      <c r="S68" s="1110"/>
      <c r="T68" s="1111"/>
      <c r="U68" s="1111" t="s">
        <v>355</v>
      </c>
      <c r="V68" s="1111"/>
      <c r="W68" s="1167">
        <f t="shared" si="36"/>
        <v>10000</v>
      </c>
      <c r="X68" s="1167">
        <f t="shared" si="36"/>
        <v>10371.85</v>
      </c>
      <c r="Y68" s="1167">
        <f t="shared" ref="Y68:AH68" si="49">Y25+Y$6*$V47+Y$7*$W47+Y$8*$X47+Y$9*$Y47+Y$10*$Z47+Y$11*$AA47+Y$12*$AB47+Y$13*$AC47</f>
        <v>10767.679999999998</v>
      </c>
      <c r="Z68" s="1167">
        <f t="shared" si="49"/>
        <v>11645.81</v>
      </c>
      <c r="AA68" s="1167">
        <f t="shared" si="49"/>
        <v>12524.160000000002</v>
      </c>
      <c r="AB68" s="1167">
        <f t="shared" si="49"/>
        <v>13402.990000000002</v>
      </c>
      <c r="AC68" s="1167">
        <f t="shared" si="49"/>
        <v>14281.120000000004</v>
      </c>
      <c r="AD68" s="1167">
        <f t="shared" si="49"/>
        <v>15160.020000000002</v>
      </c>
      <c r="AE68" s="1167">
        <f t="shared" si="49"/>
        <v>16341.619999999997</v>
      </c>
      <c r="AF68" s="1167">
        <f t="shared" si="49"/>
        <v>17523.269999999997</v>
      </c>
      <c r="AG68" s="1167">
        <f t="shared" si="49"/>
        <v>18704.869999999995</v>
      </c>
      <c r="AH68" s="1167">
        <f t="shared" si="49"/>
        <v>19886.469999999998</v>
      </c>
      <c r="AI68" s="1167">
        <f t="shared" ref="AI68:AV68" si="50">AI25+AI$6*$V47+AI$7*$W47+AI$8*$X47+AI$9*$Y47+AI$10*$Z47+AI$11*$AA47+AI$12*$AB47+AI$13*$AC47</f>
        <v>21069.170000000002</v>
      </c>
      <c r="AJ68" s="1167">
        <f t="shared" si="50"/>
        <v>21767.919999999998</v>
      </c>
      <c r="AK68" s="1167">
        <f t="shared" si="50"/>
        <v>22139.77</v>
      </c>
      <c r="AL68" s="1167">
        <f t="shared" si="50"/>
        <v>22511.619999999995</v>
      </c>
      <c r="AM68" s="1167">
        <f t="shared" si="50"/>
        <v>22883.469999999998</v>
      </c>
      <c r="AN68" s="1167">
        <f t="shared" si="50"/>
        <v>23255.519999999997</v>
      </c>
      <c r="AO68" s="1167">
        <f t="shared" si="50"/>
        <v>23627.369999999995</v>
      </c>
      <c r="AP68" s="1167">
        <f t="shared" si="50"/>
        <v>23999.419999999995</v>
      </c>
      <c r="AQ68" s="1167">
        <f t="shared" si="50"/>
        <v>24371.27</v>
      </c>
      <c r="AR68" s="1167">
        <f t="shared" si="50"/>
        <v>24743.119999999995</v>
      </c>
      <c r="AS68" s="1167">
        <f t="shared" si="50"/>
        <v>25115.17</v>
      </c>
      <c r="AT68" s="1167">
        <f t="shared" si="50"/>
        <v>25487.019999999997</v>
      </c>
      <c r="AU68" s="1167">
        <f t="shared" si="50"/>
        <v>25858.869999999995</v>
      </c>
      <c r="AV68" s="1167">
        <f t="shared" si="50"/>
        <v>26230.92</v>
      </c>
      <c r="AW68" s="1111"/>
      <c r="AX68" s="1111"/>
      <c r="AY68" s="1111"/>
      <c r="AZ68" s="1111"/>
      <c r="BA68" s="1111"/>
      <c r="BB68" s="1111"/>
      <c r="BC68" s="1111"/>
      <c r="BD68" s="1111"/>
      <c r="BE68" s="1111"/>
      <c r="BF68" s="1111"/>
      <c r="BG68" s="1111"/>
      <c r="BH68" s="1111"/>
      <c r="BI68" s="1111"/>
      <c r="BJ68" s="1111"/>
      <c r="BK68" s="1111"/>
      <c r="BL68" s="1111"/>
      <c r="BM68" s="1111"/>
      <c r="BN68" s="1111"/>
      <c r="BO68" s="1111"/>
      <c r="BP68" s="1111"/>
      <c r="BQ68" s="1111"/>
      <c r="BR68" s="1111"/>
      <c r="BS68" s="1111"/>
      <c r="BT68" s="1111"/>
      <c r="BU68" s="1111"/>
      <c r="BV68" s="1111"/>
      <c r="BW68" s="1111"/>
      <c r="BX68" s="1111"/>
      <c r="BY68" s="1111"/>
      <c r="BZ68" s="1111"/>
      <c r="CA68" s="1111"/>
      <c r="CB68" s="1111"/>
      <c r="CC68" s="1111"/>
      <c r="CD68" s="1111"/>
      <c r="CE68" s="1111"/>
      <c r="CF68" s="1111"/>
      <c r="CG68" s="1111"/>
      <c r="CH68" s="1111"/>
      <c r="CI68" s="1111"/>
      <c r="CJ68" s="1111"/>
      <c r="CK68" s="1110"/>
    </row>
    <row r="69" spans="1:89" ht="14.4" x14ac:dyDescent="0.3">
      <c r="A69" s="1110"/>
      <c r="B69" s="1110"/>
      <c r="C69" s="1110"/>
      <c r="D69" s="1110"/>
      <c r="E69" s="1110"/>
      <c r="F69" s="1110"/>
      <c r="G69" s="1110"/>
      <c r="H69" s="1110"/>
      <c r="I69" s="1110"/>
      <c r="J69" s="1110"/>
      <c r="K69" s="1110"/>
      <c r="L69" s="1110"/>
      <c r="M69" s="1110"/>
      <c r="N69" s="1110"/>
      <c r="O69" s="1110"/>
      <c r="P69" s="1110"/>
      <c r="Q69" s="1110"/>
      <c r="R69" s="1110"/>
      <c r="S69" s="1110"/>
      <c r="T69" s="1111"/>
      <c r="U69" s="1111" t="s">
        <v>356</v>
      </c>
      <c r="V69" s="1111"/>
      <c r="W69" s="1167">
        <f t="shared" si="36"/>
        <v>7600</v>
      </c>
      <c r="X69" s="1167">
        <f t="shared" si="36"/>
        <v>7870.45</v>
      </c>
      <c r="Y69" s="1167">
        <f t="shared" ref="Y69:AH69" si="51">Y26+Y$6*$V48+Y$7*$W48+Y$8*$X48+Y$9*$Y48+Y$10*$Z48+Y$11*$AA48+Y$12*$AB48+Y$13*$AC48</f>
        <v>8164.78</v>
      </c>
      <c r="Z69" s="1167">
        <f t="shared" si="51"/>
        <v>8727.510000000002</v>
      </c>
      <c r="AA69" s="1167">
        <f t="shared" si="51"/>
        <v>9290.4600000000009</v>
      </c>
      <c r="AB69" s="1167">
        <f t="shared" si="51"/>
        <v>9853.49</v>
      </c>
      <c r="AC69" s="1167">
        <f t="shared" si="51"/>
        <v>10416.219999999999</v>
      </c>
      <c r="AD69" s="1167">
        <f t="shared" si="51"/>
        <v>10979.42</v>
      </c>
      <c r="AE69" s="1167">
        <f t="shared" si="51"/>
        <v>11752.119999999997</v>
      </c>
      <c r="AF69" s="1167">
        <f t="shared" si="51"/>
        <v>12524.969999999998</v>
      </c>
      <c r="AG69" s="1167">
        <f t="shared" si="51"/>
        <v>13297.57</v>
      </c>
      <c r="AH69" s="1167">
        <f t="shared" si="51"/>
        <v>14070.27</v>
      </c>
      <c r="AI69" s="1167">
        <f t="shared" ref="AI69:AV69" si="52">AI26+AI$6*$V48+AI$7*$W48+AI$8*$X48+AI$9*$Y48+AI$10*$Z48+AI$11*$AA48+AI$12*$AB48+AI$13*$AC48</f>
        <v>14843.569999999998</v>
      </c>
      <c r="AJ69" s="1167">
        <f t="shared" si="52"/>
        <v>15347.519999999999</v>
      </c>
      <c r="AK69" s="1167">
        <f t="shared" si="52"/>
        <v>15617.969999999998</v>
      </c>
      <c r="AL69" s="1167">
        <f t="shared" si="52"/>
        <v>15888.419999999998</v>
      </c>
      <c r="AM69" s="1167">
        <f t="shared" si="52"/>
        <v>16158.869999999999</v>
      </c>
      <c r="AN69" s="1167">
        <f t="shared" si="52"/>
        <v>16429.419999999998</v>
      </c>
      <c r="AO69" s="1167">
        <f t="shared" si="52"/>
        <v>16699.869999999995</v>
      </c>
      <c r="AP69" s="1167">
        <f t="shared" si="52"/>
        <v>16970.420000000002</v>
      </c>
      <c r="AQ69" s="1167">
        <f t="shared" si="52"/>
        <v>17240.87</v>
      </c>
      <c r="AR69" s="1167">
        <f t="shared" si="52"/>
        <v>17511.32</v>
      </c>
      <c r="AS69" s="1167">
        <f t="shared" si="52"/>
        <v>17781.87</v>
      </c>
      <c r="AT69" s="1167">
        <f t="shared" si="52"/>
        <v>18052.32</v>
      </c>
      <c r="AU69" s="1167">
        <f t="shared" si="52"/>
        <v>18322.77</v>
      </c>
      <c r="AV69" s="1167">
        <f t="shared" si="52"/>
        <v>18593.319999999996</v>
      </c>
      <c r="AW69" s="1111"/>
      <c r="AX69" s="1111"/>
      <c r="AY69" s="1111"/>
      <c r="AZ69" s="1111"/>
      <c r="BA69" s="1111"/>
      <c r="BB69" s="1111"/>
      <c r="BC69" s="1111"/>
      <c r="BD69" s="1111"/>
      <c r="BE69" s="1111"/>
      <c r="BF69" s="1111"/>
      <c r="BG69" s="1111"/>
      <c r="BH69" s="1111"/>
      <c r="BI69" s="1111"/>
      <c r="BJ69" s="1111"/>
      <c r="BK69" s="1111"/>
      <c r="BL69" s="1111"/>
      <c r="BM69" s="1111"/>
      <c r="BN69" s="1111"/>
      <c r="BO69" s="1111"/>
      <c r="BP69" s="1111"/>
      <c r="BQ69" s="1111"/>
      <c r="BR69" s="1111"/>
      <c r="BS69" s="1111"/>
      <c r="BT69" s="1111"/>
      <c r="BU69" s="1111"/>
      <c r="BV69" s="1111"/>
      <c r="BW69" s="1111"/>
      <c r="BX69" s="1111"/>
      <c r="BY69" s="1111"/>
      <c r="BZ69" s="1111"/>
      <c r="CA69" s="1111"/>
      <c r="CB69" s="1111"/>
      <c r="CC69" s="1111"/>
      <c r="CD69" s="1111"/>
      <c r="CE69" s="1111"/>
      <c r="CF69" s="1111"/>
      <c r="CG69" s="1111"/>
      <c r="CH69" s="1111"/>
      <c r="CI69" s="1111"/>
      <c r="CJ69" s="1111"/>
      <c r="CK69" s="1110"/>
    </row>
    <row r="70" spans="1:89" ht="14.4" x14ac:dyDescent="0.3">
      <c r="A70" s="1110"/>
      <c r="B70" s="1110"/>
      <c r="C70" s="1110"/>
      <c r="D70" s="1110"/>
      <c r="E70" s="1110"/>
      <c r="F70" s="1110"/>
      <c r="G70" s="1110"/>
      <c r="H70" s="1110"/>
      <c r="I70" s="1110"/>
      <c r="J70" s="1110"/>
      <c r="K70" s="1110"/>
      <c r="L70" s="1110"/>
      <c r="M70" s="1110"/>
      <c r="N70" s="1110"/>
      <c r="O70" s="1110"/>
      <c r="P70" s="1110"/>
      <c r="Q70" s="1110"/>
      <c r="R70" s="1110"/>
      <c r="S70" s="1110"/>
      <c r="T70" s="1111"/>
      <c r="U70" s="1111" t="s">
        <v>357</v>
      </c>
      <c r="V70" s="1111"/>
      <c r="W70" s="1167">
        <f t="shared" si="36"/>
        <v>6000</v>
      </c>
      <c r="X70" s="1167">
        <f t="shared" si="36"/>
        <v>6206.63</v>
      </c>
      <c r="Y70" s="1167">
        <f t="shared" ref="Y70:AH70" si="53">Y27+Y$6*$V49+Y$7*$W49+Y$8*$X49+Y$9*$Y49+Y$10*$Z49+Y$11*$AA49+Y$12*$AB49+Y$13*$AC49</f>
        <v>6437.1599999999989</v>
      </c>
      <c r="Z70" s="1167">
        <f t="shared" si="53"/>
        <v>6839.8700000000008</v>
      </c>
      <c r="AA70" s="1167">
        <f t="shared" si="53"/>
        <v>7242.82</v>
      </c>
      <c r="AB70" s="1167">
        <f t="shared" si="53"/>
        <v>7645.6300000000019</v>
      </c>
      <c r="AC70" s="1167">
        <f t="shared" si="53"/>
        <v>8048.3400000000011</v>
      </c>
      <c r="AD70" s="1167">
        <f t="shared" si="53"/>
        <v>8451.4600000000009</v>
      </c>
      <c r="AE70" s="1167">
        <f t="shared" si="53"/>
        <v>8970.6400000000012</v>
      </c>
      <c r="AF70" s="1167">
        <f t="shared" si="53"/>
        <v>9490.1100000000024</v>
      </c>
      <c r="AG70" s="1167">
        <f t="shared" si="53"/>
        <v>10009.189999999997</v>
      </c>
      <c r="AH70" s="1167">
        <f t="shared" si="53"/>
        <v>10528.369999999999</v>
      </c>
      <c r="AI70" s="1167">
        <f t="shared" ref="AI70:AV70" si="54">AI27+AI$6*$V49+AI$7*$W49+AI$8*$X49+AI$9*$Y49+AI$10*$Z49+AI$11*$AA49+AI$12*$AB49+AI$13*$AC49</f>
        <v>11047.99</v>
      </c>
      <c r="AJ70" s="1167">
        <f t="shared" si="54"/>
        <v>11394.720000000001</v>
      </c>
      <c r="AK70" s="1167">
        <f t="shared" si="54"/>
        <v>11601.350000000002</v>
      </c>
      <c r="AL70" s="1167">
        <f t="shared" si="54"/>
        <v>11807.980000000001</v>
      </c>
      <c r="AM70" s="1167">
        <f t="shared" si="54"/>
        <v>12014.610000000004</v>
      </c>
      <c r="AN70" s="1167">
        <f t="shared" si="54"/>
        <v>12221.360000000004</v>
      </c>
      <c r="AO70" s="1167">
        <f t="shared" si="54"/>
        <v>12427.990000000002</v>
      </c>
      <c r="AP70" s="1167">
        <f t="shared" si="54"/>
        <v>12634.739999999998</v>
      </c>
      <c r="AQ70" s="1167">
        <f t="shared" si="54"/>
        <v>12841.37</v>
      </c>
      <c r="AR70" s="1167">
        <f t="shared" si="54"/>
        <v>13048</v>
      </c>
      <c r="AS70" s="1167">
        <f t="shared" si="54"/>
        <v>13254.75</v>
      </c>
      <c r="AT70" s="1167">
        <f t="shared" si="54"/>
        <v>13461.380000000001</v>
      </c>
      <c r="AU70" s="1167">
        <f t="shared" si="54"/>
        <v>13668.01</v>
      </c>
      <c r="AV70" s="1167">
        <f t="shared" si="54"/>
        <v>13874.76</v>
      </c>
      <c r="AW70" s="1111"/>
      <c r="AX70" s="1111"/>
      <c r="AY70" s="1111"/>
      <c r="AZ70" s="1111"/>
      <c r="BA70" s="1111"/>
      <c r="BB70" s="1111"/>
      <c r="BC70" s="1111"/>
      <c r="BD70" s="1111"/>
      <c r="BE70" s="1111"/>
      <c r="BF70" s="1111"/>
      <c r="BG70" s="1111"/>
      <c r="BH70" s="1111"/>
      <c r="BI70" s="1111"/>
      <c r="BJ70" s="1111"/>
      <c r="BK70" s="1111"/>
      <c r="BL70" s="1111"/>
      <c r="BM70" s="1111"/>
      <c r="BN70" s="1111"/>
      <c r="BO70" s="1111"/>
      <c r="BP70" s="1111"/>
      <c r="BQ70" s="1111"/>
      <c r="BR70" s="1111"/>
      <c r="BS70" s="1111"/>
      <c r="BT70" s="1111"/>
      <c r="BU70" s="1111"/>
      <c r="BV70" s="1111"/>
      <c r="BW70" s="1111"/>
      <c r="BX70" s="1111"/>
      <c r="BY70" s="1111"/>
      <c r="BZ70" s="1111"/>
      <c r="CA70" s="1111"/>
      <c r="CB70" s="1111"/>
      <c r="CC70" s="1111"/>
      <c r="CD70" s="1111"/>
      <c r="CE70" s="1111"/>
      <c r="CF70" s="1111"/>
      <c r="CG70" s="1111"/>
      <c r="CH70" s="1111"/>
      <c r="CI70" s="1111"/>
      <c r="CJ70" s="1111"/>
      <c r="CK70" s="1110"/>
    </row>
    <row r="71" spans="1:89" ht="14.4" x14ac:dyDescent="0.3">
      <c r="A71" s="1110"/>
      <c r="B71" s="1110"/>
      <c r="C71" s="1110"/>
      <c r="D71" s="1110"/>
      <c r="E71" s="1110"/>
      <c r="F71" s="1110"/>
      <c r="G71" s="1110"/>
      <c r="H71" s="1110"/>
      <c r="I71" s="1110"/>
      <c r="J71" s="1110"/>
      <c r="K71" s="1110"/>
      <c r="L71" s="1110"/>
      <c r="M71" s="1110"/>
      <c r="N71" s="1110"/>
      <c r="O71" s="1110"/>
      <c r="P71" s="1110"/>
      <c r="Q71" s="1110"/>
      <c r="R71" s="1110"/>
      <c r="S71" s="1110"/>
      <c r="T71" s="1111"/>
      <c r="U71" s="1111" t="s">
        <v>347</v>
      </c>
      <c r="V71" s="1111"/>
      <c r="W71" s="1167">
        <f t="shared" si="36"/>
        <v>4000</v>
      </c>
      <c r="X71" s="1167">
        <f t="shared" si="36"/>
        <v>4436.4500000000007</v>
      </c>
      <c r="Y71" s="1167">
        <f t="shared" ref="Y71:AH71" si="55">Y28+Y$6*$V50+Y$7*$W50+Y$8*$X50+Y$9*$Y50+Y$10*$Z50+Y$11*$AA50+Y$12*$AB50+Y$13*$AC50</f>
        <v>4897.3799999999992</v>
      </c>
      <c r="Z71" s="1167">
        <f t="shared" si="55"/>
        <v>6324.1100000000006</v>
      </c>
      <c r="AA71" s="1167">
        <f t="shared" si="55"/>
        <v>7751.5599999999995</v>
      </c>
      <c r="AB71" s="1167">
        <f t="shared" si="55"/>
        <v>9179.3900000000012</v>
      </c>
      <c r="AC71" s="1167">
        <f t="shared" si="55"/>
        <v>10606.12</v>
      </c>
      <c r="AD71" s="1167">
        <f t="shared" si="55"/>
        <v>12034.820000000002</v>
      </c>
      <c r="AE71" s="1167">
        <f t="shared" si="55"/>
        <v>13952.019999999999</v>
      </c>
      <c r="AF71" s="1167">
        <f t="shared" si="55"/>
        <v>15870.069999999998</v>
      </c>
      <c r="AG71" s="1167">
        <f t="shared" si="55"/>
        <v>17787.27</v>
      </c>
      <c r="AH71" s="1167">
        <f t="shared" si="55"/>
        <v>19704.47</v>
      </c>
      <c r="AI71" s="1167">
        <f t="shared" ref="AI71:AV71" si="56">AI28+AI$6*$V50+AI$7*$W50+AI$8*$X50+AI$9*$Y50+AI$10*$Z50+AI$11*$AA50+AI$12*$AB50+AI$13*$AC50</f>
        <v>21624.170000000006</v>
      </c>
      <c r="AJ71" s="1167">
        <f t="shared" si="56"/>
        <v>22574.32</v>
      </c>
      <c r="AK71" s="1167">
        <f t="shared" si="56"/>
        <v>23010.77</v>
      </c>
      <c r="AL71" s="1167">
        <f t="shared" si="56"/>
        <v>23447.22</v>
      </c>
      <c r="AM71" s="1167">
        <f t="shared" si="56"/>
        <v>23883.670000000002</v>
      </c>
      <c r="AN71" s="1167">
        <f t="shared" si="56"/>
        <v>24320.82</v>
      </c>
      <c r="AO71" s="1167">
        <f t="shared" si="56"/>
        <v>24757.269999999997</v>
      </c>
      <c r="AP71" s="1167">
        <f t="shared" si="56"/>
        <v>25194.42</v>
      </c>
      <c r="AQ71" s="1167">
        <f t="shared" si="56"/>
        <v>25630.870000000003</v>
      </c>
      <c r="AR71" s="1167">
        <f t="shared" si="56"/>
        <v>26067.32</v>
      </c>
      <c r="AS71" s="1167">
        <f t="shared" si="56"/>
        <v>26504.470000000005</v>
      </c>
      <c r="AT71" s="1167">
        <f t="shared" si="56"/>
        <v>26940.920000000002</v>
      </c>
      <c r="AU71" s="1167">
        <f t="shared" si="56"/>
        <v>27377.37</v>
      </c>
      <c r="AV71" s="1167">
        <f t="shared" si="56"/>
        <v>27814.52</v>
      </c>
      <c r="AW71" s="1111"/>
      <c r="AX71" s="1111"/>
      <c r="AY71" s="1111"/>
      <c r="AZ71" s="1111"/>
      <c r="BA71" s="1111"/>
      <c r="BB71" s="1111"/>
      <c r="BC71" s="1111"/>
      <c r="BD71" s="1111"/>
      <c r="BE71" s="1111"/>
      <c r="BF71" s="1111"/>
      <c r="BG71" s="1111"/>
      <c r="BH71" s="1111"/>
      <c r="BI71" s="1111"/>
      <c r="BJ71" s="1111"/>
      <c r="BK71" s="1111"/>
      <c r="BL71" s="1111"/>
      <c r="BM71" s="1111"/>
      <c r="BN71" s="1111"/>
      <c r="BO71" s="1111"/>
      <c r="BP71" s="1111"/>
      <c r="BQ71" s="1111"/>
      <c r="BR71" s="1111"/>
      <c r="BS71" s="1111"/>
      <c r="BT71" s="1111"/>
      <c r="BU71" s="1111"/>
      <c r="BV71" s="1111"/>
      <c r="BW71" s="1111"/>
      <c r="BX71" s="1111"/>
      <c r="BY71" s="1111"/>
      <c r="BZ71" s="1111"/>
      <c r="CA71" s="1111"/>
      <c r="CB71" s="1111"/>
      <c r="CC71" s="1111"/>
      <c r="CD71" s="1111"/>
      <c r="CE71" s="1111"/>
      <c r="CF71" s="1111"/>
      <c r="CG71" s="1111"/>
      <c r="CH71" s="1111"/>
      <c r="CI71" s="1111"/>
      <c r="CJ71" s="1111"/>
      <c r="CK71" s="1110"/>
    </row>
    <row r="72" spans="1:89" ht="14.4" x14ac:dyDescent="0.3">
      <c r="A72" s="1110"/>
      <c r="B72" s="1110"/>
      <c r="C72" s="1110"/>
      <c r="D72" s="1110"/>
      <c r="E72" s="1110"/>
      <c r="F72" s="1110"/>
      <c r="G72" s="1110"/>
      <c r="H72" s="1110"/>
      <c r="I72" s="1110"/>
      <c r="J72" s="1110"/>
      <c r="K72" s="1110"/>
      <c r="L72" s="1110"/>
      <c r="M72" s="1110"/>
      <c r="N72" s="1110"/>
      <c r="O72" s="1110"/>
      <c r="P72" s="1110"/>
      <c r="Q72" s="1110"/>
      <c r="R72" s="1110"/>
      <c r="S72" s="1110"/>
      <c r="T72" s="1111"/>
      <c r="U72" s="1111" t="s">
        <v>348</v>
      </c>
      <c r="V72" s="1111"/>
      <c r="W72" s="1167">
        <f t="shared" si="36"/>
        <v>2400</v>
      </c>
      <c r="X72" s="1167">
        <f t="shared" si="36"/>
        <v>2718.92</v>
      </c>
      <c r="Y72" s="1167">
        <f t="shared" ref="Y72:AH72" si="57">Y29+Y$6*$V51+Y$7*$W51+Y$8*$X51+Y$9*$Y51+Y$10*$Z51+Y$11*$AA51+Y$12*$AB51+Y$13*$AC51</f>
        <v>3038.0400000000004</v>
      </c>
      <c r="Z72" s="1167">
        <f t="shared" si="57"/>
        <v>4117.76</v>
      </c>
      <c r="AA72" s="1167">
        <f t="shared" si="57"/>
        <v>5197.7</v>
      </c>
      <c r="AB72" s="1167">
        <f t="shared" si="57"/>
        <v>6278.6200000000008</v>
      </c>
      <c r="AC72" s="1167">
        <f t="shared" si="57"/>
        <v>7358.34</v>
      </c>
      <c r="AD72" s="1167">
        <f t="shared" si="57"/>
        <v>8439.08</v>
      </c>
      <c r="AE72" s="1167">
        <f t="shared" si="57"/>
        <v>10098.5</v>
      </c>
      <c r="AF72" s="1167">
        <f t="shared" si="57"/>
        <v>11757.740000000002</v>
      </c>
      <c r="AG72" s="1167">
        <f t="shared" si="57"/>
        <v>13417.140000000001</v>
      </c>
      <c r="AH72" s="1167">
        <f t="shared" si="57"/>
        <v>15076.56</v>
      </c>
      <c r="AI72" s="1167">
        <f t="shared" ref="AI72:AV72" si="58">AI29+AI$6*$V51+AI$7*$W51+AI$8*$X51+AI$9*$Y51+AI$10*$Z51+AI$11*$AA51+AI$12*$AB51+AI$13*$AC51</f>
        <v>16737.600000000002</v>
      </c>
      <c r="AJ72" s="1167">
        <f t="shared" si="58"/>
        <v>17635.600000000002</v>
      </c>
      <c r="AK72" s="1167">
        <f t="shared" si="58"/>
        <v>17954.52</v>
      </c>
      <c r="AL72" s="1167">
        <f t="shared" si="58"/>
        <v>18273.440000000002</v>
      </c>
      <c r="AM72" s="1167">
        <f t="shared" si="58"/>
        <v>18592.360000000004</v>
      </c>
      <c r="AN72" s="1167">
        <f t="shared" si="58"/>
        <v>18911.480000000003</v>
      </c>
      <c r="AO72" s="1167">
        <f t="shared" si="58"/>
        <v>19230.400000000001</v>
      </c>
      <c r="AP72" s="1167">
        <f t="shared" si="58"/>
        <v>19549.52</v>
      </c>
      <c r="AQ72" s="1167">
        <f t="shared" si="58"/>
        <v>19868.439999999999</v>
      </c>
      <c r="AR72" s="1167">
        <f t="shared" si="58"/>
        <v>20187.36</v>
      </c>
      <c r="AS72" s="1167">
        <f t="shared" si="58"/>
        <v>20506.480000000003</v>
      </c>
      <c r="AT72" s="1167">
        <f t="shared" si="58"/>
        <v>20825.400000000001</v>
      </c>
      <c r="AU72" s="1167">
        <f t="shared" si="58"/>
        <v>21144.32</v>
      </c>
      <c r="AV72" s="1167">
        <f t="shared" si="58"/>
        <v>21463.439999999999</v>
      </c>
      <c r="AW72" s="1111"/>
      <c r="AX72" s="1111"/>
      <c r="AY72" s="1111"/>
      <c r="AZ72" s="1111"/>
      <c r="BA72" s="1111"/>
      <c r="BB72" s="1111"/>
      <c r="BC72" s="1111"/>
      <c r="BD72" s="1111"/>
      <c r="BE72" s="1111"/>
      <c r="BF72" s="1111"/>
      <c r="BG72" s="1111"/>
      <c r="BH72" s="1111"/>
      <c r="BI72" s="1111"/>
      <c r="BJ72" s="1111"/>
      <c r="BK72" s="1111"/>
      <c r="BL72" s="1111"/>
      <c r="BM72" s="1111"/>
      <c r="BN72" s="1111"/>
      <c r="BO72" s="1111"/>
      <c r="BP72" s="1111"/>
      <c r="BQ72" s="1111"/>
      <c r="BR72" s="1111"/>
      <c r="BS72" s="1111"/>
      <c r="BT72" s="1111"/>
      <c r="BU72" s="1111"/>
      <c r="BV72" s="1111"/>
      <c r="BW72" s="1111"/>
      <c r="BX72" s="1111"/>
      <c r="BY72" s="1111"/>
      <c r="BZ72" s="1111"/>
      <c r="CA72" s="1111"/>
      <c r="CB72" s="1111"/>
      <c r="CC72" s="1111"/>
      <c r="CD72" s="1111"/>
      <c r="CE72" s="1111"/>
      <c r="CF72" s="1111"/>
      <c r="CG72" s="1111"/>
      <c r="CH72" s="1111"/>
      <c r="CI72" s="1111"/>
      <c r="CJ72" s="1111"/>
      <c r="CK72" s="1110"/>
    </row>
    <row r="73" spans="1:89" ht="14.4" x14ac:dyDescent="0.3">
      <c r="A73" s="1110"/>
      <c r="B73" s="1110"/>
      <c r="C73" s="1110"/>
      <c r="D73" s="1110"/>
      <c r="E73" s="1110"/>
      <c r="F73" s="1110"/>
      <c r="G73" s="1110"/>
      <c r="H73" s="1110"/>
      <c r="I73" s="1110"/>
      <c r="J73" s="1110"/>
      <c r="K73" s="1110"/>
      <c r="L73" s="1110"/>
      <c r="M73" s="1110"/>
      <c r="N73" s="1110"/>
      <c r="O73" s="1110"/>
      <c r="P73" s="1110"/>
      <c r="Q73" s="1110"/>
      <c r="R73" s="1110"/>
      <c r="S73" s="1110"/>
      <c r="T73" s="1111"/>
      <c r="U73" s="1111" t="s">
        <v>349</v>
      </c>
      <c r="V73" s="1111"/>
      <c r="W73" s="1167">
        <f t="shared" si="36"/>
        <v>6000</v>
      </c>
      <c r="X73" s="1167">
        <f t="shared" si="36"/>
        <v>6222.5300000000007</v>
      </c>
      <c r="Y73" s="1167">
        <f t="shared" ref="Y73:AH73" si="59">Y30+Y$6*$V52+Y$7*$W52+Y$8*$X52+Y$9*$Y52+Y$10*$Z52+Y$11*$AA52+Y$12*$AB52+Y$13*$AC52</f>
        <v>6445.1999999999989</v>
      </c>
      <c r="Z73" s="1167">
        <f t="shared" si="59"/>
        <v>6877.63</v>
      </c>
      <c r="AA73" s="1167">
        <f t="shared" si="59"/>
        <v>7310.31</v>
      </c>
      <c r="AB73" s="1167">
        <f t="shared" si="59"/>
        <v>7742.880000000001</v>
      </c>
      <c r="AC73" s="1167">
        <f t="shared" si="59"/>
        <v>8175.3100000000013</v>
      </c>
      <c r="AD73" s="1167">
        <f t="shared" si="59"/>
        <v>8608.2000000000007</v>
      </c>
      <c r="AE73" s="1167">
        <f t="shared" si="59"/>
        <v>9208.93</v>
      </c>
      <c r="AF73" s="1167">
        <f t="shared" si="59"/>
        <v>9809.98</v>
      </c>
      <c r="AG73" s="1167">
        <f t="shared" si="59"/>
        <v>10410.599999999999</v>
      </c>
      <c r="AH73" s="1167">
        <f t="shared" si="59"/>
        <v>11011.330000000002</v>
      </c>
      <c r="AI73" s="1167">
        <f t="shared" ref="AI73:AV73" si="60">AI30+AI$6*$V52+AI$7*$W52+AI$8*$X52+AI$9*$Y52+AI$10*$Z52+AI$11*$AA52+AI$12*$AB52+AI$13*$AC52</f>
        <v>11612.590000000002</v>
      </c>
      <c r="AJ73" s="1167">
        <f t="shared" si="60"/>
        <v>12003.24</v>
      </c>
      <c r="AK73" s="1167">
        <f t="shared" si="60"/>
        <v>12225.770000000002</v>
      </c>
      <c r="AL73" s="1167">
        <f t="shared" si="60"/>
        <v>12448.300000000001</v>
      </c>
      <c r="AM73" s="1167">
        <f t="shared" si="60"/>
        <v>12670.830000000002</v>
      </c>
      <c r="AN73" s="1167">
        <f t="shared" si="60"/>
        <v>12893.500000000004</v>
      </c>
      <c r="AO73" s="1167">
        <f t="shared" si="60"/>
        <v>13116.029999999999</v>
      </c>
      <c r="AP73" s="1167">
        <f t="shared" si="60"/>
        <v>13338.7</v>
      </c>
      <c r="AQ73" s="1167">
        <f t="shared" si="60"/>
        <v>13561.230000000001</v>
      </c>
      <c r="AR73" s="1167">
        <f t="shared" si="60"/>
        <v>13783.760000000002</v>
      </c>
      <c r="AS73" s="1167">
        <f t="shared" si="60"/>
        <v>14006.430000000002</v>
      </c>
      <c r="AT73" s="1167">
        <f t="shared" si="60"/>
        <v>14228.960000000001</v>
      </c>
      <c r="AU73" s="1167">
        <f t="shared" si="60"/>
        <v>14451.490000000002</v>
      </c>
      <c r="AV73" s="1167">
        <f t="shared" si="60"/>
        <v>14674.160000000002</v>
      </c>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c r="CB73" s="1111"/>
      <c r="CC73" s="1111"/>
      <c r="CD73" s="1111"/>
      <c r="CE73" s="1111"/>
      <c r="CF73" s="1111"/>
      <c r="CG73" s="1111"/>
      <c r="CH73" s="1111"/>
      <c r="CI73" s="1111"/>
      <c r="CJ73" s="1111"/>
      <c r="CK73" s="1110"/>
    </row>
    <row r="74" spans="1:89" ht="14.4" x14ac:dyDescent="0.3">
      <c r="A74" s="1110"/>
      <c r="B74" s="1110"/>
      <c r="C74" s="1110"/>
      <c r="D74" s="1110"/>
      <c r="E74" s="1110"/>
      <c r="F74" s="1110"/>
      <c r="G74" s="1110"/>
      <c r="H74" s="1110"/>
      <c r="I74" s="1110"/>
      <c r="J74" s="1110"/>
      <c r="K74" s="1110"/>
      <c r="L74" s="1110"/>
      <c r="M74" s="1110"/>
      <c r="N74" s="1110"/>
      <c r="O74" s="1110"/>
      <c r="P74" s="1110"/>
      <c r="Q74" s="1110"/>
      <c r="R74" s="1110"/>
      <c r="S74" s="1110"/>
      <c r="T74" s="1111"/>
      <c r="U74" s="1111" t="s">
        <v>351</v>
      </c>
      <c r="V74" s="1111"/>
      <c r="W74" s="1167">
        <f t="shared" si="36"/>
        <v>100</v>
      </c>
      <c r="X74" s="1167">
        <f t="shared" si="36"/>
        <v>100</v>
      </c>
      <c r="Y74" s="1167">
        <f t="shared" ref="Y74:AH74" si="61">Y31+Y$6*$V53+Y$7*$W53+Y$8*$X53+Y$9*$Y53+Y$10*$Z53+Y$11*$AA53+Y$12*$AB53+Y$13*$AC53</f>
        <v>1170.1000000000001</v>
      </c>
      <c r="Z74" s="1167">
        <f t="shared" si="61"/>
        <v>2240.2000000000003</v>
      </c>
      <c r="AA74" s="1167">
        <f t="shared" si="61"/>
        <v>3311.2000000000003</v>
      </c>
      <c r="AB74" s="1167">
        <f t="shared" si="61"/>
        <v>4381.3</v>
      </c>
      <c r="AC74" s="1167">
        <f t="shared" si="61"/>
        <v>5451.4000000000005</v>
      </c>
      <c r="AD74" s="1167">
        <f t="shared" si="61"/>
        <v>6522.4000000000005</v>
      </c>
      <c r="AE74" s="1167">
        <f t="shared" si="61"/>
        <v>6522.4000000000005</v>
      </c>
      <c r="AF74" s="1167">
        <f t="shared" si="61"/>
        <v>6522.4000000000005</v>
      </c>
      <c r="AG74" s="1167">
        <f t="shared" si="61"/>
        <v>6522.4000000000005</v>
      </c>
      <c r="AH74" s="1167">
        <f t="shared" si="61"/>
        <v>6522.4000000000005</v>
      </c>
      <c r="AI74" s="1167">
        <f t="shared" ref="AI74:AV74" si="62">AI31+AI$6*$V53+AI$7*$W53+AI$8*$X53+AI$9*$Y53+AI$10*$Z53+AI$11*$AA53+AI$12*$AB53+AI$13*$AC53</f>
        <v>6522.4000000000005</v>
      </c>
      <c r="AJ74" s="1167">
        <f t="shared" si="62"/>
        <v>6522.4000000000005</v>
      </c>
      <c r="AK74" s="1167">
        <f t="shared" si="62"/>
        <v>6522.4000000000005</v>
      </c>
      <c r="AL74" s="1167">
        <f t="shared" si="62"/>
        <v>6522.4000000000005</v>
      </c>
      <c r="AM74" s="1167">
        <f t="shared" si="62"/>
        <v>6522.4000000000005</v>
      </c>
      <c r="AN74" s="1167">
        <f t="shared" si="62"/>
        <v>6522.4000000000005</v>
      </c>
      <c r="AO74" s="1167">
        <f t="shared" si="62"/>
        <v>6522.4000000000005</v>
      </c>
      <c r="AP74" s="1167">
        <f t="shared" si="62"/>
        <v>6522.4000000000005</v>
      </c>
      <c r="AQ74" s="1167">
        <f t="shared" si="62"/>
        <v>6522.4000000000005</v>
      </c>
      <c r="AR74" s="1167">
        <f t="shared" si="62"/>
        <v>6522.4000000000005</v>
      </c>
      <c r="AS74" s="1167">
        <f t="shared" si="62"/>
        <v>6522.4000000000005</v>
      </c>
      <c r="AT74" s="1167">
        <f t="shared" si="62"/>
        <v>6522.4000000000005</v>
      </c>
      <c r="AU74" s="1167">
        <f t="shared" si="62"/>
        <v>6522.4000000000005</v>
      </c>
      <c r="AV74" s="1167">
        <f t="shared" si="62"/>
        <v>6522.4000000000005</v>
      </c>
      <c r="AW74" s="1111"/>
      <c r="AX74" s="1111"/>
      <c r="AY74" s="1111"/>
      <c r="AZ74" s="1111"/>
      <c r="BA74" s="1111"/>
      <c r="BB74" s="1111"/>
      <c r="BC74" s="1111"/>
      <c r="BD74" s="1111"/>
      <c r="BE74" s="1111"/>
      <c r="BF74" s="1111"/>
      <c r="BG74" s="1111"/>
      <c r="BH74" s="1111"/>
      <c r="BI74" s="1111"/>
      <c r="BJ74" s="1111"/>
      <c r="BK74" s="1111"/>
      <c r="BL74" s="1111"/>
      <c r="BM74" s="1111"/>
      <c r="BN74" s="1111"/>
      <c r="BO74" s="1111"/>
      <c r="BP74" s="1111"/>
      <c r="BQ74" s="1111"/>
      <c r="BR74" s="1111"/>
      <c r="BS74" s="1111"/>
      <c r="BT74" s="1111"/>
      <c r="BU74" s="1111"/>
      <c r="BV74" s="1111"/>
      <c r="BW74" s="1111"/>
      <c r="BX74" s="1111"/>
      <c r="BY74" s="1111"/>
      <c r="BZ74" s="1111"/>
      <c r="CA74" s="1111"/>
      <c r="CB74" s="1111"/>
      <c r="CC74" s="1111"/>
      <c r="CD74" s="1111"/>
      <c r="CE74" s="1111"/>
      <c r="CF74" s="1111"/>
      <c r="CG74" s="1111"/>
      <c r="CH74" s="1111"/>
      <c r="CI74" s="1111"/>
      <c r="CJ74" s="1111"/>
      <c r="CK74" s="1110"/>
    </row>
    <row r="75" spans="1:89" ht="14.4" x14ac:dyDescent="0.3">
      <c r="A75" s="1110"/>
      <c r="B75" s="1110"/>
      <c r="C75" s="1110"/>
      <c r="D75" s="1110"/>
      <c r="E75" s="1110"/>
      <c r="F75" s="1110"/>
      <c r="G75" s="1110"/>
      <c r="H75" s="1110"/>
      <c r="I75" s="1110"/>
      <c r="J75" s="1110"/>
      <c r="K75" s="1110"/>
      <c r="L75" s="1110"/>
      <c r="M75" s="1110"/>
      <c r="N75" s="1110"/>
      <c r="O75" s="1110"/>
      <c r="P75" s="1110"/>
      <c r="Q75" s="1110"/>
      <c r="R75" s="1110"/>
      <c r="S75" s="1110"/>
      <c r="T75" s="1111"/>
      <c r="U75" s="1111" t="s">
        <v>358</v>
      </c>
      <c r="V75" s="1111"/>
      <c r="W75" s="1167">
        <f t="shared" si="36"/>
        <v>3600</v>
      </c>
      <c r="X75" s="1167">
        <f t="shared" si="36"/>
        <v>3655.6399999999994</v>
      </c>
      <c r="Y75" s="1167">
        <f t="shared" ref="Y75:AH75" si="63">Y32+Y$6*$V54+Y$7*$W54+Y$8*$X54+Y$9*$Y54+Y$10*$Z54+Y$11*$AA54+Y$12*$AB54+Y$13*$AC54</f>
        <v>3747.06</v>
      </c>
      <c r="Z75" s="1167">
        <f t="shared" si="63"/>
        <v>4057.7700000000004</v>
      </c>
      <c r="AA75" s="1167">
        <f t="shared" si="63"/>
        <v>4368.5200000000004</v>
      </c>
      <c r="AB75" s="1167">
        <f t="shared" si="63"/>
        <v>4679.6299999999992</v>
      </c>
      <c r="AC75" s="1167">
        <f t="shared" si="63"/>
        <v>4990.3399999999992</v>
      </c>
      <c r="AD75" s="1167">
        <f t="shared" si="63"/>
        <v>5301.4</v>
      </c>
      <c r="AE75" s="1167">
        <f t="shared" si="63"/>
        <v>5669.9399999999987</v>
      </c>
      <c r="AF75" s="1167">
        <f t="shared" si="63"/>
        <v>6038.3999999999987</v>
      </c>
      <c r="AG75" s="1167">
        <f t="shared" si="63"/>
        <v>6407.0399999999991</v>
      </c>
      <c r="AH75" s="1167">
        <f t="shared" si="63"/>
        <v>6775.58</v>
      </c>
      <c r="AI75" s="1167">
        <f t="shared" ref="AI75:AV75" si="64">AI32+AI$6*$V54+AI$7*$W54+AI$8*$X54+AI$9*$Y54+AI$10*$Z54+AI$11*$AA54+AI$12*$AB54+AI$13*$AC54</f>
        <v>7144.6399999999994</v>
      </c>
      <c r="AJ75" s="1167">
        <f t="shared" si="64"/>
        <v>7293.6799999999994</v>
      </c>
      <c r="AK75" s="1167">
        <f t="shared" si="64"/>
        <v>7349.3199999999988</v>
      </c>
      <c r="AL75" s="1167">
        <f t="shared" si="64"/>
        <v>7404.9600000000009</v>
      </c>
      <c r="AM75" s="1167">
        <f t="shared" si="64"/>
        <v>7460.6</v>
      </c>
      <c r="AN75" s="1167">
        <f t="shared" si="64"/>
        <v>7516.3499999999995</v>
      </c>
      <c r="AO75" s="1167">
        <f t="shared" si="64"/>
        <v>7571.99</v>
      </c>
      <c r="AP75" s="1167">
        <f t="shared" si="64"/>
        <v>7627.7400000000007</v>
      </c>
      <c r="AQ75" s="1167">
        <f t="shared" si="64"/>
        <v>7683.38</v>
      </c>
      <c r="AR75" s="1167">
        <f t="shared" si="64"/>
        <v>7739.0200000000013</v>
      </c>
      <c r="AS75" s="1167">
        <f t="shared" si="64"/>
        <v>7794.77</v>
      </c>
      <c r="AT75" s="1167">
        <f t="shared" si="64"/>
        <v>7850.4100000000008</v>
      </c>
      <c r="AU75" s="1167">
        <f t="shared" si="64"/>
        <v>7906.0500000000011</v>
      </c>
      <c r="AV75" s="1167">
        <f t="shared" si="64"/>
        <v>7961.8</v>
      </c>
      <c r="AW75" s="1111"/>
      <c r="AX75" s="1111"/>
      <c r="AY75" s="1111"/>
      <c r="AZ75" s="1111"/>
      <c r="BA75" s="1111"/>
      <c r="BB75" s="1111"/>
      <c r="BC75" s="1111"/>
      <c r="BD75" s="1111"/>
      <c r="BE75" s="1111"/>
      <c r="BF75" s="1111"/>
      <c r="BG75" s="1111"/>
      <c r="BH75" s="1111"/>
      <c r="BI75" s="1111"/>
      <c r="BJ75" s="1111"/>
      <c r="BK75" s="1111"/>
      <c r="BL75" s="1111"/>
      <c r="BM75" s="1111"/>
      <c r="BN75" s="1111"/>
      <c r="BO75" s="1111"/>
      <c r="BP75" s="1111"/>
      <c r="BQ75" s="1111"/>
      <c r="BR75" s="1111"/>
      <c r="BS75" s="1111"/>
      <c r="BT75" s="1111"/>
      <c r="BU75" s="1111"/>
      <c r="BV75" s="1111"/>
      <c r="BW75" s="1111"/>
      <c r="BX75" s="1111"/>
      <c r="BY75" s="1111"/>
      <c r="BZ75" s="1111"/>
      <c r="CA75" s="1111"/>
      <c r="CB75" s="1111"/>
      <c r="CC75" s="1111"/>
      <c r="CD75" s="1111"/>
      <c r="CE75" s="1111"/>
      <c r="CF75" s="1111"/>
      <c r="CG75" s="1111"/>
      <c r="CH75" s="1111"/>
      <c r="CI75" s="1111"/>
      <c r="CJ75" s="1111"/>
      <c r="CK75" s="1110"/>
    </row>
    <row r="76" spans="1:89" ht="14.4" x14ac:dyDescent="0.3">
      <c r="A76" s="1110"/>
      <c r="B76" s="1110"/>
      <c r="C76" s="1110"/>
      <c r="D76" s="1110"/>
      <c r="E76" s="1110"/>
      <c r="F76" s="1110"/>
      <c r="G76" s="1110"/>
      <c r="H76" s="1110"/>
      <c r="I76" s="1110"/>
      <c r="J76" s="1110"/>
      <c r="K76" s="1110"/>
      <c r="L76" s="1110"/>
      <c r="M76" s="1110"/>
      <c r="N76" s="1110"/>
      <c r="O76" s="1110"/>
      <c r="P76" s="1110"/>
      <c r="Q76" s="1110"/>
      <c r="R76" s="1110"/>
      <c r="S76" s="1110"/>
      <c r="T76" s="1111"/>
      <c r="U76" s="1111" t="s">
        <v>353</v>
      </c>
      <c r="V76" s="1111"/>
      <c r="W76" s="1167">
        <f t="shared" si="36"/>
        <v>1800</v>
      </c>
      <c r="X76" s="1167">
        <f t="shared" si="36"/>
        <v>1867.48</v>
      </c>
      <c r="Y76" s="1167">
        <f t="shared" ref="Y76:AH76" si="65">Y33+Y$6*$V55+Y$7*$W55+Y$8*$X55+Y$9*$Y55+Y$10*$Z55+Y$11*$AA55+Y$12*$AB55+Y$13*$AC55</f>
        <v>1970.7</v>
      </c>
      <c r="Z76" s="1167">
        <f t="shared" si="65"/>
        <v>2298.6500000000005</v>
      </c>
      <c r="AA76" s="1167">
        <f t="shared" si="65"/>
        <v>2626.65</v>
      </c>
      <c r="AB76" s="1167">
        <f t="shared" si="65"/>
        <v>2954.9999999999995</v>
      </c>
      <c r="AC76" s="1167">
        <f t="shared" si="65"/>
        <v>3282.95</v>
      </c>
      <c r="AD76" s="1167">
        <f t="shared" si="65"/>
        <v>3611.2200000000003</v>
      </c>
      <c r="AE76" s="1167">
        <f t="shared" si="65"/>
        <v>4043.75</v>
      </c>
      <c r="AF76" s="1167">
        <f t="shared" si="65"/>
        <v>4476.17</v>
      </c>
      <c r="AG76" s="1167">
        <f t="shared" si="65"/>
        <v>4908.75</v>
      </c>
      <c r="AH76" s="1167">
        <f t="shared" si="65"/>
        <v>5341.2800000000016</v>
      </c>
      <c r="AI76" s="1167">
        <f t="shared" ref="AI76:AV76" si="66">AI33+AI$6*$V55+AI$7*$W55+AI$8*$X55+AI$9*$Y55+AI$10*$Z55+AI$11*$AA55+AI$12*$AB55+AI$13*$AC55</f>
        <v>5774.3</v>
      </c>
      <c r="AJ76" s="1167">
        <f t="shared" si="66"/>
        <v>5981.8799999999992</v>
      </c>
      <c r="AK76" s="1167">
        <f t="shared" si="66"/>
        <v>6049.36</v>
      </c>
      <c r="AL76" s="1167">
        <f t="shared" si="66"/>
        <v>6116.8399999999992</v>
      </c>
      <c r="AM76" s="1167">
        <f t="shared" si="66"/>
        <v>6184.32</v>
      </c>
      <c r="AN76" s="1167">
        <f t="shared" si="66"/>
        <v>6251.87</v>
      </c>
      <c r="AO76" s="1167">
        <f t="shared" si="66"/>
        <v>6319.3499999999985</v>
      </c>
      <c r="AP76" s="1167">
        <f t="shared" si="66"/>
        <v>6386.9000000000005</v>
      </c>
      <c r="AQ76" s="1167">
        <f t="shared" si="66"/>
        <v>6454.380000000001</v>
      </c>
      <c r="AR76" s="1167">
        <f t="shared" si="66"/>
        <v>6521.86</v>
      </c>
      <c r="AS76" s="1167">
        <f t="shared" si="66"/>
        <v>6589.41</v>
      </c>
      <c r="AT76" s="1167">
        <f t="shared" si="66"/>
        <v>6656.8900000000012</v>
      </c>
      <c r="AU76" s="1167">
        <f t="shared" si="66"/>
        <v>6724.37</v>
      </c>
      <c r="AV76" s="1167">
        <f t="shared" si="66"/>
        <v>6791.92</v>
      </c>
      <c r="AW76" s="1111"/>
      <c r="AX76" s="1111"/>
      <c r="AY76" s="1111"/>
      <c r="AZ76" s="1111"/>
      <c r="BA76" s="1111"/>
      <c r="BB76" s="1111"/>
      <c r="BC76" s="1111"/>
      <c r="BD76" s="1111"/>
      <c r="BE76" s="1111"/>
      <c r="BF76" s="1111"/>
      <c r="BG76" s="1111"/>
      <c r="BH76" s="1111"/>
      <c r="BI76" s="1111"/>
      <c r="BJ76" s="1111"/>
      <c r="BK76" s="1111"/>
      <c r="BL76" s="1111"/>
      <c r="BM76" s="1111"/>
      <c r="BN76" s="1111"/>
      <c r="BO76" s="1111"/>
      <c r="BP76" s="1111"/>
      <c r="BQ76" s="1111"/>
      <c r="BR76" s="1111"/>
      <c r="BS76" s="1111"/>
      <c r="BT76" s="1111"/>
      <c r="BU76" s="1111"/>
      <c r="BV76" s="1111"/>
      <c r="BW76" s="1111"/>
      <c r="BX76" s="1111"/>
      <c r="BY76" s="1111"/>
      <c r="BZ76" s="1111"/>
      <c r="CA76" s="1111"/>
      <c r="CB76" s="1111"/>
      <c r="CC76" s="1111"/>
      <c r="CD76" s="1111"/>
      <c r="CE76" s="1111"/>
      <c r="CF76" s="1111"/>
      <c r="CG76" s="1111"/>
      <c r="CH76" s="1111"/>
      <c r="CI76" s="1111"/>
      <c r="CJ76" s="1111"/>
      <c r="CK76" s="1110"/>
    </row>
    <row r="77" spans="1:89" ht="14.4" x14ac:dyDescent="0.3">
      <c r="A77" s="1110"/>
      <c r="B77" s="1110"/>
      <c r="C77" s="1110"/>
      <c r="D77" s="1110"/>
      <c r="E77" s="1110"/>
      <c r="F77" s="1110"/>
      <c r="G77" s="1110"/>
      <c r="H77" s="1110"/>
      <c r="I77" s="1110"/>
      <c r="J77" s="1110"/>
      <c r="K77" s="1110"/>
      <c r="L77" s="1110"/>
      <c r="M77" s="1110"/>
      <c r="N77" s="1110"/>
      <c r="O77" s="1110"/>
      <c r="P77" s="1110"/>
      <c r="Q77" s="1110"/>
      <c r="R77" s="1110"/>
      <c r="S77" s="1110"/>
      <c r="T77" s="1111"/>
      <c r="U77" s="1111" t="s">
        <v>350</v>
      </c>
      <c r="V77" s="1111"/>
      <c r="W77" s="1167">
        <f t="shared" si="36"/>
        <v>20</v>
      </c>
      <c r="X77" s="1167">
        <f t="shared" si="36"/>
        <v>32.379999999999995</v>
      </c>
      <c r="Y77" s="1167">
        <f t="shared" ref="Y77:AG77" si="67">Y34+Y$6*$V56+Y$7*$W56+Y$8*$X56+Y$9*$Y56+Y$10*$Z56+Y$11*$AA56+Y$12*$AB56+Y$13*$AC56</f>
        <v>92.38</v>
      </c>
      <c r="Z77" s="1167">
        <f t="shared" si="67"/>
        <v>195.32</v>
      </c>
      <c r="AA77" s="1167">
        <f t="shared" si="67"/>
        <v>298.34000000000003</v>
      </c>
      <c r="AB77" s="1167">
        <f t="shared" si="67"/>
        <v>401.32000000000005</v>
      </c>
      <c r="AC77" s="1167">
        <f t="shared" si="67"/>
        <v>504.26000000000005</v>
      </c>
      <c r="AD77" s="1167">
        <f t="shared" si="67"/>
        <v>607.36</v>
      </c>
      <c r="AE77" s="1167">
        <f t="shared" si="67"/>
        <v>662.74</v>
      </c>
      <c r="AF77" s="1167">
        <f t="shared" si="67"/>
        <v>718.19999999999993</v>
      </c>
      <c r="AG77" s="1167">
        <f t="shared" si="67"/>
        <v>773.6</v>
      </c>
      <c r="AH77" s="1167">
        <f>AH34+AH$6*$V56+AH$7*$W56+AH$8*$X56+AH$9*$Y56+AH$10*$Z56+AH$11*$AA56+AH$12*$AB56+AH$13*$AC56</f>
        <v>828.98</v>
      </c>
      <c r="AI77" s="1167">
        <f t="shared" ref="AI77:AV77" si="68">AI34+AI$6*$V56+AI$7*$W56+AI$8*$X56+AI$9*$Y56+AI$10*$Z56+AI$11*$AA56+AI$12*$AB56+AI$13*$AC56</f>
        <v>884.5</v>
      </c>
      <c r="AJ77" s="1167">
        <f t="shared" si="68"/>
        <v>896.87999999999988</v>
      </c>
      <c r="AK77" s="1167">
        <f t="shared" si="68"/>
        <v>909.26</v>
      </c>
      <c r="AL77" s="1167">
        <f t="shared" si="68"/>
        <v>921.63999999999987</v>
      </c>
      <c r="AM77" s="1167">
        <f t="shared" si="68"/>
        <v>934.02</v>
      </c>
      <c r="AN77" s="1167">
        <f t="shared" si="68"/>
        <v>946.45999999999992</v>
      </c>
      <c r="AO77" s="1167">
        <f t="shared" si="68"/>
        <v>958.83999999999992</v>
      </c>
      <c r="AP77" s="1167">
        <f t="shared" si="68"/>
        <v>971.28</v>
      </c>
      <c r="AQ77" s="1167">
        <f t="shared" si="68"/>
        <v>983.65999999999985</v>
      </c>
      <c r="AR77" s="1167">
        <f t="shared" si="68"/>
        <v>996.04</v>
      </c>
      <c r="AS77" s="1167">
        <f t="shared" si="68"/>
        <v>1008.48</v>
      </c>
      <c r="AT77" s="1167">
        <f t="shared" si="68"/>
        <v>1020.8599999999999</v>
      </c>
      <c r="AU77" s="1167">
        <f t="shared" si="68"/>
        <v>1033.24</v>
      </c>
      <c r="AV77" s="1167">
        <f t="shared" si="68"/>
        <v>1045.68</v>
      </c>
      <c r="AW77" s="1111"/>
      <c r="AX77" s="1111"/>
      <c r="AY77" s="1111"/>
      <c r="AZ77" s="1111"/>
      <c r="BA77" s="1111"/>
      <c r="BB77" s="1111"/>
      <c r="BC77" s="1111"/>
      <c r="BD77" s="1111"/>
      <c r="BE77" s="1111"/>
      <c r="BF77" s="1111"/>
      <c r="BG77" s="1111"/>
      <c r="BH77" s="1111"/>
      <c r="BI77" s="1111"/>
      <c r="BJ77" s="1111"/>
      <c r="BK77" s="1111"/>
      <c r="BL77" s="1111"/>
      <c r="BM77" s="1111"/>
      <c r="BN77" s="1111"/>
      <c r="BO77" s="1111"/>
      <c r="BP77" s="1111"/>
      <c r="BQ77" s="1111"/>
      <c r="BR77" s="1111"/>
      <c r="BS77" s="1111"/>
      <c r="BT77" s="1111"/>
      <c r="BU77" s="1111"/>
      <c r="BV77" s="1111"/>
      <c r="BW77" s="1111"/>
      <c r="BX77" s="1111"/>
      <c r="BY77" s="1111"/>
      <c r="BZ77" s="1111"/>
      <c r="CA77" s="1111"/>
      <c r="CB77" s="1111"/>
      <c r="CC77" s="1111"/>
      <c r="CD77" s="1111"/>
      <c r="CE77" s="1111"/>
      <c r="CF77" s="1111"/>
      <c r="CG77" s="1111"/>
      <c r="CH77" s="1111"/>
      <c r="CI77" s="1111"/>
      <c r="CJ77" s="1111"/>
      <c r="CK77" s="1110"/>
    </row>
    <row r="78" spans="1:89" ht="14.4" x14ac:dyDescent="0.3">
      <c r="A78" s="1110"/>
      <c r="B78" s="1110"/>
      <c r="C78" s="1110"/>
      <c r="D78" s="1110"/>
      <c r="E78" s="1110"/>
      <c r="F78" s="1110"/>
      <c r="G78" s="1110"/>
      <c r="H78" s="1110"/>
      <c r="I78" s="1110"/>
      <c r="J78" s="1110"/>
      <c r="K78" s="1110"/>
      <c r="L78" s="1110"/>
      <c r="M78" s="1110"/>
      <c r="N78" s="1110"/>
      <c r="O78" s="1110"/>
      <c r="P78" s="1110"/>
      <c r="Q78" s="1110"/>
      <c r="R78" s="1110"/>
      <c r="S78" s="1110"/>
      <c r="T78" s="1111"/>
      <c r="U78" s="1111" t="s">
        <v>352</v>
      </c>
      <c r="V78" s="1111"/>
      <c r="W78" s="1167">
        <f t="shared" si="36"/>
        <v>300</v>
      </c>
      <c r="X78" s="1167">
        <f t="shared" si="36"/>
        <v>569.87</v>
      </c>
      <c r="Y78" s="1167">
        <f t="shared" ref="Y78:AH78" si="69">Y35+Y$6*$V57+Y$7*$W57+Y$8*$X57+Y$9*$Y57+Y$10*$Z57+Y$11*$AA57+Y$12*$AB57+Y$13*$AC57</f>
        <v>839.65000000000009</v>
      </c>
      <c r="Z78" s="1167">
        <f t="shared" si="69"/>
        <v>1826.62</v>
      </c>
      <c r="AA78" s="1167">
        <f t="shared" si="69"/>
        <v>2813.63</v>
      </c>
      <c r="AB78" s="1167">
        <f t="shared" si="69"/>
        <v>3801.9000000000005</v>
      </c>
      <c r="AC78" s="1167">
        <f t="shared" si="69"/>
        <v>4788.87</v>
      </c>
      <c r="AD78" s="1167">
        <f t="shared" si="69"/>
        <v>5776.4400000000005</v>
      </c>
      <c r="AE78" s="1167">
        <f t="shared" si="69"/>
        <v>7492.7100000000009</v>
      </c>
      <c r="AF78" s="1167">
        <f t="shared" si="69"/>
        <v>9208.2800000000007</v>
      </c>
      <c r="AG78" s="1167">
        <f t="shared" si="69"/>
        <v>10924.419999999998</v>
      </c>
      <c r="AH78" s="1167">
        <f t="shared" si="69"/>
        <v>12640.69</v>
      </c>
      <c r="AI78" s="1167">
        <f t="shared" ref="AI78:AV78" si="70">AI35+AI$6*$V57+AI$7*$W57+AI$8*$X57+AI$9*$Y57+AI$10*$Z57+AI$11*$AA57+AI$12*$AB57+AI$13*$AC57</f>
        <v>14358.21</v>
      </c>
      <c r="AJ78" s="1167">
        <f t="shared" si="70"/>
        <v>15356.599999999999</v>
      </c>
      <c r="AK78" s="1167">
        <f t="shared" si="70"/>
        <v>15626.47</v>
      </c>
      <c r="AL78" s="1167">
        <f t="shared" si="70"/>
        <v>15896.34</v>
      </c>
      <c r="AM78" s="1167">
        <f t="shared" si="70"/>
        <v>16166.21</v>
      </c>
      <c r="AN78" s="1167">
        <f t="shared" si="70"/>
        <v>16435.989999999998</v>
      </c>
      <c r="AO78" s="1167">
        <f t="shared" si="70"/>
        <v>16705.86</v>
      </c>
      <c r="AP78" s="1167">
        <f t="shared" si="70"/>
        <v>16975.64</v>
      </c>
      <c r="AQ78" s="1167">
        <f t="shared" si="70"/>
        <v>17245.509999999998</v>
      </c>
      <c r="AR78" s="1167">
        <f t="shared" si="70"/>
        <v>17515.38</v>
      </c>
      <c r="AS78" s="1167">
        <f t="shared" si="70"/>
        <v>17785.16</v>
      </c>
      <c r="AT78" s="1167">
        <f t="shared" si="70"/>
        <v>18055.030000000002</v>
      </c>
      <c r="AU78" s="1167">
        <f t="shared" si="70"/>
        <v>18324.900000000001</v>
      </c>
      <c r="AV78" s="1167">
        <f t="shared" si="70"/>
        <v>18594.68</v>
      </c>
      <c r="AW78" s="1111"/>
      <c r="AX78" s="1111"/>
      <c r="AY78" s="1111"/>
      <c r="AZ78" s="1111"/>
      <c r="BA78" s="1111"/>
      <c r="BB78" s="1111"/>
      <c r="BC78" s="1111"/>
      <c r="BD78" s="1111"/>
      <c r="BE78" s="1111"/>
      <c r="BF78" s="1111"/>
      <c r="BG78" s="1111"/>
      <c r="BH78" s="1111"/>
      <c r="BI78" s="1111"/>
      <c r="BJ78" s="1111"/>
      <c r="BK78" s="1111"/>
      <c r="BL78" s="1111"/>
      <c r="BM78" s="1111"/>
      <c r="BN78" s="1111"/>
      <c r="BO78" s="1111"/>
      <c r="BP78" s="1111"/>
      <c r="BQ78" s="1111"/>
      <c r="BR78" s="1111"/>
      <c r="BS78" s="1111"/>
      <c r="BT78" s="1111"/>
      <c r="BU78" s="1111"/>
      <c r="BV78" s="1111"/>
      <c r="BW78" s="1111"/>
      <c r="BX78" s="1111"/>
      <c r="BY78" s="1111"/>
      <c r="BZ78" s="1111"/>
      <c r="CA78" s="1111"/>
      <c r="CB78" s="1111"/>
      <c r="CC78" s="1111"/>
      <c r="CD78" s="1111"/>
      <c r="CE78" s="1111"/>
      <c r="CF78" s="1111"/>
      <c r="CG78" s="1111"/>
      <c r="CH78" s="1111"/>
      <c r="CI78" s="1111"/>
      <c r="CJ78" s="1111"/>
      <c r="CK78" s="1110"/>
    </row>
    <row r="79" spans="1:89" ht="15" thickBot="1" x14ac:dyDescent="0.35">
      <c r="A79" s="1110"/>
      <c r="B79" s="1110"/>
      <c r="C79" s="1110"/>
      <c r="D79" s="1110"/>
      <c r="E79" s="1110"/>
      <c r="F79" s="1110"/>
      <c r="G79" s="1110"/>
      <c r="H79" s="1110"/>
      <c r="I79" s="1110"/>
      <c r="J79" s="1110"/>
      <c r="K79" s="1110"/>
      <c r="L79" s="1110"/>
      <c r="M79" s="1110"/>
      <c r="N79" s="1110"/>
      <c r="O79" s="1110"/>
      <c r="P79" s="1110"/>
      <c r="Q79" s="1110"/>
      <c r="R79" s="1110"/>
      <c r="S79" s="1110"/>
      <c r="T79" s="1181"/>
      <c r="U79" s="1181" t="s">
        <v>354</v>
      </c>
      <c r="V79" s="1181"/>
      <c r="W79" s="1184">
        <f t="shared" si="36"/>
        <v>0</v>
      </c>
      <c r="X79" s="1184">
        <f t="shared" si="36"/>
        <v>0</v>
      </c>
      <c r="Y79" s="1184">
        <f t="shared" ref="Y79:AH79" si="71">Y36+Y$6*$V58+Y$7*$W58+Y$8*$X58+Y$9*$Y58+Y$10*$Z58+Y$11*$AA58+Y$12*$AB58+Y$13*$AC58</f>
        <v>0</v>
      </c>
      <c r="Z79" s="1184">
        <f t="shared" si="71"/>
        <v>0</v>
      </c>
      <c r="AA79" s="1184">
        <f t="shared" si="71"/>
        <v>0</v>
      </c>
      <c r="AB79" s="1184">
        <f t="shared" si="71"/>
        <v>0</v>
      </c>
      <c r="AC79" s="1184">
        <f t="shared" si="71"/>
        <v>0</v>
      </c>
      <c r="AD79" s="1184">
        <f t="shared" si="71"/>
        <v>0</v>
      </c>
      <c r="AE79" s="1184">
        <f t="shared" si="71"/>
        <v>0</v>
      </c>
      <c r="AF79" s="1184">
        <f t="shared" si="71"/>
        <v>0</v>
      </c>
      <c r="AG79" s="1184">
        <f t="shared" si="71"/>
        <v>0</v>
      </c>
      <c r="AH79" s="1184">
        <f t="shared" si="71"/>
        <v>0</v>
      </c>
      <c r="AI79" s="1184">
        <f t="shared" ref="AI79:AV79" si="72">AI36+AI$6*$V58+AI$7*$W58+AI$8*$X58+AI$9*$Y58+AI$10*$Z58+AI$11*$AA58+AI$12*$AB58+AI$13*$AC58</f>
        <v>0</v>
      </c>
      <c r="AJ79" s="1184">
        <f t="shared" si="72"/>
        <v>0</v>
      </c>
      <c r="AK79" s="1184">
        <f t="shared" si="72"/>
        <v>0</v>
      </c>
      <c r="AL79" s="1184">
        <f t="shared" si="72"/>
        <v>0</v>
      </c>
      <c r="AM79" s="1184">
        <f t="shared" si="72"/>
        <v>0</v>
      </c>
      <c r="AN79" s="1184">
        <f t="shared" si="72"/>
        <v>0</v>
      </c>
      <c r="AO79" s="1184">
        <f t="shared" si="72"/>
        <v>0</v>
      </c>
      <c r="AP79" s="1184">
        <f t="shared" si="72"/>
        <v>0</v>
      </c>
      <c r="AQ79" s="1184">
        <f t="shared" si="72"/>
        <v>0</v>
      </c>
      <c r="AR79" s="1184">
        <f t="shared" si="72"/>
        <v>0</v>
      </c>
      <c r="AS79" s="1184">
        <f t="shared" si="72"/>
        <v>0</v>
      </c>
      <c r="AT79" s="1184">
        <f t="shared" si="72"/>
        <v>0</v>
      </c>
      <c r="AU79" s="1184">
        <f t="shared" si="72"/>
        <v>0</v>
      </c>
      <c r="AV79" s="1184">
        <f t="shared" si="72"/>
        <v>0</v>
      </c>
      <c r="AW79" s="1111"/>
      <c r="AX79" s="1111"/>
      <c r="AY79" s="1111"/>
      <c r="AZ79" s="1111"/>
      <c r="BA79" s="1111"/>
      <c r="BB79" s="1111"/>
      <c r="BC79" s="1111"/>
      <c r="BD79" s="1111"/>
      <c r="BE79" s="1111"/>
      <c r="BF79" s="1111"/>
      <c r="BG79" s="1111"/>
      <c r="BH79" s="1111"/>
      <c r="BI79" s="1111"/>
      <c r="BJ79" s="1111"/>
      <c r="BK79" s="1111"/>
      <c r="BL79" s="1111"/>
      <c r="BM79" s="1111"/>
      <c r="BN79" s="1111"/>
      <c r="BO79" s="1111"/>
      <c r="BP79" s="1111"/>
      <c r="BQ79" s="1111"/>
      <c r="BR79" s="1111"/>
      <c r="BS79" s="1111"/>
      <c r="BT79" s="1111"/>
      <c r="BU79" s="1111"/>
      <c r="BV79" s="1111"/>
      <c r="BW79" s="1111"/>
      <c r="BX79" s="1111"/>
      <c r="BY79" s="1111"/>
      <c r="BZ79" s="1111"/>
      <c r="CA79" s="1111"/>
      <c r="CB79" s="1111"/>
      <c r="CC79" s="1111"/>
      <c r="CD79" s="1111"/>
      <c r="CE79" s="1111"/>
      <c r="CF79" s="1111"/>
      <c r="CG79" s="1111"/>
      <c r="CH79" s="1111"/>
      <c r="CI79" s="1111"/>
      <c r="CJ79" s="1111"/>
      <c r="CK79" s="1110"/>
    </row>
    <row r="80" spans="1:89" ht="14.4" x14ac:dyDescent="0.3">
      <c r="A80" s="1110"/>
      <c r="B80" s="1110"/>
      <c r="C80" s="1110"/>
      <c r="D80" s="1110"/>
      <c r="E80" s="1110"/>
      <c r="F80" s="1110"/>
      <c r="G80" s="1110"/>
      <c r="H80" s="1110"/>
      <c r="I80" s="1110"/>
      <c r="J80" s="1110"/>
      <c r="K80" s="1110"/>
      <c r="L80" s="1110"/>
      <c r="M80" s="1110"/>
      <c r="N80" s="1110"/>
      <c r="O80" s="1110"/>
      <c r="P80" s="1110"/>
      <c r="Q80" s="1110"/>
      <c r="R80" s="1110"/>
      <c r="S80" s="1110"/>
      <c r="T80" s="1111"/>
      <c r="U80" s="1111"/>
      <c r="V80" s="1111"/>
      <c r="W80" s="1111"/>
      <c r="X80" s="1111"/>
      <c r="Y80" s="1111"/>
      <c r="Z80" s="1111"/>
      <c r="AA80" s="1111"/>
      <c r="AB80" s="1111"/>
      <c r="AC80" s="1111"/>
      <c r="AD80" s="1111"/>
      <c r="AE80" s="1111"/>
      <c r="AF80" s="1111"/>
      <c r="AG80" s="1111"/>
      <c r="AH80" s="1111"/>
      <c r="AI80" s="1111"/>
      <c r="AJ80" s="1111"/>
      <c r="AK80" s="1111"/>
      <c r="AL80" s="1111"/>
      <c r="AM80" s="1111"/>
      <c r="AN80" s="1111"/>
      <c r="AO80" s="1111"/>
      <c r="AP80" s="1111"/>
      <c r="AQ80" s="1111"/>
      <c r="AR80" s="1111"/>
      <c r="AS80" s="1111"/>
      <c r="AT80" s="1111"/>
      <c r="AU80" s="1111"/>
      <c r="AV80" s="1111"/>
      <c r="AW80" s="1111"/>
      <c r="AX80" s="1111"/>
      <c r="AY80" s="1111"/>
      <c r="AZ80" s="1111"/>
      <c r="BA80" s="1111"/>
      <c r="BB80" s="1111"/>
      <c r="BC80" s="1111"/>
      <c r="BD80" s="1111"/>
      <c r="BE80" s="1111"/>
      <c r="BF80" s="1111"/>
      <c r="BG80" s="1111"/>
      <c r="BH80" s="1111"/>
      <c r="BI80" s="1111"/>
      <c r="BJ80" s="1111"/>
      <c r="BK80" s="1111"/>
      <c r="BL80" s="1111"/>
      <c r="BM80" s="1111"/>
      <c r="BN80" s="1111"/>
      <c r="BO80" s="1111"/>
      <c r="BP80" s="1111"/>
      <c r="BQ80" s="1111"/>
      <c r="BR80" s="1111"/>
      <c r="BS80" s="1111"/>
      <c r="BT80" s="1111"/>
      <c r="BU80" s="1111"/>
      <c r="BV80" s="1111"/>
      <c r="BW80" s="1111"/>
      <c r="BX80" s="1111"/>
      <c r="BY80" s="1111"/>
      <c r="BZ80" s="1111"/>
      <c r="CA80" s="1111"/>
      <c r="CB80" s="1111"/>
      <c r="CC80" s="1111"/>
      <c r="CD80" s="1111"/>
      <c r="CE80" s="1111"/>
      <c r="CF80" s="1111"/>
      <c r="CG80" s="1111"/>
      <c r="CH80" s="1111"/>
      <c r="CI80" s="1111"/>
      <c r="CJ80" s="1111"/>
      <c r="CK80" s="1110"/>
    </row>
    <row r="81" spans="1:89" ht="15" thickBot="1" x14ac:dyDescent="0.35">
      <c r="A81" s="1110"/>
      <c r="B81" s="1110"/>
      <c r="C81" s="1110"/>
      <c r="D81" s="1110"/>
      <c r="E81" s="1110"/>
      <c r="F81" s="1110"/>
      <c r="G81" s="1110"/>
      <c r="H81" s="1110"/>
      <c r="I81" s="1110"/>
      <c r="J81" s="1110"/>
      <c r="K81" s="1110"/>
      <c r="L81" s="1110"/>
      <c r="M81" s="1110"/>
      <c r="N81" s="1110"/>
      <c r="O81" s="1110"/>
      <c r="P81" s="1110"/>
      <c r="Q81" s="1110"/>
      <c r="R81" s="1110"/>
      <c r="S81" s="1110"/>
      <c r="T81" s="1111"/>
      <c r="U81" s="1111"/>
      <c r="V81" s="1185">
        <v>1</v>
      </c>
      <c r="W81" s="1185">
        <v>2</v>
      </c>
      <c r="X81" s="1185">
        <v>3</v>
      </c>
      <c r="Y81" s="1185" t="s">
        <v>618</v>
      </c>
      <c r="Z81" s="1185" t="s">
        <v>619</v>
      </c>
      <c r="AA81" s="1185" t="s">
        <v>620</v>
      </c>
      <c r="AB81" s="1185">
        <v>5</v>
      </c>
      <c r="AC81" s="1185">
        <v>6</v>
      </c>
      <c r="AD81" s="1111"/>
      <c r="AE81" s="1111"/>
      <c r="AF81" s="1111"/>
      <c r="AG81" s="1111"/>
      <c r="AH81" s="1111"/>
      <c r="AI81" s="1111"/>
      <c r="AJ81" s="1111"/>
      <c r="AK81" s="1111"/>
      <c r="AL81" s="1111"/>
      <c r="AM81" s="1111"/>
      <c r="AN81" s="1111"/>
      <c r="AO81" s="1111"/>
      <c r="AP81" s="1111"/>
      <c r="AQ81" s="1111"/>
      <c r="AR81" s="1111"/>
      <c r="AS81" s="1111"/>
      <c r="AT81" s="1111"/>
      <c r="AU81" s="1111"/>
      <c r="AV81" s="1111"/>
      <c r="AW81" s="1111"/>
      <c r="AX81" s="1111"/>
      <c r="AY81" s="1111"/>
      <c r="AZ81" s="1111"/>
      <c r="BA81" s="1111"/>
      <c r="BB81" s="1111"/>
      <c r="BC81" s="1111"/>
      <c r="BD81" s="1111"/>
      <c r="BE81" s="1111"/>
      <c r="BF81" s="1111"/>
      <c r="BG81" s="1111"/>
      <c r="BH81" s="1111"/>
      <c r="BI81" s="1111"/>
      <c r="BJ81" s="1111"/>
      <c r="BK81" s="1111"/>
      <c r="BL81" s="1111"/>
      <c r="BM81" s="1111"/>
      <c r="BN81" s="1111"/>
      <c r="BO81" s="1111"/>
      <c r="BP81" s="1111"/>
      <c r="BQ81" s="1111"/>
      <c r="BR81" s="1111"/>
      <c r="BS81" s="1111"/>
      <c r="BT81" s="1111"/>
      <c r="BU81" s="1111"/>
      <c r="BV81" s="1111"/>
      <c r="BW81" s="1111"/>
      <c r="BX81" s="1111"/>
      <c r="BY81" s="1111"/>
      <c r="BZ81" s="1111"/>
      <c r="CA81" s="1111"/>
      <c r="CB81" s="1111"/>
      <c r="CC81" s="1111"/>
      <c r="CD81" s="1111"/>
      <c r="CE81" s="1111"/>
      <c r="CF81" s="1111"/>
      <c r="CG81" s="1111"/>
      <c r="CH81" s="1111"/>
      <c r="CI81" s="1111"/>
      <c r="CJ81" s="1111"/>
      <c r="CK81" s="1110"/>
    </row>
    <row r="82" spans="1:89" ht="14.4" x14ac:dyDescent="0.3">
      <c r="A82" s="1110"/>
      <c r="B82" s="1110"/>
      <c r="C82" s="1110"/>
      <c r="D82" s="1110"/>
      <c r="E82" s="1110"/>
      <c r="F82" s="1110"/>
      <c r="G82" s="1110"/>
      <c r="H82" s="1110"/>
      <c r="I82" s="1110"/>
      <c r="J82" s="1110"/>
      <c r="K82" s="1110"/>
      <c r="L82" s="1110"/>
      <c r="M82" s="1110"/>
      <c r="N82" s="1110"/>
      <c r="O82" s="1110"/>
      <c r="P82" s="1110"/>
      <c r="Q82" s="1110"/>
      <c r="R82" s="1110"/>
      <c r="S82" s="1110"/>
      <c r="T82" s="1164" t="s">
        <v>640</v>
      </c>
      <c r="U82" s="1182" t="s">
        <v>344</v>
      </c>
      <c r="V82" s="1186">
        <v>0.25</v>
      </c>
      <c r="W82" s="1186">
        <v>0.3</v>
      </c>
      <c r="X82" s="1186">
        <v>0.3</v>
      </c>
      <c r="Y82" s="1186">
        <v>0.25</v>
      </c>
      <c r="Z82" s="1186">
        <v>0.25</v>
      </c>
      <c r="AA82" s="1186">
        <v>0.3</v>
      </c>
      <c r="AB82" s="1186">
        <v>0.3</v>
      </c>
      <c r="AC82" s="1186">
        <v>0.3</v>
      </c>
      <c r="AD82" s="1182"/>
      <c r="AE82" s="1182"/>
      <c r="AF82" s="1182"/>
      <c r="AG82" s="1182"/>
      <c r="AH82" s="1182"/>
      <c r="AI82" s="1182"/>
      <c r="AJ82" s="1182"/>
      <c r="AK82" s="1182"/>
      <c r="AL82" s="1182"/>
      <c r="AM82" s="1182"/>
      <c r="AN82" s="1182"/>
      <c r="AO82" s="1182"/>
      <c r="AP82" s="1182"/>
      <c r="AQ82" s="1182"/>
      <c r="AR82" s="1182"/>
      <c r="AS82" s="1182"/>
      <c r="AT82" s="1182"/>
      <c r="AU82" s="1182"/>
      <c r="AV82" s="1182"/>
      <c r="AW82" s="1111"/>
      <c r="AX82" s="1111"/>
      <c r="AY82" s="1111"/>
      <c r="AZ82" s="1111"/>
      <c r="BA82" s="1111"/>
      <c r="BB82" s="1111"/>
      <c r="BC82" s="1111"/>
      <c r="BD82" s="1111"/>
      <c r="BE82" s="1111"/>
      <c r="BF82" s="1111"/>
      <c r="BG82" s="1111"/>
      <c r="BH82" s="1111"/>
      <c r="BI82" s="1111"/>
      <c r="BJ82" s="1111"/>
      <c r="BK82" s="1111"/>
      <c r="BL82" s="1111"/>
      <c r="BM82" s="1111"/>
      <c r="BN82" s="1111"/>
      <c r="BO82" s="1111"/>
      <c r="BP82" s="1111"/>
      <c r="BQ82" s="1111"/>
      <c r="BR82" s="1111"/>
      <c r="BS82" s="1111"/>
      <c r="BT82" s="1111"/>
      <c r="BU82" s="1111"/>
      <c r="BV82" s="1111"/>
      <c r="BW82" s="1111"/>
      <c r="BX82" s="1111"/>
      <c r="BY82" s="1111"/>
      <c r="BZ82" s="1111"/>
      <c r="CA82" s="1111"/>
      <c r="CB82" s="1111"/>
      <c r="CC82" s="1111"/>
      <c r="CD82" s="1111"/>
      <c r="CE82" s="1111"/>
      <c r="CF82" s="1111"/>
      <c r="CG82" s="1111"/>
      <c r="CH82" s="1111"/>
      <c r="CI82" s="1111"/>
      <c r="CJ82" s="1111"/>
      <c r="CK82" s="1110"/>
    </row>
    <row r="83" spans="1:89" ht="14.4" x14ac:dyDescent="0.3">
      <c r="A83" s="1110"/>
      <c r="B83" s="1110"/>
      <c r="C83" s="1110"/>
      <c r="D83" s="1110"/>
      <c r="E83" s="1110"/>
      <c r="F83" s="1110"/>
      <c r="G83" s="1110"/>
      <c r="H83" s="1110"/>
      <c r="I83" s="1110"/>
      <c r="J83" s="1110"/>
      <c r="K83" s="1110"/>
      <c r="L83" s="1110"/>
      <c r="M83" s="1110"/>
      <c r="N83" s="1110"/>
      <c r="O83" s="1110"/>
      <c r="P83" s="1110"/>
      <c r="Q83" s="1110"/>
      <c r="R83" s="1110"/>
      <c r="S83" s="1110"/>
      <c r="T83" s="1111" t="s">
        <v>637</v>
      </c>
      <c r="U83" s="1111" t="s">
        <v>345</v>
      </c>
      <c r="V83" s="1180">
        <v>0.3</v>
      </c>
      <c r="W83" s="1180">
        <v>0.4</v>
      </c>
      <c r="X83" s="1180">
        <v>0.4</v>
      </c>
      <c r="Y83" s="1180">
        <v>0.3</v>
      </c>
      <c r="Z83" s="1180">
        <v>0.3</v>
      </c>
      <c r="AA83" s="1180">
        <v>0.4</v>
      </c>
      <c r="AB83" s="1180">
        <v>0.5</v>
      </c>
      <c r="AC83" s="1180">
        <v>0.5</v>
      </c>
      <c r="AD83" s="1111"/>
      <c r="AE83" s="1111"/>
      <c r="AF83" s="1111"/>
      <c r="AG83" s="1111"/>
      <c r="AH83" s="1111"/>
      <c r="AI83" s="1111"/>
      <c r="AJ83" s="1111"/>
      <c r="AK83" s="1111"/>
      <c r="AL83" s="1111"/>
      <c r="AM83" s="1111"/>
      <c r="AN83" s="1111"/>
      <c r="AO83" s="1111"/>
      <c r="AP83" s="1111"/>
      <c r="AQ83" s="1111"/>
      <c r="AR83" s="1111"/>
      <c r="AS83" s="1111"/>
      <c r="AT83" s="1111"/>
      <c r="AU83" s="1111"/>
      <c r="AV83" s="1111"/>
      <c r="AW83" s="1111"/>
      <c r="AX83" s="1111"/>
      <c r="AY83" s="1111"/>
      <c r="AZ83" s="1111"/>
      <c r="BA83" s="1111"/>
      <c r="BB83" s="1111"/>
      <c r="BC83" s="1111"/>
      <c r="BD83" s="1111"/>
      <c r="BE83" s="1111"/>
      <c r="BF83" s="1111"/>
      <c r="BG83" s="1111"/>
      <c r="BH83" s="1111"/>
      <c r="BI83" s="1111"/>
      <c r="BJ83" s="1111"/>
      <c r="BK83" s="1111"/>
      <c r="BL83" s="1111"/>
      <c r="BM83" s="1111"/>
      <c r="BN83" s="1111"/>
      <c r="BO83" s="1111"/>
      <c r="BP83" s="1111"/>
      <c r="BQ83" s="1111"/>
      <c r="BR83" s="1111"/>
      <c r="BS83" s="1111"/>
      <c r="BT83" s="1111"/>
      <c r="BU83" s="1111"/>
      <c r="BV83" s="1111"/>
      <c r="BW83" s="1111"/>
      <c r="BX83" s="1111"/>
      <c r="BY83" s="1111"/>
      <c r="BZ83" s="1111"/>
      <c r="CA83" s="1111"/>
      <c r="CB83" s="1111"/>
      <c r="CC83" s="1111"/>
      <c r="CD83" s="1111"/>
      <c r="CE83" s="1111"/>
      <c r="CF83" s="1111"/>
      <c r="CG83" s="1111"/>
      <c r="CH83" s="1111"/>
      <c r="CI83" s="1111"/>
      <c r="CJ83" s="1111"/>
      <c r="CK83" s="1110"/>
    </row>
    <row r="84" spans="1:89" ht="14.4" x14ac:dyDescent="0.3">
      <c r="A84" s="1110"/>
      <c r="B84" s="1110"/>
      <c r="C84" s="1110"/>
      <c r="D84" s="1110"/>
      <c r="E84" s="1110"/>
      <c r="F84" s="1110"/>
      <c r="G84" s="1110"/>
      <c r="H84" s="1110"/>
      <c r="I84" s="1110"/>
      <c r="J84" s="1110"/>
      <c r="K84" s="1110"/>
      <c r="L84" s="1110"/>
      <c r="M84" s="1110"/>
      <c r="N84" s="1110"/>
      <c r="O84" s="1110"/>
      <c r="P84" s="1110"/>
      <c r="Q84" s="1110"/>
      <c r="R84" s="1110">
        <f>26000/28000</f>
        <v>0.9285714285714286</v>
      </c>
      <c r="S84" s="1110"/>
      <c r="T84" s="1111" t="s">
        <v>638</v>
      </c>
      <c r="U84" s="1111" t="s">
        <v>346</v>
      </c>
      <c r="V84" s="1180">
        <v>0.1</v>
      </c>
      <c r="W84" s="1180">
        <v>0.1</v>
      </c>
      <c r="X84" s="1180">
        <v>0.1</v>
      </c>
      <c r="Y84" s="1180">
        <v>0.1</v>
      </c>
      <c r="Z84" s="1180">
        <v>0.1</v>
      </c>
      <c r="AA84" s="1180">
        <v>0.1</v>
      </c>
      <c r="AB84" s="1180">
        <v>0.2</v>
      </c>
      <c r="AC84" s="1180">
        <v>0.2</v>
      </c>
      <c r="AD84" s="1111"/>
      <c r="AE84" s="1111"/>
      <c r="AF84" s="1111"/>
      <c r="AG84" s="1111"/>
      <c r="AH84" s="1111"/>
      <c r="AI84" s="1111"/>
      <c r="AJ84" s="1111"/>
      <c r="AK84" s="1111"/>
      <c r="AL84" s="1111"/>
      <c r="AM84" s="1111"/>
      <c r="AN84" s="1111"/>
      <c r="AO84" s="1111"/>
      <c r="AP84" s="1111"/>
      <c r="AQ84" s="1111"/>
      <c r="AR84" s="1111"/>
      <c r="AS84" s="1111"/>
      <c r="AT84" s="1111"/>
      <c r="AU84" s="1111"/>
      <c r="AV84" s="1111"/>
      <c r="AW84" s="1111"/>
      <c r="AX84" s="1111"/>
      <c r="AY84" s="1111"/>
      <c r="AZ84" s="1111"/>
      <c r="BA84" s="1111"/>
      <c r="BB84" s="1111"/>
      <c r="BC84" s="1111"/>
      <c r="BD84" s="1111"/>
      <c r="BE84" s="1111"/>
      <c r="BF84" s="1111"/>
      <c r="BG84" s="1111"/>
      <c r="BH84" s="1111"/>
      <c r="BI84" s="1111"/>
      <c r="BJ84" s="1111"/>
      <c r="BK84" s="1111"/>
      <c r="BL84" s="1111"/>
      <c r="BM84" s="1111"/>
      <c r="BN84" s="1111"/>
      <c r="BO84" s="1111"/>
      <c r="BP84" s="1111"/>
      <c r="BQ84" s="1111"/>
      <c r="BR84" s="1111"/>
      <c r="BS84" s="1111"/>
      <c r="BT84" s="1111"/>
      <c r="BU84" s="1111"/>
      <c r="BV84" s="1111"/>
      <c r="BW84" s="1111"/>
      <c r="BX84" s="1111"/>
      <c r="BY84" s="1111"/>
      <c r="BZ84" s="1111"/>
      <c r="CA84" s="1111"/>
      <c r="CB84" s="1111"/>
      <c r="CC84" s="1111"/>
      <c r="CD84" s="1111"/>
      <c r="CE84" s="1111"/>
      <c r="CF84" s="1111"/>
      <c r="CG84" s="1111"/>
      <c r="CH84" s="1111"/>
      <c r="CI84" s="1111"/>
      <c r="CJ84" s="1111"/>
      <c r="CK84" s="1110"/>
    </row>
    <row r="85" spans="1:89" ht="14.4" x14ac:dyDescent="0.3">
      <c r="A85" s="1110"/>
      <c r="B85" s="1110"/>
      <c r="C85" s="1110"/>
      <c r="D85" s="1110"/>
      <c r="E85" s="1110"/>
      <c r="F85" s="1110"/>
      <c r="G85" s="1110"/>
      <c r="H85" s="1110"/>
      <c r="I85" s="1110"/>
      <c r="J85" s="1110"/>
      <c r="K85" s="1110"/>
      <c r="L85" s="1110"/>
      <c r="M85" s="1110"/>
      <c r="N85" s="1110"/>
      <c r="O85" s="1110"/>
      <c r="P85" s="1110"/>
      <c r="Q85" s="1110"/>
      <c r="R85" s="1110"/>
      <c r="S85" s="1110"/>
      <c r="T85" s="1111"/>
      <c r="U85" s="1111" t="s">
        <v>343</v>
      </c>
      <c r="V85" s="1180">
        <v>0.2</v>
      </c>
      <c r="W85" s="1180">
        <v>0.15</v>
      </c>
      <c r="X85" s="1180">
        <v>0.15</v>
      </c>
      <c r="Y85" s="1180">
        <v>0.2</v>
      </c>
      <c r="Z85" s="1180">
        <v>0.2</v>
      </c>
      <c r="AA85" s="1180">
        <v>0.15</v>
      </c>
      <c r="AB85" s="1180">
        <v>0.2</v>
      </c>
      <c r="AC85" s="1180">
        <v>0.2</v>
      </c>
      <c r="AD85" s="1111"/>
      <c r="AE85" s="1111"/>
      <c r="AF85" s="1111"/>
      <c r="AG85" s="1111"/>
      <c r="AH85" s="1111"/>
      <c r="AI85" s="1111"/>
      <c r="AJ85" s="1111"/>
      <c r="AK85" s="1111"/>
      <c r="AL85" s="1111"/>
      <c r="AM85" s="1111"/>
      <c r="AN85" s="1111"/>
      <c r="AO85" s="1111"/>
      <c r="AP85" s="1111"/>
      <c r="AQ85" s="1111"/>
      <c r="AR85" s="1111"/>
      <c r="AS85" s="1111"/>
      <c r="AT85" s="1111"/>
      <c r="AU85" s="1111"/>
      <c r="AV85" s="1111"/>
      <c r="AW85" s="1111"/>
      <c r="AX85" s="1111"/>
      <c r="AY85" s="1111"/>
      <c r="AZ85" s="1111"/>
      <c r="BA85" s="1111"/>
      <c r="BB85" s="1111"/>
      <c r="BC85" s="1111"/>
      <c r="BD85" s="1111"/>
      <c r="BE85" s="1111"/>
      <c r="BF85" s="1111"/>
      <c r="BG85" s="1111"/>
      <c r="BH85" s="1111"/>
      <c r="BI85" s="1111"/>
      <c r="BJ85" s="1111"/>
      <c r="BK85" s="1111"/>
      <c r="BL85" s="1111"/>
      <c r="BM85" s="1111"/>
      <c r="BN85" s="1111"/>
      <c r="BO85" s="1111"/>
      <c r="BP85" s="1111"/>
      <c r="BQ85" s="1111"/>
      <c r="BR85" s="1111"/>
      <c r="BS85" s="1111"/>
      <c r="BT85" s="1111"/>
      <c r="BU85" s="1111"/>
      <c r="BV85" s="1111"/>
      <c r="BW85" s="1111"/>
      <c r="BX85" s="1111"/>
      <c r="BY85" s="1111"/>
      <c r="BZ85" s="1111"/>
      <c r="CA85" s="1111"/>
      <c r="CB85" s="1111"/>
      <c r="CC85" s="1111"/>
      <c r="CD85" s="1111"/>
      <c r="CE85" s="1111"/>
      <c r="CF85" s="1111"/>
      <c r="CG85" s="1111"/>
      <c r="CH85" s="1111"/>
      <c r="CI85" s="1111"/>
      <c r="CJ85" s="1111"/>
      <c r="CK85" s="1110"/>
    </row>
    <row r="86" spans="1:89" ht="14.4" x14ac:dyDescent="0.3">
      <c r="A86" s="1110"/>
      <c r="B86" s="1110"/>
      <c r="C86" s="1110"/>
      <c r="D86" s="1110"/>
      <c r="E86" s="1110"/>
      <c r="F86" s="1110"/>
      <c r="G86" s="1110"/>
      <c r="H86" s="1110"/>
      <c r="I86" s="1110"/>
      <c r="J86" s="1110"/>
      <c r="K86" s="1110"/>
      <c r="L86" s="1110"/>
      <c r="M86" s="1110"/>
      <c r="N86" s="1110"/>
      <c r="O86" s="1110"/>
      <c r="P86" s="1110"/>
      <c r="Q86" s="1110"/>
      <c r="R86" s="1110"/>
      <c r="S86" s="1110"/>
      <c r="T86" s="1111"/>
      <c r="U86" s="1111" t="s">
        <v>342</v>
      </c>
      <c r="V86" s="1180">
        <v>0.25</v>
      </c>
      <c r="W86" s="1180">
        <v>0.15</v>
      </c>
      <c r="X86" s="1180">
        <v>0.15</v>
      </c>
      <c r="Y86" s="1180">
        <v>0.25</v>
      </c>
      <c r="Z86" s="1180">
        <v>0.25</v>
      </c>
      <c r="AA86" s="1180">
        <v>0.15</v>
      </c>
      <c r="AB86" s="1180">
        <v>0.05</v>
      </c>
      <c r="AC86" s="1180">
        <v>0.05</v>
      </c>
      <c r="AD86" s="1111"/>
      <c r="AE86" s="1111"/>
      <c r="AF86" s="1111"/>
      <c r="AG86" s="1111"/>
      <c r="AH86" s="1111"/>
      <c r="AI86" s="1111"/>
      <c r="AJ86" s="1111"/>
      <c r="AK86" s="1111"/>
      <c r="AL86" s="1111"/>
      <c r="AM86" s="1111"/>
      <c r="AN86" s="1111"/>
      <c r="AO86" s="1111"/>
      <c r="AP86" s="1111"/>
      <c r="AQ86" s="1111"/>
      <c r="AR86" s="1111"/>
      <c r="AS86" s="1111"/>
      <c r="AT86" s="1111"/>
      <c r="AU86" s="1111"/>
      <c r="AV86" s="1111"/>
      <c r="AW86" s="1111"/>
      <c r="AX86" s="1111"/>
      <c r="AY86" s="1111"/>
      <c r="AZ86" s="1111"/>
      <c r="BA86" s="1111"/>
      <c r="BB86" s="1111"/>
      <c r="BC86" s="1111"/>
      <c r="BD86" s="1111"/>
      <c r="BE86" s="1111"/>
      <c r="BF86" s="1111"/>
      <c r="BG86" s="1111"/>
      <c r="BH86" s="1111"/>
      <c r="BI86" s="1111"/>
      <c r="BJ86" s="1111"/>
      <c r="BK86" s="1111"/>
      <c r="BL86" s="1111"/>
      <c r="BM86" s="1111"/>
      <c r="BN86" s="1111"/>
      <c r="BO86" s="1111"/>
      <c r="BP86" s="1111"/>
      <c r="BQ86" s="1111"/>
      <c r="BR86" s="1111"/>
      <c r="BS86" s="1111"/>
      <c r="BT86" s="1111"/>
      <c r="BU86" s="1111"/>
      <c r="BV86" s="1111"/>
      <c r="BW86" s="1111"/>
      <c r="BX86" s="1111"/>
      <c r="BY86" s="1111"/>
      <c r="BZ86" s="1111"/>
      <c r="CA86" s="1111"/>
      <c r="CB86" s="1111"/>
      <c r="CC86" s="1111"/>
      <c r="CD86" s="1111"/>
      <c r="CE86" s="1111"/>
      <c r="CF86" s="1111"/>
      <c r="CG86" s="1111"/>
      <c r="CH86" s="1111"/>
      <c r="CI86" s="1111"/>
      <c r="CJ86" s="1111"/>
      <c r="CK86" s="1110"/>
    </row>
    <row r="87" spans="1:89" ht="14.4" x14ac:dyDescent="0.3">
      <c r="A87" s="1110"/>
      <c r="B87" s="1110"/>
      <c r="C87" s="1110"/>
      <c r="D87" s="1110"/>
      <c r="E87" s="1110"/>
      <c r="F87" s="1110"/>
      <c r="G87" s="1110"/>
      <c r="H87" s="1110"/>
      <c r="I87" s="1110"/>
      <c r="J87" s="1110"/>
      <c r="K87" s="1110"/>
      <c r="L87" s="1110"/>
      <c r="M87" s="1110"/>
      <c r="N87" s="1110"/>
      <c r="O87" s="1110"/>
      <c r="P87" s="1110"/>
      <c r="Q87" s="1110"/>
      <c r="R87" s="1110"/>
      <c r="S87" s="1110"/>
      <c r="T87" s="1111"/>
      <c r="U87" s="1111" t="s">
        <v>341</v>
      </c>
      <c r="V87" s="1180">
        <v>0.25</v>
      </c>
      <c r="W87" s="1180">
        <v>0.18</v>
      </c>
      <c r="X87" s="1180">
        <v>0.18</v>
      </c>
      <c r="Y87" s="1180">
        <v>0.1</v>
      </c>
      <c r="Z87" s="1180">
        <v>0.1</v>
      </c>
      <c r="AA87" s="1180">
        <v>0.1</v>
      </c>
      <c r="AB87" s="1180">
        <v>0.1</v>
      </c>
      <c r="AC87" s="1180">
        <v>0.1</v>
      </c>
      <c r="AD87" s="1111"/>
      <c r="AE87" s="1111"/>
      <c r="AF87" s="1111"/>
      <c r="AG87" s="1111"/>
      <c r="AH87" s="1111"/>
      <c r="AI87" s="1111"/>
      <c r="AJ87" s="1111"/>
      <c r="AK87" s="1111"/>
      <c r="AL87" s="1111"/>
      <c r="AM87" s="1111"/>
      <c r="AN87" s="1111"/>
      <c r="AO87" s="1111"/>
      <c r="AP87" s="1111"/>
      <c r="AQ87" s="1111"/>
      <c r="AR87" s="1111"/>
      <c r="AS87" s="1111"/>
      <c r="AT87" s="1111"/>
      <c r="AU87" s="1111"/>
      <c r="AV87" s="1111"/>
      <c r="AW87" s="1111"/>
      <c r="AX87" s="1111"/>
      <c r="AY87" s="1111"/>
      <c r="AZ87" s="1111"/>
      <c r="BA87" s="1111"/>
      <c r="BB87" s="1111"/>
      <c r="BC87" s="1111"/>
      <c r="BD87" s="1111"/>
      <c r="BE87" s="1111"/>
      <c r="BF87" s="1111"/>
      <c r="BG87" s="1111"/>
      <c r="BH87" s="1111"/>
      <c r="BI87" s="1111"/>
      <c r="BJ87" s="1111"/>
      <c r="BK87" s="1111"/>
      <c r="BL87" s="1111"/>
      <c r="BM87" s="1111"/>
      <c r="BN87" s="1111"/>
      <c r="BO87" s="1111"/>
      <c r="BP87" s="1111"/>
      <c r="BQ87" s="1111"/>
      <c r="BR87" s="1111"/>
      <c r="BS87" s="1111"/>
      <c r="BT87" s="1111"/>
      <c r="BU87" s="1111"/>
      <c r="BV87" s="1111"/>
      <c r="BW87" s="1111"/>
      <c r="BX87" s="1111"/>
      <c r="BY87" s="1111"/>
      <c r="BZ87" s="1111"/>
      <c r="CA87" s="1111"/>
      <c r="CB87" s="1111"/>
      <c r="CC87" s="1111"/>
      <c r="CD87" s="1111"/>
      <c r="CE87" s="1111"/>
      <c r="CF87" s="1111"/>
      <c r="CG87" s="1111"/>
      <c r="CH87" s="1111"/>
      <c r="CI87" s="1111"/>
      <c r="CJ87" s="1111"/>
      <c r="CK87" s="1110"/>
    </row>
    <row r="88" spans="1:89" ht="14.4" x14ac:dyDescent="0.3">
      <c r="A88" s="1110"/>
      <c r="B88" s="1110"/>
      <c r="C88" s="1110"/>
      <c r="D88" s="1110"/>
      <c r="E88" s="1110"/>
      <c r="F88" s="1110"/>
      <c r="G88" s="1110"/>
      <c r="H88" s="1110"/>
      <c r="I88" s="1110"/>
      <c r="J88" s="1110"/>
      <c r="K88" s="1110"/>
      <c r="L88" s="1110"/>
      <c r="M88" s="1110"/>
      <c r="N88" s="1110"/>
      <c r="O88" s="1110"/>
      <c r="P88" s="1110"/>
      <c r="Q88" s="1110"/>
      <c r="R88" s="1110"/>
      <c r="S88" s="1110"/>
      <c r="T88" s="1111"/>
      <c r="U88" s="1111" t="s">
        <v>340</v>
      </c>
      <c r="V88" s="1180">
        <v>0.25</v>
      </c>
      <c r="W88" s="1180">
        <v>0.18</v>
      </c>
      <c r="X88" s="1180">
        <v>0.18</v>
      </c>
      <c r="Y88" s="1180">
        <v>0.1</v>
      </c>
      <c r="Z88" s="1180">
        <v>0.1</v>
      </c>
      <c r="AA88" s="1180">
        <v>0.1</v>
      </c>
      <c r="AB88" s="1180">
        <v>0.1</v>
      </c>
      <c r="AC88" s="1180">
        <v>0.1</v>
      </c>
      <c r="AD88" s="1111"/>
      <c r="AE88" s="1111"/>
      <c r="AF88" s="1111"/>
      <c r="AG88" s="1111"/>
      <c r="AH88" s="1111"/>
      <c r="AI88" s="1111"/>
      <c r="AJ88" s="1111"/>
      <c r="AK88" s="1111"/>
      <c r="AL88" s="1111"/>
      <c r="AM88" s="1111"/>
      <c r="AN88" s="1111"/>
      <c r="AO88" s="1111"/>
      <c r="AP88" s="1111"/>
      <c r="AQ88" s="1111"/>
      <c r="AR88" s="1111"/>
      <c r="AS88" s="1111"/>
      <c r="AT88" s="1111"/>
      <c r="AU88" s="1111"/>
      <c r="AV88" s="1111"/>
      <c r="AW88" s="1111"/>
      <c r="AX88" s="1111"/>
      <c r="AY88" s="1111"/>
      <c r="AZ88" s="1111"/>
      <c r="BA88" s="1111"/>
      <c r="BB88" s="1111"/>
      <c r="BC88" s="1111"/>
      <c r="BD88" s="1111"/>
      <c r="BE88" s="1111"/>
      <c r="BF88" s="1111"/>
      <c r="BG88" s="1111"/>
      <c r="BH88" s="1111"/>
      <c r="BI88" s="1111"/>
      <c r="BJ88" s="1111"/>
      <c r="BK88" s="1111"/>
      <c r="BL88" s="1111"/>
      <c r="BM88" s="1111"/>
      <c r="BN88" s="1111"/>
      <c r="BO88" s="1111"/>
      <c r="BP88" s="1111"/>
      <c r="BQ88" s="1111"/>
      <c r="BR88" s="1111"/>
      <c r="BS88" s="1111"/>
      <c r="BT88" s="1111"/>
      <c r="BU88" s="1111"/>
      <c r="BV88" s="1111"/>
      <c r="BW88" s="1111"/>
      <c r="BX88" s="1111"/>
      <c r="BY88" s="1111"/>
      <c r="BZ88" s="1111"/>
      <c r="CA88" s="1111"/>
      <c r="CB88" s="1111"/>
      <c r="CC88" s="1111"/>
      <c r="CD88" s="1111"/>
      <c r="CE88" s="1111"/>
      <c r="CF88" s="1111"/>
      <c r="CG88" s="1111"/>
      <c r="CH88" s="1111"/>
      <c r="CI88" s="1111"/>
      <c r="CJ88" s="1111"/>
      <c r="CK88" s="1110"/>
    </row>
    <row r="89" spans="1:89" ht="14.4" x14ac:dyDescent="0.3">
      <c r="A89" s="1110"/>
      <c r="B89" s="1110"/>
      <c r="C89" s="1110"/>
      <c r="D89" s="1110"/>
      <c r="E89" s="1110"/>
      <c r="F89" s="1110"/>
      <c r="G89" s="1110"/>
      <c r="H89" s="1110"/>
      <c r="I89" s="1110"/>
      <c r="J89" s="1110"/>
      <c r="K89" s="1110"/>
      <c r="L89" s="1110"/>
      <c r="M89" s="1110"/>
      <c r="N89" s="1110"/>
      <c r="O89" s="1110"/>
      <c r="P89" s="1110"/>
      <c r="Q89" s="1110"/>
      <c r="R89" s="1110"/>
      <c r="S89" s="1110"/>
      <c r="T89" s="1111"/>
      <c r="U89" s="1111" t="s">
        <v>339</v>
      </c>
      <c r="V89" s="1180">
        <v>0.25</v>
      </c>
      <c r="W89" s="1180">
        <v>0.25</v>
      </c>
      <c r="X89" s="1180">
        <v>0.25</v>
      </c>
      <c r="Y89" s="1180">
        <v>0.25</v>
      </c>
      <c r="Z89" s="1180">
        <v>0.25</v>
      </c>
      <c r="AA89" s="1180">
        <v>0.25</v>
      </c>
      <c r="AB89" s="1180">
        <v>0.15</v>
      </c>
      <c r="AC89" s="1180">
        <v>0.15</v>
      </c>
      <c r="AD89" s="1111"/>
      <c r="AE89" s="1111"/>
      <c r="AF89" s="1111"/>
      <c r="AG89" s="1111"/>
      <c r="AH89" s="1111"/>
      <c r="AI89" s="1111"/>
      <c r="AJ89" s="1111"/>
      <c r="AK89" s="1111"/>
      <c r="AL89" s="1111"/>
      <c r="AM89" s="1111"/>
      <c r="AN89" s="1111"/>
      <c r="AO89" s="1111"/>
      <c r="AP89" s="1111"/>
      <c r="AQ89" s="1111"/>
      <c r="AR89" s="1111"/>
      <c r="AS89" s="1111"/>
      <c r="AT89" s="1111"/>
      <c r="AU89" s="1111"/>
      <c r="AV89" s="1111"/>
      <c r="AW89" s="1111"/>
      <c r="AX89" s="1111"/>
      <c r="AY89" s="1111"/>
      <c r="AZ89" s="1111"/>
      <c r="BA89" s="1111"/>
      <c r="BB89" s="1111"/>
      <c r="BC89" s="1111"/>
      <c r="BD89" s="1111"/>
      <c r="BE89" s="1111"/>
      <c r="BF89" s="1111"/>
      <c r="BG89" s="1111"/>
      <c r="BH89" s="1111"/>
      <c r="BI89" s="1111"/>
      <c r="BJ89" s="1111"/>
      <c r="BK89" s="1111"/>
      <c r="BL89" s="1111"/>
      <c r="BM89" s="1111"/>
      <c r="BN89" s="1111"/>
      <c r="BO89" s="1111"/>
      <c r="BP89" s="1111"/>
      <c r="BQ89" s="1111"/>
      <c r="BR89" s="1111"/>
      <c r="BS89" s="1111"/>
      <c r="BT89" s="1111"/>
      <c r="BU89" s="1111"/>
      <c r="BV89" s="1111"/>
      <c r="BW89" s="1111"/>
      <c r="BX89" s="1111"/>
      <c r="BY89" s="1111"/>
      <c r="BZ89" s="1111"/>
      <c r="CA89" s="1111"/>
      <c r="CB89" s="1111"/>
      <c r="CC89" s="1111"/>
      <c r="CD89" s="1111"/>
      <c r="CE89" s="1111"/>
      <c r="CF89" s="1111"/>
      <c r="CG89" s="1111"/>
      <c r="CH89" s="1111"/>
      <c r="CI89" s="1111"/>
      <c r="CJ89" s="1111"/>
      <c r="CK89" s="1110"/>
    </row>
    <row r="90" spans="1:89" ht="14.4" x14ac:dyDescent="0.3">
      <c r="A90" s="1110"/>
      <c r="B90" s="1110"/>
      <c r="C90" s="1110"/>
      <c r="D90" s="1110"/>
      <c r="E90" s="1110"/>
      <c r="F90" s="1110"/>
      <c r="G90" s="1110"/>
      <c r="H90" s="1110"/>
      <c r="I90" s="1110"/>
      <c r="J90" s="1110"/>
      <c r="K90" s="1110"/>
      <c r="L90" s="1110"/>
      <c r="M90" s="1110"/>
      <c r="N90" s="1110"/>
      <c r="O90" s="1110"/>
      <c r="P90" s="1110"/>
      <c r="Q90" s="1110"/>
      <c r="R90" s="1110"/>
      <c r="S90" s="1110"/>
      <c r="T90" s="1111"/>
      <c r="U90" s="1111" t="s">
        <v>355</v>
      </c>
      <c r="V90" s="1180">
        <v>0.02</v>
      </c>
      <c r="W90" s="1180">
        <v>7.0000000000000007E-2</v>
      </c>
      <c r="X90" s="1180">
        <v>7.0000000000000007E-2</v>
      </c>
      <c r="Y90" s="1180">
        <v>0.17</v>
      </c>
      <c r="Z90" s="1180">
        <v>0.17</v>
      </c>
      <c r="AA90" s="1180">
        <v>0.25</v>
      </c>
      <c r="AB90" s="1180">
        <v>0.05</v>
      </c>
      <c r="AC90" s="1180">
        <v>0.05</v>
      </c>
      <c r="AD90" s="1111"/>
      <c r="AE90" s="1111"/>
      <c r="AF90" s="1111"/>
      <c r="AG90" s="1111"/>
      <c r="AH90" s="1111"/>
      <c r="AI90" s="1111"/>
      <c r="AJ90" s="1111"/>
      <c r="AK90" s="1111"/>
      <c r="AL90" s="1111"/>
      <c r="AM90" s="1111"/>
      <c r="AN90" s="1111"/>
      <c r="AO90" s="1111"/>
      <c r="AP90" s="1111"/>
      <c r="AQ90" s="1111"/>
      <c r="AR90" s="1111"/>
      <c r="AS90" s="1111"/>
      <c r="AT90" s="1111"/>
      <c r="AU90" s="1111"/>
      <c r="AV90" s="1111"/>
      <c r="AW90" s="1111"/>
      <c r="AX90" s="1111"/>
      <c r="AY90" s="1111"/>
      <c r="AZ90" s="1111"/>
      <c r="BA90" s="1111"/>
      <c r="BB90" s="1111"/>
      <c r="BC90" s="1111"/>
      <c r="BD90" s="1111"/>
      <c r="BE90" s="1111"/>
      <c r="BF90" s="1111"/>
      <c r="BG90" s="1111"/>
      <c r="BH90" s="1111"/>
      <c r="BI90" s="1111"/>
      <c r="BJ90" s="1111"/>
      <c r="BK90" s="1111"/>
      <c r="BL90" s="1111"/>
      <c r="BM90" s="1111"/>
      <c r="BN90" s="1111"/>
      <c r="BO90" s="1111"/>
      <c r="BP90" s="1111"/>
      <c r="BQ90" s="1111"/>
      <c r="BR90" s="1111"/>
      <c r="BS90" s="1111"/>
      <c r="BT90" s="1111"/>
      <c r="BU90" s="1111"/>
      <c r="BV90" s="1111"/>
      <c r="BW90" s="1111"/>
      <c r="BX90" s="1111"/>
      <c r="BY90" s="1111"/>
      <c r="BZ90" s="1111"/>
      <c r="CA90" s="1111"/>
      <c r="CB90" s="1111"/>
      <c r="CC90" s="1111"/>
      <c r="CD90" s="1111"/>
      <c r="CE90" s="1111"/>
      <c r="CF90" s="1111"/>
      <c r="CG90" s="1111"/>
      <c r="CH90" s="1111"/>
      <c r="CI90" s="1111"/>
      <c r="CJ90" s="1111"/>
      <c r="CK90" s="1110"/>
    </row>
    <row r="91" spans="1:89" ht="14.4" x14ac:dyDescent="0.3">
      <c r="A91" s="1110"/>
      <c r="B91" s="1110"/>
      <c r="C91" s="1110"/>
      <c r="D91" s="1110"/>
      <c r="E91" s="1110"/>
      <c r="F91" s="1110"/>
      <c r="G91" s="1110"/>
      <c r="H91" s="1110"/>
      <c r="I91" s="1110"/>
      <c r="J91" s="1110"/>
      <c r="K91" s="1110"/>
      <c r="L91" s="1110"/>
      <c r="M91" s="1110"/>
      <c r="N91" s="1110"/>
      <c r="O91" s="1110"/>
      <c r="P91" s="1110"/>
      <c r="Q91" s="1110"/>
      <c r="R91" s="1110"/>
      <c r="S91" s="1110"/>
      <c r="T91" s="1111"/>
      <c r="U91" s="1111" t="s">
        <v>356</v>
      </c>
      <c r="V91" s="1180">
        <v>0.02</v>
      </c>
      <c r="W91" s="1180">
        <v>7.0000000000000007E-2</v>
      </c>
      <c r="X91" s="1180">
        <v>7.0000000000000007E-2</v>
      </c>
      <c r="Y91" s="1180">
        <v>0.06</v>
      </c>
      <c r="Z91" s="1180">
        <v>0.06</v>
      </c>
      <c r="AA91" s="1180">
        <v>0.22</v>
      </c>
      <c r="AB91" s="1180">
        <v>0.04</v>
      </c>
      <c r="AC91" s="1180">
        <v>0.05</v>
      </c>
      <c r="AD91" s="1111"/>
      <c r="AE91" s="1111"/>
      <c r="AF91" s="1111"/>
      <c r="AG91" s="1111"/>
      <c r="AH91" s="1111"/>
      <c r="AI91" s="1111"/>
      <c r="AJ91" s="1111"/>
      <c r="AK91" s="1111"/>
      <c r="AL91" s="1111"/>
      <c r="AM91" s="1111"/>
      <c r="AN91" s="1111"/>
      <c r="AO91" s="1111"/>
      <c r="AP91" s="1111"/>
      <c r="AQ91" s="1111"/>
      <c r="AR91" s="1111"/>
      <c r="AS91" s="1111"/>
      <c r="AT91" s="1111"/>
      <c r="AU91" s="1111"/>
      <c r="AV91" s="1111"/>
      <c r="AW91" s="1111"/>
      <c r="AX91" s="1111"/>
      <c r="AY91" s="1111"/>
      <c r="AZ91" s="1111"/>
      <c r="BA91" s="1111"/>
      <c r="BB91" s="1111"/>
      <c r="BC91" s="1111"/>
      <c r="BD91" s="1111"/>
      <c r="BE91" s="1111"/>
      <c r="BF91" s="1111"/>
      <c r="BG91" s="1111"/>
      <c r="BH91" s="1111"/>
      <c r="BI91" s="1111"/>
      <c r="BJ91" s="1111"/>
      <c r="BK91" s="1111"/>
      <c r="BL91" s="1111"/>
      <c r="BM91" s="1111"/>
      <c r="BN91" s="1111"/>
      <c r="BO91" s="1111"/>
      <c r="BP91" s="1111"/>
      <c r="BQ91" s="1111"/>
      <c r="BR91" s="1111"/>
      <c r="BS91" s="1111"/>
      <c r="BT91" s="1111"/>
      <c r="BU91" s="1111"/>
      <c r="BV91" s="1111"/>
      <c r="BW91" s="1111"/>
      <c r="BX91" s="1111"/>
      <c r="BY91" s="1111"/>
      <c r="BZ91" s="1111"/>
      <c r="CA91" s="1111"/>
      <c r="CB91" s="1111"/>
      <c r="CC91" s="1111"/>
      <c r="CD91" s="1111"/>
      <c r="CE91" s="1111"/>
      <c r="CF91" s="1111"/>
      <c r="CG91" s="1111"/>
      <c r="CH91" s="1111"/>
      <c r="CI91" s="1111"/>
      <c r="CJ91" s="1111"/>
      <c r="CK91" s="1110"/>
    </row>
    <row r="92" spans="1:89" ht="14.4" x14ac:dyDescent="0.3">
      <c r="A92" s="1110"/>
      <c r="B92" s="1110"/>
      <c r="C92" s="1110"/>
      <c r="D92" s="1110"/>
      <c r="E92" s="1110"/>
      <c r="F92" s="1110"/>
      <c r="G92" s="1110"/>
      <c r="H92" s="1110"/>
      <c r="I92" s="1110"/>
      <c r="J92" s="1110"/>
      <c r="K92" s="1110"/>
      <c r="L92" s="1110"/>
      <c r="M92" s="1110"/>
      <c r="N92" s="1110"/>
      <c r="O92" s="1110"/>
      <c r="P92" s="1110"/>
      <c r="Q92" s="1110"/>
      <c r="R92" s="1110"/>
      <c r="S92" s="1110"/>
      <c r="T92" s="1111"/>
      <c r="U92" s="1111" t="s">
        <v>357</v>
      </c>
      <c r="V92" s="1180">
        <v>0.02</v>
      </c>
      <c r="W92" s="1180">
        <v>0.02</v>
      </c>
      <c r="X92" s="1180">
        <v>0.06</v>
      </c>
      <c r="Y92" s="1180">
        <v>0.02</v>
      </c>
      <c r="Z92" s="1180">
        <v>0.02</v>
      </c>
      <c r="AA92" s="1180">
        <v>0.15</v>
      </c>
      <c r="AB92" s="1180">
        <v>0.06</v>
      </c>
      <c r="AC92" s="1180">
        <v>0.08</v>
      </c>
      <c r="AD92" s="1111"/>
      <c r="AE92" s="1111"/>
      <c r="AF92" s="1111"/>
      <c r="AG92" s="1111"/>
      <c r="AH92" s="1111"/>
      <c r="AI92" s="1111"/>
      <c r="AJ92" s="1111"/>
      <c r="AK92" s="1111"/>
      <c r="AL92" s="1111"/>
      <c r="AM92" s="1111"/>
      <c r="AN92" s="1111"/>
      <c r="AO92" s="1111"/>
      <c r="AP92" s="1111"/>
      <c r="AQ92" s="1111"/>
      <c r="AR92" s="1111"/>
      <c r="AS92" s="1111"/>
      <c r="AT92" s="1111"/>
      <c r="AU92" s="1111"/>
      <c r="AV92" s="1111"/>
      <c r="AW92" s="1111"/>
      <c r="AX92" s="1111"/>
      <c r="AY92" s="1111"/>
      <c r="AZ92" s="1111"/>
      <c r="BA92" s="1111"/>
      <c r="BB92" s="1111"/>
      <c r="BC92" s="1111"/>
      <c r="BD92" s="1111"/>
      <c r="BE92" s="1111"/>
      <c r="BF92" s="1111"/>
      <c r="BG92" s="1111"/>
      <c r="BH92" s="1111"/>
      <c r="BI92" s="1111"/>
      <c r="BJ92" s="1111"/>
      <c r="BK92" s="1111"/>
      <c r="BL92" s="1111"/>
      <c r="BM92" s="1111"/>
      <c r="BN92" s="1111"/>
      <c r="BO92" s="1111"/>
      <c r="BP92" s="1111"/>
      <c r="BQ92" s="1111"/>
      <c r="BR92" s="1111"/>
      <c r="BS92" s="1111"/>
      <c r="BT92" s="1111"/>
      <c r="BU92" s="1111"/>
      <c r="BV92" s="1111"/>
      <c r="BW92" s="1111"/>
      <c r="BX92" s="1111"/>
      <c r="BY92" s="1111"/>
      <c r="BZ92" s="1111"/>
      <c r="CA92" s="1111"/>
      <c r="CB92" s="1111"/>
      <c r="CC92" s="1111"/>
      <c r="CD92" s="1111"/>
      <c r="CE92" s="1111"/>
      <c r="CF92" s="1111"/>
      <c r="CG92" s="1111"/>
      <c r="CH92" s="1111"/>
      <c r="CI92" s="1111"/>
      <c r="CJ92" s="1111"/>
      <c r="CK92" s="1110"/>
    </row>
    <row r="93" spans="1:89" ht="14.4" x14ac:dyDescent="0.3">
      <c r="A93" s="1110"/>
      <c r="B93" s="1110"/>
      <c r="C93" s="1110"/>
      <c r="D93" s="1110"/>
      <c r="E93" s="1110"/>
      <c r="F93" s="1110"/>
      <c r="G93" s="1110"/>
      <c r="H93" s="1110"/>
      <c r="I93" s="1110"/>
      <c r="J93" s="1110"/>
      <c r="K93" s="1110"/>
      <c r="L93" s="1110"/>
      <c r="M93" s="1110"/>
      <c r="N93" s="1110"/>
      <c r="O93" s="1110"/>
      <c r="P93" s="1110"/>
      <c r="Q93" s="1110"/>
      <c r="R93" s="1110"/>
      <c r="S93" s="1110"/>
      <c r="T93" s="1111"/>
      <c r="U93" s="1111" t="s">
        <v>347</v>
      </c>
      <c r="V93" s="1180">
        <v>0.42</v>
      </c>
      <c r="W93" s="1180">
        <v>0.5</v>
      </c>
      <c r="X93" s="1180">
        <v>0.5</v>
      </c>
      <c r="Y93" s="1180">
        <v>0.42</v>
      </c>
      <c r="Z93" s="1180">
        <v>0.42</v>
      </c>
      <c r="AA93" s="1180">
        <v>0.5</v>
      </c>
      <c r="AB93" s="1180">
        <v>0.7</v>
      </c>
      <c r="AC93" s="1180">
        <v>0.7</v>
      </c>
      <c r="AD93" s="1111"/>
      <c r="AE93" s="1111"/>
      <c r="AF93" s="1111"/>
      <c r="AG93" s="1111"/>
      <c r="AH93" s="1111"/>
      <c r="AI93" s="1111"/>
      <c r="AJ93" s="1111"/>
      <c r="AK93" s="1111"/>
      <c r="AL93" s="1111"/>
      <c r="AM93" s="1111"/>
      <c r="AN93" s="1111"/>
      <c r="AO93" s="1111"/>
      <c r="AP93" s="1111"/>
      <c r="AQ93" s="1111"/>
      <c r="AR93" s="1111"/>
      <c r="AS93" s="1111"/>
      <c r="AT93" s="1111"/>
      <c r="AU93" s="1111"/>
      <c r="AV93" s="1111"/>
      <c r="AW93" s="1111"/>
      <c r="AX93" s="1111"/>
      <c r="AY93" s="1111"/>
      <c r="AZ93" s="1111"/>
      <c r="BA93" s="1111"/>
      <c r="BB93" s="1111"/>
      <c r="BC93" s="1111"/>
      <c r="BD93" s="1111"/>
      <c r="BE93" s="1111"/>
      <c r="BF93" s="1111"/>
      <c r="BG93" s="1111"/>
      <c r="BH93" s="1111"/>
      <c r="BI93" s="1111"/>
      <c r="BJ93" s="1111"/>
      <c r="BK93" s="1111"/>
      <c r="BL93" s="1111"/>
      <c r="BM93" s="1111"/>
      <c r="BN93" s="1111"/>
      <c r="BO93" s="1111"/>
      <c r="BP93" s="1111"/>
      <c r="BQ93" s="1111"/>
      <c r="BR93" s="1111"/>
      <c r="BS93" s="1111"/>
      <c r="BT93" s="1111"/>
      <c r="BU93" s="1111"/>
      <c r="BV93" s="1111"/>
      <c r="BW93" s="1111"/>
      <c r="BX93" s="1111"/>
      <c r="BY93" s="1111"/>
      <c r="BZ93" s="1111"/>
      <c r="CA93" s="1111"/>
      <c r="CB93" s="1111"/>
      <c r="CC93" s="1111"/>
      <c r="CD93" s="1111"/>
      <c r="CE93" s="1111"/>
      <c r="CF93" s="1111"/>
      <c r="CG93" s="1111"/>
      <c r="CH93" s="1111"/>
      <c r="CI93" s="1111"/>
      <c r="CJ93" s="1111"/>
      <c r="CK93" s="1110"/>
    </row>
    <row r="94" spans="1:89" ht="14.4" x14ac:dyDescent="0.3">
      <c r="A94" s="1110"/>
      <c r="B94" s="1110"/>
      <c r="C94" s="1110"/>
      <c r="D94" s="1110"/>
      <c r="E94" s="1110"/>
      <c r="F94" s="1110"/>
      <c r="G94" s="1110"/>
      <c r="H94" s="1110"/>
      <c r="I94" s="1110"/>
      <c r="J94" s="1110"/>
      <c r="K94" s="1110"/>
      <c r="L94" s="1110"/>
      <c r="M94" s="1110"/>
      <c r="N94" s="1110"/>
      <c r="O94" s="1110"/>
      <c r="P94" s="1110"/>
      <c r="Q94" s="1110"/>
      <c r="R94" s="1110"/>
      <c r="S94" s="1110"/>
      <c r="T94" s="1111"/>
      <c r="U94" s="1111" t="s">
        <v>348</v>
      </c>
      <c r="V94" s="1180">
        <v>0.08</v>
      </c>
      <c r="W94" s="1180">
        <v>0.22</v>
      </c>
      <c r="X94" s="1180">
        <v>0.4</v>
      </c>
      <c r="Y94" s="1180">
        <v>0.08</v>
      </c>
      <c r="Z94" s="1180">
        <v>0.08</v>
      </c>
      <c r="AA94" s="1180">
        <v>0.4</v>
      </c>
      <c r="AB94" s="1180">
        <v>0.1</v>
      </c>
      <c r="AC94" s="1180">
        <v>0.5</v>
      </c>
      <c r="AD94" s="1111"/>
      <c r="AE94" s="1111"/>
      <c r="AF94" s="1111"/>
      <c r="AG94" s="1111"/>
      <c r="AH94" s="1111"/>
      <c r="AI94" s="1111"/>
      <c r="AJ94" s="1111"/>
      <c r="AK94" s="1111"/>
      <c r="AL94" s="1111"/>
      <c r="AM94" s="1111"/>
      <c r="AN94" s="1111"/>
      <c r="AO94" s="1111"/>
      <c r="AP94" s="1111"/>
      <c r="AQ94" s="1111"/>
      <c r="AR94" s="1111"/>
      <c r="AS94" s="1111"/>
      <c r="AT94" s="1111"/>
      <c r="AU94" s="1111"/>
      <c r="AV94" s="1111"/>
      <c r="AW94" s="1111"/>
      <c r="AX94" s="1111"/>
      <c r="AY94" s="1111"/>
      <c r="AZ94" s="1111"/>
      <c r="BA94" s="1111"/>
      <c r="BB94" s="1111"/>
      <c r="BC94" s="1111"/>
      <c r="BD94" s="1111"/>
      <c r="BE94" s="1111"/>
      <c r="BF94" s="1111"/>
      <c r="BG94" s="1111"/>
      <c r="BH94" s="1111"/>
      <c r="BI94" s="1111"/>
      <c r="BJ94" s="1111"/>
      <c r="BK94" s="1111"/>
      <c r="BL94" s="1111"/>
      <c r="BM94" s="1111"/>
      <c r="BN94" s="1111"/>
      <c r="BO94" s="1111"/>
      <c r="BP94" s="1111"/>
      <c r="BQ94" s="1111"/>
      <c r="BR94" s="1111"/>
      <c r="BS94" s="1111"/>
      <c r="BT94" s="1111"/>
      <c r="BU94" s="1111"/>
      <c r="BV94" s="1111"/>
      <c r="BW94" s="1111"/>
      <c r="BX94" s="1111"/>
      <c r="BY94" s="1111"/>
      <c r="BZ94" s="1111"/>
      <c r="CA94" s="1111"/>
      <c r="CB94" s="1111"/>
      <c r="CC94" s="1111"/>
      <c r="CD94" s="1111"/>
      <c r="CE94" s="1111"/>
      <c r="CF94" s="1111"/>
      <c r="CG94" s="1111"/>
      <c r="CH94" s="1111"/>
      <c r="CI94" s="1111"/>
      <c r="CJ94" s="1111"/>
      <c r="CK94" s="1110"/>
    </row>
    <row r="95" spans="1:89" ht="14.4" x14ac:dyDescent="0.3">
      <c r="A95" s="1110"/>
      <c r="B95" s="1110"/>
      <c r="C95" s="1110"/>
      <c r="D95" s="1110"/>
      <c r="E95" s="1110"/>
      <c r="F95" s="1110"/>
      <c r="G95" s="1110"/>
      <c r="H95" s="1110"/>
      <c r="I95" s="1110"/>
      <c r="J95" s="1110"/>
      <c r="K95" s="1110"/>
      <c r="L95" s="1110"/>
      <c r="M95" s="1110"/>
      <c r="N95" s="1110"/>
      <c r="O95" s="1110"/>
      <c r="P95" s="1110"/>
      <c r="Q95" s="1110"/>
      <c r="R95" s="1110"/>
      <c r="S95" s="1110"/>
      <c r="T95" s="1111"/>
      <c r="U95" s="1111" t="s">
        <v>349</v>
      </c>
      <c r="V95" s="1180">
        <v>0.06</v>
      </c>
      <c r="W95" s="1180">
        <v>0.05</v>
      </c>
      <c r="X95" s="1180">
        <v>0.08</v>
      </c>
      <c r="Y95" s="1180">
        <v>0.06</v>
      </c>
      <c r="Z95" s="1180">
        <v>0.06</v>
      </c>
      <c r="AA95" s="1180">
        <v>0.08</v>
      </c>
      <c r="AB95" s="1180">
        <v>0.08</v>
      </c>
      <c r="AC95" s="1180">
        <v>0.1</v>
      </c>
      <c r="AD95" s="1111"/>
      <c r="AE95" s="1111"/>
      <c r="AF95" s="1111"/>
      <c r="AG95" s="1111"/>
      <c r="AH95" s="1111"/>
      <c r="AI95" s="1111"/>
      <c r="AJ95" s="1111"/>
      <c r="AK95" s="1111"/>
      <c r="AL95" s="1111"/>
      <c r="AM95" s="1111"/>
      <c r="AN95" s="1111"/>
      <c r="AO95" s="1111"/>
      <c r="AP95" s="1111"/>
      <c r="AQ95" s="1111"/>
      <c r="AR95" s="1111"/>
      <c r="AS95" s="1111"/>
      <c r="AT95" s="1111"/>
      <c r="AU95" s="1111"/>
      <c r="AV95" s="1111"/>
      <c r="AW95" s="1111"/>
      <c r="AX95" s="1111"/>
      <c r="AY95" s="1111"/>
      <c r="AZ95" s="1111"/>
      <c r="BA95" s="1111"/>
      <c r="BB95" s="1111"/>
      <c r="BC95" s="1111"/>
      <c r="BD95" s="1111"/>
      <c r="BE95" s="1111"/>
      <c r="BF95" s="1111"/>
      <c r="BG95" s="1111"/>
      <c r="BH95" s="1111"/>
      <c r="BI95" s="1111"/>
      <c r="BJ95" s="1111"/>
      <c r="BK95" s="1111"/>
      <c r="BL95" s="1111"/>
      <c r="BM95" s="1111"/>
      <c r="BN95" s="1111"/>
      <c r="BO95" s="1111"/>
      <c r="BP95" s="1111"/>
      <c r="BQ95" s="1111"/>
      <c r="BR95" s="1111"/>
      <c r="BS95" s="1111"/>
      <c r="BT95" s="1111"/>
      <c r="BU95" s="1111"/>
      <c r="BV95" s="1111"/>
      <c r="BW95" s="1111"/>
      <c r="BX95" s="1111"/>
      <c r="BY95" s="1111"/>
      <c r="BZ95" s="1111"/>
      <c r="CA95" s="1111"/>
      <c r="CB95" s="1111"/>
      <c r="CC95" s="1111"/>
      <c r="CD95" s="1111"/>
      <c r="CE95" s="1111"/>
      <c r="CF95" s="1111"/>
      <c r="CG95" s="1111"/>
      <c r="CH95" s="1111"/>
      <c r="CI95" s="1111"/>
      <c r="CJ95" s="1111"/>
      <c r="CK95" s="1110"/>
    </row>
    <row r="96" spans="1:89" ht="14.4" x14ac:dyDescent="0.3">
      <c r="A96" s="1110"/>
      <c r="B96" s="1110"/>
      <c r="C96" s="1110"/>
      <c r="D96" s="1110"/>
      <c r="E96" s="1110"/>
      <c r="F96" s="1110"/>
      <c r="G96" s="1110"/>
      <c r="H96" s="1110"/>
      <c r="I96" s="1110"/>
      <c r="J96" s="1110"/>
      <c r="K96" s="1110"/>
      <c r="L96" s="1110"/>
      <c r="M96" s="1110"/>
      <c r="N96" s="1110"/>
      <c r="O96" s="1110"/>
      <c r="P96" s="1110"/>
      <c r="Q96" s="1110"/>
      <c r="R96" s="1110"/>
      <c r="S96" s="1110"/>
      <c r="T96" s="1111"/>
      <c r="U96" s="1111" t="s">
        <v>351</v>
      </c>
      <c r="V96" s="1180">
        <v>0.5</v>
      </c>
      <c r="W96" s="1180">
        <v>0.35</v>
      </c>
      <c r="X96" s="1180">
        <v>0.35</v>
      </c>
      <c r="Y96" s="1180">
        <v>0.35</v>
      </c>
      <c r="Z96" s="1180">
        <v>0.35</v>
      </c>
      <c r="AA96" s="1180">
        <v>0.15</v>
      </c>
      <c r="AB96" s="1180">
        <v>0.15</v>
      </c>
      <c r="AC96" s="1180">
        <v>0.15</v>
      </c>
      <c r="AD96" s="1111"/>
      <c r="AE96" s="1111"/>
      <c r="AF96" s="1111"/>
      <c r="AG96" s="1111"/>
      <c r="AH96" s="1111"/>
      <c r="AI96" s="1111"/>
      <c r="AJ96" s="1111"/>
      <c r="AK96" s="1111"/>
      <c r="AL96" s="1111"/>
      <c r="AM96" s="1111"/>
      <c r="AN96" s="1111"/>
      <c r="AO96" s="1111"/>
      <c r="AP96" s="1111"/>
      <c r="AQ96" s="1111"/>
      <c r="AR96" s="1111"/>
      <c r="AS96" s="1111"/>
      <c r="AT96" s="1111"/>
      <c r="AU96" s="1111"/>
      <c r="AV96" s="1111"/>
      <c r="AW96" s="1111"/>
      <c r="AX96" s="1111"/>
      <c r="AY96" s="1111"/>
      <c r="AZ96" s="1111"/>
      <c r="BA96" s="1111"/>
      <c r="BB96" s="1111"/>
      <c r="BC96" s="1111"/>
      <c r="BD96" s="1111"/>
      <c r="BE96" s="1111"/>
      <c r="BF96" s="1111"/>
      <c r="BG96" s="1111"/>
      <c r="BH96" s="1111"/>
      <c r="BI96" s="1111"/>
      <c r="BJ96" s="1111"/>
      <c r="BK96" s="1111"/>
      <c r="BL96" s="1111"/>
      <c r="BM96" s="1111"/>
      <c r="BN96" s="1111"/>
      <c r="BO96" s="1111"/>
      <c r="BP96" s="1111"/>
      <c r="BQ96" s="1111"/>
      <c r="BR96" s="1111"/>
      <c r="BS96" s="1111"/>
      <c r="BT96" s="1111"/>
      <c r="BU96" s="1111"/>
      <c r="BV96" s="1111"/>
      <c r="BW96" s="1111"/>
      <c r="BX96" s="1111"/>
      <c r="BY96" s="1111"/>
      <c r="BZ96" s="1111"/>
      <c r="CA96" s="1111"/>
      <c r="CB96" s="1111"/>
      <c r="CC96" s="1111"/>
      <c r="CD96" s="1111"/>
      <c r="CE96" s="1111"/>
      <c r="CF96" s="1111"/>
      <c r="CG96" s="1111"/>
      <c r="CH96" s="1111"/>
      <c r="CI96" s="1111"/>
      <c r="CJ96" s="1111"/>
      <c r="CK96" s="1110"/>
    </row>
    <row r="97" spans="1:89" ht="14.4" x14ac:dyDescent="0.3">
      <c r="A97" s="1110"/>
      <c r="B97" s="1110"/>
      <c r="C97" s="1110"/>
      <c r="D97" s="1110"/>
      <c r="E97" s="1110"/>
      <c r="F97" s="1110"/>
      <c r="G97" s="1110"/>
      <c r="H97" s="1110"/>
      <c r="I97" s="1110"/>
      <c r="J97" s="1110"/>
      <c r="K97" s="1110"/>
      <c r="L97" s="1110"/>
      <c r="M97" s="1110"/>
      <c r="N97" s="1110"/>
      <c r="O97" s="1110"/>
      <c r="P97" s="1110"/>
      <c r="Q97" s="1110"/>
      <c r="R97" s="1110"/>
      <c r="S97" s="1110"/>
      <c r="T97" s="1111"/>
      <c r="U97" s="1111" t="s">
        <v>358</v>
      </c>
      <c r="V97" s="1180">
        <v>0.03</v>
      </c>
      <c r="W97" s="1180">
        <v>0.02</v>
      </c>
      <c r="X97" s="1180">
        <v>0</v>
      </c>
      <c r="Y97" s="1180">
        <v>0.35</v>
      </c>
      <c r="Z97" s="1180">
        <v>0.2</v>
      </c>
      <c r="AA97" s="1180">
        <v>0.02</v>
      </c>
      <c r="AB97" s="1180">
        <v>0.02</v>
      </c>
      <c r="AC97" s="1180">
        <v>0.01</v>
      </c>
      <c r="AD97" s="1111"/>
      <c r="AE97" s="1111"/>
      <c r="AF97" s="1111"/>
      <c r="AG97" s="1111"/>
      <c r="AH97" s="1111"/>
      <c r="AI97" s="1111"/>
      <c r="AJ97" s="1111"/>
      <c r="AK97" s="1111"/>
      <c r="AL97" s="1111"/>
      <c r="AM97" s="1111"/>
      <c r="AN97" s="1111"/>
      <c r="AO97" s="1111"/>
      <c r="AP97" s="1111"/>
      <c r="AQ97" s="1111"/>
      <c r="AR97" s="1111"/>
      <c r="AS97" s="1111"/>
      <c r="AT97" s="1111"/>
      <c r="AU97" s="1111"/>
      <c r="AV97" s="1111"/>
      <c r="AW97" s="1111"/>
      <c r="AX97" s="1111"/>
      <c r="AY97" s="1111"/>
      <c r="AZ97" s="1111"/>
      <c r="BA97" s="1111"/>
      <c r="BB97" s="1111"/>
      <c r="BC97" s="1111"/>
      <c r="BD97" s="1111"/>
      <c r="BE97" s="1111"/>
      <c r="BF97" s="1111"/>
      <c r="BG97" s="1111"/>
      <c r="BH97" s="1111"/>
      <c r="BI97" s="1111"/>
      <c r="BJ97" s="1111"/>
      <c r="BK97" s="1111"/>
      <c r="BL97" s="1111"/>
      <c r="BM97" s="1111"/>
      <c r="BN97" s="1111"/>
      <c r="BO97" s="1111"/>
      <c r="BP97" s="1111"/>
      <c r="BQ97" s="1111"/>
      <c r="BR97" s="1111"/>
      <c r="BS97" s="1111"/>
      <c r="BT97" s="1111"/>
      <c r="BU97" s="1111"/>
      <c r="BV97" s="1111"/>
      <c r="BW97" s="1111"/>
      <c r="BX97" s="1111"/>
      <c r="BY97" s="1111"/>
      <c r="BZ97" s="1111"/>
      <c r="CA97" s="1111"/>
      <c r="CB97" s="1111"/>
      <c r="CC97" s="1111"/>
      <c r="CD97" s="1111"/>
      <c r="CE97" s="1111"/>
      <c r="CF97" s="1111"/>
      <c r="CG97" s="1111"/>
      <c r="CH97" s="1111"/>
      <c r="CI97" s="1111"/>
      <c r="CJ97" s="1111"/>
      <c r="CK97" s="1110"/>
    </row>
    <row r="98" spans="1:89" ht="14.4" x14ac:dyDescent="0.3">
      <c r="A98" s="1110"/>
      <c r="B98" s="1110"/>
      <c r="C98" s="1110"/>
      <c r="D98" s="1110"/>
      <c r="E98" s="1110"/>
      <c r="F98" s="1110"/>
      <c r="G98" s="1110"/>
      <c r="H98" s="1110"/>
      <c r="I98" s="1110"/>
      <c r="J98" s="1110"/>
      <c r="K98" s="1110"/>
      <c r="L98" s="1110"/>
      <c r="M98" s="1110"/>
      <c r="N98" s="1110"/>
      <c r="O98" s="1110"/>
      <c r="P98" s="1110"/>
      <c r="Q98" s="1110"/>
      <c r="R98" s="1110"/>
      <c r="S98" s="1110"/>
      <c r="T98" s="1111"/>
      <c r="U98" s="1111" t="s">
        <v>353</v>
      </c>
      <c r="V98" s="1180">
        <v>0.03</v>
      </c>
      <c r="W98" s="1180">
        <v>0.03</v>
      </c>
      <c r="X98" s="1180">
        <v>0.02</v>
      </c>
      <c r="Y98" s="1180">
        <v>0.3</v>
      </c>
      <c r="Z98" s="1180">
        <v>0.45</v>
      </c>
      <c r="AA98" s="1180">
        <v>0.2</v>
      </c>
      <c r="AB98" s="1180">
        <v>0.03</v>
      </c>
      <c r="AC98" s="1180">
        <v>0.02</v>
      </c>
      <c r="AD98" s="1111"/>
      <c r="AE98" s="1111"/>
      <c r="AF98" s="1111"/>
      <c r="AG98" s="1111"/>
      <c r="AH98" s="1111"/>
      <c r="AI98" s="1111"/>
      <c r="AJ98" s="1111"/>
      <c r="AK98" s="1111"/>
      <c r="AL98" s="1111"/>
      <c r="AM98" s="1111"/>
      <c r="AN98" s="1111"/>
      <c r="AO98" s="1111"/>
      <c r="AP98" s="1111"/>
      <c r="AQ98" s="1111"/>
      <c r="AR98" s="1111"/>
      <c r="AS98" s="1111"/>
      <c r="AT98" s="1111"/>
      <c r="AU98" s="1111"/>
      <c r="AV98" s="1111"/>
      <c r="AW98" s="1111"/>
      <c r="AX98" s="1111"/>
      <c r="AY98" s="1111"/>
      <c r="AZ98" s="1111"/>
      <c r="BA98" s="1111"/>
      <c r="BB98" s="1111"/>
      <c r="BC98" s="1111"/>
      <c r="BD98" s="1111"/>
      <c r="BE98" s="1111"/>
      <c r="BF98" s="1111"/>
      <c r="BG98" s="1111"/>
      <c r="BH98" s="1111"/>
      <c r="BI98" s="1111"/>
      <c r="BJ98" s="1111"/>
      <c r="BK98" s="1111"/>
      <c r="BL98" s="1111"/>
      <c r="BM98" s="1111"/>
      <c r="BN98" s="1111"/>
      <c r="BO98" s="1111"/>
      <c r="BP98" s="1111"/>
      <c r="BQ98" s="1111"/>
      <c r="BR98" s="1111"/>
      <c r="BS98" s="1111"/>
      <c r="BT98" s="1111"/>
      <c r="BU98" s="1111"/>
      <c r="BV98" s="1111"/>
      <c r="BW98" s="1111"/>
      <c r="BX98" s="1111"/>
      <c r="BY98" s="1111"/>
      <c r="BZ98" s="1111"/>
      <c r="CA98" s="1111"/>
      <c r="CB98" s="1111"/>
      <c r="CC98" s="1111"/>
      <c r="CD98" s="1111"/>
      <c r="CE98" s="1111"/>
      <c r="CF98" s="1111"/>
      <c r="CG98" s="1111"/>
      <c r="CH98" s="1111"/>
      <c r="CI98" s="1111"/>
      <c r="CJ98" s="1111"/>
      <c r="CK98" s="1110"/>
    </row>
    <row r="99" spans="1:89" ht="14.4" x14ac:dyDescent="0.3">
      <c r="A99" s="1110"/>
      <c r="B99" s="1110"/>
      <c r="C99" s="1110"/>
      <c r="D99" s="1110"/>
      <c r="E99" s="1110"/>
      <c r="F99" s="1110"/>
      <c r="G99" s="1110"/>
      <c r="H99" s="1110"/>
      <c r="I99" s="1110"/>
      <c r="J99" s="1110"/>
      <c r="K99" s="1110"/>
      <c r="L99" s="1110"/>
      <c r="M99" s="1110"/>
      <c r="N99" s="1110"/>
      <c r="O99" s="1110"/>
      <c r="P99" s="1110"/>
      <c r="Q99" s="1110"/>
      <c r="R99" s="1110"/>
      <c r="S99" s="1110"/>
      <c r="T99" s="1111"/>
      <c r="U99" s="1111" t="s">
        <v>350</v>
      </c>
      <c r="V99" s="1180">
        <v>0.5</v>
      </c>
      <c r="W99" s="1180">
        <v>0.28000000000000003</v>
      </c>
      <c r="X99" s="1180">
        <v>0.1</v>
      </c>
      <c r="Y99" s="1180">
        <v>0.5</v>
      </c>
      <c r="Z99" s="1180">
        <v>0.5</v>
      </c>
      <c r="AA99" s="1180">
        <v>0.1</v>
      </c>
      <c r="AB99" s="1180">
        <v>0.22</v>
      </c>
      <c r="AC99" s="1180">
        <v>0.12</v>
      </c>
      <c r="AD99" s="1111"/>
      <c r="AE99" s="1111"/>
      <c r="AF99" s="1111"/>
      <c r="AG99" s="1111"/>
      <c r="AH99" s="1111"/>
      <c r="AI99" s="1111"/>
      <c r="AJ99" s="1111"/>
      <c r="AK99" s="1111"/>
      <c r="AL99" s="1111"/>
      <c r="AM99" s="1111"/>
      <c r="AN99" s="1111"/>
      <c r="AO99" s="1111"/>
      <c r="AP99" s="1111"/>
      <c r="AQ99" s="1111"/>
      <c r="AR99" s="1111"/>
      <c r="AS99" s="1111"/>
      <c r="AT99" s="1111"/>
      <c r="AU99" s="1111"/>
      <c r="AV99" s="1111"/>
      <c r="AW99" s="1111"/>
      <c r="AX99" s="1111"/>
      <c r="AY99" s="1111"/>
      <c r="AZ99" s="1111"/>
      <c r="BA99" s="1111"/>
      <c r="BB99" s="1111"/>
      <c r="BC99" s="1111"/>
      <c r="BD99" s="1111"/>
      <c r="BE99" s="1111"/>
      <c r="BF99" s="1111"/>
      <c r="BG99" s="1111"/>
      <c r="BH99" s="1111"/>
      <c r="BI99" s="1111"/>
      <c r="BJ99" s="1111"/>
      <c r="BK99" s="1111"/>
      <c r="BL99" s="1111"/>
      <c r="BM99" s="1111"/>
      <c r="BN99" s="1111"/>
      <c r="BO99" s="1111"/>
      <c r="BP99" s="1111"/>
      <c r="BQ99" s="1111"/>
      <c r="BR99" s="1111"/>
      <c r="BS99" s="1111"/>
      <c r="BT99" s="1111"/>
      <c r="BU99" s="1111"/>
      <c r="BV99" s="1111"/>
      <c r="BW99" s="1111"/>
      <c r="BX99" s="1111"/>
      <c r="BY99" s="1111"/>
      <c r="BZ99" s="1111"/>
      <c r="CA99" s="1111"/>
      <c r="CB99" s="1111"/>
      <c r="CC99" s="1111"/>
      <c r="CD99" s="1111"/>
      <c r="CE99" s="1111"/>
      <c r="CF99" s="1111"/>
      <c r="CG99" s="1111"/>
      <c r="CH99" s="1111"/>
      <c r="CI99" s="1111"/>
      <c r="CJ99" s="1111"/>
      <c r="CK99" s="1110"/>
    </row>
    <row r="100" spans="1:89" ht="14.4" x14ac:dyDescent="0.3">
      <c r="A100" s="1110"/>
      <c r="B100" s="1110"/>
      <c r="C100" s="1110"/>
      <c r="D100" s="1110"/>
      <c r="E100" s="1110"/>
      <c r="F100" s="1110"/>
      <c r="G100" s="1110"/>
      <c r="H100" s="1110"/>
      <c r="I100" s="1110"/>
      <c r="J100" s="1110"/>
      <c r="K100" s="1110"/>
      <c r="L100" s="1110"/>
      <c r="M100" s="1110"/>
      <c r="N100" s="1110"/>
      <c r="O100" s="1110"/>
      <c r="P100" s="1110"/>
      <c r="Q100" s="1110"/>
      <c r="R100" s="1110"/>
      <c r="S100" s="1110"/>
      <c r="T100" s="1111"/>
      <c r="U100" s="1111" t="s">
        <v>352</v>
      </c>
      <c r="V100" s="1180">
        <v>0.03</v>
      </c>
      <c r="W100" s="1180">
        <v>0.25</v>
      </c>
      <c r="X100" s="1180">
        <v>0.8</v>
      </c>
      <c r="Y100" s="1180">
        <v>0.03</v>
      </c>
      <c r="Z100" s="1180">
        <v>0.03</v>
      </c>
      <c r="AA100" s="1180">
        <v>0.6</v>
      </c>
      <c r="AB100" s="1180">
        <v>0.02</v>
      </c>
      <c r="AC100" s="1180">
        <v>0.12</v>
      </c>
      <c r="AD100" s="1111"/>
      <c r="AE100" s="1111"/>
      <c r="AF100" s="1111"/>
      <c r="AG100" s="1111"/>
      <c r="AH100" s="1111"/>
      <c r="AI100" s="1111"/>
      <c r="AJ100" s="1111"/>
      <c r="AK100" s="1111"/>
      <c r="AL100" s="1111"/>
      <c r="AM100" s="1111"/>
      <c r="AN100" s="1111"/>
      <c r="AO100" s="1111"/>
      <c r="AP100" s="1111"/>
      <c r="AQ100" s="1111"/>
      <c r="AR100" s="1111"/>
      <c r="AS100" s="1111"/>
      <c r="AT100" s="1111"/>
      <c r="AU100" s="1111"/>
      <c r="AV100" s="1111"/>
      <c r="AW100" s="1111"/>
      <c r="AX100" s="1111"/>
      <c r="AY100" s="1111"/>
      <c r="AZ100" s="1111"/>
      <c r="BA100" s="1111"/>
      <c r="BB100" s="1111"/>
      <c r="BC100" s="1111"/>
      <c r="BD100" s="1111"/>
      <c r="BE100" s="1111"/>
      <c r="BF100" s="1111"/>
      <c r="BG100" s="1111"/>
      <c r="BH100" s="1111"/>
      <c r="BI100" s="1111"/>
      <c r="BJ100" s="1111"/>
      <c r="BK100" s="1111"/>
      <c r="BL100" s="1111"/>
      <c r="BM100" s="1111"/>
      <c r="BN100" s="1111"/>
      <c r="BO100" s="1111"/>
      <c r="BP100" s="1111"/>
      <c r="BQ100" s="1111"/>
      <c r="BR100" s="1111"/>
      <c r="BS100" s="1111"/>
      <c r="BT100" s="1111"/>
      <c r="BU100" s="1111"/>
      <c r="BV100" s="1111"/>
      <c r="BW100" s="1111"/>
      <c r="BX100" s="1111"/>
      <c r="BY100" s="1111"/>
      <c r="BZ100" s="1111"/>
      <c r="CA100" s="1111"/>
      <c r="CB100" s="1111"/>
      <c r="CC100" s="1111"/>
      <c r="CD100" s="1111"/>
      <c r="CE100" s="1111"/>
      <c r="CF100" s="1111"/>
      <c r="CG100" s="1111"/>
      <c r="CH100" s="1111"/>
      <c r="CI100" s="1111"/>
      <c r="CJ100" s="1111"/>
      <c r="CK100" s="1110"/>
    </row>
    <row r="101" spans="1:89" ht="15" thickBot="1" x14ac:dyDescent="0.35">
      <c r="A101" s="1110"/>
      <c r="B101" s="1110"/>
      <c r="C101" s="1110"/>
      <c r="D101" s="1110"/>
      <c r="E101" s="1110"/>
      <c r="F101" s="1110"/>
      <c r="G101" s="1110"/>
      <c r="H101" s="1110"/>
      <c r="I101" s="1110"/>
      <c r="J101" s="1110"/>
      <c r="K101" s="1110"/>
      <c r="L101" s="1110"/>
      <c r="M101" s="1110"/>
      <c r="N101" s="1110"/>
      <c r="O101" s="1110"/>
      <c r="P101" s="1110"/>
      <c r="Q101" s="1110"/>
      <c r="R101" s="1110"/>
      <c r="S101" s="1110"/>
      <c r="T101" s="1181"/>
      <c r="U101" s="1181" t="s">
        <v>354</v>
      </c>
      <c r="V101" s="1187">
        <v>0</v>
      </c>
      <c r="W101" s="1187">
        <v>0</v>
      </c>
      <c r="X101" s="1187">
        <v>0</v>
      </c>
      <c r="Y101" s="1187">
        <v>0</v>
      </c>
      <c r="Z101" s="1187">
        <v>0</v>
      </c>
      <c r="AA101" s="1187">
        <v>0</v>
      </c>
      <c r="AB101" s="1187">
        <v>0</v>
      </c>
      <c r="AC101" s="1187">
        <v>0</v>
      </c>
      <c r="AD101" s="1181"/>
      <c r="AE101" s="1181"/>
      <c r="AF101" s="1181"/>
      <c r="AG101" s="1181"/>
      <c r="AH101" s="1181"/>
      <c r="AI101" s="1181"/>
      <c r="AJ101" s="1181"/>
      <c r="AK101" s="1181"/>
      <c r="AL101" s="1181"/>
      <c r="AM101" s="1181"/>
      <c r="AN101" s="1181"/>
      <c r="AO101" s="1181"/>
      <c r="AP101" s="1181"/>
      <c r="AQ101" s="1181"/>
      <c r="AR101" s="1181"/>
      <c r="AS101" s="1181"/>
      <c r="AT101" s="1181"/>
      <c r="AU101" s="1181"/>
      <c r="AV101" s="1181"/>
      <c r="AW101" s="1111"/>
      <c r="AX101" s="1111"/>
      <c r="AY101" s="1111"/>
      <c r="AZ101" s="1111"/>
      <c r="BA101" s="1111"/>
      <c r="BB101" s="1111"/>
      <c r="BC101" s="1111"/>
      <c r="BD101" s="1111"/>
      <c r="BE101" s="1111"/>
      <c r="BF101" s="1111"/>
      <c r="BG101" s="1111"/>
      <c r="BH101" s="1111"/>
      <c r="BI101" s="1111"/>
      <c r="BJ101" s="1111"/>
      <c r="BK101" s="1111"/>
      <c r="BL101" s="1111"/>
      <c r="BM101" s="1111"/>
      <c r="BN101" s="1111"/>
      <c r="BO101" s="1111"/>
      <c r="BP101" s="1111"/>
      <c r="BQ101" s="1111"/>
      <c r="BR101" s="1111"/>
      <c r="BS101" s="1111"/>
      <c r="BT101" s="1111"/>
      <c r="BU101" s="1111"/>
      <c r="BV101" s="1111"/>
      <c r="BW101" s="1111"/>
      <c r="BX101" s="1111"/>
      <c r="BY101" s="1111"/>
      <c r="BZ101" s="1111"/>
      <c r="CA101" s="1111"/>
      <c r="CB101" s="1111"/>
      <c r="CC101" s="1111"/>
      <c r="CD101" s="1111"/>
      <c r="CE101" s="1111"/>
      <c r="CF101" s="1111"/>
      <c r="CG101" s="1111"/>
      <c r="CH101" s="1111"/>
      <c r="CI101" s="1111"/>
      <c r="CJ101" s="1111"/>
      <c r="CK101" s="1110"/>
    </row>
    <row r="102" spans="1:89" ht="14.4" x14ac:dyDescent="0.3">
      <c r="A102" s="1110"/>
      <c r="B102" s="1110"/>
      <c r="C102" s="1110"/>
      <c r="D102" s="1110"/>
      <c r="E102" s="1110"/>
      <c r="F102" s="1110"/>
      <c r="G102" s="1110"/>
      <c r="H102" s="1110"/>
      <c r="I102" s="1110"/>
      <c r="J102" s="1110"/>
      <c r="K102" s="1110"/>
      <c r="L102" s="1110"/>
      <c r="M102" s="1110"/>
      <c r="N102" s="1110"/>
      <c r="O102" s="1110"/>
      <c r="P102" s="1110"/>
      <c r="Q102" s="1110"/>
      <c r="R102" s="1110"/>
      <c r="S102" s="1110"/>
      <c r="T102" s="1111"/>
      <c r="U102" s="1111"/>
      <c r="V102" s="1111"/>
      <c r="W102" s="1111"/>
      <c r="X102" s="1111"/>
      <c r="Y102" s="1111"/>
      <c r="Z102" s="1111"/>
      <c r="AA102" s="1111"/>
      <c r="AB102" s="1111"/>
      <c r="AC102" s="1111"/>
      <c r="AD102" s="1111"/>
      <c r="AE102" s="1111"/>
      <c r="AF102" s="1111"/>
      <c r="AG102" s="1111"/>
      <c r="AH102" s="1111"/>
      <c r="AI102" s="1111"/>
      <c r="AJ102" s="1111"/>
      <c r="AK102" s="1111"/>
      <c r="AL102" s="1111"/>
      <c r="AM102" s="1111"/>
      <c r="AN102" s="1111"/>
      <c r="AO102" s="1111"/>
      <c r="AP102" s="1111"/>
      <c r="AQ102" s="1111"/>
      <c r="AR102" s="1111"/>
      <c r="AS102" s="1111"/>
      <c r="AT102" s="1111"/>
      <c r="AU102" s="1111"/>
      <c r="AV102" s="1111"/>
      <c r="AW102" s="1111"/>
      <c r="AX102" s="1111"/>
      <c r="AY102" s="1111"/>
      <c r="AZ102" s="1111"/>
      <c r="BA102" s="1111"/>
      <c r="BB102" s="1111"/>
      <c r="BC102" s="1111"/>
      <c r="BD102" s="1111"/>
      <c r="BE102" s="1111"/>
      <c r="BF102" s="1111"/>
      <c r="BG102" s="1111"/>
      <c r="BH102" s="1111"/>
      <c r="BI102" s="1111"/>
      <c r="BJ102" s="1111"/>
      <c r="BK102" s="1111"/>
      <c r="BL102" s="1111"/>
      <c r="BM102" s="1111"/>
      <c r="BN102" s="1111"/>
      <c r="BO102" s="1111"/>
      <c r="BP102" s="1111"/>
      <c r="BQ102" s="1111"/>
      <c r="BR102" s="1111"/>
      <c r="BS102" s="1111"/>
      <c r="BT102" s="1111"/>
      <c r="BU102" s="1111"/>
      <c r="BV102" s="1111"/>
      <c r="BW102" s="1111"/>
      <c r="BX102" s="1111"/>
      <c r="BY102" s="1111"/>
      <c r="BZ102" s="1111"/>
      <c r="CA102" s="1111"/>
      <c r="CB102" s="1111"/>
      <c r="CC102" s="1111"/>
      <c r="CD102" s="1111"/>
      <c r="CE102" s="1111"/>
      <c r="CF102" s="1111"/>
      <c r="CG102" s="1111"/>
      <c r="CH102" s="1111"/>
      <c r="CI102" s="1111"/>
      <c r="CJ102" s="1111"/>
      <c r="CK102" s="1110"/>
    </row>
    <row r="103" spans="1:89" ht="15" thickBot="1" x14ac:dyDescent="0.35">
      <c r="A103" s="1110"/>
      <c r="B103" s="1110"/>
      <c r="C103" s="1110"/>
      <c r="D103" s="1110"/>
      <c r="E103" s="1110"/>
      <c r="F103" s="1110"/>
      <c r="G103" s="1110"/>
      <c r="H103" s="1110"/>
      <c r="I103" s="1110"/>
      <c r="J103" s="1110"/>
      <c r="K103" s="1110"/>
      <c r="L103" s="1110"/>
      <c r="M103" s="1110"/>
      <c r="N103" s="1110"/>
      <c r="O103" s="1110"/>
      <c r="P103" s="1110"/>
      <c r="Q103" s="1110"/>
      <c r="R103" s="1110"/>
      <c r="S103" s="1110"/>
      <c r="T103" s="1111"/>
      <c r="U103" s="1111"/>
      <c r="V103" s="1111"/>
      <c r="W103" s="1111"/>
      <c r="X103" s="1111"/>
      <c r="Y103" s="1111"/>
      <c r="Z103" s="1111"/>
      <c r="AA103" s="1111"/>
      <c r="AB103" s="1111"/>
      <c r="AC103" s="1111"/>
      <c r="AD103" s="1111"/>
      <c r="AE103" s="1111"/>
      <c r="AF103" s="1111"/>
      <c r="AG103" s="1111"/>
      <c r="AH103" s="1111"/>
      <c r="AI103" s="1111"/>
      <c r="AJ103" s="1111"/>
      <c r="AK103" s="1111"/>
      <c r="AL103" s="1111"/>
      <c r="AM103" s="1111"/>
      <c r="AN103" s="1111"/>
      <c r="AO103" s="1111"/>
      <c r="AP103" s="1111"/>
      <c r="AQ103" s="1111"/>
      <c r="AR103" s="1111"/>
      <c r="AS103" s="1111"/>
      <c r="AT103" s="1111"/>
      <c r="AU103" s="1111"/>
      <c r="AV103" s="1111"/>
      <c r="AW103" s="1111"/>
      <c r="AX103" s="1111"/>
      <c r="AY103" s="1111"/>
      <c r="AZ103" s="1111"/>
      <c r="BA103" s="1111"/>
      <c r="BB103" s="1111"/>
      <c r="BC103" s="1111"/>
      <c r="BD103" s="1111"/>
      <c r="BE103" s="1111"/>
      <c r="BF103" s="1111"/>
      <c r="BG103" s="1111"/>
      <c r="BH103" s="1111"/>
      <c r="BI103" s="1111"/>
      <c r="BJ103" s="1111"/>
      <c r="BK103" s="1111"/>
      <c r="BL103" s="1111"/>
      <c r="BM103" s="1111"/>
      <c r="BN103" s="1111"/>
      <c r="BO103" s="1111"/>
      <c r="BP103" s="1111"/>
      <c r="BQ103" s="1111"/>
      <c r="BR103" s="1111"/>
      <c r="BS103" s="1111"/>
      <c r="BT103" s="1111"/>
      <c r="BU103" s="1111"/>
      <c r="BV103" s="1111"/>
      <c r="BW103" s="1111"/>
      <c r="BX103" s="1111"/>
      <c r="BY103" s="1111"/>
      <c r="BZ103" s="1111"/>
      <c r="CA103" s="1111"/>
      <c r="CB103" s="1111"/>
      <c r="CC103" s="1111"/>
      <c r="CD103" s="1111"/>
      <c r="CE103" s="1111"/>
      <c r="CF103" s="1111"/>
      <c r="CG103" s="1111"/>
      <c r="CH103" s="1111"/>
      <c r="CI103" s="1111"/>
      <c r="CJ103" s="1111"/>
      <c r="CK103" s="1110"/>
    </row>
    <row r="104" spans="1:89" ht="14.4" x14ac:dyDescent="0.3">
      <c r="A104" s="1110"/>
      <c r="B104" s="1110"/>
      <c r="C104" s="1110"/>
      <c r="D104" s="1110"/>
      <c r="E104" s="1110"/>
      <c r="F104" s="1110"/>
      <c r="G104" s="1110"/>
      <c r="H104" s="1110"/>
      <c r="I104" s="1110"/>
      <c r="J104" s="1110"/>
      <c r="K104" s="1110"/>
      <c r="L104" s="1110"/>
      <c r="M104" s="1110"/>
      <c r="N104" s="1110"/>
      <c r="O104" s="1110"/>
      <c r="P104" s="1110"/>
      <c r="Q104" s="1110"/>
      <c r="R104" s="1110"/>
      <c r="S104" s="1110"/>
      <c r="T104" s="1164" t="s">
        <v>640</v>
      </c>
      <c r="U104" s="1182" t="s">
        <v>344</v>
      </c>
      <c r="V104" s="1182"/>
      <c r="W104" s="1183">
        <f>W17+W$6*$V82+W$7*$W82+W$8*$X82+W$9*$Y82+W$10*$Z82+W$11*$AA82+W$12*$AB82+W$13*$AC82</f>
        <v>16000</v>
      </c>
      <c r="X104" s="1183">
        <f t="shared" ref="X104:AV104" si="73">X17+X$6*$V82+X$7*$W82+X$8*$X82+X$9*$Y82+X$10*$Z82+X$11*$AA82+X$12*$AB82+X$13*$AC82</f>
        <v>16727.55</v>
      </c>
      <c r="Y104" s="1183">
        <f t="shared" si="73"/>
        <v>17752.600000000002</v>
      </c>
      <c r="Z104" s="1183">
        <f t="shared" si="73"/>
        <v>19260.400000000001</v>
      </c>
      <c r="AA104" s="1183">
        <f t="shared" si="73"/>
        <v>20768.75</v>
      </c>
      <c r="AB104" s="1183">
        <f t="shared" si="73"/>
        <v>22277.1</v>
      </c>
      <c r="AC104" s="1183">
        <f t="shared" si="73"/>
        <v>23784.899999999998</v>
      </c>
      <c r="AD104" s="1183">
        <f t="shared" si="73"/>
        <v>25293.799999999996</v>
      </c>
      <c r="AE104" s="1183">
        <f t="shared" si="73"/>
        <v>26784.85</v>
      </c>
      <c r="AF104" s="1183">
        <f t="shared" si="73"/>
        <v>28276.2</v>
      </c>
      <c r="AG104" s="1183">
        <f t="shared" si="73"/>
        <v>29767.250000000004</v>
      </c>
      <c r="AH104" s="1183">
        <f t="shared" si="73"/>
        <v>31258.300000000003</v>
      </c>
      <c r="AI104" s="1183">
        <f t="shared" si="73"/>
        <v>32750.45</v>
      </c>
      <c r="AJ104" s="1183">
        <f t="shared" si="73"/>
        <v>33758.200000000004</v>
      </c>
      <c r="AK104" s="1183">
        <f t="shared" si="73"/>
        <v>34485.75</v>
      </c>
      <c r="AL104" s="1183">
        <f t="shared" si="73"/>
        <v>35213.299999999996</v>
      </c>
      <c r="AM104" s="1183">
        <f t="shared" si="73"/>
        <v>35940.85</v>
      </c>
      <c r="AN104" s="1183">
        <f t="shared" si="73"/>
        <v>36668.65</v>
      </c>
      <c r="AO104" s="1183">
        <f t="shared" si="73"/>
        <v>37396.200000000004</v>
      </c>
      <c r="AP104" s="1183">
        <f t="shared" si="73"/>
        <v>38123.999999999993</v>
      </c>
      <c r="AQ104" s="1183">
        <f t="shared" si="73"/>
        <v>38851.550000000003</v>
      </c>
      <c r="AR104" s="1183">
        <f t="shared" si="73"/>
        <v>39579.1</v>
      </c>
      <c r="AS104" s="1183">
        <f t="shared" si="73"/>
        <v>40306.899999999994</v>
      </c>
      <c r="AT104" s="1183">
        <f t="shared" si="73"/>
        <v>41034.449999999997</v>
      </c>
      <c r="AU104" s="1183">
        <f t="shared" si="73"/>
        <v>41762</v>
      </c>
      <c r="AV104" s="1183">
        <f t="shared" si="73"/>
        <v>42489.799999999996</v>
      </c>
      <c r="AW104" s="1111"/>
      <c r="AX104" s="1111"/>
      <c r="AY104" s="1111"/>
      <c r="AZ104" s="1111"/>
      <c r="BA104" s="1111"/>
      <c r="BB104" s="1111"/>
      <c r="BC104" s="1111"/>
      <c r="BD104" s="1111"/>
      <c r="BE104" s="1111"/>
      <c r="BF104" s="1111"/>
      <c r="BG104" s="1111"/>
      <c r="BH104" s="1111"/>
      <c r="BI104" s="1111"/>
      <c r="BJ104" s="1111"/>
      <c r="BK104" s="1111"/>
      <c r="BL104" s="1111"/>
      <c r="BM104" s="1111"/>
      <c r="BN104" s="1111"/>
      <c r="BO104" s="1111"/>
      <c r="BP104" s="1111"/>
      <c r="BQ104" s="1111"/>
      <c r="BR104" s="1111"/>
      <c r="BS104" s="1111"/>
      <c r="BT104" s="1111"/>
      <c r="BU104" s="1111"/>
      <c r="BV104" s="1111"/>
      <c r="BW104" s="1111"/>
      <c r="BX104" s="1111"/>
      <c r="BY104" s="1111"/>
      <c r="BZ104" s="1111"/>
      <c r="CA104" s="1111"/>
      <c r="CB104" s="1111"/>
      <c r="CC104" s="1111"/>
      <c r="CD104" s="1111"/>
      <c r="CE104" s="1111"/>
      <c r="CF104" s="1111"/>
      <c r="CG104" s="1111"/>
      <c r="CH104" s="1111"/>
      <c r="CI104" s="1111"/>
      <c r="CJ104" s="1111"/>
      <c r="CK104" s="1110"/>
    </row>
    <row r="105" spans="1:89" ht="14.4" x14ac:dyDescent="0.3">
      <c r="A105" s="1110"/>
      <c r="B105" s="1110"/>
      <c r="C105" s="1110"/>
      <c r="D105" s="1110"/>
      <c r="E105" s="1110"/>
      <c r="F105" s="1110"/>
      <c r="G105" s="1110"/>
      <c r="H105" s="1110"/>
      <c r="I105" s="1110"/>
      <c r="J105" s="1110"/>
      <c r="K105" s="1110"/>
      <c r="L105" s="1110"/>
      <c r="M105" s="1110"/>
      <c r="N105" s="1110"/>
      <c r="O105" s="1110"/>
      <c r="P105" s="1110"/>
      <c r="Q105" s="1110"/>
      <c r="R105" s="1110"/>
      <c r="S105" s="1110"/>
      <c r="T105" s="1111" t="s">
        <v>639</v>
      </c>
      <c r="U105" s="1111" t="s">
        <v>345</v>
      </c>
      <c r="V105" s="1111"/>
      <c r="W105" s="1167">
        <f>W18+W$6*$V83+W$7*$W83+W$8*$X83+W$9*$Y83+W$10*$Z83+W$11*$AA83+W$12*$AB83+W$13*$AC83</f>
        <v>13500</v>
      </c>
      <c r="X105" s="1167">
        <f t="shared" ref="X105:AV115" si="74">X18+X$6*$V83+X$7*$W83+X$8*$X83+X$9*$Y83+X$10*$Z83+X$11*$AA83+X$12*$AB83+X$13*$AC83</f>
        <v>14212.599999999997</v>
      </c>
      <c r="Y105" s="1167">
        <f t="shared" si="74"/>
        <v>15282.300000000001</v>
      </c>
      <c r="Z105" s="1167">
        <f t="shared" si="74"/>
        <v>17049.599999999999</v>
      </c>
      <c r="AA105" s="1167">
        <f t="shared" si="74"/>
        <v>18817.7</v>
      </c>
      <c r="AB105" s="1167">
        <f t="shared" si="74"/>
        <v>20585.699999999997</v>
      </c>
      <c r="AC105" s="1167">
        <f t="shared" si="74"/>
        <v>22353</v>
      </c>
      <c r="AD105" s="1167">
        <f t="shared" si="74"/>
        <v>24121.899999999998</v>
      </c>
      <c r="AE105" s="1167">
        <f t="shared" si="74"/>
        <v>25906.499999999996</v>
      </c>
      <c r="AF105" s="1167">
        <f t="shared" si="74"/>
        <v>27691.699999999997</v>
      </c>
      <c r="AG105" s="1167">
        <f t="shared" si="74"/>
        <v>29476.299999999996</v>
      </c>
      <c r="AH105" s="1167">
        <f t="shared" si="74"/>
        <v>31260.899999999998</v>
      </c>
      <c r="AI105" s="1167">
        <f t="shared" si="74"/>
        <v>33047.1</v>
      </c>
      <c r="AJ105" s="1167">
        <f t="shared" si="74"/>
        <v>34133.300000000003</v>
      </c>
      <c r="AK105" s="1167">
        <f t="shared" si="74"/>
        <v>34845.899999999994</v>
      </c>
      <c r="AL105" s="1167">
        <f t="shared" si="74"/>
        <v>35558.5</v>
      </c>
      <c r="AM105" s="1167">
        <f t="shared" si="74"/>
        <v>36271.100000000006</v>
      </c>
      <c r="AN105" s="1167">
        <f t="shared" si="74"/>
        <v>36984.1</v>
      </c>
      <c r="AO105" s="1167">
        <f t="shared" si="74"/>
        <v>37696.699999999997</v>
      </c>
      <c r="AP105" s="1167">
        <f t="shared" si="74"/>
        <v>38409.700000000004</v>
      </c>
      <c r="AQ105" s="1167">
        <f t="shared" si="74"/>
        <v>39122.300000000003</v>
      </c>
      <c r="AR105" s="1167">
        <f t="shared" si="74"/>
        <v>39834.9</v>
      </c>
      <c r="AS105" s="1167">
        <f t="shared" si="74"/>
        <v>40547.900000000009</v>
      </c>
      <c r="AT105" s="1167">
        <f t="shared" si="74"/>
        <v>41260.5</v>
      </c>
      <c r="AU105" s="1167">
        <f t="shared" si="74"/>
        <v>41973.1</v>
      </c>
      <c r="AV105" s="1167">
        <f t="shared" si="74"/>
        <v>42686.1</v>
      </c>
      <c r="AW105" s="1111"/>
      <c r="AX105" s="1111"/>
      <c r="AY105" s="1111"/>
      <c r="AZ105" s="1111"/>
      <c r="BA105" s="1111"/>
      <c r="BB105" s="1111"/>
      <c r="BC105" s="1111"/>
      <c r="BD105" s="1111"/>
      <c r="BE105" s="1111"/>
      <c r="BF105" s="1111"/>
      <c r="BG105" s="1111"/>
      <c r="BH105" s="1111"/>
      <c r="BI105" s="1111"/>
      <c r="BJ105" s="1111"/>
      <c r="BK105" s="1111"/>
      <c r="BL105" s="1111"/>
      <c r="BM105" s="1111"/>
      <c r="BN105" s="1111"/>
      <c r="BO105" s="1111"/>
      <c r="BP105" s="1111"/>
      <c r="BQ105" s="1111"/>
      <c r="BR105" s="1111"/>
      <c r="BS105" s="1111"/>
      <c r="BT105" s="1111"/>
      <c r="BU105" s="1111"/>
      <c r="BV105" s="1111"/>
      <c r="BW105" s="1111"/>
      <c r="BX105" s="1111"/>
      <c r="BY105" s="1111"/>
      <c r="BZ105" s="1111"/>
      <c r="CA105" s="1111"/>
      <c r="CB105" s="1111"/>
      <c r="CC105" s="1111"/>
      <c r="CD105" s="1111"/>
      <c r="CE105" s="1111"/>
      <c r="CF105" s="1111"/>
      <c r="CG105" s="1111"/>
      <c r="CH105" s="1111"/>
      <c r="CI105" s="1111"/>
      <c r="CJ105" s="1111"/>
      <c r="CK105" s="1110"/>
    </row>
    <row r="106" spans="1:89" ht="14.4" x14ac:dyDescent="0.3">
      <c r="A106" s="1110"/>
      <c r="B106" s="1110"/>
      <c r="C106" s="1110"/>
      <c r="D106" s="1110"/>
      <c r="E106" s="1110"/>
      <c r="F106" s="1110"/>
      <c r="G106" s="1110"/>
      <c r="H106" s="1110"/>
      <c r="I106" s="1110"/>
      <c r="J106" s="1110"/>
      <c r="K106" s="1110"/>
      <c r="L106" s="1110"/>
      <c r="M106" s="1110"/>
      <c r="N106" s="1110"/>
      <c r="O106" s="1110"/>
      <c r="P106" s="1110"/>
      <c r="Q106" s="1110"/>
      <c r="R106" s="1110"/>
      <c r="S106" s="1110"/>
      <c r="T106" s="1111"/>
      <c r="U106" s="1111" t="s">
        <v>346</v>
      </c>
      <c r="V106" s="1111"/>
      <c r="W106" s="1167">
        <f t="shared" ref="W106:AL123" si="75">W19+W$6*$V84+W$7*$W84+W$8*$X84+W$9*$Y84+W$10*$Z84+W$11*$AA84+W$12*$AB84+W$13*$AC84</f>
        <v>12000</v>
      </c>
      <c r="X106" s="1167">
        <f t="shared" si="75"/>
        <v>12501.099999999999</v>
      </c>
      <c r="Y106" s="1167">
        <f t="shared" si="75"/>
        <v>13121.299999999997</v>
      </c>
      <c r="Z106" s="1167">
        <f t="shared" si="75"/>
        <v>13956.3</v>
      </c>
      <c r="AA106" s="1167">
        <f t="shared" si="75"/>
        <v>14791.600000000002</v>
      </c>
      <c r="AB106" s="1167">
        <f t="shared" si="75"/>
        <v>15626.800000000003</v>
      </c>
      <c r="AC106" s="1167">
        <f t="shared" si="75"/>
        <v>16461.800000000003</v>
      </c>
      <c r="AD106" s="1167">
        <f t="shared" si="75"/>
        <v>17297.400000000005</v>
      </c>
      <c r="AE106" s="1167">
        <f t="shared" si="75"/>
        <v>18107</v>
      </c>
      <c r="AF106" s="1167">
        <f t="shared" si="75"/>
        <v>18916.899999999994</v>
      </c>
      <c r="AG106" s="1167">
        <f t="shared" si="75"/>
        <v>19726.5</v>
      </c>
      <c r="AH106" s="1167">
        <f t="shared" si="75"/>
        <v>20536.099999999999</v>
      </c>
      <c r="AI106" s="1167">
        <f t="shared" si="75"/>
        <v>21346.300000000003</v>
      </c>
      <c r="AJ106" s="1167">
        <f t="shared" si="75"/>
        <v>21940.799999999999</v>
      </c>
      <c r="AK106" s="1167">
        <f t="shared" si="75"/>
        <v>22441.9</v>
      </c>
      <c r="AL106" s="1167">
        <f t="shared" si="75"/>
        <v>22942.999999999996</v>
      </c>
      <c r="AM106" s="1167">
        <f t="shared" si="74"/>
        <v>23444.1</v>
      </c>
      <c r="AN106" s="1167">
        <f t="shared" si="74"/>
        <v>23945.4</v>
      </c>
      <c r="AO106" s="1167">
        <f t="shared" si="74"/>
        <v>24446.5</v>
      </c>
      <c r="AP106" s="1167">
        <f t="shared" si="74"/>
        <v>24947.8</v>
      </c>
      <c r="AQ106" s="1167">
        <f t="shared" si="74"/>
        <v>25448.900000000005</v>
      </c>
      <c r="AR106" s="1167">
        <f t="shared" si="74"/>
        <v>25949.999999999996</v>
      </c>
      <c r="AS106" s="1167">
        <f t="shared" si="74"/>
        <v>26451.3</v>
      </c>
      <c r="AT106" s="1167">
        <f t="shared" si="74"/>
        <v>26952.400000000001</v>
      </c>
      <c r="AU106" s="1167">
        <f t="shared" si="74"/>
        <v>27453.499999999996</v>
      </c>
      <c r="AV106" s="1167">
        <f t="shared" si="74"/>
        <v>27954.799999999999</v>
      </c>
      <c r="AW106" s="1111"/>
      <c r="AX106" s="1111"/>
      <c r="AY106" s="1111"/>
      <c r="AZ106" s="1111"/>
      <c r="BA106" s="1111"/>
      <c r="BB106" s="1111"/>
      <c r="BC106" s="1111"/>
      <c r="BD106" s="1111"/>
      <c r="BE106" s="1111"/>
      <c r="BF106" s="1111"/>
      <c r="BG106" s="1111"/>
      <c r="BH106" s="1111"/>
      <c r="BI106" s="1111"/>
      <c r="BJ106" s="1111"/>
      <c r="BK106" s="1111"/>
      <c r="BL106" s="1111"/>
      <c r="BM106" s="1111"/>
      <c r="BN106" s="1111"/>
      <c r="BO106" s="1111"/>
      <c r="BP106" s="1111"/>
      <c r="BQ106" s="1111"/>
      <c r="BR106" s="1111"/>
      <c r="BS106" s="1111"/>
      <c r="BT106" s="1111"/>
      <c r="BU106" s="1111"/>
      <c r="BV106" s="1111"/>
      <c r="BW106" s="1111"/>
      <c r="BX106" s="1111"/>
      <c r="BY106" s="1111"/>
      <c r="BZ106" s="1111"/>
      <c r="CA106" s="1111"/>
      <c r="CB106" s="1111"/>
      <c r="CC106" s="1111"/>
      <c r="CD106" s="1111"/>
      <c r="CE106" s="1111"/>
      <c r="CF106" s="1111"/>
      <c r="CG106" s="1111"/>
      <c r="CH106" s="1111"/>
      <c r="CI106" s="1111"/>
      <c r="CJ106" s="1111"/>
      <c r="CK106" s="1110"/>
    </row>
    <row r="107" spans="1:89" ht="14.4" x14ac:dyDescent="0.3">
      <c r="A107" s="1110"/>
      <c r="B107" s="1110"/>
      <c r="C107" s="1110"/>
      <c r="D107" s="1110"/>
      <c r="E107" s="1110"/>
      <c r="F107" s="1110"/>
      <c r="G107" s="1110"/>
      <c r="H107" s="1110"/>
      <c r="I107" s="1110"/>
      <c r="J107" s="1110"/>
      <c r="K107" s="1110"/>
      <c r="L107" s="1110"/>
      <c r="M107" s="1110"/>
      <c r="N107" s="1110"/>
      <c r="O107" s="1110"/>
      <c r="P107" s="1110"/>
      <c r="Q107" s="1110"/>
      <c r="R107" s="1110"/>
      <c r="S107" s="1110"/>
      <c r="T107" s="1111"/>
      <c r="U107" s="1111" t="s">
        <v>343</v>
      </c>
      <c r="V107" s="1111"/>
      <c r="W107" s="1167">
        <f t="shared" si="75"/>
        <v>14000</v>
      </c>
      <c r="X107" s="1167">
        <f t="shared" si="74"/>
        <v>14387.8</v>
      </c>
      <c r="Y107" s="1167">
        <f t="shared" si="74"/>
        <v>15013.65</v>
      </c>
      <c r="Z107" s="1167">
        <f t="shared" si="74"/>
        <v>15907.75</v>
      </c>
      <c r="AA107" s="1167">
        <f t="shared" si="74"/>
        <v>16802.250000000004</v>
      </c>
      <c r="AB107" s="1167">
        <f t="shared" si="74"/>
        <v>17696.700000000004</v>
      </c>
      <c r="AC107" s="1167">
        <f t="shared" si="74"/>
        <v>18590.800000000007</v>
      </c>
      <c r="AD107" s="1167">
        <f t="shared" si="74"/>
        <v>19485.7</v>
      </c>
      <c r="AE107" s="1167">
        <f t="shared" si="74"/>
        <v>20282.249999999996</v>
      </c>
      <c r="AF107" s="1167">
        <f t="shared" si="74"/>
        <v>21079.05</v>
      </c>
      <c r="AG107" s="1167">
        <f t="shared" si="74"/>
        <v>21875.599999999999</v>
      </c>
      <c r="AH107" s="1167">
        <f t="shared" si="74"/>
        <v>22672.149999999998</v>
      </c>
      <c r="AI107" s="1167">
        <f t="shared" si="74"/>
        <v>23469.5</v>
      </c>
      <c r="AJ107" s="1167">
        <f t="shared" si="74"/>
        <v>23997.4</v>
      </c>
      <c r="AK107" s="1167">
        <f t="shared" si="74"/>
        <v>24385.200000000001</v>
      </c>
      <c r="AL107" s="1167">
        <f t="shared" si="74"/>
        <v>24773</v>
      </c>
      <c r="AM107" s="1167">
        <f t="shared" si="74"/>
        <v>25160.799999999999</v>
      </c>
      <c r="AN107" s="1167">
        <f t="shared" si="74"/>
        <v>25548.85</v>
      </c>
      <c r="AO107" s="1167">
        <f t="shared" si="74"/>
        <v>25936.650000000005</v>
      </c>
      <c r="AP107" s="1167">
        <f t="shared" si="74"/>
        <v>26324.699999999997</v>
      </c>
      <c r="AQ107" s="1167">
        <f t="shared" si="74"/>
        <v>26712.499999999996</v>
      </c>
      <c r="AR107" s="1167">
        <f t="shared" si="74"/>
        <v>27100.3</v>
      </c>
      <c r="AS107" s="1167">
        <f t="shared" si="74"/>
        <v>27488.35</v>
      </c>
      <c r="AT107" s="1167">
        <f t="shared" si="74"/>
        <v>27876.149999999994</v>
      </c>
      <c r="AU107" s="1167">
        <f t="shared" si="74"/>
        <v>28263.949999999997</v>
      </c>
      <c r="AV107" s="1167">
        <f t="shared" si="74"/>
        <v>28651.999999999996</v>
      </c>
      <c r="AW107" s="1111"/>
      <c r="AX107" s="1111"/>
      <c r="AY107" s="1111"/>
      <c r="AZ107" s="1111"/>
      <c r="BA107" s="1111"/>
      <c r="BB107" s="1111"/>
      <c r="BC107" s="1111"/>
      <c r="BD107" s="1111"/>
      <c r="BE107" s="1111"/>
      <c r="BF107" s="1111"/>
      <c r="BG107" s="1111"/>
      <c r="BH107" s="1111"/>
      <c r="BI107" s="1111"/>
      <c r="BJ107" s="1111"/>
      <c r="BK107" s="1111"/>
      <c r="BL107" s="1111"/>
      <c r="BM107" s="1111"/>
      <c r="BN107" s="1111"/>
      <c r="BO107" s="1111"/>
      <c r="BP107" s="1111"/>
      <c r="BQ107" s="1111"/>
      <c r="BR107" s="1111"/>
      <c r="BS107" s="1111"/>
      <c r="BT107" s="1111"/>
      <c r="BU107" s="1111"/>
      <c r="BV107" s="1111"/>
      <c r="BW107" s="1111"/>
      <c r="BX107" s="1111"/>
      <c r="BY107" s="1111"/>
      <c r="BZ107" s="1111"/>
      <c r="CA107" s="1111"/>
      <c r="CB107" s="1111"/>
      <c r="CC107" s="1111"/>
      <c r="CD107" s="1111"/>
      <c r="CE107" s="1111"/>
      <c r="CF107" s="1111"/>
      <c r="CG107" s="1111"/>
      <c r="CH107" s="1111"/>
      <c r="CI107" s="1111"/>
      <c r="CJ107" s="1111"/>
      <c r="CK107" s="1110"/>
    </row>
    <row r="108" spans="1:89" ht="14.4" x14ac:dyDescent="0.3">
      <c r="A108" s="1110"/>
      <c r="B108" s="1110"/>
      <c r="C108" s="1110"/>
      <c r="D108" s="1110"/>
      <c r="E108" s="1110"/>
      <c r="F108" s="1110"/>
      <c r="G108" s="1110"/>
      <c r="H108" s="1110"/>
      <c r="I108" s="1110"/>
      <c r="J108" s="1110"/>
      <c r="K108" s="1110"/>
      <c r="L108" s="1110"/>
      <c r="M108" s="1110"/>
      <c r="N108" s="1110"/>
      <c r="O108" s="1110"/>
      <c r="P108" s="1110"/>
      <c r="Q108" s="1110"/>
      <c r="R108" s="1110"/>
      <c r="S108" s="1110"/>
      <c r="T108" s="1111"/>
      <c r="U108" s="1111" t="s">
        <v>342</v>
      </c>
      <c r="V108" s="1111"/>
      <c r="W108" s="1167">
        <f t="shared" si="75"/>
        <v>28000</v>
      </c>
      <c r="X108" s="1167">
        <f t="shared" si="74"/>
        <v>28642.75</v>
      </c>
      <c r="Y108" s="1167">
        <f t="shared" si="74"/>
        <v>29582.9</v>
      </c>
      <c r="Z108" s="1167">
        <f t="shared" si="74"/>
        <v>30710.400000000001</v>
      </c>
      <c r="AA108" s="1167">
        <f t="shared" si="74"/>
        <v>31838.2</v>
      </c>
      <c r="AB108" s="1167">
        <f t="shared" si="74"/>
        <v>32966.100000000013</v>
      </c>
      <c r="AC108" s="1167">
        <f t="shared" si="74"/>
        <v>34093.600000000006</v>
      </c>
      <c r="AD108" s="1167">
        <f t="shared" si="74"/>
        <v>35221.700000000004</v>
      </c>
      <c r="AE108" s="1167">
        <f t="shared" si="74"/>
        <v>36192.199999999997</v>
      </c>
      <c r="AF108" s="1167">
        <f t="shared" si="74"/>
        <v>37162.65</v>
      </c>
      <c r="AG108" s="1167">
        <f t="shared" si="74"/>
        <v>38133.15</v>
      </c>
      <c r="AH108" s="1167">
        <f t="shared" si="74"/>
        <v>39103.649999999994</v>
      </c>
      <c r="AI108" s="1167">
        <f t="shared" si="74"/>
        <v>40074.749999999993</v>
      </c>
      <c r="AJ108" s="1167">
        <f t="shared" si="74"/>
        <v>40857.599999999999</v>
      </c>
      <c r="AK108" s="1167">
        <f t="shared" si="74"/>
        <v>41500.349999999991</v>
      </c>
      <c r="AL108" s="1167">
        <f t="shared" si="74"/>
        <v>42143.099999999991</v>
      </c>
      <c r="AM108" s="1167">
        <f t="shared" si="74"/>
        <v>42785.849999999991</v>
      </c>
      <c r="AN108" s="1167">
        <f t="shared" si="74"/>
        <v>43428.749999999993</v>
      </c>
      <c r="AO108" s="1167">
        <f t="shared" si="74"/>
        <v>44071.499999999993</v>
      </c>
      <c r="AP108" s="1167">
        <f t="shared" si="74"/>
        <v>44714.399999999994</v>
      </c>
      <c r="AQ108" s="1167">
        <f t="shared" si="74"/>
        <v>45357.149999999994</v>
      </c>
      <c r="AR108" s="1167">
        <f t="shared" si="74"/>
        <v>45999.899999999994</v>
      </c>
      <c r="AS108" s="1167">
        <f t="shared" si="74"/>
        <v>46642.799999999996</v>
      </c>
      <c r="AT108" s="1167">
        <f t="shared" si="74"/>
        <v>47285.549999999988</v>
      </c>
      <c r="AU108" s="1167">
        <f t="shared" si="74"/>
        <v>47928.299999999996</v>
      </c>
      <c r="AV108" s="1167">
        <f t="shared" si="74"/>
        <v>48571.199999999997</v>
      </c>
      <c r="AW108" s="1111"/>
      <c r="AX108" s="1111"/>
      <c r="AY108" s="1111"/>
      <c r="AZ108" s="1111"/>
      <c r="BA108" s="1111"/>
      <c r="BB108" s="1111"/>
      <c r="BC108" s="1111"/>
      <c r="BD108" s="1111"/>
      <c r="BE108" s="1111"/>
      <c r="BF108" s="1111"/>
      <c r="BG108" s="1111"/>
      <c r="BH108" s="1111"/>
      <c r="BI108" s="1111"/>
      <c r="BJ108" s="1111"/>
      <c r="BK108" s="1111"/>
      <c r="BL108" s="1111"/>
      <c r="BM108" s="1111"/>
      <c r="BN108" s="1111"/>
      <c r="BO108" s="1111"/>
      <c r="BP108" s="1111"/>
      <c r="BQ108" s="1111"/>
      <c r="BR108" s="1111"/>
      <c r="BS108" s="1111"/>
      <c r="BT108" s="1111"/>
      <c r="BU108" s="1111"/>
      <c r="BV108" s="1111"/>
      <c r="BW108" s="1111"/>
      <c r="BX108" s="1111"/>
      <c r="BY108" s="1111"/>
      <c r="BZ108" s="1111"/>
      <c r="CA108" s="1111"/>
      <c r="CB108" s="1111"/>
      <c r="CC108" s="1111"/>
      <c r="CD108" s="1111"/>
      <c r="CE108" s="1111"/>
      <c r="CF108" s="1111"/>
      <c r="CG108" s="1111"/>
      <c r="CH108" s="1111"/>
      <c r="CI108" s="1111"/>
      <c r="CJ108" s="1111"/>
      <c r="CK108" s="1110"/>
    </row>
    <row r="109" spans="1:89" ht="14.4" x14ac:dyDescent="0.3">
      <c r="A109" s="1110"/>
      <c r="B109" s="1110"/>
      <c r="C109" s="1110"/>
      <c r="D109" s="1110"/>
      <c r="E109" s="1110"/>
      <c r="F109" s="1110"/>
      <c r="G109" s="1110"/>
      <c r="H109" s="1110"/>
      <c r="I109" s="1110"/>
      <c r="J109" s="1110"/>
      <c r="K109" s="1110"/>
      <c r="L109" s="1110"/>
      <c r="M109" s="1110"/>
      <c r="N109" s="1110"/>
      <c r="O109" s="1110"/>
      <c r="P109" s="1110"/>
      <c r="Q109" s="1110"/>
      <c r="R109" s="1110"/>
      <c r="S109" s="1110"/>
      <c r="T109" s="1111"/>
      <c r="U109" s="1111" t="s">
        <v>341</v>
      </c>
      <c r="V109" s="1111"/>
      <c r="W109" s="1167">
        <f t="shared" si="75"/>
        <v>28000</v>
      </c>
      <c r="X109" s="1167">
        <f t="shared" si="74"/>
        <v>28618.7</v>
      </c>
      <c r="Y109" s="1167">
        <f t="shared" si="74"/>
        <v>29534.75</v>
      </c>
      <c r="Z109" s="1167">
        <f t="shared" si="74"/>
        <v>30697.3</v>
      </c>
      <c r="AA109" s="1167">
        <f t="shared" si="74"/>
        <v>31860.200000000004</v>
      </c>
      <c r="AB109" s="1167">
        <f t="shared" si="74"/>
        <v>33023.03</v>
      </c>
      <c r="AC109" s="1167">
        <f t="shared" si="74"/>
        <v>34185.579999999994</v>
      </c>
      <c r="AD109" s="1167">
        <f t="shared" si="74"/>
        <v>35348.759999999995</v>
      </c>
      <c r="AE109" s="1167">
        <f t="shared" si="74"/>
        <v>36382.36</v>
      </c>
      <c r="AF109" s="1167">
        <f t="shared" si="74"/>
        <v>37416.06</v>
      </c>
      <c r="AG109" s="1167">
        <f t="shared" si="74"/>
        <v>38449.659999999996</v>
      </c>
      <c r="AH109" s="1167">
        <f t="shared" si="74"/>
        <v>39483.26</v>
      </c>
      <c r="AI109" s="1167">
        <f t="shared" si="74"/>
        <v>40517.339999999997</v>
      </c>
      <c r="AJ109" s="1167">
        <f t="shared" si="74"/>
        <v>41304.159999999996</v>
      </c>
      <c r="AK109" s="1167">
        <f t="shared" si="74"/>
        <v>41922.86</v>
      </c>
      <c r="AL109" s="1167">
        <f t="shared" si="74"/>
        <v>42541.560000000005</v>
      </c>
      <c r="AM109" s="1167">
        <f t="shared" si="74"/>
        <v>43160.260000000009</v>
      </c>
      <c r="AN109" s="1167">
        <f t="shared" si="74"/>
        <v>43779.060000000005</v>
      </c>
      <c r="AO109" s="1167">
        <f t="shared" si="74"/>
        <v>44397.759999999995</v>
      </c>
      <c r="AP109" s="1167">
        <f t="shared" si="74"/>
        <v>45016.560000000005</v>
      </c>
      <c r="AQ109" s="1167">
        <f t="shared" si="74"/>
        <v>45635.260000000009</v>
      </c>
      <c r="AR109" s="1167">
        <f t="shared" si="74"/>
        <v>46253.960000000006</v>
      </c>
      <c r="AS109" s="1167">
        <f t="shared" si="74"/>
        <v>46872.76</v>
      </c>
      <c r="AT109" s="1167">
        <f t="shared" si="74"/>
        <v>47491.460000000014</v>
      </c>
      <c r="AU109" s="1167">
        <f t="shared" si="74"/>
        <v>48110.160000000011</v>
      </c>
      <c r="AV109" s="1167">
        <f t="shared" si="74"/>
        <v>48728.960000000006</v>
      </c>
      <c r="AW109" s="1111"/>
      <c r="AX109" s="1111"/>
      <c r="AY109" s="1111"/>
      <c r="AZ109" s="1111"/>
      <c r="BA109" s="1111"/>
      <c r="BB109" s="1111"/>
      <c r="BC109" s="1111"/>
      <c r="BD109" s="1111"/>
      <c r="BE109" s="1111"/>
      <c r="BF109" s="1111"/>
      <c r="BG109" s="1111"/>
      <c r="BH109" s="1111"/>
      <c r="BI109" s="1111"/>
      <c r="BJ109" s="1111"/>
      <c r="BK109" s="1111"/>
      <c r="BL109" s="1111"/>
      <c r="BM109" s="1111"/>
      <c r="BN109" s="1111"/>
      <c r="BO109" s="1111"/>
      <c r="BP109" s="1111"/>
      <c r="BQ109" s="1111"/>
      <c r="BR109" s="1111"/>
      <c r="BS109" s="1111"/>
      <c r="BT109" s="1111"/>
      <c r="BU109" s="1111"/>
      <c r="BV109" s="1111"/>
      <c r="BW109" s="1111"/>
      <c r="BX109" s="1111"/>
      <c r="BY109" s="1111"/>
      <c r="BZ109" s="1111"/>
      <c r="CA109" s="1111"/>
      <c r="CB109" s="1111"/>
      <c r="CC109" s="1111"/>
      <c r="CD109" s="1111"/>
      <c r="CE109" s="1111"/>
      <c r="CF109" s="1111"/>
      <c r="CG109" s="1111"/>
      <c r="CH109" s="1111"/>
      <c r="CI109" s="1111"/>
      <c r="CJ109" s="1111"/>
      <c r="CK109" s="1110"/>
    </row>
    <row r="110" spans="1:89" ht="14.4" x14ac:dyDescent="0.3">
      <c r="A110" s="1110"/>
      <c r="B110" s="1110"/>
      <c r="C110" s="1110"/>
      <c r="D110" s="1110"/>
      <c r="E110" s="1110"/>
      <c r="F110" s="1110"/>
      <c r="G110" s="1110"/>
      <c r="H110" s="1110"/>
      <c r="I110" s="1110"/>
      <c r="J110" s="1110"/>
      <c r="K110" s="1110"/>
      <c r="L110" s="1110"/>
      <c r="M110" s="1110"/>
      <c r="N110" s="1110"/>
      <c r="O110" s="1110"/>
      <c r="P110" s="1110"/>
      <c r="Q110" s="1110"/>
      <c r="R110" s="1110"/>
      <c r="S110" s="1110"/>
      <c r="T110" s="1111"/>
      <c r="U110" s="1111" t="s">
        <v>340</v>
      </c>
      <c r="V110" s="1111"/>
      <c r="W110" s="1167">
        <f t="shared" si="75"/>
        <v>28000</v>
      </c>
      <c r="X110" s="1167">
        <f t="shared" si="74"/>
        <v>28618.7</v>
      </c>
      <c r="Y110" s="1167">
        <f t="shared" si="74"/>
        <v>29534.75</v>
      </c>
      <c r="Z110" s="1167">
        <f t="shared" si="74"/>
        <v>30697.3</v>
      </c>
      <c r="AA110" s="1167">
        <f t="shared" si="74"/>
        <v>31860.200000000004</v>
      </c>
      <c r="AB110" s="1167">
        <f t="shared" si="74"/>
        <v>33023.03</v>
      </c>
      <c r="AC110" s="1167">
        <f t="shared" si="74"/>
        <v>34185.579999999994</v>
      </c>
      <c r="AD110" s="1167">
        <f t="shared" si="74"/>
        <v>35348.759999999995</v>
      </c>
      <c r="AE110" s="1167">
        <f t="shared" si="74"/>
        <v>36382.36</v>
      </c>
      <c r="AF110" s="1167">
        <f t="shared" si="74"/>
        <v>37416.06</v>
      </c>
      <c r="AG110" s="1167">
        <f t="shared" si="74"/>
        <v>38449.659999999996</v>
      </c>
      <c r="AH110" s="1167">
        <f t="shared" si="74"/>
        <v>39483.26</v>
      </c>
      <c r="AI110" s="1167">
        <f t="shared" si="74"/>
        <v>40517.339999999997</v>
      </c>
      <c r="AJ110" s="1167">
        <f t="shared" si="74"/>
        <v>41304.159999999996</v>
      </c>
      <c r="AK110" s="1167">
        <f t="shared" si="74"/>
        <v>41922.86</v>
      </c>
      <c r="AL110" s="1167">
        <f t="shared" si="74"/>
        <v>42541.560000000005</v>
      </c>
      <c r="AM110" s="1167">
        <f t="shared" si="74"/>
        <v>43160.260000000009</v>
      </c>
      <c r="AN110" s="1167">
        <f t="shared" si="74"/>
        <v>43779.060000000005</v>
      </c>
      <c r="AO110" s="1167">
        <f t="shared" si="74"/>
        <v>44397.759999999995</v>
      </c>
      <c r="AP110" s="1167">
        <f t="shared" si="74"/>
        <v>45016.560000000005</v>
      </c>
      <c r="AQ110" s="1167">
        <f t="shared" si="74"/>
        <v>45635.260000000009</v>
      </c>
      <c r="AR110" s="1167">
        <f t="shared" si="74"/>
        <v>46253.960000000006</v>
      </c>
      <c r="AS110" s="1167">
        <f t="shared" si="74"/>
        <v>46872.76</v>
      </c>
      <c r="AT110" s="1167">
        <f t="shared" si="74"/>
        <v>47491.460000000014</v>
      </c>
      <c r="AU110" s="1167">
        <f t="shared" si="74"/>
        <v>48110.160000000011</v>
      </c>
      <c r="AV110" s="1167">
        <f t="shared" si="74"/>
        <v>48728.960000000006</v>
      </c>
      <c r="AW110" s="1111"/>
      <c r="AX110" s="1111"/>
      <c r="AY110" s="1111"/>
      <c r="AZ110" s="1111"/>
      <c r="BA110" s="1111"/>
      <c r="BB110" s="1111"/>
      <c r="BC110" s="1111"/>
      <c r="BD110" s="1111"/>
      <c r="BE110" s="1111"/>
      <c r="BF110" s="1111"/>
      <c r="BG110" s="1111"/>
      <c r="BH110" s="1111"/>
      <c r="BI110" s="1111"/>
      <c r="BJ110" s="1111"/>
      <c r="BK110" s="1111"/>
      <c r="BL110" s="1111"/>
      <c r="BM110" s="1111"/>
      <c r="BN110" s="1111"/>
      <c r="BO110" s="1111"/>
      <c r="BP110" s="1111"/>
      <c r="BQ110" s="1111"/>
      <c r="BR110" s="1111"/>
      <c r="BS110" s="1111"/>
      <c r="BT110" s="1111"/>
      <c r="BU110" s="1111"/>
      <c r="BV110" s="1111"/>
      <c r="BW110" s="1111"/>
      <c r="BX110" s="1111"/>
      <c r="BY110" s="1111"/>
      <c r="BZ110" s="1111"/>
      <c r="CA110" s="1111"/>
      <c r="CB110" s="1111"/>
      <c r="CC110" s="1111"/>
      <c r="CD110" s="1111"/>
      <c r="CE110" s="1111"/>
      <c r="CF110" s="1111"/>
      <c r="CG110" s="1111"/>
      <c r="CH110" s="1111"/>
      <c r="CI110" s="1111"/>
      <c r="CJ110" s="1111"/>
      <c r="CK110" s="1110"/>
    </row>
    <row r="111" spans="1:89" ht="14.4" x14ac:dyDescent="0.3">
      <c r="A111" s="1110"/>
      <c r="B111" s="1110"/>
      <c r="C111" s="1110"/>
      <c r="D111" s="1110"/>
      <c r="E111" s="1110"/>
      <c r="F111" s="1110"/>
      <c r="G111" s="1110"/>
      <c r="H111" s="1110"/>
      <c r="I111" s="1110"/>
      <c r="J111" s="1110"/>
      <c r="K111" s="1110"/>
      <c r="L111" s="1110"/>
      <c r="M111" s="1110"/>
      <c r="N111" s="1110"/>
      <c r="O111" s="1110"/>
      <c r="P111" s="1110"/>
      <c r="Q111" s="1110"/>
      <c r="R111" s="1110"/>
      <c r="S111" s="1110"/>
      <c r="T111" s="1111"/>
      <c r="U111" s="1111" t="s">
        <v>339</v>
      </c>
      <c r="V111" s="1111"/>
      <c r="W111" s="1167">
        <f t="shared" si="75"/>
        <v>32000</v>
      </c>
      <c r="X111" s="1167">
        <f t="shared" si="74"/>
        <v>32764.35</v>
      </c>
      <c r="Y111" s="1167">
        <f t="shared" si="74"/>
        <v>33826.1</v>
      </c>
      <c r="Z111" s="1167">
        <f t="shared" si="74"/>
        <v>35236.199999999997</v>
      </c>
      <c r="AA111" s="1167">
        <f t="shared" si="74"/>
        <v>36646.700000000004</v>
      </c>
      <c r="AB111" s="1167">
        <f t="shared" si="74"/>
        <v>38057.300000000003</v>
      </c>
      <c r="AC111" s="1167">
        <f t="shared" si="74"/>
        <v>39467.4</v>
      </c>
      <c r="AD111" s="1167">
        <f t="shared" si="74"/>
        <v>40878.30000000001</v>
      </c>
      <c r="AE111" s="1167">
        <f t="shared" si="74"/>
        <v>42224.9</v>
      </c>
      <c r="AF111" s="1167">
        <f t="shared" si="74"/>
        <v>43571.549999999996</v>
      </c>
      <c r="AG111" s="1167">
        <f t="shared" si="74"/>
        <v>44918.149999999994</v>
      </c>
      <c r="AH111" s="1167">
        <f t="shared" si="74"/>
        <v>46264.75</v>
      </c>
      <c r="AI111" s="1167">
        <f t="shared" si="74"/>
        <v>47612.15</v>
      </c>
      <c r="AJ111" s="1167">
        <f t="shared" si="74"/>
        <v>48610</v>
      </c>
      <c r="AK111" s="1167">
        <f t="shared" si="74"/>
        <v>49374.35</v>
      </c>
      <c r="AL111" s="1167">
        <f t="shared" si="74"/>
        <v>50138.7</v>
      </c>
      <c r="AM111" s="1167">
        <f t="shared" si="74"/>
        <v>50903.049999999996</v>
      </c>
      <c r="AN111" s="1167">
        <f t="shared" si="74"/>
        <v>51667.549999999996</v>
      </c>
      <c r="AO111" s="1167">
        <f t="shared" si="74"/>
        <v>52431.899999999994</v>
      </c>
      <c r="AP111" s="1167">
        <f t="shared" si="74"/>
        <v>53196.4</v>
      </c>
      <c r="AQ111" s="1167">
        <f t="shared" si="74"/>
        <v>53960.75</v>
      </c>
      <c r="AR111" s="1167">
        <f t="shared" si="74"/>
        <v>54725.1</v>
      </c>
      <c r="AS111" s="1167">
        <f t="shared" si="74"/>
        <v>55489.599999999999</v>
      </c>
      <c r="AT111" s="1167">
        <f t="shared" si="74"/>
        <v>56253.95</v>
      </c>
      <c r="AU111" s="1167">
        <f t="shared" si="74"/>
        <v>57018.299999999996</v>
      </c>
      <c r="AV111" s="1167">
        <f t="shared" si="74"/>
        <v>57782.799999999996</v>
      </c>
      <c r="AW111" s="1111"/>
      <c r="AX111" s="1111"/>
      <c r="AY111" s="1111"/>
      <c r="AZ111" s="1111"/>
      <c r="BA111" s="1111"/>
      <c r="BB111" s="1111"/>
      <c r="BC111" s="1111"/>
      <c r="BD111" s="1111"/>
      <c r="BE111" s="1111"/>
      <c r="BF111" s="1111"/>
      <c r="BG111" s="1111"/>
      <c r="BH111" s="1111"/>
      <c r="BI111" s="1111"/>
      <c r="BJ111" s="1111"/>
      <c r="BK111" s="1111"/>
      <c r="BL111" s="1111"/>
      <c r="BM111" s="1111"/>
      <c r="BN111" s="1111"/>
      <c r="BO111" s="1111"/>
      <c r="BP111" s="1111"/>
      <c r="BQ111" s="1111"/>
      <c r="BR111" s="1111"/>
      <c r="BS111" s="1111"/>
      <c r="BT111" s="1111"/>
      <c r="BU111" s="1111"/>
      <c r="BV111" s="1111"/>
      <c r="BW111" s="1111"/>
      <c r="BX111" s="1111"/>
      <c r="BY111" s="1111"/>
      <c r="BZ111" s="1111"/>
      <c r="CA111" s="1111"/>
      <c r="CB111" s="1111"/>
      <c r="CC111" s="1111"/>
      <c r="CD111" s="1111"/>
      <c r="CE111" s="1111"/>
      <c r="CF111" s="1111"/>
      <c r="CG111" s="1111"/>
      <c r="CH111" s="1111"/>
      <c r="CI111" s="1111"/>
      <c r="CJ111" s="1111"/>
      <c r="CK111" s="1110"/>
    </row>
    <row r="112" spans="1:89" ht="14.4" x14ac:dyDescent="0.3">
      <c r="A112" s="1110"/>
      <c r="B112" s="1110"/>
      <c r="C112" s="1110"/>
      <c r="D112" s="1110"/>
      <c r="E112" s="1110"/>
      <c r="F112" s="1110"/>
      <c r="G112" s="1110"/>
      <c r="H112" s="1110"/>
      <c r="I112" s="1110"/>
      <c r="J112" s="1110"/>
      <c r="K112" s="1110"/>
      <c r="L112" s="1110"/>
      <c r="M112" s="1110"/>
      <c r="N112" s="1110"/>
      <c r="O112" s="1110"/>
      <c r="P112" s="1110"/>
      <c r="Q112" s="1110"/>
      <c r="R112" s="1110"/>
      <c r="S112" s="1110"/>
      <c r="T112" s="1111"/>
      <c r="U112" s="1111" t="s">
        <v>355</v>
      </c>
      <c r="V112" s="1111"/>
      <c r="W112" s="1167">
        <f t="shared" si="75"/>
        <v>10000</v>
      </c>
      <c r="X112" s="1167">
        <f t="shared" si="74"/>
        <v>10288.270000000002</v>
      </c>
      <c r="Y112" s="1167">
        <f t="shared" si="74"/>
        <v>10600.29</v>
      </c>
      <c r="Z112" s="1167">
        <f t="shared" si="74"/>
        <v>11014.24</v>
      </c>
      <c r="AA112" s="1167">
        <f t="shared" si="74"/>
        <v>11428.259999999998</v>
      </c>
      <c r="AB112" s="1167">
        <f t="shared" si="74"/>
        <v>11842.449999999999</v>
      </c>
      <c r="AC112" s="1167">
        <f t="shared" si="74"/>
        <v>12256.400000000001</v>
      </c>
      <c r="AD112" s="1167">
        <f t="shared" si="74"/>
        <v>12670.460000000001</v>
      </c>
      <c r="AE112" s="1167">
        <f t="shared" si="74"/>
        <v>13126.080000000002</v>
      </c>
      <c r="AF112" s="1167">
        <f t="shared" si="74"/>
        <v>13581.55</v>
      </c>
      <c r="AG112" s="1167">
        <f t="shared" si="74"/>
        <v>14037.17</v>
      </c>
      <c r="AH112" s="1167">
        <f t="shared" si="74"/>
        <v>14492.789999999999</v>
      </c>
      <c r="AI112" s="1167">
        <f t="shared" si="74"/>
        <v>14948.670000000002</v>
      </c>
      <c r="AJ112" s="1167">
        <f t="shared" si="74"/>
        <v>15302.32</v>
      </c>
      <c r="AK112" s="1167">
        <f t="shared" si="74"/>
        <v>15590.59</v>
      </c>
      <c r="AL112" s="1167">
        <f t="shared" si="74"/>
        <v>15878.86</v>
      </c>
      <c r="AM112" s="1167">
        <f t="shared" si="74"/>
        <v>16167.130000000001</v>
      </c>
      <c r="AN112" s="1167">
        <f t="shared" si="74"/>
        <v>16455.37</v>
      </c>
      <c r="AO112" s="1167">
        <f t="shared" si="74"/>
        <v>16743.639999999996</v>
      </c>
      <c r="AP112" s="1167">
        <f t="shared" si="74"/>
        <v>17031.879999999994</v>
      </c>
      <c r="AQ112" s="1167">
        <f t="shared" si="74"/>
        <v>17320.150000000001</v>
      </c>
      <c r="AR112" s="1167">
        <f t="shared" si="74"/>
        <v>17608.420000000002</v>
      </c>
      <c r="AS112" s="1167">
        <f t="shared" si="74"/>
        <v>17896.66</v>
      </c>
      <c r="AT112" s="1167">
        <f t="shared" si="74"/>
        <v>18184.93</v>
      </c>
      <c r="AU112" s="1167">
        <f t="shared" si="74"/>
        <v>18473.2</v>
      </c>
      <c r="AV112" s="1167">
        <f t="shared" si="74"/>
        <v>18761.440000000002</v>
      </c>
      <c r="AW112" s="1111"/>
      <c r="AX112" s="1111"/>
      <c r="AY112" s="1111"/>
      <c r="AZ112" s="1111"/>
      <c r="BA112" s="1111"/>
      <c r="BB112" s="1111"/>
      <c r="BC112" s="1111"/>
      <c r="BD112" s="1111"/>
      <c r="BE112" s="1111"/>
      <c r="BF112" s="1111"/>
      <c r="BG112" s="1111"/>
      <c r="BH112" s="1111"/>
      <c r="BI112" s="1111"/>
      <c r="BJ112" s="1111"/>
      <c r="BK112" s="1111"/>
      <c r="BL112" s="1111"/>
      <c r="BM112" s="1111"/>
      <c r="BN112" s="1111"/>
      <c r="BO112" s="1111"/>
      <c r="BP112" s="1111"/>
      <c r="BQ112" s="1111"/>
      <c r="BR112" s="1111"/>
      <c r="BS112" s="1111"/>
      <c r="BT112" s="1111"/>
      <c r="BU112" s="1111"/>
      <c r="BV112" s="1111"/>
      <c r="BW112" s="1111"/>
      <c r="BX112" s="1111"/>
      <c r="BY112" s="1111"/>
      <c r="BZ112" s="1111"/>
      <c r="CA112" s="1111"/>
      <c r="CB112" s="1111"/>
      <c r="CC112" s="1111"/>
      <c r="CD112" s="1111"/>
      <c r="CE112" s="1111"/>
      <c r="CF112" s="1111"/>
      <c r="CG112" s="1111"/>
      <c r="CH112" s="1111"/>
      <c r="CI112" s="1111"/>
      <c r="CJ112" s="1111"/>
      <c r="CK112" s="1110"/>
    </row>
    <row r="113" spans="1:89" ht="14.4" x14ac:dyDescent="0.3">
      <c r="A113" s="1110"/>
      <c r="B113" s="1110"/>
      <c r="C113" s="1110"/>
      <c r="D113" s="1110"/>
      <c r="E113" s="1110"/>
      <c r="F113" s="1110"/>
      <c r="G113" s="1110"/>
      <c r="H113" s="1110"/>
      <c r="I113" s="1110"/>
      <c r="J113" s="1110"/>
      <c r="K113" s="1110"/>
      <c r="L113" s="1110"/>
      <c r="M113" s="1110"/>
      <c r="N113" s="1110"/>
      <c r="O113" s="1110"/>
      <c r="P113" s="1110"/>
      <c r="Q113" s="1110"/>
      <c r="R113" s="1110"/>
      <c r="S113" s="1110"/>
      <c r="T113" s="1111"/>
      <c r="U113" s="1111" t="s">
        <v>356</v>
      </c>
      <c r="V113" s="1111"/>
      <c r="W113" s="1167">
        <f t="shared" si="75"/>
        <v>7600</v>
      </c>
      <c r="X113" s="1167">
        <f t="shared" si="74"/>
        <v>7815.7</v>
      </c>
      <c r="Y113" s="1167">
        <f t="shared" si="74"/>
        <v>8055.07</v>
      </c>
      <c r="Z113" s="1167">
        <f t="shared" si="74"/>
        <v>8391.0499999999993</v>
      </c>
      <c r="AA113" s="1167">
        <f t="shared" si="74"/>
        <v>8727.09</v>
      </c>
      <c r="AB113" s="1167">
        <f t="shared" si="74"/>
        <v>9063.1999999999989</v>
      </c>
      <c r="AC113" s="1167">
        <f t="shared" si="74"/>
        <v>9399.18</v>
      </c>
      <c r="AD113" s="1167">
        <f t="shared" si="74"/>
        <v>9735.18</v>
      </c>
      <c r="AE113" s="1167">
        <f t="shared" si="74"/>
        <v>10112.830000000002</v>
      </c>
      <c r="AF113" s="1167">
        <f t="shared" si="74"/>
        <v>10490.349999999999</v>
      </c>
      <c r="AG113" s="1167">
        <f t="shared" si="74"/>
        <v>10867.999999999998</v>
      </c>
      <c r="AH113" s="1167">
        <f t="shared" si="74"/>
        <v>11245.649999999998</v>
      </c>
      <c r="AI113" s="1167">
        <f t="shared" si="74"/>
        <v>11623.36</v>
      </c>
      <c r="AJ113" s="1167">
        <f t="shared" si="74"/>
        <v>11904.439999999999</v>
      </c>
      <c r="AK113" s="1167">
        <f t="shared" si="74"/>
        <v>12120.14</v>
      </c>
      <c r="AL113" s="1167">
        <f t="shared" si="74"/>
        <v>12335.84</v>
      </c>
      <c r="AM113" s="1167">
        <f t="shared" si="74"/>
        <v>12551.539999999999</v>
      </c>
      <c r="AN113" s="1167">
        <f t="shared" si="74"/>
        <v>12767.129999999997</v>
      </c>
      <c r="AO113" s="1167">
        <f t="shared" si="74"/>
        <v>12982.829999999998</v>
      </c>
      <c r="AP113" s="1167">
        <f t="shared" si="74"/>
        <v>13198.42</v>
      </c>
      <c r="AQ113" s="1167">
        <f t="shared" si="74"/>
        <v>13414.119999999999</v>
      </c>
      <c r="AR113" s="1167">
        <f t="shared" si="74"/>
        <v>13629.82</v>
      </c>
      <c r="AS113" s="1167">
        <f t="shared" si="74"/>
        <v>13845.409999999998</v>
      </c>
      <c r="AT113" s="1167">
        <f t="shared" si="74"/>
        <v>14061.109999999999</v>
      </c>
      <c r="AU113" s="1167">
        <f t="shared" si="74"/>
        <v>14276.809999999998</v>
      </c>
      <c r="AV113" s="1167">
        <f t="shared" si="74"/>
        <v>14492.399999999998</v>
      </c>
      <c r="AW113" s="1111"/>
      <c r="AX113" s="1111"/>
      <c r="AY113" s="1111"/>
      <c r="AZ113" s="1111"/>
      <c r="BA113" s="1111"/>
      <c r="BB113" s="1111"/>
      <c r="BC113" s="1111"/>
      <c r="BD113" s="1111"/>
      <c r="BE113" s="1111"/>
      <c r="BF113" s="1111"/>
      <c r="BG113" s="1111"/>
      <c r="BH113" s="1111"/>
      <c r="BI113" s="1111"/>
      <c r="BJ113" s="1111"/>
      <c r="BK113" s="1111"/>
      <c r="BL113" s="1111"/>
      <c r="BM113" s="1111"/>
      <c r="BN113" s="1111"/>
      <c r="BO113" s="1111"/>
      <c r="BP113" s="1111"/>
      <c r="BQ113" s="1111"/>
      <c r="BR113" s="1111"/>
      <c r="BS113" s="1111"/>
      <c r="BT113" s="1111"/>
      <c r="BU113" s="1111"/>
      <c r="BV113" s="1111"/>
      <c r="BW113" s="1111"/>
      <c r="BX113" s="1111"/>
      <c r="BY113" s="1111"/>
      <c r="BZ113" s="1111"/>
      <c r="CA113" s="1111"/>
      <c r="CB113" s="1111"/>
      <c r="CC113" s="1111"/>
      <c r="CD113" s="1111"/>
      <c r="CE113" s="1111"/>
      <c r="CF113" s="1111"/>
      <c r="CG113" s="1111"/>
      <c r="CH113" s="1111"/>
      <c r="CI113" s="1111"/>
      <c r="CJ113" s="1111"/>
      <c r="CK113" s="1110"/>
    </row>
    <row r="114" spans="1:89" ht="14.4" x14ac:dyDescent="0.3">
      <c r="A114" s="1110"/>
      <c r="B114" s="1110"/>
      <c r="C114" s="1110"/>
      <c r="D114" s="1110"/>
      <c r="E114" s="1110"/>
      <c r="F114" s="1110"/>
      <c r="G114" s="1110"/>
      <c r="H114" s="1110"/>
      <c r="I114" s="1110"/>
      <c r="J114" s="1110"/>
      <c r="K114" s="1110"/>
      <c r="L114" s="1110"/>
      <c r="M114" s="1110"/>
      <c r="N114" s="1110"/>
      <c r="O114" s="1110"/>
      <c r="P114" s="1110"/>
      <c r="Q114" s="1110"/>
      <c r="R114" s="1110"/>
      <c r="S114" s="1110"/>
      <c r="T114" s="1111"/>
      <c r="U114" s="1111" t="s">
        <v>357</v>
      </c>
      <c r="V114" s="1111"/>
      <c r="W114" s="1167">
        <f t="shared" si="75"/>
        <v>6000</v>
      </c>
      <c r="X114" s="1167">
        <f t="shared" si="74"/>
        <v>6170.14</v>
      </c>
      <c r="Y114" s="1167">
        <f t="shared" si="74"/>
        <v>6364.0099999999993</v>
      </c>
      <c r="Z114" s="1167">
        <f t="shared" si="74"/>
        <v>6611.7300000000005</v>
      </c>
      <c r="AA114" s="1167">
        <f t="shared" si="74"/>
        <v>6859.53</v>
      </c>
      <c r="AB114" s="1167">
        <f t="shared" si="74"/>
        <v>7107.2900000000027</v>
      </c>
      <c r="AC114" s="1167">
        <f t="shared" si="74"/>
        <v>7355.0100000000011</v>
      </c>
      <c r="AD114" s="1167">
        <f t="shared" si="74"/>
        <v>7602.7800000000016</v>
      </c>
      <c r="AE114" s="1167">
        <f t="shared" si="74"/>
        <v>7882.82</v>
      </c>
      <c r="AF114" s="1167">
        <f t="shared" si="74"/>
        <v>8162.85</v>
      </c>
      <c r="AG114" s="1167">
        <f t="shared" si="74"/>
        <v>8442.85</v>
      </c>
      <c r="AH114" s="1167">
        <f t="shared" si="74"/>
        <v>8722.8900000000012</v>
      </c>
      <c r="AI114" s="1167">
        <f t="shared" si="74"/>
        <v>9002.98</v>
      </c>
      <c r="AJ114" s="1167">
        <f t="shared" si="74"/>
        <v>9229.16</v>
      </c>
      <c r="AK114" s="1167">
        <f t="shared" si="74"/>
        <v>9399.3000000000011</v>
      </c>
      <c r="AL114" s="1167">
        <f t="shared" si="74"/>
        <v>9569.4400000000023</v>
      </c>
      <c r="AM114" s="1167">
        <f t="shared" si="74"/>
        <v>9739.5800000000017</v>
      </c>
      <c r="AN114" s="1167">
        <f t="shared" si="74"/>
        <v>9909.6700000000019</v>
      </c>
      <c r="AO114" s="1167">
        <f t="shared" si="74"/>
        <v>10079.809999999998</v>
      </c>
      <c r="AP114" s="1167">
        <f t="shared" si="74"/>
        <v>10249.899999999998</v>
      </c>
      <c r="AQ114" s="1167">
        <f t="shared" si="74"/>
        <v>10420.039999999997</v>
      </c>
      <c r="AR114" s="1167">
        <f t="shared" si="74"/>
        <v>10590.179999999998</v>
      </c>
      <c r="AS114" s="1167">
        <f t="shared" si="74"/>
        <v>10760.269999999997</v>
      </c>
      <c r="AT114" s="1167">
        <f t="shared" si="74"/>
        <v>10930.409999999998</v>
      </c>
      <c r="AU114" s="1167">
        <f t="shared" si="74"/>
        <v>11100.549999999997</v>
      </c>
      <c r="AV114" s="1167">
        <f t="shared" si="74"/>
        <v>11270.639999999998</v>
      </c>
      <c r="AW114" s="1111"/>
      <c r="AX114" s="1111"/>
      <c r="AY114" s="1111"/>
      <c r="AZ114" s="1111"/>
      <c r="BA114" s="1111"/>
      <c r="BB114" s="1111"/>
      <c r="BC114" s="1111"/>
      <c r="BD114" s="1111"/>
      <c r="BE114" s="1111"/>
      <c r="BF114" s="1111"/>
      <c r="BG114" s="1111"/>
      <c r="BH114" s="1111"/>
      <c r="BI114" s="1111"/>
      <c r="BJ114" s="1111"/>
      <c r="BK114" s="1111"/>
      <c r="BL114" s="1111"/>
      <c r="BM114" s="1111"/>
      <c r="BN114" s="1111"/>
      <c r="BO114" s="1111"/>
      <c r="BP114" s="1111"/>
      <c r="BQ114" s="1111"/>
      <c r="BR114" s="1111"/>
      <c r="BS114" s="1111"/>
      <c r="BT114" s="1111"/>
      <c r="BU114" s="1111"/>
      <c r="BV114" s="1111"/>
      <c r="BW114" s="1111"/>
      <c r="BX114" s="1111"/>
      <c r="BY114" s="1111"/>
      <c r="BZ114" s="1111"/>
      <c r="CA114" s="1111"/>
      <c r="CB114" s="1111"/>
      <c r="CC114" s="1111"/>
      <c r="CD114" s="1111"/>
      <c r="CE114" s="1111"/>
      <c r="CF114" s="1111"/>
      <c r="CG114" s="1111"/>
      <c r="CH114" s="1111"/>
      <c r="CI114" s="1111"/>
      <c r="CJ114" s="1111"/>
      <c r="CK114" s="1110"/>
    </row>
    <row r="115" spans="1:89" ht="14.4" x14ac:dyDescent="0.3">
      <c r="A115" s="1110"/>
      <c r="B115" s="1110"/>
      <c r="C115" s="1110"/>
      <c r="D115" s="1110"/>
      <c r="E115" s="1110"/>
      <c r="F115" s="1110"/>
      <c r="G115" s="1110"/>
      <c r="H115" s="1110"/>
      <c r="I115" s="1110"/>
      <c r="J115" s="1110"/>
      <c r="K115" s="1110"/>
      <c r="L115" s="1110"/>
      <c r="M115" s="1110"/>
      <c r="N115" s="1110"/>
      <c r="O115" s="1110"/>
      <c r="P115" s="1110"/>
      <c r="Q115" s="1110"/>
      <c r="R115" s="1110"/>
      <c r="S115" s="1110"/>
      <c r="T115" s="1111"/>
      <c r="U115" s="1111" t="s">
        <v>347</v>
      </c>
      <c r="V115" s="1111"/>
      <c r="W115" s="1167">
        <f t="shared" si="75"/>
        <v>4000</v>
      </c>
      <c r="X115" s="1167">
        <f t="shared" si="74"/>
        <v>4404.62</v>
      </c>
      <c r="Y115" s="1167">
        <f t="shared" si="74"/>
        <v>5309.24</v>
      </c>
      <c r="Z115" s="1167">
        <f t="shared" si="74"/>
        <v>7126.2400000000007</v>
      </c>
      <c r="AA115" s="1167">
        <f t="shared" si="74"/>
        <v>8944.3599999999988</v>
      </c>
      <c r="AB115" s="1167">
        <f t="shared" si="74"/>
        <v>10762.279999999999</v>
      </c>
      <c r="AC115" s="1167">
        <f t="shared" si="74"/>
        <v>12579.279999999999</v>
      </c>
      <c r="AD115" s="1167">
        <f t="shared" si="74"/>
        <v>14398.52</v>
      </c>
      <c r="AE115" s="1167">
        <f t="shared" si="74"/>
        <v>16183.639999999998</v>
      </c>
      <c r="AF115" s="1167">
        <f t="shared" si="74"/>
        <v>17969.659999999996</v>
      </c>
      <c r="AG115" s="1167">
        <f t="shared" si="74"/>
        <v>19754.78</v>
      </c>
      <c r="AH115" s="1167">
        <f t="shared" si="74"/>
        <v>21539.9</v>
      </c>
      <c r="AI115" s="1167">
        <f t="shared" si="74"/>
        <v>23327.260000000002</v>
      </c>
      <c r="AJ115" s="1167">
        <f t="shared" si="74"/>
        <v>24198.879999999997</v>
      </c>
      <c r="AK115" s="1167">
        <f t="shared" si="74"/>
        <v>24603.499999999996</v>
      </c>
      <c r="AL115" s="1167">
        <f t="shared" si="74"/>
        <v>25008.12</v>
      </c>
      <c r="AM115" s="1167">
        <f t="shared" si="74"/>
        <v>25412.739999999998</v>
      </c>
      <c r="AN115" s="1167">
        <f t="shared" si="74"/>
        <v>25817.98</v>
      </c>
      <c r="AO115" s="1167">
        <f t="shared" si="74"/>
        <v>26222.6</v>
      </c>
      <c r="AP115" s="1167">
        <f t="shared" si="74"/>
        <v>26627.839999999997</v>
      </c>
      <c r="AQ115" s="1167">
        <f t="shared" si="74"/>
        <v>27032.459999999995</v>
      </c>
      <c r="AR115" s="1167">
        <f t="shared" ref="X115:AV123" si="76">AR28+AR$6*$V93+AR$7*$W93+AR$8*$X93+AR$9*$Y93+AR$10*$Z93+AR$11*$AA93+AR$12*$AB93+AR$13*$AC93</f>
        <v>27437.079999999998</v>
      </c>
      <c r="AS115" s="1167">
        <f t="shared" si="76"/>
        <v>27842.32</v>
      </c>
      <c r="AT115" s="1167">
        <f t="shared" si="76"/>
        <v>28246.94</v>
      </c>
      <c r="AU115" s="1167">
        <f t="shared" si="76"/>
        <v>28651.559999999998</v>
      </c>
      <c r="AV115" s="1167">
        <f t="shared" si="76"/>
        <v>29056.799999999996</v>
      </c>
      <c r="AW115" s="1111"/>
      <c r="AX115" s="1111"/>
      <c r="AY115" s="1111"/>
      <c r="AZ115" s="1111"/>
      <c r="BA115" s="1111"/>
      <c r="BB115" s="1111"/>
      <c r="BC115" s="1111"/>
      <c r="BD115" s="1111"/>
      <c r="BE115" s="1111"/>
      <c r="BF115" s="1111"/>
      <c r="BG115" s="1111"/>
      <c r="BH115" s="1111"/>
      <c r="BI115" s="1111"/>
      <c r="BJ115" s="1111"/>
      <c r="BK115" s="1111"/>
      <c r="BL115" s="1111"/>
      <c r="BM115" s="1111"/>
      <c r="BN115" s="1111"/>
      <c r="BO115" s="1111"/>
      <c r="BP115" s="1111"/>
      <c r="BQ115" s="1111"/>
      <c r="BR115" s="1111"/>
      <c r="BS115" s="1111"/>
      <c r="BT115" s="1111"/>
      <c r="BU115" s="1111"/>
      <c r="BV115" s="1111"/>
      <c r="BW115" s="1111"/>
      <c r="BX115" s="1111"/>
      <c r="BY115" s="1111"/>
      <c r="BZ115" s="1111"/>
      <c r="CA115" s="1111"/>
      <c r="CB115" s="1111"/>
      <c r="CC115" s="1111"/>
      <c r="CD115" s="1111"/>
      <c r="CE115" s="1111"/>
      <c r="CF115" s="1111"/>
      <c r="CG115" s="1111"/>
      <c r="CH115" s="1111"/>
      <c r="CI115" s="1111"/>
      <c r="CJ115" s="1111"/>
      <c r="CK115" s="1110"/>
    </row>
    <row r="116" spans="1:89" ht="14.4" x14ac:dyDescent="0.3">
      <c r="A116" s="1110"/>
      <c r="B116" s="1110"/>
      <c r="C116" s="1110"/>
      <c r="D116" s="1110"/>
      <c r="E116" s="1110"/>
      <c r="F116" s="1110"/>
      <c r="G116" s="1110"/>
      <c r="H116" s="1110"/>
      <c r="I116" s="1110"/>
      <c r="J116" s="1110"/>
      <c r="K116" s="1110"/>
      <c r="L116" s="1110"/>
      <c r="M116" s="1110"/>
      <c r="N116" s="1110"/>
      <c r="O116" s="1110"/>
      <c r="P116" s="1110"/>
      <c r="Q116" s="1110"/>
      <c r="R116" s="1110"/>
      <c r="S116" s="1110"/>
      <c r="T116" s="1111"/>
      <c r="U116" s="1111" t="s">
        <v>348</v>
      </c>
      <c r="V116" s="1111"/>
      <c r="W116" s="1167">
        <f t="shared" si="75"/>
        <v>2400</v>
      </c>
      <c r="X116" s="1167">
        <f t="shared" si="76"/>
        <v>2650.4800000000005</v>
      </c>
      <c r="Y116" s="1167">
        <f t="shared" si="76"/>
        <v>2996.2599999999998</v>
      </c>
      <c r="Z116" s="1167">
        <f t="shared" si="76"/>
        <v>3631.2599999999998</v>
      </c>
      <c r="AA116" s="1167">
        <f t="shared" si="76"/>
        <v>4266.4400000000005</v>
      </c>
      <c r="AB116" s="1167">
        <f t="shared" si="76"/>
        <v>4901.7400000000007</v>
      </c>
      <c r="AC116" s="1167">
        <f t="shared" si="76"/>
        <v>5536.74</v>
      </c>
      <c r="AD116" s="1167">
        <f t="shared" si="76"/>
        <v>6172.3200000000006</v>
      </c>
      <c r="AE116" s="1167">
        <f t="shared" si="76"/>
        <v>7086.2</v>
      </c>
      <c r="AF116" s="1167">
        <f t="shared" si="76"/>
        <v>8000.28</v>
      </c>
      <c r="AG116" s="1167">
        <f t="shared" si="76"/>
        <v>8913.98</v>
      </c>
      <c r="AH116" s="1167">
        <f t="shared" si="76"/>
        <v>9827.86</v>
      </c>
      <c r="AI116" s="1167">
        <f t="shared" si="76"/>
        <v>10742.320000000002</v>
      </c>
      <c r="AJ116" s="1167">
        <f t="shared" si="76"/>
        <v>11366.4</v>
      </c>
      <c r="AK116" s="1167">
        <f t="shared" si="76"/>
        <v>11616.880000000001</v>
      </c>
      <c r="AL116" s="1167">
        <f t="shared" si="76"/>
        <v>11867.36</v>
      </c>
      <c r="AM116" s="1167">
        <f t="shared" si="76"/>
        <v>12117.84</v>
      </c>
      <c r="AN116" s="1167">
        <f t="shared" si="76"/>
        <v>12368.500000000002</v>
      </c>
      <c r="AO116" s="1167">
        <f t="shared" si="76"/>
        <v>12618.98</v>
      </c>
      <c r="AP116" s="1167">
        <f t="shared" si="76"/>
        <v>12869.640000000001</v>
      </c>
      <c r="AQ116" s="1167">
        <f t="shared" si="76"/>
        <v>13120.12</v>
      </c>
      <c r="AR116" s="1167">
        <f t="shared" si="76"/>
        <v>13370.6</v>
      </c>
      <c r="AS116" s="1167">
        <f t="shared" si="76"/>
        <v>13621.26</v>
      </c>
      <c r="AT116" s="1167">
        <f t="shared" si="76"/>
        <v>13871.74</v>
      </c>
      <c r="AU116" s="1167">
        <f t="shared" si="76"/>
        <v>14122.220000000001</v>
      </c>
      <c r="AV116" s="1167">
        <f t="shared" si="76"/>
        <v>14372.88</v>
      </c>
      <c r="AW116" s="1111"/>
      <c r="AX116" s="1111"/>
      <c r="AY116" s="1111"/>
      <c r="AZ116" s="1111"/>
      <c r="BA116" s="1111"/>
      <c r="BB116" s="1111"/>
      <c r="BC116" s="1111"/>
      <c r="BD116" s="1111"/>
      <c r="BE116" s="1111"/>
      <c r="BF116" s="1111"/>
      <c r="BG116" s="1111"/>
      <c r="BH116" s="1111"/>
      <c r="BI116" s="1111"/>
      <c r="BJ116" s="1111"/>
      <c r="BK116" s="1111"/>
      <c r="BL116" s="1111"/>
      <c r="BM116" s="1111"/>
      <c r="BN116" s="1111"/>
      <c r="BO116" s="1111"/>
      <c r="BP116" s="1111"/>
      <c r="BQ116" s="1111"/>
      <c r="BR116" s="1111"/>
      <c r="BS116" s="1111"/>
      <c r="BT116" s="1111"/>
      <c r="BU116" s="1111"/>
      <c r="BV116" s="1111"/>
      <c r="BW116" s="1111"/>
      <c r="BX116" s="1111"/>
      <c r="BY116" s="1111"/>
      <c r="BZ116" s="1111"/>
      <c r="CA116" s="1111"/>
      <c r="CB116" s="1111"/>
      <c r="CC116" s="1111"/>
      <c r="CD116" s="1111"/>
      <c r="CE116" s="1111"/>
      <c r="CF116" s="1111"/>
      <c r="CG116" s="1111"/>
      <c r="CH116" s="1111"/>
      <c r="CI116" s="1111"/>
      <c r="CJ116" s="1111"/>
      <c r="CK116" s="1110"/>
    </row>
    <row r="117" spans="1:89" ht="14.4" x14ac:dyDescent="0.3">
      <c r="A117" s="1110"/>
      <c r="B117" s="1110"/>
      <c r="C117" s="1110"/>
      <c r="D117" s="1110"/>
      <c r="E117" s="1110"/>
      <c r="F117" s="1110"/>
      <c r="G117" s="1110"/>
      <c r="H117" s="1110"/>
      <c r="I117" s="1110"/>
      <c r="J117" s="1110"/>
      <c r="K117" s="1110"/>
      <c r="L117" s="1110"/>
      <c r="M117" s="1110"/>
      <c r="N117" s="1110"/>
      <c r="O117" s="1110"/>
      <c r="P117" s="1110"/>
      <c r="Q117" s="1110"/>
      <c r="R117" s="1110"/>
      <c r="S117" s="1110"/>
      <c r="T117" s="1111"/>
      <c r="U117" s="1111" t="s">
        <v>349</v>
      </c>
      <c r="V117" s="1111"/>
      <c r="W117" s="1167">
        <f t="shared" si="75"/>
        <v>6000</v>
      </c>
      <c r="X117" s="1167">
        <f t="shared" si="76"/>
        <v>6168.0199999999995</v>
      </c>
      <c r="Y117" s="1167">
        <f t="shared" si="76"/>
        <v>6407.46</v>
      </c>
      <c r="Z117" s="1167">
        <f t="shared" si="76"/>
        <v>6743.52</v>
      </c>
      <c r="AA117" s="1167">
        <f t="shared" si="76"/>
        <v>7079.7199999999984</v>
      </c>
      <c r="AB117" s="1167">
        <f t="shared" si="76"/>
        <v>7415.8900000000021</v>
      </c>
      <c r="AC117" s="1167">
        <f t="shared" si="76"/>
        <v>7751.9500000000016</v>
      </c>
      <c r="AD117" s="1167">
        <f t="shared" si="76"/>
        <v>8088.2800000000007</v>
      </c>
      <c r="AE117" s="1167">
        <f t="shared" si="76"/>
        <v>8427.7999999999993</v>
      </c>
      <c r="AF117" s="1167">
        <f t="shared" si="76"/>
        <v>8767.42</v>
      </c>
      <c r="AG117" s="1167">
        <f t="shared" si="76"/>
        <v>9106.909999999998</v>
      </c>
      <c r="AH117" s="1167">
        <f t="shared" si="76"/>
        <v>9446.43</v>
      </c>
      <c r="AI117" s="1167">
        <f t="shared" si="76"/>
        <v>9786.2200000000012</v>
      </c>
      <c r="AJ117" s="1167">
        <f t="shared" si="76"/>
        <v>10028.960000000001</v>
      </c>
      <c r="AK117" s="1167">
        <f t="shared" si="76"/>
        <v>10196.98</v>
      </c>
      <c r="AL117" s="1167">
        <f t="shared" si="76"/>
        <v>10365</v>
      </c>
      <c r="AM117" s="1167">
        <f t="shared" si="76"/>
        <v>10533.019999999999</v>
      </c>
      <c r="AN117" s="1167">
        <f t="shared" si="76"/>
        <v>10701.119999999999</v>
      </c>
      <c r="AO117" s="1167">
        <f t="shared" si="76"/>
        <v>10869.140000000001</v>
      </c>
      <c r="AP117" s="1167">
        <f t="shared" si="76"/>
        <v>11037.240000000002</v>
      </c>
      <c r="AQ117" s="1167">
        <f t="shared" si="76"/>
        <v>11205.26</v>
      </c>
      <c r="AR117" s="1167">
        <f t="shared" si="76"/>
        <v>11373.28</v>
      </c>
      <c r="AS117" s="1167">
        <f t="shared" si="76"/>
        <v>11541.38</v>
      </c>
      <c r="AT117" s="1167">
        <f t="shared" si="76"/>
        <v>11709.399999999998</v>
      </c>
      <c r="AU117" s="1167">
        <f t="shared" si="76"/>
        <v>11877.419999999998</v>
      </c>
      <c r="AV117" s="1167">
        <f t="shared" si="76"/>
        <v>12045.519999999999</v>
      </c>
      <c r="AW117" s="1111"/>
      <c r="AX117" s="1111"/>
      <c r="AY117" s="1111"/>
      <c r="AZ117" s="1111"/>
      <c r="BA117" s="1111"/>
      <c r="BB117" s="1111"/>
      <c r="BC117" s="1111"/>
      <c r="BD117" s="1111"/>
      <c r="BE117" s="1111"/>
      <c r="BF117" s="1111"/>
      <c r="BG117" s="1111"/>
      <c r="BH117" s="1111"/>
      <c r="BI117" s="1111"/>
      <c r="BJ117" s="1111"/>
      <c r="BK117" s="1111"/>
      <c r="BL117" s="1111"/>
      <c r="BM117" s="1111"/>
      <c r="BN117" s="1111"/>
      <c r="BO117" s="1111"/>
      <c r="BP117" s="1111"/>
      <c r="BQ117" s="1111"/>
      <c r="BR117" s="1111"/>
      <c r="BS117" s="1111"/>
      <c r="BT117" s="1111"/>
      <c r="BU117" s="1111"/>
      <c r="BV117" s="1111"/>
      <c r="BW117" s="1111"/>
      <c r="BX117" s="1111"/>
      <c r="BY117" s="1111"/>
      <c r="BZ117" s="1111"/>
      <c r="CA117" s="1111"/>
      <c r="CB117" s="1111"/>
      <c r="CC117" s="1111"/>
      <c r="CD117" s="1111"/>
      <c r="CE117" s="1111"/>
      <c r="CF117" s="1111"/>
      <c r="CG117" s="1111"/>
      <c r="CH117" s="1111"/>
      <c r="CI117" s="1111"/>
      <c r="CJ117" s="1111"/>
      <c r="CK117" s="1110"/>
    </row>
    <row r="118" spans="1:89" ht="14.4" x14ac:dyDescent="0.3">
      <c r="A118" s="1110"/>
      <c r="B118" s="1110"/>
      <c r="C118" s="1110"/>
      <c r="D118" s="1110"/>
      <c r="E118" s="1110"/>
      <c r="F118" s="1110"/>
      <c r="G118" s="1110"/>
      <c r="H118" s="1110"/>
      <c r="I118" s="1110"/>
      <c r="J118" s="1110"/>
      <c r="K118" s="1110"/>
      <c r="L118" s="1110"/>
      <c r="M118" s="1110"/>
      <c r="N118" s="1110"/>
      <c r="O118" s="1110"/>
      <c r="P118" s="1110"/>
      <c r="Q118" s="1110"/>
      <c r="R118" s="1110"/>
      <c r="S118" s="1110"/>
      <c r="T118" s="1111"/>
      <c r="U118" s="1111" t="s">
        <v>351</v>
      </c>
      <c r="V118" s="1111"/>
      <c r="W118" s="1167">
        <f t="shared" si="75"/>
        <v>100</v>
      </c>
      <c r="X118" s="1167">
        <f t="shared" si="76"/>
        <v>222.24999999999997</v>
      </c>
      <c r="Y118" s="1167">
        <f t="shared" si="76"/>
        <v>939.35</v>
      </c>
      <c r="Z118" s="1167">
        <f t="shared" si="76"/>
        <v>2111.6</v>
      </c>
      <c r="AA118" s="1167">
        <f t="shared" si="76"/>
        <v>3284.5000000000005</v>
      </c>
      <c r="AB118" s="1167">
        <f t="shared" si="76"/>
        <v>4457.4499999999989</v>
      </c>
      <c r="AC118" s="1167">
        <f t="shared" si="76"/>
        <v>5629.7</v>
      </c>
      <c r="AD118" s="1167">
        <f t="shared" si="76"/>
        <v>6803.3</v>
      </c>
      <c r="AE118" s="1167">
        <f t="shared" si="76"/>
        <v>7708.3000000000011</v>
      </c>
      <c r="AF118" s="1167">
        <f t="shared" si="76"/>
        <v>8613.4500000000007</v>
      </c>
      <c r="AG118" s="1167">
        <f t="shared" si="76"/>
        <v>9518.4499999999989</v>
      </c>
      <c r="AH118" s="1167">
        <f t="shared" si="76"/>
        <v>10423.449999999999</v>
      </c>
      <c r="AI118" s="1167">
        <f t="shared" si="76"/>
        <v>11329.65</v>
      </c>
      <c r="AJ118" s="1167">
        <f t="shared" si="76"/>
        <v>11778.8</v>
      </c>
      <c r="AK118" s="1167">
        <f t="shared" si="76"/>
        <v>11901.050000000001</v>
      </c>
      <c r="AL118" s="1167">
        <f t="shared" si="76"/>
        <v>12023.3</v>
      </c>
      <c r="AM118" s="1167">
        <f t="shared" si="76"/>
        <v>12145.550000000001</v>
      </c>
      <c r="AN118" s="1167">
        <f t="shared" si="76"/>
        <v>12268.150000000001</v>
      </c>
      <c r="AO118" s="1167">
        <f t="shared" si="76"/>
        <v>12390.4</v>
      </c>
      <c r="AP118" s="1167">
        <f t="shared" si="76"/>
        <v>12512.999999999996</v>
      </c>
      <c r="AQ118" s="1167">
        <f t="shared" si="76"/>
        <v>12635.249999999998</v>
      </c>
      <c r="AR118" s="1167">
        <f t="shared" si="76"/>
        <v>12757.499999999998</v>
      </c>
      <c r="AS118" s="1167">
        <f t="shared" si="76"/>
        <v>12880.099999999999</v>
      </c>
      <c r="AT118" s="1167">
        <f t="shared" si="76"/>
        <v>13002.349999999999</v>
      </c>
      <c r="AU118" s="1167">
        <f t="shared" si="76"/>
        <v>13124.599999999999</v>
      </c>
      <c r="AV118" s="1167">
        <f t="shared" si="76"/>
        <v>13247.199999999999</v>
      </c>
      <c r="AW118" s="1111"/>
      <c r="AX118" s="1111"/>
      <c r="AY118" s="1111"/>
      <c r="AZ118" s="1111"/>
      <c r="BA118" s="1111"/>
      <c r="BB118" s="1111"/>
      <c r="BC118" s="1111"/>
      <c r="BD118" s="1111"/>
      <c r="BE118" s="1111"/>
      <c r="BF118" s="1111"/>
      <c r="BG118" s="1111"/>
      <c r="BH118" s="1111"/>
      <c r="BI118" s="1111"/>
      <c r="BJ118" s="1111"/>
      <c r="BK118" s="1111"/>
      <c r="BL118" s="1111"/>
      <c r="BM118" s="1111"/>
      <c r="BN118" s="1111"/>
      <c r="BO118" s="1111"/>
      <c r="BP118" s="1111"/>
      <c r="BQ118" s="1111"/>
      <c r="BR118" s="1111"/>
      <c r="BS118" s="1111"/>
      <c r="BT118" s="1111"/>
      <c r="BU118" s="1111"/>
      <c r="BV118" s="1111"/>
      <c r="BW118" s="1111"/>
      <c r="BX118" s="1111"/>
      <c r="BY118" s="1111"/>
      <c r="BZ118" s="1111"/>
      <c r="CA118" s="1111"/>
      <c r="CB118" s="1111"/>
      <c r="CC118" s="1111"/>
      <c r="CD118" s="1111"/>
      <c r="CE118" s="1111"/>
      <c r="CF118" s="1111"/>
      <c r="CG118" s="1111"/>
      <c r="CH118" s="1111"/>
      <c r="CI118" s="1111"/>
      <c r="CJ118" s="1111"/>
      <c r="CK118" s="1110"/>
    </row>
    <row r="119" spans="1:89" ht="14.4" x14ac:dyDescent="0.3">
      <c r="A119" s="1110"/>
      <c r="B119" s="1110"/>
      <c r="C119" s="1110"/>
      <c r="D119" s="1110"/>
      <c r="E119" s="1110"/>
      <c r="F119" s="1110"/>
      <c r="G119" s="1110"/>
      <c r="H119" s="1110"/>
      <c r="I119" s="1110"/>
      <c r="J119" s="1110"/>
      <c r="K119" s="1110"/>
      <c r="L119" s="1110"/>
      <c r="M119" s="1110"/>
      <c r="N119" s="1110"/>
      <c r="O119" s="1110"/>
      <c r="P119" s="1110"/>
      <c r="Q119" s="1110"/>
      <c r="R119" s="1110"/>
      <c r="S119" s="1110"/>
      <c r="T119" s="1111"/>
      <c r="U119" s="1111" t="s">
        <v>358</v>
      </c>
      <c r="V119" s="1111"/>
      <c r="W119" s="1167">
        <f t="shared" si="75"/>
        <v>3600</v>
      </c>
      <c r="X119" s="1167">
        <f t="shared" si="76"/>
        <v>3649.43</v>
      </c>
      <c r="Y119" s="1167">
        <f t="shared" si="76"/>
        <v>3734.87</v>
      </c>
      <c r="Z119" s="1167">
        <f t="shared" si="76"/>
        <v>3852.1700000000005</v>
      </c>
      <c r="AA119" s="1167">
        <f t="shared" si="76"/>
        <v>3969.52</v>
      </c>
      <c r="AB119" s="1167">
        <f t="shared" si="76"/>
        <v>4087.0399999999995</v>
      </c>
      <c r="AC119" s="1167">
        <f t="shared" si="76"/>
        <v>4204.34</v>
      </c>
      <c r="AD119" s="1167">
        <f t="shared" si="76"/>
        <v>4322.05</v>
      </c>
      <c r="AE119" s="1167">
        <f t="shared" si="76"/>
        <v>4403.68</v>
      </c>
      <c r="AF119" s="1167">
        <f t="shared" si="76"/>
        <v>4485.32</v>
      </c>
      <c r="AG119" s="1167">
        <f t="shared" si="76"/>
        <v>4566.97</v>
      </c>
      <c r="AH119" s="1167">
        <f t="shared" si="76"/>
        <v>4648.6000000000004</v>
      </c>
      <c r="AI119" s="1167">
        <f t="shared" si="76"/>
        <v>4730.8099999999995</v>
      </c>
      <c r="AJ119" s="1167">
        <f t="shared" si="76"/>
        <v>4780.24</v>
      </c>
      <c r="AK119" s="1167">
        <f t="shared" si="76"/>
        <v>4829.6699999999992</v>
      </c>
      <c r="AL119" s="1167">
        <f t="shared" si="76"/>
        <v>4879.1000000000004</v>
      </c>
      <c r="AM119" s="1167">
        <f t="shared" si="76"/>
        <v>4928.5299999999988</v>
      </c>
      <c r="AN119" s="1167">
        <f t="shared" si="76"/>
        <v>4978.3</v>
      </c>
      <c r="AO119" s="1167">
        <f t="shared" si="76"/>
        <v>5027.7299999999996</v>
      </c>
      <c r="AP119" s="1167">
        <f t="shared" si="76"/>
        <v>5077.3500000000004</v>
      </c>
      <c r="AQ119" s="1167">
        <f t="shared" si="76"/>
        <v>5126.78</v>
      </c>
      <c r="AR119" s="1167">
        <f t="shared" si="76"/>
        <v>5176.2100000000009</v>
      </c>
      <c r="AS119" s="1167">
        <f t="shared" si="76"/>
        <v>5225.9800000000005</v>
      </c>
      <c r="AT119" s="1167">
        <f t="shared" si="76"/>
        <v>5275.4100000000008</v>
      </c>
      <c r="AU119" s="1167">
        <f t="shared" si="76"/>
        <v>5324.84</v>
      </c>
      <c r="AV119" s="1167">
        <f t="shared" si="76"/>
        <v>5374.46</v>
      </c>
      <c r="AW119" s="1111"/>
      <c r="AX119" s="1111"/>
      <c r="AY119" s="1111"/>
      <c r="AZ119" s="1111"/>
      <c r="BA119" s="1111"/>
      <c r="BB119" s="1111"/>
      <c r="BC119" s="1111"/>
      <c r="BD119" s="1111"/>
      <c r="BE119" s="1111"/>
      <c r="BF119" s="1111"/>
      <c r="BG119" s="1111"/>
      <c r="BH119" s="1111"/>
      <c r="BI119" s="1111"/>
      <c r="BJ119" s="1111"/>
      <c r="BK119" s="1111"/>
      <c r="BL119" s="1111"/>
      <c r="BM119" s="1111"/>
      <c r="BN119" s="1111"/>
      <c r="BO119" s="1111"/>
      <c r="BP119" s="1111"/>
      <c r="BQ119" s="1111"/>
      <c r="BR119" s="1111"/>
      <c r="BS119" s="1111"/>
      <c r="BT119" s="1111"/>
      <c r="BU119" s="1111"/>
      <c r="BV119" s="1111"/>
      <c r="BW119" s="1111"/>
      <c r="BX119" s="1111"/>
      <c r="BY119" s="1111"/>
      <c r="BZ119" s="1111"/>
      <c r="CA119" s="1111"/>
      <c r="CB119" s="1111"/>
      <c r="CC119" s="1111"/>
      <c r="CD119" s="1111"/>
      <c r="CE119" s="1111"/>
      <c r="CF119" s="1111"/>
      <c r="CG119" s="1111"/>
      <c r="CH119" s="1111"/>
      <c r="CI119" s="1111"/>
      <c r="CJ119" s="1111"/>
      <c r="CK119" s="1110"/>
    </row>
    <row r="120" spans="1:89" ht="14.4" x14ac:dyDescent="0.3">
      <c r="A120" s="1110"/>
      <c r="B120" s="1110"/>
      <c r="C120" s="1110"/>
      <c r="D120" s="1110"/>
      <c r="E120" s="1110"/>
      <c r="F120" s="1110"/>
      <c r="G120" s="1110"/>
      <c r="H120" s="1110"/>
      <c r="I120" s="1110"/>
      <c r="J120" s="1110"/>
      <c r="K120" s="1110"/>
      <c r="L120" s="1110"/>
      <c r="M120" s="1110"/>
      <c r="N120" s="1110"/>
      <c r="O120" s="1110"/>
      <c r="P120" s="1110"/>
      <c r="Q120" s="1110"/>
      <c r="R120" s="1110"/>
      <c r="S120" s="1110"/>
      <c r="T120" s="1111"/>
      <c r="U120" s="1111" t="s">
        <v>353</v>
      </c>
      <c r="V120" s="1111"/>
      <c r="W120" s="1167">
        <f t="shared" si="75"/>
        <v>1800</v>
      </c>
      <c r="X120" s="1167">
        <f t="shared" si="76"/>
        <v>1910.68</v>
      </c>
      <c r="Y120" s="1167">
        <f t="shared" si="76"/>
        <v>2057.15</v>
      </c>
      <c r="Z120" s="1167">
        <f t="shared" si="76"/>
        <v>2251.7999999999997</v>
      </c>
      <c r="AA120" s="1167">
        <f t="shared" si="76"/>
        <v>2446.5099999999998</v>
      </c>
      <c r="AB120" s="1167">
        <f t="shared" si="76"/>
        <v>2641.6400000000003</v>
      </c>
      <c r="AC120" s="1167">
        <f t="shared" si="76"/>
        <v>2836.2899999999995</v>
      </c>
      <c r="AD120" s="1167">
        <f t="shared" si="76"/>
        <v>3031.1499999999996</v>
      </c>
      <c r="AE120" s="1167">
        <f t="shared" si="76"/>
        <v>3208.83</v>
      </c>
      <c r="AF120" s="1167">
        <f t="shared" si="76"/>
        <v>3386.36</v>
      </c>
      <c r="AG120" s="1167">
        <f t="shared" si="76"/>
        <v>3564.0499999999997</v>
      </c>
      <c r="AH120" s="1167">
        <f t="shared" si="76"/>
        <v>3741.73</v>
      </c>
      <c r="AI120" s="1167">
        <f t="shared" si="76"/>
        <v>3920.04</v>
      </c>
      <c r="AJ120" s="1167">
        <f t="shared" si="76"/>
        <v>4049.4</v>
      </c>
      <c r="AK120" s="1167">
        <f t="shared" si="76"/>
        <v>4160.08</v>
      </c>
      <c r="AL120" s="1167">
        <f t="shared" si="76"/>
        <v>4270.7599999999993</v>
      </c>
      <c r="AM120" s="1167">
        <f t="shared" si="76"/>
        <v>4381.4399999999996</v>
      </c>
      <c r="AN120" s="1167">
        <f t="shared" si="76"/>
        <v>4492.24</v>
      </c>
      <c r="AO120" s="1167">
        <f t="shared" si="76"/>
        <v>4602.9199999999992</v>
      </c>
      <c r="AP120" s="1167">
        <f t="shared" si="76"/>
        <v>4713.87</v>
      </c>
      <c r="AQ120" s="1167">
        <f t="shared" si="76"/>
        <v>4824.5499999999993</v>
      </c>
      <c r="AR120" s="1167">
        <f t="shared" si="76"/>
        <v>4935.2299999999996</v>
      </c>
      <c r="AS120" s="1167">
        <f t="shared" si="76"/>
        <v>5046.0299999999988</v>
      </c>
      <c r="AT120" s="1167">
        <f t="shared" si="76"/>
        <v>5156.71</v>
      </c>
      <c r="AU120" s="1167">
        <f t="shared" si="76"/>
        <v>5267.3899999999994</v>
      </c>
      <c r="AV120" s="1167">
        <f t="shared" si="76"/>
        <v>5378.3399999999992</v>
      </c>
      <c r="AW120" s="1111"/>
      <c r="AX120" s="1111"/>
      <c r="AY120" s="1111"/>
      <c r="AZ120" s="1111"/>
      <c r="BA120" s="1111"/>
      <c r="BB120" s="1111"/>
      <c r="BC120" s="1111"/>
      <c r="BD120" s="1111"/>
      <c r="BE120" s="1111"/>
      <c r="BF120" s="1111"/>
      <c r="BG120" s="1111"/>
      <c r="BH120" s="1111"/>
      <c r="BI120" s="1111"/>
      <c r="BJ120" s="1111"/>
      <c r="BK120" s="1111"/>
      <c r="BL120" s="1111"/>
      <c r="BM120" s="1111"/>
      <c r="BN120" s="1111"/>
      <c r="BO120" s="1111"/>
      <c r="BP120" s="1111"/>
      <c r="BQ120" s="1111"/>
      <c r="BR120" s="1111"/>
      <c r="BS120" s="1111"/>
      <c r="BT120" s="1111"/>
      <c r="BU120" s="1111"/>
      <c r="BV120" s="1111"/>
      <c r="BW120" s="1111"/>
      <c r="BX120" s="1111"/>
      <c r="BY120" s="1111"/>
      <c r="BZ120" s="1111"/>
      <c r="CA120" s="1111"/>
      <c r="CB120" s="1111"/>
      <c r="CC120" s="1111"/>
      <c r="CD120" s="1111"/>
      <c r="CE120" s="1111"/>
      <c r="CF120" s="1111"/>
      <c r="CG120" s="1111"/>
      <c r="CH120" s="1111"/>
      <c r="CI120" s="1111"/>
      <c r="CJ120" s="1111"/>
      <c r="CK120" s="1110"/>
    </row>
    <row r="121" spans="1:89" ht="14.4" x14ac:dyDescent="0.3">
      <c r="A121" s="1110"/>
      <c r="B121" s="1110"/>
      <c r="C121" s="1110"/>
      <c r="D121" s="1110"/>
      <c r="E121" s="1110"/>
      <c r="F121" s="1110"/>
      <c r="G121" s="1110"/>
      <c r="H121" s="1110"/>
      <c r="I121" s="1110"/>
      <c r="J121" s="1110"/>
      <c r="K121" s="1110"/>
      <c r="L121" s="1110"/>
      <c r="M121" s="1110"/>
      <c r="N121" s="1110"/>
      <c r="O121" s="1110"/>
      <c r="P121" s="1110"/>
      <c r="Q121" s="1110"/>
      <c r="R121" s="1110"/>
      <c r="S121" s="1110"/>
      <c r="T121" s="1111"/>
      <c r="U121" s="1111" t="s">
        <v>350</v>
      </c>
      <c r="V121" s="1111"/>
      <c r="W121" s="1167">
        <f t="shared" si="75"/>
        <v>20</v>
      </c>
      <c r="X121" s="1167">
        <f t="shared" si="76"/>
        <v>151.58000000000001</v>
      </c>
      <c r="Y121" s="1167">
        <f t="shared" si="76"/>
        <v>878.18</v>
      </c>
      <c r="Z121" s="1167">
        <f t="shared" si="76"/>
        <v>2022.6599999999999</v>
      </c>
      <c r="AA121" s="1167">
        <f t="shared" si="76"/>
        <v>3167.8599999999997</v>
      </c>
      <c r="AB121" s="1167">
        <f t="shared" si="76"/>
        <v>4313.1200000000008</v>
      </c>
      <c r="AC121" s="1167">
        <f t="shared" si="76"/>
        <v>5457.6</v>
      </c>
      <c r="AD121" s="1167">
        <f t="shared" si="76"/>
        <v>6603.6</v>
      </c>
      <c r="AE121" s="1167">
        <f t="shared" si="76"/>
        <v>7247.079999999999</v>
      </c>
      <c r="AF121" s="1167">
        <f t="shared" si="76"/>
        <v>7890.8</v>
      </c>
      <c r="AG121" s="1167">
        <f t="shared" si="76"/>
        <v>8534.4599999999991</v>
      </c>
      <c r="AH121" s="1167">
        <f>AH34+AH$6*$V99+AH$7*$W99+AH$8*$X99+AH$9*$Y99+AH$10*$Z99+AH$11*$AA99+AH$12*$AB99+AH$13*$AC99</f>
        <v>9177.9399999999987</v>
      </c>
      <c r="AI121" s="1167">
        <f t="shared" si="76"/>
        <v>9822.9400000000023</v>
      </c>
      <c r="AJ121" s="1167">
        <f t="shared" si="76"/>
        <v>10047.920000000004</v>
      </c>
      <c r="AK121" s="1167">
        <f t="shared" si="76"/>
        <v>10179.5</v>
      </c>
      <c r="AL121" s="1167">
        <f t="shared" si="76"/>
        <v>10311.080000000002</v>
      </c>
      <c r="AM121" s="1167">
        <f t="shared" si="76"/>
        <v>10442.660000000002</v>
      </c>
      <c r="AN121" s="1167">
        <f t="shared" si="76"/>
        <v>10574.76</v>
      </c>
      <c r="AO121" s="1167">
        <f t="shared" si="76"/>
        <v>10706.340000000002</v>
      </c>
      <c r="AP121" s="1167">
        <f t="shared" si="76"/>
        <v>10838.440000000004</v>
      </c>
      <c r="AQ121" s="1167">
        <f t="shared" si="76"/>
        <v>10970.02</v>
      </c>
      <c r="AR121" s="1167">
        <f t="shared" si="76"/>
        <v>11101.600000000002</v>
      </c>
      <c r="AS121" s="1167">
        <f t="shared" si="76"/>
        <v>11233.700000000004</v>
      </c>
      <c r="AT121" s="1167">
        <f t="shared" si="76"/>
        <v>11365.28</v>
      </c>
      <c r="AU121" s="1167">
        <f t="shared" si="76"/>
        <v>11496.86</v>
      </c>
      <c r="AV121" s="1167">
        <f t="shared" si="76"/>
        <v>11628.960000000003</v>
      </c>
      <c r="AW121" s="1111"/>
      <c r="AX121" s="1111"/>
      <c r="AY121" s="1111"/>
      <c r="AZ121" s="1111"/>
      <c r="BA121" s="1111"/>
      <c r="BB121" s="1111"/>
      <c r="BC121" s="1111"/>
      <c r="BD121" s="1111"/>
      <c r="BE121" s="1111"/>
      <c r="BF121" s="1111"/>
      <c r="BG121" s="1111"/>
      <c r="BH121" s="1111"/>
      <c r="BI121" s="1111"/>
      <c r="BJ121" s="1111"/>
      <c r="BK121" s="1111"/>
      <c r="BL121" s="1111"/>
      <c r="BM121" s="1111"/>
      <c r="BN121" s="1111"/>
      <c r="BO121" s="1111"/>
      <c r="BP121" s="1111"/>
      <c r="BQ121" s="1111"/>
      <c r="BR121" s="1111"/>
      <c r="BS121" s="1111"/>
      <c r="BT121" s="1111"/>
      <c r="BU121" s="1111"/>
      <c r="BV121" s="1111"/>
      <c r="BW121" s="1111"/>
      <c r="BX121" s="1111"/>
      <c r="BY121" s="1111"/>
      <c r="BZ121" s="1111"/>
      <c r="CA121" s="1111"/>
      <c r="CB121" s="1111"/>
      <c r="CC121" s="1111"/>
      <c r="CD121" s="1111"/>
      <c r="CE121" s="1111"/>
      <c r="CF121" s="1111"/>
      <c r="CG121" s="1111"/>
      <c r="CH121" s="1111"/>
      <c r="CI121" s="1111"/>
      <c r="CJ121" s="1111"/>
      <c r="CK121" s="1110"/>
    </row>
    <row r="122" spans="1:89" ht="14.4" x14ac:dyDescent="0.3">
      <c r="A122" s="1110"/>
      <c r="B122" s="1110"/>
      <c r="C122" s="1110"/>
      <c r="D122" s="1110"/>
      <c r="E122" s="1110"/>
      <c r="F122" s="1110"/>
      <c r="G122" s="1110"/>
      <c r="H122" s="1110"/>
      <c r="I122" s="1110"/>
      <c r="J122" s="1110"/>
      <c r="K122" s="1110"/>
      <c r="L122" s="1110"/>
      <c r="M122" s="1110"/>
      <c r="N122" s="1110"/>
      <c r="O122" s="1110"/>
      <c r="P122" s="1110"/>
      <c r="Q122" s="1110"/>
      <c r="R122" s="1110"/>
      <c r="S122" s="1110"/>
      <c r="T122" s="1111"/>
      <c r="U122" s="1111" t="s">
        <v>352</v>
      </c>
      <c r="V122" s="1111"/>
      <c r="W122" s="1167">
        <f t="shared" si="75"/>
        <v>300</v>
      </c>
      <c r="X122" s="1167">
        <f t="shared" si="76"/>
        <v>447.21</v>
      </c>
      <c r="Y122" s="1167">
        <f t="shared" si="76"/>
        <v>629.64</v>
      </c>
      <c r="Z122" s="1167">
        <f t="shared" si="76"/>
        <v>1090.82</v>
      </c>
      <c r="AA122" s="1167">
        <f t="shared" si="76"/>
        <v>1552.05</v>
      </c>
      <c r="AB122" s="1167">
        <f t="shared" si="76"/>
        <v>2013.5100000000002</v>
      </c>
      <c r="AC122" s="1167">
        <f t="shared" si="76"/>
        <v>2474.69</v>
      </c>
      <c r="AD122" s="1167">
        <f t="shared" si="76"/>
        <v>2935.72</v>
      </c>
      <c r="AE122" s="1167">
        <f t="shared" si="76"/>
        <v>4109.2299999999996</v>
      </c>
      <c r="AF122" s="1167">
        <f t="shared" si="76"/>
        <v>5282.28</v>
      </c>
      <c r="AG122" s="1167">
        <f t="shared" si="76"/>
        <v>6455.24</v>
      </c>
      <c r="AH122" s="1167">
        <f t="shared" si="76"/>
        <v>7628.75</v>
      </c>
      <c r="AI122" s="1167">
        <f t="shared" si="76"/>
        <v>8802.11</v>
      </c>
      <c r="AJ122" s="1167">
        <f t="shared" si="76"/>
        <v>9696.52</v>
      </c>
      <c r="AK122" s="1167">
        <f t="shared" si="76"/>
        <v>9843.73</v>
      </c>
      <c r="AL122" s="1167">
        <f t="shared" si="76"/>
        <v>9990.94</v>
      </c>
      <c r="AM122" s="1167">
        <f t="shared" si="76"/>
        <v>10138.15</v>
      </c>
      <c r="AN122" s="1167">
        <f t="shared" si="76"/>
        <v>10284.91</v>
      </c>
      <c r="AO122" s="1167">
        <f t="shared" si="76"/>
        <v>10432.120000000001</v>
      </c>
      <c r="AP122" s="1167">
        <f t="shared" si="76"/>
        <v>10578.880000000001</v>
      </c>
      <c r="AQ122" s="1167">
        <f t="shared" si="76"/>
        <v>10726.09</v>
      </c>
      <c r="AR122" s="1167">
        <f t="shared" si="76"/>
        <v>10873.300000000001</v>
      </c>
      <c r="AS122" s="1167">
        <f t="shared" si="76"/>
        <v>11020.06</v>
      </c>
      <c r="AT122" s="1167">
        <f t="shared" si="76"/>
        <v>11167.27</v>
      </c>
      <c r="AU122" s="1167">
        <f t="shared" si="76"/>
        <v>11314.48</v>
      </c>
      <c r="AV122" s="1167">
        <f t="shared" si="76"/>
        <v>11461.24</v>
      </c>
      <c r="AW122" s="1111"/>
      <c r="AX122" s="1111"/>
      <c r="AY122" s="1111"/>
      <c r="AZ122" s="1111"/>
      <c r="BA122" s="1111"/>
      <c r="BB122" s="1111"/>
      <c r="BC122" s="1111"/>
      <c r="BD122" s="1111"/>
      <c r="BE122" s="1111"/>
      <c r="BF122" s="1111"/>
      <c r="BG122" s="1111"/>
      <c r="BH122" s="1111"/>
      <c r="BI122" s="1111"/>
      <c r="BJ122" s="1111"/>
      <c r="BK122" s="1111"/>
      <c r="BL122" s="1111"/>
      <c r="BM122" s="1111"/>
      <c r="BN122" s="1111"/>
      <c r="BO122" s="1111"/>
      <c r="BP122" s="1111"/>
      <c r="BQ122" s="1111"/>
      <c r="BR122" s="1111"/>
      <c r="BS122" s="1111"/>
      <c r="BT122" s="1111"/>
      <c r="BU122" s="1111"/>
      <c r="BV122" s="1111"/>
      <c r="BW122" s="1111"/>
      <c r="BX122" s="1111"/>
      <c r="BY122" s="1111"/>
      <c r="BZ122" s="1111"/>
      <c r="CA122" s="1111"/>
      <c r="CB122" s="1111"/>
      <c r="CC122" s="1111"/>
      <c r="CD122" s="1111"/>
      <c r="CE122" s="1111"/>
      <c r="CF122" s="1111"/>
      <c r="CG122" s="1111"/>
      <c r="CH122" s="1111"/>
      <c r="CI122" s="1111"/>
      <c r="CJ122" s="1111"/>
      <c r="CK122" s="1110"/>
    </row>
    <row r="123" spans="1:89" ht="15" thickBot="1" x14ac:dyDescent="0.35">
      <c r="A123" s="1110"/>
      <c r="B123" s="1110"/>
      <c r="C123" s="1110"/>
      <c r="D123" s="1110"/>
      <c r="E123" s="1110"/>
      <c r="F123" s="1110"/>
      <c r="G123" s="1110"/>
      <c r="H123" s="1110"/>
      <c r="I123" s="1110"/>
      <c r="J123" s="1110"/>
      <c r="K123" s="1110"/>
      <c r="L123" s="1110"/>
      <c r="M123" s="1110"/>
      <c r="N123" s="1110"/>
      <c r="O123" s="1110"/>
      <c r="P123" s="1110"/>
      <c r="Q123" s="1110"/>
      <c r="R123" s="1110"/>
      <c r="S123" s="1110"/>
      <c r="T123" s="1181"/>
      <c r="U123" s="1181" t="s">
        <v>354</v>
      </c>
      <c r="V123" s="1181"/>
      <c r="W123" s="1184">
        <f t="shared" si="75"/>
        <v>0</v>
      </c>
      <c r="X123" s="1184">
        <f t="shared" si="76"/>
        <v>0</v>
      </c>
      <c r="Y123" s="1184">
        <f t="shared" si="76"/>
        <v>0</v>
      </c>
      <c r="Z123" s="1184">
        <f t="shared" si="76"/>
        <v>0</v>
      </c>
      <c r="AA123" s="1184">
        <f t="shared" si="76"/>
        <v>0</v>
      </c>
      <c r="AB123" s="1184">
        <f t="shared" si="76"/>
        <v>0</v>
      </c>
      <c r="AC123" s="1184">
        <f t="shared" si="76"/>
        <v>0</v>
      </c>
      <c r="AD123" s="1184">
        <f t="shared" si="76"/>
        <v>0</v>
      </c>
      <c r="AE123" s="1184">
        <f t="shared" si="76"/>
        <v>0</v>
      </c>
      <c r="AF123" s="1184">
        <f t="shared" si="76"/>
        <v>0</v>
      </c>
      <c r="AG123" s="1184">
        <f t="shared" si="76"/>
        <v>0</v>
      </c>
      <c r="AH123" s="1184">
        <f t="shared" si="76"/>
        <v>0</v>
      </c>
      <c r="AI123" s="1184">
        <f t="shared" si="76"/>
        <v>0</v>
      </c>
      <c r="AJ123" s="1184">
        <f t="shared" si="76"/>
        <v>0</v>
      </c>
      <c r="AK123" s="1184">
        <f t="shared" si="76"/>
        <v>0</v>
      </c>
      <c r="AL123" s="1184">
        <f t="shared" si="76"/>
        <v>0</v>
      </c>
      <c r="AM123" s="1184">
        <f t="shared" si="76"/>
        <v>0</v>
      </c>
      <c r="AN123" s="1184">
        <f t="shared" si="76"/>
        <v>0</v>
      </c>
      <c r="AO123" s="1184">
        <f t="shared" si="76"/>
        <v>0</v>
      </c>
      <c r="AP123" s="1184">
        <f t="shared" si="76"/>
        <v>0</v>
      </c>
      <c r="AQ123" s="1184">
        <f t="shared" si="76"/>
        <v>0</v>
      </c>
      <c r="AR123" s="1184">
        <f t="shared" si="76"/>
        <v>0</v>
      </c>
      <c r="AS123" s="1184">
        <f t="shared" si="76"/>
        <v>0</v>
      </c>
      <c r="AT123" s="1184">
        <f t="shared" si="76"/>
        <v>0</v>
      </c>
      <c r="AU123" s="1184">
        <f t="shared" si="76"/>
        <v>0</v>
      </c>
      <c r="AV123" s="1184">
        <f t="shared" si="76"/>
        <v>0</v>
      </c>
      <c r="AW123" s="1111"/>
      <c r="AX123" s="1111"/>
      <c r="AY123" s="1111"/>
      <c r="AZ123" s="1111"/>
      <c r="BA123" s="1111"/>
      <c r="BB123" s="1111"/>
      <c r="BC123" s="1111"/>
      <c r="BD123" s="1111"/>
      <c r="BE123" s="1111"/>
      <c r="BF123" s="1111"/>
      <c r="BG123" s="1111"/>
      <c r="BH123" s="1111"/>
      <c r="BI123" s="1111"/>
      <c r="BJ123" s="1111"/>
      <c r="BK123" s="1111"/>
      <c r="BL123" s="1111"/>
      <c r="BM123" s="1111"/>
      <c r="BN123" s="1111"/>
      <c r="BO123" s="1111"/>
      <c r="BP123" s="1111"/>
      <c r="BQ123" s="1111"/>
      <c r="BR123" s="1111"/>
      <c r="BS123" s="1111"/>
      <c r="BT123" s="1111"/>
      <c r="BU123" s="1111"/>
      <c r="BV123" s="1111"/>
      <c r="BW123" s="1111"/>
      <c r="BX123" s="1111"/>
      <c r="BY123" s="1111"/>
      <c r="BZ123" s="1111"/>
      <c r="CA123" s="1111"/>
      <c r="CB123" s="1111"/>
      <c r="CC123" s="1111"/>
      <c r="CD123" s="1111"/>
      <c r="CE123" s="1111"/>
      <c r="CF123" s="1111"/>
      <c r="CG123" s="1111"/>
      <c r="CH123" s="1111"/>
      <c r="CI123" s="1111"/>
      <c r="CJ123" s="1111"/>
      <c r="CK123" s="1110"/>
    </row>
    <row r="124" spans="1:89" ht="14.4" x14ac:dyDescent="0.3">
      <c r="A124" s="1110"/>
      <c r="B124" s="1110"/>
      <c r="C124" s="1110"/>
      <c r="D124" s="1110"/>
      <c r="E124" s="1110"/>
      <c r="F124" s="1110"/>
      <c r="G124" s="1110"/>
      <c r="H124" s="1110"/>
      <c r="I124" s="1110"/>
      <c r="J124" s="1110"/>
      <c r="K124" s="1110"/>
      <c r="L124" s="1110"/>
      <c r="M124" s="1110"/>
      <c r="N124" s="1110"/>
      <c r="O124" s="1110"/>
      <c r="P124" s="1110"/>
      <c r="Q124" s="1110"/>
      <c r="R124" s="1110"/>
      <c r="S124" s="1110"/>
      <c r="T124" s="1111"/>
      <c r="U124" s="1111"/>
      <c r="V124" s="1111"/>
      <c r="W124" s="1111"/>
      <c r="X124" s="1111"/>
      <c r="Y124" s="1111"/>
      <c r="Z124" s="1111"/>
      <c r="AA124" s="1111"/>
      <c r="AB124" s="1111"/>
      <c r="AC124" s="1111"/>
      <c r="AD124" s="1111"/>
      <c r="AE124" s="1111"/>
      <c r="AF124" s="1111"/>
      <c r="AG124" s="1111"/>
      <c r="AH124" s="1111"/>
      <c r="AI124" s="1111"/>
      <c r="AJ124" s="1111"/>
      <c r="AK124" s="1111"/>
      <c r="AL124" s="1111"/>
      <c r="AM124" s="1111"/>
      <c r="AN124" s="1111"/>
      <c r="AO124" s="1111"/>
      <c r="AP124" s="1111"/>
      <c r="AQ124" s="1111"/>
      <c r="AR124" s="1111"/>
      <c r="AS124" s="1111"/>
      <c r="AT124" s="1111"/>
      <c r="AU124" s="1111"/>
      <c r="AV124" s="1111"/>
      <c r="AW124" s="1111"/>
      <c r="AX124" s="1111"/>
      <c r="AY124" s="1111"/>
      <c r="AZ124" s="1111"/>
      <c r="BA124" s="1111"/>
      <c r="BB124" s="1111"/>
      <c r="BC124" s="1111"/>
      <c r="BD124" s="1111"/>
      <c r="BE124" s="1111"/>
      <c r="BF124" s="1111"/>
      <c r="BG124" s="1111"/>
      <c r="BH124" s="1111"/>
      <c r="BI124" s="1111"/>
      <c r="BJ124" s="1111"/>
      <c r="BK124" s="1111"/>
      <c r="BL124" s="1111"/>
      <c r="BM124" s="1111"/>
      <c r="BN124" s="1111"/>
      <c r="BO124" s="1111"/>
      <c r="BP124" s="1111"/>
      <c r="BQ124" s="1111"/>
      <c r="BR124" s="1111"/>
      <c r="BS124" s="1111"/>
      <c r="BT124" s="1111"/>
      <c r="BU124" s="1111"/>
      <c r="BV124" s="1111"/>
      <c r="BW124" s="1111"/>
      <c r="BX124" s="1111"/>
      <c r="BY124" s="1111"/>
      <c r="BZ124" s="1111"/>
      <c r="CA124" s="1111"/>
      <c r="CB124" s="1111"/>
      <c r="CC124" s="1111"/>
      <c r="CD124" s="1111"/>
      <c r="CE124" s="1111"/>
      <c r="CF124" s="1111"/>
      <c r="CG124" s="1111"/>
      <c r="CH124" s="1111"/>
      <c r="CI124" s="1111"/>
      <c r="CJ124" s="1111"/>
      <c r="CK124" s="1110"/>
    </row>
    <row r="125" spans="1:89" ht="15" thickBot="1" x14ac:dyDescent="0.35">
      <c r="A125" s="1110"/>
      <c r="B125" s="1110"/>
      <c r="C125" s="1110"/>
      <c r="D125" s="1110"/>
      <c r="E125" s="1110"/>
      <c r="F125" s="1110"/>
      <c r="G125" s="1110"/>
      <c r="H125" s="1110"/>
      <c r="I125" s="1110"/>
      <c r="J125" s="1110"/>
      <c r="K125" s="1110"/>
      <c r="L125" s="1110"/>
      <c r="M125" s="1110"/>
      <c r="N125" s="1110"/>
      <c r="O125" s="1110"/>
      <c r="P125" s="1110"/>
      <c r="Q125" s="1110"/>
      <c r="R125" s="1110"/>
      <c r="S125" s="1110"/>
      <c r="T125" s="1111"/>
      <c r="U125" s="1111"/>
      <c r="V125" s="1185">
        <v>1</v>
      </c>
      <c r="W125" s="1185">
        <v>2</v>
      </c>
      <c r="X125" s="1185">
        <v>3</v>
      </c>
      <c r="Y125" s="1185" t="s">
        <v>618</v>
      </c>
      <c r="Z125" s="1185" t="s">
        <v>619</v>
      </c>
      <c r="AA125" s="1185" t="s">
        <v>620</v>
      </c>
      <c r="AB125" s="1185">
        <v>5</v>
      </c>
      <c r="AC125" s="1185">
        <v>6</v>
      </c>
      <c r="AD125" s="1111"/>
      <c r="AE125" s="1111"/>
      <c r="AF125" s="1111"/>
      <c r="AG125" s="1111"/>
      <c r="AH125" s="1111"/>
      <c r="AI125" s="1111"/>
      <c r="AJ125" s="1111"/>
      <c r="AK125" s="1111"/>
      <c r="AL125" s="1111"/>
      <c r="AM125" s="1111"/>
      <c r="AN125" s="1111"/>
      <c r="AO125" s="1111"/>
      <c r="AP125" s="1111"/>
      <c r="AQ125" s="1111"/>
      <c r="AR125" s="1111"/>
      <c r="AS125" s="1111"/>
      <c r="AT125" s="1111"/>
      <c r="AU125" s="1111"/>
      <c r="AV125" s="1111"/>
      <c r="AW125" s="1111"/>
      <c r="AX125" s="1111"/>
      <c r="AY125" s="1111"/>
      <c r="AZ125" s="1111"/>
      <c r="BA125" s="1111"/>
      <c r="BB125" s="1111"/>
      <c r="BC125" s="1111"/>
      <c r="BD125" s="1111"/>
      <c r="BE125" s="1111"/>
      <c r="BF125" s="1111"/>
      <c r="BG125" s="1111"/>
      <c r="BH125" s="1111"/>
      <c r="BI125" s="1111"/>
      <c r="BJ125" s="1111"/>
      <c r="BK125" s="1111"/>
      <c r="BL125" s="1111"/>
      <c r="BM125" s="1111"/>
      <c r="BN125" s="1111"/>
      <c r="BO125" s="1111"/>
      <c r="BP125" s="1111"/>
      <c r="BQ125" s="1111"/>
      <c r="BR125" s="1111"/>
      <c r="BS125" s="1111"/>
      <c r="BT125" s="1111"/>
      <c r="BU125" s="1111"/>
      <c r="BV125" s="1111"/>
      <c r="BW125" s="1111"/>
      <c r="BX125" s="1111"/>
      <c r="BY125" s="1111"/>
      <c r="BZ125" s="1111"/>
      <c r="CA125" s="1111"/>
      <c r="CB125" s="1111"/>
      <c r="CC125" s="1111"/>
      <c r="CD125" s="1111"/>
      <c r="CE125" s="1111"/>
      <c r="CF125" s="1111"/>
      <c r="CG125" s="1111"/>
      <c r="CH125" s="1111"/>
      <c r="CI125" s="1111"/>
      <c r="CJ125" s="1111"/>
      <c r="CK125" s="1110"/>
    </row>
    <row r="126" spans="1:89" ht="14.4" x14ac:dyDescent="0.3">
      <c r="A126" s="1110"/>
      <c r="B126" s="1110"/>
      <c r="C126" s="1110"/>
      <c r="D126" s="1110"/>
      <c r="E126" s="1110"/>
      <c r="F126" s="1110"/>
      <c r="G126" s="1110"/>
      <c r="H126" s="1110"/>
      <c r="I126" s="1110"/>
      <c r="J126" s="1110"/>
      <c r="K126" s="1110"/>
      <c r="L126" s="1110"/>
      <c r="M126" s="1110"/>
      <c r="N126" s="1110"/>
      <c r="O126" s="1110"/>
      <c r="P126" s="1110"/>
      <c r="Q126" s="1110"/>
      <c r="R126" s="1110"/>
      <c r="S126" s="1110"/>
      <c r="T126" s="1164" t="s">
        <v>641</v>
      </c>
      <c r="U126" s="1182" t="s">
        <v>344</v>
      </c>
      <c r="V126" s="1186">
        <v>0.25</v>
      </c>
      <c r="W126" s="1186">
        <v>0.3</v>
      </c>
      <c r="X126" s="1186">
        <v>0.3</v>
      </c>
      <c r="Y126" s="1186">
        <v>0.25</v>
      </c>
      <c r="Z126" s="1186">
        <v>0.25</v>
      </c>
      <c r="AA126" s="1186">
        <v>0.3</v>
      </c>
      <c r="AB126" s="1186">
        <v>0.3</v>
      </c>
      <c r="AC126" s="1186">
        <v>0.3</v>
      </c>
      <c r="AD126" s="1182"/>
      <c r="AE126" s="1182"/>
      <c r="AF126" s="1182"/>
      <c r="AG126" s="1182"/>
      <c r="AH126" s="1182"/>
      <c r="AI126" s="1182"/>
      <c r="AJ126" s="1182"/>
      <c r="AK126" s="1182"/>
      <c r="AL126" s="1182"/>
      <c r="AM126" s="1182"/>
      <c r="AN126" s="1182"/>
      <c r="AO126" s="1182"/>
      <c r="AP126" s="1182"/>
      <c r="AQ126" s="1182"/>
      <c r="AR126" s="1182"/>
      <c r="AS126" s="1182"/>
      <c r="AT126" s="1182"/>
      <c r="AU126" s="1182"/>
      <c r="AV126" s="1182"/>
      <c r="AW126" s="1111"/>
      <c r="AX126" s="1111"/>
      <c r="AY126" s="1111">
        <f>(45357-44714)/44714</f>
        <v>1.4380283580086774E-2</v>
      </c>
      <c r="AZ126" s="1111"/>
      <c r="BA126" s="1111"/>
      <c r="BB126" s="1111"/>
      <c r="BC126" s="1111"/>
      <c r="BD126" s="1111"/>
      <c r="BE126" s="1111"/>
      <c r="BF126" s="1111"/>
      <c r="BG126" s="1111"/>
      <c r="BH126" s="1111"/>
      <c r="BI126" s="1111"/>
      <c r="BJ126" s="1111"/>
      <c r="BK126" s="1111"/>
      <c r="BL126" s="1111"/>
      <c r="BM126" s="1111"/>
      <c r="BN126" s="1111"/>
      <c r="BO126" s="1111"/>
      <c r="BP126" s="1111"/>
      <c r="BQ126" s="1111"/>
      <c r="BR126" s="1111"/>
      <c r="BS126" s="1111"/>
      <c r="BT126" s="1111"/>
      <c r="BU126" s="1111"/>
      <c r="BV126" s="1111"/>
      <c r="BW126" s="1111"/>
      <c r="BX126" s="1111"/>
      <c r="BY126" s="1111"/>
      <c r="BZ126" s="1111"/>
      <c r="CA126" s="1111"/>
      <c r="CB126" s="1111"/>
      <c r="CC126" s="1111"/>
      <c r="CD126" s="1111"/>
      <c r="CE126" s="1111"/>
      <c r="CF126" s="1111"/>
      <c r="CG126" s="1111"/>
      <c r="CH126" s="1111"/>
      <c r="CI126" s="1111"/>
      <c r="CJ126" s="1111"/>
      <c r="CK126" s="1110"/>
    </row>
    <row r="127" spans="1:89" ht="14.4" x14ac:dyDescent="0.3">
      <c r="A127" s="1110"/>
      <c r="B127" s="1110"/>
      <c r="C127" s="1110"/>
      <c r="D127" s="1110"/>
      <c r="E127" s="1110"/>
      <c r="F127" s="1110"/>
      <c r="G127" s="1110"/>
      <c r="H127" s="1110"/>
      <c r="I127" s="1110"/>
      <c r="J127" s="1110"/>
      <c r="K127" s="1110"/>
      <c r="L127" s="1110"/>
      <c r="M127" s="1110"/>
      <c r="N127" s="1110"/>
      <c r="O127" s="1110"/>
      <c r="P127" s="1110"/>
      <c r="Q127" s="1110"/>
      <c r="R127" s="1110"/>
      <c r="S127" s="1110"/>
      <c r="T127" s="1111" t="s">
        <v>637</v>
      </c>
      <c r="U127" s="1111" t="s">
        <v>345</v>
      </c>
      <c r="V127" s="1180">
        <v>0.3</v>
      </c>
      <c r="W127" s="1180">
        <v>0.4</v>
      </c>
      <c r="X127" s="1180">
        <v>0.4</v>
      </c>
      <c r="Y127" s="1180">
        <v>0.3</v>
      </c>
      <c r="Z127" s="1180">
        <v>0.3</v>
      </c>
      <c r="AA127" s="1180">
        <v>0.4</v>
      </c>
      <c r="AB127" s="1180">
        <v>0.5</v>
      </c>
      <c r="AC127" s="1180">
        <v>0.5</v>
      </c>
      <c r="AD127" s="1111"/>
      <c r="AE127" s="1111"/>
      <c r="AF127" s="1111"/>
      <c r="AG127" s="1111"/>
      <c r="AH127" s="1111"/>
      <c r="AI127" s="1111"/>
      <c r="AJ127" s="1111"/>
      <c r="AK127" s="1111"/>
      <c r="AL127" s="1111"/>
      <c r="AM127" s="1111"/>
      <c r="AN127" s="1111"/>
      <c r="AO127" s="1111"/>
      <c r="AP127" s="1111"/>
      <c r="AQ127" s="1111"/>
      <c r="AR127" s="1111"/>
      <c r="AS127" s="1111"/>
      <c r="AT127" s="1111"/>
      <c r="AU127" s="1111"/>
      <c r="AV127" s="1111"/>
      <c r="AW127" s="1111"/>
      <c r="AX127" s="1111"/>
      <c r="AY127" s="1111"/>
      <c r="AZ127" s="1111"/>
      <c r="BA127" s="1111"/>
      <c r="BB127" s="1111"/>
      <c r="BC127" s="1111"/>
      <c r="BD127" s="1111"/>
      <c r="BE127" s="1111"/>
      <c r="BF127" s="1111"/>
      <c r="BG127" s="1111"/>
      <c r="BH127" s="1111"/>
      <c r="BI127" s="1111"/>
      <c r="BJ127" s="1111"/>
      <c r="BK127" s="1111"/>
      <c r="BL127" s="1111"/>
      <c r="BM127" s="1111"/>
      <c r="BN127" s="1111"/>
      <c r="BO127" s="1111"/>
      <c r="BP127" s="1111"/>
      <c r="BQ127" s="1111"/>
      <c r="BR127" s="1111"/>
      <c r="BS127" s="1111"/>
      <c r="BT127" s="1111"/>
      <c r="BU127" s="1111"/>
      <c r="BV127" s="1111"/>
      <c r="BW127" s="1111"/>
      <c r="BX127" s="1111"/>
      <c r="BY127" s="1111"/>
      <c r="BZ127" s="1111"/>
      <c r="CA127" s="1111"/>
      <c r="CB127" s="1111"/>
      <c r="CC127" s="1111"/>
      <c r="CD127" s="1111"/>
      <c r="CE127" s="1111"/>
      <c r="CF127" s="1111"/>
      <c r="CG127" s="1111"/>
      <c r="CH127" s="1111"/>
      <c r="CI127" s="1111"/>
      <c r="CJ127" s="1111"/>
      <c r="CK127" s="1110"/>
    </row>
    <row r="128" spans="1:89" ht="14.4" x14ac:dyDescent="0.3">
      <c r="A128" s="1110"/>
      <c r="B128" s="1110"/>
      <c r="C128" s="1110"/>
      <c r="D128" s="1110"/>
      <c r="E128" s="1110"/>
      <c r="F128" s="1110"/>
      <c r="G128" s="1110"/>
      <c r="H128" s="1110"/>
      <c r="I128" s="1110"/>
      <c r="J128" s="1110"/>
      <c r="K128" s="1110"/>
      <c r="L128" s="1110"/>
      <c r="M128" s="1110"/>
      <c r="N128" s="1110"/>
      <c r="O128" s="1110"/>
      <c r="P128" s="1110"/>
      <c r="Q128" s="1110"/>
      <c r="R128" s="1110"/>
      <c r="S128" s="1110"/>
      <c r="T128" s="1111" t="s">
        <v>638</v>
      </c>
      <c r="U128" s="1111" t="s">
        <v>346</v>
      </c>
      <c r="V128" s="1180">
        <v>0.1</v>
      </c>
      <c r="W128" s="1180">
        <v>0.1</v>
      </c>
      <c r="X128" s="1180">
        <v>0.1</v>
      </c>
      <c r="Y128" s="1180">
        <v>0.1</v>
      </c>
      <c r="Z128" s="1180">
        <v>0.1</v>
      </c>
      <c r="AA128" s="1180">
        <v>0.1</v>
      </c>
      <c r="AB128" s="1180">
        <v>0.2</v>
      </c>
      <c r="AC128" s="1180">
        <v>0.2</v>
      </c>
      <c r="AD128" s="1111"/>
      <c r="AE128" s="1111"/>
      <c r="AF128" s="1111"/>
      <c r="AG128" s="1111"/>
      <c r="AH128" s="1111"/>
      <c r="AI128" s="1111"/>
      <c r="AJ128" s="1111"/>
      <c r="AK128" s="1111"/>
      <c r="AL128" s="1111"/>
      <c r="AM128" s="1111"/>
      <c r="AN128" s="1111"/>
      <c r="AO128" s="1111"/>
      <c r="AP128" s="1111"/>
      <c r="AQ128" s="1111"/>
      <c r="AR128" s="1111"/>
      <c r="AS128" s="1111"/>
      <c r="AT128" s="1111"/>
      <c r="AU128" s="1111"/>
      <c r="AV128" s="1111"/>
      <c r="AW128" s="1111"/>
      <c r="AX128" s="1111"/>
      <c r="AY128" s="1111">
        <f>26/22</f>
        <v>1.1818181818181819</v>
      </c>
      <c r="AZ128" s="1111"/>
      <c r="BA128" s="1111"/>
      <c r="BB128" s="1111"/>
      <c r="BC128" s="1111"/>
      <c r="BD128" s="1111"/>
      <c r="BE128" s="1111"/>
      <c r="BF128" s="1111"/>
      <c r="BG128" s="1111"/>
      <c r="BH128" s="1111"/>
      <c r="BI128" s="1111"/>
      <c r="BJ128" s="1111"/>
      <c r="BK128" s="1111"/>
      <c r="BL128" s="1111"/>
      <c r="BM128" s="1111"/>
      <c r="BN128" s="1111"/>
      <c r="BO128" s="1111"/>
      <c r="BP128" s="1111"/>
      <c r="BQ128" s="1111"/>
      <c r="BR128" s="1111"/>
      <c r="BS128" s="1111"/>
      <c r="BT128" s="1111"/>
      <c r="BU128" s="1111"/>
      <c r="BV128" s="1111"/>
      <c r="BW128" s="1111"/>
      <c r="BX128" s="1111"/>
      <c r="BY128" s="1111"/>
      <c r="BZ128" s="1111"/>
      <c r="CA128" s="1111"/>
      <c r="CB128" s="1111"/>
      <c r="CC128" s="1111"/>
      <c r="CD128" s="1111"/>
      <c r="CE128" s="1111"/>
      <c r="CF128" s="1111"/>
      <c r="CG128" s="1111"/>
      <c r="CH128" s="1111"/>
      <c r="CI128" s="1111"/>
      <c r="CJ128" s="1111"/>
      <c r="CK128" s="1110"/>
    </row>
    <row r="129" spans="1:89" ht="14.4" x14ac:dyDescent="0.3">
      <c r="A129" s="1110"/>
      <c r="B129" s="1110"/>
      <c r="C129" s="1110"/>
      <c r="D129" s="1110"/>
      <c r="E129" s="1110"/>
      <c r="F129" s="1110"/>
      <c r="G129" s="1110"/>
      <c r="H129" s="1110"/>
      <c r="I129" s="1110"/>
      <c r="J129" s="1110"/>
      <c r="K129" s="1110"/>
      <c r="L129" s="1110"/>
      <c r="M129" s="1110"/>
      <c r="N129" s="1110"/>
      <c r="O129" s="1110"/>
      <c r="P129" s="1110"/>
      <c r="Q129" s="1110"/>
      <c r="R129" s="1110"/>
      <c r="S129" s="1110"/>
      <c r="T129" s="1111"/>
      <c r="U129" s="1111" t="s">
        <v>343</v>
      </c>
      <c r="V129" s="1180">
        <v>0.2</v>
      </c>
      <c r="W129" s="1180">
        <v>0.15</v>
      </c>
      <c r="X129" s="1180">
        <v>0.15</v>
      </c>
      <c r="Y129" s="1180">
        <v>0.2</v>
      </c>
      <c r="Z129" s="1180">
        <v>0.2</v>
      </c>
      <c r="AA129" s="1180">
        <v>0.15</v>
      </c>
      <c r="AB129" s="1180">
        <v>0.2</v>
      </c>
      <c r="AC129" s="1180">
        <v>0.2</v>
      </c>
      <c r="AD129" s="1111"/>
      <c r="AE129" s="1111"/>
      <c r="AF129" s="1111"/>
      <c r="AG129" s="1111"/>
      <c r="AH129" s="1111"/>
      <c r="AI129" s="1111"/>
      <c r="AJ129" s="1111"/>
      <c r="AK129" s="1111"/>
      <c r="AL129" s="1111"/>
      <c r="AM129" s="1111"/>
      <c r="AN129" s="1111"/>
      <c r="AO129" s="1111"/>
      <c r="AP129" s="1111"/>
      <c r="AQ129" s="1111"/>
      <c r="AR129" s="1111"/>
      <c r="AS129" s="1111"/>
      <c r="AT129" s="1111"/>
      <c r="AU129" s="1111"/>
      <c r="AV129" s="1111"/>
      <c r="AW129" s="1111"/>
      <c r="AX129" s="1111"/>
      <c r="AY129" s="1111"/>
      <c r="AZ129" s="1111"/>
      <c r="BA129" s="1111"/>
      <c r="BB129" s="1111"/>
      <c r="BC129" s="1111"/>
      <c r="BD129" s="1111"/>
      <c r="BE129" s="1111"/>
      <c r="BF129" s="1111"/>
      <c r="BG129" s="1111"/>
      <c r="BH129" s="1111"/>
      <c r="BI129" s="1111"/>
      <c r="BJ129" s="1111"/>
      <c r="BK129" s="1111"/>
      <c r="BL129" s="1111"/>
      <c r="BM129" s="1111"/>
      <c r="BN129" s="1111"/>
      <c r="BO129" s="1111"/>
      <c r="BP129" s="1111"/>
      <c r="BQ129" s="1111"/>
      <c r="BR129" s="1111"/>
      <c r="BS129" s="1111"/>
      <c r="BT129" s="1111"/>
      <c r="BU129" s="1111"/>
      <c r="BV129" s="1111"/>
      <c r="BW129" s="1111"/>
      <c r="BX129" s="1111"/>
      <c r="BY129" s="1111"/>
      <c r="BZ129" s="1111"/>
      <c r="CA129" s="1111"/>
      <c r="CB129" s="1111"/>
      <c r="CC129" s="1111"/>
      <c r="CD129" s="1111"/>
      <c r="CE129" s="1111"/>
      <c r="CF129" s="1111"/>
      <c r="CG129" s="1111"/>
      <c r="CH129" s="1111"/>
      <c r="CI129" s="1111"/>
      <c r="CJ129" s="1111"/>
      <c r="CK129" s="1110"/>
    </row>
    <row r="130" spans="1:89" ht="14.4" x14ac:dyDescent="0.3">
      <c r="A130" s="1110"/>
      <c r="B130" s="1110"/>
      <c r="C130" s="1110"/>
      <c r="D130" s="1110"/>
      <c r="E130" s="1110"/>
      <c r="F130" s="1110"/>
      <c r="G130" s="1110"/>
      <c r="H130" s="1110"/>
      <c r="I130" s="1110"/>
      <c r="J130" s="1110"/>
      <c r="K130" s="1110"/>
      <c r="L130" s="1110"/>
      <c r="M130" s="1110"/>
      <c r="N130" s="1110"/>
      <c r="O130" s="1110"/>
      <c r="P130" s="1110"/>
      <c r="Q130" s="1110"/>
      <c r="R130" s="1110"/>
      <c r="S130" s="1110"/>
      <c r="T130" s="1111"/>
      <c r="U130" s="1111" t="s">
        <v>342</v>
      </c>
      <c r="V130" s="1180">
        <v>0.25</v>
      </c>
      <c r="W130" s="1180">
        <v>0.15</v>
      </c>
      <c r="X130" s="1180">
        <v>0.15</v>
      </c>
      <c r="Y130" s="1180">
        <v>0.25</v>
      </c>
      <c r="Z130" s="1180">
        <v>0.25</v>
      </c>
      <c r="AA130" s="1180">
        <v>0.15</v>
      </c>
      <c r="AB130" s="1180">
        <v>0.05</v>
      </c>
      <c r="AC130" s="1180">
        <v>0.05</v>
      </c>
      <c r="AD130" s="1111"/>
      <c r="AE130" s="1111"/>
      <c r="AF130" s="1111"/>
      <c r="AG130" s="1111"/>
      <c r="AH130" s="1111"/>
      <c r="AI130" s="1111"/>
      <c r="AJ130" s="1111"/>
      <c r="AK130" s="1111"/>
      <c r="AL130" s="1111"/>
      <c r="AM130" s="1111"/>
      <c r="AN130" s="1111"/>
      <c r="AO130" s="1111"/>
      <c r="AP130" s="1111"/>
      <c r="AQ130" s="1111"/>
      <c r="AR130" s="1111"/>
      <c r="AS130" s="1111"/>
      <c r="AT130" s="1111"/>
      <c r="AU130" s="1111"/>
      <c r="AV130" s="1111"/>
      <c r="AW130" s="1111"/>
      <c r="AX130" s="1111"/>
      <c r="AY130" s="1111">
        <f>26/22</f>
        <v>1.1818181818181819</v>
      </c>
      <c r="AZ130" s="1111"/>
      <c r="BA130" s="1111"/>
      <c r="BB130" s="1111"/>
      <c r="BC130" s="1111"/>
      <c r="BD130" s="1111"/>
      <c r="BE130" s="1111"/>
      <c r="BF130" s="1111"/>
      <c r="BG130" s="1111"/>
      <c r="BH130" s="1111"/>
      <c r="BI130" s="1111"/>
      <c r="BJ130" s="1111"/>
      <c r="BK130" s="1111"/>
      <c r="BL130" s="1111"/>
      <c r="BM130" s="1111"/>
      <c r="BN130" s="1111"/>
      <c r="BO130" s="1111"/>
      <c r="BP130" s="1111"/>
      <c r="BQ130" s="1111"/>
      <c r="BR130" s="1111"/>
      <c r="BS130" s="1111"/>
      <c r="BT130" s="1111"/>
      <c r="BU130" s="1111"/>
      <c r="BV130" s="1111"/>
      <c r="BW130" s="1111"/>
      <c r="BX130" s="1111"/>
      <c r="BY130" s="1111"/>
      <c r="BZ130" s="1111"/>
      <c r="CA130" s="1111"/>
      <c r="CB130" s="1111"/>
      <c r="CC130" s="1111"/>
      <c r="CD130" s="1111"/>
      <c r="CE130" s="1111"/>
      <c r="CF130" s="1111"/>
      <c r="CG130" s="1111"/>
      <c r="CH130" s="1111"/>
      <c r="CI130" s="1111"/>
      <c r="CJ130" s="1111"/>
      <c r="CK130" s="1110"/>
    </row>
    <row r="131" spans="1:89" ht="14.4" x14ac:dyDescent="0.3">
      <c r="A131" s="1110"/>
      <c r="B131" s="1110"/>
      <c r="C131" s="1110"/>
      <c r="D131" s="1110"/>
      <c r="E131" s="1110"/>
      <c r="F131" s="1110"/>
      <c r="G131" s="1110"/>
      <c r="H131" s="1110"/>
      <c r="I131" s="1110"/>
      <c r="J131" s="1110"/>
      <c r="K131" s="1110"/>
      <c r="L131" s="1110"/>
      <c r="M131" s="1110"/>
      <c r="N131" s="1110"/>
      <c r="O131" s="1110"/>
      <c r="P131" s="1110"/>
      <c r="Q131" s="1110"/>
      <c r="R131" s="1110"/>
      <c r="S131" s="1110"/>
      <c r="T131" s="1111"/>
      <c r="U131" s="1111" t="s">
        <v>341</v>
      </c>
      <c r="V131" s="1180">
        <v>0.25</v>
      </c>
      <c r="W131" s="1180">
        <v>0.18</v>
      </c>
      <c r="X131" s="1180">
        <v>0.18</v>
      </c>
      <c r="Y131" s="1180">
        <v>0.1</v>
      </c>
      <c r="Z131" s="1180">
        <v>0.1</v>
      </c>
      <c r="AA131" s="1180">
        <v>0.1</v>
      </c>
      <c r="AB131" s="1180">
        <v>0.1</v>
      </c>
      <c r="AC131" s="1180">
        <v>0.1</v>
      </c>
      <c r="AD131" s="1111"/>
      <c r="AE131" s="1111"/>
      <c r="AF131" s="1111"/>
      <c r="AG131" s="1111"/>
      <c r="AH131" s="1111"/>
      <c r="AI131" s="1111"/>
      <c r="AJ131" s="1111"/>
      <c r="AK131" s="1111"/>
      <c r="AL131" s="1111"/>
      <c r="AM131" s="1111"/>
      <c r="AN131" s="1111"/>
      <c r="AO131" s="1111"/>
      <c r="AP131" s="1111"/>
      <c r="AQ131" s="1111"/>
      <c r="AR131" s="1111"/>
      <c r="AS131" s="1111"/>
      <c r="AT131" s="1111"/>
      <c r="AU131" s="1111"/>
      <c r="AV131" s="1111"/>
      <c r="AW131" s="1111"/>
      <c r="AX131" s="1111"/>
      <c r="AY131" s="1111"/>
      <c r="AZ131" s="1111"/>
      <c r="BA131" s="1111"/>
      <c r="BB131" s="1111"/>
      <c r="BC131" s="1111"/>
      <c r="BD131" s="1111"/>
      <c r="BE131" s="1111"/>
      <c r="BF131" s="1111"/>
      <c r="BG131" s="1111"/>
      <c r="BH131" s="1111"/>
      <c r="BI131" s="1111"/>
      <c r="BJ131" s="1111"/>
      <c r="BK131" s="1111"/>
      <c r="BL131" s="1111"/>
      <c r="BM131" s="1111"/>
      <c r="BN131" s="1111"/>
      <c r="BO131" s="1111"/>
      <c r="BP131" s="1111"/>
      <c r="BQ131" s="1111"/>
      <c r="BR131" s="1111"/>
      <c r="BS131" s="1111"/>
      <c r="BT131" s="1111"/>
      <c r="BU131" s="1111"/>
      <c r="BV131" s="1111"/>
      <c r="BW131" s="1111"/>
      <c r="BX131" s="1111"/>
      <c r="BY131" s="1111"/>
      <c r="BZ131" s="1111"/>
      <c r="CA131" s="1111"/>
      <c r="CB131" s="1111"/>
      <c r="CC131" s="1111"/>
      <c r="CD131" s="1111"/>
      <c r="CE131" s="1111"/>
      <c r="CF131" s="1111"/>
      <c r="CG131" s="1111"/>
      <c r="CH131" s="1111"/>
      <c r="CI131" s="1111"/>
      <c r="CJ131" s="1111"/>
      <c r="CK131" s="1110"/>
    </row>
    <row r="132" spans="1:89" ht="14.4" x14ac:dyDescent="0.3">
      <c r="A132" s="1110"/>
      <c r="B132" s="1110"/>
      <c r="C132" s="1110"/>
      <c r="D132" s="1110"/>
      <c r="E132" s="1110"/>
      <c r="F132" s="1110"/>
      <c r="G132" s="1110"/>
      <c r="H132" s="1110"/>
      <c r="I132" s="1110"/>
      <c r="J132" s="1110"/>
      <c r="K132" s="1110"/>
      <c r="L132" s="1110"/>
      <c r="M132" s="1110"/>
      <c r="N132" s="1110"/>
      <c r="O132" s="1110"/>
      <c r="P132" s="1110"/>
      <c r="Q132" s="1110"/>
      <c r="R132" s="1110"/>
      <c r="S132" s="1110"/>
      <c r="T132" s="1111"/>
      <c r="U132" s="1111" t="s">
        <v>340</v>
      </c>
      <c r="V132" s="1180">
        <v>0.25</v>
      </c>
      <c r="W132" s="1180">
        <v>0.18</v>
      </c>
      <c r="X132" s="1180">
        <v>0.18</v>
      </c>
      <c r="Y132" s="1180">
        <v>0.1</v>
      </c>
      <c r="Z132" s="1180">
        <v>0.1</v>
      </c>
      <c r="AA132" s="1180">
        <v>0.1</v>
      </c>
      <c r="AB132" s="1180">
        <v>0.1</v>
      </c>
      <c r="AC132" s="1180">
        <v>0.1</v>
      </c>
      <c r="AD132" s="1111"/>
      <c r="AE132" s="1111"/>
      <c r="AF132" s="1111"/>
      <c r="AG132" s="1111"/>
      <c r="AH132" s="1111"/>
      <c r="AI132" s="1111"/>
      <c r="AJ132" s="1111"/>
      <c r="AK132" s="1111"/>
      <c r="AL132" s="1111"/>
      <c r="AM132" s="1111"/>
      <c r="AN132" s="1111"/>
      <c r="AO132" s="1111"/>
      <c r="AP132" s="1111"/>
      <c r="AQ132" s="1111"/>
      <c r="AR132" s="1111"/>
      <c r="AS132" s="1111"/>
      <c r="AT132" s="1111"/>
      <c r="AU132" s="1111"/>
      <c r="AV132" s="1111"/>
      <c r="AW132" s="1111"/>
      <c r="AX132" s="1111"/>
      <c r="AY132" s="1111"/>
      <c r="AZ132" s="1111"/>
      <c r="BA132" s="1111"/>
      <c r="BB132" s="1111"/>
      <c r="BC132" s="1111"/>
      <c r="BD132" s="1111"/>
      <c r="BE132" s="1111"/>
      <c r="BF132" s="1111"/>
      <c r="BG132" s="1111"/>
      <c r="BH132" s="1111"/>
      <c r="BI132" s="1111"/>
      <c r="BJ132" s="1111"/>
      <c r="BK132" s="1111"/>
      <c r="BL132" s="1111"/>
      <c r="BM132" s="1111"/>
      <c r="BN132" s="1111"/>
      <c r="BO132" s="1111"/>
      <c r="BP132" s="1111"/>
      <c r="BQ132" s="1111"/>
      <c r="BR132" s="1111"/>
      <c r="BS132" s="1111"/>
      <c r="BT132" s="1111"/>
      <c r="BU132" s="1111"/>
      <c r="BV132" s="1111"/>
      <c r="BW132" s="1111"/>
      <c r="BX132" s="1111"/>
      <c r="BY132" s="1111"/>
      <c r="BZ132" s="1111"/>
      <c r="CA132" s="1111"/>
      <c r="CB132" s="1111"/>
      <c r="CC132" s="1111"/>
      <c r="CD132" s="1111"/>
      <c r="CE132" s="1111"/>
      <c r="CF132" s="1111"/>
      <c r="CG132" s="1111"/>
      <c r="CH132" s="1111"/>
      <c r="CI132" s="1111"/>
      <c r="CJ132" s="1111"/>
      <c r="CK132" s="1110"/>
    </row>
    <row r="133" spans="1:89" ht="14.4" x14ac:dyDescent="0.3">
      <c r="A133" s="1110"/>
      <c r="B133" s="1110"/>
      <c r="C133" s="1110"/>
      <c r="D133" s="1110"/>
      <c r="E133" s="1110"/>
      <c r="F133" s="1110"/>
      <c r="G133" s="1110"/>
      <c r="H133" s="1110"/>
      <c r="I133" s="1110"/>
      <c r="J133" s="1110"/>
      <c r="K133" s="1110"/>
      <c r="L133" s="1110"/>
      <c r="M133" s="1110"/>
      <c r="N133" s="1110"/>
      <c r="O133" s="1110"/>
      <c r="P133" s="1110"/>
      <c r="Q133" s="1110"/>
      <c r="R133" s="1110"/>
      <c r="S133" s="1110"/>
      <c r="T133" s="1111"/>
      <c r="U133" s="1111" t="s">
        <v>339</v>
      </c>
      <c r="V133" s="1180">
        <v>0.25</v>
      </c>
      <c r="W133" s="1180">
        <v>0.25</v>
      </c>
      <c r="X133" s="1180">
        <v>0.25</v>
      </c>
      <c r="Y133" s="1180">
        <v>0.25</v>
      </c>
      <c r="Z133" s="1180">
        <v>0.25</v>
      </c>
      <c r="AA133" s="1180">
        <v>0.25</v>
      </c>
      <c r="AB133" s="1180">
        <v>0.15</v>
      </c>
      <c r="AC133" s="1180">
        <v>0.15</v>
      </c>
      <c r="AD133" s="1111"/>
      <c r="AE133" s="1111"/>
      <c r="AF133" s="1111"/>
      <c r="AG133" s="1111"/>
      <c r="AH133" s="1111"/>
      <c r="AI133" s="1111"/>
      <c r="AJ133" s="1111"/>
      <c r="AK133" s="1111"/>
      <c r="AL133" s="1111"/>
      <c r="AM133" s="1111"/>
      <c r="AN133" s="1111"/>
      <c r="AO133" s="1111"/>
      <c r="AP133" s="1111"/>
      <c r="AQ133" s="1111"/>
      <c r="AR133" s="1111"/>
      <c r="AS133" s="1111"/>
      <c r="AT133" s="1111"/>
      <c r="AU133" s="1111"/>
      <c r="AV133" s="1111"/>
      <c r="AW133" s="1111"/>
      <c r="AX133" s="1111"/>
      <c r="AY133" s="1111"/>
      <c r="AZ133" s="1111"/>
      <c r="BA133" s="1111"/>
      <c r="BB133" s="1111"/>
      <c r="BC133" s="1111"/>
      <c r="BD133" s="1111"/>
      <c r="BE133" s="1111"/>
      <c r="BF133" s="1111"/>
      <c r="BG133" s="1111"/>
      <c r="BH133" s="1111"/>
      <c r="BI133" s="1111"/>
      <c r="BJ133" s="1111"/>
      <c r="BK133" s="1111"/>
      <c r="BL133" s="1111"/>
      <c r="BM133" s="1111"/>
      <c r="BN133" s="1111"/>
      <c r="BO133" s="1111"/>
      <c r="BP133" s="1111"/>
      <c r="BQ133" s="1111"/>
      <c r="BR133" s="1111"/>
      <c r="BS133" s="1111"/>
      <c r="BT133" s="1111"/>
      <c r="BU133" s="1111"/>
      <c r="BV133" s="1111"/>
      <c r="BW133" s="1111"/>
      <c r="BX133" s="1111"/>
      <c r="BY133" s="1111"/>
      <c r="BZ133" s="1111"/>
      <c r="CA133" s="1111"/>
      <c r="CB133" s="1111"/>
      <c r="CC133" s="1111"/>
      <c r="CD133" s="1111"/>
      <c r="CE133" s="1111"/>
      <c r="CF133" s="1111"/>
      <c r="CG133" s="1111"/>
      <c r="CH133" s="1111"/>
      <c r="CI133" s="1111"/>
      <c r="CJ133" s="1111"/>
      <c r="CK133" s="1110"/>
    </row>
    <row r="134" spans="1:89" ht="14.4" x14ac:dyDescent="0.3">
      <c r="A134" s="1110"/>
      <c r="B134" s="1110"/>
      <c r="C134" s="1110"/>
      <c r="D134" s="1110"/>
      <c r="E134" s="1110"/>
      <c r="F134" s="1110"/>
      <c r="G134" s="1110"/>
      <c r="H134" s="1110"/>
      <c r="I134" s="1110"/>
      <c r="J134" s="1110"/>
      <c r="K134" s="1110"/>
      <c r="L134" s="1110"/>
      <c r="M134" s="1110"/>
      <c r="N134" s="1110"/>
      <c r="O134" s="1110"/>
      <c r="P134" s="1110"/>
      <c r="Q134" s="1110"/>
      <c r="R134" s="1110"/>
      <c r="S134" s="1110"/>
      <c r="T134" s="1111"/>
      <c r="U134" s="1111" t="s">
        <v>355</v>
      </c>
      <c r="V134" s="1180">
        <v>0.02</v>
      </c>
      <c r="W134" s="1180">
        <v>7.0000000000000007E-2</v>
      </c>
      <c r="X134" s="1180">
        <v>7.0000000000000007E-2</v>
      </c>
      <c r="Y134" s="1180">
        <v>0.17</v>
      </c>
      <c r="Z134" s="1180">
        <v>0.17</v>
      </c>
      <c r="AA134" s="1180">
        <v>0.25</v>
      </c>
      <c r="AB134" s="1180">
        <v>0.05</v>
      </c>
      <c r="AC134" s="1180">
        <v>0.05</v>
      </c>
      <c r="AD134" s="1111"/>
      <c r="AE134" s="1111"/>
      <c r="AF134" s="1111"/>
      <c r="AG134" s="1111"/>
      <c r="AH134" s="1111"/>
      <c r="AI134" s="1111"/>
      <c r="AJ134" s="1111"/>
      <c r="AK134" s="1111"/>
      <c r="AL134" s="1111"/>
      <c r="AM134" s="1111"/>
      <c r="AN134" s="1111"/>
      <c r="AO134" s="1111"/>
      <c r="AP134" s="1111"/>
      <c r="AQ134" s="1111"/>
      <c r="AR134" s="1111"/>
      <c r="AS134" s="1111"/>
      <c r="AT134" s="1111"/>
      <c r="AU134" s="1111"/>
      <c r="AV134" s="1111"/>
      <c r="AW134" s="1111"/>
      <c r="AX134" s="1111"/>
      <c r="AY134" s="1111"/>
      <c r="AZ134" s="1111"/>
      <c r="BA134" s="1111"/>
      <c r="BB134" s="1111"/>
      <c r="BC134" s="1111"/>
      <c r="BD134" s="1111"/>
      <c r="BE134" s="1111"/>
      <c r="BF134" s="1111"/>
      <c r="BG134" s="1111"/>
      <c r="BH134" s="1111"/>
      <c r="BI134" s="1111"/>
      <c r="BJ134" s="1111"/>
      <c r="BK134" s="1111"/>
      <c r="BL134" s="1111"/>
      <c r="BM134" s="1111"/>
      <c r="BN134" s="1111"/>
      <c r="BO134" s="1111"/>
      <c r="BP134" s="1111"/>
      <c r="BQ134" s="1111"/>
      <c r="BR134" s="1111"/>
      <c r="BS134" s="1111"/>
      <c r="BT134" s="1111"/>
      <c r="BU134" s="1111"/>
      <c r="BV134" s="1111"/>
      <c r="BW134" s="1111"/>
      <c r="BX134" s="1111"/>
      <c r="BY134" s="1111"/>
      <c r="BZ134" s="1111"/>
      <c r="CA134" s="1111"/>
      <c r="CB134" s="1111"/>
      <c r="CC134" s="1111"/>
      <c r="CD134" s="1111"/>
      <c r="CE134" s="1111"/>
      <c r="CF134" s="1111"/>
      <c r="CG134" s="1111"/>
      <c r="CH134" s="1111"/>
      <c r="CI134" s="1111"/>
      <c r="CJ134" s="1111"/>
      <c r="CK134" s="1110"/>
    </row>
    <row r="135" spans="1:89" ht="14.4" x14ac:dyDescent="0.3">
      <c r="A135" s="1110"/>
      <c r="B135" s="1110"/>
      <c r="C135" s="1110"/>
      <c r="D135" s="1110"/>
      <c r="E135" s="1110"/>
      <c r="F135" s="1110"/>
      <c r="G135" s="1110"/>
      <c r="H135" s="1110"/>
      <c r="I135" s="1110"/>
      <c r="J135" s="1110"/>
      <c r="K135" s="1110"/>
      <c r="L135" s="1110"/>
      <c r="M135" s="1110"/>
      <c r="N135" s="1110"/>
      <c r="O135" s="1110"/>
      <c r="P135" s="1110"/>
      <c r="Q135" s="1110"/>
      <c r="R135" s="1110"/>
      <c r="S135" s="1110"/>
      <c r="T135" s="1111"/>
      <c r="U135" s="1111" t="s">
        <v>356</v>
      </c>
      <c r="V135" s="1180">
        <v>0.02</v>
      </c>
      <c r="W135" s="1180">
        <v>7.0000000000000007E-2</v>
      </c>
      <c r="X135" s="1180">
        <v>7.0000000000000007E-2</v>
      </c>
      <c r="Y135" s="1180">
        <v>0.06</v>
      </c>
      <c r="Z135" s="1180">
        <v>0.06</v>
      </c>
      <c r="AA135" s="1180">
        <v>0.22</v>
      </c>
      <c r="AB135" s="1180">
        <v>0.04</v>
      </c>
      <c r="AC135" s="1180">
        <v>0.05</v>
      </c>
      <c r="AD135" s="1111"/>
      <c r="AE135" s="1111"/>
      <c r="AF135" s="1111"/>
      <c r="AG135" s="1111"/>
      <c r="AH135" s="1111"/>
      <c r="AI135" s="1111"/>
      <c r="AJ135" s="1111"/>
      <c r="AK135" s="1111"/>
      <c r="AL135" s="1111"/>
      <c r="AM135" s="1111"/>
      <c r="AN135" s="1111"/>
      <c r="AO135" s="1111"/>
      <c r="AP135" s="1111"/>
      <c r="AQ135" s="1111"/>
      <c r="AR135" s="1111"/>
      <c r="AS135" s="1111"/>
      <c r="AT135" s="1111"/>
      <c r="AU135" s="1111"/>
      <c r="AV135" s="1111"/>
      <c r="AW135" s="1111"/>
      <c r="AX135" s="1111"/>
      <c r="AY135" s="1111"/>
      <c r="AZ135" s="1111"/>
      <c r="BA135" s="1111"/>
      <c r="BB135" s="1111"/>
      <c r="BC135" s="1111"/>
      <c r="BD135" s="1111"/>
      <c r="BE135" s="1111"/>
      <c r="BF135" s="1111"/>
      <c r="BG135" s="1111"/>
      <c r="BH135" s="1111"/>
      <c r="BI135" s="1111"/>
      <c r="BJ135" s="1111"/>
      <c r="BK135" s="1111"/>
      <c r="BL135" s="1111"/>
      <c r="BM135" s="1111"/>
      <c r="BN135" s="1111"/>
      <c r="BO135" s="1111"/>
      <c r="BP135" s="1111"/>
      <c r="BQ135" s="1111"/>
      <c r="BR135" s="1111"/>
      <c r="BS135" s="1111"/>
      <c r="BT135" s="1111"/>
      <c r="BU135" s="1111"/>
      <c r="BV135" s="1111"/>
      <c r="BW135" s="1111"/>
      <c r="BX135" s="1111"/>
      <c r="BY135" s="1111"/>
      <c r="BZ135" s="1111"/>
      <c r="CA135" s="1111"/>
      <c r="CB135" s="1111"/>
      <c r="CC135" s="1111"/>
      <c r="CD135" s="1111"/>
      <c r="CE135" s="1111"/>
      <c r="CF135" s="1111"/>
      <c r="CG135" s="1111"/>
      <c r="CH135" s="1111"/>
      <c r="CI135" s="1111"/>
      <c r="CJ135" s="1111"/>
      <c r="CK135" s="1110"/>
    </row>
    <row r="136" spans="1:89" ht="14.4" x14ac:dyDescent="0.3">
      <c r="A136" s="1110"/>
      <c r="B136" s="1110"/>
      <c r="C136" s="1110"/>
      <c r="D136" s="1110"/>
      <c r="E136" s="1110"/>
      <c r="F136" s="1110"/>
      <c r="G136" s="1110"/>
      <c r="H136" s="1110"/>
      <c r="I136" s="1110"/>
      <c r="J136" s="1110"/>
      <c r="K136" s="1110"/>
      <c r="L136" s="1110"/>
      <c r="M136" s="1110"/>
      <c r="N136" s="1110"/>
      <c r="O136" s="1110"/>
      <c r="P136" s="1110"/>
      <c r="Q136" s="1110"/>
      <c r="R136" s="1110"/>
      <c r="S136" s="1110"/>
      <c r="T136" s="1111"/>
      <c r="U136" s="1111" t="s">
        <v>357</v>
      </c>
      <c r="V136" s="1180">
        <v>0.02</v>
      </c>
      <c r="W136" s="1180">
        <v>0.02</v>
      </c>
      <c r="X136" s="1180">
        <v>0.06</v>
      </c>
      <c r="Y136" s="1180">
        <v>0.02</v>
      </c>
      <c r="Z136" s="1180">
        <v>0.02</v>
      </c>
      <c r="AA136" s="1180">
        <v>0.15</v>
      </c>
      <c r="AB136" s="1180">
        <v>0.06</v>
      </c>
      <c r="AC136" s="1180">
        <v>0.08</v>
      </c>
      <c r="AD136" s="1111"/>
      <c r="AE136" s="1111"/>
      <c r="AF136" s="1111"/>
      <c r="AG136" s="1111"/>
      <c r="AH136" s="1111"/>
      <c r="AI136" s="1111"/>
      <c r="AJ136" s="1111"/>
      <c r="AK136" s="1111"/>
      <c r="AL136" s="1111"/>
      <c r="AM136" s="1111"/>
      <c r="AN136" s="1111"/>
      <c r="AO136" s="1111"/>
      <c r="AP136" s="1111"/>
      <c r="AQ136" s="1111"/>
      <c r="AR136" s="1111"/>
      <c r="AS136" s="1111"/>
      <c r="AT136" s="1111"/>
      <c r="AU136" s="1111"/>
      <c r="AV136" s="1111"/>
      <c r="AW136" s="1111"/>
      <c r="AX136" s="1111"/>
      <c r="AY136" s="1111"/>
      <c r="AZ136" s="1111"/>
      <c r="BA136" s="1111"/>
      <c r="BB136" s="1111"/>
      <c r="BC136" s="1111"/>
      <c r="BD136" s="1111"/>
      <c r="BE136" s="1111"/>
      <c r="BF136" s="1111"/>
      <c r="BG136" s="1111"/>
      <c r="BH136" s="1111"/>
      <c r="BI136" s="1111"/>
      <c r="BJ136" s="1111"/>
      <c r="BK136" s="1111"/>
      <c r="BL136" s="1111"/>
      <c r="BM136" s="1111"/>
      <c r="BN136" s="1111"/>
      <c r="BO136" s="1111"/>
      <c r="BP136" s="1111"/>
      <c r="BQ136" s="1111"/>
      <c r="BR136" s="1111"/>
      <c r="BS136" s="1111"/>
      <c r="BT136" s="1111"/>
      <c r="BU136" s="1111"/>
      <c r="BV136" s="1111"/>
      <c r="BW136" s="1111"/>
      <c r="BX136" s="1111"/>
      <c r="BY136" s="1111"/>
      <c r="BZ136" s="1111"/>
      <c r="CA136" s="1111"/>
      <c r="CB136" s="1111"/>
      <c r="CC136" s="1111"/>
      <c r="CD136" s="1111"/>
      <c r="CE136" s="1111"/>
      <c r="CF136" s="1111"/>
      <c r="CG136" s="1111"/>
      <c r="CH136" s="1111"/>
      <c r="CI136" s="1111"/>
      <c r="CJ136" s="1111"/>
      <c r="CK136" s="1110"/>
    </row>
    <row r="137" spans="1:89" ht="14.4" x14ac:dyDescent="0.3">
      <c r="A137" s="1110"/>
      <c r="B137" s="1110"/>
      <c r="C137" s="1110"/>
      <c r="D137" s="1110"/>
      <c r="E137" s="1110"/>
      <c r="F137" s="1110"/>
      <c r="G137" s="1110"/>
      <c r="H137" s="1110"/>
      <c r="I137" s="1110"/>
      <c r="J137" s="1110"/>
      <c r="K137" s="1110"/>
      <c r="L137" s="1110"/>
      <c r="M137" s="1110"/>
      <c r="N137" s="1110"/>
      <c r="O137" s="1110"/>
      <c r="P137" s="1110"/>
      <c r="Q137" s="1110"/>
      <c r="R137" s="1110"/>
      <c r="S137" s="1110"/>
      <c r="T137" s="1111"/>
      <c r="U137" s="1111" t="s">
        <v>347</v>
      </c>
      <c r="V137" s="1180">
        <v>0.42</v>
      </c>
      <c r="W137" s="1180">
        <v>0.5</v>
      </c>
      <c r="X137" s="1180">
        <v>0.5</v>
      </c>
      <c r="Y137" s="1180">
        <v>0.42</v>
      </c>
      <c r="Z137" s="1180">
        <v>0.42</v>
      </c>
      <c r="AA137" s="1180">
        <v>0.5</v>
      </c>
      <c r="AB137" s="1180">
        <v>0.7</v>
      </c>
      <c r="AC137" s="1180">
        <v>0.7</v>
      </c>
      <c r="AD137" s="1111"/>
      <c r="AE137" s="1111"/>
      <c r="AF137" s="1111"/>
      <c r="AG137" s="1111"/>
      <c r="AH137" s="1111"/>
      <c r="AI137" s="1111"/>
      <c r="AJ137" s="1111"/>
      <c r="AK137" s="1111"/>
      <c r="AL137" s="1111"/>
      <c r="AM137" s="1111"/>
      <c r="AN137" s="1111"/>
      <c r="AO137" s="1111"/>
      <c r="AP137" s="1111"/>
      <c r="AQ137" s="1111"/>
      <c r="AR137" s="1111"/>
      <c r="AS137" s="1111"/>
      <c r="AT137" s="1111"/>
      <c r="AU137" s="1111"/>
      <c r="AV137" s="1111"/>
      <c r="AW137" s="1111"/>
      <c r="AX137" s="1111"/>
      <c r="AY137" s="1111"/>
      <c r="AZ137" s="1111"/>
      <c r="BA137" s="1111"/>
      <c r="BB137" s="1111"/>
      <c r="BC137" s="1111"/>
      <c r="BD137" s="1111"/>
      <c r="BE137" s="1111"/>
      <c r="BF137" s="1111"/>
      <c r="BG137" s="1111"/>
      <c r="BH137" s="1111"/>
      <c r="BI137" s="1111"/>
      <c r="BJ137" s="1111"/>
      <c r="BK137" s="1111"/>
      <c r="BL137" s="1111"/>
      <c r="BM137" s="1111"/>
      <c r="BN137" s="1111"/>
      <c r="BO137" s="1111"/>
      <c r="BP137" s="1111"/>
      <c r="BQ137" s="1111"/>
      <c r="BR137" s="1111"/>
      <c r="BS137" s="1111"/>
      <c r="BT137" s="1111"/>
      <c r="BU137" s="1111"/>
      <c r="BV137" s="1111"/>
      <c r="BW137" s="1111"/>
      <c r="BX137" s="1111"/>
      <c r="BY137" s="1111"/>
      <c r="BZ137" s="1111"/>
      <c r="CA137" s="1111"/>
      <c r="CB137" s="1111"/>
      <c r="CC137" s="1111"/>
      <c r="CD137" s="1111"/>
      <c r="CE137" s="1111"/>
      <c r="CF137" s="1111"/>
      <c r="CG137" s="1111"/>
      <c r="CH137" s="1111"/>
      <c r="CI137" s="1111"/>
      <c r="CJ137" s="1111"/>
      <c r="CK137" s="1110"/>
    </row>
    <row r="138" spans="1:89" ht="14.4" x14ac:dyDescent="0.3">
      <c r="A138" s="1110"/>
      <c r="B138" s="1110"/>
      <c r="C138" s="1110"/>
      <c r="D138" s="1110"/>
      <c r="E138" s="1110"/>
      <c r="F138" s="1110"/>
      <c r="G138" s="1110"/>
      <c r="H138" s="1110"/>
      <c r="I138" s="1110"/>
      <c r="J138" s="1110"/>
      <c r="K138" s="1110"/>
      <c r="L138" s="1110"/>
      <c r="M138" s="1110"/>
      <c r="N138" s="1110"/>
      <c r="O138" s="1110"/>
      <c r="P138" s="1110"/>
      <c r="Q138" s="1110"/>
      <c r="R138" s="1110"/>
      <c r="S138" s="1110"/>
      <c r="T138" s="1111"/>
      <c r="U138" s="1111" t="s">
        <v>348</v>
      </c>
      <c r="V138" s="1180">
        <v>0.08</v>
      </c>
      <c r="W138" s="1180">
        <v>0.15</v>
      </c>
      <c r="X138" s="1180">
        <v>0.18</v>
      </c>
      <c r="Y138" s="1180">
        <v>0.06</v>
      </c>
      <c r="Z138" s="1180">
        <v>0.06</v>
      </c>
      <c r="AA138" s="1180">
        <v>0.3</v>
      </c>
      <c r="AB138" s="1180">
        <v>0.08</v>
      </c>
      <c r="AC138" s="1180">
        <v>0.5</v>
      </c>
      <c r="AD138" s="1111"/>
      <c r="AE138" s="1111"/>
      <c r="AF138" s="1111"/>
      <c r="AG138" s="1111"/>
      <c r="AH138" s="1111"/>
      <c r="AI138" s="1111"/>
      <c r="AJ138" s="1111"/>
      <c r="AK138" s="1111"/>
      <c r="AL138" s="1111"/>
      <c r="AM138" s="1111"/>
      <c r="AN138" s="1111"/>
      <c r="AO138" s="1111"/>
      <c r="AP138" s="1111"/>
      <c r="AQ138" s="1111"/>
      <c r="AR138" s="1111"/>
      <c r="AS138" s="1111"/>
      <c r="AT138" s="1111"/>
      <c r="AU138" s="1111"/>
      <c r="AV138" s="1111"/>
      <c r="AW138" s="1111"/>
      <c r="AX138" s="1111"/>
      <c r="AY138" s="1111"/>
      <c r="AZ138" s="1111"/>
      <c r="BA138" s="1111"/>
      <c r="BB138" s="1111"/>
      <c r="BC138" s="1111"/>
      <c r="BD138" s="1111"/>
      <c r="BE138" s="1111"/>
      <c r="BF138" s="1111"/>
      <c r="BG138" s="1111"/>
      <c r="BH138" s="1111"/>
      <c r="BI138" s="1111"/>
      <c r="BJ138" s="1111"/>
      <c r="BK138" s="1111"/>
      <c r="BL138" s="1111"/>
      <c r="BM138" s="1111"/>
      <c r="BN138" s="1111"/>
      <c r="BO138" s="1111"/>
      <c r="BP138" s="1111"/>
      <c r="BQ138" s="1111"/>
      <c r="BR138" s="1111"/>
      <c r="BS138" s="1111"/>
      <c r="BT138" s="1111"/>
      <c r="BU138" s="1111"/>
      <c r="BV138" s="1111"/>
      <c r="BW138" s="1111"/>
      <c r="BX138" s="1111"/>
      <c r="BY138" s="1111"/>
      <c r="BZ138" s="1111"/>
      <c r="CA138" s="1111"/>
      <c r="CB138" s="1111"/>
      <c r="CC138" s="1111"/>
      <c r="CD138" s="1111"/>
      <c r="CE138" s="1111"/>
      <c r="CF138" s="1111"/>
      <c r="CG138" s="1111"/>
      <c r="CH138" s="1111"/>
      <c r="CI138" s="1111"/>
      <c r="CJ138" s="1111"/>
      <c r="CK138" s="1110"/>
    </row>
    <row r="139" spans="1:89" ht="14.4" x14ac:dyDescent="0.3">
      <c r="A139" s="1110"/>
      <c r="B139" s="1110"/>
      <c r="C139" s="1110"/>
      <c r="D139" s="1110"/>
      <c r="E139" s="1110"/>
      <c r="F139" s="1110"/>
      <c r="G139" s="1110"/>
      <c r="H139" s="1110"/>
      <c r="I139" s="1110"/>
      <c r="J139" s="1110"/>
      <c r="K139" s="1110"/>
      <c r="L139" s="1110"/>
      <c r="M139" s="1110"/>
      <c r="N139" s="1110"/>
      <c r="O139" s="1110"/>
      <c r="P139" s="1110"/>
      <c r="Q139" s="1110"/>
      <c r="R139" s="1110"/>
      <c r="S139" s="1110"/>
      <c r="T139" s="1111"/>
      <c r="U139" s="1111" t="s">
        <v>349</v>
      </c>
      <c r="V139" s="1180">
        <v>0.06</v>
      </c>
      <c r="W139" s="1180">
        <v>0.05</v>
      </c>
      <c r="X139" s="1180">
        <v>0.08</v>
      </c>
      <c r="Y139" s="1180">
        <v>0.06</v>
      </c>
      <c r="Z139" s="1180">
        <v>0.06</v>
      </c>
      <c r="AA139" s="1180">
        <v>0.08</v>
      </c>
      <c r="AB139" s="1180">
        <v>0.08</v>
      </c>
      <c r="AC139" s="1180">
        <v>0.1</v>
      </c>
      <c r="AD139" s="1111"/>
      <c r="AE139" s="1111"/>
      <c r="AF139" s="1111"/>
      <c r="AG139" s="1111"/>
      <c r="AH139" s="1111"/>
      <c r="AI139" s="1111"/>
      <c r="AJ139" s="1111"/>
      <c r="AK139" s="1111"/>
      <c r="AL139" s="1111"/>
      <c r="AM139" s="1111"/>
      <c r="AN139" s="1111"/>
      <c r="AO139" s="1111"/>
      <c r="AP139" s="1111"/>
      <c r="AQ139" s="1111"/>
      <c r="AR139" s="1111"/>
      <c r="AS139" s="1111"/>
      <c r="AT139" s="1111"/>
      <c r="AU139" s="1111"/>
      <c r="AV139" s="1111"/>
      <c r="AW139" s="1111"/>
      <c r="AX139" s="1111"/>
      <c r="AY139" s="1111"/>
      <c r="AZ139" s="1111"/>
      <c r="BA139" s="1111"/>
      <c r="BB139" s="1111"/>
      <c r="BC139" s="1111"/>
      <c r="BD139" s="1111"/>
      <c r="BE139" s="1111"/>
      <c r="BF139" s="1111"/>
      <c r="BG139" s="1111"/>
      <c r="BH139" s="1111"/>
      <c r="BI139" s="1111"/>
      <c r="BJ139" s="1111"/>
      <c r="BK139" s="1111"/>
      <c r="BL139" s="1111"/>
      <c r="BM139" s="1111"/>
      <c r="BN139" s="1111"/>
      <c r="BO139" s="1111"/>
      <c r="BP139" s="1111"/>
      <c r="BQ139" s="1111"/>
      <c r="BR139" s="1111"/>
      <c r="BS139" s="1111"/>
      <c r="BT139" s="1111"/>
      <c r="BU139" s="1111"/>
      <c r="BV139" s="1111"/>
      <c r="BW139" s="1111"/>
      <c r="BX139" s="1111"/>
      <c r="BY139" s="1111"/>
      <c r="BZ139" s="1111"/>
      <c r="CA139" s="1111"/>
      <c r="CB139" s="1111"/>
      <c r="CC139" s="1111"/>
      <c r="CD139" s="1111"/>
      <c r="CE139" s="1111"/>
      <c r="CF139" s="1111"/>
      <c r="CG139" s="1111"/>
      <c r="CH139" s="1111"/>
      <c r="CI139" s="1111"/>
      <c r="CJ139" s="1111"/>
      <c r="CK139" s="1110"/>
    </row>
    <row r="140" spans="1:89" ht="14.4" x14ac:dyDescent="0.3">
      <c r="A140" s="1110"/>
      <c r="B140" s="1110"/>
      <c r="C140" s="1110"/>
      <c r="D140" s="1110"/>
      <c r="E140" s="1110"/>
      <c r="F140" s="1110"/>
      <c r="G140" s="1110"/>
      <c r="H140" s="1110"/>
      <c r="I140" s="1110"/>
      <c r="J140" s="1110"/>
      <c r="K140" s="1110"/>
      <c r="L140" s="1110"/>
      <c r="M140" s="1110"/>
      <c r="N140" s="1110"/>
      <c r="O140" s="1110"/>
      <c r="P140" s="1110"/>
      <c r="Q140" s="1110"/>
      <c r="R140" s="1110"/>
      <c r="S140" s="1110"/>
      <c r="T140" s="1111"/>
      <c r="U140" s="1111" t="s">
        <v>351</v>
      </c>
      <c r="V140" s="1180">
        <v>0.5</v>
      </c>
      <c r="W140" s="1180">
        <v>0.35</v>
      </c>
      <c r="X140" s="1180">
        <v>0.35</v>
      </c>
      <c r="Y140" s="1180">
        <v>0.35</v>
      </c>
      <c r="Z140" s="1180">
        <v>0.35</v>
      </c>
      <c r="AA140" s="1180">
        <v>0.15</v>
      </c>
      <c r="AB140" s="1180">
        <v>0.15</v>
      </c>
      <c r="AC140" s="1180">
        <v>0.15</v>
      </c>
      <c r="AD140" s="1111"/>
      <c r="AE140" s="1111"/>
      <c r="AF140" s="1111"/>
      <c r="AG140" s="1111"/>
      <c r="AH140" s="1111"/>
      <c r="AI140" s="1111"/>
      <c r="AJ140" s="1111"/>
      <c r="AK140" s="1111"/>
      <c r="AL140" s="1111"/>
      <c r="AM140" s="1111"/>
      <c r="AN140" s="1111"/>
      <c r="AO140" s="1111"/>
      <c r="AP140" s="1111"/>
      <c r="AQ140" s="1111"/>
      <c r="AR140" s="1111"/>
      <c r="AS140" s="1111"/>
      <c r="AT140" s="1111"/>
      <c r="AU140" s="1111"/>
      <c r="AV140" s="1111"/>
      <c r="AW140" s="1111"/>
      <c r="AX140" s="1111"/>
      <c r="AY140" s="1111"/>
      <c r="AZ140" s="1111"/>
      <c r="BA140" s="1111"/>
      <c r="BB140" s="1111"/>
      <c r="BC140" s="1111"/>
      <c r="BD140" s="1111"/>
      <c r="BE140" s="1111"/>
      <c r="BF140" s="1111"/>
      <c r="BG140" s="1111"/>
      <c r="BH140" s="1111"/>
      <c r="BI140" s="1111"/>
      <c r="BJ140" s="1111"/>
      <c r="BK140" s="1111"/>
      <c r="BL140" s="1111"/>
      <c r="BM140" s="1111"/>
      <c r="BN140" s="1111"/>
      <c r="BO140" s="1111"/>
      <c r="BP140" s="1111"/>
      <c r="BQ140" s="1111"/>
      <c r="BR140" s="1111"/>
      <c r="BS140" s="1111"/>
      <c r="BT140" s="1111"/>
      <c r="BU140" s="1111"/>
      <c r="BV140" s="1111"/>
      <c r="BW140" s="1111"/>
      <c r="BX140" s="1111"/>
      <c r="BY140" s="1111"/>
      <c r="BZ140" s="1111"/>
      <c r="CA140" s="1111"/>
      <c r="CB140" s="1111"/>
      <c r="CC140" s="1111"/>
      <c r="CD140" s="1111"/>
      <c r="CE140" s="1111"/>
      <c r="CF140" s="1111"/>
      <c r="CG140" s="1111"/>
      <c r="CH140" s="1111"/>
      <c r="CI140" s="1111"/>
      <c r="CJ140" s="1111"/>
      <c r="CK140" s="1110"/>
    </row>
    <row r="141" spans="1:89" ht="14.4" x14ac:dyDescent="0.3">
      <c r="A141" s="1110"/>
      <c r="B141" s="1110"/>
      <c r="C141" s="1110"/>
      <c r="D141" s="1110"/>
      <c r="E141" s="1110"/>
      <c r="F141" s="1110"/>
      <c r="G141" s="1110"/>
      <c r="H141" s="1110"/>
      <c r="I141" s="1110"/>
      <c r="J141" s="1110"/>
      <c r="K141" s="1110"/>
      <c r="L141" s="1110"/>
      <c r="M141" s="1110"/>
      <c r="N141" s="1110"/>
      <c r="O141" s="1110"/>
      <c r="P141" s="1110"/>
      <c r="Q141" s="1110"/>
      <c r="R141" s="1110"/>
      <c r="S141" s="1110"/>
      <c r="T141" s="1111"/>
      <c r="U141" s="1111" t="s">
        <v>358</v>
      </c>
      <c r="V141" s="1180">
        <v>0.03</v>
      </c>
      <c r="W141" s="1180">
        <v>0.02</v>
      </c>
      <c r="X141" s="1180">
        <v>0</v>
      </c>
      <c r="Y141" s="1180">
        <v>0.35</v>
      </c>
      <c r="Z141" s="1180">
        <v>0.2</v>
      </c>
      <c r="AA141" s="1180">
        <v>0.02</v>
      </c>
      <c r="AB141" s="1180">
        <v>0.02</v>
      </c>
      <c r="AC141" s="1180">
        <v>0.01</v>
      </c>
      <c r="AD141" s="1111"/>
      <c r="AE141" s="1111"/>
      <c r="AF141" s="1111"/>
      <c r="AG141" s="1111"/>
      <c r="AH141" s="1111"/>
      <c r="AI141" s="1111"/>
      <c r="AJ141" s="1111"/>
      <c r="AK141" s="1111"/>
      <c r="AL141" s="1111"/>
      <c r="AM141" s="1111"/>
      <c r="AN141" s="1111"/>
      <c r="AO141" s="1111"/>
      <c r="AP141" s="1111"/>
      <c r="AQ141" s="1111"/>
      <c r="AR141" s="1111"/>
      <c r="AS141" s="1111"/>
      <c r="AT141" s="1111"/>
      <c r="AU141" s="1111"/>
      <c r="AV141" s="1111"/>
      <c r="AW141" s="1111"/>
      <c r="AX141" s="1111"/>
      <c r="AY141" s="1111"/>
      <c r="AZ141" s="1111"/>
      <c r="BA141" s="1111"/>
      <c r="BB141" s="1111"/>
      <c r="BC141" s="1111"/>
      <c r="BD141" s="1111"/>
      <c r="BE141" s="1111"/>
      <c r="BF141" s="1111"/>
      <c r="BG141" s="1111"/>
      <c r="BH141" s="1111"/>
      <c r="BI141" s="1111"/>
      <c r="BJ141" s="1111"/>
      <c r="BK141" s="1111"/>
      <c r="BL141" s="1111"/>
      <c r="BM141" s="1111"/>
      <c r="BN141" s="1111"/>
      <c r="BO141" s="1111"/>
      <c r="BP141" s="1111"/>
      <c r="BQ141" s="1111"/>
      <c r="BR141" s="1111"/>
      <c r="BS141" s="1111"/>
      <c r="BT141" s="1111"/>
      <c r="BU141" s="1111"/>
      <c r="BV141" s="1111"/>
      <c r="BW141" s="1111"/>
      <c r="BX141" s="1111"/>
      <c r="BY141" s="1111"/>
      <c r="BZ141" s="1111"/>
      <c r="CA141" s="1111"/>
      <c r="CB141" s="1111"/>
      <c r="CC141" s="1111"/>
      <c r="CD141" s="1111"/>
      <c r="CE141" s="1111"/>
      <c r="CF141" s="1111"/>
      <c r="CG141" s="1111"/>
      <c r="CH141" s="1111"/>
      <c r="CI141" s="1111"/>
      <c r="CJ141" s="1111"/>
      <c r="CK141" s="1110"/>
    </row>
    <row r="142" spans="1:89" ht="14.4" x14ac:dyDescent="0.3">
      <c r="A142" s="1110"/>
      <c r="B142" s="1110"/>
      <c r="C142" s="1110"/>
      <c r="D142" s="1110"/>
      <c r="E142" s="1110"/>
      <c r="F142" s="1110"/>
      <c r="G142" s="1110"/>
      <c r="H142" s="1110"/>
      <c r="I142" s="1110"/>
      <c r="J142" s="1110"/>
      <c r="K142" s="1110"/>
      <c r="L142" s="1110"/>
      <c r="M142" s="1110"/>
      <c r="N142" s="1110"/>
      <c r="O142" s="1110"/>
      <c r="P142" s="1110"/>
      <c r="Q142" s="1110"/>
      <c r="R142" s="1110"/>
      <c r="S142" s="1110"/>
      <c r="T142" s="1111"/>
      <c r="U142" s="1111" t="s">
        <v>353</v>
      </c>
      <c r="V142" s="1180">
        <v>0.03</v>
      </c>
      <c r="W142" s="1180">
        <v>0.03</v>
      </c>
      <c r="X142" s="1180">
        <v>0.02</v>
      </c>
      <c r="Y142" s="1180">
        <v>0.3</v>
      </c>
      <c r="Z142" s="1180">
        <v>0.45</v>
      </c>
      <c r="AA142" s="1180">
        <v>0.2</v>
      </c>
      <c r="AB142" s="1180">
        <v>0.03</v>
      </c>
      <c r="AC142" s="1180">
        <v>0.02</v>
      </c>
      <c r="AD142" s="1111"/>
      <c r="AE142" s="1111"/>
      <c r="AF142" s="1111"/>
      <c r="AG142" s="1111"/>
      <c r="AH142" s="1111"/>
      <c r="AI142" s="1111"/>
      <c r="AJ142" s="1111"/>
      <c r="AK142" s="1111"/>
      <c r="AL142" s="1111"/>
      <c r="AM142" s="1111"/>
      <c r="AN142" s="1111"/>
      <c r="AO142" s="1111"/>
      <c r="AP142" s="1111"/>
      <c r="AQ142" s="1111"/>
      <c r="AR142" s="1111"/>
      <c r="AS142" s="1111"/>
      <c r="AT142" s="1111"/>
      <c r="AU142" s="1111"/>
      <c r="AV142" s="1111"/>
      <c r="AW142" s="1111"/>
      <c r="AX142" s="1111"/>
      <c r="AY142" s="1111"/>
      <c r="AZ142" s="1111"/>
      <c r="BA142" s="1111"/>
      <c r="BB142" s="1111"/>
      <c r="BC142" s="1111"/>
      <c r="BD142" s="1111"/>
      <c r="BE142" s="1111"/>
      <c r="BF142" s="1111"/>
      <c r="BG142" s="1111"/>
      <c r="BH142" s="1111"/>
      <c r="BI142" s="1111"/>
      <c r="BJ142" s="1111"/>
      <c r="BK142" s="1111"/>
      <c r="BL142" s="1111"/>
      <c r="BM142" s="1111"/>
      <c r="BN142" s="1111"/>
      <c r="BO142" s="1111"/>
      <c r="BP142" s="1111"/>
      <c r="BQ142" s="1111"/>
      <c r="BR142" s="1111"/>
      <c r="BS142" s="1111"/>
      <c r="BT142" s="1111"/>
      <c r="BU142" s="1111"/>
      <c r="BV142" s="1111"/>
      <c r="BW142" s="1111"/>
      <c r="BX142" s="1111"/>
      <c r="BY142" s="1111"/>
      <c r="BZ142" s="1111"/>
      <c r="CA142" s="1111"/>
      <c r="CB142" s="1111"/>
      <c r="CC142" s="1111"/>
      <c r="CD142" s="1111"/>
      <c r="CE142" s="1111"/>
      <c r="CF142" s="1111"/>
      <c r="CG142" s="1111"/>
      <c r="CH142" s="1111"/>
      <c r="CI142" s="1111"/>
      <c r="CJ142" s="1111"/>
      <c r="CK142" s="1110"/>
    </row>
    <row r="143" spans="1:89" ht="14.4" x14ac:dyDescent="0.3">
      <c r="A143" s="1110"/>
      <c r="B143" s="1110"/>
      <c r="C143" s="1110"/>
      <c r="D143" s="1110"/>
      <c r="E143" s="1110"/>
      <c r="F143" s="1110"/>
      <c r="G143" s="1110"/>
      <c r="H143" s="1110"/>
      <c r="I143" s="1110"/>
      <c r="J143" s="1110"/>
      <c r="K143" s="1110"/>
      <c r="L143" s="1110"/>
      <c r="M143" s="1110"/>
      <c r="N143" s="1110"/>
      <c r="O143" s="1110"/>
      <c r="P143" s="1110"/>
      <c r="Q143" s="1110"/>
      <c r="R143" s="1110"/>
      <c r="S143" s="1110"/>
      <c r="T143" s="1111"/>
      <c r="U143" s="1111" t="s">
        <v>350</v>
      </c>
      <c r="V143" s="1180">
        <v>0.5</v>
      </c>
      <c r="W143" s="1180">
        <v>0.22</v>
      </c>
      <c r="X143" s="1180">
        <v>0</v>
      </c>
      <c r="Y143" s="1180">
        <v>0.35</v>
      </c>
      <c r="Z143" s="1180">
        <v>0.1</v>
      </c>
      <c r="AA143" s="1180">
        <v>0.02</v>
      </c>
      <c r="AB143" s="1180">
        <v>0.22</v>
      </c>
      <c r="AC143" s="1180">
        <v>0.12</v>
      </c>
      <c r="AD143" s="1111"/>
      <c r="AE143" s="1111"/>
      <c r="AF143" s="1111"/>
      <c r="AG143" s="1111"/>
      <c r="AH143" s="1111"/>
      <c r="AI143" s="1111"/>
      <c r="AJ143" s="1111"/>
      <c r="AK143" s="1111"/>
      <c r="AL143" s="1111"/>
      <c r="AM143" s="1111"/>
      <c r="AN143" s="1111"/>
      <c r="AO143" s="1111"/>
      <c r="AP143" s="1111"/>
      <c r="AQ143" s="1111"/>
      <c r="AR143" s="1111"/>
      <c r="AS143" s="1111"/>
      <c r="AT143" s="1111"/>
      <c r="AU143" s="1111"/>
      <c r="AV143" s="1111"/>
      <c r="AW143" s="1111"/>
      <c r="AX143" s="1111"/>
      <c r="AY143" s="1111"/>
      <c r="AZ143" s="1111"/>
      <c r="BA143" s="1111"/>
      <c r="BB143" s="1111"/>
      <c r="BC143" s="1111"/>
      <c r="BD143" s="1111"/>
      <c r="BE143" s="1111"/>
      <c r="BF143" s="1111"/>
      <c r="BG143" s="1111"/>
      <c r="BH143" s="1111"/>
      <c r="BI143" s="1111"/>
      <c r="BJ143" s="1111"/>
      <c r="BK143" s="1111"/>
      <c r="BL143" s="1111"/>
      <c r="BM143" s="1111"/>
      <c r="BN143" s="1111"/>
      <c r="BO143" s="1111"/>
      <c r="BP143" s="1111"/>
      <c r="BQ143" s="1111"/>
      <c r="BR143" s="1111"/>
      <c r="BS143" s="1111"/>
      <c r="BT143" s="1111"/>
      <c r="BU143" s="1111"/>
      <c r="BV143" s="1111"/>
      <c r="BW143" s="1111"/>
      <c r="BX143" s="1111"/>
      <c r="BY143" s="1111"/>
      <c r="BZ143" s="1111"/>
      <c r="CA143" s="1111"/>
      <c r="CB143" s="1111"/>
      <c r="CC143" s="1111"/>
      <c r="CD143" s="1111"/>
      <c r="CE143" s="1111"/>
      <c r="CF143" s="1111"/>
      <c r="CG143" s="1111"/>
      <c r="CH143" s="1111"/>
      <c r="CI143" s="1111"/>
      <c r="CJ143" s="1111"/>
      <c r="CK143" s="1110"/>
    </row>
    <row r="144" spans="1:89" ht="14.4" x14ac:dyDescent="0.3">
      <c r="A144" s="1110"/>
      <c r="B144" s="1110"/>
      <c r="C144" s="1110"/>
      <c r="D144" s="1110"/>
      <c r="E144" s="1110"/>
      <c r="F144" s="1110"/>
      <c r="G144" s="1110"/>
      <c r="H144" s="1110"/>
      <c r="I144" s="1110"/>
      <c r="J144" s="1110"/>
      <c r="K144" s="1110"/>
      <c r="L144" s="1110"/>
      <c r="M144" s="1110"/>
      <c r="N144" s="1110"/>
      <c r="O144" s="1110"/>
      <c r="P144" s="1110"/>
      <c r="Q144" s="1110"/>
      <c r="R144" s="1110"/>
      <c r="S144" s="1110"/>
      <c r="T144" s="1111"/>
      <c r="U144" s="1111" t="s">
        <v>352</v>
      </c>
      <c r="V144" s="1180">
        <v>0.03</v>
      </c>
      <c r="W144" s="1180">
        <v>0.18</v>
      </c>
      <c r="X144" s="1180">
        <v>0.45</v>
      </c>
      <c r="Y144" s="1180">
        <v>0.03</v>
      </c>
      <c r="Z144" s="1180">
        <v>0.03</v>
      </c>
      <c r="AA144" s="1180">
        <v>0.57999999999999996</v>
      </c>
      <c r="AB144" s="1180">
        <v>0.02</v>
      </c>
      <c r="AC144" s="1180">
        <v>0.12</v>
      </c>
      <c r="AD144" s="1111"/>
      <c r="AE144" s="1111"/>
      <c r="AF144" s="1111"/>
      <c r="AG144" s="1111"/>
      <c r="AH144" s="1111"/>
      <c r="AI144" s="1111"/>
      <c r="AJ144" s="1111"/>
      <c r="AK144" s="1111"/>
      <c r="AL144" s="1111"/>
      <c r="AM144" s="1111"/>
      <c r="AN144" s="1111"/>
      <c r="AO144" s="1111"/>
      <c r="AP144" s="1111"/>
      <c r="AQ144" s="1111"/>
      <c r="AR144" s="1111"/>
      <c r="AS144" s="1111"/>
      <c r="AT144" s="1111"/>
      <c r="AU144" s="1111"/>
      <c r="AV144" s="1111"/>
      <c r="AW144" s="1111"/>
      <c r="AX144" s="1111"/>
      <c r="AY144" s="1111"/>
      <c r="AZ144" s="1111"/>
      <c r="BA144" s="1111"/>
      <c r="BB144" s="1111"/>
      <c r="BC144" s="1111"/>
      <c r="BD144" s="1111"/>
      <c r="BE144" s="1111"/>
      <c r="BF144" s="1111"/>
      <c r="BG144" s="1111"/>
      <c r="BH144" s="1111"/>
      <c r="BI144" s="1111"/>
      <c r="BJ144" s="1111"/>
      <c r="BK144" s="1111"/>
      <c r="BL144" s="1111"/>
      <c r="BM144" s="1111"/>
      <c r="BN144" s="1111"/>
      <c r="BO144" s="1111"/>
      <c r="BP144" s="1111"/>
      <c r="BQ144" s="1111"/>
      <c r="BR144" s="1111"/>
      <c r="BS144" s="1111"/>
      <c r="BT144" s="1111"/>
      <c r="BU144" s="1111"/>
      <c r="BV144" s="1111"/>
      <c r="BW144" s="1111"/>
      <c r="BX144" s="1111"/>
      <c r="BY144" s="1111"/>
      <c r="BZ144" s="1111"/>
      <c r="CA144" s="1111"/>
      <c r="CB144" s="1111"/>
      <c r="CC144" s="1111"/>
      <c r="CD144" s="1111"/>
      <c r="CE144" s="1111"/>
      <c r="CF144" s="1111"/>
      <c r="CG144" s="1111"/>
      <c r="CH144" s="1111"/>
      <c r="CI144" s="1111"/>
      <c r="CJ144" s="1111"/>
      <c r="CK144" s="1110"/>
    </row>
    <row r="145" spans="1:89" ht="15" thickBot="1" x14ac:dyDescent="0.35">
      <c r="A145" s="1110"/>
      <c r="B145" s="1110"/>
      <c r="C145" s="1110"/>
      <c r="D145" s="1110"/>
      <c r="E145" s="1110"/>
      <c r="F145" s="1110"/>
      <c r="G145" s="1110"/>
      <c r="H145" s="1110"/>
      <c r="I145" s="1110"/>
      <c r="J145" s="1110"/>
      <c r="K145" s="1110"/>
      <c r="L145" s="1110"/>
      <c r="M145" s="1110"/>
      <c r="N145" s="1110"/>
      <c r="O145" s="1110"/>
      <c r="P145" s="1110"/>
      <c r="Q145" s="1110"/>
      <c r="R145" s="1110"/>
      <c r="S145" s="1110"/>
      <c r="T145" s="1181"/>
      <c r="U145" s="1181" t="s">
        <v>354</v>
      </c>
      <c r="V145" s="1187">
        <v>0</v>
      </c>
      <c r="W145" s="1187">
        <v>0.4</v>
      </c>
      <c r="X145" s="1187">
        <v>0.45</v>
      </c>
      <c r="Y145" s="1187">
        <v>0.17</v>
      </c>
      <c r="Z145" s="1187">
        <v>0.42</v>
      </c>
      <c r="AA145" s="1187">
        <v>0.15</v>
      </c>
      <c r="AB145" s="1187">
        <v>0.03</v>
      </c>
      <c r="AC145" s="1187">
        <v>0</v>
      </c>
      <c r="AD145" s="1181"/>
      <c r="AE145" s="1181"/>
      <c r="AF145" s="1181"/>
      <c r="AG145" s="1181"/>
      <c r="AH145" s="1181"/>
      <c r="AI145" s="1181"/>
      <c r="AJ145" s="1181"/>
      <c r="AK145" s="1181"/>
      <c r="AL145" s="1181"/>
      <c r="AM145" s="1181"/>
      <c r="AN145" s="1181"/>
      <c r="AO145" s="1181"/>
      <c r="AP145" s="1181"/>
      <c r="AQ145" s="1181"/>
      <c r="AR145" s="1181"/>
      <c r="AS145" s="1181"/>
      <c r="AT145" s="1181"/>
      <c r="AU145" s="1181"/>
      <c r="AV145" s="1181"/>
      <c r="AW145" s="1111"/>
      <c r="AX145" s="1111"/>
      <c r="AY145" s="1111"/>
      <c r="AZ145" s="1111"/>
      <c r="BA145" s="1111"/>
      <c r="BB145" s="1111"/>
      <c r="BC145" s="1111"/>
      <c r="BD145" s="1111"/>
      <c r="BE145" s="1111"/>
      <c r="BF145" s="1111"/>
      <c r="BG145" s="1111"/>
      <c r="BH145" s="1111"/>
      <c r="BI145" s="1111"/>
      <c r="BJ145" s="1111"/>
      <c r="BK145" s="1111"/>
      <c r="BL145" s="1111"/>
      <c r="BM145" s="1111"/>
      <c r="BN145" s="1111"/>
      <c r="BO145" s="1111"/>
      <c r="BP145" s="1111"/>
      <c r="BQ145" s="1111"/>
      <c r="BR145" s="1111"/>
      <c r="BS145" s="1111"/>
      <c r="BT145" s="1111"/>
      <c r="BU145" s="1111"/>
      <c r="BV145" s="1111"/>
      <c r="BW145" s="1111"/>
      <c r="BX145" s="1111"/>
      <c r="BY145" s="1111"/>
      <c r="BZ145" s="1111"/>
      <c r="CA145" s="1111"/>
      <c r="CB145" s="1111"/>
      <c r="CC145" s="1111"/>
      <c r="CD145" s="1111"/>
      <c r="CE145" s="1111"/>
      <c r="CF145" s="1111"/>
      <c r="CG145" s="1111"/>
      <c r="CH145" s="1111"/>
      <c r="CI145" s="1111"/>
      <c r="CJ145" s="1111"/>
      <c r="CK145" s="1110"/>
    </row>
    <row r="146" spans="1:89" ht="14.4" x14ac:dyDescent="0.3">
      <c r="A146" s="1110"/>
      <c r="B146" s="1110"/>
      <c r="C146" s="1110"/>
      <c r="D146" s="1110"/>
      <c r="E146" s="1110"/>
      <c r="F146" s="1110"/>
      <c r="G146" s="1110"/>
      <c r="H146" s="1110"/>
      <c r="I146" s="1110"/>
      <c r="J146" s="1110"/>
      <c r="K146" s="1110"/>
      <c r="L146" s="1110"/>
      <c r="M146" s="1110"/>
      <c r="N146" s="1110"/>
      <c r="O146" s="1110"/>
      <c r="P146" s="1110"/>
      <c r="Q146" s="1110"/>
      <c r="R146" s="1110"/>
      <c r="S146" s="1110"/>
      <c r="T146" s="1111"/>
      <c r="U146" s="1111"/>
      <c r="V146" s="1111"/>
      <c r="W146" s="1111"/>
      <c r="X146" s="1111"/>
      <c r="Y146" s="1111"/>
      <c r="Z146" s="1111"/>
      <c r="AA146" s="1111"/>
      <c r="AB146" s="1111"/>
      <c r="AC146" s="1111"/>
      <c r="AD146" s="1111"/>
      <c r="AE146" s="1111"/>
      <c r="AF146" s="1111"/>
      <c r="AG146" s="1111"/>
      <c r="AH146" s="1111"/>
      <c r="AI146" s="1111"/>
      <c r="AJ146" s="1111"/>
      <c r="AK146" s="1111"/>
      <c r="AL146" s="1111"/>
      <c r="AM146" s="1111"/>
      <c r="AN146" s="1111"/>
      <c r="AO146" s="1111"/>
      <c r="AP146" s="1111"/>
      <c r="AQ146" s="1111"/>
      <c r="AR146" s="1111"/>
      <c r="AS146" s="1111"/>
      <c r="AT146" s="1111"/>
      <c r="AU146" s="1111"/>
      <c r="AV146" s="1111"/>
      <c r="AW146" s="1111"/>
      <c r="AX146" s="1111"/>
      <c r="AY146" s="1111"/>
      <c r="AZ146" s="1111"/>
      <c r="BA146" s="1111"/>
      <c r="BB146" s="1111"/>
      <c r="BC146" s="1111"/>
      <c r="BD146" s="1111"/>
      <c r="BE146" s="1111"/>
      <c r="BF146" s="1111"/>
      <c r="BG146" s="1111"/>
      <c r="BH146" s="1111"/>
      <c r="BI146" s="1111"/>
      <c r="BJ146" s="1111"/>
      <c r="BK146" s="1111"/>
      <c r="BL146" s="1111"/>
      <c r="BM146" s="1111"/>
      <c r="BN146" s="1111"/>
      <c r="BO146" s="1111"/>
      <c r="BP146" s="1111"/>
      <c r="BQ146" s="1111"/>
      <c r="BR146" s="1111"/>
      <c r="BS146" s="1111"/>
      <c r="BT146" s="1111"/>
      <c r="BU146" s="1111"/>
      <c r="BV146" s="1111"/>
      <c r="BW146" s="1111"/>
      <c r="BX146" s="1111"/>
      <c r="BY146" s="1111"/>
      <c r="BZ146" s="1111"/>
      <c r="CA146" s="1111"/>
      <c r="CB146" s="1111"/>
      <c r="CC146" s="1111"/>
      <c r="CD146" s="1111"/>
      <c r="CE146" s="1111"/>
      <c r="CF146" s="1111"/>
      <c r="CG146" s="1111"/>
      <c r="CH146" s="1111"/>
      <c r="CI146" s="1111"/>
      <c r="CJ146" s="1111"/>
      <c r="CK146" s="1110"/>
    </row>
    <row r="147" spans="1:89" ht="15" thickBot="1" x14ac:dyDescent="0.35">
      <c r="A147" s="1110"/>
      <c r="B147" s="1110"/>
      <c r="C147" s="1110"/>
      <c r="D147" s="1110"/>
      <c r="E147" s="1110"/>
      <c r="F147" s="1110"/>
      <c r="G147" s="1110"/>
      <c r="H147" s="1110"/>
      <c r="I147" s="1110"/>
      <c r="J147" s="1110"/>
      <c r="K147" s="1110"/>
      <c r="L147" s="1110"/>
      <c r="M147" s="1110"/>
      <c r="N147" s="1110"/>
      <c r="O147" s="1110"/>
      <c r="P147" s="1110"/>
      <c r="Q147" s="1110"/>
      <c r="R147" s="1110"/>
      <c r="S147" s="1110"/>
      <c r="T147" s="1111"/>
      <c r="U147" s="1111"/>
      <c r="V147" s="1111"/>
      <c r="W147" s="1111"/>
      <c r="X147" s="1111"/>
      <c r="Y147" s="1111"/>
      <c r="Z147" s="1111"/>
      <c r="AA147" s="1111"/>
      <c r="AB147" s="1111"/>
      <c r="AC147" s="1111"/>
      <c r="AD147" s="1111"/>
      <c r="AE147" s="1111"/>
      <c r="AF147" s="1111"/>
      <c r="AG147" s="1111"/>
      <c r="AH147" s="1111"/>
      <c r="AI147" s="1111"/>
      <c r="AJ147" s="1111"/>
      <c r="AK147" s="1111"/>
      <c r="AL147" s="1111"/>
      <c r="AM147" s="1111"/>
      <c r="AN147" s="1111"/>
      <c r="AO147" s="1111"/>
      <c r="AP147" s="1111"/>
      <c r="AQ147" s="1111"/>
      <c r="AR147" s="1111"/>
      <c r="AS147" s="1111"/>
      <c r="AT147" s="1111"/>
      <c r="AU147" s="1111"/>
      <c r="AV147" s="1111"/>
      <c r="AW147" s="1111"/>
      <c r="AX147" s="1111"/>
      <c r="AY147" s="1111"/>
      <c r="AZ147" s="1111"/>
      <c r="BA147" s="1111"/>
      <c r="BB147" s="1111"/>
      <c r="BC147" s="1111"/>
      <c r="BD147" s="1111"/>
      <c r="BE147" s="1111"/>
      <c r="BF147" s="1111"/>
      <c r="BG147" s="1111"/>
      <c r="BH147" s="1111"/>
      <c r="BI147" s="1111"/>
      <c r="BJ147" s="1111"/>
      <c r="BK147" s="1111"/>
      <c r="BL147" s="1111"/>
      <c r="BM147" s="1111"/>
      <c r="BN147" s="1111"/>
      <c r="BO147" s="1111"/>
      <c r="BP147" s="1111"/>
      <c r="BQ147" s="1111"/>
      <c r="BR147" s="1111"/>
      <c r="BS147" s="1111"/>
      <c r="BT147" s="1111"/>
      <c r="BU147" s="1111"/>
      <c r="BV147" s="1111"/>
      <c r="BW147" s="1111"/>
      <c r="BX147" s="1111"/>
      <c r="BY147" s="1111"/>
      <c r="BZ147" s="1111"/>
      <c r="CA147" s="1111"/>
      <c r="CB147" s="1111"/>
      <c r="CC147" s="1111"/>
      <c r="CD147" s="1111"/>
      <c r="CE147" s="1111"/>
      <c r="CF147" s="1111"/>
      <c r="CG147" s="1111"/>
      <c r="CH147" s="1111"/>
      <c r="CI147" s="1111"/>
      <c r="CJ147" s="1111"/>
      <c r="CK147" s="1110"/>
    </row>
    <row r="148" spans="1:89" ht="14.4" x14ac:dyDescent="0.3">
      <c r="A148" s="1110"/>
      <c r="B148" s="1110"/>
      <c r="C148" s="1110"/>
      <c r="D148" s="1110"/>
      <c r="E148" s="1110"/>
      <c r="F148" s="1110"/>
      <c r="G148" s="1110"/>
      <c r="H148" s="1110"/>
      <c r="I148" s="1110"/>
      <c r="J148" s="1110"/>
      <c r="K148" s="1110"/>
      <c r="L148" s="1110"/>
      <c r="M148" s="1110"/>
      <c r="N148" s="1110"/>
      <c r="O148" s="1110"/>
      <c r="P148" s="1110"/>
      <c r="Q148" s="1110"/>
      <c r="R148" s="1110"/>
      <c r="S148" s="1110"/>
      <c r="T148" s="1164" t="s">
        <v>641</v>
      </c>
      <c r="U148" s="1182" t="s">
        <v>344</v>
      </c>
      <c r="V148" s="1182"/>
      <c r="W148" s="1183">
        <f>W17+W$6*$V126+W$7*$W126+W$8*$X126+W$9*$Y126+W$10*$Z126+W$11*$AA126+W$12*$AB126+W$13*$AC126</f>
        <v>16000</v>
      </c>
      <c r="X148" s="1183">
        <f t="shared" ref="X148:AV148" si="77">X17+X$6*$V126+X$7*$W126+X$8*$X126+X$9*$Y126+X$10*$Z126+X$11*$AA126+X$12*$AB126+X$13*$AC126</f>
        <v>16727.55</v>
      </c>
      <c r="Y148" s="1183">
        <f t="shared" si="77"/>
        <v>17752.600000000002</v>
      </c>
      <c r="Z148" s="1183">
        <f t="shared" si="77"/>
        <v>19260.400000000001</v>
      </c>
      <c r="AA148" s="1183">
        <f t="shared" si="77"/>
        <v>20768.75</v>
      </c>
      <c r="AB148" s="1183">
        <f t="shared" si="77"/>
        <v>22277.1</v>
      </c>
      <c r="AC148" s="1183">
        <f t="shared" si="77"/>
        <v>23784.899999999998</v>
      </c>
      <c r="AD148" s="1183">
        <f t="shared" si="77"/>
        <v>25293.799999999996</v>
      </c>
      <c r="AE148" s="1183">
        <f t="shared" si="77"/>
        <v>26784.85</v>
      </c>
      <c r="AF148" s="1183">
        <f t="shared" si="77"/>
        <v>28276.2</v>
      </c>
      <c r="AG148" s="1183">
        <f t="shared" si="77"/>
        <v>29767.250000000004</v>
      </c>
      <c r="AH148" s="1183">
        <f t="shared" si="77"/>
        <v>31258.300000000003</v>
      </c>
      <c r="AI148" s="1183">
        <f t="shared" si="77"/>
        <v>32750.45</v>
      </c>
      <c r="AJ148" s="1183">
        <f t="shared" si="77"/>
        <v>33758.200000000004</v>
      </c>
      <c r="AK148" s="1183">
        <f t="shared" si="77"/>
        <v>34485.75</v>
      </c>
      <c r="AL148" s="1183">
        <f t="shared" si="77"/>
        <v>35213.299999999996</v>
      </c>
      <c r="AM148" s="1183">
        <f t="shared" si="77"/>
        <v>35940.85</v>
      </c>
      <c r="AN148" s="1183">
        <f t="shared" si="77"/>
        <v>36668.65</v>
      </c>
      <c r="AO148" s="1183">
        <f t="shared" si="77"/>
        <v>37396.200000000004</v>
      </c>
      <c r="AP148" s="1183">
        <f t="shared" si="77"/>
        <v>38123.999999999993</v>
      </c>
      <c r="AQ148" s="1183">
        <f t="shared" si="77"/>
        <v>38851.550000000003</v>
      </c>
      <c r="AR148" s="1183">
        <f t="shared" si="77"/>
        <v>39579.1</v>
      </c>
      <c r="AS148" s="1183">
        <f t="shared" si="77"/>
        <v>40306.899999999994</v>
      </c>
      <c r="AT148" s="1183">
        <f t="shared" si="77"/>
        <v>41034.449999999997</v>
      </c>
      <c r="AU148" s="1183">
        <f t="shared" si="77"/>
        <v>41762</v>
      </c>
      <c r="AV148" s="1183">
        <f t="shared" si="77"/>
        <v>42489.799999999996</v>
      </c>
      <c r="AW148" s="1111"/>
      <c r="AX148" s="1111"/>
      <c r="AY148" s="1111"/>
      <c r="AZ148" s="1111"/>
      <c r="BA148" s="1111"/>
      <c r="BB148" s="1111"/>
      <c r="BC148" s="1111"/>
      <c r="BD148" s="1111"/>
      <c r="BE148" s="1111"/>
      <c r="BF148" s="1111"/>
      <c r="BG148" s="1111"/>
      <c r="BH148" s="1111"/>
      <c r="BI148" s="1111"/>
      <c r="BJ148" s="1111"/>
      <c r="BK148" s="1111"/>
      <c r="BL148" s="1111"/>
      <c r="BM148" s="1111"/>
      <c r="BN148" s="1111"/>
      <c r="BO148" s="1111"/>
      <c r="BP148" s="1111"/>
      <c r="BQ148" s="1111"/>
      <c r="BR148" s="1111"/>
      <c r="BS148" s="1111"/>
      <c r="BT148" s="1111"/>
      <c r="BU148" s="1111"/>
      <c r="BV148" s="1111"/>
      <c r="BW148" s="1111"/>
      <c r="BX148" s="1111"/>
      <c r="BY148" s="1111"/>
      <c r="BZ148" s="1111"/>
      <c r="CA148" s="1111"/>
      <c r="CB148" s="1111"/>
      <c r="CC148" s="1111"/>
      <c r="CD148" s="1111"/>
      <c r="CE148" s="1111"/>
      <c r="CF148" s="1111"/>
      <c r="CG148" s="1111"/>
      <c r="CH148" s="1111"/>
      <c r="CI148" s="1111"/>
      <c r="CJ148" s="1111"/>
      <c r="CK148" s="1110"/>
    </row>
    <row r="149" spans="1:89" ht="14.4" x14ac:dyDescent="0.3">
      <c r="A149" s="1110"/>
      <c r="B149" s="1110"/>
      <c r="C149" s="1110"/>
      <c r="D149" s="1110"/>
      <c r="E149" s="1110"/>
      <c r="F149" s="1110"/>
      <c r="G149" s="1110"/>
      <c r="H149" s="1110"/>
      <c r="I149" s="1110"/>
      <c r="J149" s="1110"/>
      <c r="K149" s="1110"/>
      <c r="L149" s="1110"/>
      <c r="M149" s="1110"/>
      <c r="N149" s="1110"/>
      <c r="O149" s="1110"/>
      <c r="P149" s="1110"/>
      <c r="Q149" s="1110"/>
      <c r="R149" s="1110"/>
      <c r="S149" s="1110"/>
      <c r="T149" s="1111" t="s">
        <v>639</v>
      </c>
      <c r="U149" s="1111" t="s">
        <v>345</v>
      </c>
      <c r="V149" s="1111"/>
      <c r="W149" s="1167">
        <f>W18+W$6*$V127+W$7*$W127+W$8*$X127+W$9*$Y127+W$10*$Z127+W$11*$AA127+W$12*$AB127+W$13*$AC127</f>
        <v>13500</v>
      </c>
      <c r="X149" s="1167">
        <f t="shared" ref="X149:AV159" si="78">X18+X$6*$V127+X$7*$W127+X$8*$X127+X$9*$Y127+X$10*$Z127+X$11*$AA127+X$12*$AB127+X$13*$AC127</f>
        <v>14212.599999999997</v>
      </c>
      <c r="Y149" s="1167">
        <f t="shared" si="78"/>
        <v>15282.300000000001</v>
      </c>
      <c r="Z149" s="1167">
        <f t="shared" si="78"/>
        <v>17049.599999999999</v>
      </c>
      <c r="AA149" s="1167">
        <f t="shared" si="78"/>
        <v>18817.7</v>
      </c>
      <c r="AB149" s="1167">
        <f t="shared" si="78"/>
        <v>20585.699999999997</v>
      </c>
      <c r="AC149" s="1167">
        <f t="shared" si="78"/>
        <v>22353</v>
      </c>
      <c r="AD149" s="1167">
        <f t="shared" si="78"/>
        <v>24121.899999999998</v>
      </c>
      <c r="AE149" s="1167">
        <f t="shared" si="78"/>
        <v>25906.499999999996</v>
      </c>
      <c r="AF149" s="1167">
        <f t="shared" si="78"/>
        <v>27691.699999999997</v>
      </c>
      <c r="AG149" s="1167">
        <f t="shared" si="78"/>
        <v>29476.299999999996</v>
      </c>
      <c r="AH149" s="1167">
        <f t="shared" si="78"/>
        <v>31260.899999999998</v>
      </c>
      <c r="AI149" s="1167">
        <f t="shared" si="78"/>
        <v>33047.1</v>
      </c>
      <c r="AJ149" s="1167">
        <f t="shared" si="78"/>
        <v>34133.300000000003</v>
      </c>
      <c r="AK149" s="1167">
        <f t="shared" si="78"/>
        <v>34845.899999999994</v>
      </c>
      <c r="AL149" s="1167">
        <f t="shared" si="78"/>
        <v>35558.5</v>
      </c>
      <c r="AM149" s="1167">
        <f t="shared" si="78"/>
        <v>36271.100000000006</v>
      </c>
      <c r="AN149" s="1167">
        <f t="shared" si="78"/>
        <v>36984.1</v>
      </c>
      <c r="AO149" s="1167">
        <f t="shared" si="78"/>
        <v>37696.699999999997</v>
      </c>
      <c r="AP149" s="1167">
        <f t="shared" si="78"/>
        <v>38409.700000000004</v>
      </c>
      <c r="AQ149" s="1167">
        <f t="shared" si="78"/>
        <v>39122.300000000003</v>
      </c>
      <c r="AR149" s="1167">
        <f t="shared" si="78"/>
        <v>39834.9</v>
      </c>
      <c r="AS149" s="1167">
        <f t="shared" si="78"/>
        <v>40547.900000000009</v>
      </c>
      <c r="AT149" s="1167">
        <f t="shared" si="78"/>
        <v>41260.5</v>
      </c>
      <c r="AU149" s="1167">
        <f t="shared" si="78"/>
        <v>41973.1</v>
      </c>
      <c r="AV149" s="1167">
        <f t="shared" si="78"/>
        <v>42686.1</v>
      </c>
      <c r="AW149" s="1111"/>
      <c r="AX149" s="1111"/>
      <c r="AY149" s="1111"/>
      <c r="AZ149" s="1111"/>
      <c r="BA149" s="1111"/>
      <c r="BB149" s="1111"/>
      <c r="BC149" s="1111"/>
      <c r="BD149" s="1111"/>
      <c r="BE149" s="1111"/>
      <c r="BF149" s="1111"/>
      <c r="BG149" s="1111"/>
      <c r="BH149" s="1111"/>
      <c r="BI149" s="1111"/>
      <c r="BJ149" s="1111"/>
      <c r="BK149" s="1111"/>
      <c r="BL149" s="1111"/>
      <c r="BM149" s="1111"/>
      <c r="BN149" s="1111"/>
      <c r="BO149" s="1111"/>
      <c r="BP149" s="1111"/>
      <c r="BQ149" s="1111"/>
      <c r="BR149" s="1111"/>
      <c r="BS149" s="1111"/>
      <c r="BT149" s="1111"/>
      <c r="BU149" s="1111"/>
      <c r="BV149" s="1111"/>
      <c r="BW149" s="1111"/>
      <c r="BX149" s="1111"/>
      <c r="BY149" s="1111"/>
      <c r="BZ149" s="1111"/>
      <c r="CA149" s="1111"/>
      <c r="CB149" s="1111"/>
      <c r="CC149" s="1111"/>
      <c r="CD149" s="1111"/>
      <c r="CE149" s="1111"/>
      <c r="CF149" s="1111"/>
      <c r="CG149" s="1111"/>
      <c r="CH149" s="1111"/>
      <c r="CI149" s="1111"/>
      <c r="CJ149" s="1111"/>
      <c r="CK149" s="1110"/>
    </row>
    <row r="150" spans="1:89" ht="14.4" x14ac:dyDescent="0.3">
      <c r="A150" s="1110"/>
      <c r="B150" s="1110"/>
      <c r="C150" s="1110"/>
      <c r="D150" s="1110"/>
      <c r="E150" s="1110"/>
      <c r="F150" s="1110"/>
      <c r="G150" s="1110"/>
      <c r="H150" s="1110"/>
      <c r="I150" s="1110"/>
      <c r="J150" s="1110"/>
      <c r="K150" s="1110"/>
      <c r="L150" s="1110"/>
      <c r="M150" s="1110"/>
      <c r="N150" s="1110"/>
      <c r="O150" s="1110"/>
      <c r="P150" s="1110"/>
      <c r="Q150" s="1110"/>
      <c r="R150" s="1110"/>
      <c r="S150" s="1110"/>
      <c r="T150" s="1111"/>
      <c r="U150" s="1111" t="s">
        <v>346</v>
      </c>
      <c r="V150" s="1111"/>
      <c r="W150" s="1167">
        <f t="shared" ref="W150:AL167" si="79">W19+W$6*$V128+W$7*$W128+W$8*$X128+W$9*$Y128+W$10*$Z128+W$11*$AA128+W$12*$AB128+W$13*$AC128</f>
        <v>12000</v>
      </c>
      <c r="X150" s="1167">
        <f t="shared" si="79"/>
        <v>12501.099999999999</v>
      </c>
      <c r="Y150" s="1167">
        <f t="shared" si="79"/>
        <v>13121.299999999997</v>
      </c>
      <c r="Z150" s="1167">
        <f t="shared" si="79"/>
        <v>13956.3</v>
      </c>
      <c r="AA150" s="1167">
        <f t="shared" si="79"/>
        <v>14791.600000000002</v>
      </c>
      <c r="AB150" s="1167">
        <f t="shared" si="79"/>
        <v>15626.800000000003</v>
      </c>
      <c r="AC150" s="1167">
        <f t="shared" si="79"/>
        <v>16461.800000000003</v>
      </c>
      <c r="AD150" s="1167">
        <f t="shared" si="79"/>
        <v>17297.400000000005</v>
      </c>
      <c r="AE150" s="1167">
        <f t="shared" si="79"/>
        <v>18107</v>
      </c>
      <c r="AF150" s="1167">
        <f t="shared" si="79"/>
        <v>18916.899999999994</v>
      </c>
      <c r="AG150" s="1167">
        <f t="shared" si="79"/>
        <v>19726.5</v>
      </c>
      <c r="AH150" s="1167">
        <f t="shared" si="79"/>
        <v>20536.099999999999</v>
      </c>
      <c r="AI150" s="1167">
        <f t="shared" si="79"/>
        <v>21346.300000000003</v>
      </c>
      <c r="AJ150" s="1167">
        <f t="shared" si="79"/>
        <v>21940.799999999999</v>
      </c>
      <c r="AK150" s="1167">
        <f t="shared" si="79"/>
        <v>22441.9</v>
      </c>
      <c r="AL150" s="1167">
        <f t="shared" si="79"/>
        <v>22942.999999999996</v>
      </c>
      <c r="AM150" s="1167">
        <f t="shared" si="78"/>
        <v>23444.1</v>
      </c>
      <c r="AN150" s="1167">
        <f t="shared" si="78"/>
        <v>23945.4</v>
      </c>
      <c r="AO150" s="1167">
        <f t="shared" si="78"/>
        <v>24446.5</v>
      </c>
      <c r="AP150" s="1167">
        <f t="shared" si="78"/>
        <v>24947.8</v>
      </c>
      <c r="AQ150" s="1167">
        <f t="shared" si="78"/>
        <v>25448.900000000005</v>
      </c>
      <c r="AR150" s="1167">
        <f t="shared" si="78"/>
        <v>25949.999999999996</v>
      </c>
      <c r="AS150" s="1167">
        <f t="shared" si="78"/>
        <v>26451.3</v>
      </c>
      <c r="AT150" s="1167">
        <f t="shared" si="78"/>
        <v>26952.400000000001</v>
      </c>
      <c r="AU150" s="1167">
        <f t="shared" si="78"/>
        <v>27453.499999999996</v>
      </c>
      <c r="AV150" s="1167">
        <f t="shared" si="78"/>
        <v>27954.799999999999</v>
      </c>
      <c r="AW150" s="1111"/>
      <c r="AX150" s="1111"/>
      <c r="AY150" s="1111"/>
      <c r="AZ150" s="1111"/>
      <c r="BA150" s="1111"/>
      <c r="BB150" s="1111"/>
      <c r="BC150" s="1111"/>
      <c r="BD150" s="1111"/>
      <c r="BE150" s="1111"/>
      <c r="BF150" s="1111"/>
      <c r="BG150" s="1111"/>
      <c r="BH150" s="1111"/>
      <c r="BI150" s="1111"/>
      <c r="BJ150" s="1111"/>
      <c r="BK150" s="1111"/>
      <c r="BL150" s="1111"/>
      <c r="BM150" s="1111"/>
      <c r="BN150" s="1111"/>
      <c r="BO150" s="1111"/>
      <c r="BP150" s="1111"/>
      <c r="BQ150" s="1111"/>
      <c r="BR150" s="1111"/>
      <c r="BS150" s="1111"/>
      <c r="BT150" s="1111"/>
      <c r="BU150" s="1111"/>
      <c r="BV150" s="1111"/>
      <c r="BW150" s="1111"/>
      <c r="BX150" s="1111"/>
      <c r="BY150" s="1111"/>
      <c r="BZ150" s="1111"/>
      <c r="CA150" s="1111"/>
      <c r="CB150" s="1111"/>
      <c r="CC150" s="1111"/>
      <c r="CD150" s="1111"/>
      <c r="CE150" s="1111"/>
      <c r="CF150" s="1111"/>
      <c r="CG150" s="1111"/>
      <c r="CH150" s="1111"/>
      <c r="CI150" s="1111"/>
      <c r="CJ150" s="1111"/>
      <c r="CK150" s="1110"/>
    </row>
    <row r="151" spans="1:89" ht="14.4" x14ac:dyDescent="0.3">
      <c r="A151" s="1110"/>
      <c r="B151" s="1110"/>
      <c r="C151" s="1110"/>
      <c r="D151" s="1110"/>
      <c r="E151" s="1110"/>
      <c r="F151" s="1110"/>
      <c r="G151" s="1110"/>
      <c r="H151" s="1110"/>
      <c r="I151" s="1110"/>
      <c r="J151" s="1110"/>
      <c r="K151" s="1110"/>
      <c r="L151" s="1110"/>
      <c r="M151" s="1110"/>
      <c r="N151" s="1110"/>
      <c r="O151" s="1110"/>
      <c r="P151" s="1110"/>
      <c r="Q151" s="1110"/>
      <c r="R151" s="1110"/>
      <c r="S151" s="1110"/>
      <c r="T151" s="1111"/>
      <c r="U151" s="1111" t="s">
        <v>343</v>
      </c>
      <c r="V151" s="1111"/>
      <c r="W151" s="1167">
        <f t="shared" si="79"/>
        <v>14000</v>
      </c>
      <c r="X151" s="1167">
        <f t="shared" si="78"/>
        <v>14387.8</v>
      </c>
      <c r="Y151" s="1167">
        <f t="shared" si="78"/>
        <v>15013.65</v>
      </c>
      <c r="Z151" s="1167">
        <f t="shared" si="78"/>
        <v>15907.75</v>
      </c>
      <c r="AA151" s="1167">
        <f t="shared" si="78"/>
        <v>16802.250000000004</v>
      </c>
      <c r="AB151" s="1167">
        <f t="shared" si="78"/>
        <v>17696.700000000004</v>
      </c>
      <c r="AC151" s="1167">
        <f t="shared" si="78"/>
        <v>18590.800000000007</v>
      </c>
      <c r="AD151" s="1167">
        <f t="shared" si="78"/>
        <v>19485.7</v>
      </c>
      <c r="AE151" s="1167">
        <f t="shared" si="78"/>
        <v>20282.249999999996</v>
      </c>
      <c r="AF151" s="1167">
        <f t="shared" si="78"/>
        <v>21079.05</v>
      </c>
      <c r="AG151" s="1167">
        <f t="shared" si="78"/>
        <v>21875.599999999999</v>
      </c>
      <c r="AH151" s="1167">
        <f t="shared" si="78"/>
        <v>22672.149999999998</v>
      </c>
      <c r="AI151" s="1167">
        <f t="shared" si="78"/>
        <v>23469.5</v>
      </c>
      <c r="AJ151" s="1167">
        <f t="shared" si="78"/>
        <v>23997.4</v>
      </c>
      <c r="AK151" s="1167">
        <f t="shared" si="78"/>
        <v>24385.200000000001</v>
      </c>
      <c r="AL151" s="1167">
        <f t="shared" si="78"/>
        <v>24773</v>
      </c>
      <c r="AM151" s="1167">
        <f t="shared" si="78"/>
        <v>25160.799999999999</v>
      </c>
      <c r="AN151" s="1167">
        <f t="shared" si="78"/>
        <v>25548.85</v>
      </c>
      <c r="AO151" s="1167">
        <f t="shared" si="78"/>
        <v>25936.650000000005</v>
      </c>
      <c r="AP151" s="1167">
        <f t="shared" si="78"/>
        <v>26324.699999999997</v>
      </c>
      <c r="AQ151" s="1167">
        <f t="shared" si="78"/>
        <v>26712.499999999996</v>
      </c>
      <c r="AR151" s="1167">
        <f t="shared" si="78"/>
        <v>27100.3</v>
      </c>
      <c r="AS151" s="1167">
        <f t="shared" si="78"/>
        <v>27488.35</v>
      </c>
      <c r="AT151" s="1167">
        <f t="shared" si="78"/>
        <v>27876.149999999994</v>
      </c>
      <c r="AU151" s="1167">
        <f t="shared" si="78"/>
        <v>28263.949999999997</v>
      </c>
      <c r="AV151" s="1167">
        <f t="shared" si="78"/>
        <v>28651.999999999996</v>
      </c>
      <c r="AW151" s="1111"/>
      <c r="AX151" s="1111"/>
      <c r="AY151" s="1111"/>
      <c r="AZ151" s="1111"/>
      <c r="BA151" s="1111"/>
      <c r="BB151" s="1111"/>
      <c r="BC151" s="1111"/>
      <c r="BD151" s="1111"/>
      <c r="BE151" s="1111"/>
      <c r="BF151" s="1111"/>
      <c r="BG151" s="1111"/>
      <c r="BH151" s="1111"/>
      <c r="BI151" s="1111"/>
      <c r="BJ151" s="1111"/>
      <c r="BK151" s="1111"/>
      <c r="BL151" s="1111"/>
      <c r="BM151" s="1111"/>
      <c r="BN151" s="1111"/>
      <c r="BO151" s="1111"/>
      <c r="BP151" s="1111"/>
      <c r="BQ151" s="1111"/>
      <c r="BR151" s="1111"/>
      <c r="BS151" s="1111"/>
      <c r="BT151" s="1111"/>
      <c r="BU151" s="1111"/>
      <c r="BV151" s="1111"/>
      <c r="BW151" s="1111"/>
      <c r="BX151" s="1111"/>
      <c r="BY151" s="1111"/>
      <c r="BZ151" s="1111"/>
      <c r="CA151" s="1111"/>
      <c r="CB151" s="1111"/>
      <c r="CC151" s="1111"/>
      <c r="CD151" s="1111"/>
      <c r="CE151" s="1111"/>
      <c r="CF151" s="1111"/>
      <c r="CG151" s="1111"/>
      <c r="CH151" s="1111"/>
      <c r="CI151" s="1111"/>
      <c r="CJ151" s="1111"/>
      <c r="CK151" s="1110"/>
    </row>
    <row r="152" spans="1:89" ht="14.4" x14ac:dyDescent="0.3">
      <c r="A152" s="1110"/>
      <c r="B152" s="1110"/>
      <c r="C152" s="1110"/>
      <c r="D152" s="1110"/>
      <c r="E152" s="1110"/>
      <c r="F152" s="1110"/>
      <c r="G152" s="1110"/>
      <c r="H152" s="1110"/>
      <c r="I152" s="1110"/>
      <c r="J152" s="1110"/>
      <c r="K152" s="1110"/>
      <c r="L152" s="1110"/>
      <c r="M152" s="1110"/>
      <c r="N152" s="1110"/>
      <c r="O152" s="1110"/>
      <c r="P152" s="1110"/>
      <c r="Q152" s="1110"/>
      <c r="R152" s="1110"/>
      <c r="S152" s="1110"/>
      <c r="T152" s="1111"/>
      <c r="U152" s="1111" t="s">
        <v>342</v>
      </c>
      <c r="V152" s="1111"/>
      <c r="W152" s="1167">
        <f t="shared" si="79"/>
        <v>28000</v>
      </c>
      <c r="X152" s="1167">
        <f t="shared" si="78"/>
        <v>28642.75</v>
      </c>
      <c r="Y152" s="1167">
        <f t="shared" si="78"/>
        <v>29582.9</v>
      </c>
      <c r="Z152" s="1167">
        <f t="shared" si="78"/>
        <v>30710.400000000001</v>
      </c>
      <c r="AA152" s="1167">
        <f t="shared" si="78"/>
        <v>31838.2</v>
      </c>
      <c r="AB152" s="1167">
        <f t="shared" si="78"/>
        <v>32966.100000000013</v>
      </c>
      <c r="AC152" s="1167">
        <f t="shared" si="78"/>
        <v>34093.600000000006</v>
      </c>
      <c r="AD152" s="1167">
        <f t="shared" si="78"/>
        <v>35221.700000000004</v>
      </c>
      <c r="AE152" s="1167">
        <f t="shared" si="78"/>
        <v>36192.199999999997</v>
      </c>
      <c r="AF152" s="1167">
        <f t="shared" si="78"/>
        <v>37162.65</v>
      </c>
      <c r="AG152" s="1167">
        <f t="shared" si="78"/>
        <v>38133.15</v>
      </c>
      <c r="AH152" s="1167">
        <f t="shared" si="78"/>
        <v>39103.649999999994</v>
      </c>
      <c r="AI152" s="1167">
        <f t="shared" si="78"/>
        <v>40074.749999999993</v>
      </c>
      <c r="AJ152" s="1167">
        <f t="shared" si="78"/>
        <v>40857.599999999999</v>
      </c>
      <c r="AK152" s="1167">
        <f t="shared" si="78"/>
        <v>41500.349999999991</v>
      </c>
      <c r="AL152" s="1167">
        <f t="shared" si="78"/>
        <v>42143.099999999991</v>
      </c>
      <c r="AM152" s="1167">
        <f t="shared" si="78"/>
        <v>42785.849999999991</v>
      </c>
      <c r="AN152" s="1167">
        <f t="shared" si="78"/>
        <v>43428.749999999993</v>
      </c>
      <c r="AO152" s="1167">
        <f t="shared" si="78"/>
        <v>44071.499999999993</v>
      </c>
      <c r="AP152" s="1167">
        <f t="shared" si="78"/>
        <v>44714.399999999994</v>
      </c>
      <c r="AQ152" s="1167">
        <f t="shared" si="78"/>
        <v>45357.149999999994</v>
      </c>
      <c r="AR152" s="1167">
        <f t="shared" si="78"/>
        <v>45999.899999999994</v>
      </c>
      <c r="AS152" s="1167">
        <f t="shared" si="78"/>
        <v>46642.799999999996</v>
      </c>
      <c r="AT152" s="1167">
        <f t="shared" si="78"/>
        <v>47285.549999999988</v>
      </c>
      <c r="AU152" s="1167">
        <f t="shared" si="78"/>
        <v>47928.299999999996</v>
      </c>
      <c r="AV152" s="1167">
        <f t="shared" si="78"/>
        <v>48571.199999999997</v>
      </c>
      <c r="AW152" s="1111"/>
      <c r="AX152" s="1111"/>
      <c r="AY152" s="1111"/>
      <c r="AZ152" s="1111"/>
      <c r="BA152" s="1111"/>
      <c r="BB152" s="1111"/>
      <c r="BC152" s="1111"/>
      <c r="BD152" s="1111"/>
      <c r="BE152" s="1111"/>
      <c r="BF152" s="1111"/>
      <c r="BG152" s="1111"/>
      <c r="BH152" s="1111"/>
      <c r="BI152" s="1111"/>
      <c r="BJ152" s="1111"/>
      <c r="BK152" s="1111"/>
      <c r="BL152" s="1111"/>
      <c r="BM152" s="1111"/>
      <c r="BN152" s="1111"/>
      <c r="BO152" s="1111"/>
      <c r="BP152" s="1111"/>
      <c r="BQ152" s="1111"/>
      <c r="BR152" s="1111"/>
      <c r="BS152" s="1111"/>
      <c r="BT152" s="1111"/>
      <c r="BU152" s="1111"/>
      <c r="BV152" s="1111"/>
      <c r="BW152" s="1111"/>
      <c r="BX152" s="1111"/>
      <c r="BY152" s="1111"/>
      <c r="BZ152" s="1111"/>
      <c r="CA152" s="1111"/>
      <c r="CB152" s="1111"/>
      <c r="CC152" s="1111"/>
      <c r="CD152" s="1111"/>
      <c r="CE152" s="1111"/>
      <c r="CF152" s="1111"/>
      <c r="CG152" s="1111"/>
      <c r="CH152" s="1111"/>
      <c r="CI152" s="1111"/>
      <c r="CJ152" s="1111"/>
      <c r="CK152" s="1110"/>
    </row>
    <row r="153" spans="1:89" ht="14.4" x14ac:dyDescent="0.3">
      <c r="A153" s="1110"/>
      <c r="B153" s="1110"/>
      <c r="C153" s="1110"/>
      <c r="D153" s="1110"/>
      <c r="E153" s="1110"/>
      <c r="F153" s="1110"/>
      <c r="G153" s="1110"/>
      <c r="H153" s="1110"/>
      <c r="I153" s="1110"/>
      <c r="J153" s="1110"/>
      <c r="K153" s="1110"/>
      <c r="L153" s="1110"/>
      <c r="M153" s="1110"/>
      <c r="N153" s="1110"/>
      <c r="O153" s="1110"/>
      <c r="P153" s="1110"/>
      <c r="Q153" s="1110"/>
      <c r="R153" s="1110"/>
      <c r="S153" s="1110"/>
      <c r="T153" s="1111"/>
      <c r="U153" s="1111" t="s">
        <v>341</v>
      </c>
      <c r="V153" s="1111"/>
      <c r="W153" s="1167">
        <f t="shared" si="79"/>
        <v>28000</v>
      </c>
      <c r="X153" s="1167">
        <f t="shared" si="78"/>
        <v>28618.7</v>
      </c>
      <c r="Y153" s="1167">
        <f t="shared" si="78"/>
        <v>29534.75</v>
      </c>
      <c r="Z153" s="1167">
        <f t="shared" si="78"/>
        <v>30697.3</v>
      </c>
      <c r="AA153" s="1167">
        <f t="shared" si="78"/>
        <v>31860.200000000004</v>
      </c>
      <c r="AB153" s="1167">
        <f t="shared" si="78"/>
        <v>33023.03</v>
      </c>
      <c r="AC153" s="1167">
        <f t="shared" si="78"/>
        <v>34185.579999999994</v>
      </c>
      <c r="AD153" s="1167">
        <f t="shared" si="78"/>
        <v>35348.759999999995</v>
      </c>
      <c r="AE153" s="1167">
        <f t="shared" si="78"/>
        <v>36382.36</v>
      </c>
      <c r="AF153" s="1167">
        <f t="shared" si="78"/>
        <v>37416.06</v>
      </c>
      <c r="AG153" s="1167">
        <f t="shared" si="78"/>
        <v>38449.659999999996</v>
      </c>
      <c r="AH153" s="1167">
        <f t="shared" si="78"/>
        <v>39483.26</v>
      </c>
      <c r="AI153" s="1167">
        <f t="shared" si="78"/>
        <v>40517.339999999997</v>
      </c>
      <c r="AJ153" s="1167">
        <f t="shared" si="78"/>
        <v>41304.159999999996</v>
      </c>
      <c r="AK153" s="1167">
        <f t="shared" si="78"/>
        <v>41922.86</v>
      </c>
      <c r="AL153" s="1167">
        <f t="shared" si="78"/>
        <v>42541.560000000005</v>
      </c>
      <c r="AM153" s="1167">
        <f t="shared" si="78"/>
        <v>43160.260000000009</v>
      </c>
      <c r="AN153" s="1167">
        <f t="shared" si="78"/>
        <v>43779.060000000005</v>
      </c>
      <c r="AO153" s="1167">
        <f t="shared" si="78"/>
        <v>44397.759999999995</v>
      </c>
      <c r="AP153" s="1167">
        <f t="shared" si="78"/>
        <v>45016.560000000005</v>
      </c>
      <c r="AQ153" s="1167">
        <f t="shared" si="78"/>
        <v>45635.260000000009</v>
      </c>
      <c r="AR153" s="1167">
        <f t="shared" si="78"/>
        <v>46253.960000000006</v>
      </c>
      <c r="AS153" s="1167">
        <f t="shared" si="78"/>
        <v>46872.76</v>
      </c>
      <c r="AT153" s="1167">
        <f t="shared" si="78"/>
        <v>47491.460000000014</v>
      </c>
      <c r="AU153" s="1167">
        <f t="shared" si="78"/>
        <v>48110.160000000011</v>
      </c>
      <c r="AV153" s="1167">
        <f t="shared" si="78"/>
        <v>48728.960000000006</v>
      </c>
      <c r="AW153" s="1111"/>
      <c r="AX153" s="1111"/>
      <c r="AY153" s="1111"/>
      <c r="AZ153" s="1111"/>
      <c r="BA153" s="1111"/>
      <c r="BB153" s="1111"/>
      <c r="BC153" s="1111"/>
      <c r="BD153" s="1111"/>
      <c r="BE153" s="1111"/>
      <c r="BF153" s="1111"/>
      <c r="BG153" s="1111"/>
      <c r="BH153" s="1111"/>
      <c r="BI153" s="1111"/>
      <c r="BJ153" s="1111"/>
      <c r="BK153" s="1111"/>
      <c r="BL153" s="1111"/>
      <c r="BM153" s="1111"/>
      <c r="BN153" s="1111"/>
      <c r="BO153" s="1111"/>
      <c r="BP153" s="1111"/>
      <c r="BQ153" s="1111"/>
      <c r="BR153" s="1111"/>
      <c r="BS153" s="1111"/>
      <c r="BT153" s="1111"/>
      <c r="BU153" s="1111"/>
      <c r="BV153" s="1111"/>
      <c r="BW153" s="1111"/>
      <c r="BX153" s="1111"/>
      <c r="BY153" s="1111"/>
      <c r="BZ153" s="1111"/>
      <c r="CA153" s="1111"/>
      <c r="CB153" s="1111"/>
      <c r="CC153" s="1111"/>
      <c r="CD153" s="1111"/>
      <c r="CE153" s="1111"/>
      <c r="CF153" s="1111"/>
      <c r="CG153" s="1111"/>
      <c r="CH153" s="1111"/>
      <c r="CI153" s="1111"/>
      <c r="CJ153" s="1111"/>
      <c r="CK153" s="1110"/>
    </row>
    <row r="154" spans="1:89" ht="14.4" x14ac:dyDescent="0.3">
      <c r="A154" s="1110"/>
      <c r="B154" s="1110"/>
      <c r="C154" s="1110"/>
      <c r="D154" s="1110"/>
      <c r="E154" s="1110"/>
      <c r="F154" s="1110"/>
      <c r="G154" s="1110"/>
      <c r="H154" s="1110"/>
      <c r="I154" s="1110"/>
      <c r="J154" s="1110"/>
      <c r="K154" s="1110"/>
      <c r="L154" s="1110"/>
      <c r="M154" s="1110"/>
      <c r="N154" s="1110"/>
      <c r="O154" s="1110"/>
      <c r="P154" s="1110"/>
      <c r="Q154" s="1110"/>
      <c r="R154" s="1110"/>
      <c r="S154" s="1110"/>
      <c r="T154" s="1111"/>
      <c r="U154" s="1111" t="s">
        <v>340</v>
      </c>
      <c r="V154" s="1111"/>
      <c r="W154" s="1167">
        <f t="shared" si="79"/>
        <v>28000</v>
      </c>
      <c r="X154" s="1167">
        <f t="shared" si="78"/>
        <v>28618.7</v>
      </c>
      <c r="Y154" s="1167">
        <f t="shared" si="78"/>
        <v>29534.75</v>
      </c>
      <c r="Z154" s="1167">
        <f t="shared" si="78"/>
        <v>30697.3</v>
      </c>
      <c r="AA154" s="1167">
        <f t="shared" si="78"/>
        <v>31860.200000000004</v>
      </c>
      <c r="AB154" s="1167">
        <f t="shared" si="78"/>
        <v>33023.03</v>
      </c>
      <c r="AC154" s="1167">
        <f t="shared" si="78"/>
        <v>34185.579999999994</v>
      </c>
      <c r="AD154" s="1167">
        <f t="shared" si="78"/>
        <v>35348.759999999995</v>
      </c>
      <c r="AE154" s="1167">
        <f t="shared" si="78"/>
        <v>36382.36</v>
      </c>
      <c r="AF154" s="1167">
        <f t="shared" si="78"/>
        <v>37416.06</v>
      </c>
      <c r="AG154" s="1167">
        <f t="shared" si="78"/>
        <v>38449.659999999996</v>
      </c>
      <c r="AH154" s="1167">
        <f t="shared" si="78"/>
        <v>39483.26</v>
      </c>
      <c r="AI154" s="1167">
        <f t="shared" si="78"/>
        <v>40517.339999999997</v>
      </c>
      <c r="AJ154" s="1167">
        <f t="shared" si="78"/>
        <v>41304.159999999996</v>
      </c>
      <c r="AK154" s="1167">
        <f t="shared" si="78"/>
        <v>41922.86</v>
      </c>
      <c r="AL154" s="1167">
        <f t="shared" si="78"/>
        <v>42541.560000000005</v>
      </c>
      <c r="AM154" s="1167">
        <f t="shared" si="78"/>
        <v>43160.260000000009</v>
      </c>
      <c r="AN154" s="1167">
        <f t="shared" si="78"/>
        <v>43779.060000000005</v>
      </c>
      <c r="AO154" s="1167">
        <f t="shared" si="78"/>
        <v>44397.759999999995</v>
      </c>
      <c r="AP154" s="1167">
        <f t="shared" si="78"/>
        <v>45016.560000000005</v>
      </c>
      <c r="AQ154" s="1167">
        <f t="shared" si="78"/>
        <v>45635.260000000009</v>
      </c>
      <c r="AR154" s="1167">
        <f t="shared" si="78"/>
        <v>46253.960000000006</v>
      </c>
      <c r="AS154" s="1167">
        <f t="shared" si="78"/>
        <v>46872.76</v>
      </c>
      <c r="AT154" s="1167">
        <f t="shared" si="78"/>
        <v>47491.460000000014</v>
      </c>
      <c r="AU154" s="1167">
        <f t="shared" si="78"/>
        <v>48110.160000000011</v>
      </c>
      <c r="AV154" s="1167">
        <f t="shared" si="78"/>
        <v>48728.960000000006</v>
      </c>
      <c r="AW154" s="1111"/>
      <c r="AX154" s="1111"/>
      <c r="AY154" s="1111"/>
      <c r="AZ154" s="1111"/>
      <c r="BA154" s="1111"/>
      <c r="BB154" s="1111"/>
      <c r="BC154" s="1111"/>
      <c r="BD154" s="1111"/>
      <c r="BE154" s="1111"/>
      <c r="BF154" s="1111"/>
      <c r="BG154" s="1111"/>
      <c r="BH154" s="1111"/>
      <c r="BI154" s="1111"/>
      <c r="BJ154" s="1111"/>
      <c r="BK154" s="1111"/>
      <c r="BL154" s="1111"/>
      <c r="BM154" s="1111"/>
      <c r="BN154" s="1111"/>
      <c r="BO154" s="1111"/>
      <c r="BP154" s="1111"/>
      <c r="BQ154" s="1111"/>
      <c r="BR154" s="1111"/>
      <c r="BS154" s="1111"/>
      <c r="BT154" s="1111"/>
      <c r="BU154" s="1111"/>
      <c r="BV154" s="1111"/>
      <c r="BW154" s="1111"/>
      <c r="BX154" s="1111"/>
      <c r="BY154" s="1111"/>
      <c r="BZ154" s="1111"/>
      <c r="CA154" s="1111"/>
      <c r="CB154" s="1111"/>
      <c r="CC154" s="1111"/>
      <c r="CD154" s="1111"/>
      <c r="CE154" s="1111"/>
      <c r="CF154" s="1111"/>
      <c r="CG154" s="1111"/>
      <c r="CH154" s="1111"/>
      <c r="CI154" s="1111"/>
      <c r="CJ154" s="1111"/>
      <c r="CK154" s="1110"/>
    </row>
    <row r="155" spans="1:89" ht="14.4" x14ac:dyDescent="0.3">
      <c r="A155" s="1110"/>
      <c r="B155" s="1110"/>
      <c r="C155" s="1110"/>
      <c r="D155" s="1110"/>
      <c r="E155" s="1110"/>
      <c r="F155" s="1110"/>
      <c r="G155" s="1110"/>
      <c r="H155" s="1110"/>
      <c r="I155" s="1110"/>
      <c r="J155" s="1110"/>
      <c r="K155" s="1110"/>
      <c r="L155" s="1110"/>
      <c r="M155" s="1110"/>
      <c r="N155" s="1110"/>
      <c r="O155" s="1110"/>
      <c r="P155" s="1110"/>
      <c r="Q155" s="1110"/>
      <c r="R155" s="1110"/>
      <c r="S155" s="1110"/>
      <c r="T155" s="1111"/>
      <c r="U155" s="1111" t="s">
        <v>339</v>
      </c>
      <c r="V155" s="1111"/>
      <c r="W155" s="1167">
        <f t="shared" si="79"/>
        <v>32000</v>
      </c>
      <c r="X155" s="1167">
        <f t="shared" si="78"/>
        <v>32764.35</v>
      </c>
      <c r="Y155" s="1167">
        <f t="shared" si="78"/>
        <v>33826.1</v>
      </c>
      <c r="Z155" s="1167">
        <f t="shared" si="78"/>
        <v>35236.199999999997</v>
      </c>
      <c r="AA155" s="1167">
        <f t="shared" si="78"/>
        <v>36646.700000000004</v>
      </c>
      <c r="AB155" s="1167">
        <f t="shared" si="78"/>
        <v>38057.300000000003</v>
      </c>
      <c r="AC155" s="1167">
        <f t="shared" si="78"/>
        <v>39467.4</v>
      </c>
      <c r="AD155" s="1167">
        <f t="shared" si="78"/>
        <v>40878.30000000001</v>
      </c>
      <c r="AE155" s="1167">
        <f t="shared" si="78"/>
        <v>42224.9</v>
      </c>
      <c r="AF155" s="1167">
        <f t="shared" si="78"/>
        <v>43571.549999999996</v>
      </c>
      <c r="AG155" s="1167">
        <f t="shared" si="78"/>
        <v>44918.149999999994</v>
      </c>
      <c r="AH155" s="1167">
        <f t="shared" si="78"/>
        <v>46264.75</v>
      </c>
      <c r="AI155" s="1167">
        <f t="shared" si="78"/>
        <v>47612.15</v>
      </c>
      <c r="AJ155" s="1167">
        <f t="shared" si="78"/>
        <v>48610</v>
      </c>
      <c r="AK155" s="1167">
        <f t="shared" si="78"/>
        <v>49374.35</v>
      </c>
      <c r="AL155" s="1167">
        <f t="shared" si="78"/>
        <v>50138.7</v>
      </c>
      <c r="AM155" s="1167">
        <f t="shared" si="78"/>
        <v>50903.049999999996</v>
      </c>
      <c r="AN155" s="1167">
        <f t="shared" si="78"/>
        <v>51667.549999999996</v>
      </c>
      <c r="AO155" s="1167">
        <f t="shared" si="78"/>
        <v>52431.899999999994</v>
      </c>
      <c r="AP155" s="1167">
        <f t="shared" si="78"/>
        <v>53196.4</v>
      </c>
      <c r="AQ155" s="1167">
        <f t="shared" si="78"/>
        <v>53960.75</v>
      </c>
      <c r="AR155" s="1167">
        <f t="shared" si="78"/>
        <v>54725.1</v>
      </c>
      <c r="AS155" s="1167">
        <f t="shared" si="78"/>
        <v>55489.599999999999</v>
      </c>
      <c r="AT155" s="1167">
        <f t="shared" si="78"/>
        <v>56253.95</v>
      </c>
      <c r="AU155" s="1167">
        <f t="shared" si="78"/>
        <v>57018.299999999996</v>
      </c>
      <c r="AV155" s="1167">
        <f t="shared" si="78"/>
        <v>57782.799999999996</v>
      </c>
      <c r="AW155" s="1111"/>
      <c r="AX155" s="1111"/>
      <c r="AY155" s="1111"/>
      <c r="AZ155" s="1111"/>
      <c r="BA155" s="1111"/>
      <c r="BB155" s="1111"/>
      <c r="BC155" s="1111"/>
      <c r="BD155" s="1111"/>
      <c r="BE155" s="1111"/>
      <c r="BF155" s="1111"/>
      <c r="BG155" s="1111"/>
      <c r="BH155" s="1111"/>
      <c r="BI155" s="1111"/>
      <c r="BJ155" s="1111"/>
      <c r="BK155" s="1111"/>
      <c r="BL155" s="1111"/>
      <c r="BM155" s="1111"/>
      <c r="BN155" s="1111"/>
      <c r="BO155" s="1111"/>
      <c r="BP155" s="1111"/>
      <c r="BQ155" s="1111"/>
      <c r="BR155" s="1111"/>
      <c r="BS155" s="1111"/>
      <c r="BT155" s="1111"/>
      <c r="BU155" s="1111"/>
      <c r="BV155" s="1111"/>
      <c r="BW155" s="1111"/>
      <c r="BX155" s="1111"/>
      <c r="BY155" s="1111"/>
      <c r="BZ155" s="1111"/>
      <c r="CA155" s="1111"/>
      <c r="CB155" s="1111"/>
      <c r="CC155" s="1111"/>
      <c r="CD155" s="1111"/>
      <c r="CE155" s="1111"/>
      <c r="CF155" s="1111"/>
      <c r="CG155" s="1111"/>
      <c r="CH155" s="1111"/>
      <c r="CI155" s="1111"/>
      <c r="CJ155" s="1111"/>
      <c r="CK155" s="1110"/>
    </row>
    <row r="156" spans="1:89" ht="14.4" x14ac:dyDescent="0.3">
      <c r="A156" s="1110"/>
      <c r="B156" s="1110"/>
      <c r="C156" s="1110"/>
      <c r="D156" s="1110"/>
      <c r="E156" s="1110"/>
      <c r="F156" s="1110"/>
      <c r="G156" s="1110"/>
      <c r="H156" s="1110"/>
      <c r="I156" s="1110"/>
      <c r="J156" s="1110"/>
      <c r="K156" s="1110"/>
      <c r="L156" s="1110"/>
      <c r="M156" s="1110"/>
      <c r="N156" s="1110"/>
      <c r="O156" s="1110"/>
      <c r="P156" s="1110"/>
      <c r="Q156" s="1110"/>
      <c r="R156" s="1110"/>
      <c r="S156" s="1110"/>
      <c r="T156" s="1111"/>
      <c r="U156" s="1111" t="s">
        <v>355</v>
      </c>
      <c r="V156" s="1111"/>
      <c r="W156" s="1167">
        <f t="shared" si="79"/>
        <v>10000</v>
      </c>
      <c r="X156" s="1167">
        <f t="shared" si="78"/>
        <v>10288.270000000002</v>
      </c>
      <c r="Y156" s="1167">
        <f t="shared" si="78"/>
        <v>10600.29</v>
      </c>
      <c r="Z156" s="1167">
        <f t="shared" si="78"/>
        <v>11014.24</v>
      </c>
      <c r="AA156" s="1167">
        <f t="shared" si="78"/>
        <v>11428.259999999998</v>
      </c>
      <c r="AB156" s="1167">
        <f t="shared" si="78"/>
        <v>11842.449999999999</v>
      </c>
      <c r="AC156" s="1167">
        <f t="shared" si="78"/>
        <v>12256.400000000001</v>
      </c>
      <c r="AD156" s="1167">
        <f t="shared" si="78"/>
        <v>12670.460000000001</v>
      </c>
      <c r="AE156" s="1167">
        <f t="shared" si="78"/>
        <v>13126.080000000002</v>
      </c>
      <c r="AF156" s="1167">
        <f t="shared" si="78"/>
        <v>13581.55</v>
      </c>
      <c r="AG156" s="1167">
        <f t="shared" si="78"/>
        <v>14037.17</v>
      </c>
      <c r="AH156" s="1167">
        <f t="shared" si="78"/>
        <v>14492.789999999999</v>
      </c>
      <c r="AI156" s="1167">
        <f t="shared" si="78"/>
        <v>14948.670000000002</v>
      </c>
      <c r="AJ156" s="1167">
        <f t="shared" si="78"/>
        <v>15302.32</v>
      </c>
      <c r="AK156" s="1167">
        <f t="shared" si="78"/>
        <v>15590.59</v>
      </c>
      <c r="AL156" s="1167">
        <f t="shared" si="78"/>
        <v>15878.86</v>
      </c>
      <c r="AM156" s="1167">
        <f t="shared" si="78"/>
        <v>16167.130000000001</v>
      </c>
      <c r="AN156" s="1167">
        <f t="shared" si="78"/>
        <v>16455.37</v>
      </c>
      <c r="AO156" s="1167">
        <f t="shared" si="78"/>
        <v>16743.639999999996</v>
      </c>
      <c r="AP156" s="1167">
        <f t="shared" si="78"/>
        <v>17031.879999999994</v>
      </c>
      <c r="AQ156" s="1167">
        <f t="shared" si="78"/>
        <v>17320.150000000001</v>
      </c>
      <c r="AR156" s="1167">
        <f t="shared" si="78"/>
        <v>17608.420000000002</v>
      </c>
      <c r="AS156" s="1167">
        <f t="shared" si="78"/>
        <v>17896.66</v>
      </c>
      <c r="AT156" s="1167">
        <f t="shared" si="78"/>
        <v>18184.93</v>
      </c>
      <c r="AU156" s="1167">
        <f t="shared" si="78"/>
        <v>18473.2</v>
      </c>
      <c r="AV156" s="1167">
        <f t="shared" si="78"/>
        <v>18761.440000000002</v>
      </c>
      <c r="AW156" s="1111"/>
      <c r="AX156" s="1111"/>
      <c r="AY156" s="1111"/>
      <c r="AZ156" s="1111"/>
      <c r="BA156" s="1111"/>
      <c r="BB156" s="1111"/>
      <c r="BC156" s="1111"/>
      <c r="BD156" s="1111"/>
      <c r="BE156" s="1111"/>
      <c r="BF156" s="1111"/>
      <c r="BG156" s="1111"/>
      <c r="BH156" s="1111"/>
      <c r="BI156" s="1111"/>
      <c r="BJ156" s="1111"/>
      <c r="BK156" s="1111"/>
      <c r="BL156" s="1111"/>
      <c r="BM156" s="1111"/>
      <c r="BN156" s="1111"/>
      <c r="BO156" s="1111"/>
      <c r="BP156" s="1111"/>
      <c r="BQ156" s="1111"/>
      <c r="BR156" s="1111"/>
      <c r="BS156" s="1111"/>
      <c r="BT156" s="1111"/>
      <c r="BU156" s="1111"/>
      <c r="BV156" s="1111"/>
      <c r="BW156" s="1111"/>
      <c r="BX156" s="1111"/>
      <c r="BY156" s="1111"/>
      <c r="BZ156" s="1111"/>
      <c r="CA156" s="1111"/>
      <c r="CB156" s="1111"/>
      <c r="CC156" s="1111"/>
      <c r="CD156" s="1111"/>
      <c r="CE156" s="1111"/>
      <c r="CF156" s="1111"/>
      <c r="CG156" s="1111"/>
      <c r="CH156" s="1111"/>
      <c r="CI156" s="1111"/>
      <c r="CJ156" s="1111"/>
      <c r="CK156" s="1110"/>
    </row>
    <row r="157" spans="1:89" ht="14.4" x14ac:dyDescent="0.3">
      <c r="A157" s="1110"/>
      <c r="B157" s="1110"/>
      <c r="C157" s="1110"/>
      <c r="D157" s="1110"/>
      <c r="E157" s="1110"/>
      <c r="F157" s="1110"/>
      <c r="G157" s="1110"/>
      <c r="H157" s="1110"/>
      <c r="I157" s="1110"/>
      <c r="J157" s="1110"/>
      <c r="K157" s="1110"/>
      <c r="L157" s="1110"/>
      <c r="M157" s="1110"/>
      <c r="N157" s="1110"/>
      <c r="O157" s="1110"/>
      <c r="P157" s="1110"/>
      <c r="Q157" s="1110"/>
      <c r="R157" s="1110"/>
      <c r="S157" s="1110"/>
      <c r="T157" s="1111"/>
      <c r="U157" s="1111" t="s">
        <v>356</v>
      </c>
      <c r="V157" s="1111"/>
      <c r="W157" s="1167">
        <f t="shared" si="79"/>
        <v>7600</v>
      </c>
      <c r="X157" s="1167">
        <f t="shared" si="78"/>
        <v>7815.7</v>
      </c>
      <c r="Y157" s="1167">
        <f t="shared" si="78"/>
        <v>8055.07</v>
      </c>
      <c r="Z157" s="1167">
        <f t="shared" si="78"/>
        <v>8391.0499999999993</v>
      </c>
      <c r="AA157" s="1167">
        <f t="shared" si="78"/>
        <v>8727.09</v>
      </c>
      <c r="AB157" s="1167">
        <f t="shared" si="78"/>
        <v>9063.1999999999989</v>
      </c>
      <c r="AC157" s="1167">
        <f t="shared" si="78"/>
        <v>9399.18</v>
      </c>
      <c r="AD157" s="1167">
        <f t="shared" si="78"/>
        <v>9735.18</v>
      </c>
      <c r="AE157" s="1167">
        <f t="shared" si="78"/>
        <v>10112.830000000002</v>
      </c>
      <c r="AF157" s="1167">
        <f t="shared" si="78"/>
        <v>10490.349999999999</v>
      </c>
      <c r="AG157" s="1167">
        <f t="shared" si="78"/>
        <v>10867.999999999998</v>
      </c>
      <c r="AH157" s="1167">
        <f t="shared" si="78"/>
        <v>11245.649999999998</v>
      </c>
      <c r="AI157" s="1167">
        <f t="shared" si="78"/>
        <v>11623.36</v>
      </c>
      <c r="AJ157" s="1167">
        <f t="shared" si="78"/>
        <v>11904.439999999999</v>
      </c>
      <c r="AK157" s="1167">
        <f t="shared" si="78"/>
        <v>12120.14</v>
      </c>
      <c r="AL157" s="1167">
        <f t="shared" si="78"/>
        <v>12335.84</v>
      </c>
      <c r="AM157" s="1167">
        <f t="shared" si="78"/>
        <v>12551.539999999999</v>
      </c>
      <c r="AN157" s="1167">
        <f t="shared" si="78"/>
        <v>12767.129999999997</v>
      </c>
      <c r="AO157" s="1167">
        <f t="shared" si="78"/>
        <v>12982.829999999998</v>
      </c>
      <c r="AP157" s="1167">
        <f t="shared" si="78"/>
        <v>13198.42</v>
      </c>
      <c r="AQ157" s="1167">
        <f t="shared" si="78"/>
        <v>13414.119999999999</v>
      </c>
      <c r="AR157" s="1167">
        <f t="shared" si="78"/>
        <v>13629.82</v>
      </c>
      <c r="AS157" s="1167">
        <f t="shared" si="78"/>
        <v>13845.409999999998</v>
      </c>
      <c r="AT157" s="1167">
        <f t="shared" si="78"/>
        <v>14061.109999999999</v>
      </c>
      <c r="AU157" s="1167">
        <f t="shared" si="78"/>
        <v>14276.809999999998</v>
      </c>
      <c r="AV157" s="1167">
        <f t="shared" si="78"/>
        <v>14492.399999999998</v>
      </c>
      <c r="AW157" s="1111"/>
      <c r="AX157" s="1111"/>
      <c r="AY157" s="1111"/>
      <c r="AZ157" s="1111"/>
      <c r="BA157" s="1111"/>
      <c r="BB157" s="1111"/>
      <c r="BC157" s="1111"/>
      <c r="BD157" s="1111"/>
      <c r="BE157" s="1111"/>
      <c r="BF157" s="1111"/>
      <c r="BG157" s="1111"/>
      <c r="BH157" s="1111"/>
      <c r="BI157" s="1111"/>
      <c r="BJ157" s="1111"/>
      <c r="BK157" s="1111"/>
      <c r="BL157" s="1111"/>
      <c r="BM157" s="1111"/>
      <c r="BN157" s="1111"/>
      <c r="BO157" s="1111"/>
      <c r="BP157" s="1111"/>
      <c r="BQ157" s="1111"/>
      <c r="BR157" s="1111"/>
      <c r="BS157" s="1111"/>
      <c r="BT157" s="1111"/>
      <c r="BU157" s="1111"/>
      <c r="BV157" s="1111"/>
      <c r="BW157" s="1111"/>
      <c r="BX157" s="1111"/>
      <c r="BY157" s="1111"/>
      <c r="BZ157" s="1111"/>
      <c r="CA157" s="1111"/>
      <c r="CB157" s="1111"/>
      <c r="CC157" s="1111"/>
      <c r="CD157" s="1111"/>
      <c r="CE157" s="1111"/>
      <c r="CF157" s="1111"/>
      <c r="CG157" s="1111"/>
      <c r="CH157" s="1111"/>
      <c r="CI157" s="1111"/>
      <c r="CJ157" s="1111"/>
      <c r="CK157" s="1110"/>
    </row>
    <row r="158" spans="1:89" ht="14.4" x14ac:dyDescent="0.3">
      <c r="A158" s="1110"/>
      <c r="B158" s="1110"/>
      <c r="C158" s="1110"/>
      <c r="D158" s="1110"/>
      <c r="E158" s="1110"/>
      <c r="F158" s="1110"/>
      <c r="G158" s="1110"/>
      <c r="H158" s="1110"/>
      <c r="I158" s="1110"/>
      <c r="J158" s="1110"/>
      <c r="K158" s="1110"/>
      <c r="L158" s="1110"/>
      <c r="M158" s="1110"/>
      <c r="N158" s="1110"/>
      <c r="O158" s="1110"/>
      <c r="P158" s="1110"/>
      <c r="Q158" s="1110"/>
      <c r="R158" s="1110"/>
      <c r="S158" s="1110"/>
      <c r="T158" s="1111"/>
      <c r="U158" s="1111" t="s">
        <v>357</v>
      </c>
      <c r="V158" s="1111"/>
      <c r="W158" s="1167">
        <f t="shared" si="79"/>
        <v>6000</v>
      </c>
      <c r="X158" s="1167">
        <f t="shared" si="78"/>
        <v>6170.14</v>
      </c>
      <c r="Y158" s="1167">
        <f t="shared" si="78"/>
        <v>6364.0099999999993</v>
      </c>
      <c r="Z158" s="1167">
        <f t="shared" si="78"/>
        <v>6611.7300000000005</v>
      </c>
      <c r="AA158" s="1167">
        <f t="shared" si="78"/>
        <v>6859.53</v>
      </c>
      <c r="AB158" s="1167">
        <f t="shared" si="78"/>
        <v>7107.2900000000027</v>
      </c>
      <c r="AC158" s="1167">
        <f t="shared" si="78"/>
        <v>7355.0100000000011</v>
      </c>
      <c r="AD158" s="1167">
        <f t="shared" si="78"/>
        <v>7602.7800000000016</v>
      </c>
      <c r="AE158" s="1167">
        <f t="shared" si="78"/>
        <v>7882.82</v>
      </c>
      <c r="AF158" s="1167">
        <f t="shared" si="78"/>
        <v>8162.85</v>
      </c>
      <c r="AG158" s="1167">
        <f t="shared" si="78"/>
        <v>8442.85</v>
      </c>
      <c r="AH158" s="1167">
        <f t="shared" si="78"/>
        <v>8722.8900000000012</v>
      </c>
      <c r="AI158" s="1167">
        <f t="shared" si="78"/>
        <v>9002.98</v>
      </c>
      <c r="AJ158" s="1167">
        <f t="shared" si="78"/>
        <v>9229.16</v>
      </c>
      <c r="AK158" s="1167">
        <f t="shared" si="78"/>
        <v>9399.3000000000011</v>
      </c>
      <c r="AL158" s="1167">
        <f t="shared" si="78"/>
        <v>9569.4400000000023</v>
      </c>
      <c r="AM158" s="1167">
        <f t="shared" si="78"/>
        <v>9739.5800000000017</v>
      </c>
      <c r="AN158" s="1167">
        <f t="shared" si="78"/>
        <v>9909.6700000000019</v>
      </c>
      <c r="AO158" s="1167">
        <f t="shared" si="78"/>
        <v>10079.809999999998</v>
      </c>
      <c r="AP158" s="1167">
        <f t="shared" si="78"/>
        <v>10249.899999999998</v>
      </c>
      <c r="AQ158" s="1167">
        <f t="shared" si="78"/>
        <v>10420.039999999997</v>
      </c>
      <c r="AR158" s="1167">
        <f t="shared" si="78"/>
        <v>10590.179999999998</v>
      </c>
      <c r="AS158" s="1167">
        <f t="shared" si="78"/>
        <v>10760.269999999997</v>
      </c>
      <c r="AT158" s="1167">
        <f t="shared" si="78"/>
        <v>10930.409999999998</v>
      </c>
      <c r="AU158" s="1167">
        <f t="shared" si="78"/>
        <v>11100.549999999997</v>
      </c>
      <c r="AV158" s="1167">
        <f t="shared" si="78"/>
        <v>11270.639999999998</v>
      </c>
      <c r="AW158" s="1111"/>
      <c r="AX158" s="1111"/>
      <c r="AY158" s="1111"/>
      <c r="AZ158" s="1111"/>
      <c r="BA158" s="1111"/>
      <c r="BB158" s="1111"/>
      <c r="BC158" s="1111"/>
      <c r="BD158" s="1111"/>
      <c r="BE158" s="1111"/>
      <c r="BF158" s="1111"/>
      <c r="BG158" s="1111"/>
      <c r="BH158" s="1111"/>
      <c r="BI158" s="1111"/>
      <c r="BJ158" s="1111"/>
      <c r="BK158" s="1111"/>
      <c r="BL158" s="1111"/>
      <c r="BM158" s="1111"/>
      <c r="BN158" s="1111"/>
      <c r="BO158" s="1111"/>
      <c r="BP158" s="1111"/>
      <c r="BQ158" s="1111"/>
      <c r="BR158" s="1111"/>
      <c r="BS158" s="1111"/>
      <c r="BT158" s="1111"/>
      <c r="BU158" s="1111"/>
      <c r="BV158" s="1111"/>
      <c r="BW158" s="1111"/>
      <c r="BX158" s="1111"/>
      <c r="BY158" s="1111"/>
      <c r="BZ158" s="1111"/>
      <c r="CA158" s="1111"/>
      <c r="CB158" s="1111"/>
      <c r="CC158" s="1111"/>
      <c r="CD158" s="1111"/>
      <c r="CE158" s="1111"/>
      <c r="CF158" s="1111"/>
      <c r="CG158" s="1111"/>
      <c r="CH158" s="1111"/>
      <c r="CI158" s="1111"/>
      <c r="CJ158" s="1111"/>
      <c r="CK158" s="1110"/>
    </row>
    <row r="159" spans="1:89" ht="14.4" x14ac:dyDescent="0.3">
      <c r="A159" s="1110"/>
      <c r="B159" s="1110"/>
      <c r="C159" s="1110"/>
      <c r="D159" s="1110"/>
      <c r="E159" s="1110"/>
      <c r="F159" s="1110"/>
      <c r="G159" s="1110"/>
      <c r="H159" s="1110"/>
      <c r="I159" s="1110"/>
      <c r="J159" s="1110"/>
      <c r="K159" s="1110"/>
      <c r="L159" s="1110"/>
      <c r="M159" s="1110"/>
      <c r="N159" s="1110"/>
      <c r="O159" s="1110"/>
      <c r="P159" s="1110"/>
      <c r="Q159" s="1110"/>
      <c r="R159" s="1110"/>
      <c r="S159" s="1110"/>
      <c r="T159" s="1111"/>
      <c r="U159" s="1111" t="s">
        <v>347</v>
      </c>
      <c r="V159" s="1111"/>
      <c r="W159" s="1167">
        <f t="shared" si="79"/>
        <v>4000</v>
      </c>
      <c r="X159" s="1167">
        <f t="shared" si="78"/>
        <v>4404.62</v>
      </c>
      <c r="Y159" s="1167">
        <f t="shared" si="78"/>
        <v>5309.24</v>
      </c>
      <c r="Z159" s="1167">
        <f t="shared" si="78"/>
        <v>7126.2400000000007</v>
      </c>
      <c r="AA159" s="1167">
        <f t="shared" si="78"/>
        <v>8944.3599999999988</v>
      </c>
      <c r="AB159" s="1167">
        <f t="shared" si="78"/>
        <v>10762.279999999999</v>
      </c>
      <c r="AC159" s="1167">
        <f t="shared" si="78"/>
        <v>12579.279999999999</v>
      </c>
      <c r="AD159" s="1167">
        <f t="shared" si="78"/>
        <v>14398.52</v>
      </c>
      <c r="AE159" s="1167">
        <f t="shared" si="78"/>
        <v>16183.639999999998</v>
      </c>
      <c r="AF159" s="1167">
        <f t="shared" si="78"/>
        <v>17969.659999999996</v>
      </c>
      <c r="AG159" s="1167">
        <f t="shared" si="78"/>
        <v>19754.78</v>
      </c>
      <c r="AH159" s="1167">
        <f t="shared" si="78"/>
        <v>21539.9</v>
      </c>
      <c r="AI159" s="1167">
        <f t="shared" si="78"/>
        <v>23327.260000000002</v>
      </c>
      <c r="AJ159" s="1167">
        <f t="shared" si="78"/>
        <v>24198.879999999997</v>
      </c>
      <c r="AK159" s="1167">
        <f t="shared" si="78"/>
        <v>24603.499999999996</v>
      </c>
      <c r="AL159" s="1167">
        <f t="shared" si="78"/>
        <v>25008.12</v>
      </c>
      <c r="AM159" s="1167">
        <f t="shared" si="78"/>
        <v>25412.739999999998</v>
      </c>
      <c r="AN159" s="1167">
        <f t="shared" si="78"/>
        <v>25817.98</v>
      </c>
      <c r="AO159" s="1167">
        <f t="shared" si="78"/>
        <v>26222.6</v>
      </c>
      <c r="AP159" s="1167">
        <f t="shared" si="78"/>
        <v>26627.839999999997</v>
      </c>
      <c r="AQ159" s="1167">
        <f t="shared" si="78"/>
        <v>27032.459999999995</v>
      </c>
      <c r="AR159" s="1167">
        <f t="shared" ref="X159:AV167" si="80">AR28+AR$6*$V137+AR$7*$W137+AR$8*$X137+AR$9*$Y137+AR$10*$Z137+AR$11*$AA137+AR$12*$AB137+AR$13*$AC137</f>
        <v>27437.079999999998</v>
      </c>
      <c r="AS159" s="1167">
        <f t="shared" si="80"/>
        <v>27842.32</v>
      </c>
      <c r="AT159" s="1167">
        <f t="shared" si="80"/>
        <v>28246.94</v>
      </c>
      <c r="AU159" s="1167">
        <f t="shared" si="80"/>
        <v>28651.559999999998</v>
      </c>
      <c r="AV159" s="1167">
        <f t="shared" si="80"/>
        <v>29056.799999999996</v>
      </c>
      <c r="AW159" s="1111"/>
      <c r="AX159" s="1111"/>
      <c r="AY159" s="1111"/>
      <c r="AZ159" s="1111"/>
      <c r="BA159" s="1111"/>
      <c r="BB159" s="1111"/>
      <c r="BC159" s="1111"/>
      <c r="BD159" s="1111"/>
      <c r="BE159" s="1111"/>
      <c r="BF159" s="1111"/>
      <c r="BG159" s="1111"/>
      <c r="BH159" s="1111"/>
      <c r="BI159" s="1111"/>
      <c r="BJ159" s="1111"/>
      <c r="BK159" s="1111"/>
      <c r="BL159" s="1111"/>
      <c r="BM159" s="1111"/>
      <c r="BN159" s="1111"/>
      <c r="BO159" s="1111"/>
      <c r="BP159" s="1111"/>
      <c r="BQ159" s="1111"/>
      <c r="BR159" s="1111"/>
      <c r="BS159" s="1111"/>
      <c r="BT159" s="1111"/>
      <c r="BU159" s="1111"/>
      <c r="BV159" s="1111"/>
      <c r="BW159" s="1111"/>
      <c r="BX159" s="1111"/>
      <c r="BY159" s="1111"/>
      <c r="BZ159" s="1111"/>
      <c r="CA159" s="1111"/>
      <c r="CB159" s="1111"/>
      <c r="CC159" s="1111"/>
      <c r="CD159" s="1111"/>
      <c r="CE159" s="1111"/>
      <c r="CF159" s="1111"/>
      <c r="CG159" s="1111"/>
      <c r="CH159" s="1111"/>
      <c r="CI159" s="1111"/>
      <c r="CJ159" s="1111"/>
      <c r="CK159" s="1110"/>
    </row>
    <row r="160" spans="1:89" ht="14.4" x14ac:dyDescent="0.3">
      <c r="A160" s="1110"/>
      <c r="B160" s="1110"/>
      <c r="C160" s="1110"/>
      <c r="D160" s="1110"/>
      <c r="E160" s="1110"/>
      <c r="F160" s="1110"/>
      <c r="G160" s="1110"/>
      <c r="H160" s="1110"/>
      <c r="I160" s="1110"/>
      <c r="J160" s="1110"/>
      <c r="K160" s="1110"/>
      <c r="L160" s="1110"/>
      <c r="M160" s="1110"/>
      <c r="N160" s="1110"/>
      <c r="O160" s="1110"/>
      <c r="P160" s="1110"/>
      <c r="Q160" s="1110"/>
      <c r="R160" s="1110"/>
      <c r="S160" s="1110"/>
      <c r="T160" s="1111"/>
      <c r="U160" s="1111" t="s">
        <v>348</v>
      </c>
      <c r="V160" s="1111"/>
      <c r="W160" s="1167">
        <f t="shared" si="79"/>
        <v>2400</v>
      </c>
      <c r="X160" s="1167">
        <f t="shared" si="80"/>
        <v>2627.8599999999997</v>
      </c>
      <c r="Y160" s="1167">
        <f t="shared" si="80"/>
        <v>2951.1</v>
      </c>
      <c r="Z160" s="1167">
        <f t="shared" si="80"/>
        <v>3477.7799999999997</v>
      </c>
      <c r="AA160" s="1167">
        <f t="shared" si="80"/>
        <v>4004.62</v>
      </c>
      <c r="AB160" s="1167">
        <f t="shared" si="80"/>
        <v>4531.51</v>
      </c>
      <c r="AC160" s="1167">
        <f t="shared" si="80"/>
        <v>5058.1900000000005</v>
      </c>
      <c r="AD160" s="1167">
        <f t="shared" si="80"/>
        <v>5585.4400000000005</v>
      </c>
      <c r="AE160" s="1167">
        <f t="shared" si="80"/>
        <v>6185.2999999999993</v>
      </c>
      <c r="AF160" s="1167">
        <f t="shared" si="80"/>
        <v>6785.4400000000014</v>
      </c>
      <c r="AG160" s="1167">
        <f t="shared" si="80"/>
        <v>7385.2700000000013</v>
      </c>
      <c r="AH160" s="1167">
        <f t="shared" si="80"/>
        <v>7985.13</v>
      </c>
      <c r="AI160" s="1167">
        <f t="shared" si="80"/>
        <v>8585.5399999999991</v>
      </c>
      <c r="AJ160" s="1167">
        <f t="shared" si="80"/>
        <v>8981.52</v>
      </c>
      <c r="AK160" s="1167">
        <f t="shared" si="80"/>
        <v>9209.3799999999992</v>
      </c>
      <c r="AL160" s="1167">
        <f t="shared" si="80"/>
        <v>9437.239999999998</v>
      </c>
      <c r="AM160" s="1167">
        <f t="shared" si="80"/>
        <v>9665.0999999999985</v>
      </c>
      <c r="AN160" s="1167">
        <f t="shared" si="80"/>
        <v>9893.2199999999975</v>
      </c>
      <c r="AO160" s="1167">
        <f t="shared" si="80"/>
        <v>10121.079999999998</v>
      </c>
      <c r="AP160" s="1167">
        <f t="shared" si="80"/>
        <v>10349.199999999999</v>
      </c>
      <c r="AQ160" s="1167">
        <f t="shared" si="80"/>
        <v>10577.06</v>
      </c>
      <c r="AR160" s="1167">
        <f t="shared" si="80"/>
        <v>10804.92</v>
      </c>
      <c r="AS160" s="1167">
        <f t="shared" si="80"/>
        <v>11033.039999999999</v>
      </c>
      <c r="AT160" s="1167">
        <f t="shared" si="80"/>
        <v>11260.899999999998</v>
      </c>
      <c r="AU160" s="1167">
        <f t="shared" si="80"/>
        <v>11488.759999999998</v>
      </c>
      <c r="AV160" s="1167">
        <f t="shared" si="80"/>
        <v>11716.88</v>
      </c>
      <c r="AW160" s="1111"/>
      <c r="AX160" s="1111"/>
      <c r="AY160" s="1111"/>
      <c r="AZ160" s="1111"/>
      <c r="BA160" s="1111"/>
      <c r="BB160" s="1111"/>
      <c r="BC160" s="1111"/>
      <c r="BD160" s="1111"/>
      <c r="BE160" s="1111"/>
      <c r="BF160" s="1111"/>
      <c r="BG160" s="1111"/>
      <c r="BH160" s="1111"/>
      <c r="BI160" s="1111"/>
      <c r="BJ160" s="1111"/>
      <c r="BK160" s="1111"/>
      <c r="BL160" s="1111"/>
      <c r="BM160" s="1111"/>
      <c r="BN160" s="1111"/>
      <c r="BO160" s="1111"/>
      <c r="BP160" s="1111"/>
      <c r="BQ160" s="1111"/>
      <c r="BR160" s="1111"/>
      <c r="BS160" s="1111"/>
      <c r="BT160" s="1111"/>
      <c r="BU160" s="1111"/>
      <c r="BV160" s="1111"/>
      <c r="BW160" s="1111"/>
      <c r="BX160" s="1111"/>
      <c r="BY160" s="1111"/>
      <c r="BZ160" s="1111"/>
      <c r="CA160" s="1111"/>
      <c r="CB160" s="1111"/>
      <c r="CC160" s="1111"/>
      <c r="CD160" s="1111"/>
      <c r="CE160" s="1111"/>
      <c r="CF160" s="1111"/>
      <c r="CG160" s="1111"/>
      <c r="CH160" s="1111"/>
      <c r="CI160" s="1111"/>
      <c r="CJ160" s="1111"/>
      <c r="CK160" s="1110"/>
    </row>
    <row r="161" spans="1:89" ht="14.4" x14ac:dyDescent="0.3">
      <c r="A161" s="1110"/>
      <c r="B161" s="1110"/>
      <c r="C161" s="1110"/>
      <c r="D161" s="1110"/>
      <c r="E161" s="1110"/>
      <c r="F161" s="1110"/>
      <c r="G161" s="1110"/>
      <c r="H161" s="1110"/>
      <c r="I161" s="1110"/>
      <c r="J161" s="1110"/>
      <c r="K161" s="1110"/>
      <c r="L161" s="1110"/>
      <c r="M161" s="1110"/>
      <c r="N161" s="1110"/>
      <c r="O161" s="1110"/>
      <c r="P161" s="1110"/>
      <c r="Q161" s="1110"/>
      <c r="R161" s="1110"/>
      <c r="S161" s="1110"/>
      <c r="T161" s="1111"/>
      <c r="U161" s="1111" t="s">
        <v>349</v>
      </c>
      <c r="V161" s="1111"/>
      <c r="W161" s="1167">
        <f t="shared" si="79"/>
        <v>6000</v>
      </c>
      <c r="X161" s="1167">
        <f t="shared" si="80"/>
        <v>6168.0199999999995</v>
      </c>
      <c r="Y161" s="1167">
        <f t="shared" si="80"/>
        <v>6407.46</v>
      </c>
      <c r="Z161" s="1167">
        <f t="shared" si="80"/>
        <v>6743.52</v>
      </c>
      <c r="AA161" s="1167">
        <f t="shared" si="80"/>
        <v>7079.7199999999984</v>
      </c>
      <c r="AB161" s="1167">
        <f t="shared" si="80"/>
        <v>7415.8900000000021</v>
      </c>
      <c r="AC161" s="1167">
        <f t="shared" si="80"/>
        <v>7751.9500000000016</v>
      </c>
      <c r="AD161" s="1167">
        <f t="shared" si="80"/>
        <v>8088.2800000000007</v>
      </c>
      <c r="AE161" s="1167">
        <f t="shared" si="80"/>
        <v>8427.7999999999993</v>
      </c>
      <c r="AF161" s="1167">
        <f t="shared" si="80"/>
        <v>8767.42</v>
      </c>
      <c r="AG161" s="1167">
        <f t="shared" si="80"/>
        <v>9106.909999999998</v>
      </c>
      <c r="AH161" s="1167">
        <f t="shared" si="80"/>
        <v>9446.43</v>
      </c>
      <c r="AI161" s="1167">
        <f t="shared" si="80"/>
        <v>9786.2200000000012</v>
      </c>
      <c r="AJ161" s="1167">
        <f t="shared" si="80"/>
        <v>10028.960000000001</v>
      </c>
      <c r="AK161" s="1167">
        <f t="shared" si="80"/>
        <v>10196.98</v>
      </c>
      <c r="AL161" s="1167">
        <f t="shared" si="80"/>
        <v>10365</v>
      </c>
      <c r="AM161" s="1167">
        <f t="shared" si="80"/>
        <v>10533.019999999999</v>
      </c>
      <c r="AN161" s="1167">
        <f t="shared" si="80"/>
        <v>10701.119999999999</v>
      </c>
      <c r="AO161" s="1167">
        <f t="shared" si="80"/>
        <v>10869.140000000001</v>
      </c>
      <c r="AP161" s="1167">
        <f t="shared" si="80"/>
        <v>11037.240000000002</v>
      </c>
      <c r="AQ161" s="1167">
        <f t="shared" si="80"/>
        <v>11205.26</v>
      </c>
      <c r="AR161" s="1167">
        <f t="shared" si="80"/>
        <v>11373.28</v>
      </c>
      <c r="AS161" s="1167">
        <f t="shared" si="80"/>
        <v>11541.38</v>
      </c>
      <c r="AT161" s="1167">
        <f t="shared" si="80"/>
        <v>11709.399999999998</v>
      </c>
      <c r="AU161" s="1167">
        <f t="shared" si="80"/>
        <v>11877.419999999998</v>
      </c>
      <c r="AV161" s="1167">
        <f t="shared" si="80"/>
        <v>12045.519999999999</v>
      </c>
      <c r="AW161" s="1111"/>
      <c r="AX161" s="1111"/>
      <c r="AY161" s="1111"/>
      <c r="AZ161" s="1111"/>
      <c r="BA161" s="1111"/>
      <c r="BB161" s="1111"/>
      <c r="BC161" s="1111"/>
      <c r="BD161" s="1111"/>
      <c r="BE161" s="1111"/>
      <c r="BF161" s="1111"/>
      <c r="BG161" s="1111"/>
      <c r="BH161" s="1111"/>
      <c r="BI161" s="1111"/>
      <c r="BJ161" s="1111"/>
      <c r="BK161" s="1111"/>
      <c r="BL161" s="1111"/>
      <c r="BM161" s="1111"/>
      <c r="BN161" s="1111"/>
      <c r="BO161" s="1111"/>
      <c r="BP161" s="1111"/>
      <c r="BQ161" s="1111"/>
      <c r="BR161" s="1111"/>
      <c r="BS161" s="1111"/>
      <c r="BT161" s="1111"/>
      <c r="BU161" s="1111"/>
      <c r="BV161" s="1111"/>
      <c r="BW161" s="1111"/>
      <c r="BX161" s="1111"/>
      <c r="BY161" s="1111"/>
      <c r="BZ161" s="1111"/>
      <c r="CA161" s="1111"/>
      <c r="CB161" s="1111"/>
      <c r="CC161" s="1111"/>
      <c r="CD161" s="1111"/>
      <c r="CE161" s="1111"/>
      <c r="CF161" s="1111"/>
      <c r="CG161" s="1111"/>
      <c r="CH161" s="1111"/>
      <c r="CI161" s="1111"/>
      <c r="CJ161" s="1111"/>
      <c r="CK161" s="1110"/>
    </row>
    <row r="162" spans="1:89" ht="14.4" x14ac:dyDescent="0.3">
      <c r="A162" s="1110"/>
      <c r="B162" s="1110"/>
      <c r="C162" s="1110"/>
      <c r="D162" s="1110"/>
      <c r="E162" s="1110"/>
      <c r="F162" s="1110"/>
      <c r="G162" s="1110"/>
      <c r="H162" s="1110"/>
      <c r="I162" s="1110"/>
      <c r="J162" s="1110"/>
      <c r="K162" s="1110"/>
      <c r="L162" s="1110"/>
      <c r="M162" s="1110"/>
      <c r="N162" s="1110"/>
      <c r="O162" s="1110"/>
      <c r="P162" s="1110"/>
      <c r="Q162" s="1110"/>
      <c r="R162" s="1110"/>
      <c r="S162" s="1110"/>
      <c r="T162" s="1111"/>
      <c r="U162" s="1111" t="s">
        <v>351</v>
      </c>
      <c r="V162" s="1111"/>
      <c r="W162" s="1167">
        <f t="shared" si="79"/>
        <v>100</v>
      </c>
      <c r="X162" s="1167">
        <f t="shared" si="80"/>
        <v>222.24999999999997</v>
      </c>
      <c r="Y162" s="1167">
        <f t="shared" si="80"/>
        <v>939.35</v>
      </c>
      <c r="Z162" s="1167">
        <f t="shared" si="80"/>
        <v>2111.6</v>
      </c>
      <c r="AA162" s="1167">
        <f t="shared" si="80"/>
        <v>3284.5000000000005</v>
      </c>
      <c r="AB162" s="1167">
        <f t="shared" si="80"/>
        <v>4457.4499999999989</v>
      </c>
      <c r="AC162" s="1167">
        <f t="shared" si="80"/>
        <v>5629.7</v>
      </c>
      <c r="AD162" s="1167">
        <f t="shared" si="80"/>
        <v>6803.3</v>
      </c>
      <c r="AE162" s="1167">
        <f t="shared" si="80"/>
        <v>7708.3000000000011</v>
      </c>
      <c r="AF162" s="1167">
        <f t="shared" si="80"/>
        <v>8613.4500000000007</v>
      </c>
      <c r="AG162" s="1167">
        <f t="shared" si="80"/>
        <v>9518.4499999999989</v>
      </c>
      <c r="AH162" s="1167">
        <f t="shared" si="80"/>
        <v>10423.449999999999</v>
      </c>
      <c r="AI162" s="1167">
        <f t="shared" si="80"/>
        <v>11329.65</v>
      </c>
      <c r="AJ162" s="1167">
        <f t="shared" si="80"/>
        <v>11778.8</v>
      </c>
      <c r="AK162" s="1167">
        <f t="shared" si="80"/>
        <v>11901.050000000001</v>
      </c>
      <c r="AL162" s="1167">
        <f t="shared" si="80"/>
        <v>12023.3</v>
      </c>
      <c r="AM162" s="1167">
        <f t="shared" si="80"/>
        <v>12145.550000000001</v>
      </c>
      <c r="AN162" s="1167">
        <f t="shared" si="80"/>
        <v>12268.150000000001</v>
      </c>
      <c r="AO162" s="1167">
        <f t="shared" si="80"/>
        <v>12390.4</v>
      </c>
      <c r="AP162" s="1167">
        <f t="shared" si="80"/>
        <v>12512.999999999996</v>
      </c>
      <c r="AQ162" s="1167">
        <f t="shared" si="80"/>
        <v>12635.249999999998</v>
      </c>
      <c r="AR162" s="1167">
        <f t="shared" si="80"/>
        <v>12757.499999999998</v>
      </c>
      <c r="AS162" s="1167">
        <f t="shared" si="80"/>
        <v>12880.099999999999</v>
      </c>
      <c r="AT162" s="1167">
        <f t="shared" si="80"/>
        <v>13002.349999999999</v>
      </c>
      <c r="AU162" s="1167">
        <f t="shared" si="80"/>
        <v>13124.599999999999</v>
      </c>
      <c r="AV162" s="1167">
        <f t="shared" si="80"/>
        <v>13247.199999999999</v>
      </c>
      <c r="AW162" s="1111"/>
      <c r="AX162" s="1111"/>
      <c r="AY162" s="1111"/>
      <c r="AZ162" s="1111"/>
      <c r="BA162" s="1111"/>
      <c r="BB162" s="1111"/>
      <c r="BC162" s="1111"/>
      <c r="BD162" s="1111"/>
      <c r="BE162" s="1111"/>
      <c r="BF162" s="1111"/>
      <c r="BG162" s="1111"/>
      <c r="BH162" s="1111"/>
      <c r="BI162" s="1111"/>
      <c r="BJ162" s="1111"/>
      <c r="BK162" s="1111"/>
      <c r="BL162" s="1111"/>
      <c r="BM162" s="1111"/>
      <c r="BN162" s="1111"/>
      <c r="BO162" s="1111"/>
      <c r="BP162" s="1111"/>
      <c r="BQ162" s="1111"/>
      <c r="BR162" s="1111"/>
      <c r="BS162" s="1111"/>
      <c r="BT162" s="1111"/>
      <c r="BU162" s="1111"/>
      <c r="BV162" s="1111"/>
      <c r="BW162" s="1111"/>
      <c r="BX162" s="1111"/>
      <c r="BY162" s="1111"/>
      <c r="BZ162" s="1111"/>
      <c r="CA162" s="1111"/>
      <c r="CB162" s="1111"/>
      <c r="CC162" s="1111"/>
      <c r="CD162" s="1111"/>
      <c r="CE162" s="1111"/>
      <c r="CF162" s="1111"/>
      <c r="CG162" s="1111"/>
      <c r="CH162" s="1111"/>
      <c r="CI162" s="1111"/>
      <c r="CJ162" s="1111"/>
      <c r="CK162" s="1110"/>
    </row>
    <row r="163" spans="1:89" ht="14.4" x14ac:dyDescent="0.3">
      <c r="A163" s="1110"/>
      <c r="B163" s="1110"/>
      <c r="C163" s="1110"/>
      <c r="D163" s="1110"/>
      <c r="E163" s="1110"/>
      <c r="F163" s="1110"/>
      <c r="G163" s="1110"/>
      <c r="H163" s="1110"/>
      <c r="I163" s="1110"/>
      <c r="J163" s="1110"/>
      <c r="K163" s="1110"/>
      <c r="L163" s="1110"/>
      <c r="M163" s="1110"/>
      <c r="N163" s="1110"/>
      <c r="O163" s="1110"/>
      <c r="P163" s="1110"/>
      <c r="Q163" s="1110"/>
      <c r="R163" s="1110"/>
      <c r="S163" s="1110"/>
      <c r="T163" s="1111"/>
      <c r="U163" s="1111" t="s">
        <v>358</v>
      </c>
      <c r="V163" s="1111"/>
      <c r="W163" s="1167">
        <f t="shared" si="79"/>
        <v>3600</v>
      </c>
      <c r="X163" s="1167">
        <f t="shared" si="80"/>
        <v>3649.43</v>
      </c>
      <c r="Y163" s="1167">
        <f t="shared" si="80"/>
        <v>3734.87</v>
      </c>
      <c r="Z163" s="1167">
        <f t="shared" si="80"/>
        <v>3852.1700000000005</v>
      </c>
      <c r="AA163" s="1167">
        <f t="shared" si="80"/>
        <v>3969.52</v>
      </c>
      <c r="AB163" s="1167">
        <f t="shared" si="80"/>
        <v>4087.0399999999995</v>
      </c>
      <c r="AC163" s="1167">
        <f t="shared" si="80"/>
        <v>4204.34</v>
      </c>
      <c r="AD163" s="1167">
        <f t="shared" si="80"/>
        <v>4322.05</v>
      </c>
      <c r="AE163" s="1167">
        <f t="shared" si="80"/>
        <v>4403.68</v>
      </c>
      <c r="AF163" s="1167">
        <f t="shared" si="80"/>
        <v>4485.32</v>
      </c>
      <c r="AG163" s="1167">
        <f t="shared" si="80"/>
        <v>4566.97</v>
      </c>
      <c r="AH163" s="1167">
        <f t="shared" si="80"/>
        <v>4648.6000000000004</v>
      </c>
      <c r="AI163" s="1167">
        <f t="shared" si="80"/>
        <v>4730.8099999999995</v>
      </c>
      <c r="AJ163" s="1167">
        <f t="shared" si="80"/>
        <v>4780.24</v>
      </c>
      <c r="AK163" s="1167">
        <f t="shared" si="80"/>
        <v>4829.6699999999992</v>
      </c>
      <c r="AL163" s="1167">
        <f t="shared" si="80"/>
        <v>4879.1000000000004</v>
      </c>
      <c r="AM163" s="1167">
        <f t="shared" si="80"/>
        <v>4928.5299999999988</v>
      </c>
      <c r="AN163" s="1167">
        <f t="shared" si="80"/>
        <v>4978.3</v>
      </c>
      <c r="AO163" s="1167">
        <f t="shared" si="80"/>
        <v>5027.7299999999996</v>
      </c>
      <c r="AP163" s="1167">
        <f t="shared" si="80"/>
        <v>5077.3500000000004</v>
      </c>
      <c r="AQ163" s="1167">
        <f t="shared" si="80"/>
        <v>5126.78</v>
      </c>
      <c r="AR163" s="1167">
        <f t="shared" si="80"/>
        <v>5176.2100000000009</v>
      </c>
      <c r="AS163" s="1167">
        <f t="shared" si="80"/>
        <v>5225.9800000000005</v>
      </c>
      <c r="AT163" s="1167">
        <f t="shared" si="80"/>
        <v>5275.4100000000008</v>
      </c>
      <c r="AU163" s="1167">
        <f t="shared" si="80"/>
        <v>5324.84</v>
      </c>
      <c r="AV163" s="1167">
        <f t="shared" si="80"/>
        <v>5374.46</v>
      </c>
      <c r="AW163" s="1111"/>
      <c r="AX163" s="1111"/>
      <c r="AY163" s="1111"/>
      <c r="AZ163" s="1111"/>
      <c r="BA163" s="1111"/>
      <c r="BB163" s="1111"/>
      <c r="BC163" s="1111"/>
      <c r="BD163" s="1111"/>
      <c r="BE163" s="1111"/>
      <c r="BF163" s="1111"/>
      <c r="BG163" s="1111"/>
      <c r="BH163" s="1111"/>
      <c r="BI163" s="1111"/>
      <c r="BJ163" s="1111"/>
      <c r="BK163" s="1111"/>
      <c r="BL163" s="1111"/>
      <c r="BM163" s="1111"/>
      <c r="BN163" s="1111"/>
      <c r="BO163" s="1111"/>
      <c r="BP163" s="1111"/>
      <c r="BQ163" s="1111"/>
      <c r="BR163" s="1111"/>
      <c r="BS163" s="1111"/>
      <c r="BT163" s="1111"/>
      <c r="BU163" s="1111"/>
      <c r="BV163" s="1111"/>
      <c r="BW163" s="1111"/>
      <c r="BX163" s="1111"/>
      <c r="BY163" s="1111"/>
      <c r="BZ163" s="1111"/>
      <c r="CA163" s="1111"/>
      <c r="CB163" s="1111"/>
      <c r="CC163" s="1111"/>
      <c r="CD163" s="1111"/>
      <c r="CE163" s="1111"/>
      <c r="CF163" s="1111"/>
      <c r="CG163" s="1111"/>
      <c r="CH163" s="1111"/>
      <c r="CI163" s="1111"/>
      <c r="CJ163" s="1111"/>
      <c r="CK163" s="1110"/>
    </row>
    <row r="164" spans="1:89" ht="14.4" x14ac:dyDescent="0.3">
      <c r="A164" s="1110"/>
      <c r="B164" s="1110"/>
      <c r="C164" s="1110"/>
      <c r="D164" s="1110"/>
      <c r="E164" s="1110"/>
      <c r="F164" s="1110"/>
      <c r="G164" s="1110"/>
      <c r="H164" s="1110"/>
      <c r="I164" s="1110"/>
      <c r="J164" s="1110"/>
      <c r="K164" s="1110"/>
      <c r="L164" s="1110"/>
      <c r="M164" s="1110"/>
      <c r="N164" s="1110"/>
      <c r="O164" s="1110"/>
      <c r="P164" s="1110"/>
      <c r="Q164" s="1110"/>
      <c r="R164" s="1110"/>
      <c r="S164" s="1110"/>
      <c r="T164" s="1111"/>
      <c r="U164" s="1111" t="s">
        <v>353</v>
      </c>
      <c r="V164" s="1111"/>
      <c r="W164" s="1167">
        <f t="shared" si="79"/>
        <v>1800</v>
      </c>
      <c r="X164" s="1167">
        <f t="shared" si="80"/>
        <v>1910.68</v>
      </c>
      <c r="Y164" s="1167">
        <f t="shared" si="80"/>
        <v>2057.15</v>
      </c>
      <c r="Z164" s="1167">
        <f t="shared" si="80"/>
        <v>2251.7999999999997</v>
      </c>
      <c r="AA164" s="1167">
        <f t="shared" si="80"/>
        <v>2446.5099999999998</v>
      </c>
      <c r="AB164" s="1167">
        <f t="shared" si="80"/>
        <v>2641.6400000000003</v>
      </c>
      <c r="AC164" s="1167">
        <f t="shared" si="80"/>
        <v>2836.2899999999995</v>
      </c>
      <c r="AD164" s="1167">
        <f t="shared" si="80"/>
        <v>3031.1499999999996</v>
      </c>
      <c r="AE164" s="1167">
        <f t="shared" si="80"/>
        <v>3208.83</v>
      </c>
      <c r="AF164" s="1167">
        <f t="shared" si="80"/>
        <v>3386.36</v>
      </c>
      <c r="AG164" s="1167">
        <f t="shared" si="80"/>
        <v>3564.0499999999997</v>
      </c>
      <c r="AH164" s="1167">
        <f t="shared" si="80"/>
        <v>3741.73</v>
      </c>
      <c r="AI164" s="1167">
        <f t="shared" si="80"/>
        <v>3920.04</v>
      </c>
      <c r="AJ164" s="1167">
        <f t="shared" si="80"/>
        <v>4049.4</v>
      </c>
      <c r="AK164" s="1167">
        <f t="shared" si="80"/>
        <v>4160.08</v>
      </c>
      <c r="AL164" s="1167">
        <f t="shared" si="80"/>
        <v>4270.7599999999993</v>
      </c>
      <c r="AM164" s="1167">
        <f t="shared" si="80"/>
        <v>4381.4399999999996</v>
      </c>
      <c r="AN164" s="1167">
        <f t="shared" si="80"/>
        <v>4492.24</v>
      </c>
      <c r="AO164" s="1167">
        <f t="shared" si="80"/>
        <v>4602.9199999999992</v>
      </c>
      <c r="AP164" s="1167">
        <f t="shared" si="80"/>
        <v>4713.87</v>
      </c>
      <c r="AQ164" s="1167">
        <f t="shared" si="80"/>
        <v>4824.5499999999993</v>
      </c>
      <c r="AR164" s="1167">
        <f t="shared" si="80"/>
        <v>4935.2299999999996</v>
      </c>
      <c r="AS164" s="1167">
        <f t="shared" si="80"/>
        <v>5046.0299999999988</v>
      </c>
      <c r="AT164" s="1167">
        <f t="shared" si="80"/>
        <v>5156.71</v>
      </c>
      <c r="AU164" s="1167">
        <f t="shared" si="80"/>
        <v>5267.3899999999994</v>
      </c>
      <c r="AV164" s="1167">
        <f t="shared" si="80"/>
        <v>5378.3399999999992</v>
      </c>
      <c r="AW164" s="1111"/>
      <c r="AX164" s="1111"/>
      <c r="AY164" s="1111"/>
      <c r="AZ164" s="1111"/>
      <c r="BA164" s="1111"/>
      <c r="BB164" s="1111"/>
      <c r="BC164" s="1111"/>
      <c r="BD164" s="1111"/>
      <c r="BE164" s="1111"/>
      <c r="BF164" s="1111"/>
      <c r="BG164" s="1111"/>
      <c r="BH164" s="1111"/>
      <c r="BI164" s="1111"/>
      <c r="BJ164" s="1111"/>
      <c r="BK164" s="1111"/>
      <c r="BL164" s="1111"/>
      <c r="BM164" s="1111"/>
      <c r="BN164" s="1111"/>
      <c r="BO164" s="1111"/>
      <c r="BP164" s="1111"/>
      <c r="BQ164" s="1111"/>
      <c r="BR164" s="1111"/>
      <c r="BS164" s="1111"/>
      <c r="BT164" s="1111"/>
      <c r="BU164" s="1111"/>
      <c r="BV164" s="1111"/>
      <c r="BW164" s="1111"/>
      <c r="BX164" s="1111"/>
      <c r="BY164" s="1111"/>
      <c r="BZ164" s="1111"/>
      <c r="CA164" s="1111"/>
      <c r="CB164" s="1111"/>
      <c r="CC164" s="1111"/>
      <c r="CD164" s="1111"/>
      <c r="CE164" s="1111"/>
      <c r="CF164" s="1111"/>
      <c r="CG164" s="1111"/>
      <c r="CH164" s="1111"/>
      <c r="CI164" s="1111"/>
      <c r="CJ164" s="1111"/>
      <c r="CK164" s="1110"/>
    </row>
    <row r="165" spans="1:89" ht="14.4" x14ac:dyDescent="0.3">
      <c r="A165" s="1110"/>
      <c r="B165" s="1110"/>
      <c r="C165" s="1110"/>
      <c r="D165" s="1110"/>
      <c r="E165" s="1110"/>
      <c r="F165" s="1110"/>
      <c r="G165" s="1110"/>
      <c r="H165" s="1110"/>
      <c r="I165" s="1110"/>
      <c r="J165" s="1110"/>
      <c r="K165" s="1110"/>
      <c r="L165" s="1110"/>
      <c r="M165" s="1110"/>
      <c r="N165" s="1110"/>
      <c r="O165" s="1110"/>
      <c r="P165" s="1110"/>
      <c r="Q165" s="1110"/>
      <c r="R165" s="1110"/>
      <c r="S165" s="1110"/>
      <c r="T165" s="1111"/>
      <c r="U165" s="1111" t="s">
        <v>350</v>
      </c>
      <c r="V165" s="1111"/>
      <c r="W165" s="1167">
        <f t="shared" si="79"/>
        <v>20</v>
      </c>
      <c r="X165" s="1167">
        <f t="shared" si="80"/>
        <v>83.07</v>
      </c>
      <c r="Y165" s="1167">
        <f t="shared" si="80"/>
        <v>741.08999999999992</v>
      </c>
      <c r="Z165" s="1167">
        <f t="shared" si="80"/>
        <v>1752.8600000000001</v>
      </c>
      <c r="AA165" s="1167">
        <f t="shared" si="80"/>
        <v>2765.3500000000004</v>
      </c>
      <c r="AB165" s="1167">
        <f t="shared" si="80"/>
        <v>3777.4399999999996</v>
      </c>
      <c r="AC165" s="1167">
        <f t="shared" si="80"/>
        <v>4789.21</v>
      </c>
      <c r="AD165" s="1167">
        <f t="shared" si="80"/>
        <v>5802.3700000000008</v>
      </c>
      <c r="AE165" s="1167">
        <f t="shared" si="80"/>
        <v>6219.64</v>
      </c>
      <c r="AF165" s="1167">
        <f t="shared" si="80"/>
        <v>6637.2300000000005</v>
      </c>
      <c r="AG165" s="1167">
        <f t="shared" si="80"/>
        <v>7054.72</v>
      </c>
      <c r="AH165" s="1167">
        <f t="shared" si="80"/>
        <v>7471.9900000000007</v>
      </c>
      <c r="AI165" s="1167">
        <f t="shared" si="80"/>
        <v>7890.25</v>
      </c>
      <c r="AJ165" s="1167">
        <f t="shared" si="80"/>
        <v>7953.3200000000006</v>
      </c>
      <c r="AK165" s="1167">
        <f t="shared" si="80"/>
        <v>8016.39</v>
      </c>
      <c r="AL165" s="1167">
        <f t="shared" si="80"/>
        <v>8079.4600000000009</v>
      </c>
      <c r="AM165" s="1167">
        <f t="shared" si="80"/>
        <v>8142.53</v>
      </c>
      <c r="AN165" s="1167">
        <f t="shared" si="80"/>
        <v>8206.0500000000011</v>
      </c>
      <c r="AO165" s="1167">
        <f t="shared" si="80"/>
        <v>8269.1200000000008</v>
      </c>
      <c r="AP165" s="1167">
        <f t="shared" si="80"/>
        <v>8332.3900000000012</v>
      </c>
      <c r="AQ165" s="1167">
        <f t="shared" si="80"/>
        <v>8395.4600000000009</v>
      </c>
      <c r="AR165" s="1167">
        <f t="shared" si="80"/>
        <v>8458.5300000000007</v>
      </c>
      <c r="AS165" s="1167">
        <f t="shared" si="80"/>
        <v>8522.0500000000011</v>
      </c>
      <c r="AT165" s="1167">
        <f t="shared" si="80"/>
        <v>8585.1200000000008</v>
      </c>
      <c r="AU165" s="1167">
        <f t="shared" si="80"/>
        <v>8648.19</v>
      </c>
      <c r="AV165" s="1167">
        <f t="shared" si="80"/>
        <v>8711.4599999999991</v>
      </c>
      <c r="AW165" s="1111"/>
      <c r="AX165" s="1111"/>
      <c r="AY165" s="1111"/>
      <c r="AZ165" s="1111"/>
      <c r="BA165" s="1111"/>
      <c r="BB165" s="1111"/>
      <c r="BC165" s="1111"/>
      <c r="BD165" s="1111"/>
      <c r="BE165" s="1111"/>
      <c r="BF165" s="1111"/>
      <c r="BG165" s="1111"/>
      <c r="BH165" s="1111"/>
      <c r="BI165" s="1111"/>
      <c r="BJ165" s="1111"/>
      <c r="BK165" s="1111"/>
      <c r="BL165" s="1111"/>
      <c r="BM165" s="1111"/>
      <c r="BN165" s="1111"/>
      <c r="BO165" s="1111"/>
      <c r="BP165" s="1111"/>
      <c r="BQ165" s="1111"/>
      <c r="BR165" s="1111"/>
      <c r="BS165" s="1111"/>
      <c r="BT165" s="1111"/>
      <c r="BU165" s="1111"/>
      <c r="BV165" s="1111"/>
      <c r="BW165" s="1111"/>
      <c r="BX165" s="1111"/>
      <c r="BY165" s="1111"/>
      <c r="BZ165" s="1111"/>
      <c r="CA165" s="1111"/>
      <c r="CB165" s="1111"/>
      <c r="CC165" s="1111"/>
      <c r="CD165" s="1111"/>
      <c r="CE165" s="1111"/>
      <c r="CF165" s="1111"/>
      <c r="CG165" s="1111"/>
      <c r="CH165" s="1111"/>
      <c r="CI165" s="1111"/>
      <c r="CJ165" s="1111"/>
      <c r="CK165" s="1110"/>
    </row>
    <row r="166" spans="1:89" ht="14.4" x14ac:dyDescent="0.3">
      <c r="A166" s="1110"/>
      <c r="B166" s="1110"/>
      <c r="C166" s="1110"/>
      <c r="D166" s="1110"/>
      <c r="E166" s="1110"/>
      <c r="F166" s="1110"/>
      <c r="G166" s="1110"/>
      <c r="H166" s="1110"/>
      <c r="I166" s="1110"/>
      <c r="J166" s="1110"/>
      <c r="K166" s="1110"/>
      <c r="L166" s="1110"/>
      <c r="M166" s="1110"/>
      <c r="N166" s="1110"/>
      <c r="O166" s="1110"/>
      <c r="P166" s="1110"/>
      <c r="Q166" s="1110"/>
      <c r="R166" s="1110"/>
      <c r="S166" s="1110"/>
      <c r="T166" s="1111"/>
      <c r="U166" s="1111" t="s">
        <v>352</v>
      </c>
      <c r="V166" s="1111"/>
      <c r="W166" s="1167">
        <f t="shared" si="79"/>
        <v>300</v>
      </c>
      <c r="X166" s="1167">
        <f t="shared" si="80"/>
        <v>443.37</v>
      </c>
      <c r="Y166" s="1167">
        <f t="shared" si="80"/>
        <v>621.98</v>
      </c>
      <c r="Z166" s="1167">
        <f t="shared" si="80"/>
        <v>1004.42</v>
      </c>
      <c r="AA166" s="1167">
        <f t="shared" si="80"/>
        <v>1386.91</v>
      </c>
      <c r="AB166" s="1167">
        <f t="shared" si="80"/>
        <v>1769.56</v>
      </c>
      <c r="AC166" s="1167">
        <f t="shared" si="80"/>
        <v>2152</v>
      </c>
      <c r="AD166" s="1167">
        <f t="shared" si="80"/>
        <v>2534.2400000000002</v>
      </c>
      <c r="AE166" s="1167">
        <f t="shared" si="80"/>
        <v>3301.7599999999998</v>
      </c>
      <c r="AF166" s="1167">
        <f t="shared" si="80"/>
        <v>4068.84</v>
      </c>
      <c r="AG166" s="1167">
        <f t="shared" si="80"/>
        <v>4836.09</v>
      </c>
      <c r="AH166" s="1167">
        <f t="shared" si="80"/>
        <v>5603.61</v>
      </c>
      <c r="AI166" s="1167">
        <f t="shared" si="80"/>
        <v>6370.93</v>
      </c>
      <c r="AJ166" s="1167">
        <f t="shared" si="80"/>
        <v>6934.5999999999995</v>
      </c>
      <c r="AK166" s="1167">
        <f t="shared" si="80"/>
        <v>7077.97</v>
      </c>
      <c r="AL166" s="1167">
        <f t="shared" si="80"/>
        <v>7221.34</v>
      </c>
      <c r="AM166" s="1167">
        <f t="shared" si="80"/>
        <v>7364.7099999999991</v>
      </c>
      <c r="AN166" s="1167">
        <f t="shared" si="80"/>
        <v>7507.6499999999987</v>
      </c>
      <c r="AO166" s="1167">
        <f t="shared" si="80"/>
        <v>7651.0199999999995</v>
      </c>
      <c r="AP166" s="1167">
        <f t="shared" si="80"/>
        <v>7793.9599999999991</v>
      </c>
      <c r="AQ166" s="1167">
        <f t="shared" si="80"/>
        <v>7937.33</v>
      </c>
      <c r="AR166" s="1167">
        <f t="shared" si="80"/>
        <v>8080.7</v>
      </c>
      <c r="AS166" s="1167">
        <f t="shared" si="80"/>
        <v>8223.64</v>
      </c>
      <c r="AT166" s="1167">
        <f t="shared" si="80"/>
        <v>8367.0099999999984</v>
      </c>
      <c r="AU166" s="1167">
        <f t="shared" si="80"/>
        <v>8510.3799999999992</v>
      </c>
      <c r="AV166" s="1167">
        <f t="shared" si="80"/>
        <v>8653.3199999999979</v>
      </c>
      <c r="AW166" s="1111"/>
      <c r="AX166" s="1111"/>
      <c r="AY166" s="1111"/>
      <c r="AZ166" s="1111"/>
      <c r="BA166" s="1111"/>
      <c r="BB166" s="1111"/>
      <c r="BC166" s="1111"/>
      <c r="BD166" s="1111"/>
      <c r="BE166" s="1111"/>
      <c r="BF166" s="1111"/>
      <c r="BG166" s="1111"/>
      <c r="BH166" s="1111"/>
      <c r="BI166" s="1111"/>
      <c r="BJ166" s="1111"/>
      <c r="BK166" s="1111"/>
      <c r="BL166" s="1111"/>
      <c r="BM166" s="1111"/>
      <c r="BN166" s="1111"/>
      <c r="BO166" s="1111"/>
      <c r="BP166" s="1111"/>
      <c r="BQ166" s="1111"/>
      <c r="BR166" s="1111"/>
      <c r="BS166" s="1111"/>
      <c r="BT166" s="1111"/>
      <c r="BU166" s="1111"/>
      <c r="BV166" s="1111"/>
      <c r="BW166" s="1111"/>
      <c r="BX166" s="1111"/>
      <c r="BY166" s="1111"/>
      <c r="BZ166" s="1111"/>
      <c r="CA166" s="1111"/>
      <c r="CB166" s="1111"/>
      <c r="CC166" s="1111"/>
      <c r="CD166" s="1111"/>
      <c r="CE166" s="1111"/>
      <c r="CF166" s="1111"/>
      <c r="CG166" s="1111"/>
      <c r="CH166" s="1111"/>
      <c r="CI166" s="1111"/>
      <c r="CJ166" s="1111"/>
      <c r="CK166" s="1110"/>
    </row>
    <row r="167" spans="1:89" ht="15" thickBot="1" x14ac:dyDescent="0.35">
      <c r="A167" s="1110"/>
      <c r="B167" s="1110"/>
      <c r="C167" s="1110"/>
      <c r="D167" s="1110"/>
      <c r="E167" s="1110"/>
      <c r="F167" s="1110"/>
      <c r="G167" s="1110"/>
      <c r="H167" s="1110"/>
      <c r="I167" s="1110"/>
      <c r="J167" s="1110"/>
      <c r="K167" s="1110"/>
      <c r="L167" s="1110"/>
      <c r="M167" s="1110"/>
      <c r="N167" s="1110"/>
      <c r="O167" s="1110"/>
      <c r="P167" s="1110"/>
      <c r="Q167" s="1110"/>
      <c r="R167" s="1110"/>
      <c r="S167" s="1110"/>
      <c r="T167" s="1181"/>
      <c r="U167" s="1181" t="s">
        <v>354</v>
      </c>
      <c r="V167" s="1181"/>
      <c r="W167" s="1184">
        <f t="shared" si="79"/>
        <v>0</v>
      </c>
      <c r="X167" s="1184">
        <f t="shared" si="80"/>
        <v>85.36999999999999</v>
      </c>
      <c r="Y167" s="1184">
        <f t="shared" si="80"/>
        <v>170.76</v>
      </c>
      <c r="Z167" s="1184">
        <f t="shared" si="80"/>
        <v>700.33</v>
      </c>
      <c r="AA167" s="1184">
        <f t="shared" si="80"/>
        <v>1229.93</v>
      </c>
      <c r="AB167" s="1184">
        <f t="shared" si="80"/>
        <v>1760.3200000000002</v>
      </c>
      <c r="AC167" s="1184">
        <f t="shared" si="80"/>
        <v>2289.8900000000003</v>
      </c>
      <c r="AD167" s="1184">
        <f t="shared" si="80"/>
        <v>2819.9100000000003</v>
      </c>
      <c r="AE167" s="1184">
        <f t="shared" si="80"/>
        <v>3770.2300000000005</v>
      </c>
      <c r="AF167" s="1184">
        <f t="shared" si="80"/>
        <v>4720.43</v>
      </c>
      <c r="AG167" s="1184">
        <f t="shared" si="80"/>
        <v>5670.7</v>
      </c>
      <c r="AH167" s="1184">
        <f t="shared" si="80"/>
        <v>6621.02</v>
      </c>
      <c r="AI167" s="1184">
        <f t="shared" si="80"/>
        <v>7572.21</v>
      </c>
      <c r="AJ167" s="1184">
        <f t="shared" si="80"/>
        <v>8077.88</v>
      </c>
      <c r="AK167" s="1184">
        <f t="shared" si="80"/>
        <v>8163.2500000000009</v>
      </c>
      <c r="AL167" s="1184">
        <f t="shared" si="80"/>
        <v>8248.6200000000008</v>
      </c>
      <c r="AM167" s="1184">
        <f t="shared" si="80"/>
        <v>8333.9900000000016</v>
      </c>
      <c r="AN167" s="1184">
        <f t="shared" si="80"/>
        <v>8419.380000000001</v>
      </c>
      <c r="AO167" s="1184">
        <f t="shared" si="80"/>
        <v>8504.7500000000018</v>
      </c>
      <c r="AP167" s="1184">
        <f t="shared" si="80"/>
        <v>8590.3900000000012</v>
      </c>
      <c r="AQ167" s="1184">
        <f t="shared" si="80"/>
        <v>8675.760000000002</v>
      </c>
      <c r="AR167" s="1184">
        <f t="shared" si="80"/>
        <v>8761.130000000001</v>
      </c>
      <c r="AS167" s="1184">
        <f t="shared" si="80"/>
        <v>8846.52</v>
      </c>
      <c r="AT167" s="1184">
        <f t="shared" si="80"/>
        <v>8931.8900000000012</v>
      </c>
      <c r="AU167" s="1184">
        <f t="shared" si="80"/>
        <v>9017.26</v>
      </c>
      <c r="AV167" s="1184">
        <f t="shared" si="80"/>
        <v>9102.9000000000015</v>
      </c>
      <c r="AW167" s="1111"/>
      <c r="AX167" s="1111"/>
      <c r="AY167" s="1111"/>
      <c r="AZ167" s="1111"/>
      <c r="BA167" s="1111"/>
      <c r="BB167" s="1111"/>
      <c r="BC167" s="1111"/>
      <c r="BD167" s="1111"/>
      <c r="BE167" s="1111"/>
      <c r="BF167" s="1111"/>
      <c r="BG167" s="1111"/>
      <c r="BH167" s="1111"/>
      <c r="BI167" s="1111"/>
      <c r="BJ167" s="1111"/>
      <c r="BK167" s="1111"/>
      <c r="BL167" s="1111"/>
      <c r="BM167" s="1111"/>
      <c r="BN167" s="1111"/>
      <c r="BO167" s="1111"/>
      <c r="BP167" s="1111"/>
      <c r="BQ167" s="1111"/>
      <c r="BR167" s="1111"/>
      <c r="BS167" s="1111"/>
      <c r="BT167" s="1111"/>
      <c r="BU167" s="1111"/>
      <c r="BV167" s="1111"/>
      <c r="BW167" s="1111"/>
      <c r="BX167" s="1111"/>
      <c r="BY167" s="1111"/>
      <c r="BZ167" s="1111"/>
      <c r="CA167" s="1111"/>
      <c r="CB167" s="1111"/>
      <c r="CC167" s="1111"/>
      <c r="CD167" s="1111"/>
      <c r="CE167" s="1111"/>
      <c r="CF167" s="1111"/>
      <c r="CG167" s="1111"/>
      <c r="CH167" s="1111"/>
      <c r="CI167" s="1111"/>
      <c r="CJ167" s="1111"/>
      <c r="CK167" s="1110"/>
    </row>
    <row r="168" spans="1:89" ht="14.4" x14ac:dyDescent="0.3">
      <c r="A168" s="1110"/>
      <c r="B168" s="1110"/>
      <c r="C168" s="1110"/>
      <c r="D168" s="1110"/>
      <c r="E168" s="1110"/>
      <c r="F168" s="1110"/>
      <c r="G168" s="1110"/>
      <c r="H168" s="1110"/>
      <c r="I168" s="1110"/>
      <c r="J168" s="1110"/>
      <c r="K168" s="1110"/>
      <c r="L168" s="1110"/>
      <c r="M168" s="1110"/>
      <c r="N168" s="1110"/>
      <c r="O168" s="1110"/>
      <c r="P168" s="1110"/>
      <c r="Q168" s="1110"/>
      <c r="R168" s="1110"/>
      <c r="S168" s="1110"/>
      <c r="T168" s="1111"/>
      <c r="U168" s="1111"/>
      <c r="V168" s="1111"/>
      <c r="W168" s="1111"/>
      <c r="X168" s="1111"/>
      <c r="Y168" s="1111"/>
      <c r="Z168" s="1111"/>
      <c r="AA168" s="1111"/>
      <c r="AB168" s="1111"/>
      <c r="AC168" s="1111"/>
      <c r="AD168" s="1111"/>
      <c r="AE168" s="1111"/>
      <c r="AF168" s="1111"/>
      <c r="AG168" s="1111"/>
      <c r="AH168" s="1111"/>
      <c r="AI168" s="1111"/>
      <c r="AJ168" s="1111"/>
      <c r="AK168" s="1111"/>
      <c r="AL168" s="1111"/>
      <c r="AM168" s="1111"/>
      <c r="AN168" s="1111"/>
      <c r="AO168" s="1111"/>
      <c r="AP168" s="1111"/>
      <c r="AQ168" s="1111"/>
      <c r="AR168" s="1111"/>
      <c r="AS168" s="1111"/>
      <c r="AT168" s="1111"/>
      <c r="AU168" s="1111"/>
      <c r="AV168" s="1111"/>
      <c r="AW168" s="1111"/>
      <c r="AX168" s="1111"/>
      <c r="AY168" s="1111"/>
      <c r="AZ168" s="1111"/>
      <c r="BA168" s="1111"/>
      <c r="BB168" s="1111"/>
      <c r="BC168" s="1111"/>
      <c r="BD168" s="1111"/>
      <c r="BE168" s="1111"/>
      <c r="BF168" s="1111"/>
      <c r="BG168" s="1111"/>
      <c r="BH168" s="1111"/>
      <c r="BI168" s="1111"/>
      <c r="BJ168" s="1111"/>
      <c r="BK168" s="1111"/>
      <c r="BL168" s="1111"/>
      <c r="BM168" s="1111"/>
      <c r="BN168" s="1111"/>
      <c r="BO168" s="1111"/>
      <c r="BP168" s="1111"/>
      <c r="BQ168" s="1111"/>
      <c r="BR168" s="1111"/>
      <c r="BS168" s="1111"/>
      <c r="BT168" s="1111"/>
      <c r="BU168" s="1111"/>
      <c r="BV168" s="1111"/>
      <c r="BW168" s="1111"/>
      <c r="BX168" s="1111"/>
      <c r="BY168" s="1111"/>
      <c r="BZ168" s="1111"/>
      <c r="CA168" s="1111"/>
      <c r="CB168" s="1111"/>
      <c r="CC168" s="1111"/>
      <c r="CD168" s="1111"/>
      <c r="CE168" s="1111"/>
      <c r="CF168" s="1111"/>
      <c r="CG168" s="1111"/>
      <c r="CH168" s="1111"/>
      <c r="CI168" s="1111"/>
      <c r="CJ168" s="1111"/>
      <c r="CK168" s="1110"/>
    </row>
    <row r="169" spans="1:89" ht="14.4" x14ac:dyDescent="0.3">
      <c r="A169" s="1110"/>
      <c r="B169" s="1110"/>
      <c r="C169" s="1110"/>
      <c r="D169" s="1110"/>
      <c r="E169" s="1110"/>
      <c r="F169" s="1110"/>
      <c r="G169" s="1110"/>
      <c r="H169" s="1110"/>
      <c r="I169" s="1110"/>
      <c r="J169" s="1110"/>
      <c r="K169" s="1110"/>
      <c r="L169" s="1110"/>
      <c r="M169" s="1110"/>
      <c r="N169" s="1110"/>
      <c r="O169" s="1110"/>
      <c r="P169" s="1110"/>
      <c r="Q169" s="1110"/>
      <c r="R169" s="1110"/>
      <c r="S169" s="1110"/>
      <c r="T169" s="1111"/>
      <c r="U169" s="1111"/>
      <c r="V169" s="1111"/>
      <c r="W169" s="1111"/>
      <c r="X169" s="1111"/>
      <c r="Y169" s="1111"/>
      <c r="Z169" s="1111"/>
      <c r="AA169" s="1111"/>
      <c r="AB169" s="1111"/>
      <c r="AC169" s="1111"/>
      <c r="AD169" s="1111"/>
      <c r="AE169" s="1111"/>
      <c r="AF169" s="1111"/>
      <c r="AG169" s="1111"/>
      <c r="AH169" s="1111"/>
      <c r="AI169" s="1111"/>
      <c r="AJ169" s="1111"/>
      <c r="AK169" s="1111"/>
      <c r="AL169" s="1111"/>
      <c r="AM169" s="1111"/>
      <c r="AN169" s="1111"/>
      <c r="AO169" s="1111"/>
      <c r="AP169" s="1111"/>
      <c r="AQ169" s="1111"/>
      <c r="AR169" s="1111"/>
      <c r="AS169" s="1111"/>
      <c r="AT169" s="1111"/>
      <c r="AU169" s="1111"/>
      <c r="AV169" s="1111"/>
      <c r="AW169" s="1111"/>
      <c r="AX169" s="1111"/>
      <c r="AY169" s="1111"/>
      <c r="AZ169" s="1111"/>
      <c r="BA169" s="1111"/>
      <c r="BB169" s="1111"/>
      <c r="BC169" s="1111"/>
      <c r="BD169" s="1111"/>
      <c r="BE169" s="1111"/>
      <c r="BF169" s="1111"/>
      <c r="BG169" s="1111"/>
      <c r="BH169" s="1111"/>
      <c r="BI169" s="1111"/>
      <c r="BJ169" s="1111"/>
      <c r="BK169" s="1111"/>
      <c r="BL169" s="1111"/>
      <c r="BM169" s="1111"/>
      <c r="BN169" s="1111"/>
      <c r="BO169" s="1111"/>
      <c r="BP169" s="1111"/>
      <c r="BQ169" s="1111"/>
      <c r="BR169" s="1111"/>
      <c r="BS169" s="1111"/>
      <c r="BT169" s="1111"/>
      <c r="BU169" s="1111"/>
      <c r="BV169" s="1111"/>
      <c r="BW169" s="1111"/>
      <c r="BX169" s="1111"/>
      <c r="BY169" s="1111"/>
      <c r="BZ169" s="1111"/>
      <c r="CA169" s="1111"/>
      <c r="CB169" s="1111"/>
      <c r="CC169" s="1111"/>
      <c r="CD169" s="1111"/>
      <c r="CE169" s="1111"/>
      <c r="CF169" s="1111"/>
      <c r="CG169" s="1111"/>
      <c r="CH169" s="1111"/>
      <c r="CI169" s="1111"/>
      <c r="CJ169" s="1111"/>
      <c r="CK169" s="1110"/>
    </row>
    <row r="170" spans="1:89" ht="14.4" x14ac:dyDescent="0.3">
      <c r="A170" s="1110"/>
      <c r="B170" s="1110"/>
      <c r="C170" s="1110"/>
      <c r="D170" s="1110"/>
      <c r="E170" s="1110"/>
      <c r="F170" s="1110"/>
      <c r="G170" s="1110"/>
      <c r="H170" s="1110"/>
      <c r="I170" s="1110"/>
      <c r="J170" s="1110"/>
      <c r="K170" s="1110"/>
      <c r="L170" s="1110"/>
      <c r="M170" s="1110"/>
      <c r="N170" s="1110"/>
      <c r="O170" s="1110"/>
      <c r="P170" s="1110"/>
      <c r="Q170" s="1110"/>
      <c r="R170" s="1110"/>
      <c r="S170" s="1110"/>
      <c r="T170" s="1111"/>
      <c r="U170" s="1111"/>
      <c r="V170" s="1111"/>
      <c r="W170" s="1111"/>
      <c r="X170" s="1111"/>
      <c r="Y170" s="1111"/>
      <c r="Z170" s="1111"/>
      <c r="AA170" s="1111"/>
      <c r="AB170" s="1111"/>
      <c r="AC170" s="1111"/>
      <c r="AD170" s="1111"/>
      <c r="AE170" s="1111"/>
      <c r="AF170" s="1111"/>
      <c r="AG170" s="1111"/>
      <c r="AH170" s="1111"/>
      <c r="AI170" s="1111"/>
      <c r="AJ170" s="1111"/>
      <c r="AK170" s="1111"/>
      <c r="AL170" s="1111"/>
      <c r="AM170" s="1111"/>
      <c r="AN170" s="1111"/>
      <c r="AO170" s="1111"/>
      <c r="AP170" s="1111"/>
      <c r="AQ170" s="1111"/>
      <c r="AR170" s="1111"/>
      <c r="AS170" s="1111"/>
      <c r="AT170" s="1111"/>
      <c r="AU170" s="1111"/>
      <c r="AV170" s="1111"/>
      <c r="AW170" s="1111"/>
      <c r="AX170" s="1111"/>
      <c r="AY170" s="1111"/>
      <c r="AZ170" s="1111"/>
      <c r="BA170" s="1111"/>
      <c r="BB170" s="1111"/>
      <c r="BC170" s="1111"/>
      <c r="BD170" s="1111"/>
      <c r="BE170" s="1111"/>
      <c r="BF170" s="1111"/>
      <c r="BG170" s="1111"/>
      <c r="BH170" s="1111"/>
      <c r="BI170" s="1111"/>
      <c r="BJ170" s="1111"/>
      <c r="BK170" s="1111"/>
      <c r="BL170" s="1111"/>
      <c r="BM170" s="1111"/>
      <c r="BN170" s="1111"/>
      <c r="BO170" s="1111"/>
      <c r="BP170" s="1111"/>
      <c r="BQ170" s="1111"/>
      <c r="BR170" s="1111"/>
      <c r="BS170" s="1111"/>
      <c r="BT170" s="1111"/>
      <c r="BU170" s="1111"/>
      <c r="BV170" s="1111"/>
      <c r="BW170" s="1111"/>
      <c r="BX170" s="1111"/>
      <c r="BY170" s="1111"/>
      <c r="BZ170" s="1111"/>
      <c r="CA170" s="1111"/>
      <c r="CB170" s="1111"/>
      <c r="CC170" s="1111"/>
      <c r="CD170" s="1111"/>
      <c r="CE170" s="1111"/>
      <c r="CF170" s="1111"/>
      <c r="CG170" s="1111"/>
      <c r="CH170" s="1111"/>
      <c r="CI170" s="1111"/>
      <c r="CJ170" s="1111"/>
      <c r="CK170" s="1110"/>
    </row>
    <row r="171" spans="1:89" ht="14.4" x14ac:dyDescent="0.3">
      <c r="A171" s="1110"/>
      <c r="B171" s="1110"/>
      <c r="C171" s="1110"/>
      <c r="D171" s="1110"/>
      <c r="E171" s="1110"/>
      <c r="F171" s="1110"/>
      <c r="G171" s="1110"/>
      <c r="H171" s="1110"/>
      <c r="I171" s="1110"/>
      <c r="J171" s="1110"/>
      <c r="K171" s="1110"/>
      <c r="L171" s="1110"/>
      <c r="M171" s="1110"/>
      <c r="N171" s="1110"/>
      <c r="O171" s="1110"/>
      <c r="P171" s="1110"/>
      <c r="Q171" s="1110"/>
      <c r="R171" s="1110"/>
      <c r="S171" s="1110"/>
      <c r="T171" s="1111"/>
      <c r="U171" s="1111"/>
      <c r="V171" s="1111"/>
      <c r="W171" s="1111"/>
      <c r="X171" s="1111"/>
      <c r="Y171" s="1111"/>
      <c r="Z171" s="1111"/>
      <c r="AA171" s="1111"/>
      <c r="AB171" s="1111"/>
      <c r="AC171" s="1111"/>
      <c r="AD171" s="1111"/>
      <c r="AE171" s="1111"/>
      <c r="AF171" s="1111"/>
      <c r="AG171" s="1111"/>
      <c r="AH171" s="1111"/>
      <c r="AI171" s="1111"/>
      <c r="AJ171" s="1111"/>
      <c r="AK171" s="1111"/>
      <c r="AL171" s="1111"/>
      <c r="AM171" s="1111"/>
      <c r="AN171" s="1111"/>
      <c r="AO171" s="1111"/>
      <c r="AP171" s="1111"/>
      <c r="AQ171" s="1111"/>
      <c r="AR171" s="1111"/>
      <c r="AS171" s="1111"/>
      <c r="AT171" s="1111"/>
      <c r="AU171" s="1111"/>
      <c r="AV171" s="1111"/>
      <c r="AW171" s="1111"/>
      <c r="AX171" s="1111"/>
      <c r="AY171" s="1111"/>
      <c r="AZ171" s="1111"/>
      <c r="BA171" s="1111"/>
      <c r="BB171" s="1111"/>
      <c r="BC171" s="1111"/>
      <c r="BD171" s="1111"/>
      <c r="BE171" s="1111"/>
      <c r="BF171" s="1111"/>
      <c r="BG171" s="1111"/>
      <c r="BH171" s="1111"/>
      <c r="BI171" s="1111"/>
      <c r="BJ171" s="1111"/>
      <c r="BK171" s="1111"/>
      <c r="BL171" s="1111"/>
      <c r="BM171" s="1111"/>
      <c r="BN171" s="1111"/>
      <c r="BO171" s="1111"/>
      <c r="BP171" s="1111"/>
      <c r="BQ171" s="1111"/>
      <c r="BR171" s="1111"/>
      <c r="BS171" s="1111"/>
      <c r="BT171" s="1111"/>
      <c r="BU171" s="1111"/>
      <c r="BV171" s="1111"/>
      <c r="BW171" s="1111"/>
      <c r="BX171" s="1111"/>
      <c r="BY171" s="1111"/>
      <c r="BZ171" s="1111"/>
      <c r="CA171" s="1111"/>
      <c r="CB171" s="1111"/>
      <c r="CC171" s="1111"/>
      <c r="CD171" s="1111"/>
      <c r="CE171" s="1111"/>
      <c r="CF171" s="1111"/>
      <c r="CG171" s="1111"/>
      <c r="CH171" s="1111"/>
      <c r="CI171" s="1111"/>
      <c r="CJ171" s="1111"/>
      <c r="CK171" s="1110"/>
    </row>
    <row r="172" spans="1:89" ht="14.4" x14ac:dyDescent="0.3">
      <c r="A172" s="1110"/>
      <c r="B172" s="1110"/>
      <c r="C172" s="1110"/>
      <c r="D172" s="1110"/>
      <c r="E172" s="1110"/>
      <c r="F172" s="1110"/>
      <c r="G172" s="1110"/>
      <c r="H172" s="1110"/>
      <c r="I172" s="1110"/>
      <c r="J172" s="1110"/>
      <c r="K172" s="1110"/>
      <c r="L172" s="1110"/>
      <c r="M172" s="1110"/>
      <c r="N172" s="1110"/>
      <c r="O172" s="1110"/>
      <c r="P172" s="1110"/>
      <c r="Q172" s="1110"/>
      <c r="R172" s="1110"/>
      <c r="S172" s="1110"/>
      <c r="T172" s="1111"/>
      <c r="U172" s="1111"/>
      <c r="V172" s="1111"/>
      <c r="W172" s="1111"/>
      <c r="X172" s="1111"/>
      <c r="Y172" s="1111"/>
      <c r="Z172" s="1111"/>
      <c r="AA172" s="1111"/>
      <c r="AB172" s="1111"/>
      <c r="AC172" s="1111"/>
      <c r="AD172" s="1111"/>
      <c r="AE172" s="1111"/>
      <c r="AF172" s="1111"/>
      <c r="AG172" s="1111"/>
      <c r="AH172" s="1111"/>
      <c r="AI172" s="1111"/>
      <c r="AJ172" s="1111"/>
      <c r="AK172" s="1111"/>
      <c r="AL172" s="1111"/>
      <c r="AM172" s="1111"/>
      <c r="AN172" s="1111"/>
      <c r="AO172" s="1111"/>
      <c r="AP172" s="1111"/>
      <c r="AQ172" s="1111"/>
      <c r="AR172" s="1111"/>
      <c r="AS172" s="1111"/>
      <c r="AT172" s="1111"/>
      <c r="AU172" s="1111"/>
      <c r="AV172" s="1111"/>
      <c r="AW172" s="1111"/>
      <c r="AX172" s="1111"/>
      <c r="AY172" s="1111"/>
      <c r="AZ172" s="1111"/>
      <c r="BA172" s="1111"/>
      <c r="BB172" s="1111"/>
      <c r="BC172" s="1111"/>
      <c r="BD172" s="1111"/>
      <c r="BE172" s="1111"/>
      <c r="BF172" s="1111"/>
      <c r="BG172" s="1111"/>
      <c r="BH172" s="1111"/>
      <c r="BI172" s="1111"/>
      <c r="BJ172" s="1111"/>
      <c r="BK172" s="1111"/>
      <c r="BL172" s="1111"/>
      <c r="BM172" s="1111"/>
      <c r="BN172" s="1111"/>
      <c r="BO172" s="1111"/>
      <c r="BP172" s="1111"/>
      <c r="BQ172" s="1111"/>
      <c r="BR172" s="1111"/>
      <c r="BS172" s="1111"/>
      <c r="BT172" s="1111"/>
      <c r="BU172" s="1111"/>
      <c r="BV172" s="1111"/>
      <c r="BW172" s="1111"/>
      <c r="BX172" s="1111"/>
      <c r="BY172" s="1111"/>
      <c r="BZ172" s="1111"/>
      <c r="CA172" s="1111"/>
      <c r="CB172" s="1111"/>
      <c r="CC172" s="1111"/>
      <c r="CD172" s="1111"/>
      <c r="CE172" s="1111"/>
      <c r="CF172" s="1111"/>
      <c r="CG172" s="1111"/>
      <c r="CH172" s="1111"/>
      <c r="CI172" s="1111"/>
      <c r="CJ172" s="1111"/>
      <c r="CK172" s="1110"/>
    </row>
    <row r="173" spans="1:89" ht="14.4" x14ac:dyDescent="0.3">
      <c r="A173" s="1110"/>
      <c r="B173" s="1110"/>
      <c r="C173" s="1110"/>
      <c r="D173" s="1110"/>
      <c r="E173" s="1110"/>
      <c r="F173" s="1110"/>
      <c r="G173" s="1110"/>
      <c r="H173" s="1110"/>
      <c r="I173" s="1110"/>
      <c r="J173" s="1110"/>
      <c r="K173" s="1110"/>
      <c r="L173" s="1110"/>
      <c r="M173" s="1110"/>
      <c r="N173" s="1110"/>
      <c r="O173" s="1110"/>
      <c r="P173" s="1110"/>
      <c r="Q173" s="1110"/>
      <c r="R173" s="1110"/>
      <c r="S173" s="1110"/>
      <c r="T173" s="1111"/>
      <c r="U173" s="1111"/>
      <c r="V173" s="1111"/>
      <c r="W173" s="1111"/>
      <c r="X173" s="1111"/>
      <c r="Y173" s="1111"/>
      <c r="Z173" s="1111"/>
      <c r="AA173" s="1111"/>
      <c r="AB173" s="1111"/>
      <c r="AC173" s="1111"/>
      <c r="AD173" s="1111"/>
      <c r="AE173" s="1111"/>
      <c r="AF173" s="1111"/>
      <c r="AG173" s="1111"/>
      <c r="AH173" s="1111"/>
      <c r="AI173" s="1111"/>
      <c r="AJ173" s="1111"/>
      <c r="AK173" s="1111"/>
      <c r="AL173" s="1111"/>
      <c r="AM173" s="1111"/>
      <c r="AN173" s="1111"/>
      <c r="AO173" s="1111"/>
      <c r="AP173" s="1111"/>
      <c r="AQ173" s="1111"/>
      <c r="AR173" s="1111"/>
      <c r="AS173" s="1111"/>
      <c r="AT173" s="1111"/>
      <c r="AU173" s="1111"/>
      <c r="AV173" s="1111"/>
      <c r="AW173" s="1111"/>
      <c r="AX173" s="1111"/>
      <c r="AY173" s="1111"/>
      <c r="AZ173" s="1111"/>
      <c r="BA173" s="1111"/>
      <c r="BB173" s="1111"/>
      <c r="BC173" s="1111"/>
      <c r="BD173" s="1111"/>
      <c r="BE173" s="1111"/>
      <c r="BF173" s="1111"/>
      <c r="BG173" s="1111"/>
      <c r="BH173" s="1111"/>
      <c r="BI173" s="1111"/>
      <c r="BJ173" s="1111"/>
      <c r="BK173" s="1111"/>
      <c r="BL173" s="1111"/>
      <c r="BM173" s="1111"/>
      <c r="BN173" s="1111"/>
      <c r="BO173" s="1111"/>
      <c r="BP173" s="1111"/>
      <c r="BQ173" s="1111"/>
      <c r="BR173" s="1111"/>
      <c r="BS173" s="1111"/>
      <c r="BT173" s="1111"/>
      <c r="BU173" s="1111"/>
      <c r="BV173" s="1111"/>
      <c r="BW173" s="1111"/>
      <c r="BX173" s="1111"/>
      <c r="BY173" s="1111"/>
      <c r="BZ173" s="1111"/>
      <c r="CA173" s="1111"/>
      <c r="CB173" s="1111"/>
      <c r="CC173" s="1111"/>
      <c r="CD173" s="1111"/>
      <c r="CE173" s="1111"/>
      <c r="CF173" s="1111"/>
      <c r="CG173" s="1111"/>
      <c r="CH173" s="1111"/>
      <c r="CI173" s="1111"/>
      <c r="CJ173" s="1111"/>
      <c r="CK173" s="1110"/>
    </row>
    <row r="174" spans="1:89" ht="14.4" x14ac:dyDescent="0.3">
      <c r="A174" s="1110"/>
      <c r="B174" s="1110"/>
      <c r="C174" s="1110"/>
      <c r="D174" s="1110"/>
      <c r="E174" s="1110"/>
      <c r="F174" s="1110"/>
      <c r="G174" s="1110"/>
      <c r="H174" s="1110"/>
      <c r="I174" s="1110"/>
      <c r="J174" s="1110"/>
      <c r="K174" s="1110"/>
      <c r="L174" s="1110"/>
      <c r="M174" s="1110"/>
      <c r="N174" s="1110"/>
      <c r="O174" s="1110"/>
      <c r="P174" s="1110"/>
      <c r="Q174" s="1110"/>
      <c r="R174" s="1110"/>
      <c r="S174" s="1110"/>
      <c r="T174" s="1111"/>
      <c r="U174" s="1111"/>
      <c r="V174" s="1111"/>
      <c r="W174" s="1111"/>
      <c r="X174" s="1111"/>
      <c r="Y174" s="1111"/>
      <c r="Z174" s="1111"/>
      <c r="AA174" s="1111"/>
      <c r="AB174" s="1111"/>
      <c r="AC174" s="1111"/>
      <c r="AD174" s="1111"/>
      <c r="AE174" s="1111"/>
      <c r="AF174" s="1111"/>
      <c r="AG174" s="1111"/>
      <c r="AH174" s="1111"/>
      <c r="AI174" s="1111"/>
      <c r="AJ174" s="1111"/>
      <c r="AK174" s="1111"/>
      <c r="AL174" s="1111"/>
      <c r="AM174" s="1111"/>
      <c r="AN174" s="1111"/>
      <c r="AO174" s="1111"/>
      <c r="AP174" s="1111"/>
      <c r="AQ174" s="1111"/>
      <c r="AR174" s="1111"/>
      <c r="AS174" s="1111"/>
      <c r="AT174" s="1111"/>
      <c r="AU174" s="1111"/>
      <c r="AV174" s="1111"/>
      <c r="AW174" s="1111"/>
      <c r="AX174" s="1111"/>
      <c r="AY174" s="1111"/>
      <c r="AZ174" s="1111"/>
      <c r="BA174" s="1111"/>
      <c r="BB174" s="1111"/>
      <c r="BC174" s="1111"/>
      <c r="BD174" s="1111"/>
      <c r="BE174" s="1111"/>
      <c r="BF174" s="1111"/>
      <c r="BG174" s="1111"/>
      <c r="BH174" s="1111"/>
      <c r="BI174" s="1111"/>
      <c r="BJ174" s="1111"/>
      <c r="BK174" s="1111"/>
      <c r="BL174" s="1111"/>
      <c r="BM174" s="1111"/>
      <c r="BN174" s="1111"/>
      <c r="BO174" s="1111"/>
      <c r="BP174" s="1111"/>
      <c r="BQ174" s="1111"/>
      <c r="BR174" s="1111"/>
      <c r="BS174" s="1111"/>
      <c r="BT174" s="1111"/>
      <c r="BU174" s="1111"/>
      <c r="BV174" s="1111"/>
      <c r="BW174" s="1111"/>
      <c r="BX174" s="1111"/>
      <c r="BY174" s="1111"/>
      <c r="BZ174" s="1111"/>
      <c r="CA174" s="1111"/>
      <c r="CB174" s="1111"/>
      <c r="CC174" s="1111"/>
      <c r="CD174" s="1111"/>
      <c r="CE174" s="1111"/>
      <c r="CF174" s="1111"/>
      <c r="CG174" s="1111"/>
      <c r="CH174" s="1111"/>
      <c r="CI174" s="1111"/>
      <c r="CJ174" s="1111"/>
      <c r="CK174" s="1110"/>
    </row>
    <row r="175" spans="1:89" ht="14.4" x14ac:dyDescent="0.3">
      <c r="A175" s="1110"/>
      <c r="B175" s="1110"/>
      <c r="C175" s="1110"/>
      <c r="D175" s="1110"/>
      <c r="E175" s="1110"/>
      <c r="F175" s="1110"/>
      <c r="G175" s="1110"/>
      <c r="H175" s="1110"/>
      <c r="I175" s="1110"/>
      <c r="J175" s="1110"/>
      <c r="K175" s="1110"/>
      <c r="L175" s="1110"/>
      <c r="M175" s="1110"/>
      <c r="N175" s="1110"/>
      <c r="O175" s="1110"/>
      <c r="P175" s="1110"/>
      <c r="Q175" s="1110"/>
      <c r="R175" s="1110"/>
      <c r="S175" s="1110"/>
      <c r="T175" s="1111"/>
      <c r="U175" s="1111"/>
      <c r="V175" s="1111"/>
      <c r="W175" s="1111"/>
      <c r="X175" s="1111"/>
      <c r="Y175" s="1111"/>
      <c r="Z175" s="1111"/>
      <c r="AA175" s="1111"/>
      <c r="AB175" s="1111"/>
      <c r="AC175" s="1111"/>
      <c r="AD175" s="1111"/>
      <c r="AE175" s="1111"/>
      <c r="AF175" s="1111"/>
      <c r="AG175" s="1111"/>
      <c r="AH175" s="1111"/>
      <c r="AI175" s="1111"/>
      <c r="AJ175" s="1111"/>
      <c r="AK175" s="1111"/>
      <c r="AL175" s="1111"/>
      <c r="AM175" s="1111"/>
      <c r="AN175" s="1111"/>
      <c r="AO175" s="1111"/>
      <c r="AP175" s="1111"/>
      <c r="AQ175" s="1111"/>
      <c r="AR175" s="1111"/>
      <c r="AS175" s="1111"/>
      <c r="AT175" s="1111"/>
      <c r="AU175" s="1111"/>
      <c r="AV175" s="1111"/>
      <c r="AW175" s="1111"/>
      <c r="AX175" s="1111"/>
      <c r="AY175" s="1111"/>
      <c r="AZ175" s="1111"/>
      <c r="BA175" s="1111"/>
      <c r="BB175" s="1111"/>
      <c r="BC175" s="1111"/>
      <c r="BD175" s="1111"/>
      <c r="BE175" s="1111"/>
      <c r="BF175" s="1111"/>
      <c r="BG175" s="1111"/>
      <c r="BH175" s="1111"/>
      <c r="BI175" s="1111"/>
      <c r="BJ175" s="1111"/>
      <c r="BK175" s="1111"/>
      <c r="BL175" s="1111"/>
      <c r="BM175" s="1111"/>
      <c r="BN175" s="1111"/>
      <c r="BO175" s="1111"/>
      <c r="BP175" s="1111"/>
      <c r="BQ175" s="1111"/>
      <c r="BR175" s="1111"/>
      <c r="BS175" s="1111"/>
      <c r="BT175" s="1111"/>
      <c r="BU175" s="1111"/>
      <c r="BV175" s="1111"/>
      <c r="BW175" s="1111"/>
      <c r="BX175" s="1111"/>
      <c r="BY175" s="1111"/>
      <c r="BZ175" s="1111"/>
      <c r="CA175" s="1111"/>
      <c r="CB175" s="1111"/>
      <c r="CC175" s="1111"/>
      <c r="CD175" s="1111"/>
      <c r="CE175" s="1111"/>
      <c r="CF175" s="1111"/>
      <c r="CG175" s="1111"/>
      <c r="CH175" s="1111"/>
      <c r="CI175" s="1111"/>
      <c r="CJ175" s="1111"/>
      <c r="CK175" s="1110"/>
    </row>
    <row r="176" spans="1:89" ht="14.4" x14ac:dyDescent="0.3">
      <c r="A176" s="1110"/>
      <c r="B176" s="1110"/>
      <c r="C176" s="1110"/>
      <c r="D176" s="1110"/>
      <c r="E176" s="1110"/>
      <c r="F176" s="1110"/>
      <c r="G176" s="1110"/>
      <c r="H176" s="1110"/>
      <c r="I176" s="1110"/>
      <c r="J176" s="1110"/>
      <c r="K176" s="1110"/>
      <c r="L176" s="1110"/>
      <c r="M176" s="1110"/>
      <c r="N176" s="1110"/>
      <c r="O176" s="1110"/>
      <c r="P176" s="1110"/>
      <c r="Q176" s="1110"/>
      <c r="R176" s="1110"/>
      <c r="S176" s="1110"/>
      <c r="T176" s="1111"/>
      <c r="U176" s="1111"/>
      <c r="V176" s="1111"/>
      <c r="W176" s="1111"/>
      <c r="X176" s="1111"/>
      <c r="Y176" s="1111"/>
      <c r="Z176" s="1111"/>
      <c r="AA176" s="1111"/>
      <c r="AB176" s="1111"/>
      <c r="AC176" s="1111"/>
      <c r="AD176" s="1111"/>
      <c r="AE176" s="1111"/>
      <c r="AF176" s="1111"/>
      <c r="AG176" s="1111"/>
      <c r="AH176" s="1111"/>
      <c r="AI176" s="1111"/>
      <c r="AJ176" s="1111"/>
      <c r="AK176" s="1111"/>
      <c r="AL176" s="1111"/>
      <c r="AM176" s="1111"/>
      <c r="AN176" s="1111"/>
      <c r="AO176" s="1111"/>
      <c r="AP176" s="1111"/>
      <c r="AQ176" s="1111"/>
      <c r="AR176" s="1111"/>
      <c r="AS176" s="1111"/>
      <c r="AT176" s="1111"/>
      <c r="AU176" s="1111"/>
      <c r="AV176" s="1111"/>
      <c r="AW176" s="1111"/>
      <c r="AX176" s="1111"/>
      <c r="AY176" s="1111"/>
      <c r="AZ176" s="1111"/>
      <c r="BA176" s="1111"/>
      <c r="BB176" s="1111"/>
      <c r="BC176" s="1111"/>
      <c r="BD176" s="1111"/>
      <c r="BE176" s="1111"/>
      <c r="BF176" s="1111"/>
      <c r="BG176" s="1111"/>
      <c r="BH176" s="1111"/>
      <c r="BI176" s="1111"/>
      <c r="BJ176" s="1111"/>
      <c r="BK176" s="1111"/>
      <c r="BL176" s="1111"/>
      <c r="BM176" s="1111"/>
      <c r="BN176" s="1111"/>
      <c r="BO176" s="1111"/>
      <c r="BP176" s="1111"/>
      <c r="BQ176" s="1111"/>
      <c r="BR176" s="1111"/>
      <c r="BS176" s="1111"/>
      <c r="BT176" s="1111"/>
      <c r="BU176" s="1111"/>
      <c r="BV176" s="1111"/>
      <c r="BW176" s="1111"/>
      <c r="BX176" s="1111"/>
      <c r="BY176" s="1111"/>
      <c r="BZ176" s="1111"/>
      <c r="CA176" s="1111"/>
      <c r="CB176" s="1111"/>
      <c r="CC176" s="1111"/>
      <c r="CD176" s="1111"/>
      <c r="CE176" s="1111"/>
      <c r="CF176" s="1111"/>
      <c r="CG176" s="1111"/>
      <c r="CH176" s="1111"/>
      <c r="CI176" s="1111"/>
      <c r="CJ176" s="1111"/>
      <c r="CK176" s="1110"/>
    </row>
    <row r="177" spans="1:89" ht="14.4" x14ac:dyDescent="0.3">
      <c r="A177" s="1110"/>
      <c r="B177" s="1110"/>
      <c r="C177" s="1110"/>
      <c r="D177" s="1110"/>
      <c r="E177" s="1110"/>
      <c r="F177" s="1110"/>
      <c r="G177" s="1110"/>
      <c r="H177" s="1110"/>
      <c r="I177" s="1110"/>
      <c r="J177" s="1110"/>
      <c r="K177" s="1110"/>
      <c r="L177" s="1110"/>
      <c r="M177" s="1110"/>
      <c r="N177" s="1110"/>
      <c r="O177" s="1110"/>
      <c r="P177" s="1110"/>
      <c r="Q177" s="1110"/>
      <c r="R177" s="1110"/>
      <c r="S177" s="1110"/>
      <c r="T177" s="1111"/>
      <c r="U177" s="1111"/>
      <c r="V177" s="1111"/>
      <c r="W177" s="1111"/>
      <c r="X177" s="1111"/>
      <c r="Y177" s="1111"/>
      <c r="Z177" s="1111"/>
      <c r="AA177" s="1111"/>
      <c r="AB177" s="1111"/>
      <c r="AC177" s="1111"/>
      <c r="AD177" s="1111"/>
      <c r="AE177" s="1111"/>
      <c r="AF177" s="1111"/>
      <c r="AG177" s="1111"/>
      <c r="AH177" s="1111"/>
      <c r="AI177" s="1111"/>
      <c r="AJ177" s="1111"/>
      <c r="AK177" s="1111"/>
      <c r="AL177" s="1111"/>
      <c r="AM177" s="1111"/>
      <c r="AN177" s="1111"/>
      <c r="AO177" s="1111"/>
      <c r="AP177" s="1111"/>
      <c r="AQ177" s="1111"/>
      <c r="AR177" s="1111"/>
      <c r="AS177" s="1111"/>
      <c r="AT177" s="1111"/>
      <c r="AU177" s="1111"/>
      <c r="AV177" s="1111"/>
      <c r="AW177" s="1111"/>
      <c r="AX177" s="1111"/>
      <c r="AY177" s="1111"/>
      <c r="AZ177" s="1111"/>
      <c r="BA177" s="1111"/>
      <c r="BB177" s="1111"/>
      <c r="BC177" s="1111"/>
      <c r="BD177" s="1111"/>
      <c r="BE177" s="1111"/>
      <c r="BF177" s="1111"/>
      <c r="BG177" s="1111"/>
      <c r="BH177" s="1111"/>
      <c r="BI177" s="1111"/>
      <c r="BJ177" s="1111"/>
      <c r="BK177" s="1111"/>
      <c r="BL177" s="1111"/>
      <c r="BM177" s="1111"/>
      <c r="BN177" s="1111"/>
      <c r="BO177" s="1111"/>
      <c r="BP177" s="1111"/>
      <c r="BQ177" s="1111"/>
      <c r="BR177" s="1111"/>
      <c r="BS177" s="1111"/>
      <c r="BT177" s="1111"/>
      <c r="BU177" s="1111"/>
      <c r="BV177" s="1111"/>
      <c r="BW177" s="1111"/>
      <c r="BX177" s="1111"/>
      <c r="BY177" s="1111"/>
      <c r="BZ177" s="1111"/>
      <c r="CA177" s="1111"/>
      <c r="CB177" s="1111"/>
      <c r="CC177" s="1111"/>
      <c r="CD177" s="1111"/>
      <c r="CE177" s="1111"/>
      <c r="CF177" s="1111"/>
      <c r="CG177" s="1111"/>
      <c r="CH177" s="1111"/>
      <c r="CI177" s="1111"/>
      <c r="CJ177" s="1111"/>
      <c r="CK177" s="1110"/>
    </row>
    <row r="178" spans="1:89" ht="14.4" x14ac:dyDescent="0.3">
      <c r="A178" s="1110"/>
      <c r="B178" s="1110"/>
      <c r="C178" s="1110"/>
      <c r="D178" s="1110"/>
      <c r="E178" s="1110"/>
      <c r="F178" s="1110"/>
      <c r="G178" s="1110"/>
      <c r="H178" s="1110"/>
      <c r="I178" s="1110"/>
      <c r="J178" s="1110"/>
      <c r="K178" s="1110"/>
      <c r="L178" s="1110"/>
      <c r="M178" s="1110"/>
      <c r="N178" s="1110"/>
      <c r="O178" s="1110"/>
      <c r="P178" s="1110"/>
      <c r="Q178" s="1110"/>
      <c r="R178" s="1110"/>
      <c r="S178" s="1110"/>
      <c r="T178" s="1111"/>
      <c r="U178" s="1111"/>
      <c r="V178" s="1111"/>
      <c r="W178" s="1111"/>
      <c r="X178" s="1111"/>
      <c r="Y178" s="1111"/>
      <c r="Z178" s="1111"/>
      <c r="AA178" s="1111"/>
      <c r="AB178" s="1111"/>
      <c r="AC178" s="1111"/>
      <c r="AD178" s="1111"/>
      <c r="AE178" s="1111"/>
      <c r="AF178" s="1111"/>
      <c r="AG178" s="1111"/>
      <c r="AH178" s="1111"/>
      <c r="AI178" s="1111"/>
      <c r="AJ178" s="1111"/>
      <c r="AK178" s="1111"/>
      <c r="AL178" s="1111"/>
      <c r="AM178" s="1111"/>
      <c r="AN178" s="1111"/>
      <c r="AO178" s="1111"/>
      <c r="AP178" s="1111"/>
      <c r="AQ178" s="1111"/>
      <c r="AR178" s="1111"/>
      <c r="AS178" s="1111"/>
      <c r="AT178" s="1111"/>
      <c r="AU178" s="1111"/>
      <c r="AV178" s="1111"/>
      <c r="AW178" s="1111"/>
      <c r="AX178" s="1111"/>
      <c r="AY178" s="1111"/>
      <c r="AZ178" s="1111"/>
      <c r="BA178" s="1111"/>
      <c r="BB178" s="1111"/>
      <c r="BC178" s="1111"/>
      <c r="BD178" s="1111"/>
      <c r="BE178" s="1111"/>
      <c r="BF178" s="1111"/>
      <c r="BG178" s="1111"/>
      <c r="BH178" s="1111"/>
      <c r="BI178" s="1111"/>
      <c r="BJ178" s="1111"/>
      <c r="BK178" s="1111"/>
      <c r="BL178" s="1111"/>
      <c r="BM178" s="1111"/>
      <c r="BN178" s="1111"/>
      <c r="BO178" s="1111"/>
      <c r="BP178" s="1111"/>
      <c r="BQ178" s="1111"/>
      <c r="BR178" s="1111"/>
      <c r="BS178" s="1111"/>
      <c r="BT178" s="1111"/>
      <c r="BU178" s="1111"/>
      <c r="BV178" s="1111"/>
      <c r="BW178" s="1111"/>
      <c r="BX178" s="1111"/>
      <c r="BY178" s="1111"/>
      <c r="BZ178" s="1111"/>
      <c r="CA178" s="1111"/>
      <c r="CB178" s="1111"/>
      <c r="CC178" s="1111"/>
      <c r="CD178" s="1111"/>
      <c r="CE178" s="1111"/>
      <c r="CF178" s="1111"/>
      <c r="CG178" s="1111"/>
      <c r="CH178" s="1111"/>
      <c r="CI178" s="1111"/>
      <c r="CJ178" s="1111"/>
      <c r="CK178" s="1110"/>
    </row>
    <row r="179" spans="1:89" ht="14.4" x14ac:dyDescent="0.3">
      <c r="A179" s="1110"/>
      <c r="B179" s="1110"/>
      <c r="C179" s="1110"/>
      <c r="D179" s="1110"/>
      <c r="E179" s="1110"/>
      <c r="F179" s="1110"/>
      <c r="G179" s="1110"/>
      <c r="H179" s="1110"/>
      <c r="I179" s="1110"/>
      <c r="J179" s="1110"/>
      <c r="K179" s="1110"/>
      <c r="L179" s="1110"/>
      <c r="M179" s="1110"/>
      <c r="N179" s="1110"/>
      <c r="O179" s="1110"/>
      <c r="P179" s="1110"/>
      <c r="Q179" s="1110"/>
      <c r="R179" s="1110"/>
      <c r="S179" s="1110"/>
      <c r="T179" s="1111"/>
      <c r="U179" s="1111"/>
      <c r="V179" s="1111"/>
      <c r="W179" s="1111"/>
      <c r="X179" s="1111"/>
      <c r="Y179" s="1111"/>
      <c r="Z179" s="1111"/>
      <c r="AA179" s="1111"/>
      <c r="AB179" s="1111"/>
      <c r="AC179" s="1111"/>
      <c r="AD179" s="1111"/>
      <c r="AE179" s="1111"/>
      <c r="AF179" s="1111"/>
      <c r="AG179" s="1111"/>
      <c r="AH179" s="1111"/>
      <c r="AI179" s="1111"/>
      <c r="AJ179" s="1111"/>
      <c r="AK179" s="1111"/>
      <c r="AL179" s="1111"/>
      <c r="AM179" s="1111"/>
      <c r="AN179" s="1111"/>
      <c r="AO179" s="1111"/>
      <c r="AP179" s="1111"/>
      <c r="AQ179" s="1111"/>
      <c r="AR179" s="1111"/>
      <c r="AS179" s="1111"/>
      <c r="AT179" s="1111"/>
      <c r="AU179" s="1111"/>
      <c r="AV179" s="1111"/>
      <c r="AW179" s="1111"/>
      <c r="AX179" s="1111"/>
      <c r="AY179" s="1111"/>
      <c r="AZ179" s="1111"/>
      <c r="BA179" s="1111"/>
      <c r="BB179" s="1111"/>
      <c r="BC179" s="1111"/>
      <c r="BD179" s="1111"/>
      <c r="BE179" s="1111"/>
      <c r="BF179" s="1111"/>
      <c r="BG179" s="1111"/>
      <c r="BH179" s="1111"/>
      <c r="BI179" s="1111"/>
      <c r="BJ179" s="1111"/>
      <c r="BK179" s="1111"/>
      <c r="BL179" s="1111"/>
      <c r="BM179" s="1111"/>
      <c r="BN179" s="1111"/>
      <c r="BO179" s="1111"/>
      <c r="BP179" s="1111"/>
      <c r="BQ179" s="1111"/>
      <c r="BR179" s="1111"/>
      <c r="BS179" s="1111"/>
      <c r="BT179" s="1111"/>
      <c r="BU179" s="1111"/>
      <c r="BV179" s="1111"/>
      <c r="BW179" s="1111"/>
      <c r="BX179" s="1111"/>
      <c r="BY179" s="1111"/>
      <c r="BZ179" s="1111"/>
      <c r="CA179" s="1111"/>
      <c r="CB179" s="1111"/>
      <c r="CC179" s="1111"/>
      <c r="CD179" s="1111"/>
      <c r="CE179" s="1111"/>
      <c r="CF179" s="1111"/>
      <c r="CG179" s="1111"/>
      <c r="CH179" s="1111"/>
      <c r="CI179" s="1111"/>
      <c r="CJ179" s="1111"/>
      <c r="CK179" s="1110"/>
    </row>
    <row r="180" spans="1:89" ht="14.4" x14ac:dyDescent="0.3">
      <c r="A180" s="1110"/>
      <c r="B180" s="1110"/>
      <c r="C180" s="1110"/>
      <c r="D180" s="1110"/>
      <c r="E180" s="1110"/>
      <c r="F180" s="1110"/>
      <c r="G180" s="1110"/>
      <c r="H180" s="1110"/>
      <c r="I180" s="1110"/>
      <c r="J180" s="1110"/>
      <c r="K180" s="1110"/>
      <c r="L180" s="1110"/>
      <c r="M180" s="1110"/>
      <c r="N180" s="1110"/>
      <c r="O180" s="1110"/>
      <c r="P180" s="1110"/>
      <c r="Q180" s="1110"/>
      <c r="R180" s="1110"/>
      <c r="S180" s="1110"/>
      <c r="T180" s="1111"/>
      <c r="U180" s="1111"/>
      <c r="V180" s="1111"/>
      <c r="W180" s="1111"/>
      <c r="X180" s="1111"/>
      <c r="Y180" s="1111"/>
      <c r="Z180" s="1111"/>
      <c r="AA180" s="1111"/>
      <c r="AB180" s="1111"/>
      <c r="AC180" s="1111"/>
      <c r="AD180" s="1111"/>
      <c r="AE180" s="1111"/>
      <c r="AF180" s="1111"/>
      <c r="AG180" s="1111"/>
      <c r="AH180" s="1111"/>
      <c r="AI180" s="1111"/>
      <c r="AJ180" s="1111"/>
      <c r="AK180" s="1111"/>
      <c r="AL180" s="1111"/>
      <c r="AM180" s="1111"/>
      <c r="AN180" s="1111"/>
      <c r="AO180" s="1111"/>
      <c r="AP180" s="1111"/>
      <c r="AQ180" s="1111"/>
      <c r="AR180" s="1111"/>
      <c r="AS180" s="1111"/>
      <c r="AT180" s="1111"/>
      <c r="AU180" s="1111"/>
      <c r="AV180" s="1111"/>
      <c r="AW180" s="1111"/>
      <c r="AX180" s="1111"/>
      <c r="AY180" s="1111"/>
      <c r="AZ180" s="1111"/>
      <c r="BA180" s="1111"/>
      <c r="BB180" s="1111"/>
      <c r="BC180" s="1111"/>
      <c r="BD180" s="1111"/>
      <c r="BE180" s="1111"/>
      <c r="BF180" s="1111"/>
      <c r="BG180" s="1111"/>
      <c r="BH180" s="1111"/>
      <c r="BI180" s="1111"/>
      <c r="BJ180" s="1111"/>
      <c r="BK180" s="1111"/>
      <c r="BL180" s="1111"/>
      <c r="BM180" s="1111"/>
      <c r="BN180" s="1111"/>
      <c r="BO180" s="1111"/>
      <c r="BP180" s="1111"/>
      <c r="BQ180" s="1111"/>
      <c r="BR180" s="1111"/>
      <c r="BS180" s="1111"/>
      <c r="BT180" s="1111"/>
      <c r="BU180" s="1111"/>
      <c r="BV180" s="1111"/>
      <c r="BW180" s="1111"/>
      <c r="BX180" s="1111"/>
      <c r="BY180" s="1111"/>
      <c r="BZ180" s="1111"/>
      <c r="CA180" s="1111"/>
      <c r="CB180" s="1111"/>
      <c r="CC180" s="1111"/>
      <c r="CD180" s="1111"/>
      <c r="CE180" s="1111"/>
      <c r="CF180" s="1111"/>
      <c r="CG180" s="1111"/>
      <c r="CH180" s="1111"/>
      <c r="CI180" s="1111"/>
      <c r="CJ180" s="1111"/>
      <c r="CK180" s="1110"/>
    </row>
    <row r="181" spans="1:89" ht="14.4" x14ac:dyDescent="0.3">
      <c r="A181" s="1110"/>
      <c r="B181" s="1110"/>
      <c r="C181" s="1110"/>
      <c r="D181" s="1110"/>
      <c r="E181" s="1110"/>
      <c r="F181" s="1110"/>
      <c r="G181" s="1110"/>
      <c r="H181" s="1110"/>
      <c r="I181" s="1110"/>
      <c r="J181" s="1110"/>
      <c r="K181" s="1110"/>
      <c r="L181" s="1110"/>
      <c r="M181" s="1110"/>
      <c r="N181" s="1110"/>
      <c r="O181" s="1110"/>
      <c r="P181" s="1110"/>
      <c r="Q181" s="1110"/>
      <c r="R181" s="1110"/>
      <c r="S181" s="1110"/>
      <c r="T181" s="1111"/>
      <c r="U181" s="1111"/>
      <c r="V181" s="1111"/>
      <c r="W181" s="1111"/>
      <c r="X181" s="1111"/>
      <c r="Y181" s="1111"/>
      <c r="Z181" s="1111"/>
      <c r="AA181" s="1111"/>
      <c r="AB181" s="1111"/>
      <c r="AC181" s="1111"/>
      <c r="AD181" s="1111"/>
      <c r="AE181" s="1111"/>
      <c r="AF181" s="1111"/>
      <c r="AG181" s="1111"/>
      <c r="AH181" s="1111"/>
      <c r="AI181" s="1111"/>
      <c r="AJ181" s="1111"/>
      <c r="AK181" s="1111"/>
      <c r="AL181" s="1111"/>
      <c r="AM181" s="1111"/>
      <c r="AN181" s="1111"/>
      <c r="AO181" s="1111"/>
      <c r="AP181" s="1111"/>
      <c r="AQ181" s="1111"/>
      <c r="AR181" s="1111"/>
      <c r="AS181" s="1111"/>
      <c r="AT181" s="1111"/>
      <c r="AU181" s="1111"/>
      <c r="AV181" s="1111"/>
      <c r="AW181" s="1111"/>
      <c r="AX181" s="1111"/>
      <c r="AY181" s="1111"/>
      <c r="AZ181" s="1111"/>
      <c r="BA181" s="1111"/>
      <c r="BB181" s="1111"/>
      <c r="BC181" s="1111"/>
      <c r="BD181" s="1111"/>
      <c r="BE181" s="1111"/>
      <c r="BF181" s="1111"/>
      <c r="BG181" s="1111"/>
      <c r="BH181" s="1111"/>
      <c r="BI181" s="1111"/>
      <c r="BJ181" s="1111"/>
      <c r="BK181" s="1111"/>
      <c r="BL181" s="1111"/>
      <c r="BM181" s="1111"/>
      <c r="BN181" s="1111"/>
      <c r="BO181" s="1111"/>
      <c r="BP181" s="1111"/>
      <c r="BQ181" s="1111"/>
      <c r="BR181" s="1111"/>
      <c r="BS181" s="1111"/>
      <c r="BT181" s="1111"/>
      <c r="BU181" s="1111"/>
      <c r="BV181" s="1111"/>
      <c r="BW181" s="1111"/>
      <c r="BX181" s="1111"/>
      <c r="BY181" s="1111"/>
      <c r="BZ181" s="1111"/>
      <c r="CA181" s="1111"/>
      <c r="CB181" s="1111"/>
      <c r="CC181" s="1111"/>
      <c r="CD181" s="1111"/>
      <c r="CE181" s="1111"/>
      <c r="CF181" s="1111"/>
      <c r="CG181" s="1111"/>
      <c r="CH181" s="1111"/>
      <c r="CI181" s="1111"/>
      <c r="CJ181" s="1111"/>
      <c r="CK181" s="1110"/>
    </row>
    <row r="182" spans="1:89" ht="14.4" x14ac:dyDescent="0.3">
      <c r="A182" s="1110"/>
      <c r="B182" s="1110"/>
      <c r="C182" s="1110"/>
      <c r="D182" s="1110"/>
      <c r="E182" s="1110"/>
      <c r="F182" s="1110"/>
      <c r="G182" s="1110"/>
      <c r="H182" s="1110"/>
      <c r="I182" s="1110"/>
      <c r="J182" s="1110"/>
      <c r="K182" s="1110"/>
      <c r="L182" s="1110"/>
      <c r="M182" s="1110"/>
      <c r="N182" s="1110"/>
      <c r="O182" s="1110"/>
      <c r="P182" s="1110"/>
      <c r="Q182" s="1110"/>
      <c r="R182" s="1110"/>
      <c r="S182" s="1110"/>
      <c r="T182" s="1111"/>
      <c r="U182" s="1111"/>
      <c r="V182" s="1111"/>
      <c r="W182" s="1111"/>
      <c r="X182" s="1111"/>
      <c r="Y182" s="1111"/>
      <c r="Z182" s="1111"/>
      <c r="AA182" s="1111"/>
      <c r="AB182" s="1111"/>
      <c r="AC182" s="1111"/>
      <c r="AD182" s="1111"/>
      <c r="AE182" s="1111"/>
      <c r="AF182" s="1111"/>
      <c r="AG182" s="1111"/>
      <c r="AH182" s="1111"/>
      <c r="AI182" s="1111"/>
      <c r="AJ182" s="1111"/>
      <c r="AK182" s="1111"/>
      <c r="AL182" s="1111"/>
      <c r="AM182" s="1111"/>
      <c r="AN182" s="1111"/>
      <c r="AO182" s="1111"/>
      <c r="AP182" s="1111"/>
      <c r="AQ182" s="1111"/>
      <c r="AR182" s="1111"/>
      <c r="AS182" s="1111"/>
      <c r="AT182" s="1111"/>
      <c r="AU182" s="1111"/>
      <c r="AV182" s="1111"/>
      <c r="AW182" s="1111"/>
      <c r="AX182" s="1111"/>
      <c r="AY182" s="1111"/>
      <c r="AZ182" s="1111"/>
      <c r="BA182" s="1111"/>
      <c r="BB182" s="1111"/>
      <c r="BC182" s="1111"/>
      <c r="BD182" s="1111"/>
      <c r="BE182" s="1111"/>
      <c r="BF182" s="1111"/>
      <c r="BG182" s="1111"/>
      <c r="BH182" s="1111"/>
      <c r="BI182" s="1111"/>
      <c r="BJ182" s="1111"/>
      <c r="BK182" s="1111"/>
      <c r="BL182" s="1111"/>
      <c r="BM182" s="1111"/>
      <c r="BN182" s="1111"/>
      <c r="BO182" s="1111"/>
      <c r="BP182" s="1111"/>
      <c r="BQ182" s="1111"/>
      <c r="BR182" s="1111"/>
      <c r="BS182" s="1111"/>
      <c r="BT182" s="1111"/>
      <c r="BU182" s="1111"/>
      <c r="BV182" s="1111"/>
      <c r="BW182" s="1111"/>
      <c r="BX182" s="1111"/>
      <c r="BY182" s="1111"/>
      <c r="BZ182" s="1111"/>
      <c r="CA182" s="1111"/>
      <c r="CB182" s="1111"/>
      <c r="CC182" s="1111"/>
      <c r="CD182" s="1111"/>
      <c r="CE182" s="1111"/>
      <c r="CF182" s="1111"/>
      <c r="CG182" s="1111"/>
      <c r="CH182" s="1111"/>
      <c r="CI182" s="1111"/>
      <c r="CJ182" s="1111"/>
      <c r="CK182" s="1110"/>
    </row>
    <row r="183" spans="1:89" ht="14.4" x14ac:dyDescent="0.3">
      <c r="A183" s="1110"/>
      <c r="B183" s="1110"/>
      <c r="C183" s="1110"/>
      <c r="D183" s="1110"/>
      <c r="E183" s="1110"/>
      <c r="F183" s="1110"/>
      <c r="G183" s="1110"/>
      <c r="H183" s="1110"/>
      <c r="I183" s="1110"/>
      <c r="J183" s="1110"/>
      <c r="K183" s="1110"/>
      <c r="L183" s="1110"/>
      <c r="M183" s="1110"/>
      <c r="N183" s="1110"/>
      <c r="O183" s="1110"/>
      <c r="P183" s="1110"/>
      <c r="Q183" s="1110"/>
      <c r="R183" s="1110"/>
      <c r="S183" s="1110"/>
      <c r="T183" s="1111"/>
      <c r="U183" s="1111"/>
      <c r="V183" s="1111"/>
      <c r="W183" s="1111"/>
      <c r="X183" s="1111"/>
      <c r="Y183" s="1111"/>
      <c r="Z183" s="1111"/>
      <c r="AA183" s="1111"/>
      <c r="AB183" s="1111"/>
      <c r="AC183" s="1111"/>
      <c r="AD183" s="1111"/>
      <c r="AE183" s="1111"/>
      <c r="AF183" s="1111"/>
      <c r="AG183" s="1111"/>
      <c r="AH183" s="1111"/>
      <c r="AI183" s="1111"/>
      <c r="AJ183" s="1111"/>
      <c r="AK183" s="1111"/>
      <c r="AL183" s="1111"/>
      <c r="AM183" s="1111"/>
      <c r="AN183" s="1111"/>
      <c r="AO183" s="1111"/>
      <c r="AP183" s="1111"/>
      <c r="AQ183" s="1111"/>
      <c r="AR183" s="1111"/>
      <c r="AS183" s="1111"/>
      <c r="AT183" s="1111"/>
      <c r="AU183" s="1111"/>
      <c r="AV183" s="1111"/>
      <c r="AW183" s="1111"/>
      <c r="AX183" s="1111"/>
      <c r="AY183" s="1111"/>
      <c r="AZ183" s="1111"/>
      <c r="BA183" s="1111"/>
      <c r="BB183" s="1111"/>
      <c r="BC183" s="1111"/>
      <c r="BD183" s="1111"/>
      <c r="BE183" s="1111"/>
      <c r="BF183" s="1111"/>
      <c r="BG183" s="1111"/>
      <c r="BH183" s="1111"/>
      <c r="BI183" s="1111"/>
      <c r="BJ183" s="1111"/>
      <c r="BK183" s="1111"/>
      <c r="BL183" s="1111"/>
      <c r="BM183" s="1111"/>
      <c r="BN183" s="1111"/>
      <c r="BO183" s="1111"/>
      <c r="BP183" s="1111"/>
      <c r="BQ183" s="1111"/>
      <c r="BR183" s="1111"/>
      <c r="BS183" s="1111"/>
      <c r="BT183" s="1111"/>
      <c r="BU183" s="1111"/>
      <c r="BV183" s="1111"/>
      <c r="BW183" s="1111"/>
      <c r="BX183" s="1111"/>
      <c r="BY183" s="1111"/>
      <c r="BZ183" s="1111"/>
      <c r="CA183" s="1111"/>
      <c r="CB183" s="1111"/>
      <c r="CC183" s="1111"/>
      <c r="CD183" s="1111"/>
      <c r="CE183" s="1111"/>
      <c r="CF183" s="1111"/>
      <c r="CG183" s="1111"/>
      <c r="CH183" s="1111"/>
      <c r="CI183" s="1111"/>
      <c r="CJ183" s="1111"/>
      <c r="CK183" s="1110"/>
    </row>
    <row r="184" spans="1:89" ht="14.4" x14ac:dyDescent="0.3">
      <c r="A184" s="1110"/>
      <c r="B184" s="1110"/>
      <c r="C184" s="1110"/>
      <c r="D184" s="1110"/>
      <c r="E184" s="1110"/>
      <c r="F184" s="1110"/>
      <c r="G184" s="1110"/>
      <c r="H184" s="1110"/>
      <c r="I184" s="1110"/>
      <c r="J184" s="1110"/>
      <c r="K184" s="1110"/>
      <c r="L184" s="1110"/>
      <c r="M184" s="1110"/>
      <c r="N184" s="1110"/>
      <c r="O184" s="1110"/>
      <c r="P184" s="1110"/>
      <c r="Q184" s="1110"/>
      <c r="R184" s="1110"/>
      <c r="S184" s="1110"/>
      <c r="T184" s="1111"/>
      <c r="U184" s="1111"/>
      <c r="V184" s="1111"/>
      <c r="W184" s="1111"/>
      <c r="X184" s="1111"/>
      <c r="Y184" s="1111"/>
      <c r="Z184" s="1111"/>
      <c r="AA184" s="1111"/>
      <c r="AB184" s="1111"/>
      <c r="AC184" s="1111"/>
      <c r="AD184" s="1111"/>
      <c r="AE184" s="1111"/>
      <c r="AF184" s="1111"/>
      <c r="AG184" s="1111"/>
      <c r="AH184" s="1111"/>
      <c r="AI184" s="1111"/>
      <c r="AJ184" s="1111"/>
      <c r="AK184" s="1111"/>
      <c r="AL184" s="1111"/>
      <c r="AM184" s="1111"/>
      <c r="AN184" s="1111"/>
      <c r="AO184" s="1111"/>
      <c r="AP184" s="1111"/>
      <c r="AQ184" s="1111"/>
      <c r="AR184" s="1111"/>
      <c r="AS184" s="1111"/>
      <c r="AT184" s="1111"/>
      <c r="AU184" s="1111"/>
      <c r="AV184" s="1111"/>
      <c r="AW184" s="1111"/>
      <c r="AX184" s="1111"/>
      <c r="AY184" s="1111"/>
      <c r="AZ184" s="1111"/>
      <c r="BA184" s="1111"/>
      <c r="BB184" s="1111"/>
      <c r="BC184" s="1111"/>
      <c r="BD184" s="1111"/>
      <c r="BE184" s="1111"/>
      <c r="BF184" s="1111"/>
      <c r="BG184" s="1111"/>
      <c r="BH184" s="1111"/>
      <c r="BI184" s="1111"/>
      <c r="BJ184" s="1111"/>
      <c r="BK184" s="1111"/>
      <c r="BL184" s="1111"/>
      <c r="BM184" s="1111"/>
      <c r="BN184" s="1111"/>
      <c r="BO184" s="1111"/>
      <c r="BP184" s="1111"/>
      <c r="BQ184" s="1111"/>
      <c r="BR184" s="1111"/>
      <c r="BS184" s="1111"/>
      <c r="BT184" s="1111"/>
      <c r="BU184" s="1111"/>
      <c r="BV184" s="1111"/>
      <c r="BW184" s="1111"/>
      <c r="BX184" s="1111"/>
      <c r="BY184" s="1111"/>
      <c r="BZ184" s="1111"/>
      <c r="CA184" s="1111"/>
      <c r="CB184" s="1111"/>
      <c r="CC184" s="1111"/>
      <c r="CD184" s="1111"/>
      <c r="CE184" s="1111"/>
      <c r="CF184" s="1111"/>
      <c r="CG184" s="1111"/>
      <c r="CH184" s="1111"/>
      <c r="CI184" s="1111"/>
      <c r="CJ184" s="1111"/>
      <c r="CK184" s="1110"/>
    </row>
    <row r="185" spans="1:89" ht="14.4" x14ac:dyDescent="0.3">
      <c r="A185" s="1110"/>
      <c r="B185" s="1110"/>
      <c r="C185" s="1110"/>
      <c r="D185" s="1110"/>
      <c r="E185" s="1110"/>
      <c r="F185" s="1110"/>
      <c r="G185" s="1110"/>
      <c r="H185" s="1110"/>
      <c r="I185" s="1110"/>
      <c r="J185" s="1110"/>
      <c r="K185" s="1110"/>
      <c r="L185" s="1110"/>
      <c r="M185" s="1110"/>
      <c r="N185" s="1110"/>
      <c r="O185" s="1110"/>
      <c r="P185" s="1110"/>
      <c r="Q185" s="1110"/>
      <c r="R185" s="1110"/>
      <c r="S185" s="1110"/>
      <c r="T185" s="1111"/>
      <c r="U185" s="1111"/>
      <c r="V185" s="1111"/>
      <c r="W185" s="1111"/>
      <c r="X185" s="1111"/>
      <c r="Y185" s="1111"/>
      <c r="Z185" s="1111"/>
      <c r="AA185" s="1111"/>
      <c r="AB185" s="1111"/>
      <c r="AC185" s="1111"/>
      <c r="AD185" s="1111"/>
      <c r="AE185" s="1111"/>
      <c r="AF185" s="1111"/>
      <c r="AG185" s="1111"/>
      <c r="AH185" s="1111"/>
      <c r="AI185" s="1111"/>
      <c r="AJ185" s="1111"/>
      <c r="AK185" s="1111"/>
      <c r="AL185" s="1111"/>
      <c r="AM185" s="1111"/>
      <c r="AN185" s="1111"/>
      <c r="AO185" s="1111"/>
      <c r="AP185" s="1111"/>
      <c r="AQ185" s="1111"/>
      <c r="AR185" s="1111"/>
      <c r="AS185" s="1111"/>
      <c r="AT185" s="1111"/>
      <c r="AU185" s="1111"/>
      <c r="AV185" s="1111"/>
      <c r="AW185" s="1111"/>
      <c r="AX185" s="1111"/>
      <c r="AY185" s="1111"/>
      <c r="AZ185" s="1111"/>
      <c r="BA185" s="1111"/>
      <c r="BB185" s="1111"/>
      <c r="BC185" s="1111"/>
      <c r="BD185" s="1111"/>
      <c r="BE185" s="1111"/>
      <c r="BF185" s="1111"/>
      <c r="BG185" s="1111"/>
      <c r="BH185" s="1111"/>
      <c r="BI185" s="1111"/>
      <c r="BJ185" s="1111"/>
      <c r="BK185" s="1111"/>
      <c r="BL185" s="1111"/>
      <c r="BM185" s="1111"/>
      <c r="BN185" s="1111"/>
      <c r="BO185" s="1111"/>
      <c r="BP185" s="1111"/>
      <c r="BQ185" s="1111"/>
      <c r="BR185" s="1111"/>
      <c r="BS185" s="1111"/>
      <c r="BT185" s="1111"/>
      <c r="BU185" s="1111"/>
      <c r="BV185" s="1111"/>
      <c r="BW185" s="1111"/>
      <c r="BX185" s="1111"/>
      <c r="BY185" s="1111"/>
      <c r="BZ185" s="1111"/>
      <c r="CA185" s="1111"/>
      <c r="CB185" s="1111"/>
      <c r="CC185" s="1111"/>
      <c r="CD185" s="1111"/>
      <c r="CE185" s="1111"/>
      <c r="CF185" s="1111"/>
      <c r="CG185" s="1111"/>
      <c r="CH185" s="1111"/>
      <c r="CI185" s="1111"/>
      <c r="CJ185" s="1111"/>
      <c r="CK185" s="1110"/>
    </row>
    <row r="186" spans="1:89" ht="14.4" x14ac:dyDescent="0.3">
      <c r="A186" s="1110"/>
      <c r="B186" s="1110"/>
      <c r="C186" s="1110"/>
      <c r="D186" s="1110"/>
      <c r="E186" s="1110"/>
      <c r="F186" s="1110"/>
      <c r="G186" s="1110"/>
      <c r="H186" s="1110"/>
      <c r="I186" s="1110"/>
      <c r="J186" s="1110"/>
      <c r="K186" s="1110"/>
      <c r="L186" s="1110"/>
      <c r="M186" s="1110"/>
      <c r="N186" s="1110"/>
      <c r="O186" s="1110"/>
      <c r="P186" s="1110"/>
      <c r="Q186" s="1110"/>
      <c r="R186" s="1110"/>
      <c r="S186" s="1110"/>
      <c r="T186" s="1111"/>
      <c r="U186" s="1111"/>
      <c r="V186" s="1111"/>
      <c r="W186" s="1111"/>
      <c r="X186" s="1111"/>
      <c r="Y186" s="1111"/>
      <c r="Z186" s="1111"/>
      <c r="AA186" s="1111"/>
      <c r="AB186" s="1111"/>
      <c r="AC186" s="1111"/>
      <c r="AD186" s="1111"/>
      <c r="AE186" s="1111"/>
      <c r="AF186" s="1111"/>
      <c r="AG186" s="1111"/>
      <c r="AH186" s="1111"/>
      <c r="AI186" s="1111"/>
      <c r="AJ186" s="1111"/>
      <c r="AK186" s="1111"/>
      <c r="AL186" s="1111"/>
      <c r="AM186" s="1111"/>
      <c r="AN186" s="1111"/>
      <c r="AO186" s="1111"/>
      <c r="AP186" s="1111"/>
      <c r="AQ186" s="1111"/>
      <c r="AR186" s="1111"/>
      <c r="AS186" s="1111"/>
      <c r="AT186" s="1111"/>
      <c r="AU186" s="1111"/>
      <c r="AV186" s="1111"/>
      <c r="AW186" s="1111"/>
      <c r="AX186" s="1111"/>
      <c r="AY186" s="1111"/>
      <c r="AZ186" s="1111"/>
      <c r="BA186" s="1111"/>
      <c r="BB186" s="1111"/>
      <c r="BC186" s="1111"/>
      <c r="BD186" s="1111"/>
      <c r="BE186" s="1111"/>
      <c r="BF186" s="1111"/>
      <c r="BG186" s="1111"/>
      <c r="BH186" s="1111"/>
      <c r="BI186" s="1111"/>
      <c r="BJ186" s="1111"/>
      <c r="BK186" s="1111"/>
      <c r="BL186" s="1111"/>
      <c r="BM186" s="1111"/>
      <c r="BN186" s="1111"/>
      <c r="BO186" s="1111"/>
      <c r="BP186" s="1111"/>
      <c r="BQ186" s="1111"/>
      <c r="BR186" s="1111"/>
      <c r="BS186" s="1111"/>
      <c r="BT186" s="1111"/>
      <c r="BU186" s="1111"/>
      <c r="BV186" s="1111"/>
      <c r="BW186" s="1111"/>
      <c r="BX186" s="1111"/>
      <c r="BY186" s="1111"/>
      <c r="BZ186" s="1111"/>
      <c r="CA186" s="1111"/>
      <c r="CB186" s="1111"/>
      <c r="CC186" s="1111"/>
      <c r="CD186" s="1111"/>
      <c r="CE186" s="1111"/>
      <c r="CF186" s="1111"/>
      <c r="CG186" s="1111"/>
      <c r="CH186" s="1111"/>
      <c r="CI186" s="1111"/>
      <c r="CJ186" s="1111"/>
      <c r="CK186" s="1110"/>
    </row>
    <row r="187" spans="1:89" ht="14.4" x14ac:dyDescent="0.3">
      <c r="A187" s="1110"/>
      <c r="B187" s="1110"/>
      <c r="C187" s="1110"/>
      <c r="D187" s="1110"/>
      <c r="E187" s="1110"/>
      <c r="F187" s="1110"/>
      <c r="G187" s="1110"/>
      <c r="H187" s="1110"/>
      <c r="I187" s="1110"/>
      <c r="J187" s="1110"/>
      <c r="K187" s="1110"/>
      <c r="L187" s="1110"/>
      <c r="M187" s="1110"/>
      <c r="N187" s="1110"/>
      <c r="O187" s="1110"/>
      <c r="P187" s="1110"/>
      <c r="Q187" s="1110"/>
      <c r="R187" s="1110"/>
      <c r="S187" s="1110"/>
      <c r="T187" s="1111"/>
      <c r="U187" s="1111"/>
      <c r="V187" s="1111"/>
      <c r="W187" s="1111"/>
      <c r="X187" s="1111"/>
      <c r="Y187" s="1111"/>
      <c r="Z187" s="1111"/>
      <c r="AA187" s="1111"/>
      <c r="AB187" s="1111"/>
      <c r="AC187" s="1111"/>
      <c r="AD187" s="1111"/>
      <c r="AE187" s="1111"/>
      <c r="AF187" s="1111"/>
      <c r="AG187" s="1111"/>
      <c r="AH187" s="1111"/>
      <c r="AI187" s="1111"/>
      <c r="AJ187" s="1111"/>
      <c r="AK187" s="1111"/>
      <c r="AL187" s="1111"/>
      <c r="AM187" s="1111"/>
      <c r="AN187" s="1111"/>
      <c r="AO187" s="1111"/>
      <c r="AP187" s="1111"/>
      <c r="AQ187" s="1111"/>
      <c r="AR187" s="1111"/>
      <c r="AS187" s="1111"/>
      <c r="AT187" s="1111"/>
      <c r="AU187" s="1111"/>
      <c r="AV187" s="1111"/>
      <c r="AW187" s="1111"/>
      <c r="AX187" s="1111"/>
      <c r="AY187" s="1111"/>
      <c r="AZ187" s="1111"/>
      <c r="BA187" s="1111"/>
      <c r="BB187" s="1111"/>
      <c r="BC187" s="1111"/>
      <c r="BD187" s="1111"/>
      <c r="BE187" s="1111"/>
      <c r="BF187" s="1111"/>
      <c r="BG187" s="1111"/>
      <c r="BH187" s="1111"/>
      <c r="BI187" s="1111"/>
      <c r="BJ187" s="1111"/>
      <c r="BK187" s="1111"/>
      <c r="BL187" s="1111"/>
      <c r="BM187" s="1111"/>
      <c r="BN187" s="1111"/>
      <c r="BO187" s="1111"/>
      <c r="BP187" s="1111"/>
      <c r="BQ187" s="1111"/>
      <c r="BR187" s="1111"/>
      <c r="BS187" s="1111"/>
      <c r="BT187" s="1111"/>
      <c r="BU187" s="1111"/>
      <c r="BV187" s="1111"/>
      <c r="BW187" s="1111"/>
      <c r="BX187" s="1111"/>
      <c r="BY187" s="1111"/>
      <c r="BZ187" s="1111"/>
      <c r="CA187" s="1111"/>
      <c r="CB187" s="1111"/>
      <c r="CC187" s="1111"/>
      <c r="CD187" s="1111"/>
      <c r="CE187" s="1111"/>
      <c r="CF187" s="1111"/>
      <c r="CG187" s="1111"/>
      <c r="CH187" s="1111"/>
      <c r="CI187" s="1111"/>
      <c r="CJ187" s="1111"/>
      <c r="CK187" s="1110"/>
    </row>
    <row r="188" spans="1:89" ht="14.4" x14ac:dyDescent="0.3">
      <c r="A188" s="1110"/>
      <c r="B188" s="1110"/>
      <c r="C188" s="1110"/>
      <c r="D188" s="1110"/>
      <c r="E188" s="1110"/>
      <c r="F188" s="1110"/>
      <c r="G188" s="1110"/>
      <c r="H188" s="1110"/>
      <c r="I188" s="1110"/>
      <c r="J188" s="1110"/>
      <c r="K188" s="1110"/>
      <c r="L188" s="1110"/>
      <c r="M188" s="1110"/>
      <c r="N188" s="1110"/>
      <c r="O188" s="1110"/>
      <c r="P188" s="1110"/>
      <c r="Q188" s="1110"/>
      <c r="R188" s="1110"/>
      <c r="S188" s="1110"/>
      <c r="T188" s="1111"/>
      <c r="U188" s="1111"/>
      <c r="V188" s="1111"/>
      <c r="W188" s="1111"/>
      <c r="X188" s="1111"/>
      <c r="Y188" s="1111"/>
      <c r="Z188" s="1111"/>
      <c r="AA188" s="1111"/>
      <c r="AB188" s="1111"/>
      <c r="AC188" s="1111"/>
      <c r="AD188" s="1111"/>
      <c r="AE188" s="1111"/>
      <c r="AF188" s="1111"/>
      <c r="AG188" s="1111"/>
      <c r="AH188" s="1111"/>
      <c r="AI188" s="1111"/>
      <c r="AJ188" s="1111"/>
      <c r="AK188" s="1111"/>
      <c r="AL188" s="1111"/>
      <c r="AM188" s="1111"/>
      <c r="AN188" s="1111"/>
      <c r="AO188" s="1111"/>
      <c r="AP188" s="1111"/>
      <c r="AQ188" s="1111"/>
      <c r="AR188" s="1111"/>
      <c r="AS188" s="1111"/>
      <c r="AT188" s="1111"/>
      <c r="AU188" s="1111"/>
      <c r="AV188" s="1111"/>
      <c r="AW188" s="1111"/>
      <c r="AX188" s="1111"/>
      <c r="AY188" s="1111"/>
      <c r="AZ188" s="1111"/>
      <c r="BA188" s="1111"/>
      <c r="BB188" s="1111"/>
      <c r="BC188" s="1111"/>
      <c r="BD188" s="1111"/>
      <c r="BE188" s="1111"/>
      <c r="BF188" s="1111"/>
      <c r="BG188" s="1111"/>
      <c r="BH188" s="1111"/>
      <c r="BI188" s="1111"/>
      <c r="BJ188" s="1111"/>
      <c r="BK188" s="1111"/>
      <c r="BL188" s="1111"/>
      <c r="BM188" s="1111"/>
      <c r="BN188" s="1111"/>
      <c r="BO188" s="1111"/>
      <c r="BP188" s="1111"/>
      <c r="BQ188" s="1111"/>
      <c r="BR188" s="1111"/>
      <c r="BS188" s="1111"/>
      <c r="BT188" s="1111"/>
      <c r="BU188" s="1111"/>
      <c r="BV188" s="1111"/>
      <c r="BW188" s="1111"/>
      <c r="BX188" s="1111"/>
      <c r="BY188" s="1111"/>
      <c r="BZ188" s="1111"/>
      <c r="CA188" s="1111"/>
      <c r="CB188" s="1111"/>
      <c r="CC188" s="1111"/>
      <c r="CD188" s="1111"/>
      <c r="CE188" s="1111"/>
      <c r="CF188" s="1111"/>
      <c r="CG188" s="1111"/>
      <c r="CH188" s="1111"/>
      <c r="CI188" s="1111"/>
      <c r="CJ188" s="1111"/>
      <c r="CK188" s="1110"/>
    </row>
    <row r="189" spans="1:89" ht="14.4" x14ac:dyDescent="0.3">
      <c r="A189" s="1110"/>
      <c r="B189" s="1110"/>
      <c r="C189" s="1110"/>
      <c r="D189" s="1110"/>
      <c r="E189" s="1110"/>
      <c r="F189" s="1110"/>
      <c r="G189" s="1110"/>
      <c r="H189" s="1110"/>
      <c r="I189" s="1110"/>
      <c r="J189" s="1110"/>
      <c r="K189" s="1110"/>
      <c r="L189" s="1110"/>
      <c r="M189" s="1110"/>
      <c r="N189" s="1110"/>
      <c r="O189" s="1110"/>
      <c r="P189" s="1110"/>
      <c r="Q189" s="1110"/>
      <c r="R189" s="1110"/>
      <c r="S189" s="1110"/>
      <c r="T189" s="1111"/>
      <c r="U189" s="1111"/>
      <c r="V189" s="1111"/>
      <c r="W189" s="1111"/>
      <c r="X189" s="1111"/>
      <c r="Y189" s="1111"/>
      <c r="Z189" s="1111"/>
      <c r="AA189" s="1111"/>
      <c r="AB189" s="1111"/>
      <c r="AC189" s="1111"/>
      <c r="AD189" s="1111"/>
      <c r="AE189" s="1111"/>
      <c r="AF189" s="1111"/>
      <c r="AG189" s="1111"/>
      <c r="AH189" s="1111"/>
      <c r="AI189" s="1111"/>
      <c r="AJ189" s="1111"/>
      <c r="AK189" s="1111"/>
      <c r="AL189" s="1111"/>
      <c r="AM189" s="1111"/>
      <c r="AN189" s="1111"/>
      <c r="AO189" s="1111"/>
      <c r="AP189" s="1111"/>
      <c r="AQ189" s="1111"/>
      <c r="AR189" s="1111"/>
      <c r="AS189" s="1111"/>
      <c r="AT189" s="1111"/>
      <c r="AU189" s="1111"/>
      <c r="AV189" s="1111"/>
      <c r="AW189" s="1111"/>
      <c r="AX189" s="1111"/>
      <c r="AY189" s="1111"/>
      <c r="AZ189" s="1111"/>
      <c r="BA189" s="1111"/>
      <c r="BB189" s="1111"/>
      <c r="BC189" s="1111"/>
      <c r="BD189" s="1111"/>
      <c r="BE189" s="1111"/>
      <c r="BF189" s="1111"/>
      <c r="BG189" s="1111"/>
      <c r="BH189" s="1111"/>
      <c r="BI189" s="1111"/>
      <c r="BJ189" s="1111"/>
      <c r="BK189" s="1111"/>
      <c r="BL189" s="1111"/>
      <c r="BM189" s="1111"/>
      <c r="BN189" s="1111"/>
      <c r="BO189" s="1111"/>
      <c r="BP189" s="1111"/>
      <c r="BQ189" s="1111"/>
      <c r="BR189" s="1111"/>
      <c r="BS189" s="1111"/>
      <c r="BT189" s="1111"/>
      <c r="BU189" s="1111"/>
      <c r="BV189" s="1111"/>
      <c r="BW189" s="1111"/>
      <c r="BX189" s="1111"/>
      <c r="BY189" s="1111"/>
      <c r="BZ189" s="1111"/>
      <c r="CA189" s="1111"/>
      <c r="CB189" s="1111"/>
      <c r="CC189" s="1111"/>
      <c r="CD189" s="1111"/>
      <c r="CE189" s="1111"/>
      <c r="CF189" s="1111"/>
      <c r="CG189" s="1111"/>
      <c r="CH189" s="1111"/>
      <c r="CI189" s="1111"/>
      <c r="CJ189" s="1111"/>
      <c r="CK189" s="1110"/>
    </row>
    <row r="190" spans="1:89" ht="14.4" x14ac:dyDescent="0.3">
      <c r="A190" s="1110"/>
      <c r="B190" s="1110"/>
      <c r="C190" s="1110"/>
      <c r="D190" s="1110"/>
      <c r="E190" s="1110"/>
      <c r="F190" s="1110"/>
      <c r="G190" s="1110"/>
      <c r="H190" s="1110"/>
      <c r="I190" s="1110"/>
      <c r="J190" s="1110"/>
      <c r="K190" s="1110"/>
      <c r="L190" s="1110"/>
      <c r="M190" s="1110"/>
      <c r="N190" s="1110"/>
      <c r="O190" s="1110"/>
      <c r="P190" s="1110"/>
      <c r="Q190" s="1110"/>
      <c r="R190" s="1110"/>
      <c r="S190" s="1110"/>
      <c r="T190" s="1111"/>
      <c r="U190" s="1111"/>
      <c r="V190" s="1111"/>
      <c r="W190" s="1111"/>
      <c r="X190" s="1111"/>
      <c r="Y190" s="1111"/>
      <c r="Z190" s="1111"/>
      <c r="AA190" s="1111"/>
      <c r="AB190" s="1111"/>
      <c r="AC190" s="1111"/>
      <c r="AD190" s="1111"/>
      <c r="AE190" s="1111"/>
      <c r="AF190" s="1111"/>
      <c r="AG190" s="1111"/>
      <c r="AH190" s="1111"/>
      <c r="AI190" s="1111"/>
      <c r="AJ190" s="1111"/>
      <c r="AK190" s="1111"/>
      <c r="AL190" s="1111"/>
      <c r="AM190" s="1111"/>
      <c r="AN190" s="1111"/>
      <c r="AO190" s="1111"/>
      <c r="AP190" s="1111"/>
      <c r="AQ190" s="1111"/>
      <c r="AR190" s="1111"/>
      <c r="AS190" s="1111"/>
      <c r="AT190" s="1111"/>
      <c r="AU190" s="1111"/>
      <c r="AV190" s="1111"/>
      <c r="AW190" s="1111"/>
      <c r="AX190" s="1111"/>
      <c r="AY190" s="1111"/>
      <c r="AZ190" s="1111"/>
      <c r="BA190" s="1111"/>
      <c r="BB190" s="1111"/>
      <c r="BC190" s="1111"/>
      <c r="BD190" s="1111"/>
      <c r="BE190" s="1111"/>
      <c r="BF190" s="1111"/>
      <c r="BG190" s="1111"/>
      <c r="BH190" s="1111"/>
      <c r="BI190" s="1111"/>
      <c r="BJ190" s="1111"/>
      <c r="BK190" s="1111"/>
      <c r="BL190" s="1111"/>
      <c r="BM190" s="1111"/>
      <c r="BN190" s="1111"/>
      <c r="BO190" s="1111"/>
      <c r="BP190" s="1111"/>
      <c r="BQ190" s="1111"/>
      <c r="BR190" s="1111"/>
      <c r="BS190" s="1111"/>
      <c r="BT190" s="1111"/>
      <c r="BU190" s="1111"/>
      <c r="BV190" s="1111"/>
      <c r="BW190" s="1111"/>
      <c r="BX190" s="1111"/>
      <c r="BY190" s="1111"/>
      <c r="BZ190" s="1111"/>
      <c r="CA190" s="1111"/>
      <c r="CB190" s="1111"/>
      <c r="CC190" s="1111"/>
      <c r="CD190" s="1111"/>
      <c r="CE190" s="1111"/>
      <c r="CF190" s="1111"/>
      <c r="CG190" s="1111"/>
      <c r="CH190" s="1111"/>
      <c r="CI190" s="1111"/>
      <c r="CJ190" s="1111"/>
      <c r="CK190" s="1110"/>
    </row>
    <row r="191" spans="1:89" ht="14.4" x14ac:dyDescent="0.3">
      <c r="A191" s="1110"/>
      <c r="B191" s="1110"/>
      <c r="C191" s="1110"/>
      <c r="D191" s="1110"/>
      <c r="E191" s="1110"/>
      <c r="F191" s="1110"/>
      <c r="G191" s="1110"/>
      <c r="H191" s="1110"/>
      <c r="I191" s="1110"/>
      <c r="J191" s="1110"/>
      <c r="K191" s="1110"/>
      <c r="L191" s="1110"/>
      <c r="M191" s="1110"/>
      <c r="N191" s="1110"/>
      <c r="O191" s="1110"/>
      <c r="P191" s="1110"/>
      <c r="Q191" s="1110"/>
      <c r="R191" s="1110"/>
      <c r="S191" s="1110"/>
      <c r="T191" s="1111"/>
      <c r="U191" s="1111"/>
      <c r="V191" s="1111"/>
      <c r="W191" s="1111"/>
      <c r="X191" s="1111"/>
      <c r="Y191" s="1111"/>
      <c r="Z191" s="1111"/>
      <c r="AA191" s="1111"/>
      <c r="AB191" s="1111"/>
      <c r="AC191" s="1111"/>
      <c r="AD191" s="1111"/>
      <c r="AE191" s="1111"/>
      <c r="AF191" s="1111"/>
      <c r="AG191" s="1111"/>
      <c r="AH191" s="1111"/>
      <c r="AI191" s="1111"/>
      <c r="AJ191" s="1111"/>
      <c r="AK191" s="1111"/>
      <c r="AL191" s="1111"/>
      <c r="AM191" s="1111"/>
      <c r="AN191" s="1111"/>
      <c r="AO191" s="1111"/>
      <c r="AP191" s="1111"/>
      <c r="AQ191" s="1111"/>
      <c r="AR191" s="1111"/>
      <c r="AS191" s="1111"/>
      <c r="AT191" s="1111"/>
      <c r="AU191" s="1111"/>
      <c r="AV191" s="1111"/>
      <c r="AW191" s="1111"/>
      <c r="AX191" s="1111"/>
      <c r="AY191" s="1111"/>
      <c r="AZ191" s="1111"/>
      <c r="BA191" s="1111"/>
      <c r="BB191" s="1111"/>
      <c r="BC191" s="1111"/>
      <c r="BD191" s="1111"/>
      <c r="BE191" s="1111"/>
      <c r="BF191" s="1111"/>
      <c r="BG191" s="1111"/>
      <c r="BH191" s="1111"/>
      <c r="BI191" s="1111"/>
      <c r="BJ191" s="1111"/>
      <c r="BK191" s="1111"/>
      <c r="BL191" s="1111"/>
      <c r="BM191" s="1111"/>
      <c r="BN191" s="1111"/>
      <c r="BO191" s="1111"/>
      <c r="BP191" s="1111"/>
      <c r="BQ191" s="1111"/>
      <c r="BR191" s="1111"/>
      <c r="BS191" s="1111"/>
      <c r="BT191" s="1111"/>
      <c r="BU191" s="1111"/>
      <c r="BV191" s="1111"/>
      <c r="BW191" s="1111"/>
      <c r="BX191" s="1111"/>
      <c r="BY191" s="1111"/>
      <c r="BZ191" s="1111"/>
      <c r="CA191" s="1111"/>
      <c r="CB191" s="1111"/>
      <c r="CC191" s="1111"/>
      <c r="CD191" s="1111"/>
      <c r="CE191" s="1111"/>
      <c r="CF191" s="1111"/>
      <c r="CG191" s="1111"/>
      <c r="CH191" s="1111"/>
      <c r="CI191" s="1111"/>
      <c r="CJ191" s="1111"/>
      <c r="CK191" s="1110"/>
    </row>
    <row r="192" spans="1:89" ht="14.4" x14ac:dyDescent="0.3">
      <c r="A192" s="1110"/>
      <c r="B192" s="1110"/>
      <c r="C192" s="1110"/>
      <c r="D192" s="1110"/>
      <c r="E192" s="1110"/>
      <c r="F192" s="1110"/>
      <c r="G192" s="1110"/>
      <c r="H192" s="1110"/>
      <c r="I192" s="1110"/>
      <c r="J192" s="1110"/>
      <c r="K192" s="1110"/>
      <c r="L192" s="1110"/>
      <c r="M192" s="1110"/>
      <c r="N192" s="1110"/>
      <c r="O192" s="1110"/>
      <c r="P192" s="1110"/>
      <c r="Q192" s="1110"/>
      <c r="R192" s="1110"/>
      <c r="S192" s="1110"/>
      <c r="T192" s="1111"/>
      <c r="U192" s="1111"/>
      <c r="V192" s="1111"/>
      <c r="W192" s="1111"/>
      <c r="X192" s="1111"/>
      <c r="Y192" s="1111"/>
      <c r="Z192" s="1111"/>
      <c r="AA192" s="1111"/>
      <c r="AB192" s="1111"/>
      <c r="AC192" s="1111"/>
      <c r="AD192" s="1111"/>
      <c r="AE192" s="1111"/>
      <c r="AF192" s="1111"/>
      <c r="AG192" s="1111"/>
      <c r="AH192" s="1111"/>
      <c r="AI192" s="1111"/>
      <c r="AJ192" s="1111"/>
      <c r="AK192" s="1111"/>
      <c r="AL192" s="1111"/>
      <c r="AM192" s="1111"/>
      <c r="AN192" s="1111"/>
      <c r="AO192" s="1111"/>
      <c r="AP192" s="1111"/>
      <c r="AQ192" s="1111"/>
      <c r="AR192" s="1111"/>
      <c r="AS192" s="1111"/>
      <c r="AT192" s="1111"/>
      <c r="AU192" s="1111"/>
      <c r="AV192" s="1111"/>
      <c r="AW192" s="1111"/>
      <c r="AX192" s="1111"/>
      <c r="AY192" s="1111"/>
      <c r="AZ192" s="1111"/>
      <c r="BA192" s="1111"/>
      <c r="BB192" s="1111"/>
      <c r="BC192" s="1111"/>
      <c r="BD192" s="1111"/>
      <c r="BE192" s="1111"/>
      <c r="BF192" s="1111"/>
      <c r="BG192" s="1111"/>
      <c r="BH192" s="1111"/>
      <c r="BI192" s="1111"/>
      <c r="BJ192" s="1111"/>
      <c r="BK192" s="1111"/>
      <c r="BL192" s="1111"/>
      <c r="BM192" s="1111"/>
      <c r="BN192" s="1111"/>
      <c r="BO192" s="1111"/>
      <c r="BP192" s="1111"/>
      <c r="BQ192" s="1111"/>
      <c r="BR192" s="1111"/>
      <c r="BS192" s="1111"/>
      <c r="BT192" s="1111"/>
      <c r="BU192" s="1111"/>
      <c r="BV192" s="1111"/>
      <c r="BW192" s="1111"/>
      <c r="BX192" s="1111"/>
      <c r="BY192" s="1111"/>
      <c r="BZ192" s="1111"/>
      <c r="CA192" s="1111"/>
      <c r="CB192" s="1111"/>
      <c r="CC192" s="1111"/>
      <c r="CD192" s="1111"/>
      <c r="CE192" s="1111"/>
      <c r="CF192" s="1111"/>
      <c r="CG192" s="1111"/>
      <c r="CH192" s="1111"/>
      <c r="CI192" s="1111"/>
      <c r="CJ192" s="1111"/>
      <c r="CK192" s="1110"/>
    </row>
    <row r="193" spans="1:89" ht="14.4" x14ac:dyDescent="0.3">
      <c r="A193" s="1110"/>
      <c r="B193" s="1110"/>
      <c r="C193" s="1110"/>
      <c r="D193" s="1110"/>
      <c r="E193" s="1110"/>
      <c r="F193" s="1110"/>
      <c r="G193" s="1110"/>
      <c r="H193" s="1110"/>
      <c r="I193" s="1110"/>
      <c r="J193" s="1110"/>
      <c r="K193" s="1110"/>
      <c r="L193" s="1110"/>
      <c r="M193" s="1110"/>
      <c r="N193" s="1110"/>
      <c r="O193" s="1110"/>
      <c r="P193" s="1110"/>
      <c r="Q193" s="1110"/>
      <c r="R193" s="1110"/>
      <c r="S193" s="1110"/>
      <c r="T193" s="1111"/>
      <c r="U193" s="1111"/>
      <c r="V193" s="1111"/>
      <c r="W193" s="1111"/>
      <c r="X193" s="1111"/>
      <c r="Y193" s="1111"/>
      <c r="Z193" s="1111"/>
      <c r="AA193" s="1111"/>
      <c r="AB193" s="1111"/>
      <c r="AC193" s="1111"/>
      <c r="AD193" s="1111"/>
      <c r="AE193" s="1111"/>
      <c r="AF193" s="1111"/>
      <c r="AG193" s="1111"/>
      <c r="AH193" s="1111"/>
      <c r="AI193" s="1111"/>
      <c r="AJ193" s="1111"/>
      <c r="AK193" s="1111"/>
      <c r="AL193" s="1111"/>
      <c r="AM193" s="1111"/>
      <c r="AN193" s="1111"/>
      <c r="AO193" s="1111"/>
      <c r="AP193" s="1111"/>
      <c r="AQ193" s="1111"/>
      <c r="AR193" s="1111"/>
      <c r="AS193" s="1111"/>
      <c r="AT193" s="1111"/>
      <c r="AU193" s="1111"/>
      <c r="AV193" s="1111"/>
      <c r="AW193" s="1111"/>
      <c r="AX193" s="1111"/>
      <c r="AY193" s="1111"/>
      <c r="AZ193" s="1111"/>
      <c r="BA193" s="1111"/>
      <c r="BB193" s="1111"/>
      <c r="BC193" s="1111"/>
      <c r="BD193" s="1111"/>
      <c r="BE193" s="1111"/>
      <c r="BF193" s="1111"/>
      <c r="BG193" s="1111"/>
      <c r="BH193" s="1111"/>
      <c r="BI193" s="1111"/>
      <c r="BJ193" s="1111"/>
      <c r="BK193" s="1111"/>
      <c r="BL193" s="1111"/>
      <c r="BM193" s="1111"/>
      <c r="BN193" s="1111"/>
      <c r="BO193" s="1111"/>
      <c r="BP193" s="1111"/>
      <c r="BQ193" s="1111"/>
      <c r="BR193" s="1111"/>
      <c r="BS193" s="1111"/>
      <c r="BT193" s="1111"/>
      <c r="BU193" s="1111"/>
      <c r="BV193" s="1111"/>
      <c r="BW193" s="1111"/>
      <c r="BX193" s="1111"/>
      <c r="BY193" s="1111"/>
      <c r="BZ193" s="1111"/>
      <c r="CA193" s="1111"/>
      <c r="CB193" s="1111"/>
      <c r="CC193" s="1111"/>
      <c r="CD193" s="1111"/>
      <c r="CE193" s="1111"/>
      <c r="CF193" s="1111"/>
      <c r="CG193" s="1111"/>
      <c r="CH193" s="1111"/>
      <c r="CI193" s="1111"/>
      <c r="CJ193" s="1111"/>
      <c r="CK193" s="1110"/>
    </row>
    <row r="194" spans="1:89" ht="14.4" x14ac:dyDescent="0.3">
      <c r="A194" s="1110"/>
      <c r="B194" s="1110"/>
      <c r="C194" s="1110"/>
      <c r="D194" s="1110"/>
      <c r="E194" s="1110"/>
      <c r="F194" s="1110"/>
      <c r="G194" s="1110"/>
      <c r="H194" s="1110"/>
      <c r="I194" s="1110"/>
      <c r="J194" s="1110"/>
      <c r="K194" s="1110"/>
      <c r="L194" s="1110"/>
      <c r="M194" s="1110"/>
      <c r="N194" s="1110"/>
      <c r="O194" s="1110"/>
      <c r="P194" s="1110"/>
      <c r="Q194" s="1110"/>
      <c r="R194" s="1110"/>
      <c r="S194" s="1110"/>
      <c r="T194" s="1111"/>
      <c r="U194" s="1111"/>
      <c r="V194" s="1111"/>
      <c r="W194" s="1111"/>
      <c r="X194" s="1111"/>
      <c r="Y194" s="1111"/>
      <c r="Z194" s="1111"/>
      <c r="AA194" s="1111"/>
      <c r="AB194" s="1111"/>
      <c r="AC194" s="1111"/>
      <c r="AD194" s="1111"/>
      <c r="AE194" s="1111"/>
      <c r="AF194" s="1111"/>
      <c r="AG194" s="1111"/>
      <c r="AH194" s="1111"/>
      <c r="AI194" s="1111"/>
      <c r="AJ194" s="1111"/>
      <c r="AK194" s="1111"/>
      <c r="AL194" s="1111"/>
      <c r="AM194" s="1111"/>
      <c r="AN194" s="1111"/>
      <c r="AO194" s="1111"/>
      <c r="AP194" s="1111"/>
      <c r="AQ194" s="1111"/>
      <c r="AR194" s="1111"/>
      <c r="AS194" s="1111"/>
      <c r="AT194" s="1111"/>
      <c r="AU194" s="1111"/>
      <c r="AV194" s="1111"/>
      <c r="AW194" s="1111"/>
      <c r="AX194" s="1111"/>
      <c r="AY194" s="1111"/>
      <c r="AZ194" s="1111"/>
      <c r="BA194" s="1111"/>
      <c r="BB194" s="1111"/>
      <c r="BC194" s="1111"/>
      <c r="BD194" s="1111"/>
      <c r="BE194" s="1111"/>
      <c r="BF194" s="1111"/>
      <c r="BG194" s="1111"/>
      <c r="BH194" s="1111"/>
      <c r="BI194" s="1111"/>
      <c r="BJ194" s="1111"/>
      <c r="BK194" s="1111"/>
      <c r="BL194" s="1111"/>
      <c r="BM194" s="1111"/>
      <c r="BN194" s="1111"/>
      <c r="BO194" s="1111"/>
      <c r="BP194" s="1111"/>
      <c r="BQ194" s="1111"/>
      <c r="BR194" s="1111"/>
      <c r="BS194" s="1111"/>
      <c r="BT194" s="1111"/>
      <c r="BU194" s="1111"/>
      <c r="BV194" s="1111"/>
      <c r="BW194" s="1111"/>
      <c r="BX194" s="1111"/>
      <c r="BY194" s="1111"/>
      <c r="BZ194" s="1111"/>
      <c r="CA194" s="1111"/>
      <c r="CB194" s="1111"/>
      <c r="CC194" s="1111"/>
      <c r="CD194" s="1111"/>
      <c r="CE194" s="1111"/>
      <c r="CF194" s="1111"/>
      <c r="CG194" s="1111"/>
      <c r="CH194" s="1111"/>
      <c r="CI194" s="1111"/>
      <c r="CJ194" s="1111"/>
      <c r="CK194" s="1110"/>
    </row>
    <row r="195" spans="1:89" ht="14.4" x14ac:dyDescent="0.3">
      <c r="A195" s="1110"/>
      <c r="B195" s="1110"/>
      <c r="C195" s="1110"/>
      <c r="D195" s="1110"/>
      <c r="E195" s="1110"/>
      <c r="F195" s="1110"/>
      <c r="G195" s="1110"/>
      <c r="H195" s="1110"/>
      <c r="I195" s="1110"/>
      <c r="J195" s="1110"/>
      <c r="K195" s="1110"/>
      <c r="L195" s="1110"/>
      <c r="M195" s="1110"/>
      <c r="N195" s="1110"/>
      <c r="O195" s="1110"/>
      <c r="P195" s="1110"/>
      <c r="Q195" s="1110"/>
      <c r="R195" s="1110"/>
      <c r="S195" s="1110"/>
      <c r="T195" s="1111"/>
      <c r="U195" s="1111"/>
      <c r="V195" s="1111"/>
      <c r="W195" s="1111"/>
      <c r="X195" s="1111"/>
      <c r="Y195" s="1111"/>
      <c r="Z195" s="1111"/>
      <c r="AA195" s="1111"/>
      <c r="AB195" s="1111"/>
      <c r="AC195" s="1111"/>
      <c r="AD195" s="1111"/>
      <c r="AE195" s="1111"/>
      <c r="AF195" s="1111"/>
      <c r="AG195" s="1111"/>
      <c r="AH195" s="1111"/>
      <c r="AI195" s="1111"/>
      <c r="AJ195" s="1111"/>
      <c r="AK195" s="1111"/>
      <c r="AL195" s="1111"/>
      <c r="AM195" s="1111"/>
      <c r="AN195" s="1111"/>
      <c r="AO195" s="1111"/>
      <c r="AP195" s="1111"/>
      <c r="AQ195" s="1111"/>
      <c r="AR195" s="1111"/>
      <c r="AS195" s="1111"/>
      <c r="AT195" s="1111"/>
      <c r="AU195" s="1111"/>
      <c r="AV195" s="1111"/>
      <c r="AW195" s="1111"/>
      <c r="AX195" s="1111"/>
      <c r="AY195" s="1111"/>
      <c r="AZ195" s="1111"/>
      <c r="BA195" s="1111"/>
      <c r="BB195" s="1111"/>
      <c r="BC195" s="1111"/>
      <c r="BD195" s="1111"/>
      <c r="BE195" s="1111"/>
      <c r="BF195" s="1111"/>
      <c r="BG195" s="1111"/>
      <c r="BH195" s="1111"/>
      <c r="BI195" s="1111"/>
      <c r="BJ195" s="1111"/>
      <c r="BK195" s="1111"/>
      <c r="BL195" s="1111"/>
      <c r="BM195" s="1111"/>
      <c r="BN195" s="1111"/>
      <c r="BO195" s="1111"/>
      <c r="BP195" s="1111"/>
      <c r="BQ195" s="1111"/>
      <c r="BR195" s="1111"/>
      <c r="BS195" s="1111"/>
      <c r="BT195" s="1111"/>
      <c r="BU195" s="1111"/>
      <c r="BV195" s="1111"/>
      <c r="BW195" s="1111"/>
      <c r="BX195" s="1111"/>
      <c r="BY195" s="1111"/>
      <c r="BZ195" s="1111"/>
      <c r="CA195" s="1111"/>
      <c r="CB195" s="1111"/>
      <c r="CC195" s="1111"/>
      <c r="CD195" s="1111"/>
      <c r="CE195" s="1111"/>
      <c r="CF195" s="1111"/>
      <c r="CG195" s="1111"/>
      <c r="CH195" s="1111"/>
      <c r="CI195" s="1111"/>
      <c r="CJ195" s="1111"/>
      <c r="CK195" s="1110"/>
    </row>
    <row r="196" spans="1:89" ht="14.4" x14ac:dyDescent="0.3">
      <c r="A196" s="1110"/>
      <c r="B196" s="1110"/>
      <c r="C196" s="1110"/>
      <c r="D196" s="1110"/>
      <c r="E196" s="1110"/>
      <c r="F196" s="1110"/>
      <c r="G196" s="1110"/>
      <c r="H196" s="1110"/>
      <c r="I196" s="1110"/>
      <c r="J196" s="1110"/>
      <c r="K196" s="1110"/>
      <c r="L196" s="1110"/>
      <c r="M196" s="1110"/>
      <c r="N196" s="1110"/>
      <c r="O196" s="1110"/>
      <c r="P196" s="1110"/>
      <c r="Q196" s="1110"/>
      <c r="R196" s="1110"/>
      <c r="S196" s="1110"/>
      <c r="T196" s="1111"/>
      <c r="U196" s="1111"/>
      <c r="V196" s="1111"/>
      <c r="W196" s="1111"/>
      <c r="X196" s="1111"/>
      <c r="Y196" s="1111"/>
      <c r="Z196" s="1111"/>
      <c r="AA196" s="1111"/>
      <c r="AB196" s="1111"/>
      <c r="AC196" s="1111"/>
      <c r="AD196" s="1111"/>
      <c r="AE196" s="1111"/>
      <c r="AF196" s="1111"/>
      <c r="AG196" s="1111"/>
      <c r="AH196" s="1111"/>
      <c r="AI196" s="1111"/>
      <c r="AJ196" s="1111"/>
      <c r="AK196" s="1111"/>
      <c r="AL196" s="1111"/>
      <c r="AM196" s="1111"/>
      <c r="AN196" s="1111"/>
      <c r="AO196" s="1111"/>
      <c r="AP196" s="1111"/>
      <c r="AQ196" s="1111"/>
      <c r="AR196" s="1111"/>
      <c r="AS196" s="1111"/>
      <c r="AT196" s="1111"/>
      <c r="AU196" s="1111"/>
      <c r="AV196" s="1111"/>
      <c r="AW196" s="1111"/>
      <c r="AX196" s="1111"/>
      <c r="AY196" s="1111"/>
      <c r="AZ196" s="1111"/>
      <c r="BA196" s="1111"/>
      <c r="BB196" s="1111"/>
      <c r="BC196" s="1111"/>
      <c r="BD196" s="1111"/>
      <c r="BE196" s="1111"/>
      <c r="BF196" s="1111"/>
      <c r="BG196" s="1111"/>
      <c r="BH196" s="1111"/>
      <c r="BI196" s="1111"/>
      <c r="BJ196" s="1111"/>
      <c r="BK196" s="1111"/>
      <c r="BL196" s="1111"/>
      <c r="BM196" s="1111"/>
      <c r="BN196" s="1111"/>
      <c r="BO196" s="1111"/>
      <c r="BP196" s="1111"/>
      <c r="BQ196" s="1111"/>
      <c r="BR196" s="1111"/>
      <c r="BS196" s="1111"/>
      <c r="BT196" s="1111"/>
      <c r="BU196" s="1111"/>
      <c r="BV196" s="1111"/>
      <c r="BW196" s="1111"/>
      <c r="BX196" s="1111"/>
      <c r="BY196" s="1111"/>
      <c r="BZ196" s="1111"/>
      <c r="CA196" s="1111"/>
      <c r="CB196" s="1111"/>
      <c r="CC196" s="1111"/>
      <c r="CD196" s="1111"/>
      <c r="CE196" s="1111"/>
      <c r="CF196" s="1111"/>
      <c r="CG196" s="1111"/>
      <c r="CH196" s="1111"/>
      <c r="CI196" s="1111"/>
      <c r="CJ196" s="1111"/>
      <c r="CK196" s="1110"/>
    </row>
    <row r="197" spans="1:89" ht="14.4" x14ac:dyDescent="0.3">
      <c r="A197" s="1110"/>
      <c r="B197" s="1110"/>
      <c r="C197" s="1110"/>
      <c r="D197" s="1110"/>
      <c r="E197" s="1110"/>
      <c r="F197" s="1110"/>
      <c r="G197" s="1110"/>
      <c r="H197" s="1110"/>
      <c r="I197" s="1110"/>
      <c r="J197" s="1110"/>
      <c r="K197" s="1110"/>
      <c r="L197" s="1110"/>
      <c r="M197" s="1110"/>
      <c r="N197" s="1110"/>
      <c r="O197" s="1110"/>
      <c r="P197" s="1110"/>
      <c r="Q197" s="1110"/>
      <c r="R197" s="1110"/>
      <c r="S197" s="1110"/>
      <c r="T197" s="1111"/>
      <c r="U197" s="1111"/>
      <c r="V197" s="1111"/>
      <c r="W197" s="1111"/>
      <c r="X197" s="1111"/>
      <c r="Y197" s="1111"/>
      <c r="Z197" s="1111"/>
      <c r="AA197" s="1111"/>
      <c r="AB197" s="1111"/>
      <c r="AC197" s="1111"/>
      <c r="AD197" s="1111"/>
      <c r="AE197" s="1111"/>
      <c r="AF197" s="1111"/>
      <c r="AG197" s="1111"/>
      <c r="AH197" s="1111"/>
      <c r="AI197" s="1111"/>
      <c r="AJ197" s="1111"/>
      <c r="AK197" s="1111"/>
      <c r="AL197" s="1111"/>
      <c r="AM197" s="1111"/>
      <c r="AN197" s="1111"/>
      <c r="AO197" s="1111"/>
      <c r="AP197" s="1111"/>
      <c r="AQ197" s="1111"/>
      <c r="AR197" s="1111"/>
      <c r="AS197" s="1111"/>
      <c r="AT197" s="1111"/>
      <c r="AU197" s="1111"/>
      <c r="AV197" s="1111"/>
      <c r="AW197" s="1111"/>
      <c r="AX197" s="1111"/>
      <c r="AY197" s="1111"/>
      <c r="AZ197" s="1111"/>
      <c r="BA197" s="1111"/>
      <c r="BB197" s="1111"/>
      <c r="BC197" s="1111"/>
      <c r="BD197" s="1111"/>
      <c r="BE197" s="1111"/>
      <c r="BF197" s="1111"/>
      <c r="BG197" s="1111"/>
      <c r="BH197" s="1111"/>
      <c r="BI197" s="1111"/>
      <c r="BJ197" s="1111"/>
      <c r="BK197" s="1111"/>
      <c r="BL197" s="1111"/>
      <c r="BM197" s="1111"/>
      <c r="BN197" s="1111"/>
      <c r="BO197" s="1111"/>
      <c r="BP197" s="1111"/>
      <c r="BQ197" s="1111"/>
      <c r="BR197" s="1111"/>
      <c r="BS197" s="1111"/>
      <c r="BT197" s="1111"/>
      <c r="BU197" s="1111"/>
      <c r="BV197" s="1111"/>
      <c r="BW197" s="1111"/>
      <c r="BX197" s="1111"/>
      <c r="BY197" s="1111"/>
      <c r="BZ197" s="1111"/>
      <c r="CA197" s="1111"/>
      <c r="CB197" s="1111"/>
      <c r="CC197" s="1111"/>
      <c r="CD197" s="1111"/>
      <c r="CE197" s="1111"/>
      <c r="CF197" s="1111"/>
      <c r="CG197" s="1111"/>
      <c r="CH197" s="1111"/>
      <c r="CI197" s="1111"/>
      <c r="CJ197" s="1111"/>
      <c r="CK197" s="1110"/>
    </row>
    <row r="198" spans="1:89" ht="14.4" x14ac:dyDescent="0.3">
      <c r="A198" s="1110"/>
      <c r="B198" s="1110"/>
      <c r="C198" s="1110"/>
      <c r="D198" s="1110"/>
      <c r="E198" s="1110"/>
      <c r="F198" s="1110"/>
      <c r="G198" s="1110"/>
      <c r="H198" s="1110"/>
      <c r="I198" s="1110"/>
      <c r="J198" s="1110"/>
      <c r="K198" s="1110"/>
      <c r="L198" s="1110"/>
      <c r="M198" s="1110"/>
      <c r="N198" s="1110"/>
      <c r="O198" s="1110"/>
      <c r="P198" s="1110"/>
      <c r="Q198" s="1110"/>
      <c r="R198" s="1110"/>
      <c r="S198" s="1110"/>
      <c r="T198" s="1111"/>
      <c r="U198" s="1111"/>
      <c r="V198" s="1111"/>
      <c r="W198" s="1111"/>
      <c r="X198" s="1111"/>
      <c r="Y198" s="1111"/>
      <c r="Z198" s="1111"/>
      <c r="AA198" s="1111"/>
      <c r="AB198" s="1111"/>
      <c r="AC198" s="1111"/>
      <c r="AD198" s="1111"/>
      <c r="AE198" s="1111"/>
      <c r="AF198" s="1111"/>
      <c r="AG198" s="1111"/>
      <c r="AH198" s="1111"/>
      <c r="AI198" s="1111"/>
      <c r="AJ198" s="1111"/>
      <c r="AK198" s="1111"/>
      <c r="AL198" s="1111"/>
      <c r="AM198" s="1111"/>
      <c r="AN198" s="1111"/>
      <c r="AO198" s="1111"/>
      <c r="AP198" s="1111"/>
      <c r="AQ198" s="1111"/>
      <c r="AR198" s="1111"/>
      <c r="AS198" s="1111"/>
      <c r="AT198" s="1111"/>
      <c r="AU198" s="1111"/>
      <c r="AV198" s="1111"/>
      <c r="AW198" s="1111"/>
      <c r="AX198" s="1111"/>
      <c r="AY198" s="1111"/>
      <c r="AZ198" s="1111"/>
      <c r="BA198" s="1111"/>
      <c r="BB198" s="1111"/>
      <c r="BC198" s="1111"/>
      <c r="BD198" s="1111"/>
      <c r="BE198" s="1111"/>
      <c r="BF198" s="1111"/>
      <c r="BG198" s="1111"/>
      <c r="BH198" s="1111"/>
      <c r="BI198" s="1111"/>
      <c r="BJ198" s="1111"/>
      <c r="BK198" s="1111"/>
      <c r="BL198" s="1111"/>
      <c r="BM198" s="1111"/>
      <c r="BN198" s="1111"/>
      <c r="BO198" s="1111"/>
      <c r="BP198" s="1111"/>
      <c r="BQ198" s="1111"/>
      <c r="BR198" s="1111"/>
      <c r="BS198" s="1111"/>
      <c r="BT198" s="1111"/>
      <c r="BU198" s="1111"/>
      <c r="BV198" s="1111"/>
      <c r="BW198" s="1111"/>
      <c r="BX198" s="1111"/>
      <c r="BY198" s="1111"/>
      <c r="BZ198" s="1111"/>
      <c r="CA198" s="1111"/>
      <c r="CB198" s="1111"/>
      <c r="CC198" s="1111"/>
      <c r="CD198" s="1111"/>
      <c r="CE198" s="1111"/>
      <c r="CF198" s="1111"/>
      <c r="CG198" s="1111"/>
      <c r="CH198" s="1111"/>
      <c r="CI198" s="1111"/>
      <c r="CJ198" s="1111"/>
      <c r="CK198" s="1110"/>
    </row>
    <row r="199" spans="1:89" ht="14.4" x14ac:dyDescent="0.3">
      <c r="A199" s="1110"/>
      <c r="B199" s="1110"/>
      <c r="C199" s="1110"/>
      <c r="D199" s="1110"/>
      <c r="E199" s="1110"/>
      <c r="F199" s="1110"/>
      <c r="G199" s="1110"/>
      <c r="H199" s="1110"/>
      <c r="I199" s="1110"/>
      <c r="J199" s="1110"/>
      <c r="K199" s="1110"/>
      <c r="L199" s="1110"/>
      <c r="M199" s="1110"/>
      <c r="N199" s="1110"/>
      <c r="O199" s="1110"/>
      <c r="P199" s="1110"/>
      <c r="Q199" s="1110"/>
      <c r="R199" s="1110"/>
      <c r="S199" s="1110"/>
      <c r="T199" s="1111"/>
      <c r="U199" s="1111"/>
      <c r="V199" s="1111"/>
      <c r="W199" s="1111"/>
      <c r="X199" s="1111"/>
      <c r="Y199" s="1111"/>
      <c r="Z199" s="1111"/>
      <c r="AA199" s="1111"/>
      <c r="AB199" s="1111"/>
      <c r="AC199" s="1111"/>
      <c r="AD199" s="1111"/>
      <c r="AE199" s="1111"/>
      <c r="AF199" s="1111"/>
      <c r="AG199" s="1111"/>
      <c r="AH199" s="1111"/>
      <c r="AI199" s="1111"/>
      <c r="AJ199" s="1111"/>
      <c r="AK199" s="1111"/>
      <c r="AL199" s="1111"/>
      <c r="AM199" s="1111"/>
      <c r="AN199" s="1111"/>
      <c r="AO199" s="1111"/>
      <c r="AP199" s="1111"/>
      <c r="AQ199" s="1111"/>
      <c r="AR199" s="1111"/>
      <c r="AS199" s="1111"/>
      <c r="AT199" s="1111"/>
      <c r="AU199" s="1111"/>
      <c r="AV199" s="1111"/>
      <c r="AW199" s="1111"/>
      <c r="AX199" s="1111"/>
      <c r="AY199" s="1111"/>
      <c r="AZ199" s="1111"/>
      <c r="BA199" s="1111"/>
      <c r="BB199" s="1111"/>
      <c r="BC199" s="1111"/>
      <c r="BD199" s="1111"/>
      <c r="BE199" s="1111"/>
      <c r="BF199" s="1111"/>
      <c r="BG199" s="1111"/>
      <c r="BH199" s="1111"/>
      <c r="BI199" s="1111"/>
      <c r="BJ199" s="1111"/>
      <c r="BK199" s="1111"/>
      <c r="BL199" s="1111"/>
      <c r="BM199" s="1111"/>
      <c r="BN199" s="1111"/>
      <c r="BO199" s="1111"/>
      <c r="BP199" s="1111"/>
      <c r="BQ199" s="1111"/>
      <c r="BR199" s="1111"/>
      <c r="BS199" s="1111"/>
      <c r="BT199" s="1111"/>
      <c r="BU199" s="1111"/>
      <c r="BV199" s="1111"/>
      <c r="BW199" s="1111"/>
      <c r="BX199" s="1111"/>
      <c r="BY199" s="1111"/>
      <c r="BZ199" s="1111"/>
      <c r="CA199" s="1111"/>
      <c r="CB199" s="1111"/>
      <c r="CC199" s="1111"/>
      <c r="CD199" s="1111"/>
      <c r="CE199" s="1111"/>
      <c r="CF199" s="1111"/>
      <c r="CG199" s="1111"/>
      <c r="CH199" s="1111"/>
      <c r="CI199" s="1111"/>
      <c r="CJ199" s="1111"/>
      <c r="CK199" s="1110"/>
    </row>
    <row r="200" spans="1:89" ht="14.4" x14ac:dyDescent="0.3">
      <c r="A200" s="1110"/>
      <c r="B200" s="1110"/>
      <c r="C200" s="1110"/>
      <c r="D200" s="1110"/>
      <c r="E200" s="1110"/>
      <c r="F200" s="1110"/>
      <c r="G200" s="1110"/>
      <c r="H200" s="1110"/>
      <c r="I200" s="1110"/>
      <c r="J200" s="1110"/>
      <c r="K200" s="1110"/>
      <c r="L200" s="1110"/>
      <c r="M200" s="1110"/>
      <c r="N200" s="1110"/>
      <c r="O200" s="1110"/>
      <c r="P200" s="1110"/>
      <c r="Q200" s="1110"/>
      <c r="R200" s="1110"/>
      <c r="S200" s="1110"/>
      <c r="T200" s="1111"/>
      <c r="U200" s="1111"/>
      <c r="V200" s="1111"/>
      <c r="W200" s="1111"/>
      <c r="X200" s="1111"/>
      <c r="Y200" s="1111"/>
      <c r="Z200" s="1111"/>
      <c r="AA200" s="1111"/>
      <c r="AB200" s="1111"/>
      <c r="AC200" s="1111"/>
      <c r="AD200" s="1111"/>
      <c r="AE200" s="1111"/>
      <c r="AF200" s="1111"/>
      <c r="AG200" s="1111"/>
      <c r="AH200" s="1111"/>
      <c r="AI200" s="1111"/>
      <c r="AJ200" s="1111"/>
      <c r="AK200" s="1111"/>
      <c r="AL200" s="1111"/>
      <c r="AM200" s="1111"/>
      <c r="AN200" s="1111"/>
      <c r="AO200" s="1111"/>
      <c r="AP200" s="1111"/>
      <c r="AQ200" s="1111"/>
      <c r="AR200" s="1111"/>
      <c r="AS200" s="1111"/>
      <c r="AT200" s="1111"/>
      <c r="AU200" s="1111"/>
      <c r="AV200" s="1111"/>
      <c r="AW200" s="1111"/>
      <c r="AX200" s="1111"/>
      <c r="AY200" s="1111"/>
      <c r="AZ200" s="1111"/>
      <c r="BA200" s="1111"/>
      <c r="BB200" s="1111"/>
      <c r="BC200" s="1111"/>
      <c r="BD200" s="1111"/>
      <c r="BE200" s="1111"/>
      <c r="BF200" s="1111"/>
      <c r="BG200" s="1111"/>
      <c r="BH200" s="1111"/>
      <c r="BI200" s="1111"/>
      <c r="BJ200" s="1111"/>
      <c r="BK200" s="1111"/>
      <c r="BL200" s="1111"/>
      <c r="BM200" s="1111"/>
      <c r="BN200" s="1111"/>
      <c r="BO200" s="1111"/>
      <c r="BP200" s="1111"/>
      <c r="BQ200" s="1111"/>
      <c r="BR200" s="1111"/>
      <c r="BS200" s="1111"/>
      <c r="BT200" s="1111"/>
      <c r="BU200" s="1111"/>
      <c r="BV200" s="1111"/>
      <c r="BW200" s="1111"/>
      <c r="BX200" s="1111"/>
      <c r="BY200" s="1111"/>
      <c r="BZ200" s="1111"/>
      <c r="CA200" s="1111"/>
      <c r="CB200" s="1111"/>
      <c r="CC200" s="1111"/>
      <c r="CD200" s="1111"/>
      <c r="CE200" s="1111"/>
      <c r="CF200" s="1111"/>
      <c r="CG200" s="1111"/>
      <c r="CH200" s="1111"/>
      <c r="CI200" s="1111"/>
      <c r="CJ200" s="1111"/>
      <c r="CK200" s="1110"/>
    </row>
    <row r="201" spans="1:89" ht="14.4" x14ac:dyDescent="0.3">
      <c r="A201" s="1110"/>
      <c r="B201" s="1110"/>
      <c r="C201" s="1110"/>
      <c r="D201" s="1110"/>
      <c r="E201" s="1110"/>
      <c r="F201" s="1110"/>
      <c r="G201" s="1110"/>
      <c r="H201" s="1110"/>
      <c r="I201" s="1110"/>
      <c r="J201" s="1110"/>
      <c r="K201" s="1110"/>
      <c r="L201" s="1110"/>
      <c r="M201" s="1110"/>
      <c r="N201" s="1110"/>
      <c r="O201" s="1110"/>
      <c r="P201" s="1110"/>
      <c r="Q201" s="1110"/>
      <c r="R201" s="1110"/>
      <c r="S201" s="1110"/>
      <c r="T201" s="1111"/>
      <c r="U201" s="1111"/>
      <c r="V201" s="1111"/>
      <c r="W201" s="1111"/>
      <c r="X201" s="1111"/>
      <c r="Y201" s="1111"/>
      <c r="Z201" s="1111"/>
      <c r="AA201" s="1111"/>
      <c r="AB201" s="1111"/>
      <c r="AC201" s="1111"/>
      <c r="AD201" s="1111"/>
      <c r="AE201" s="1111"/>
      <c r="AF201" s="1111"/>
      <c r="AG201" s="1111"/>
      <c r="AH201" s="1111"/>
      <c r="AI201" s="1111"/>
      <c r="AJ201" s="1111"/>
      <c r="AK201" s="1111"/>
      <c r="AL201" s="1111"/>
      <c r="AM201" s="1111"/>
      <c r="AN201" s="1111"/>
      <c r="AO201" s="1111"/>
      <c r="AP201" s="1111"/>
      <c r="AQ201" s="1111"/>
      <c r="AR201" s="1111"/>
      <c r="AS201" s="1111"/>
      <c r="AT201" s="1111"/>
      <c r="AU201" s="1111"/>
      <c r="AV201" s="1111"/>
      <c r="AW201" s="1111"/>
      <c r="AX201" s="1111"/>
      <c r="AY201" s="1111"/>
      <c r="AZ201" s="1111"/>
      <c r="BA201" s="1111"/>
      <c r="BB201" s="1111"/>
      <c r="BC201" s="1111"/>
      <c r="BD201" s="1111"/>
      <c r="BE201" s="1111"/>
      <c r="BF201" s="1111"/>
      <c r="BG201" s="1111"/>
      <c r="BH201" s="1111"/>
      <c r="BI201" s="1111"/>
      <c r="BJ201" s="1111"/>
      <c r="BK201" s="1111"/>
      <c r="BL201" s="1111"/>
      <c r="BM201" s="1111"/>
      <c r="BN201" s="1111"/>
      <c r="BO201" s="1111"/>
      <c r="BP201" s="1111"/>
      <c r="BQ201" s="1111"/>
      <c r="BR201" s="1111"/>
      <c r="BS201" s="1111"/>
      <c r="BT201" s="1111"/>
      <c r="BU201" s="1111"/>
      <c r="BV201" s="1111"/>
      <c r="BW201" s="1111"/>
      <c r="BX201" s="1111"/>
      <c r="BY201" s="1111"/>
      <c r="BZ201" s="1111"/>
      <c r="CA201" s="1111"/>
      <c r="CB201" s="1111"/>
      <c r="CC201" s="1111"/>
      <c r="CD201" s="1111"/>
      <c r="CE201" s="1111"/>
      <c r="CF201" s="1111"/>
      <c r="CG201" s="1111"/>
      <c r="CH201" s="1111"/>
      <c r="CI201" s="1111"/>
      <c r="CJ201" s="1111"/>
      <c r="CK201" s="1110"/>
    </row>
    <row r="202" spans="1:89" ht="14.4" x14ac:dyDescent="0.3">
      <c r="A202" s="1110"/>
      <c r="B202" s="1110"/>
      <c r="C202" s="1110"/>
      <c r="D202" s="1110"/>
      <c r="E202" s="1110"/>
      <c r="F202" s="1110"/>
      <c r="G202" s="1110"/>
      <c r="H202" s="1110"/>
      <c r="I202" s="1110"/>
      <c r="J202" s="1110"/>
      <c r="K202" s="1110"/>
      <c r="L202" s="1110"/>
      <c r="M202" s="1110"/>
      <c r="N202" s="1110"/>
      <c r="O202" s="1110"/>
      <c r="P202" s="1110"/>
      <c r="Q202" s="1110"/>
      <c r="R202" s="1110"/>
      <c r="S202" s="1110"/>
      <c r="T202" s="1111"/>
      <c r="U202" s="1111"/>
      <c r="V202" s="1111"/>
      <c r="W202" s="1111"/>
      <c r="X202" s="1111"/>
      <c r="Y202" s="1111"/>
      <c r="Z202" s="1111"/>
      <c r="AA202" s="1111"/>
      <c r="AB202" s="1111"/>
      <c r="AC202" s="1111"/>
      <c r="AD202" s="1111"/>
      <c r="AE202" s="1111"/>
      <c r="AF202" s="1111"/>
      <c r="AG202" s="1111"/>
      <c r="AH202" s="1111"/>
      <c r="AI202" s="1111"/>
      <c r="AJ202" s="1111"/>
      <c r="AK202" s="1111"/>
      <c r="AL202" s="1111"/>
      <c r="AM202" s="1111"/>
      <c r="AN202" s="1111"/>
      <c r="AO202" s="1111"/>
      <c r="AP202" s="1111"/>
      <c r="AQ202" s="1111"/>
      <c r="AR202" s="1111"/>
      <c r="AS202" s="1111"/>
      <c r="AT202" s="1111"/>
      <c r="AU202" s="1111"/>
      <c r="AV202" s="1111"/>
      <c r="AW202" s="1111"/>
      <c r="AX202" s="1111"/>
      <c r="AY202" s="1111"/>
      <c r="AZ202" s="1111"/>
      <c r="BA202" s="1111"/>
      <c r="BB202" s="1111"/>
      <c r="BC202" s="1111"/>
      <c r="BD202" s="1111"/>
      <c r="BE202" s="1111"/>
      <c r="BF202" s="1111"/>
      <c r="BG202" s="1111"/>
      <c r="BH202" s="1111"/>
      <c r="BI202" s="1111"/>
      <c r="BJ202" s="1111"/>
      <c r="BK202" s="1111"/>
      <c r="BL202" s="1111"/>
      <c r="BM202" s="1111"/>
      <c r="BN202" s="1111"/>
      <c r="BO202" s="1111"/>
      <c r="BP202" s="1111"/>
      <c r="BQ202" s="1111"/>
      <c r="BR202" s="1111"/>
      <c r="BS202" s="1111"/>
      <c r="BT202" s="1111"/>
      <c r="BU202" s="1111"/>
      <c r="BV202" s="1111"/>
      <c r="BW202" s="1111"/>
      <c r="BX202" s="1111"/>
      <c r="BY202" s="1111"/>
      <c r="BZ202" s="1111"/>
      <c r="CA202" s="1111"/>
      <c r="CB202" s="1111"/>
      <c r="CC202" s="1111"/>
      <c r="CD202" s="1111"/>
      <c r="CE202" s="1111"/>
      <c r="CF202" s="1111"/>
      <c r="CG202" s="1111"/>
      <c r="CH202" s="1111"/>
      <c r="CI202" s="1111"/>
      <c r="CJ202" s="1111"/>
      <c r="CK202" s="1110"/>
    </row>
    <row r="203" spans="1:89" ht="14.4" x14ac:dyDescent="0.3">
      <c r="A203" s="1110"/>
      <c r="B203" s="1110"/>
      <c r="C203" s="1110"/>
      <c r="D203" s="1110"/>
      <c r="E203" s="1110"/>
      <c r="F203" s="1110"/>
      <c r="G203" s="1110"/>
      <c r="H203" s="1110"/>
      <c r="I203" s="1110"/>
      <c r="J203" s="1110"/>
      <c r="K203" s="1110"/>
      <c r="L203" s="1110"/>
      <c r="M203" s="1110"/>
      <c r="N203" s="1110"/>
      <c r="O203" s="1110"/>
      <c r="P203" s="1110"/>
      <c r="Q203" s="1110"/>
      <c r="R203" s="1110"/>
      <c r="S203" s="1110"/>
      <c r="T203" s="1111"/>
      <c r="U203" s="1111"/>
      <c r="V203" s="1111"/>
      <c r="W203" s="1111"/>
      <c r="X203" s="1111"/>
      <c r="Y203" s="1111"/>
      <c r="Z203" s="1111"/>
      <c r="AA203" s="1111"/>
      <c r="AB203" s="1111"/>
      <c r="AC203" s="1111"/>
      <c r="AD203" s="1111"/>
      <c r="AE203" s="1111"/>
      <c r="AF203" s="1111"/>
      <c r="AG203" s="1111"/>
      <c r="AH203" s="1111"/>
      <c r="AI203" s="1111"/>
      <c r="AJ203" s="1111"/>
      <c r="AK203" s="1111"/>
      <c r="AL203" s="1111"/>
      <c r="AM203" s="1111"/>
      <c r="AN203" s="1111"/>
      <c r="AO203" s="1111"/>
      <c r="AP203" s="1111"/>
      <c r="AQ203" s="1111"/>
      <c r="AR203" s="1111"/>
      <c r="AS203" s="1111"/>
      <c r="AT203" s="1111"/>
      <c r="AU203" s="1111"/>
      <c r="AV203" s="1111"/>
      <c r="AW203" s="1111"/>
      <c r="AX203" s="1111"/>
      <c r="AY203" s="1111"/>
      <c r="AZ203" s="1111"/>
      <c r="BA203" s="1111"/>
      <c r="BB203" s="1111"/>
      <c r="BC203" s="1111"/>
      <c r="BD203" s="1111"/>
      <c r="BE203" s="1111"/>
      <c r="BF203" s="1111"/>
      <c r="BG203" s="1111"/>
      <c r="BH203" s="1111"/>
      <c r="BI203" s="1111"/>
      <c r="BJ203" s="1111"/>
      <c r="BK203" s="1111"/>
      <c r="BL203" s="1111"/>
      <c r="BM203" s="1111"/>
      <c r="BN203" s="1111"/>
      <c r="BO203" s="1111"/>
      <c r="BP203" s="1111"/>
      <c r="BQ203" s="1111"/>
      <c r="BR203" s="1111"/>
      <c r="BS203" s="1111"/>
      <c r="BT203" s="1111"/>
      <c r="BU203" s="1111"/>
      <c r="BV203" s="1111"/>
      <c r="BW203" s="1111"/>
      <c r="BX203" s="1111"/>
      <c r="BY203" s="1111"/>
      <c r="BZ203" s="1111"/>
      <c r="CA203" s="1111"/>
      <c r="CB203" s="1111"/>
      <c r="CC203" s="1111"/>
      <c r="CD203" s="1111"/>
      <c r="CE203" s="1111"/>
      <c r="CF203" s="1111"/>
      <c r="CG203" s="1111"/>
      <c r="CH203" s="1111"/>
      <c r="CI203" s="1111"/>
      <c r="CJ203" s="1111"/>
      <c r="CK203" s="1110"/>
    </row>
    <row r="204" spans="1:89" ht="14.4" x14ac:dyDescent="0.3">
      <c r="A204" s="1110"/>
      <c r="B204" s="1110"/>
      <c r="C204" s="1110"/>
      <c r="D204" s="1110"/>
      <c r="E204" s="1110"/>
      <c r="F204" s="1110"/>
      <c r="G204" s="1110"/>
      <c r="H204" s="1110"/>
      <c r="I204" s="1110"/>
      <c r="J204" s="1110"/>
      <c r="K204" s="1110"/>
      <c r="L204" s="1110"/>
      <c r="M204" s="1110"/>
      <c r="N204" s="1110"/>
      <c r="O204" s="1110"/>
      <c r="P204" s="1110"/>
      <c r="Q204" s="1110"/>
      <c r="R204" s="1110"/>
      <c r="S204" s="1110"/>
      <c r="T204" s="1111"/>
      <c r="U204" s="1111"/>
      <c r="V204" s="1111"/>
      <c r="W204" s="1111"/>
      <c r="X204" s="1111"/>
      <c r="Y204" s="1111"/>
      <c r="Z204" s="1111"/>
      <c r="AA204" s="1111"/>
      <c r="AB204" s="1111"/>
      <c r="AC204" s="1111"/>
      <c r="AD204" s="1111"/>
      <c r="AE204" s="1111"/>
      <c r="AF204" s="1111"/>
      <c r="AG204" s="1111"/>
      <c r="AH204" s="1111"/>
      <c r="AI204" s="1111"/>
      <c r="AJ204" s="1111"/>
      <c r="AK204" s="1111"/>
      <c r="AL204" s="1111"/>
      <c r="AM204" s="1111"/>
      <c r="AN204" s="1111"/>
      <c r="AO204" s="1111"/>
      <c r="AP204" s="1111"/>
      <c r="AQ204" s="1111"/>
      <c r="AR204" s="1111"/>
      <c r="AS204" s="1111"/>
      <c r="AT204" s="1111"/>
      <c r="AU204" s="1111"/>
      <c r="AV204" s="1111"/>
      <c r="AW204" s="1111"/>
      <c r="AX204" s="1111"/>
      <c r="AY204" s="1111"/>
      <c r="AZ204" s="1111"/>
      <c r="BA204" s="1111"/>
      <c r="BB204" s="1111"/>
      <c r="BC204" s="1111"/>
      <c r="BD204" s="1111"/>
      <c r="BE204" s="1111"/>
      <c r="BF204" s="1111"/>
      <c r="BG204" s="1111"/>
      <c r="BH204" s="1111"/>
      <c r="BI204" s="1111"/>
      <c r="BJ204" s="1111"/>
      <c r="BK204" s="1111"/>
      <c r="BL204" s="1111"/>
      <c r="BM204" s="1111"/>
      <c r="BN204" s="1111"/>
      <c r="BO204" s="1111"/>
      <c r="BP204" s="1111"/>
      <c r="BQ204" s="1111"/>
      <c r="BR204" s="1111"/>
      <c r="BS204" s="1111"/>
      <c r="BT204" s="1111"/>
      <c r="BU204" s="1111"/>
      <c r="BV204" s="1111"/>
      <c r="BW204" s="1111"/>
      <c r="BX204" s="1111"/>
      <c r="BY204" s="1111"/>
      <c r="BZ204" s="1111"/>
      <c r="CA204" s="1111"/>
      <c r="CB204" s="1111"/>
      <c r="CC204" s="1111"/>
      <c r="CD204" s="1111"/>
      <c r="CE204" s="1111"/>
      <c r="CF204" s="1111"/>
      <c r="CG204" s="1111"/>
      <c r="CH204" s="1111"/>
      <c r="CI204" s="1111"/>
      <c r="CJ204" s="1111"/>
      <c r="CK204" s="1110"/>
    </row>
    <row r="205" spans="1:89" ht="14.4" x14ac:dyDescent="0.3">
      <c r="A205" s="1110"/>
      <c r="B205" s="1110"/>
      <c r="C205" s="1110"/>
      <c r="D205" s="1110"/>
      <c r="E205" s="1110"/>
      <c r="F205" s="1110"/>
      <c r="G205" s="1110"/>
      <c r="H205" s="1110"/>
      <c r="I205" s="1110"/>
      <c r="J205" s="1110"/>
      <c r="K205" s="1110"/>
      <c r="L205" s="1110"/>
      <c r="M205" s="1110"/>
      <c r="N205" s="1110"/>
      <c r="O205" s="1110"/>
      <c r="P205" s="1110"/>
      <c r="Q205" s="1110"/>
      <c r="R205" s="1110"/>
      <c r="S205" s="1110"/>
      <c r="T205" s="1111"/>
      <c r="U205" s="1111"/>
      <c r="V205" s="1111"/>
      <c r="W205" s="1111"/>
      <c r="X205" s="1111"/>
      <c r="Y205" s="1111"/>
      <c r="Z205" s="1111"/>
      <c r="AA205" s="1111"/>
      <c r="AB205" s="1111"/>
      <c r="AC205" s="1111"/>
      <c r="AD205" s="1111"/>
      <c r="AE205" s="1111"/>
      <c r="AF205" s="1111"/>
      <c r="AG205" s="1111"/>
      <c r="AH205" s="1111"/>
      <c r="AI205" s="1111"/>
      <c r="AJ205" s="1111"/>
      <c r="AK205" s="1111"/>
      <c r="AL205" s="1111"/>
      <c r="AM205" s="1111"/>
      <c r="AN205" s="1111"/>
      <c r="AO205" s="1111"/>
      <c r="AP205" s="1111"/>
      <c r="AQ205" s="1111"/>
      <c r="AR205" s="1111"/>
      <c r="AS205" s="1111"/>
      <c r="AT205" s="1111"/>
      <c r="AU205" s="1111"/>
      <c r="AV205" s="1111"/>
      <c r="AW205" s="1111"/>
      <c r="AX205" s="1111"/>
      <c r="AY205" s="1111"/>
      <c r="AZ205" s="1111"/>
      <c r="BA205" s="1111"/>
      <c r="BB205" s="1111"/>
      <c r="BC205" s="1111"/>
      <c r="BD205" s="1111"/>
      <c r="BE205" s="1111"/>
      <c r="BF205" s="1111"/>
      <c r="BG205" s="1111"/>
      <c r="BH205" s="1111"/>
      <c r="BI205" s="1111"/>
      <c r="BJ205" s="1111"/>
      <c r="BK205" s="1111"/>
      <c r="BL205" s="1111"/>
      <c r="BM205" s="1111"/>
      <c r="BN205" s="1111"/>
      <c r="BO205" s="1111"/>
      <c r="BP205" s="1111"/>
      <c r="BQ205" s="1111"/>
      <c r="BR205" s="1111"/>
      <c r="BS205" s="1111"/>
      <c r="BT205" s="1111"/>
      <c r="BU205" s="1111"/>
      <c r="BV205" s="1111"/>
      <c r="BW205" s="1111"/>
      <c r="BX205" s="1111"/>
      <c r="BY205" s="1111"/>
      <c r="BZ205" s="1111"/>
      <c r="CA205" s="1111"/>
      <c r="CB205" s="1111"/>
      <c r="CC205" s="1111"/>
      <c r="CD205" s="1111"/>
      <c r="CE205" s="1111"/>
      <c r="CF205" s="1111"/>
      <c r="CG205" s="1111"/>
      <c r="CH205" s="1111"/>
      <c r="CI205" s="1111"/>
      <c r="CJ205" s="1111"/>
      <c r="CK205" s="1110"/>
    </row>
    <row r="206" spans="1:89" ht="14.4" x14ac:dyDescent="0.3">
      <c r="A206" s="1110"/>
      <c r="B206" s="1110"/>
      <c r="C206" s="1110"/>
      <c r="D206" s="1110"/>
      <c r="E206" s="1110"/>
      <c r="F206" s="1110"/>
      <c r="G206" s="1110"/>
      <c r="H206" s="1110"/>
      <c r="I206" s="1110"/>
      <c r="J206" s="1110"/>
      <c r="K206" s="1110"/>
      <c r="L206" s="1110"/>
      <c r="M206" s="1110"/>
      <c r="N206" s="1110"/>
      <c r="O206" s="1110"/>
      <c r="P206" s="1110"/>
      <c r="Q206" s="1110"/>
      <c r="R206" s="1110"/>
      <c r="S206" s="1110"/>
      <c r="T206" s="1111"/>
      <c r="U206" s="1111"/>
      <c r="V206" s="1111"/>
      <c r="W206" s="1111"/>
      <c r="X206" s="1111"/>
      <c r="Y206" s="1111"/>
      <c r="Z206" s="1111"/>
      <c r="AA206" s="1111"/>
      <c r="AB206" s="1111"/>
      <c r="AC206" s="1111"/>
      <c r="AD206" s="1111"/>
      <c r="AE206" s="1111"/>
      <c r="AF206" s="1111"/>
      <c r="AG206" s="1111"/>
      <c r="AH206" s="1111"/>
      <c r="AI206" s="1111"/>
      <c r="AJ206" s="1111"/>
      <c r="AK206" s="1111"/>
      <c r="AL206" s="1111"/>
      <c r="AM206" s="1111"/>
      <c r="AN206" s="1111"/>
      <c r="AO206" s="1111"/>
      <c r="AP206" s="1111"/>
      <c r="AQ206" s="1111"/>
      <c r="AR206" s="1111"/>
      <c r="AS206" s="1111"/>
      <c r="AT206" s="1111"/>
      <c r="AU206" s="1111"/>
      <c r="AV206" s="1111"/>
      <c r="AW206" s="1111"/>
      <c r="AX206" s="1111"/>
      <c r="AY206" s="1111"/>
      <c r="AZ206" s="1111"/>
      <c r="BA206" s="1111"/>
      <c r="BB206" s="1111"/>
      <c r="BC206" s="1111"/>
      <c r="BD206" s="1111"/>
      <c r="BE206" s="1111"/>
      <c r="BF206" s="1111"/>
      <c r="BG206" s="1111"/>
      <c r="BH206" s="1111"/>
      <c r="BI206" s="1111"/>
      <c r="BJ206" s="1111"/>
      <c r="BK206" s="1111"/>
      <c r="BL206" s="1111"/>
      <c r="BM206" s="1111"/>
      <c r="BN206" s="1111"/>
      <c r="BO206" s="1111"/>
      <c r="BP206" s="1111"/>
      <c r="BQ206" s="1111"/>
      <c r="BR206" s="1111"/>
      <c r="BS206" s="1111"/>
      <c r="BT206" s="1111"/>
      <c r="BU206" s="1111"/>
      <c r="BV206" s="1111"/>
      <c r="BW206" s="1111"/>
      <c r="BX206" s="1111"/>
      <c r="BY206" s="1111"/>
      <c r="BZ206" s="1111"/>
      <c r="CA206" s="1111"/>
      <c r="CB206" s="1111"/>
      <c r="CC206" s="1111"/>
      <c r="CD206" s="1111"/>
      <c r="CE206" s="1111"/>
      <c r="CF206" s="1111"/>
      <c r="CG206" s="1111"/>
      <c r="CH206" s="1111"/>
      <c r="CI206" s="1111"/>
      <c r="CJ206" s="1111"/>
      <c r="CK206" s="1110"/>
    </row>
    <row r="207" spans="1:89" ht="14.4" x14ac:dyDescent="0.3">
      <c r="A207" s="1110"/>
      <c r="B207" s="1110"/>
      <c r="C207" s="1110"/>
      <c r="D207" s="1110"/>
      <c r="E207" s="1110"/>
      <c r="F207" s="1110"/>
      <c r="G207" s="1110"/>
      <c r="H207" s="1110"/>
      <c r="I207" s="1110"/>
      <c r="J207" s="1110"/>
      <c r="K207" s="1110"/>
      <c r="L207" s="1110"/>
      <c r="M207" s="1110"/>
      <c r="N207" s="1110"/>
      <c r="O207" s="1110"/>
      <c r="P207" s="1110"/>
      <c r="Q207" s="1110"/>
      <c r="R207" s="1110"/>
      <c r="S207" s="1110"/>
      <c r="T207" s="1111"/>
      <c r="U207" s="1111"/>
      <c r="V207" s="1111"/>
      <c r="W207" s="1111"/>
      <c r="X207" s="1111"/>
      <c r="Y207" s="1111"/>
      <c r="Z207" s="1111"/>
      <c r="AA207" s="1111"/>
      <c r="AB207" s="1111"/>
      <c r="AC207" s="1111"/>
      <c r="AD207" s="1111"/>
      <c r="AE207" s="1111"/>
      <c r="AF207" s="1111"/>
      <c r="AG207" s="1111"/>
      <c r="AH207" s="1111"/>
      <c r="AI207" s="1111"/>
      <c r="AJ207" s="1111"/>
      <c r="AK207" s="1111"/>
      <c r="AL207" s="1111"/>
      <c r="AM207" s="1111"/>
      <c r="AN207" s="1111"/>
      <c r="AO207" s="1111"/>
      <c r="AP207" s="1111"/>
      <c r="AQ207" s="1111"/>
      <c r="AR207" s="1111"/>
      <c r="AS207" s="1111"/>
      <c r="AT207" s="1111"/>
      <c r="AU207" s="1111"/>
      <c r="AV207" s="1111"/>
      <c r="AW207" s="1111"/>
      <c r="AX207" s="1111"/>
      <c r="AY207" s="1111"/>
      <c r="AZ207" s="1111"/>
      <c r="BA207" s="1111"/>
      <c r="BB207" s="1111"/>
      <c r="BC207" s="1111"/>
      <c r="BD207" s="1111"/>
      <c r="BE207" s="1111"/>
      <c r="BF207" s="1111"/>
      <c r="BG207" s="1111"/>
      <c r="BH207" s="1111"/>
      <c r="BI207" s="1111"/>
      <c r="BJ207" s="1111"/>
      <c r="BK207" s="1111"/>
      <c r="BL207" s="1111"/>
      <c r="BM207" s="1111"/>
      <c r="BN207" s="1111"/>
      <c r="BO207" s="1111"/>
      <c r="BP207" s="1111"/>
      <c r="BQ207" s="1111"/>
      <c r="BR207" s="1111"/>
      <c r="BS207" s="1111"/>
      <c r="BT207" s="1111"/>
      <c r="BU207" s="1111"/>
      <c r="BV207" s="1111"/>
      <c r="BW207" s="1111"/>
      <c r="BX207" s="1111"/>
      <c r="BY207" s="1111"/>
      <c r="BZ207" s="1111"/>
      <c r="CA207" s="1111"/>
      <c r="CB207" s="1111"/>
      <c r="CC207" s="1111"/>
      <c r="CD207" s="1111"/>
      <c r="CE207" s="1111"/>
      <c r="CF207" s="1111"/>
      <c r="CG207" s="1111"/>
      <c r="CH207" s="1111"/>
      <c r="CI207" s="1111"/>
      <c r="CJ207" s="1111"/>
      <c r="CK207" s="1110"/>
    </row>
    <row r="208" spans="1:89" ht="14.4" x14ac:dyDescent="0.3">
      <c r="A208" s="1110"/>
      <c r="B208" s="1110"/>
      <c r="C208" s="1110"/>
      <c r="D208" s="1110"/>
      <c r="E208" s="1110"/>
      <c r="F208" s="1110"/>
      <c r="G208" s="1110"/>
      <c r="H208" s="1110"/>
      <c r="I208" s="1110"/>
      <c r="J208" s="1110"/>
      <c r="K208" s="1110"/>
      <c r="L208" s="1110"/>
      <c r="M208" s="1110"/>
      <c r="N208" s="1110"/>
      <c r="O208" s="1110"/>
      <c r="P208" s="1110"/>
      <c r="Q208" s="1110"/>
      <c r="R208" s="1110"/>
      <c r="S208" s="1110"/>
      <c r="T208" s="1111"/>
      <c r="U208" s="1111"/>
      <c r="V208" s="1111"/>
      <c r="W208" s="1111"/>
      <c r="X208" s="1111"/>
      <c r="Y208" s="1111"/>
      <c r="Z208" s="1111"/>
      <c r="AA208" s="1111"/>
      <c r="AB208" s="1111"/>
      <c r="AC208" s="1111"/>
      <c r="AD208" s="1111"/>
      <c r="AE208" s="1111"/>
      <c r="AF208" s="1111"/>
      <c r="AG208" s="1111"/>
      <c r="AH208" s="1111"/>
      <c r="AI208" s="1111"/>
      <c r="AJ208" s="1111"/>
      <c r="AK208" s="1111"/>
      <c r="AL208" s="1111"/>
      <c r="AM208" s="1111"/>
      <c r="AN208" s="1111"/>
      <c r="AO208" s="1111"/>
      <c r="AP208" s="1111"/>
      <c r="AQ208" s="1111"/>
      <c r="AR208" s="1111"/>
      <c r="AS208" s="1111"/>
      <c r="AT208" s="1111"/>
      <c r="AU208" s="1111"/>
      <c r="AV208" s="1111"/>
      <c r="AW208" s="1111"/>
      <c r="AX208" s="1111"/>
      <c r="AY208" s="1111"/>
      <c r="AZ208" s="1111"/>
      <c r="BA208" s="1111"/>
      <c r="BB208" s="1111"/>
      <c r="BC208" s="1111"/>
      <c r="BD208" s="1111"/>
      <c r="BE208" s="1111"/>
      <c r="BF208" s="1111"/>
      <c r="BG208" s="1111"/>
      <c r="BH208" s="1111"/>
      <c r="BI208" s="1111"/>
      <c r="BJ208" s="1111"/>
      <c r="BK208" s="1111"/>
      <c r="BL208" s="1111"/>
      <c r="BM208" s="1111"/>
      <c r="BN208" s="1111"/>
      <c r="BO208" s="1111"/>
      <c r="BP208" s="1111"/>
      <c r="BQ208" s="1111"/>
      <c r="BR208" s="1111"/>
      <c r="BS208" s="1111"/>
      <c r="BT208" s="1111"/>
      <c r="BU208" s="1111"/>
      <c r="BV208" s="1111"/>
      <c r="BW208" s="1111"/>
      <c r="BX208" s="1111"/>
      <c r="BY208" s="1111"/>
      <c r="BZ208" s="1111"/>
      <c r="CA208" s="1111"/>
      <c r="CB208" s="1111"/>
      <c r="CC208" s="1111"/>
      <c r="CD208" s="1111"/>
      <c r="CE208" s="1111"/>
      <c r="CF208" s="1111"/>
      <c r="CG208" s="1111"/>
      <c r="CH208" s="1111"/>
      <c r="CI208" s="1111"/>
      <c r="CJ208" s="1111"/>
      <c r="CK208" s="1110"/>
    </row>
    <row r="209" spans="1:89" ht="14.4" x14ac:dyDescent="0.3">
      <c r="A209" s="1110"/>
      <c r="B209" s="1110"/>
      <c r="C209" s="1110"/>
      <c r="D209" s="1110"/>
      <c r="E209" s="1110"/>
      <c r="F209" s="1110"/>
      <c r="G209" s="1110"/>
      <c r="H209" s="1110"/>
      <c r="I209" s="1110"/>
      <c r="J209" s="1110"/>
      <c r="K209" s="1110"/>
      <c r="L209" s="1110"/>
      <c r="M209" s="1110"/>
      <c r="N209" s="1110"/>
      <c r="O209" s="1110"/>
      <c r="P209" s="1110"/>
      <c r="Q209" s="1110"/>
      <c r="R209" s="1110"/>
      <c r="S209" s="1110"/>
      <c r="T209" s="1111"/>
      <c r="U209" s="1111"/>
      <c r="V209" s="1111"/>
      <c r="W209" s="1111"/>
      <c r="X209" s="1111"/>
      <c r="Y209" s="1111"/>
      <c r="Z209" s="1111"/>
      <c r="AA209" s="1111"/>
      <c r="AB209" s="1111"/>
      <c r="AC209" s="1111"/>
      <c r="AD209" s="1111"/>
      <c r="AE209" s="1111"/>
      <c r="AF209" s="1111"/>
      <c r="AG209" s="1111"/>
      <c r="AH209" s="1111"/>
      <c r="AI209" s="1111"/>
      <c r="AJ209" s="1111"/>
      <c r="AK209" s="1111"/>
      <c r="AL209" s="1111"/>
      <c r="AM209" s="1111"/>
      <c r="AN209" s="1111"/>
      <c r="AO209" s="1111"/>
      <c r="AP209" s="1111"/>
      <c r="AQ209" s="1111"/>
      <c r="AR209" s="1111"/>
      <c r="AS209" s="1111"/>
      <c r="AT209" s="1111"/>
      <c r="AU209" s="1111"/>
      <c r="AV209" s="1111"/>
      <c r="AW209" s="1111"/>
      <c r="AX209" s="1111"/>
      <c r="AY209" s="1111"/>
      <c r="AZ209" s="1111"/>
      <c r="BA209" s="1111"/>
      <c r="BB209" s="1111"/>
      <c r="BC209" s="1111"/>
      <c r="BD209" s="1111"/>
      <c r="BE209" s="1111"/>
      <c r="BF209" s="1111"/>
      <c r="BG209" s="1111"/>
      <c r="BH209" s="1111"/>
      <c r="BI209" s="1111"/>
      <c r="BJ209" s="1111"/>
      <c r="BK209" s="1111"/>
      <c r="BL209" s="1111"/>
      <c r="BM209" s="1111"/>
      <c r="BN209" s="1111"/>
      <c r="BO209" s="1111"/>
      <c r="BP209" s="1111"/>
      <c r="BQ209" s="1111"/>
      <c r="BR209" s="1111"/>
      <c r="BS209" s="1111"/>
      <c r="BT209" s="1111"/>
      <c r="BU209" s="1111"/>
      <c r="BV209" s="1111"/>
      <c r="BW209" s="1111"/>
      <c r="BX209" s="1111"/>
      <c r="BY209" s="1111"/>
      <c r="BZ209" s="1111"/>
      <c r="CA209" s="1111"/>
      <c r="CB209" s="1111"/>
      <c r="CC209" s="1111"/>
      <c r="CD209" s="1111"/>
      <c r="CE209" s="1111"/>
      <c r="CF209" s="1111"/>
      <c r="CG209" s="1111"/>
      <c r="CH209" s="1111"/>
      <c r="CI209" s="1111"/>
      <c r="CJ209" s="1111"/>
      <c r="CK209" s="1110"/>
    </row>
    <row r="210" spans="1:89" ht="14.4" x14ac:dyDescent="0.3">
      <c r="A210" s="1110"/>
      <c r="B210" s="1110"/>
      <c r="C210" s="1110"/>
      <c r="D210" s="1110"/>
      <c r="E210" s="1110"/>
      <c r="F210" s="1110"/>
      <c r="G210" s="1110"/>
      <c r="H210" s="1110"/>
      <c r="I210" s="1110"/>
      <c r="J210" s="1110"/>
      <c r="K210" s="1110"/>
      <c r="L210" s="1110"/>
      <c r="M210" s="1110"/>
      <c r="N210" s="1110"/>
      <c r="O210" s="1110"/>
      <c r="P210" s="1110"/>
      <c r="Q210" s="1110"/>
      <c r="R210" s="1110"/>
      <c r="S210" s="1110"/>
      <c r="T210" s="1111"/>
      <c r="U210" s="1111"/>
      <c r="V210" s="1111"/>
      <c r="W210" s="1111"/>
      <c r="X210" s="1111"/>
      <c r="Y210" s="1111"/>
      <c r="Z210" s="1111"/>
      <c r="AA210" s="1111"/>
      <c r="AB210" s="1111"/>
      <c r="AC210" s="1111"/>
      <c r="AD210" s="1111"/>
      <c r="AE210" s="1111"/>
      <c r="AF210" s="1111"/>
      <c r="AG210" s="1111"/>
      <c r="AH210" s="1111"/>
      <c r="AI210" s="1111"/>
      <c r="AJ210" s="1111"/>
      <c r="AK210" s="1111"/>
      <c r="AL210" s="1111"/>
      <c r="AM210" s="1111"/>
      <c r="AN210" s="1111"/>
      <c r="AO210" s="1111"/>
      <c r="AP210" s="1111"/>
      <c r="AQ210" s="1111"/>
      <c r="AR210" s="1111"/>
      <c r="AS210" s="1111"/>
      <c r="AT210" s="1111"/>
      <c r="AU210" s="1111"/>
      <c r="AV210" s="1111"/>
      <c r="AW210" s="1111"/>
      <c r="AX210" s="1111"/>
      <c r="AY210" s="1111"/>
      <c r="AZ210" s="1111"/>
      <c r="BA210" s="1111"/>
      <c r="BB210" s="1111"/>
      <c r="BC210" s="1111"/>
      <c r="BD210" s="1111"/>
      <c r="BE210" s="1111"/>
      <c r="BF210" s="1111"/>
      <c r="BG210" s="1111"/>
      <c r="BH210" s="1111"/>
      <c r="BI210" s="1111"/>
      <c r="BJ210" s="1111"/>
      <c r="BK210" s="1111"/>
      <c r="BL210" s="1111"/>
      <c r="BM210" s="1111"/>
      <c r="BN210" s="1111"/>
      <c r="BO210" s="1111"/>
      <c r="BP210" s="1111"/>
      <c r="BQ210" s="1111"/>
      <c r="BR210" s="1111"/>
      <c r="BS210" s="1111"/>
      <c r="BT210" s="1111"/>
      <c r="BU210" s="1111"/>
      <c r="BV210" s="1111"/>
      <c r="BW210" s="1111"/>
      <c r="BX210" s="1111"/>
      <c r="BY210" s="1111"/>
      <c r="BZ210" s="1111"/>
      <c r="CA210" s="1111"/>
      <c r="CB210" s="1111"/>
      <c r="CC210" s="1111"/>
      <c r="CD210" s="1111"/>
      <c r="CE210" s="1111"/>
      <c r="CF210" s="1111"/>
      <c r="CG210" s="1111"/>
      <c r="CH210" s="1111"/>
      <c r="CI210" s="1111"/>
      <c r="CJ210" s="1111"/>
      <c r="CK210" s="1110"/>
    </row>
    <row r="211" spans="1:89" ht="14.4" x14ac:dyDescent="0.3">
      <c r="A211" s="1110"/>
      <c r="B211" s="1110"/>
      <c r="C211" s="1110"/>
      <c r="D211" s="1110"/>
      <c r="E211" s="1110"/>
      <c r="F211" s="1110"/>
      <c r="G211" s="1110"/>
      <c r="H211" s="1110"/>
      <c r="I211" s="1110"/>
      <c r="J211" s="1110"/>
      <c r="K211" s="1110"/>
      <c r="L211" s="1110"/>
      <c r="M211" s="1110"/>
      <c r="N211" s="1110"/>
      <c r="O211" s="1110"/>
      <c r="P211" s="1110"/>
      <c r="Q211" s="1110"/>
      <c r="R211" s="1110"/>
      <c r="S211" s="1110"/>
      <c r="T211" s="1111"/>
      <c r="U211" s="1111"/>
      <c r="V211" s="1111"/>
      <c r="W211" s="1111"/>
      <c r="X211" s="1111"/>
      <c r="Y211" s="1111"/>
      <c r="Z211" s="1111"/>
      <c r="AA211" s="1111"/>
      <c r="AB211" s="1111"/>
      <c r="AC211" s="1111"/>
      <c r="AD211" s="1111"/>
      <c r="AE211" s="1111"/>
      <c r="AF211" s="1111"/>
      <c r="AG211" s="1111"/>
      <c r="AH211" s="1111"/>
      <c r="AI211" s="1111"/>
      <c r="AJ211" s="1111"/>
      <c r="AK211" s="1111"/>
      <c r="AL211" s="1111"/>
      <c r="AM211" s="1111"/>
      <c r="AN211" s="1111"/>
      <c r="AO211" s="1111"/>
      <c r="AP211" s="1111"/>
      <c r="AQ211" s="1111"/>
      <c r="AR211" s="1111"/>
      <c r="AS211" s="1111"/>
      <c r="AT211" s="1111"/>
      <c r="AU211" s="1111"/>
      <c r="AV211" s="1111"/>
      <c r="AW211" s="1111"/>
      <c r="AX211" s="1111"/>
      <c r="AY211" s="1111"/>
      <c r="AZ211" s="1111"/>
      <c r="BA211" s="1111"/>
      <c r="BB211" s="1111"/>
      <c r="BC211" s="1111"/>
      <c r="BD211" s="1111"/>
      <c r="BE211" s="1111"/>
      <c r="BF211" s="1111"/>
      <c r="BG211" s="1111"/>
      <c r="BH211" s="1111"/>
      <c r="BI211" s="1111"/>
      <c r="BJ211" s="1111"/>
      <c r="BK211" s="1111"/>
      <c r="BL211" s="1111"/>
      <c r="BM211" s="1111"/>
      <c r="BN211" s="1111"/>
      <c r="BO211" s="1111"/>
      <c r="BP211" s="1111"/>
      <c r="BQ211" s="1111"/>
      <c r="BR211" s="1111"/>
      <c r="BS211" s="1111"/>
      <c r="BT211" s="1111"/>
      <c r="BU211" s="1111"/>
      <c r="BV211" s="1111"/>
      <c r="BW211" s="1111"/>
      <c r="BX211" s="1111"/>
      <c r="BY211" s="1111"/>
      <c r="BZ211" s="1111"/>
      <c r="CA211" s="1111"/>
      <c r="CB211" s="1111"/>
      <c r="CC211" s="1111"/>
      <c r="CD211" s="1111"/>
      <c r="CE211" s="1111"/>
      <c r="CF211" s="1111"/>
      <c r="CG211" s="1111"/>
      <c r="CH211" s="1111"/>
      <c r="CI211" s="1111"/>
      <c r="CJ211" s="1111"/>
      <c r="CK211" s="1110"/>
    </row>
    <row r="212" spans="1:89" ht="14.4" x14ac:dyDescent="0.3">
      <c r="A212" s="1110"/>
      <c r="B212" s="1110"/>
      <c r="C212" s="1110"/>
      <c r="D212" s="1110"/>
      <c r="E212" s="1110"/>
      <c r="F212" s="1110"/>
      <c r="G212" s="1110"/>
      <c r="H212" s="1110"/>
      <c r="I212" s="1110"/>
      <c r="J212" s="1110"/>
      <c r="K212" s="1110"/>
      <c r="L212" s="1110"/>
      <c r="M212" s="1110"/>
      <c r="N212" s="1110"/>
      <c r="O212" s="1110"/>
      <c r="P212" s="1110"/>
      <c r="Q212" s="1110"/>
      <c r="R212" s="1110"/>
      <c r="S212" s="1110"/>
      <c r="T212" s="1111"/>
      <c r="U212" s="1111"/>
      <c r="V212" s="1111"/>
      <c r="W212" s="1111"/>
      <c r="X212" s="1111"/>
      <c r="Y212" s="1111"/>
      <c r="Z212" s="1111"/>
      <c r="AA212" s="1111"/>
      <c r="AB212" s="1111"/>
      <c r="AC212" s="1111"/>
      <c r="AD212" s="1111"/>
      <c r="AE212" s="1111"/>
      <c r="AF212" s="1111"/>
      <c r="AG212" s="1111"/>
      <c r="AH212" s="1111"/>
      <c r="AI212" s="1111"/>
      <c r="AJ212" s="1111"/>
      <c r="AK212" s="1111"/>
      <c r="AL212" s="1111"/>
      <c r="AM212" s="1111"/>
      <c r="AN212" s="1111"/>
      <c r="AO212" s="1111"/>
      <c r="AP212" s="1111"/>
      <c r="AQ212" s="1111"/>
      <c r="AR212" s="1111"/>
      <c r="AS212" s="1111"/>
      <c r="AT212" s="1111"/>
      <c r="AU212" s="1111"/>
      <c r="AV212" s="1111"/>
      <c r="AW212" s="1111"/>
      <c r="AX212" s="1111"/>
      <c r="AY212" s="1111"/>
      <c r="AZ212" s="1111"/>
      <c r="BA212" s="1111"/>
      <c r="BB212" s="1111"/>
      <c r="BC212" s="1111"/>
      <c r="BD212" s="1111"/>
      <c r="BE212" s="1111"/>
      <c r="BF212" s="1111"/>
      <c r="BG212" s="1111"/>
      <c r="BH212" s="1111"/>
      <c r="BI212" s="1111"/>
      <c r="BJ212" s="1111"/>
      <c r="BK212" s="1111"/>
      <c r="BL212" s="1111"/>
      <c r="BM212" s="1111"/>
      <c r="BN212" s="1111"/>
      <c r="BO212" s="1111"/>
      <c r="BP212" s="1111"/>
      <c r="BQ212" s="1111"/>
      <c r="BR212" s="1111"/>
      <c r="BS212" s="1111"/>
      <c r="BT212" s="1111"/>
      <c r="BU212" s="1111"/>
      <c r="BV212" s="1111"/>
      <c r="BW212" s="1111"/>
      <c r="BX212" s="1111"/>
      <c r="BY212" s="1111"/>
      <c r="BZ212" s="1111"/>
      <c r="CA212" s="1111"/>
      <c r="CB212" s="1111"/>
      <c r="CC212" s="1111"/>
      <c r="CD212" s="1111"/>
      <c r="CE212" s="1111"/>
      <c r="CF212" s="1111"/>
      <c r="CG212" s="1111"/>
      <c r="CH212" s="1111"/>
      <c r="CI212" s="1111"/>
      <c r="CJ212" s="1111"/>
      <c r="CK212" s="1110"/>
    </row>
    <row r="213" spans="1:89" ht="14.4" x14ac:dyDescent="0.3">
      <c r="A213" s="1110"/>
      <c r="B213" s="1110"/>
      <c r="C213" s="1110"/>
      <c r="D213" s="1110"/>
      <c r="E213" s="1110"/>
      <c r="F213" s="1110"/>
      <c r="G213" s="1110"/>
      <c r="H213" s="1110"/>
      <c r="I213" s="1110"/>
      <c r="J213" s="1110"/>
      <c r="K213" s="1110"/>
      <c r="L213" s="1110"/>
      <c r="M213" s="1110"/>
      <c r="N213" s="1110"/>
      <c r="O213" s="1110"/>
      <c r="P213" s="1110"/>
      <c r="Q213" s="1110"/>
      <c r="R213" s="1110"/>
      <c r="S213" s="1110"/>
      <c r="T213" s="1111"/>
      <c r="U213" s="1111"/>
      <c r="V213" s="1111"/>
      <c r="W213" s="1111"/>
      <c r="X213" s="1111"/>
      <c r="Y213" s="1111"/>
      <c r="Z213" s="1111"/>
      <c r="AA213" s="1111"/>
      <c r="AB213" s="1111"/>
      <c r="AC213" s="1111"/>
      <c r="AD213" s="1111"/>
      <c r="AE213" s="1111"/>
      <c r="AF213" s="1111"/>
      <c r="AG213" s="1111"/>
      <c r="AH213" s="1111"/>
      <c r="AI213" s="1111"/>
      <c r="AJ213" s="1111"/>
      <c r="AK213" s="1111"/>
      <c r="AL213" s="1111"/>
      <c r="AM213" s="1111"/>
      <c r="AN213" s="1111"/>
      <c r="AO213" s="1111"/>
      <c r="AP213" s="1111"/>
      <c r="AQ213" s="1111"/>
      <c r="AR213" s="1111"/>
      <c r="AS213" s="1111"/>
      <c r="AT213" s="1111"/>
      <c r="AU213" s="1111"/>
      <c r="AV213" s="1111"/>
      <c r="AW213" s="1111"/>
      <c r="AX213" s="1111"/>
      <c r="AY213" s="1111"/>
      <c r="AZ213" s="1111"/>
      <c r="BA213" s="1111"/>
      <c r="BB213" s="1111"/>
      <c r="BC213" s="1111"/>
      <c r="BD213" s="1111"/>
      <c r="BE213" s="1111"/>
      <c r="BF213" s="1111"/>
      <c r="BG213" s="1111"/>
      <c r="BH213" s="1111"/>
      <c r="BI213" s="1111"/>
      <c r="BJ213" s="1111"/>
      <c r="BK213" s="1111"/>
      <c r="BL213" s="1111"/>
      <c r="BM213" s="1111"/>
      <c r="BN213" s="1111"/>
      <c r="BO213" s="1111"/>
      <c r="BP213" s="1111"/>
      <c r="BQ213" s="1111"/>
      <c r="BR213" s="1111"/>
      <c r="BS213" s="1111"/>
      <c r="BT213" s="1111"/>
      <c r="BU213" s="1111"/>
      <c r="BV213" s="1111"/>
      <c r="BW213" s="1111"/>
      <c r="BX213" s="1111"/>
      <c r="BY213" s="1111"/>
      <c r="BZ213" s="1111"/>
      <c r="CA213" s="1111"/>
      <c r="CB213" s="1111"/>
      <c r="CC213" s="1111"/>
      <c r="CD213" s="1111"/>
      <c r="CE213" s="1111"/>
      <c r="CF213" s="1111"/>
      <c r="CG213" s="1111"/>
      <c r="CH213" s="1111"/>
      <c r="CI213" s="1111"/>
      <c r="CJ213" s="1111"/>
      <c r="CK213" s="1110"/>
    </row>
    <row r="214" spans="1:89" ht="14.4" x14ac:dyDescent="0.3">
      <c r="A214" s="1110"/>
      <c r="B214" s="1110"/>
      <c r="C214" s="1110"/>
      <c r="D214" s="1110"/>
      <c r="E214" s="1110"/>
      <c r="F214" s="1110"/>
      <c r="G214" s="1110"/>
      <c r="H214" s="1110"/>
      <c r="I214" s="1110"/>
      <c r="J214" s="1110"/>
      <c r="K214" s="1110"/>
      <c r="L214" s="1110"/>
      <c r="M214" s="1110"/>
      <c r="N214" s="1110"/>
      <c r="O214" s="1110"/>
      <c r="P214" s="1110"/>
      <c r="Q214" s="1110"/>
      <c r="R214" s="1110"/>
      <c r="S214" s="1110"/>
      <c r="T214" s="1111"/>
      <c r="U214" s="1111"/>
      <c r="V214" s="1111"/>
      <c r="W214" s="1111"/>
      <c r="X214" s="1111"/>
      <c r="Y214" s="1111"/>
      <c r="Z214" s="1111"/>
      <c r="AA214" s="1111"/>
      <c r="AB214" s="1111"/>
      <c r="AC214" s="1111"/>
      <c r="AD214" s="1111"/>
      <c r="AE214" s="1111"/>
      <c r="AF214" s="1111"/>
      <c r="AG214" s="1111"/>
      <c r="AH214" s="1111"/>
      <c r="AI214" s="1111"/>
      <c r="AJ214" s="1111"/>
      <c r="AK214" s="1111"/>
      <c r="AL214" s="1111"/>
      <c r="AM214" s="1111"/>
      <c r="AN214" s="1111"/>
      <c r="AO214" s="1111"/>
      <c r="AP214" s="1111"/>
      <c r="AQ214" s="1111"/>
      <c r="AR214" s="1111"/>
      <c r="AS214" s="1111"/>
      <c r="AT214" s="1111"/>
      <c r="AU214" s="1111"/>
      <c r="AV214" s="1111"/>
      <c r="AW214" s="1111"/>
      <c r="AX214" s="1111"/>
      <c r="AY214" s="1111"/>
      <c r="AZ214" s="1111"/>
      <c r="BA214" s="1111"/>
      <c r="BB214" s="1111"/>
      <c r="BC214" s="1111"/>
      <c r="BD214" s="1111"/>
      <c r="BE214" s="1111"/>
      <c r="BF214" s="1111"/>
      <c r="BG214" s="1111"/>
      <c r="BH214" s="1111"/>
      <c r="BI214" s="1111"/>
      <c r="BJ214" s="1111"/>
      <c r="BK214" s="1111"/>
      <c r="BL214" s="1111"/>
      <c r="BM214" s="1111"/>
      <c r="BN214" s="1111"/>
      <c r="BO214" s="1111"/>
      <c r="BP214" s="1111"/>
      <c r="BQ214" s="1111"/>
      <c r="BR214" s="1111"/>
      <c r="BS214" s="1111"/>
      <c r="BT214" s="1111"/>
      <c r="BU214" s="1111"/>
      <c r="BV214" s="1111"/>
      <c r="BW214" s="1111"/>
      <c r="BX214" s="1111"/>
      <c r="BY214" s="1111"/>
      <c r="BZ214" s="1111"/>
      <c r="CA214" s="1111"/>
      <c r="CB214" s="1111"/>
      <c r="CC214" s="1111"/>
      <c r="CD214" s="1111"/>
      <c r="CE214" s="1111"/>
      <c r="CF214" s="1111"/>
      <c r="CG214" s="1111"/>
      <c r="CH214" s="1111"/>
      <c r="CI214" s="1111"/>
      <c r="CJ214" s="1111"/>
      <c r="CK214" s="1110"/>
    </row>
    <row r="215" spans="1:89" ht="14.4" x14ac:dyDescent="0.3">
      <c r="A215" s="1110"/>
      <c r="B215" s="1110"/>
      <c r="C215" s="1110"/>
      <c r="D215" s="1110"/>
      <c r="E215" s="1110"/>
      <c r="F215" s="1110"/>
      <c r="G215" s="1110"/>
      <c r="H215" s="1110"/>
      <c r="I215" s="1110"/>
      <c r="J215" s="1110"/>
      <c r="K215" s="1110"/>
      <c r="L215" s="1110"/>
      <c r="M215" s="1110"/>
      <c r="N215" s="1110"/>
      <c r="O215" s="1110"/>
      <c r="P215" s="1110"/>
      <c r="Q215" s="1110"/>
      <c r="R215" s="1110"/>
      <c r="S215" s="1110"/>
      <c r="T215" s="1111"/>
      <c r="U215" s="1111"/>
      <c r="V215" s="1111"/>
      <c r="W215" s="1111"/>
      <c r="X215" s="1111"/>
      <c r="Y215" s="1111"/>
      <c r="Z215" s="1111"/>
      <c r="AA215" s="1111"/>
      <c r="AB215" s="1111"/>
      <c r="AC215" s="1111"/>
      <c r="AD215" s="1111"/>
      <c r="AE215" s="1111"/>
      <c r="AF215" s="1111"/>
      <c r="AG215" s="1111"/>
      <c r="AH215" s="1111"/>
      <c r="AI215" s="1111"/>
      <c r="AJ215" s="1111"/>
      <c r="AK215" s="1111"/>
      <c r="AL215" s="1111"/>
      <c r="AM215" s="1111"/>
      <c r="AN215" s="1111"/>
      <c r="AO215" s="1111"/>
      <c r="AP215" s="1111"/>
      <c r="AQ215" s="1111"/>
      <c r="AR215" s="1111"/>
      <c r="AS215" s="1111"/>
      <c r="AT215" s="1111"/>
      <c r="AU215" s="1111"/>
      <c r="AV215" s="1111"/>
      <c r="AW215" s="1111"/>
      <c r="AX215" s="1111"/>
      <c r="AY215" s="1111"/>
      <c r="AZ215" s="1111"/>
      <c r="BA215" s="1111"/>
      <c r="BB215" s="1111"/>
      <c r="BC215" s="1111"/>
      <c r="BD215" s="1111"/>
      <c r="BE215" s="1111"/>
      <c r="BF215" s="1111"/>
      <c r="BG215" s="1111"/>
      <c r="BH215" s="1111"/>
      <c r="BI215" s="1111"/>
      <c r="BJ215" s="1111"/>
      <c r="BK215" s="1111"/>
      <c r="BL215" s="1111"/>
      <c r="BM215" s="1111"/>
      <c r="BN215" s="1111"/>
      <c r="BO215" s="1111"/>
      <c r="BP215" s="1111"/>
      <c r="BQ215" s="1111"/>
      <c r="BR215" s="1111"/>
      <c r="BS215" s="1111"/>
      <c r="BT215" s="1111"/>
      <c r="BU215" s="1111"/>
      <c r="BV215" s="1111"/>
      <c r="BW215" s="1111"/>
      <c r="BX215" s="1111"/>
      <c r="BY215" s="1111"/>
      <c r="BZ215" s="1111"/>
      <c r="CA215" s="1111"/>
      <c r="CB215" s="1111"/>
      <c r="CC215" s="1111"/>
      <c r="CD215" s="1111"/>
      <c r="CE215" s="1111"/>
      <c r="CF215" s="1111"/>
      <c r="CG215" s="1111"/>
      <c r="CH215" s="1111"/>
      <c r="CI215" s="1111"/>
      <c r="CJ215" s="1111"/>
      <c r="CK215" s="1110"/>
    </row>
    <row r="216" spans="1:89" ht="14.4" x14ac:dyDescent="0.3">
      <c r="A216" s="1110"/>
      <c r="B216" s="1110"/>
      <c r="C216" s="1110"/>
      <c r="D216" s="1110"/>
      <c r="E216" s="1110"/>
      <c r="F216" s="1110"/>
      <c r="G216" s="1110"/>
      <c r="H216" s="1110"/>
      <c r="I216" s="1110"/>
      <c r="J216" s="1110"/>
      <c r="K216" s="1110"/>
      <c r="L216" s="1110"/>
      <c r="M216" s="1110"/>
      <c r="N216" s="1110"/>
      <c r="O216" s="1110"/>
      <c r="P216" s="1110"/>
      <c r="Q216" s="1110"/>
      <c r="R216" s="1110"/>
      <c r="S216" s="1110"/>
      <c r="T216" s="1111"/>
      <c r="U216" s="1111"/>
      <c r="V216" s="1111"/>
      <c r="W216" s="1111"/>
      <c r="X216" s="1111"/>
      <c r="Y216" s="1111"/>
      <c r="Z216" s="1111"/>
      <c r="AA216" s="1111"/>
      <c r="AB216" s="1111"/>
      <c r="AC216" s="1111"/>
      <c r="AD216" s="1111"/>
      <c r="AE216" s="1111"/>
      <c r="AF216" s="1111"/>
      <c r="AG216" s="1111"/>
      <c r="AH216" s="1111"/>
      <c r="AI216" s="1111"/>
      <c r="AJ216" s="1111"/>
      <c r="AK216" s="1111"/>
      <c r="AL216" s="1111"/>
      <c r="AM216" s="1111"/>
      <c r="AN216" s="1111"/>
      <c r="AO216" s="1111"/>
      <c r="AP216" s="1111"/>
      <c r="AQ216" s="1111"/>
      <c r="AR216" s="1111"/>
      <c r="AS216" s="1111"/>
      <c r="AT216" s="1111"/>
      <c r="AU216" s="1111"/>
      <c r="AV216" s="1111"/>
      <c r="AW216" s="1111"/>
      <c r="AX216" s="1111"/>
      <c r="AY216" s="1111"/>
      <c r="AZ216" s="1111"/>
      <c r="BA216" s="1111"/>
      <c r="BB216" s="1111"/>
      <c r="BC216" s="1111"/>
      <c r="BD216" s="1111"/>
      <c r="BE216" s="1111"/>
      <c r="BF216" s="1111"/>
      <c r="BG216" s="1111"/>
      <c r="BH216" s="1111"/>
      <c r="BI216" s="1111"/>
      <c r="BJ216" s="1111"/>
      <c r="BK216" s="1111"/>
      <c r="BL216" s="1111"/>
      <c r="BM216" s="1111"/>
      <c r="BN216" s="1111"/>
      <c r="BO216" s="1111"/>
      <c r="BP216" s="1111"/>
      <c r="BQ216" s="1111"/>
      <c r="BR216" s="1111"/>
      <c r="BS216" s="1111"/>
      <c r="BT216" s="1111"/>
      <c r="BU216" s="1111"/>
      <c r="BV216" s="1111"/>
      <c r="BW216" s="1111"/>
      <c r="BX216" s="1111"/>
      <c r="BY216" s="1111"/>
      <c r="BZ216" s="1111"/>
      <c r="CA216" s="1111"/>
      <c r="CB216" s="1111"/>
      <c r="CC216" s="1111"/>
      <c r="CD216" s="1111"/>
      <c r="CE216" s="1111"/>
      <c r="CF216" s="1111"/>
      <c r="CG216" s="1111"/>
      <c r="CH216" s="1111"/>
      <c r="CI216" s="1111"/>
      <c r="CJ216" s="1111"/>
      <c r="CK216" s="1110"/>
    </row>
    <row r="217" spans="1:89" ht="14.4" x14ac:dyDescent="0.3">
      <c r="A217" s="1110"/>
      <c r="B217" s="1110"/>
      <c r="C217" s="1110"/>
      <c r="D217" s="1110"/>
      <c r="E217" s="1110"/>
      <c r="F217" s="1110"/>
      <c r="G217" s="1110"/>
      <c r="H217" s="1110"/>
      <c r="I217" s="1110"/>
      <c r="J217" s="1110"/>
      <c r="K217" s="1110"/>
      <c r="L217" s="1110"/>
      <c r="M217" s="1110"/>
      <c r="N217" s="1110"/>
      <c r="O217" s="1110"/>
      <c r="P217" s="1110"/>
      <c r="Q217" s="1110"/>
      <c r="R217" s="1110"/>
      <c r="S217" s="1110"/>
      <c r="T217" s="1111"/>
      <c r="U217" s="1111"/>
      <c r="V217" s="1111"/>
      <c r="W217" s="1111"/>
      <c r="X217" s="1111"/>
      <c r="Y217" s="1111"/>
      <c r="Z217" s="1111"/>
      <c r="AA217" s="1111"/>
      <c r="AB217" s="1111"/>
      <c r="AC217" s="1111"/>
      <c r="AD217" s="1111"/>
      <c r="AE217" s="1111"/>
      <c r="AF217" s="1111"/>
      <c r="AG217" s="1111"/>
      <c r="AH217" s="1111"/>
      <c r="AI217" s="1111"/>
      <c r="AJ217" s="1111"/>
      <c r="AK217" s="1111"/>
      <c r="AL217" s="1111"/>
      <c r="AM217" s="1111"/>
      <c r="AN217" s="1111"/>
      <c r="AO217" s="1111"/>
      <c r="AP217" s="1111"/>
      <c r="AQ217" s="1111"/>
      <c r="AR217" s="1111"/>
      <c r="AS217" s="1111"/>
      <c r="AT217" s="1111"/>
      <c r="AU217" s="1111"/>
      <c r="AV217" s="1111"/>
      <c r="AW217" s="1111"/>
      <c r="AX217" s="1111"/>
      <c r="AY217" s="1111"/>
      <c r="AZ217" s="1111"/>
      <c r="BA217" s="1111"/>
      <c r="BB217" s="1111"/>
      <c r="BC217" s="1111"/>
      <c r="BD217" s="1111"/>
      <c r="BE217" s="1111"/>
      <c r="BF217" s="1111"/>
      <c r="BG217" s="1111"/>
      <c r="BH217" s="1111"/>
      <c r="BI217" s="1111"/>
      <c r="BJ217" s="1111"/>
      <c r="BK217" s="1111"/>
      <c r="BL217" s="1111"/>
      <c r="BM217" s="1111"/>
      <c r="BN217" s="1111"/>
      <c r="BO217" s="1111"/>
      <c r="BP217" s="1111"/>
      <c r="BQ217" s="1111"/>
      <c r="BR217" s="1111"/>
      <c r="BS217" s="1111"/>
      <c r="BT217" s="1111"/>
      <c r="BU217" s="1111"/>
      <c r="BV217" s="1111"/>
      <c r="BW217" s="1111"/>
      <c r="BX217" s="1111"/>
      <c r="BY217" s="1111"/>
      <c r="BZ217" s="1111"/>
      <c r="CA217" s="1111"/>
      <c r="CB217" s="1111"/>
      <c r="CC217" s="1111"/>
      <c r="CD217" s="1111"/>
      <c r="CE217" s="1111"/>
      <c r="CF217" s="1111"/>
      <c r="CG217" s="1111"/>
      <c r="CH217" s="1111"/>
      <c r="CI217" s="1111"/>
      <c r="CJ217" s="1111"/>
      <c r="CK217" s="1110"/>
    </row>
    <row r="218" spans="1:89" ht="14.4" x14ac:dyDescent="0.3">
      <c r="A218" s="1110"/>
      <c r="B218" s="1110"/>
      <c r="C218" s="1110"/>
      <c r="D218" s="1110"/>
      <c r="E218" s="1110"/>
      <c r="F218" s="1110"/>
      <c r="G218" s="1110"/>
      <c r="H218" s="1110"/>
      <c r="I218" s="1110"/>
      <c r="J218" s="1110"/>
      <c r="K218" s="1110"/>
      <c r="L218" s="1110"/>
      <c r="M218" s="1110"/>
      <c r="N218" s="1110"/>
      <c r="O218" s="1110"/>
      <c r="P218" s="1110"/>
      <c r="Q218" s="1110"/>
      <c r="R218" s="1110"/>
      <c r="S218" s="1110"/>
      <c r="T218" s="1111"/>
      <c r="U218" s="1111"/>
      <c r="V218" s="1111"/>
      <c r="W218" s="1111"/>
      <c r="X218" s="1111"/>
      <c r="Y218" s="1111"/>
      <c r="Z218" s="1111"/>
      <c r="AA218" s="1111"/>
      <c r="AB218" s="1111"/>
      <c r="AC218" s="1111"/>
      <c r="AD218" s="1111"/>
      <c r="AE218" s="1111"/>
      <c r="AF218" s="1111"/>
      <c r="AG218" s="1111"/>
      <c r="AH218" s="1111"/>
      <c r="AI218" s="1111"/>
      <c r="AJ218" s="1111"/>
      <c r="AK218" s="1111"/>
      <c r="AL218" s="1111"/>
      <c r="AM218" s="1111"/>
      <c r="AN218" s="1111"/>
      <c r="AO218" s="1111"/>
      <c r="AP218" s="1111"/>
      <c r="AQ218" s="1111"/>
      <c r="AR218" s="1111"/>
      <c r="AS218" s="1111"/>
      <c r="AT218" s="1111"/>
      <c r="AU218" s="1111"/>
      <c r="AV218" s="1111"/>
      <c r="AW218" s="1111"/>
      <c r="AX218" s="1111"/>
      <c r="AY218" s="1111"/>
      <c r="AZ218" s="1111"/>
      <c r="BA218" s="1111"/>
      <c r="BB218" s="1111"/>
      <c r="BC218" s="1111"/>
      <c r="BD218" s="1111"/>
      <c r="BE218" s="1111"/>
      <c r="BF218" s="1111"/>
      <c r="BG218" s="1111"/>
      <c r="BH218" s="1111"/>
      <c r="BI218" s="1111"/>
      <c r="BJ218" s="1111"/>
      <c r="BK218" s="1111"/>
      <c r="BL218" s="1111"/>
      <c r="BM218" s="1111"/>
      <c r="BN218" s="1111"/>
      <c r="BO218" s="1111"/>
      <c r="BP218" s="1111"/>
      <c r="BQ218" s="1111"/>
      <c r="BR218" s="1111"/>
      <c r="BS218" s="1111"/>
      <c r="BT218" s="1111"/>
      <c r="BU218" s="1111"/>
      <c r="BV218" s="1111"/>
      <c r="BW218" s="1111"/>
      <c r="BX218" s="1111"/>
      <c r="BY218" s="1111"/>
      <c r="BZ218" s="1111"/>
      <c r="CA218" s="1111"/>
      <c r="CB218" s="1111"/>
      <c r="CC218" s="1111"/>
      <c r="CD218" s="1111"/>
      <c r="CE218" s="1111"/>
      <c r="CF218" s="1111"/>
      <c r="CG218" s="1111"/>
      <c r="CH218" s="1111"/>
      <c r="CI218" s="1111"/>
      <c r="CJ218" s="1111"/>
      <c r="CK218" s="1110"/>
    </row>
    <row r="219" spans="1:89" ht="14.4" x14ac:dyDescent="0.3">
      <c r="A219" s="1110"/>
      <c r="B219" s="1110"/>
      <c r="C219" s="1110"/>
      <c r="D219" s="1110"/>
      <c r="E219" s="1110"/>
      <c r="F219" s="1110"/>
      <c r="G219" s="1110"/>
      <c r="H219" s="1110"/>
      <c r="I219" s="1110"/>
      <c r="J219" s="1110"/>
      <c r="K219" s="1110"/>
      <c r="L219" s="1110"/>
      <c r="M219" s="1110"/>
      <c r="N219" s="1110"/>
      <c r="O219" s="1110"/>
      <c r="P219" s="1110"/>
      <c r="Q219" s="1110"/>
      <c r="R219" s="1110"/>
      <c r="S219" s="1110"/>
      <c r="T219" s="1111"/>
      <c r="U219" s="1111"/>
      <c r="V219" s="1111"/>
      <c r="W219" s="1111"/>
      <c r="X219" s="1111"/>
      <c r="Y219" s="1111"/>
      <c r="Z219" s="1111"/>
      <c r="AA219" s="1111"/>
      <c r="AB219" s="1111"/>
      <c r="AC219" s="1111"/>
      <c r="AD219" s="1111"/>
      <c r="AE219" s="1111"/>
      <c r="AF219" s="1111"/>
      <c r="AG219" s="1111"/>
      <c r="AH219" s="1111"/>
      <c r="AI219" s="1111"/>
      <c r="AJ219" s="1111"/>
      <c r="AK219" s="1111"/>
      <c r="AL219" s="1111"/>
      <c r="AM219" s="1111"/>
      <c r="AN219" s="1111"/>
      <c r="AO219" s="1111"/>
      <c r="AP219" s="1111"/>
      <c r="AQ219" s="1111"/>
      <c r="AR219" s="1111"/>
      <c r="AS219" s="1111"/>
      <c r="AT219" s="1111"/>
      <c r="AU219" s="1111"/>
      <c r="AV219" s="1111"/>
      <c r="AW219" s="1111"/>
      <c r="AX219" s="1111"/>
      <c r="AY219" s="1111"/>
      <c r="AZ219" s="1111"/>
      <c r="BA219" s="1111"/>
      <c r="BB219" s="1111"/>
      <c r="BC219" s="1111"/>
      <c r="BD219" s="1111"/>
      <c r="BE219" s="1111"/>
      <c r="BF219" s="1111"/>
      <c r="BG219" s="1111"/>
      <c r="BH219" s="1111"/>
      <c r="BI219" s="1111"/>
      <c r="BJ219" s="1111"/>
      <c r="BK219" s="1111"/>
      <c r="BL219" s="1111"/>
      <c r="BM219" s="1111"/>
      <c r="BN219" s="1111"/>
      <c r="BO219" s="1111"/>
      <c r="BP219" s="1111"/>
      <c r="BQ219" s="1111"/>
      <c r="BR219" s="1111"/>
      <c r="BS219" s="1111"/>
      <c r="BT219" s="1111"/>
      <c r="BU219" s="1111"/>
      <c r="BV219" s="1111"/>
      <c r="BW219" s="1111"/>
      <c r="BX219" s="1111"/>
      <c r="BY219" s="1111"/>
      <c r="BZ219" s="1111"/>
      <c r="CA219" s="1111"/>
      <c r="CB219" s="1111"/>
      <c r="CC219" s="1111"/>
      <c r="CD219" s="1111"/>
      <c r="CE219" s="1111"/>
      <c r="CF219" s="1111"/>
      <c r="CG219" s="1111"/>
      <c r="CH219" s="1111"/>
      <c r="CI219" s="1111"/>
      <c r="CJ219" s="1111"/>
      <c r="CK219" s="1110"/>
    </row>
    <row r="220" spans="1:89" ht="14.4" x14ac:dyDescent="0.3">
      <c r="A220" s="1110"/>
      <c r="B220" s="1110"/>
      <c r="C220" s="1110"/>
      <c r="D220" s="1110"/>
      <c r="E220" s="1110"/>
      <c r="F220" s="1110"/>
      <c r="G220" s="1110"/>
      <c r="H220" s="1110"/>
      <c r="I220" s="1110"/>
      <c r="J220" s="1110"/>
      <c r="K220" s="1110"/>
      <c r="L220" s="1110"/>
      <c r="M220" s="1110"/>
      <c r="N220" s="1110"/>
      <c r="O220" s="1110"/>
      <c r="P220" s="1110"/>
      <c r="Q220" s="1110"/>
      <c r="R220" s="1110"/>
      <c r="S220" s="1110"/>
      <c r="T220" s="1111"/>
      <c r="U220" s="1111"/>
      <c r="V220" s="1111"/>
      <c r="W220" s="1111"/>
      <c r="X220" s="1111"/>
      <c r="Y220" s="1111"/>
      <c r="Z220" s="1111"/>
      <c r="AA220" s="1111"/>
      <c r="AB220" s="1111"/>
      <c r="AC220" s="1111"/>
      <c r="AD220" s="1111"/>
      <c r="AE220" s="1111"/>
      <c r="AF220" s="1111"/>
      <c r="AG220" s="1111"/>
      <c r="AH220" s="1111"/>
      <c r="AI220" s="1111"/>
      <c r="AJ220" s="1111"/>
      <c r="AK220" s="1111"/>
      <c r="AL220" s="1111"/>
      <c r="AM220" s="1111"/>
      <c r="AN220" s="1111"/>
      <c r="AO220" s="1111"/>
      <c r="AP220" s="1111"/>
      <c r="AQ220" s="1111"/>
      <c r="AR220" s="1111"/>
      <c r="AS220" s="1111"/>
      <c r="AT220" s="1111"/>
      <c r="AU220" s="1111"/>
      <c r="AV220" s="1111"/>
      <c r="AW220" s="1111"/>
      <c r="AX220" s="1111"/>
      <c r="AY220" s="1111"/>
      <c r="AZ220" s="1111"/>
      <c r="BA220" s="1111"/>
      <c r="BB220" s="1111"/>
      <c r="BC220" s="1111"/>
      <c r="BD220" s="1111"/>
      <c r="BE220" s="1111"/>
      <c r="BF220" s="1111"/>
      <c r="BG220" s="1111"/>
      <c r="BH220" s="1111"/>
      <c r="BI220" s="1111"/>
      <c r="BJ220" s="1111"/>
      <c r="BK220" s="1111"/>
      <c r="BL220" s="1111"/>
      <c r="BM220" s="1111"/>
      <c r="BN220" s="1111"/>
      <c r="BO220" s="1111"/>
      <c r="BP220" s="1111"/>
      <c r="BQ220" s="1111"/>
      <c r="BR220" s="1111"/>
      <c r="BS220" s="1111"/>
      <c r="BT220" s="1111"/>
      <c r="BU220" s="1111"/>
      <c r="BV220" s="1111"/>
      <c r="BW220" s="1111"/>
      <c r="BX220" s="1111"/>
      <c r="BY220" s="1111"/>
      <c r="BZ220" s="1111"/>
      <c r="CA220" s="1111"/>
      <c r="CB220" s="1111"/>
      <c r="CC220" s="1111"/>
      <c r="CD220" s="1111"/>
      <c r="CE220" s="1111"/>
      <c r="CF220" s="1111"/>
      <c r="CG220" s="1111"/>
      <c r="CH220" s="1111"/>
      <c r="CI220" s="1111"/>
      <c r="CJ220" s="1111"/>
      <c r="CK220" s="1110"/>
    </row>
    <row r="221" spans="1:89" ht="14.4" x14ac:dyDescent="0.3">
      <c r="A221" s="1110"/>
      <c r="B221" s="1110"/>
      <c r="C221" s="1110"/>
      <c r="D221" s="1110"/>
      <c r="E221" s="1110"/>
      <c r="F221" s="1110"/>
      <c r="G221" s="1110"/>
      <c r="H221" s="1110"/>
      <c r="I221" s="1110"/>
      <c r="J221" s="1110"/>
      <c r="K221" s="1110"/>
      <c r="L221" s="1110"/>
      <c r="M221" s="1110"/>
      <c r="N221" s="1110"/>
      <c r="O221" s="1110"/>
      <c r="P221" s="1110"/>
      <c r="Q221" s="1110"/>
      <c r="R221" s="1110"/>
      <c r="S221" s="1110"/>
      <c r="T221" s="1111"/>
      <c r="U221" s="1111"/>
      <c r="V221" s="1111"/>
      <c r="W221" s="1111"/>
      <c r="X221" s="1111"/>
      <c r="Y221" s="1111"/>
      <c r="Z221" s="1111"/>
      <c r="AA221" s="1111"/>
      <c r="AB221" s="1111"/>
      <c r="AC221" s="1111"/>
      <c r="AD221" s="1111"/>
      <c r="AE221" s="1111"/>
      <c r="AF221" s="1111"/>
      <c r="AG221" s="1111"/>
      <c r="AH221" s="1111"/>
      <c r="AI221" s="1111"/>
      <c r="AJ221" s="1111"/>
      <c r="AK221" s="1111"/>
      <c r="AL221" s="1111"/>
      <c r="AM221" s="1111"/>
      <c r="AN221" s="1111"/>
      <c r="AO221" s="1111"/>
      <c r="AP221" s="1111"/>
      <c r="AQ221" s="1111"/>
      <c r="AR221" s="1111"/>
      <c r="AS221" s="1111"/>
      <c r="AT221" s="1111"/>
      <c r="AU221" s="1111"/>
      <c r="AV221" s="1111"/>
      <c r="AW221" s="1111"/>
      <c r="AX221" s="1111"/>
      <c r="AY221" s="1111"/>
      <c r="AZ221" s="1111"/>
      <c r="BA221" s="1111"/>
      <c r="BB221" s="1111"/>
      <c r="BC221" s="1111"/>
      <c r="BD221" s="1111"/>
      <c r="BE221" s="1111"/>
      <c r="BF221" s="1111"/>
      <c r="BG221" s="1111"/>
      <c r="BH221" s="1111"/>
      <c r="BI221" s="1111"/>
      <c r="BJ221" s="1111"/>
      <c r="BK221" s="1111"/>
      <c r="BL221" s="1111"/>
      <c r="BM221" s="1111"/>
      <c r="BN221" s="1111"/>
      <c r="BO221" s="1111"/>
      <c r="BP221" s="1111"/>
      <c r="BQ221" s="1111"/>
      <c r="BR221" s="1111"/>
      <c r="BS221" s="1111"/>
      <c r="BT221" s="1111"/>
      <c r="BU221" s="1111"/>
      <c r="BV221" s="1111"/>
      <c r="BW221" s="1111"/>
      <c r="BX221" s="1111"/>
      <c r="BY221" s="1111"/>
      <c r="BZ221" s="1111"/>
      <c r="CA221" s="1111"/>
      <c r="CB221" s="1111"/>
      <c r="CC221" s="1111"/>
      <c r="CD221" s="1111"/>
      <c r="CE221" s="1111"/>
      <c r="CF221" s="1111"/>
      <c r="CG221" s="1111"/>
      <c r="CH221" s="1111"/>
      <c r="CI221" s="1111"/>
      <c r="CJ221" s="1111"/>
      <c r="CK221" s="1110"/>
    </row>
    <row r="222" spans="1:89" ht="14.4" x14ac:dyDescent="0.3">
      <c r="A222" s="1110"/>
      <c r="B222" s="1110"/>
      <c r="C222" s="1110"/>
      <c r="D222" s="1110"/>
      <c r="E222" s="1110"/>
      <c r="F222" s="1110"/>
      <c r="G222" s="1110"/>
      <c r="H222" s="1110"/>
      <c r="I222" s="1110"/>
      <c r="J222" s="1110"/>
      <c r="K222" s="1110"/>
      <c r="L222" s="1110"/>
      <c r="M222" s="1110"/>
      <c r="N222" s="1110"/>
      <c r="O222" s="1110"/>
      <c r="P222" s="1110"/>
      <c r="Q222" s="1110"/>
      <c r="R222" s="1110"/>
      <c r="S222" s="1110"/>
      <c r="T222" s="1111"/>
      <c r="U222" s="1111"/>
      <c r="V222" s="1111"/>
      <c r="W222" s="1111"/>
      <c r="X222" s="1111"/>
      <c r="Y222" s="1111"/>
      <c r="Z222" s="1111"/>
      <c r="AA222" s="1111"/>
      <c r="AB222" s="1111"/>
      <c r="AC222" s="1111"/>
      <c r="AD222" s="1111"/>
      <c r="AE222" s="1111"/>
      <c r="AF222" s="1111"/>
      <c r="AG222" s="1111"/>
      <c r="AH222" s="1111"/>
      <c r="AI222" s="1111"/>
      <c r="AJ222" s="1111"/>
      <c r="AK222" s="1111"/>
      <c r="AL222" s="1111"/>
      <c r="AM222" s="1111"/>
      <c r="AN222" s="1111"/>
      <c r="AO222" s="1111"/>
      <c r="AP222" s="1111"/>
      <c r="AQ222" s="1111"/>
      <c r="AR222" s="1111"/>
      <c r="AS222" s="1111"/>
      <c r="AT222" s="1111"/>
      <c r="AU222" s="1111"/>
      <c r="AV222" s="1111"/>
      <c r="AW222" s="1111"/>
      <c r="AX222" s="1111"/>
      <c r="AY222" s="1111"/>
      <c r="AZ222" s="1111"/>
      <c r="BA222" s="1111"/>
      <c r="BB222" s="1111"/>
      <c r="BC222" s="1111"/>
      <c r="BD222" s="1111"/>
      <c r="BE222" s="1111"/>
      <c r="BF222" s="1111"/>
      <c r="BG222" s="1111"/>
      <c r="BH222" s="1111"/>
      <c r="BI222" s="1111"/>
      <c r="BJ222" s="1111"/>
      <c r="BK222" s="1111"/>
      <c r="BL222" s="1111"/>
      <c r="BM222" s="1111"/>
      <c r="BN222" s="1111"/>
      <c r="BO222" s="1111"/>
      <c r="BP222" s="1111"/>
      <c r="BQ222" s="1111"/>
      <c r="BR222" s="1111"/>
      <c r="BS222" s="1111"/>
      <c r="BT222" s="1111"/>
      <c r="BU222" s="1111"/>
      <c r="BV222" s="1111"/>
      <c r="BW222" s="1111"/>
      <c r="BX222" s="1111"/>
      <c r="BY222" s="1111"/>
      <c r="BZ222" s="1111"/>
      <c r="CA222" s="1111"/>
      <c r="CB222" s="1111"/>
      <c r="CC222" s="1111"/>
      <c r="CD222" s="1111"/>
      <c r="CE222" s="1111"/>
      <c r="CF222" s="1111"/>
      <c r="CG222" s="1111"/>
      <c r="CH222" s="1111"/>
      <c r="CI222" s="1111"/>
      <c r="CJ222" s="1111"/>
      <c r="CK222" s="1110"/>
    </row>
    <row r="223" spans="1:89" ht="14.4" x14ac:dyDescent="0.3">
      <c r="A223" s="1110"/>
      <c r="B223" s="1110"/>
      <c r="C223" s="1110"/>
      <c r="D223" s="1110"/>
      <c r="E223" s="1110"/>
      <c r="F223" s="1110"/>
      <c r="G223" s="1110"/>
      <c r="H223" s="1110"/>
      <c r="I223" s="1110"/>
      <c r="J223" s="1110"/>
      <c r="K223" s="1110"/>
      <c r="L223" s="1110"/>
      <c r="M223" s="1110"/>
      <c r="N223" s="1110"/>
      <c r="O223" s="1110"/>
      <c r="P223" s="1110"/>
      <c r="Q223" s="1110"/>
      <c r="R223" s="1110"/>
      <c r="S223" s="1110"/>
      <c r="T223" s="1111"/>
      <c r="U223" s="1111"/>
      <c r="V223" s="1111"/>
      <c r="W223" s="1111"/>
      <c r="X223" s="1111"/>
      <c r="Y223" s="1111"/>
      <c r="Z223" s="1111"/>
      <c r="AA223" s="1111"/>
      <c r="AB223" s="1111"/>
      <c r="AC223" s="1111"/>
      <c r="AD223" s="1111"/>
      <c r="AE223" s="1111"/>
      <c r="AF223" s="1111"/>
      <c r="AG223" s="1111"/>
      <c r="AH223" s="1111"/>
      <c r="AI223" s="1111"/>
      <c r="AJ223" s="1111"/>
      <c r="AK223" s="1111"/>
      <c r="AL223" s="1111"/>
      <c r="AM223" s="1111"/>
      <c r="AN223" s="1111"/>
      <c r="AO223" s="1111"/>
      <c r="AP223" s="1111"/>
      <c r="AQ223" s="1111"/>
      <c r="AR223" s="1111"/>
      <c r="AS223" s="1111"/>
      <c r="AT223" s="1111"/>
      <c r="AU223" s="1111"/>
      <c r="AV223" s="1111"/>
      <c r="AW223" s="1111"/>
      <c r="AX223" s="1111"/>
      <c r="AY223" s="1111"/>
      <c r="AZ223" s="1111"/>
      <c r="BA223" s="1111"/>
      <c r="BB223" s="1111"/>
      <c r="BC223" s="1111"/>
      <c r="BD223" s="1111"/>
      <c r="BE223" s="1111"/>
      <c r="BF223" s="1111"/>
      <c r="BG223" s="1111"/>
      <c r="BH223" s="1111"/>
      <c r="BI223" s="1111"/>
      <c r="BJ223" s="1111"/>
      <c r="BK223" s="1111"/>
      <c r="BL223" s="1111"/>
      <c r="BM223" s="1111"/>
      <c r="BN223" s="1111"/>
      <c r="BO223" s="1111"/>
      <c r="BP223" s="1111"/>
      <c r="BQ223" s="1111"/>
      <c r="BR223" s="1111"/>
      <c r="BS223" s="1111"/>
      <c r="BT223" s="1111"/>
      <c r="BU223" s="1111"/>
      <c r="BV223" s="1111"/>
      <c r="BW223" s="1111"/>
      <c r="BX223" s="1111"/>
      <c r="BY223" s="1111"/>
      <c r="BZ223" s="1111"/>
      <c r="CA223" s="1111"/>
      <c r="CB223" s="1111"/>
      <c r="CC223" s="1111"/>
      <c r="CD223" s="1111"/>
      <c r="CE223" s="1111"/>
      <c r="CF223" s="1111"/>
      <c r="CG223" s="1111"/>
      <c r="CH223" s="1111"/>
      <c r="CI223" s="1111"/>
      <c r="CJ223" s="1111"/>
      <c r="CK223" s="1110"/>
    </row>
    <row r="224" spans="1:89" ht="14.4" x14ac:dyDescent="0.3">
      <c r="A224" s="1110"/>
      <c r="B224" s="1110"/>
      <c r="C224" s="1110"/>
      <c r="D224" s="1110"/>
      <c r="E224" s="1110"/>
      <c r="F224" s="1110"/>
      <c r="G224" s="1110"/>
      <c r="H224" s="1110"/>
      <c r="I224" s="1110"/>
      <c r="J224" s="1110"/>
      <c r="K224" s="1110"/>
      <c r="L224" s="1110"/>
      <c r="M224" s="1110"/>
      <c r="N224" s="1110"/>
      <c r="O224" s="1110"/>
      <c r="P224" s="1110"/>
      <c r="Q224" s="1110"/>
      <c r="R224" s="1110"/>
      <c r="S224" s="1110"/>
      <c r="T224" s="1111"/>
      <c r="U224" s="1111"/>
      <c r="V224" s="1111"/>
      <c r="W224" s="1111"/>
      <c r="X224" s="1111"/>
      <c r="Y224" s="1111"/>
      <c r="Z224" s="1111"/>
      <c r="AA224" s="1111"/>
      <c r="AB224" s="1111"/>
      <c r="AC224" s="1111"/>
      <c r="AD224" s="1111"/>
      <c r="AE224" s="1111"/>
      <c r="AF224" s="1111"/>
      <c r="AG224" s="1111"/>
      <c r="AH224" s="1111"/>
      <c r="AI224" s="1111"/>
      <c r="AJ224" s="1111"/>
      <c r="AK224" s="1111"/>
      <c r="AL224" s="1111"/>
      <c r="AM224" s="1111"/>
      <c r="AN224" s="1111"/>
      <c r="AO224" s="1111"/>
      <c r="AP224" s="1111"/>
      <c r="AQ224" s="1111"/>
      <c r="AR224" s="1111"/>
      <c r="AS224" s="1111"/>
      <c r="AT224" s="1111"/>
      <c r="AU224" s="1111"/>
      <c r="AV224" s="1111"/>
      <c r="AW224" s="1111"/>
      <c r="AX224" s="1111"/>
      <c r="AY224" s="1111"/>
      <c r="AZ224" s="1111"/>
      <c r="BA224" s="1111"/>
      <c r="BB224" s="1111"/>
      <c r="BC224" s="1111"/>
      <c r="BD224" s="1111"/>
      <c r="BE224" s="1111"/>
      <c r="BF224" s="1111"/>
      <c r="BG224" s="1111"/>
      <c r="BH224" s="1111"/>
      <c r="BI224" s="1111"/>
      <c r="BJ224" s="1111"/>
      <c r="BK224" s="1111"/>
      <c r="BL224" s="1111"/>
      <c r="BM224" s="1111"/>
      <c r="BN224" s="1111"/>
      <c r="BO224" s="1111"/>
      <c r="BP224" s="1111"/>
      <c r="BQ224" s="1111"/>
      <c r="BR224" s="1111"/>
      <c r="BS224" s="1111"/>
      <c r="BT224" s="1111"/>
      <c r="BU224" s="1111"/>
      <c r="BV224" s="1111"/>
      <c r="BW224" s="1111"/>
      <c r="BX224" s="1111"/>
      <c r="BY224" s="1111"/>
      <c r="BZ224" s="1111"/>
      <c r="CA224" s="1111"/>
      <c r="CB224" s="1111"/>
      <c r="CC224" s="1111"/>
      <c r="CD224" s="1111"/>
      <c r="CE224" s="1111"/>
      <c r="CF224" s="1111"/>
      <c r="CG224" s="1111"/>
      <c r="CH224" s="1111"/>
      <c r="CI224" s="1111"/>
      <c r="CJ224" s="1111"/>
      <c r="CK224" s="1110"/>
    </row>
    <row r="225" spans="1:89" ht="14.4" x14ac:dyDescent="0.3">
      <c r="A225" s="1110"/>
      <c r="B225" s="1110"/>
      <c r="C225" s="1110"/>
      <c r="D225" s="1110"/>
      <c r="E225" s="1110"/>
      <c r="F225" s="1110"/>
      <c r="G225" s="1110"/>
      <c r="H225" s="1110"/>
      <c r="I225" s="1110"/>
      <c r="J225" s="1110"/>
      <c r="K225" s="1110"/>
      <c r="L225" s="1110"/>
      <c r="M225" s="1110"/>
      <c r="N225" s="1110"/>
      <c r="O225" s="1110"/>
      <c r="P225" s="1110"/>
      <c r="Q225" s="1110"/>
      <c r="R225" s="1110"/>
      <c r="S225" s="1110"/>
      <c r="T225" s="1111"/>
      <c r="U225" s="1111"/>
      <c r="V225" s="1111"/>
      <c r="W225" s="1111"/>
      <c r="X225" s="1111"/>
      <c r="Y225" s="1111"/>
      <c r="Z225" s="1111"/>
      <c r="AA225" s="1111"/>
      <c r="AB225" s="1111"/>
      <c r="AC225" s="1111"/>
      <c r="AD225" s="1111"/>
      <c r="AE225" s="1111"/>
      <c r="AF225" s="1111"/>
      <c r="AG225" s="1111"/>
      <c r="AH225" s="1111"/>
      <c r="AI225" s="1111"/>
      <c r="AJ225" s="1111"/>
      <c r="AK225" s="1111"/>
      <c r="AL225" s="1111"/>
      <c r="AM225" s="1111"/>
      <c r="AN225" s="1111"/>
      <c r="AO225" s="1111"/>
      <c r="AP225" s="1111"/>
      <c r="AQ225" s="1111"/>
      <c r="AR225" s="1111"/>
      <c r="AS225" s="1111"/>
      <c r="AT225" s="1111"/>
      <c r="AU225" s="1111"/>
      <c r="AV225" s="1111"/>
      <c r="AW225" s="1111"/>
      <c r="AX225" s="1111"/>
      <c r="AY225" s="1111"/>
      <c r="AZ225" s="1111"/>
      <c r="BA225" s="1111"/>
      <c r="BB225" s="1111"/>
      <c r="BC225" s="1111"/>
      <c r="BD225" s="1111"/>
      <c r="BE225" s="1111"/>
      <c r="BF225" s="1111"/>
      <c r="BG225" s="1111"/>
      <c r="BH225" s="1111"/>
      <c r="BI225" s="1111"/>
      <c r="BJ225" s="1111"/>
      <c r="BK225" s="1111"/>
      <c r="BL225" s="1111"/>
      <c r="BM225" s="1111"/>
      <c r="BN225" s="1111"/>
      <c r="BO225" s="1111"/>
      <c r="BP225" s="1111"/>
      <c r="BQ225" s="1111"/>
      <c r="BR225" s="1111"/>
      <c r="BS225" s="1111"/>
      <c r="BT225" s="1111"/>
      <c r="BU225" s="1111"/>
      <c r="BV225" s="1111"/>
      <c r="BW225" s="1111"/>
      <c r="BX225" s="1111"/>
      <c r="BY225" s="1111"/>
      <c r="BZ225" s="1111"/>
      <c r="CA225" s="1111"/>
      <c r="CB225" s="1111"/>
      <c r="CC225" s="1111"/>
      <c r="CD225" s="1111"/>
      <c r="CE225" s="1111"/>
      <c r="CF225" s="1111"/>
      <c r="CG225" s="1111"/>
      <c r="CH225" s="1111"/>
      <c r="CI225" s="1111"/>
      <c r="CJ225" s="1111"/>
      <c r="CK225" s="1110"/>
    </row>
    <row r="226" spans="1:89" ht="14.4" x14ac:dyDescent="0.3">
      <c r="A226" s="1110"/>
      <c r="B226" s="1110"/>
      <c r="C226" s="1110"/>
      <c r="D226" s="1110"/>
      <c r="E226" s="1110"/>
      <c r="F226" s="1110"/>
      <c r="G226" s="1110"/>
      <c r="H226" s="1110"/>
      <c r="I226" s="1110"/>
      <c r="J226" s="1110"/>
      <c r="K226" s="1110"/>
      <c r="L226" s="1110"/>
      <c r="M226" s="1110"/>
      <c r="N226" s="1110"/>
      <c r="O226" s="1110"/>
      <c r="P226" s="1110"/>
      <c r="Q226" s="1110"/>
      <c r="R226" s="1110"/>
      <c r="S226" s="1110"/>
      <c r="T226" s="1111"/>
      <c r="U226" s="1111"/>
      <c r="V226" s="1111"/>
      <c r="W226" s="1111"/>
      <c r="X226" s="1111"/>
      <c r="Y226" s="1111"/>
      <c r="Z226" s="1111"/>
      <c r="AA226" s="1111"/>
      <c r="AB226" s="1111"/>
      <c r="AC226" s="1111"/>
      <c r="AD226" s="1111"/>
      <c r="AE226" s="1111"/>
      <c r="AF226" s="1111"/>
      <c r="AG226" s="1111"/>
      <c r="AH226" s="1111"/>
      <c r="AI226" s="1111"/>
      <c r="AJ226" s="1111"/>
      <c r="AK226" s="1111"/>
      <c r="AL226" s="1111"/>
      <c r="AM226" s="1111"/>
      <c r="AN226" s="1111"/>
      <c r="AO226" s="1111"/>
      <c r="AP226" s="1111"/>
      <c r="AQ226" s="1111"/>
      <c r="AR226" s="1111"/>
      <c r="AS226" s="1111"/>
      <c r="AT226" s="1111"/>
      <c r="AU226" s="1111"/>
      <c r="AV226" s="1111"/>
      <c r="AW226" s="1111"/>
      <c r="AX226" s="1111"/>
      <c r="AY226" s="1111"/>
      <c r="AZ226" s="1111"/>
      <c r="BA226" s="1111"/>
      <c r="BB226" s="1111"/>
      <c r="BC226" s="1111"/>
      <c r="BD226" s="1111"/>
      <c r="BE226" s="1111"/>
      <c r="BF226" s="1111"/>
      <c r="BG226" s="1111"/>
      <c r="BH226" s="1111"/>
      <c r="BI226" s="1111"/>
      <c r="BJ226" s="1111"/>
      <c r="BK226" s="1111"/>
      <c r="BL226" s="1111"/>
      <c r="BM226" s="1111"/>
      <c r="BN226" s="1111"/>
      <c r="BO226" s="1111"/>
      <c r="BP226" s="1111"/>
      <c r="BQ226" s="1111"/>
      <c r="BR226" s="1111"/>
      <c r="BS226" s="1111"/>
      <c r="BT226" s="1111"/>
      <c r="BU226" s="1111"/>
      <c r="BV226" s="1111"/>
      <c r="BW226" s="1111"/>
      <c r="BX226" s="1111"/>
      <c r="BY226" s="1111"/>
      <c r="BZ226" s="1111"/>
      <c r="CA226" s="1111"/>
      <c r="CB226" s="1111"/>
      <c r="CC226" s="1111"/>
      <c r="CD226" s="1111"/>
      <c r="CE226" s="1111"/>
      <c r="CF226" s="1111"/>
      <c r="CG226" s="1111"/>
      <c r="CH226" s="1111"/>
      <c r="CI226" s="1111"/>
      <c r="CJ226" s="1111"/>
      <c r="CK226" s="1110"/>
    </row>
    <row r="227" spans="1:89" ht="14.4" x14ac:dyDescent="0.3">
      <c r="A227" s="1110"/>
      <c r="B227" s="1110"/>
      <c r="C227" s="1110"/>
      <c r="D227" s="1110"/>
      <c r="E227" s="1110"/>
      <c r="F227" s="1110"/>
      <c r="G227" s="1110"/>
      <c r="H227" s="1110"/>
      <c r="I227" s="1110"/>
      <c r="J227" s="1110"/>
      <c r="K227" s="1110"/>
      <c r="L227" s="1110"/>
      <c r="M227" s="1110"/>
      <c r="N227" s="1110"/>
      <c r="O227" s="1110"/>
      <c r="P227" s="1110"/>
      <c r="Q227" s="1110"/>
      <c r="R227" s="1110"/>
      <c r="S227" s="1110"/>
      <c r="T227" s="1111"/>
      <c r="U227" s="1111"/>
      <c r="V227" s="1111"/>
      <c r="W227" s="1111"/>
      <c r="X227" s="1111"/>
      <c r="Y227" s="1111"/>
      <c r="Z227" s="1111"/>
      <c r="AA227" s="1111"/>
      <c r="AB227" s="1111"/>
      <c r="AC227" s="1111"/>
      <c r="AD227" s="1111"/>
      <c r="AE227" s="1111"/>
      <c r="AF227" s="1111"/>
      <c r="AG227" s="1111"/>
      <c r="AH227" s="1111"/>
      <c r="AI227" s="1111"/>
      <c r="AJ227" s="1111"/>
      <c r="AK227" s="1111"/>
      <c r="AL227" s="1111"/>
      <c r="AM227" s="1111"/>
      <c r="AN227" s="1111"/>
      <c r="AO227" s="1111"/>
      <c r="AP227" s="1111"/>
      <c r="AQ227" s="1111"/>
      <c r="AR227" s="1111"/>
      <c r="AS227" s="1111"/>
      <c r="AT227" s="1111"/>
      <c r="AU227" s="1111"/>
      <c r="AV227" s="1111"/>
      <c r="AW227" s="1111"/>
      <c r="AX227" s="1111"/>
      <c r="AY227" s="1111"/>
      <c r="AZ227" s="1111"/>
      <c r="BA227" s="1111"/>
      <c r="BB227" s="1111"/>
      <c r="BC227" s="1111"/>
      <c r="BD227" s="1111"/>
      <c r="BE227" s="1111"/>
      <c r="BF227" s="1111"/>
      <c r="BG227" s="1111"/>
      <c r="BH227" s="1111"/>
      <c r="BI227" s="1111"/>
      <c r="BJ227" s="1111"/>
      <c r="BK227" s="1111"/>
      <c r="BL227" s="1111"/>
      <c r="BM227" s="1111"/>
      <c r="BN227" s="1111"/>
      <c r="BO227" s="1111"/>
      <c r="BP227" s="1111"/>
      <c r="BQ227" s="1111"/>
      <c r="BR227" s="1111"/>
      <c r="BS227" s="1111"/>
      <c r="BT227" s="1111"/>
      <c r="BU227" s="1111"/>
      <c r="BV227" s="1111"/>
      <c r="BW227" s="1111"/>
      <c r="BX227" s="1111"/>
      <c r="BY227" s="1111"/>
      <c r="BZ227" s="1111"/>
      <c r="CA227" s="1111"/>
      <c r="CB227" s="1111"/>
      <c r="CC227" s="1111"/>
      <c r="CD227" s="1111"/>
      <c r="CE227" s="1111"/>
      <c r="CF227" s="1111"/>
      <c r="CG227" s="1111"/>
      <c r="CH227" s="1111"/>
      <c r="CI227" s="1111"/>
      <c r="CJ227" s="1111"/>
      <c r="CK227" s="1110"/>
    </row>
    <row r="228" spans="1:89" ht="14.4" x14ac:dyDescent="0.3">
      <c r="A228" s="1110"/>
      <c r="B228" s="1110"/>
      <c r="C228" s="1110"/>
      <c r="D228" s="1110"/>
      <c r="E228" s="1110"/>
      <c r="F228" s="1110"/>
      <c r="G228" s="1110"/>
      <c r="H228" s="1110"/>
      <c r="I228" s="1110"/>
      <c r="J228" s="1110"/>
      <c r="K228" s="1110"/>
      <c r="L228" s="1110"/>
      <c r="M228" s="1110"/>
      <c r="N228" s="1110"/>
      <c r="O228" s="1110"/>
      <c r="P228" s="1110"/>
      <c r="Q228" s="1110"/>
      <c r="R228" s="1110"/>
      <c r="S228" s="1110"/>
      <c r="T228" s="1111"/>
      <c r="U228" s="1111"/>
      <c r="V228" s="1111"/>
      <c r="W228" s="1111"/>
      <c r="X228" s="1111"/>
      <c r="Y228" s="1111"/>
      <c r="Z228" s="1111"/>
      <c r="AA228" s="1111"/>
      <c r="AB228" s="1111"/>
      <c r="AC228" s="1111"/>
      <c r="AD228" s="1111"/>
      <c r="AE228" s="1111"/>
      <c r="AF228" s="1111"/>
      <c r="AG228" s="1111"/>
      <c r="AH228" s="1111"/>
      <c r="AI228" s="1111"/>
      <c r="AJ228" s="1111"/>
      <c r="AK228" s="1111"/>
      <c r="AL228" s="1111"/>
      <c r="AM228" s="1111"/>
      <c r="AN228" s="1111"/>
      <c r="AO228" s="1111"/>
      <c r="AP228" s="1111"/>
      <c r="AQ228" s="1111"/>
      <c r="AR228" s="1111"/>
      <c r="AS228" s="1111"/>
      <c r="AT228" s="1111"/>
      <c r="AU228" s="1111"/>
      <c r="AV228" s="1111"/>
      <c r="AW228" s="1111"/>
      <c r="AX228" s="1111"/>
      <c r="AY228" s="1111"/>
      <c r="AZ228" s="1111"/>
      <c r="BA228" s="1111"/>
      <c r="BB228" s="1111"/>
      <c r="BC228" s="1111"/>
      <c r="BD228" s="1111"/>
      <c r="BE228" s="1111"/>
      <c r="BF228" s="1111"/>
      <c r="BG228" s="1111"/>
      <c r="BH228" s="1111"/>
      <c r="BI228" s="1111"/>
      <c r="BJ228" s="1111"/>
      <c r="BK228" s="1111"/>
      <c r="BL228" s="1111"/>
      <c r="BM228" s="1111"/>
      <c r="BN228" s="1111"/>
      <c r="BO228" s="1111"/>
      <c r="BP228" s="1111"/>
      <c r="BQ228" s="1111"/>
      <c r="BR228" s="1111"/>
      <c r="BS228" s="1111"/>
      <c r="BT228" s="1111"/>
      <c r="BU228" s="1111"/>
      <c r="BV228" s="1111"/>
      <c r="BW228" s="1111"/>
      <c r="BX228" s="1111"/>
      <c r="BY228" s="1111"/>
      <c r="BZ228" s="1111"/>
      <c r="CA228" s="1111"/>
      <c r="CB228" s="1111"/>
      <c r="CC228" s="1111"/>
      <c r="CD228" s="1111"/>
      <c r="CE228" s="1111"/>
      <c r="CF228" s="1111"/>
      <c r="CG228" s="1111"/>
      <c r="CH228" s="1111"/>
      <c r="CI228" s="1111"/>
      <c r="CJ228" s="1111"/>
      <c r="CK228" s="1110"/>
    </row>
    <row r="229" spans="1:89" ht="14.4" x14ac:dyDescent="0.3">
      <c r="A229" s="1110"/>
      <c r="B229" s="1110"/>
      <c r="C229" s="1110"/>
      <c r="D229" s="1110"/>
      <c r="E229" s="1110"/>
      <c r="F229" s="1110"/>
      <c r="G229" s="1110"/>
      <c r="H229" s="1110"/>
      <c r="I229" s="1110"/>
      <c r="J229" s="1110"/>
      <c r="K229" s="1110"/>
      <c r="L229" s="1110"/>
      <c r="M229" s="1110"/>
      <c r="N229" s="1110"/>
      <c r="O229" s="1110"/>
      <c r="P229" s="1110"/>
      <c r="Q229" s="1110"/>
      <c r="R229" s="1110"/>
      <c r="S229" s="1110"/>
      <c r="T229" s="1111"/>
      <c r="U229" s="1111"/>
      <c r="V229" s="1111"/>
      <c r="W229" s="1111"/>
      <c r="X229" s="1111"/>
      <c r="Y229" s="1111"/>
      <c r="Z229" s="1111"/>
      <c r="AA229" s="1111"/>
      <c r="AB229" s="1111"/>
      <c r="AC229" s="1111"/>
      <c r="AD229" s="1111"/>
      <c r="AE229" s="1111"/>
      <c r="AF229" s="1111"/>
      <c r="AG229" s="1111"/>
      <c r="AH229" s="1111"/>
      <c r="AI229" s="1111"/>
      <c r="AJ229" s="1111"/>
      <c r="AK229" s="1111"/>
      <c r="AL229" s="1111"/>
      <c r="AM229" s="1111"/>
      <c r="AN229" s="1111"/>
      <c r="AO229" s="1111"/>
      <c r="AP229" s="1111"/>
      <c r="AQ229" s="1111"/>
      <c r="AR229" s="1111"/>
      <c r="AS229" s="1111"/>
      <c r="AT229" s="1111"/>
      <c r="AU229" s="1111"/>
      <c r="AV229" s="1111"/>
      <c r="AW229" s="1111"/>
      <c r="AX229" s="1111"/>
      <c r="AY229" s="1111"/>
      <c r="AZ229" s="1111"/>
      <c r="BA229" s="1111"/>
      <c r="BB229" s="1111"/>
      <c r="BC229" s="1111"/>
      <c r="BD229" s="1111"/>
      <c r="BE229" s="1111"/>
      <c r="BF229" s="1111"/>
      <c r="BG229" s="1111"/>
      <c r="BH229" s="1111"/>
      <c r="BI229" s="1111"/>
      <c r="BJ229" s="1111"/>
      <c r="BK229" s="1111"/>
      <c r="BL229" s="1111"/>
      <c r="BM229" s="1111"/>
      <c r="BN229" s="1111"/>
      <c r="BO229" s="1111"/>
      <c r="BP229" s="1111"/>
      <c r="BQ229" s="1111"/>
      <c r="BR229" s="1111"/>
      <c r="BS229" s="1111"/>
      <c r="BT229" s="1111"/>
      <c r="BU229" s="1111"/>
      <c r="BV229" s="1111"/>
      <c r="BW229" s="1111"/>
      <c r="BX229" s="1111"/>
      <c r="BY229" s="1111"/>
      <c r="BZ229" s="1111"/>
      <c r="CA229" s="1111"/>
      <c r="CB229" s="1111"/>
      <c r="CC229" s="1111"/>
      <c r="CD229" s="1111"/>
      <c r="CE229" s="1111"/>
      <c r="CF229" s="1111"/>
      <c r="CG229" s="1111"/>
      <c r="CH229" s="1111"/>
      <c r="CI229" s="1111"/>
      <c r="CJ229" s="1111"/>
      <c r="CK229" s="1110"/>
    </row>
    <row r="230" spans="1:89" ht="14.4" x14ac:dyDescent="0.3">
      <c r="A230" s="1110"/>
      <c r="B230" s="1110"/>
      <c r="C230" s="1110"/>
      <c r="D230" s="1110"/>
      <c r="E230" s="1110"/>
      <c r="F230" s="1110"/>
      <c r="G230" s="1110"/>
      <c r="H230" s="1110"/>
      <c r="I230" s="1110"/>
      <c r="J230" s="1110"/>
      <c r="K230" s="1110"/>
      <c r="L230" s="1110"/>
      <c r="M230" s="1110"/>
      <c r="N230" s="1110"/>
      <c r="O230" s="1110"/>
      <c r="P230" s="1110"/>
      <c r="Q230" s="1110"/>
      <c r="R230" s="1110"/>
      <c r="S230" s="1110"/>
      <c r="T230" s="1111"/>
      <c r="U230" s="1111"/>
      <c r="V230" s="1111"/>
      <c r="W230" s="1111"/>
      <c r="X230" s="1111"/>
      <c r="Y230" s="1111"/>
      <c r="Z230" s="1111"/>
      <c r="AA230" s="1111"/>
      <c r="AB230" s="1111"/>
      <c r="AC230" s="1111"/>
      <c r="AD230" s="1111"/>
      <c r="AE230" s="1111"/>
      <c r="AF230" s="1111"/>
      <c r="AG230" s="1111"/>
      <c r="AH230" s="1111"/>
      <c r="AI230" s="1111"/>
      <c r="AJ230" s="1111"/>
      <c r="AK230" s="1111"/>
      <c r="AL230" s="1111"/>
      <c r="AM230" s="1111"/>
      <c r="AN230" s="1111"/>
      <c r="AO230" s="1111"/>
      <c r="AP230" s="1111"/>
      <c r="AQ230" s="1111"/>
      <c r="AR230" s="1111"/>
      <c r="AS230" s="1111"/>
      <c r="AT230" s="1111"/>
      <c r="AU230" s="1111"/>
      <c r="AV230" s="1111"/>
      <c r="AW230" s="1111"/>
      <c r="AX230" s="1111"/>
      <c r="AY230" s="1111"/>
      <c r="AZ230" s="1111"/>
      <c r="BA230" s="1111"/>
      <c r="BB230" s="1111"/>
      <c r="BC230" s="1111"/>
      <c r="BD230" s="1111"/>
      <c r="BE230" s="1111"/>
      <c r="BF230" s="1111"/>
      <c r="BG230" s="1111"/>
      <c r="BH230" s="1111"/>
      <c r="BI230" s="1111"/>
      <c r="BJ230" s="1111"/>
      <c r="BK230" s="1111"/>
      <c r="BL230" s="1111"/>
      <c r="BM230" s="1111"/>
      <c r="BN230" s="1111"/>
      <c r="BO230" s="1111"/>
      <c r="BP230" s="1111"/>
      <c r="BQ230" s="1111"/>
      <c r="BR230" s="1111"/>
      <c r="BS230" s="1111"/>
      <c r="BT230" s="1111"/>
      <c r="BU230" s="1111"/>
      <c r="BV230" s="1111"/>
      <c r="BW230" s="1111"/>
      <c r="BX230" s="1111"/>
      <c r="BY230" s="1111"/>
      <c r="BZ230" s="1111"/>
      <c r="CA230" s="1111"/>
      <c r="CB230" s="1111"/>
      <c r="CC230" s="1111"/>
      <c r="CD230" s="1111"/>
      <c r="CE230" s="1111"/>
      <c r="CF230" s="1111"/>
      <c r="CG230" s="1111"/>
      <c r="CH230" s="1111"/>
      <c r="CI230" s="1111"/>
      <c r="CJ230" s="1111"/>
      <c r="CK230" s="1110"/>
    </row>
    <row r="231" spans="1:89" ht="14.4" x14ac:dyDescent="0.3">
      <c r="A231" s="1110"/>
      <c r="B231" s="1110"/>
      <c r="C231" s="1110"/>
      <c r="D231" s="1110"/>
      <c r="E231" s="1110"/>
      <c r="F231" s="1110"/>
      <c r="G231" s="1110"/>
      <c r="H231" s="1110"/>
      <c r="I231" s="1110"/>
      <c r="J231" s="1110"/>
      <c r="K231" s="1110"/>
      <c r="L231" s="1110"/>
      <c r="M231" s="1110"/>
      <c r="N231" s="1110"/>
      <c r="O231" s="1110"/>
      <c r="P231" s="1110"/>
      <c r="Q231" s="1110"/>
      <c r="R231" s="1110"/>
      <c r="S231" s="1110"/>
      <c r="T231" s="1111"/>
      <c r="U231" s="1111"/>
      <c r="V231" s="1111"/>
      <c r="W231" s="1111"/>
      <c r="X231" s="1111"/>
      <c r="Y231" s="1111"/>
      <c r="Z231" s="1111"/>
      <c r="AA231" s="1111"/>
      <c r="AB231" s="1111"/>
      <c r="AC231" s="1111"/>
      <c r="AD231" s="1111"/>
      <c r="AE231" s="1111"/>
      <c r="AF231" s="1111"/>
      <c r="AG231" s="1111"/>
      <c r="AH231" s="1111"/>
      <c r="AI231" s="1111"/>
      <c r="AJ231" s="1111"/>
      <c r="AK231" s="1111"/>
      <c r="AL231" s="1111"/>
      <c r="AM231" s="1111"/>
      <c r="AN231" s="1111"/>
      <c r="AO231" s="1111"/>
      <c r="AP231" s="1111"/>
      <c r="AQ231" s="1111"/>
      <c r="AR231" s="1111"/>
      <c r="AS231" s="1111"/>
      <c r="AT231" s="1111"/>
      <c r="AU231" s="1111"/>
      <c r="AV231" s="1111"/>
      <c r="AW231" s="1111"/>
      <c r="AX231" s="1111"/>
      <c r="AY231" s="1111"/>
      <c r="AZ231" s="1111"/>
      <c r="BA231" s="1111"/>
      <c r="BB231" s="1111"/>
      <c r="BC231" s="1111"/>
      <c r="BD231" s="1111"/>
      <c r="BE231" s="1111"/>
      <c r="BF231" s="1111"/>
      <c r="BG231" s="1111"/>
      <c r="BH231" s="1111"/>
      <c r="BI231" s="1111"/>
      <c r="BJ231" s="1111"/>
      <c r="BK231" s="1111"/>
      <c r="BL231" s="1111"/>
      <c r="BM231" s="1111"/>
      <c r="BN231" s="1111"/>
      <c r="BO231" s="1111"/>
      <c r="BP231" s="1111"/>
      <c r="BQ231" s="1111"/>
      <c r="BR231" s="1111"/>
      <c r="BS231" s="1111"/>
      <c r="BT231" s="1111"/>
      <c r="BU231" s="1111"/>
      <c r="BV231" s="1111"/>
      <c r="BW231" s="1111"/>
      <c r="BX231" s="1111"/>
      <c r="BY231" s="1111"/>
      <c r="BZ231" s="1111"/>
      <c r="CA231" s="1111"/>
      <c r="CB231" s="1111"/>
      <c r="CC231" s="1111"/>
      <c r="CD231" s="1111"/>
      <c r="CE231" s="1111"/>
      <c r="CF231" s="1111"/>
      <c r="CG231" s="1111"/>
      <c r="CH231" s="1111"/>
      <c r="CI231" s="1111"/>
      <c r="CJ231" s="1111"/>
      <c r="CK231" s="1110"/>
    </row>
    <row r="232" spans="1:89" ht="14.4" x14ac:dyDescent="0.3">
      <c r="A232" s="1110"/>
      <c r="B232" s="1110"/>
      <c r="C232" s="1110"/>
      <c r="D232" s="1110"/>
      <c r="E232" s="1110"/>
      <c r="F232" s="1110"/>
      <c r="G232" s="1110"/>
      <c r="H232" s="1110"/>
      <c r="I232" s="1110"/>
      <c r="J232" s="1110"/>
      <c r="K232" s="1110"/>
      <c r="L232" s="1110"/>
      <c r="M232" s="1110"/>
      <c r="N232" s="1110"/>
      <c r="O232" s="1110"/>
      <c r="P232" s="1110"/>
      <c r="Q232" s="1110"/>
      <c r="R232" s="1110"/>
      <c r="S232" s="1110"/>
      <c r="T232" s="1111"/>
      <c r="U232" s="1111"/>
      <c r="V232" s="1111"/>
      <c r="W232" s="1111"/>
      <c r="X232" s="1111"/>
      <c r="Y232" s="1111"/>
      <c r="Z232" s="1111"/>
      <c r="AA232" s="1111"/>
      <c r="AB232" s="1111"/>
      <c r="AC232" s="1111"/>
      <c r="AD232" s="1111"/>
      <c r="AE232" s="1111"/>
      <c r="AF232" s="1111"/>
      <c r="AG232" s="1111"/>
      <c r="AH232" s="1111"/>
      <c r="AI232" s="1111"/>
      <c r="AJ232" s="1111"/>
      <c r="AK232" s="1111"/>
      <c r="AL232" s="1111"/>
      <c r="AM232" s="1111"/>
      <c r="AN232" s="1111"/>
      <c r="AO232" s="1111"/>
      <c r="AP232" s="1111"/>
      <c r="AQ232" s="1111"/>
      <c r="AR232" s="1111"/>
      <c r="AS232" s="1111"/>
      <c r="AT232" s="1111"/>
      <c r="AU232" s="1111"/>
      <c r="AV232" s="1111"/>
      <c r="AW232" s="1111"/>
      <c r="AX232" s="1111"/>
      <c r="AY232" s="1111"/>
      <c r="AZ232" s="1111"/>
      <c r="BA232" s="1111"/>
      <c r="BB232" s="1111"/>
      <c r="BC232" s="1111"/>
      <c r="BD232" s="1111"/>
      <c r="BE232" s="1111"/>
      <c r="BF232" s="1111"/>
      <c r="BG232" s="1111"/>
      <c r="BH232" s="1111"/>
      <c r="BI232" s="1111"/>
      <c r="BJ232" s="1111"/>
      <c r="BK232" s="1111"/>
      <c r="BL232" s="1111"/>
      <c r="BM232" s="1111"/>
      <c r="BN232" s="1111"/>
      <c r="BO232" s="1111"/>
      <c r="BP232" s="1111"/>
      <c r="BQ232" s="1111"/>
      <c r="BR232" s="1111"/>
      <c r="BS232" s="1111"/>
      <c r="BT232" s="1111"/>
      <c r="BU232" s="1111"/>
      <c r="BV232" s="1111"/>
      <c r="BW232" s="1111"/>
      <c r="BX232" s="1111"/>
      <c r="BY232" s="1111"/>
      <c r="BZ232" s="1111"/>
      <c r="CA232" s="1111"/>
      <c r="CB232" s="1111"/>
      <c r="CC232" s="1111"/>
      <c r="CD232" s="1111"/>
      <c r="CE232" s="1111"/>
      <c r="CF232" s="1111"/>
      <c r="CG232" s="1111"/>
      <c r="CH232" s="1111"/>
      <c r="CI232" s="1111"/>
      <c r="CJ232" s="1111"/>
      <c r="CK232" s="1110"/>
    </row>
    <row r="233" spans="1:89" ht="14.4" x14ac:dyDescent="0.3">
      <c r="A233" s="1110"/>
      <c r="B233" s="1110"/>
      <c r="C233" s="1110"/>
      <c r="D233" s="1110"/>
      <c r="E233" s="1110"/>
      <c r="F233" s="1110"/>
      <c r="G233" s="1110"/>
      <c r="H233" s="1110"/>
      <c r="I233" s="1110"/>
      <c r="J233" s="1110"/>
      <c r="K233" s="1110"/>
      <c r="L233" s="1110"/>
      <c r="M233" s="1110"/>
      <c r="N233" s="1110"/>
      <c r="O233" s="1110"/>
      <c r="P233" s="1110"/>
      <c r="Q233" s="1110"/>
      <c r="R233" s="1110"/>
      <c r="S233" s="1110"/>
      <c r="T233" s="1111"/>
      <c r="U233" s="1111"/>
      <c r="V233" s="1111"/>
      <c r="W233" s="1111"/>
      <c r="X233" s="1111"/>
      <c r="Y233" s="1111"/>
      <c r="Z233" s="1111"/>
      <c r="AA233" s="1111"/>
      <c r="AB233" s="1111"/>
      <c r="AC233" s="1111"/>
      <c r="AD233" s="1111"/>
      <c r="AE233" s="1111"/>
      <c r="AF233" s="1111"/>
      <c r="AG233" s="1111"/>
      <c r="AH233" s="1111"/>
      <c r="AI233" s="1111"/>
      <c r="AJ233" s="1111"/>
      <c r="AK233" s="1111"/>
      <c r="AL233" s="1111"/>
      <c r="AM233" s="1111"/>
      <c r="AN233" s="1111"/>
      <c r="AO233" s="1111"/>
      <c r="AP233" s="1111"/>
      <c r="AQ233" s="1111"/>
      <c r="AR233" s="1111"/>
      <c r="AS233" s="1111"/>
      <c r="AT233" s="1111"/>
      <c r="AU233" s="1111"/>
      <c r="AV233" s="1111"/>
      <c r="AW233" s="1111"/>
      <c r="AX233" s="1111"/>
      <c r="AY233" s="1111"/>
      <c r="AZ233" s="1111"/>
      <c r="BA233" s="1111"/>
      <c r="BB233" s="1111"/>
      <c r="BC233" s="1111"/>
      <c r="BD233" s="1111"/>
      <c r="BE233" s="1111"/>
      <c r="BF233" s="1111"/>
      <c r="BG233" s="1111"/>
      <c r="BH233" s="1111"/>
      <c r="BI233" s="1111"/>
      <c r="BJ233" s="1111"/>
      <c r="BK233" s="1111"/>
      <c r="BL233" s="1111"/>
      <c r="BM233" s="1111"/>
      <c r="BN233" s="1111"/>
      <c r="BO233" s="1111"/>
      <c r="BP233" s="1111"/>
      <c r="BQ233" s="1111"/>
      <c r="BR233" s="1111"/>
      <c r="BS233" s="1111"/>
      <c r="BT233" s="1111"/>
      <c r="BU233" s="1111"/>
      <c r="BV233" s="1111"/>
      <c r="BW233" s="1111"/>
      <c r="BX233" s="1111"/>
      <c r="BY233" s="1111"/>
      <c r="BZ233" s="1111"/>
      <c r="CA233" s="1111"/>
      <c r="CB233" s="1111"/>
      <c r="CC233" s="1111"/>
      <c r="CD233" s="1111"/>
      <c r="CE233" s="1111"/>
      <c r="CF233" s="1111"/>
      <c r="CG233" s="1111"/>
      <c r="CH233" s="1111"/>
      <c r="CI233" s="1111"/>
      <c r="CJ233" s="1111"/>
      <c r="CK233" s="1110"/>
    </row>
    <row r="234" spans="1:89" ht="14.4" x14ac:dyDescent="0.3">
      <c r="A234" s="1110"/>
      <c r="B234" s="1110"/>
      <c r="C234" s="1110"/>
      <c r="D234" s="1110"/>
      <c r="E234" s="1110"/>
      <c r="F234" s="1110"/>
      <c r="G234" s="1110"/>
      <c r="H234" s="1110"/>
      <c r="I234" s="1110"/>
      <c r="J234" s="1110"/>
      <c r="K234" s="1110"/>
      <c r="L234" s="1110"/>
      <c r="M234" s="1110"/>
      <c r="N234" s="1110"/>
      <c r="O234" s="1110"/>
      <c r="P234" s="1110"/>
      <c r="Q234" s="1110"/>
      <c r="R234" s="1110"/>
      <c r="S234" s="1110"/>
      <c r="T234" s="1111"/>
      <c r="U234" s="1111"/>
      <c r="V234" s="1111"/>
      <c r="W234" s="1111"/>
      <c r="X234" s="1111"/>
      <c r="Y234" s="1111"/>
      <c r="Z234" s="1111"/>
      <c r="AA234" s="1111"/>
      <c r="AB234" s="1111"/>
      <c r="AC234" s="1111"/>
      <c r="AD234" s="1111"/>
      <c r="AE234" s="1111"/>
      <c r="AF234" s="1111"/>
      <c r="AG234" s="1111"/>
      <c r="AH234" s="1111"/>
      <c r="AI234" s="1111"/>
      <c r="AJ234" s="1111"/>
      <c r="AK234" s="1111"/>
      <c r="AL234" s="1111"/>
      <c r="AM234" s="1111"/>
      <c r="AN234" s="1111"/>
      <c r="AO234" s="1111"/>
      <c r="AP234" s="1111"/>
      <c r="AQ234" s="1111"/>
      <c r="AR234" s="1111"/>
      <c r="AS234" s="1111"/>
      <c r="AT234" s="1111"/>
      <c r="AU234" s="1111"/>
      <c r="AV234" s="1111"/>
      <c r="AW234" s="1111"/>
      <c r="AX234" s="1111"/>
      <c r="AY234" s="1111"/>
      <c r="AZ234" s="1111"/>
      <c r="BA234" s="1111"/>
      <c r="BB234" s="1111"/>
      <c r="BC234" s="1111"/>
      <c r="BD234" s="1111"/>
      <c r="BE234" s="1111"/>
      <c r="BF234" s="1111"/>
      <c r="BG234" s="1111"/>
      <c r="BH234" s="1111"/>
      <c r="BI234" s="1111"/>
      <c r="BJ234" s="1111"/>
      <c r="BK234" s="1111"/>
      <c r="BL234" s="1111"/>
      <c r="BM234" s="1111"/>
      <c r="BN234" s="1111"/>
      <c r="BO234" s="1111"/>
      <c r="BP234" s="1111"/>
      <c r="BQ234" s="1111"/>
      <c r="BR234" s="1111"/>
      <c r="BS234" s="1111"/>
      <c r="BT234" s="1111"/>
      <c r="BU234" s="1111"/>
      <c r="BV234" s="1111"/>
      <c r="BW234" s="1111"/>
      <c r="BX234" s="1111"/>
      <c r="BY234" s="1111"/>
      <c r="BZ234" s="1111"/>
      <c r="CA234" s="1111"/>
      <c r="CB234" s="1111"/>
      <c r="CC234" s="1111"/>
      <c r="CD234" s="1111"/>
      <c r="CE234" s="1111"/>
      <c r="CF234" s="1111"/>
      <c r="CG234" s="1111"/>
      <c r="CH234" s="1111"/>
      <c r="CI234" s="1111"/>
      <c r="CJ234" s="1111"/>
      <c r="CK234" s="1110"/>
    </row>
    <row r="235" spans="1:89" ht="14.4" x14ac:dyDescent="0.3">
      <c r="A235" s="1110"/>
      <c r="B235" s="1110"/>
      <c r="C235" s="1110"/>
      <c r="D235" s="1110"/>
      <c r="E235" s="1110"/>
      <c r="F235" s="1110"/>
      <c r="G235" s="1110"/>
      <c r="H235" s="1110"/>
      <c r="I235" s="1110"/>
      <c r="J235" s="1110"/>
      <c r="K235" s="1110"/>
      <c r="L235" s="1110"/>
      <c r="M235" s="1110"/>
      <c r="N235" s="1110"/>
      <c r="O235" s="1110"/>
      <c r="P235" s="1110"/>
      <c r="Q235" s="1110"/>
      <c r="R235" s="1110"/>
      <c r="S235" s="1110"/>
      <c r="T235" s="1111"/>
      <c r="U235" s="1111"/>
      <c r="V235" s="1111"/>
      <c r="W235" s="1111"/>
      <c r="X235" s="1111"/>
      <c r="Y235" s="1111"/>
      <c r="Z235" s="1111"/>
      <c r="AA235" s="1111"/>
      <c r="AB235" s="1111"/>
      <c r="AC235" s="1111"/>
      <c r="AD235" s="1111"/>
      <c r="AE235" s="1111"/>
      <c r="AF235" s="1111"/>
      <c r="AG235" s="1111"/>
      <c r="AH235" s="1111"/>
      <c r="AI235" s="1111"/>
      <c r="AJ235" s="1111"/>
      <c r="AK235" s="1111"/>
      <c r="AL235" s="1111"/>
      <c r="AM235" s="1111"/>
      <c r="AN235" s="1111"/>
      <c r="AO235" s="1111"/>
      <c r="AP235" s="1111"/>
      <c r="AQ235" s="1111"/>
      <c r="AR235" s="1111"/>
      <c r="AS235" s="1111"/>
      <c r="AT235" s="1111"/>
      <c r="AU235" s="1111"/>
      <c r="AV235" s="1111"/>
      <c r="AW235" s="1111"/>
      <c r="AX235" s="1111"/>
      <c r="AY235" s="1111"/>
      <c r="AZ235" s="1111"/>
      <c r="BA235" s="1111"/>
      <c r="BB235" s="1111"/>
      <c r="BC235" s="1111"/>
      <c r="BD235" s="1111"/>
      <c r="BE235" s="1111"/>
      <c r="BF235" s="1111"/>
      <c r="BG235" s="1111"/>
      <c r="BH235" s="1111"/>
      <c r="BI235" s="1111"/>
      <c r="BJ235" s="1111"/>
      <c r="BK235" s="1111"/>
      <c r="BL235" s="1111"/>
      <c r="BM235" s="1111"/>
      <c r="BN235" s="1111"/>
      <c r="BO235" s="1111"/>
      <c r="BP235" s="1111"/>
      <c r="BQ235" s="1111"/>
      <c r="BR235" s="1111"/>
      <c r="BS235" s="1111"/>
      <c r="BT235" s="1111"/>
      <c r="BU235" s="1111"/>
      <c r="BV235" s="1111"/>
      <c r="BW235" s="1111"/>
      <c r="BX235" s="1111"/>
      <c r="BY235" s="1111"/>
      <c r="BZ235" s="1111"/>
      <c r="CA235" s="1111"/>
      <c r="CB235" s="1111"/>
      <c r="CC235" s="1111"/>
      <c r="CD235" s="1111"/>
      <c r="CE235" s="1111"/>
      <c r="CF235" s="1111"/>
      <c r="CG235" s="1111"/>
      <c r="CH235" s="1111"/>
      <c r="CI235" s="1111"/>
      <c r="CJ235" s="1111"/>
      <c r="CK235" s="1110"/>
    </row>
    <row r="236" spans="1:89" ht="14.4" x14ac:dyDescent="0.3">
      <c r="A236" s="1110"/>
      <c r="B236" s="1110"/>
      <c r="C236" s="1110"/>
      <c r="D236" s="1110"/>
      <c r="E236" s="1110"/>
      <c r="F236" s="1110"/>
      <c r="G236" s="1110"/>
      <c r="H236" s="1110"/>
      <c r="I236" s="1110"/>
      <c r="J236" s="1110"/>
      <c r="K236" s="1110"/>
      <c r="L236" s="1110"/>
      <c r="M236" s="1110"/>
      <c r="N236" s="1110"/>
      <c r="O236" s="1110"/>
      <c r="P236" s="1110"/>
      <c r="Q236" s="1110"/>
      <c r="R236" s="1110"/>
      <c r="S236" s="1110"/>
      <c r="T236" s="1111"/>
      <c r="U236" s="1111"/>
      <c r="V236" s="1111"/>
      <c r="W236" s="1111"/>
      <c r="X236" s="1111"/>
      <c r="Y236" s="1111"/>
      <c r="Z236" s="1111"/>
      <c r="AA236" s="1111"/>
      <c r="AB236" s="1111"/>
      <c r="AC236" s="1111"/>
      <c r="AD236" s="1111"/>
      <c r="AE236" s="1111"/>
      <c r="AF236" s="1111"/>
      <c r="AG236" s="1111"/>
      <c r="AH236" s="1111"/>
      <c r="AI236" s="1111"/>
      <c r="AJ236" s="1111"/>
      <c r="AK236" s="1111"/>
      <c r="AL236" s="1111"/>
      <c r="AM236" s="1111"/>
      <c r="AN236" s="1111"/>
      <c r="AO236" s="1111"/>
      <c r="AP236" s="1111"/>
      <c r="AQ236" s="1111"/>
      <c r="AR236" s="1111"/>
      <c r="AS236" s="1111"/>
      <c r="AT236" s="1111"/>
      <c r="AU236" s="1111"/>
      <c r="AV236" s="1111"/>
      <c r="AW236" s="1111"/>
      <c r="AX236" s="1111"/>
      <c r="AY236" s="1111"/>
      <c r="AZ236" s="1111"/>
      <c r="BA236" s="1111"/>
      <c r="BB236" s="1111"/>
      <c r="BC236" s="1111"/>
      <c r="BD236" s="1111"/>
      <c r="BE236" s="1111"/>
      <c r="BF236" s="1111"/>
      <c r="BG236" s="1111"/>
      <c r="BH236" s="1111"/>
      <c r="BI236" s="1111"/>
      <c r="BJ236" s="1111"/>
      <c r="BK236" s="1111"/>
      <c r="BL236" s="1111"/>
      <c r="BM236" s="1111"/>
      <c r="BN236" s="1111"/>
      <c r="BO236" s="1111"/>
      <c r="BP236" s="1111"/>
      <c r="BQ236" s="1111"/>
      <c r="BR236" s="1111"/>
      <c r="BS236" s="1111"/>
      <c r="BT236" s="1111"/>
      <c r="BU236" s="1111"/>
      <c r="BV236" s="1111"/>
      <c r="BW236" s="1111"/>
      <c r="BX236" s="1111"/>
      <c r="BY236" s="1111"/>
      <c r="BZ236" s="1111"/>
      <c r="CA236" s="1111"/>
      <c r="CB236" s="1111"/>
      <c r="CC236" s="1111"/>
      <c r="CD236" s="1111"/>
      <c r="CE236" s="1111"/>
      <c r="CF236" s="1111"/>
      <c r="CG236" s="1111"/>
      <c r="CH236" s="1111"/>
      <c r="CI236" s="1111"/>
      <c r="CJ236" s="1111"/>
      <c r="CK236" s="1110"/>
    </row>
    <row r="237" spans="1:89" ht="14.4" x14ac:dyDescent="0.3">
      <c r="A237" s="1110"/>
      <c r="B237" s="1110"/>
      <c r="C237" s="1110"/>
      <c r="D237" s="1110"/>
      <c r="E237" s="1110"/>
      <c r="F237" s="1110"/>
      <c r="G237" s="1110"/>
      <c r="H237" s="1110"/>
      <c r="I237" s="1110"/>
      <c r="J237" s="1110"/>
      <c r="K237" s="1110"/>
      <c r="L237" s="1110"/>
      <c r="M237" s="1110"/>
      <c r="N237" s="1110"/>
      <c r="O237" s="1110"/>
      <c r="P237" s="1110"/>
      <c r="Q237" s="1110"/>
      <c r="R237" s="1110"/>
      <c r="S237" s="1110"/>
      <c r="T237" s="1111"/>
      <c r="U237" s="1111"/>
      <c r="V237" s="1111"/>
      <c r="W237" s="1111"/>
      <c r="X237" s="1111"/>
      <c r="Y237" s="1111"/>
      <c r="Z237" s="1111"/>
      <c r="AA237" s="1111"/>
      <c r="AB237" s="1111"/>
      <c r="AC237" s="1111"/>
      <c r="AD237" s="1111"/>
      <c r="AE237" s="1111"/>
      <c r="AF237" s="1111"/>
      <c r="AG237" s="1111"/>
      <c r="AH237" s="1111"/>
      <c r="AI237" s="1111"/>
      <c r="AJ237" s="1111"/>
      <c r="AK237" s="1111"/>
      <c r="AL237" s="1111"/>
      <c r="AM237" s="1111"/>
      <c r="AN237" s="1111"/>
      <c r="AO237" s="1111"/>
      <c r="AP237" s="1111"/>
      <c r="AQ237" s="1111"/>
      <c r="AR237" s="1111"/>
      <c r="AS237" s="1111"/>
      <c r="AT237" s="1111"/>
      <c r="AU237" s="1111"/>
      <c r="AV237" s="1111"/>
      <c r="AW237" s="1111"/>
      <c r="AX237" s="1111"/>
      <c r="AY237" s="1111"/>
      <c r="AZ237" s="1111"/>
      <c r="BA237" s="1111"/>
      <c r="BB237" s="1111"/>
      <c r="BC237" s="1111"/>
      <c r="BD237" s="1111"/>
      <c r="BE237" s="1111"/>
      <c r="BF237" s="1111"/>
      <c r="BG237" s="1111"/>
      <c r="BH237" s="1111"/>
      <c r="BI237" s="1111"/>
      <c r="BJ237" s="1111"/>
      <c r="BK237" s="1111"/>
      <c r="BL237" s="1111"/>
      <c r="BM237" s="1111"/>
      <c r="BN237" s="1111"/>
      <c r="BO237" s="1111"/>
      <c r="BP237" s="1111"/>
      <c r="BQ237" s="1111"/>
      <c r="BR237" s="1111"/>
      <c r="BS237" s="1111"/>
      <c r="BT237" s="1111"/>
      <c r="BU237" s="1111"/>
      <c r="BV237" s="1111"/>
      <c r="BW237" s="1111"/>
      <c r="BX237" s="1111"/>
      <c r="BY237" s="1111"/>
      <c r="BZ237" s="1111"/>
      <c r="CA237" s="1111"/>
      <c r="CB237" s="1111"/>
      <c r="CC237" s="1111"/>
      <c r="CD237" s="1111"/>
      <c r="CE237" s="1111"/>
      <c r="CF237" s="1111"/>
      <c r="CG237" s="1111"/>
      <c r="CH237" s="1111"/>
      <c r="CI237" s="1111"/>
      <c r="CJ237" s="1111"/>
      <c r="CK237" s="1110"/>
    </row>
    <row r="238" spans="1:89" ht="14.4" x14ac:dyDescent="0.3">
      <c r="A238" s="1110"/>
      <c r="B238" s="1110"/>
      <c r="C238" s="1110"/>
      <c r="D238" s="1110"/>
      <c r="E238" s="1110"/>
      <c r="F238" s="1110"/>
      <c r="G238" s="1110"/>
      <c r="H238" s="1110"/>
      <c r="I238" s="1110"/>
      <c r="J238" s="1110"/>
      <c r="K238" s="1110"/>
      <c r="L238" s="1110"/>
      <c r="M238" s="1110"/>
      <c r="N238" s="1110"/>
      <c r="O238" s="1110"/>
      <c r="P238" s="1110"/>
      <c r="Q238" s="1110"/>
      <c r="R238" s="1110"/>
      <c r="S238" s="1110"/>
      <c r="T238" s="1111"/>
      <c r="U238" s="1111"/>
      <c r="V238" s="1111"/>
      <c r="W238" s="1111"/>
      <c r="X238" s="1111"/>
      <c r="Y238" s="1111"/>
      <c r="Z238" s="1111"/>
      <c r="AA238" s="1111"/>
      <c r="AB238" s="1111"/>
      <c r="AC238" s="1111"/>
      <c r="AD238" s="1111"/>
      <c r="AE238" s="1111"/>
      <c r="AF238" s="1111"/>
      <c r="AG238" s="1111"/>
      <c r="AH238" s="1111"/>
      <c r="AI238" s="1111"/>
      <c r="AJ238" s="1111"/>
      <c r="AK238" s="1111"/>
      <c r="AL238" s="1111"/>
      <c r="AM238" s="1111"/>
      <c r="AN238" s="1111"/>
      <c r="AO238" s="1111"/>
      <c r="AP238" s="1111"/>
      <c r="AQ238" s="1111"/>
      <c r="AR238" s="1111"/>
      <c r="AS238" s="1111"/>
      <c r="AT238" s="1111"/>
      <c r="AU238" s="1111"/>
      <c r="AV238" s="1111"/>
      <c r="AW238" s="1111"/>
      <c r="AX238" s="1111"/>
      <c r="AY238" s="1111"/>
      <c r="AZ238" s="1111"/>
      <c r="BA238" s="1111"/>
      <c r="BB238" s="1111"/>
      <c r="BC238" s="1111"/>
      <c r="BD238" s="1111"/>
      <c r="BE238" s="1111"/>
      <c r="BF238" s="1111"/>
      <c r="BG238" s="1111"/>
      <c r="BH238" s="1111"/>
      <c r="BI238" s="1111"/>
      <c r="BJ238" s="1111"/>
      <c r="BK238" s="1111"/>
      <c r="BL238" s="1111"/>
      <c r="BM238" s="1111"/>
      <c r="BN238" s="1111"/>
      <c r="BO238" s="1111"/>
      <c r="BP238" s="1111"/>
      <c r="BQ238" s="1111"/>
      <c r="BR238" s="1111"/>
      <c r="BS238" s="1111"/>
      <c r="BT238" s="1111"/>
      <c r="BU238" s="1111"/>
      <c r="BV238" s="1111"/>
      <c r="BW238" s="1111"/>
      <c r="BX238" s="1111"/>
      <c r="BY238" s="1111"/>
      <c r="BZ238" s="1111"/>
      <c r="CA238" s="1111"/>
      <c r="CB238" s="1111"/>
      <c r="CC238" s="1111"/>
      <c r="CD238" s="1111"/>
      <c r="CE238" s="1111"/>
      <c r="CF238" s="1111"/>
      <c r="CG238" s="1111"/>
      <c r="CH238" s="1111"/>
      <c r="CI238" s="1111"/>
      <c r="CJ238" s="1111"/>
      <c r="CK238" s="1110"/>
    </row>
    <row r="239" spans="1:89" ht="14.4" x14ac:dyDescent="0.3">
      <c r="A239" s="1110"/>
      <c r="B239" s="1110"/>
      <c r="C239" s="1110"/>
      <c r="D239" s="1110"/>
      <c r="E239" s="1110"/>
      <c r="F239" s="1110"/>
      <c r="G239" s="1110"/>
      <c r="H239" s="1110"/>
      <c r="I239" s="1110"/>
      <c r="J239" s="1110"/>
      <c r="K239" s="1110"/>
      <c r="L239" s="1110"/>
      <c r="M239" s="1110"/>
      <c r="N239" s="1110"/>
      <c r="O239" s="1110"/>
      <c r="P239" s="1110"/>
      <c r="Q239" s="1110"/>
      <c r="R239" s="1110"/>
      <c r="S239" s="1110"/>
      <c r="T239" s="1111"/>
      <c r="U239" s="1111"/>
      <c r="V239" s="1111"/>
      <c r="W239" s="1111"/>
      <c r="X239" s="1111"/>
      <c r="Y239" s="1111"/>
      <c r="Z239" s="1111"/>
      <c r="AA239" s="1111"/>
      <c r="AB239" s="1111"/>
      <c r="AC239" s="1111"/>
      <c r="AD239" s="1111"/>
      <c r="AE239" s="1111"/>
      <c r="AF239" s="1111"/>
      <c r="AG239" s="1111"/>
      <c r="AH239" s="1111"/>
      <c r="AI239" s="1111"/>
      <c r="AJ239" s="1111"/>
      <c r="AK239" s="1111"/>
      <c r="AL239" s="1111"/>
      <c r="AM239" s="1111"/>
      <c r="AN239" s="1111"/>
      <c r="AO239" s="1111"/>
      <c r="AP239" s="1111"/>
      <c r="AQ239" s="1111"/>
      <c r="AR239" s="1111"/>
      <c r="AS239" s="1111"/>
      <c r="AT239" s="1111"/>
      <c r="AU239" s="1111"/>
      <c r="AV239" s="1111"/>
      <c r="AW239" s="1111"/>
      <c r="AX239" s="1111"/>
      <c r="AY239" s="1111"/>
      <c r="AZ239" s="1111"/>
      <c r="BA239" s="1111"/>
      <c r="BB239" s="1111"/>
      <c r="BC239" s="1111"/>
      <c r="BD239" s="1111"/>
      <c r="BE239" s="1111"/>
      <c r="BF239" s="1111"/>
      <c r="BG239" s="1111"/>
      <c r="BH239" s="1111"/>
      <c r="BI239" s="1111"/>
      <c r="BJ239" s="1111"/>
      <c r="BK239" s="1111"/>
      <c r="BL239" s="1111"/>
      <c r="BM239" s="1111"/>
      <c r="BN239" s="1111"/>
      <c r="BO239" s="1111"/>
      <c r="BP239" s="1111"/>
      <c r="BQ239" s="1111"/>
      <c r="BR239" s="1111"/>
      <c r="BS239" s="1111"/>
      <c r="BT239" s="1111"/>
      <c r="BU239" s="1111"/>
      <c r="BV239" s="1111"/>
      <c r="BW239" s="1111"/>
      <c r="BX239" s="1111"/>
      <c r="BY239" s="1111"/>
      <c r="BZ239" s="1111"/>
      <c r="CA239" s="1111"/>
      <c r="CB239" s="1111"/>
      <c r="CC239" s="1111"/>
      <c r="CD239" s="1111"/>
      <c r="CE239" s="1111"/>
      <c r="CF239" s="1111"/>
      <c r="CG239" s="1111"/>
      <c r="CH239" s="1111"/>
      <c r="CI239" s="1111"/>
      <c r="CJ239" s="1111"/>
      <c r="CK239" s="1110"/>
    </row>
    <row r="240" spans="1:89" ht="14.4" x14ac:dyDescent="0.3">
      <c r="A240" s="1110"/>
      <c r="B240" s="1110"/>
      <c r="C240" s="1110"/>
      <c r="D240" s="1110"/>
      <c r="E240" s="1110"/>
      <c r="F240" s="1110"/>
      <c r="G240" s="1110"/>
      <c r="H240" s="1110"/>
      <c r="I240" s="1110"/>
      <c r="J240" s="1110"/>
      <c r="K240" s="1110"/>
      <c r="L240" s="1110"/>
      <c r="M240" s="1110"/>
      <c r="N240" s="1110"/>
      <c r="O240" s="1110"/>
      <c r="P240" s="1110"/>
      <c r="Q240" s="1110"/>
      <c r="R240" s="1110"/>
      <c r="S240" s="1110"/>
      <c r="T240" s="1111"/>
      <c r="U240" s="1111"/>
      <c r="V240" s="1111"/>
      <c r="W240" s="1111"/>
      <c r="X240" s="1111"/>
      <c r="Y240" s="1111"/>
      <c r="Z240" s="1111"/>
      <c r="AA240" s="1111"/>
      <c r="AB240" s="1111"/>
      <c r="AC240" s="1111"/>
      <c r="AD240" s="1111"/>
      <c r="AE240" s="1111"/>
      <c r="AF240" s="1111"/>
      <c r="AG240" s="1111"/>
      <c r="AH240" s="1111"/>
      <c r="AI240" s="1111"/>
      <c r="AJ240" s="1111"/>
      <c r="AK240" s="1111"/>
      <c r="AL240" s="1111"/>
      <c r="AM240" s="1111"/>
      <c r="AN240" s="1111"/>
      <c r="AO240" s="1111"/>
      <c r="AP240" s="1111"/>
      <c r="AQ240" s="1111"/>
      <c r="AR240" s="1111"/>
      <c r="AS240" s="1111"/>
      <c r="AT240" s="1111"/>
      <c r="AU240" s="1111"/>
      <c r="AV240" s="1111"/>
      <c r="AW240" s="1111"/>
      <c r="AX240" s="1111"/>
      <c r="AY240" s="1111"/>
      <c r="AZ240" s="1111"/>
      <c r="BA240" s="1111"/>
      <c r="BB240" s="1111"/>
      <c r="BC240" s="1111"/>
      <c r="BD240" s="1111"/>
      <c r="BE240" s="1111"/>
      <c r="BF240" s="1111"/>
      <c r="BG240" s="1111"/>
      <c r="BH240" s="1111"/>
      <c r="BI240" s="1111"/>
      <c r="BJ240" s="1111"/>
      <c r="BK240" s="1111"/>
      <c r="BL240" s="1111"/>
      <c r="BM240" s="1111"/>
      <c r="BN240" s="1111"/>
      <c r="BO240" s="1111"/>
      <c r="BP240" s="1111"/>
      <c r="BQ240" s="1111"/>
      <c r="BR240" s="1111"/>
      <c r="BS240" s="1111"/>
      <c r="BT240" s="1111"/>
      <c r="BU240" s="1111"/>
      <c r="BV240" s="1111"/>
      <c r="BW240" s="1111"/>
      <c r="BX240" s="1111"/>
      <c r="BY240" s="1111"/>
      <c r="BZ240" s="1111"/>
      <c r="CA240" s="1111"/>
      <c r="CB240" s="1111"/>
      <c r="CC240" s="1111"/>
      <c r="CD240" s="1111"/>
      <c r="CE240" s="1111"/>
      <c r="CF240" s="1111"/>
      <c r="CG240" s="1111"/>
      <c r="CH240" s="1111"/>
      <c r="CI240" s="1111"/>
      <c r="CJ240" s="1111"/>
      <c r="CK240" s="1110"/>
    </row>
    <row r="241" spans="1:89" ht="14.4" x14ac:dyDescent="0.3">
      <c r="A241" s="1110"/>
      <c r="B241" s="1110"/>
      <c r="C241" s="1110"/>
      <c r="D241" s="1110"/>
      <c r="E241" s="1110"/>
      <c r="F241" s="1110"/>
      <c r="G241" s="1110"/>
      <c r="H241" s="1110"/>
      <c r="I241" s="1110"/>
      <c r="J241" s="1110"/>
      <c r="K241" s="1110"/>
      <c r="L241" s="1110"/>
      <c r="M241" s="1110"/>
      <c r="N241" s="1110"/>
      <c r="O241" s="1110"/>
      <c r="P241" s="1110"/>
      <c r="Q241" s="1110"/>
      <c r="R241" s="1110"/>
      <c r="S241" s="1110"/>
      <c r="T241" s="1111"/>
      <c r="U241" s="1111"/>
      <c r="V241" s="1111"/>
      <c r="W241" s="1111"/>
      <c r="X241" s="1111"/>
      <c r="Y241" s="1111"/>
      <c r="Z241" s="1111"/>
      <c r="AA241" s="1111"/>
      <c r="AB241" s="1111"/>
      <c r="AC241" s="1111"/>
      <c r="AD241" s="1111"/>
      <c r="AE241" s="1111"/>
      <c r="AF241" s="1111"/>
      <c r="AG241" s="1111"/>
      <c r="AH241" s="1111"/>
      <c r="AI241" s="1111"/>
      <c r="AJ241" s="1111"/>
      <c r="AK241" s="1111"/>
      <c r="AL241" s="1111"/>
      <c r="AM241" s="1111"/>
      <c r="AN241" s="1111"/>
      <c r="AO241" s="1111"/>
      <c r="AP241" s="1111"/>
      <c r="AQ241" s="1111"/>
      <c r="AR241" s="1111"/>
      <c r="AS241" s="1111"/>
      <c r="AT241" s="1111"/>
      <c r="AU241" s="1111"/>
      <c r="AV241" s="1111"/>
      <c r="AW241" s="1111"/>
      <c r="AX241" s="1111"/>
      <c r="AY241" s="1111"/>
      <c r="AZ241" s="1111"/>
      <c r="BA241" s="1111"/>
      <c r="BB241" s="1111"/>
      <c r="BC241" s="1111"/>
      <c r="BD241" s="1111"/>
      <c r="BE241" s="1111"/>
      <c r="BF241" s="1111"/>
      <c r="BG241" s="1111"/>
      <c r="BH241" s="1111"/>
      <c r="BI241" s="1111"/>
      <c r="BJ241" s="1111"/>
      <c r="BK241" s="1111"/>
      <c r="BL241" s="1111"/>
      <c r="BM241" s="1111"/>
      <c r="BN241" s="1111"/>
      <c r="BO241" s="1111"/>
      <c r="BP241" s="1111"/>
      <c r="BQ241" s="1111"/>
      <c r="BR241" s="1111"/>
      <c r="BS241" s="1111"/>
      <c r="BT241" s="1111"/>
      <c r="BU241" s="1111"/>
      <c r="BV241" s="1111"/>
      <c r="BW241" s="1111"/>
      <c r="BX241" s="1111"/>
      <c r="BY241" s="1111"/>
      <c r="BZ241" s="1111"/>
      <c r="CA241" s="1111"/>
      <c r="CB241" s="1111"/>
      <c r="CC241" s="1111"/>
      <c r="CD241" s="1111"/>
      <c r="CE241" s="1111"/>
      <c r="CF241" s="1111"/>
      <c r="CG241" s="1111"/>
      <c r="CH241" s="1111"/>
      <c r="CI241" s="1111"/>
      <c r="CJ241" s="1111"/>
      <c r="CK241" s="1110"/>
    </row>
    <row r="242" spans="1:89" ht="14.4" x14ac:dyDescent="0.3">
      <c r="A242" s="1110"/>
      <c r="B242" s="1110"/>
      <c r="C242" s="1110"/>
      <c r="D242" s="1110"/>
      <c r="E242" s="1110"/>
      <c r="F242" s="1110"/>
      <c r="G242" s="1110"/>
      <c r="H242" s="1110"/>
      <c r="I242" s="1110"/>
      <c r="J242" s="1110"/>
      <c r="K242" s="1110"/>
      <c r="L242" s="1110"/>
      <c r="M242" s="1110"/>
      <c r="N242" s="1110"/>
      <c r="O242" s="1110"/>
      <c r="P242" s="1110"/>
      <c r="Q242" s="1110"/>
      <c r="R242" s="1110"/>
      <c r="S242" s="1110"/>
      <c r="T242" s="1111"/>
      <c r="U242" s="1111"/>
      <c r="V242" s="1111"/>
      <c r="W242" s="1111"/>
      <c r="X242" s="1111"/>
      <c r="Y242" s="1111"/>
      <c r="Z242" s="1111"/>
      <c r="AA242" s="1111"/>
      <c r="AB242" s="1111"/>
      <c r="AC242" s="1111"/>
      <c r="AD242" s="1111"/>
      <c r="AE242" s="1111"/>
      <c r="AF242" s="1111"/>
      <c r="AG242" s="1111"/>
      <c r="AH242" s="1111"/>
      <c r="AI242" s="1111"/>
      <c r="AJ242" s="1111"/>
      <c r="AK242" s="1111"/>
      <c r="AL242" s="1111"/>
      <c r="AM242" s="1111"/>
      <c r="AN242" s="1111"/>
      <c r="AO242" s="1111"/>
      <c r="AP242" s="1111"/>
      <c r="AQ242" s="1111"/>
      <c r="AR242" s="1111"/>
      <c r="AS242" s="1111"/>
      <c r="AT242" s="1111"/>
      <c r="AU242" s="1111"/>
      <c r="AV242" s="1111"/>
      <c r="AW242" s="1111"/>
      <c r="AX242" s="1111"/>
      <c r="AY242" s="1111"/>
      <c r="AZ242" s="1111"/>
      <c r="BA242" s="1111"/>
      <c r="BB242" s="1111"/>
      <c r="BC242" s="1111"/>
      <c r="BD242" s="1111"/>
      <c r="BE242" s="1111"/>
      <c r="BF242" s="1111"/>
      <c r="BG242" s="1111"/>
      <c r="BH242" s="1111"/>
      <c r="BI242" s="1111"/>
      <c r="BJ242" s="1111"/>
      <c r="BK242" s="1111"/>
      <c r="BL242" s="1111"/>
      <c r="BM242" s="1111"/>
      <c r="BN242" s="1111"/>
      <c r="BO242" s="1111"/>
      <c r="BP242" s="1111"/>
      <c r="BQ242" s="1111"/>
      <c r="BR242" s="1111"/>
      <c r="BS242" s="1111"/>
      <c r="BT242" s="1111"/>
      <c r="BU242" s="1111"/>
      <c r="BV242" s="1111"/>
      <c r="BW242" s="1111"/>
      <c r="BX242" s="1111"/>
      <c r="BY242" s="1111"/>
      <c r="BZ242" s="1111"/>
      <c r="CA242" s="1111"/>
      <c r="CB242" s="1111"/>
      <c r="CC242" s="1111"/>
      <c r="CD242" s="1111"/>
      <c r="CE242" s="1111"/>
      <c r="CF242" s="1111"/>
      <c r="CG242" s="1111"/>
      <c r="CH242" s="1111"/>
      <c r="CI242" s="1111"/>
      <c r="CJ242" s="1111"/>
      <c r="CK242" s="1110"/>
    </row>
    <row r="243" spans="1:89" ht="14.4" x14ac:dyDescent="0.3">
      <c r="A243" s="1110"/>
      <c r="B243" s="1110"/>
      <c r="C243" s="1110"/>
      <c r="D243" s="1110"/>
      <c r="E243" s="1110"/>
      <c r="F243" s="1110"/>
      <c r="G243" s="1110"/>
      <c r="H243" s="1110"/>
      <c r="I243" s="1110"/>
      <c r="J243" s="1110"/>
      <c r="K243" s="1110"/>
      <c r="L243" s="1110"/>
      <c r="M243" s="1110"/>
      <c r="N243" s="1110"/>
      <c r="O243" s="1110"/>
      <c r="P243" s="1110"/>
      <c r="Q243" s="1110"/>
      <c r="R243" s="1110"/>
      <c r="S243" s="1110"/>
      <c r="T243" s="1111"/>
      <c r="U243" s="1111"/>
      <c r="V243" s="1111"/>
      <c r="W243" s="1111"/>
      <c r="X243" s="1111"/>
      <c r="Y243" s="1111"/>
      <c r="Z243" s="1111"/>
      <c r="AA243" s="1111"/>
      <c r="AB243" s="1111"/>
      <c r="AC243" s="1111"/>
      <c r="AD243" s="1111"/>
      <c r="AE243" s="1111"/>
      <c r="AF243" s="1111"/>
      <c r="AG243" s="1111"/>
      <c r="AH243" s="1111"/>
      <c r="AI243" s="1111"/>
      <c r="AJ243" s="1111"/>
      <c r="AK243" s="1111"/>
      <c r="AL243" s="1111"/>
      <c r="AM243" s="1111"/>
      <c r="AN243" s="1111"/>
      <c r="AO243" s="1111"/>
      <c r="AP243" s="1111"/>
      <c r="AQ243" s="1111"/>
      <c r="AR243" s="1111"/>
      <c r="AS243" s="1111"/>
      <c r="AT243" s="1111"/>
      <c r="AU243" s="1111"/>
      <c r="AV243" s="1111"/>
      <c r="AW243" s="1111"/>
      <c r="AX243" s="1111"/>
      <c r="AY243" s="1111"/>
      <c r="AZ243" s="1111"/>
      <c r="BA243" s="1111"/>
      <c r="BB243" s="1111"/>
      <c r="BC243" s="1111"/>
      <c r="BD243" s="1111"/>
      <c r="BE243" s="1111"/>
      <c r="BF243" s="1111"/>
      <c r="BG243" s="1111"/>
      <c r="BH243" s="1111"/>
      <c r="BI243" s="1111"/>
      <c r="BJ243" s="1111"/>
      <c r="BK243" s="1111"/>
      <c r="BL243" s="1111"/>
      <c r="BM243" s="1111"/>
      <c r="BN243" s="1111"/>
      <c r="BO243" s="1111"/>
      <c r="BP243" s="1111"/>
      <c r="BQ243" s="1111"/>
      <c r="BR243" s="1111"/>
      <c r="BS243" s="1111"/>
      <c r="BT243" s="1111"/>
      <c r="BU243" s="1111"/>
      <c r="BV243" s="1111"/>
      <c r="BW243" s="1111"/>
      <c r="BX243" s="1111"/>
      <c r="BY243" s="1111"/>
      <c r="BZ243" s="1111"/>
      <c r="CA243" s="1111"/>
      <c r="CB243" s="1111"/>
      <c r="CC243" s="1111"/>
      <c r="CD243" s="1111"/>
      <c r="CE243" s="1111"/>
      <c r="CF243" s="1111"/>
      <c r="CG243" s="1111"/>
      <c r="CH243" s="1111"/>
      <c r="CI243" s="1111"/>
      <c r="CJ243" s="1111"/>
      <c r="CK243" s="1110"/>
    </row>
    <row r="244" spans="1:89" ht="14.4" x14ac:dyDescent="0.3">
      <c r="A244" s="1110"/>
      <c r="B244" s="1110"/>
      <c r="C244" s="1110"/>
      <c r="D244" s="1110"/>
      <c r="E244" s="1110"/>
      <c r="F244" s="1110"/>
      <c r="G244" s="1110"/>
      <c r="H244" s="1110"/>
      <c r="I244" s="1110"/>
      <c r="J244" s="1110"/>
      <c r="K244" s="1110"/>
      <c r="L244" s="1110"/>
      <c r="M244" s="1110"/>
      <c r="N244" s="1110"/>
      <c r="O244" s="1110"/>
      <c r="P244" s="1110"/>
      <c r="Q244" s="1110"/>
      <c r="R244" s="1110"/>
      <c r="S244" s="1110"/>
      <c r="T244" s="1111"/>
      <c r="U244" s="1111"/>
      <c r="V244" s="1111"/>
      <c r="W244" s="1111"/>
      <c r="X244" s="1111"/>
      <c r="Y244" s="1111"/>
      <c r="Z244" s="1111"/>
      <c r="AA244" s="1111"/>
      <c r="AB244" s="1111"/>
      <c r="AC244" s="1111"/>
      <c r="AD244" s="1111"/>
      <c r="AE244" s="1111"/>
      <c r="AF244" s="1111"/>
      <c r="AG244" s="1111"/>
      <c r="AH244" s="1111"/>
      <c r="AI244" s="1111"/>
      <c r="AJ244" s="1111"/>
      <c r="AK244" s="1111"/>
      <c r="AL244" s="1111"/>
      <c r="AM244" s="1111"/>
      <c r="AN244" s="1111"/>
      <c r="AO244" s="1111"/>
      <c r="AP244" s="1111"/>
      <c r="AQ244" s="1111"/>
      <c r="AR244" s="1111"/>
      <c r="AS244" s="1111"/>
      <c r="AT244" s="1111"/>
      <c r="AU244" s="1111"/>
      <c r="AV244" s="1111"/>
      <c r="AW244" s="1111"/>
      <c r="AX244" s="1111"/>
      <c r="AY244" s="1111"/>
      <c r="AZ244" s="1111"/>
      <c r="BA244" s="1111"/>
      <c r="BB244" s="1111"/>
      <c r="BC244" s="1111"/>
      <c r="BD244" s="1111"/>
      <c r="BE244" s="1111"/>
      <c r="BF244" s="1111"/>
      <c r="BG244" s="1111"/>
      <c r="BH244" s="1111"/>
      <c r="BI244" s="1111"/>
      <c r="BJ244" s="1111"/>
      <c r="BK244" s="1111"/>
      <c r="BL244" s="1111"/>
      <c r="BM244" s="1111"/>
      <c r="BN244" s="1111"/>
      <c r="BO244" s="1111"/>
      <c r="BP244" s="1111"/>
      <c r="BQ244" s="1111"/>
      <c r="BR244" s="1111"/>
      <c r="BS244" s="1111"/>
      <c r="BT244" s="1111"/>
      <c r="BU244" s="1111"/>
      <c r="BV244" s="1111"/>
      <c r="BW244" s="1111"/>
      <c r="BX244" s="1111"/>
      <c r="BY244" s="1111"/>
      <c r="BZ244" s="1111"/>
      <c r="CA244" s="1111"/>
      <c r="CB244" s="1111"/>
      <c r="CC244" s="1111"/>
      <c r="CD244" s="1111"/>
      <c r="CE244" s="1111"/>
      <c r="CF244" s="1111"/>
      <c r="CG244" s="1111"/>
      <c r="CH244" s="1111"/>
      <c r="CI244" s="1111"/>
      <c r="CJ244" s="1111"/>
      <c r="CK244" s="1110"/>
    </row>
    <row r="245" spans="1:89" ht="14.4" x14ac:dyDescent="0.3">
      <c r="A245" s="1110"/>
      <c r="B245" s="1110"/>
      <c r="C245" s="1110"/>
      <c r="D245" s="1110"/>
      <c r="E245" s="1110"/>
      <c r="F245" s="1110"/>
      <c r="G245" s="1110"/>
      <c r="H245" s="1110"/>
      <c r="I245" s="1110"/>
      <c r="J245" s="1110"/>
      <c r="K245" s="1110"/>
      <c r="L245" s="1110"/>
      <c r="M245" s="1110"/>
      <c r="N245" s="1110"/>
      <c r="O245" s="1110"/>
      <c r="P245" s="1110"/>
      <c r="Q245" s="1110"/>
      <c r="R245" s="1110"/>
      <c r="S245" s="1110"/>
      <c r="T245" s="1111"/>
      <c r="U245" s="1111"/>
      <c r="V245" s="1111"/>
      <c r="W245" s="1111"/>
      <c r="X245" s="1111"/>
      <c r="Y245" s="1111"/>
      <c r="Z245" s="1111"/>
      <c r="AA245" s="1111"/>
      <c r="AB245" s="1111"/>
      <c r="AC245" s="1111"/>
      <c r="AD245" s="1111"/>
      <c r="AE245" s="1111"/>
      <c r="AF245" s="1111"/>
      <c r="AG245" s="1111"/>
      <c r="AH245" s="1111"/>
      <c r="AI245" s="1111"/>
      <c r="AJ245" s="1111"/>
      <c r="AK245" s="1111"/>
      <c r="AL245" s="1111"/>
      <c r="AM245" s="1111"/>
      <c r="AN245" s="1111"/>
      <c r="AO245" s="1111"/>
      <c r="AP245" s="1111"/>
      <c r="AQ245" s="1111"/>
      <c r="AR245" s="1111"/>
      <c r="AS245" s="1111"/>
      <c r="AT245" s="1111"/>
      <c r="AU245" s="1111"/>
      <c r="AV245" s="1111"/>
      <c r="AW245" s="1111"/>
      <c r="AX245" s="1111"/>
      <c r="AY245" s="1111"/>
      <c r="AZ245" s="1111"/>
      <c r="BA245" s="1111"/>
      <c r="BB245" s="1111"/>
      <c r="BC245" s="1111"/>
      <c r="BD245" s="1111"/>
      <c r="BE245" s="1111"/>
      <c r="BF245" s="1111"/>
      <c r="BG245" s="1111"/>
      <c r="BH245" s="1111"/>
      <c r="BI245" s="1111"/>
      <c r="BJ245" s="1111"/>
      <c r="BK245" s="1111"/>
      <c r="BL245" s="1111"/>
      <c r="BM245" s="1111"/>
      <c r="BN245" s="1111"/>
      <c r="BO245" s="1111"/>
      <c r="BP245" s="1111"/>
      <c r="BQ245" s="1111"/>
      <c r="BR245" s="1111"/>
      <c r="BS245" s="1111"/>
      <c r="BT245" s="1111"/>
      <c r="BU245" s="1111"/>
      <c r="BV245" s="1111"/>
      <c r="BW245" s="1111"/>
      <c r="BX245" s="1111"/>
      <c r="BY245" s="1111"/>
      <c r="BZ245" s="1111"/>
      <c r="CA245" s="1111"/>
      <c r="CB245" s="1111"/>
      <c r="CC245" s="1111"/>
      <c r="CD245" s="1111"/>
      <c r="CE245" s="1111"/>
      <c r="CF245" s="1111"/>
      <c r="CG245" s="1111"/>
      <c r="CH245" s="1111"/>
      <c r="CI245" s="1111"/>
      <c r="CJ245" s="1111"/>
      <c r="CK245" s="1110"/>
    </row>
    <row r="246" spans="1:89" ht="14.4" x14ac:dyDescent="0.3">
      <c r="A246" s="1110"/>
      <c r="B246" s="1110"/>
      <c r="C246" s="1110"/>
      <c r="D246" s="1110"/>
      <c r="E246" s="1110"/>
      <c r="F246" s="1110"/>
      <c r="G246" s="1110"/>
      <c r="H246" s="1110"/>
      <c r="I246" s="1110"/>
      <c r="J246" s="1110"/>
      <c r="K246" s="1110"/>
      <c r="L246" s="1110"/>
      <c r="M246" s="1110"/>
      <c r="N246" s="1110"/>
      <c r="O246" s="1110"/>
      <c r="P246" s="1110"/>
      <c r="Q246" s="1110"/>
      <c r="R246" s="1110"/>
      <c r="S246" s="1110"/>
      <c r="T246" s="1111"/>
      <c r="U246" s="1111"/>
      <c r="V246" s="1111"/>
      <c r="W246" s="1111"/>
      <c r="X246" s="1111"/>
      <c r="Y246" s="1111"/>
      <c r="Z246" s="1111"/>
      <c r="AA246" s="1111"/>
      <c r="AB246" s="1111"/>
      <c r="AC246" s="1111"/>
      <c r="AD246" s="1111"/>
      <c r="AE246" s="1111"/>
      <c r="AF246" s="1111"/>
      <c r="AG246" s="1111"/>
      <c r="AH246" s="1111"/>
      <c r="AI246" s="1111"/>
      <c r="AJ246" s="1111"/>
      <c r="AK246" s="1111"/>
      <c r="AL246" s="1111"/>
      <c r="AM246" s="1111"/>
      <c r="AN246" s="1111"/>
      <c r="AO246" s="1111"/>
      <c r="AP246" s="1111"/>
      <c r="AQ246" s="1111"/>
      <c r="AR246" s="1111"/>
      <c r="AS246" s="1111"/>
      <c r="AT246" s="1111"/>
      <c r="AU246" s="1111"/>
      <c r="AV246" s="1111"/>
      <c r="AW246" s="1111"/>
      <c r="AX246" s="1111"/>
      <c r="AY246" s="1111"/>
      <c r="AZ246" s="1111"/>
      <c r="BA246" s="1111"/>
      <c r="BB246" s="1111"/>
      <c r="BC246" s="1111"/>
      <c r="BD246" s="1111"/>
      <c r="BE246" s="1111"/>
      <c r="BF246" s="1111"/>
      <c r="BG246" s="1111"/>
      <c r="BH246" s="1111"/>
      <c r="BI246" s="1111"/>
      <c r="BJ246" s="1111"/>
      <c r="BK246" s="1111"/>
      <c r="BL246" s="1111"/>
      <c r="BM246" s="1111"/>
      <c r="BN246" s="1111"/>
      <c r="BO246" s="1111"/>
      <c r="BP246" s="1111"/>
      <c r="BQ246" s="1111"/>
      <c r="BR246" s="1111"/>
      <c r="BS246" s="1111"/>
      <c r="BT246" s="1111"/>
      <c r="BU246" s="1111"/>
      <c r="BV246" s="1111"/>
      <c r="BW246" s="1111"/>
      <c r="BX246" s="1111"/>
      <c r="BY246" s="1111"/>
      <c r="BZ246" s="1111"/>
      <c r="CA246" s="1111"/>
      <c r="CB246" s="1111"/>
      <c r="CC246" s="1111"/>
      <c r="CD246" s="1111"/>
      <c r="CE246" s="1111"/>
      <c r="CF246" s="1111"/>
      <c r="CG246" s="1111"/>
      <c r="CH246" s="1111"/>
      <c r="CI246" s="1111"/>
      <c r="CJ246" s="1111"/>
      <c r="CK246" s="1110"/>
    </row>
    <row r="247" spans="1:89" ht="14.4" x14ac:dyDescent="0.3">
      <c r="A247" s="1110"/>
      <c r="B247" s="1110"/>
      <c r="C247" s="1110"/>
      <c r="D247" s="1110"/>
      <c r="E247" s="1110"/>
      <c r="F247" s="1110"/>
      <c r="G247" s="1110"/>
      <c r="H247" s="1110"/>
      <c r="I247" s="1110"/>
      <c r="J247" s="1110"/>
      <c r="K247" s="1110"/>
      <c r="L247" s="1110"/>
      <c r="M247" s="1110"/>
      <c r="N247" s="1110"/>
      <c r="O247" s="1110"/>
      <c r="P247" s="1110"/>
      <c r="Q247" s="1110"/>
      <c r="R247" s="1110"/>
      <c r="S247" s="1110"/>
      <c r="T247" s="1111"/>
      <c r="U247" s="1111"/>
      <c r="V247" s="1111"/>
      <c r="W247" s="1111"/>
      <c r="X247" s="1111"/>
      <c r="Y247" s="1111"/>
      <c r="Z247" s="1111"/>
      <c r="AA247" s="1111"/>
      <c r="AB247" s="1111"/>
      <c r="AC247" s="1111"/>
      <c r="AD247" s="1111"/>
      <c r="AE247" s="1111"/>
      <c r="AF247" s="1111"/>
      <c r="AG247" s="1111"/>
      <c r="AH247" s="1111"/>
      <c r="AI247" s="1111"/>
      <c r="AJ247" s="1111"/>
      <c r="AK247" s="1111"/>
      <c r="AL247" s="1111"/>
      <c r="AM247" s="1111"/>
      <c r="AN247" s="1111"/>
      <c r="AO247" s="1111"/>
      <c r="AP247" s="1111"/>
      <c r="AQ247" s="1111"/>
      <c r="AR247" s="1111"/>
      <c r="AS247" s="1111"/>
      <c r="AT247" s="1111"/>
      <c r="AU247" s="1111"/>
      <c r="AV247" s="1111"/>
      <c r="AW247" s="1111"/>
      <c r="AX247" s="1111"/>
      <c r="AY247" s="1111"/>
      <c r="AZ247" s="1111"/>
      <c r="BA247" s="1111"/>
      <c r="BB247" s="1111"/>
      <c r="BC247" s="1111"/>
      <c r="BD247" s="1111"/>
      <c r="BE247" s="1111"/>
      <c r="BF247" s="1111"/>
      <c r="BG247" s="1111"/>
      <c r="BH247" s="1111"/>
      <c r="BI247" s="1111"/>
      <c r="BJ247" s="1111"/>
      <c r="BK247" s="1111"/>
      <c r="BL247" s="1111"/>
      <c r="BM247" s="1111"/>
      <c r="BN247" s="1111"/>
      <c r="BO247" s="1111"/>
      <c r="BP247" s="1111"/>
      <c r="BQ247" s="1111"/>
      <c r="BR247" s="1111"/>
      <c r="BS247" s="1111"/>
      <c r="BT247" s="1111"/>
      <c r="BU247" s="1111"/>
      <c r="BV247" s="1111"/>
      <c r="BW247" s="1111"/>
      <c r="BX247" s="1111"/>
      <c r="BY247" s="1111"/>
      <c r="BZ247" s="1111"/>
      <c r="CA247" s="1111"/>
      <c r="CB247" s="1111"/>
      <c r="CC247" s="1111"/>
      <c r="CD247" s="1111"/>
      <c r="CE247" s="1111"/>
      <c r="CF247" s="1111"/>
      <c r="CG247" s="1111"/>
      <c r="CH247" s="1111"/>
      <c r="CI247" s="1111"/>
      <c r="CJ247" s="1111"/>
      <c r="CK247" s="1110"/>
    </row>
    <row r="248" spans="1:89" ht="14.4" x14ac:dyDescent="0.3">
      <c r="A248" s="1110"/>
      <c r="B248" s="1110"/>
      <c r="C248" s="1110"/>
      <c r="D248" s="1110"/>
      <c r="E248" s="1110"/>
      <c r="F248" s="1110"/>
      <c r="G248" s="1110"/>
      <c r="H248" s="1110"/>
      <c r="I248" s="1110"/>
      <c r="J248" s="1110"/>
      <c r="K248" s="1110"/>
      <c r="L248" s="1110"/>
      <c r="M248" s="1110"/>
      <c r="N248" s="1110"/>
      <c r="O248" s="1110"/>
      <c r="P248" s="1110"/>
      <c r="Q248" s="1110"/>
      <c r="R248" s="1110"/>
      <c r="S248" s="1110"/>
      <c r="T248" s="1111"/>
      <c r="U248" s="1111"/>
      <c r="V248" s="1111"/>
      <c r="W248" s="1111"/>
      <c r="X248" s="1111"/>
      <c r="Y248" s="1111"/>
      <c r="Z248" s="1111"/>
      <c r="AA248" s="1111"/>
      <c r="AB248" s="1111"/>
      <c r="AC248" s="1111"/>
      <c r="AD248" s="1111"/>
      <c r="AE248" s="1111"/>
      <c r="AF248" s="1111"/>
      <c r="AG248" s="1111"/>
      <c r="AH248" s="1111"/>
      <c r="AI248" s="1111"/>
      <c r="AJ248" s="1111"/>
      <c r="AK248" s="1111"/>
      <c r="AL248" s="1111"/>
      <c r="AM248" s="1111"/>
      <c r="AN248" s="1111"/>
      <c r="AO248" s="1111"/>
      <c r="AP248" s="1111"/>
      <c r="AQ248" s="1111"/>
      <c r="AR248" s="1111"/>
      <c r="AS248" s="1111"/>
      <c r="AT248" s="1111"/>
      <c r="AU248" s="1111"/>
      <c r="AV248" s="1111"/>
      <c r="AW248" s="1111"/>
      <c r="AX248" s="1111"/>
      <c r="AY248" s="1111"/>
      <c r="AZ248" s="1111"/>
      <c r="BA248" s="1111"/>
      <c r="BB248" s="1111"/>
      <c r="BC248" s="1111"/>
      <c r="BD248" s="1111"/>
      <c r="BE248" s="1111"/>
      <c r="BF248" s="1111"/>
      <c r="BG248" s="1111"/>
      <c r="BH248" s="1111"/>
      <c r="BI248" s="1111"/>
      <c r="BJ248" s="1111"/>
      <c r="BK248" s="1111"/>
      <c r="BL248" s="1111"/>
      <c r="BM248" s="1111"/>
      <c r="BN248" s="1111"/>
      <c r="BO248" s="1111"/>
      <c r="BP248" s="1111"/>
      <c r="BQ248" s="1111"/>
      <c r="BR248" s="1111"/>
      <c r="BS248" s="1111"/>
      <c r="BT248" s="1111"/>
      <c r="BU248" s="1111"/>
      <c r="BV248" s="1111"/>
      <c r="BW248" s="1111"/>
      <c r="BX248" s="1111"/>
      <c r="BY248" s="1111"/>
      <c r="BZ248" s="1111"/>
      <c r="CA248" s="1111"/>
      <c r="CB248" s="1111"/>
      <c r="CC248" s="1111"/>
      <c r="CD248" s="1111"/>
      <c r="CE248" s="1111"/>
      <c r="CF248" s="1111"/>
      <c r="CG248" s="1111"/>
      <c r="CH248" s="1111"/>
      <c r="CI248" s="1111"/>
      <c r="CJ248" s="1111"/>
      <c r="CK248" s="1110"/>
    </row>
    <row r="249" spans="1:89" ht="14.4" x14ac:dyDescent="0.3">
      <c r="A249" s="1110"/>
      <c r="B249" s="1110"/>
      <c r="C249" s="1110"/>
      <c r="D249" s="1110"/>
      <c r="E249" s="1110"/>
      <c r="F249" s="1110"/>
      <c r="G249" s="1110"/>
      <c r="H249" s="1110"/>
      <c r="I249" s="1110"/>
      <c r="J249" s="1110"/>
      <c r="K249" s="1110"/>
      <c r="L249" s="1110"/>
      <c r="M249" s="1110"/>
      <c r="N249" s="1110"/>
      <c r="O249" s="1110"/>
      <c r="P249" s="1110"/>
      <c r="Q249" s="1110"/>
      <c r="R249" s="1110"/>
      <c r="S249" s="1110"/>
      <c r="T249" s="1111"/>
      <c r="U249" s="1111"/>
      <c r="V249" s="1111"/>
      <c r="W249" s="1111"/>
      <c r="X249" s="1111"/>
      <c r="Y249" s="1111"/>
      <c r="Z249" s="1111"/>
      <c r="AA249" s="1111"/>
      <c r="AB249" s="1111"/>
      <c r="AC249" s="1111"/>
      <c r="AD249" s="1111"/>
      <c r="AE249" s="1111"/>
      <c r="AF249" s="1111"/>
      <c r="AG249" s="1111"/>
      <c r="AH249" s="1111"/>
      <c r="AI249" s="1111"/>
      <c r="AJ249" s="1111"/>
      <c r="AK249" s="1111"/>
      <c r="AL249" s="1111"/>
      <c r="AM249" s="1111"/>
      <c r="AN249" s="1111"/>
      <c r="AO249" s="1111"/>
      <c r="AP249" s="1111"/>
      <c r="AQ249" s="1111"/>
      <c r="AR249" s="1111"/>
      <c r="AS249" s="1111"/>
      <c r="AT249" s="1111"/>
      <c r="AU249" s="1111"/>
      <c r="AV249" s="1111"/>
      <c r="AW249" s="1111"/>
      <c r="AX249" s="1111"/>
      <c r="AY249" s="1111"/>
      <c r="AZ249" s="1111"/>
      <c r="BA249" s="1111"/>
      <c r="BB249" s="1111"/>
      <c r="BC249" s="1111"/>
      <c r="BD249" s="1111"/>
      <c r="BE249" s="1111"/>
      <c r="BF249" s="1111"/>
      <c r="BG249" s="1111"/>
      <c r="BH249" s="1111"/>
      <c r="BI249" s="1111"/>
      <c r="BJ249" s="1111"/>
      <c r="BK249" s="1111"/>
      <c r="BL249" s="1111"/>
      <c r="BM249" s="1111"/>
      <c r="BN249" s="1111"/>
      <c r="BO249" s="1111"/>
      <c r="BP249" s="1111"/>
      <c r="BQ249" s="1111"/>
      <c r="BR249" s="1111"/>
      <c r="BS249" s="1111"/>
      <c r="BT249" s="1111"/>
      <c r="BU249" s="1111"/>
      <c r="BV249" s="1111"/>
      <c r="BW249" s="1111"/>
      <c r="BX249" s="1111"/>
      <c r="BY249" s="1111"/>
      <c r="BZ249" s="1111"/>
      <c r="CA249" s="1111"/>
      <c r="CB249" s="1111"/>
      <c r="CC249" s="1111"/>
      <c r="CD249" s="1111"/>
      <c r="CE249" s="1111"/>
      <c r="CF249" s="1111"/>
      <c r="CG249" s="1111"/>
      <c r="CH249" s="1111"/>
      <c r="CI249" s="1111"/>
      <c r="CJ249" s="1111"/>
      <c r="CK249" s="1110"/>
    </row>
    <row r="250" spans="1:89" ht="14.4" x14ac:dyDescent="0.3">
      <c r="A250" s="1110"/>
      <c r="B250" s="1110"/>
      <c r="C250" s="1110"/>
      <c r="D250" s="1110"/>
      <c r="E250" s="1110"/>
      <c r="F250" s="1110"/>
      <c r="G250" s="1110"/>
      <c r="H250" s="1110"/>
      <c r="I250" s="1110"/>
      <c r="J250" s="1110"/>
      <c r="K250" s="1110"/>
      <c r="L250" s="1110"/>
      <c r="M250" s="1110"/>
      <c r="N250" s="1110"/>
      <c r="O250" s="1110"/>
      <c r="P250" s="1110"/>
      <c r="Q250" s="1110"/>
      <c r="R250" s="1110"/>
      <c r="S250" s="1110"/>
      <c r="T250" s="1111"/>
      <c r="U250" s="1111"/>
      <c r="V250" s="1111"/>
      <c r="W250" s="1111"/>
      <c r="X250" s="1111"/>
      <c r="Y250" s="1111"/>
      <c r="Z250" s="1111"/>
      <c r="AA250" s="1111"/>
      <c r="AB250" s="1111"/>
      <c r="AC250" s="1111"/>
      <c r="AD250" s="1111"/>
      <c r="AE250" s="1111"/>
      <c r="AF250" s="1111"/>
      <c r="AG250" s="1111"/>
      <c r="AH250" s="1111"/>
      <c r="AI250" s="1111"/>
      <c r="AJ250" s="1111"/>
      <c r="AK250" s="1111"/>
      <c r="AL250" s="1111"/>
      <c r="AM250" s="1111"/>
      <c r="AN250" s="1111"/>
      <c r="AO250" s="1111"/>
      <c r="AP250" s="1111"/>
      <c r="AQ250" s="1111"/>
      <c r="AR250" s="1111"/>
      <c r="AS250" s="1111"/>
      <c r="AT250" s="1111"/>
      <c r="AU250" s="1111"/>
      <c r="AV250" s="1111"/>
      <c r="AW250" s="1111"/>
      <c r="AX250" s="1111"/>
      <c r="AY250" s="1111"/>
      <c r="AZ250" s="1111"/>
      <c r="BA250" s="1111"/>
      <c r="BB250" s="1111"/>
      <c r="BC250" s="1111"/>
      <c r="BD250" s="1111"/>
      <c r="BE250" s="1111"/>
      <c r="BF250" s="1111"/>
      <c r="BG250" s="1111"/>
      <c r="BH250" s="1111"/>
      <c r="BI250" s="1111"/>
      <c r="BJ250" s="1111"/>
      <c r="BK250" s="1111"/>
      <c r="BL250" s="1111"/>
      <c r="BM250" s="1111"/>
      <c r="BN250" s="1111"/>
      <c r="BO250" s="1111"/>
      <c r="BP250" s="1111"/>
      <c r="BQ250" s="1111"/>
      <c r="BR250" s="1111"/>
      <c r="BS250" s="1111"/>
      <c r="BT250" s="1111"/>
      <c r="BU250" s="1111"/>
      <c r="BV250" s="1111"/>
      <c r="BW250" s="1111"/>
      <c r="BX250" s="1111"/>
      <c r="BY250" s="1111"/>
      <c r="BZ250" s="1111"/>
      <c r="CA250" s="1111"/>
      <c r="CB250" s="1111"/>
      <c r="CC250" s="1111"/>
      <c r="CD250" s="1111"/>
      <c r="CE250" s="1111"/>
      <c r="CF250" s="1111"/>
      <c r="CG250" s="1111"/>
      <c r="CH250" s="1111"/>
      <c r="CI250" s="1111"/>
      <c r="CJ250" s="1111"/>
      <c r="CK250" s="1110"/>
    </row>
    <row r="251" spans="1:89" ht="14.4" x14ac:dyDescent="0.3">
      <c r="A251" s="1110"/>
      <c r="B251" s="1110"/>
      <c r="C251" s="1110"/>
      <c r="D251" s="1110"/>
      <c r="E251" s="1110"/>
      <c r="F251" s="1110"/>
      <c r="G251" s="1110"/>
      <c r="H251" s="1110"/>
      <c r="I251" s="1110"/>
      <c r="J251" s="1110"/>
      <c r="K251" s="1110"/>
      <c r="L251" s="1110"/>
      <c r="M251" s="1110"/>
      <c r="N251" s="1110"/>
      <c r="O251" s="1110"/>
      <c r="P251" s="1110"/>
      <c r="Q251" s="1110"/>
      <c r="R251" s="1110"/>
      <c r="S251" s="1110"/>
      <c r="T251" s="1111"/>
      <c r="U251" s="1111"/>
      <c r="V251" s="1111"/>
      <c r="W251" s="1111"/>
      <c r="X251" s="1111"/>
      <c r="Y251" s="1111"/>
      <c r="Z251" s="1111"/>
      <c r="AA251" s="1111"/>
      <c r="AB251" s="1111"/>
      <c r="AC251" s="1111"/>
      <c r="AD251" s="1111"/>
      <c r="AE251" s="1111"/>
      <c r="AF251" s="1111"/>
      <c r="AG251" s="1111"/>
      <c r="AH251" s="1111"/>
      <c r="AI251" s="1111"/>
      <c r="AJ251" s="1111"/>
      <c r="AK251" s="1111"/>
      <c r="AL251" s="1111"/>
      <c r="AM251" s="1111"/>
      <c r="AN251" s="1111"/>
      <c r="AO251" s="1111"/>
      <c r="AP251" s="1111"/>
      <c r="AQ251" s="1111"/>
      <c r="AR251" s="1111"/>
      <c r="AS251" s="1111"/>
      <c r="AT251" s="1111"/>
      <c r="AU251" s="1111"/>
      <c r="AV251" s="1111"/>
      <c r="AW251" s="1111"/>
      <c r="AX251" s="1111"/>
      <c r="AY251" s="1111"/>
      <c r="AZ251" s="1111"/>
      <c r="BA251" s="1111"/>
      <c r="BB251" s="1111"/>
      <c r="BC251" s="1111"/>
      <c r="BD251" s="1111"/>
      <c r="BE251" s="1111"/>
      <c r="BF251" s="1111"/>
      <c r="BG251" s="1111"/>
      <c r="BH251" s="1111"/>
      <c r="BI251" s="1111"/>
      <c r="BJ251" s="1111"/>
      <c r="BK251" s="1111"/>
      <c r="BL251" s="1111"/>
      <c r="BM251" s="1111"/>
      <c r="BN251" s="1111"/>
      <c r="BO251" s="1111"/>
      <c r="BP251" s="1111"/>
      <c r="BQ251" s="1111"/>
      <c r="BR251" s="1111"/>
      <c r="BS251" s="1111"/>
      <c r="BT251" s="1111"/>
      <c r="BU251" s="1111"/>
      <c r="BV251" s="1111"/>
      <c r="BW251" s="1111"/>
      <c r="BX251" s="1111"/>
      <c r="BY251" s="1111"/>
      <c r="BZ251" s="1111"/>
      <c r="CA251" s="1111"/>
      <c r="CB251" s="1111"/>
      <c r="CC251" s="1111"/>
      <c r="CD251" s="1111"/>
      <c r="CE251" s="1111"/>
      <c r="CF251" s="1111"/>
      <c r="CG251" s="1111"/>
      <c r="CH251" s="1111"/>
      <c r="CI251" s="1111"/>
      <c r="CJ251" s="1111"/>
      <c r="CK251" s="1110"/>
    </row>
    <row r="252" spans="1:89" ht="14.4" x14ac:dyDescent="0.3">
      <c r="A252" s="1110"/>
      <c r="B252" s="1110"/>
      <c r="C252" s="1110"/>
      <c r="D252" s="1110"/>
      <c r="E252" s="1110"/>
      <c r="F252" s="1110"/>
      <c r="G252" s="1110"/>
      <c r="H252" s="1110"/>
      <c r="I252" s="1110"/>
      <c r="J252" s="1110"/>
      <c r="K252" s="1110"/>
      <c r="L252" s="1110"/>
      <c r="M252" s="1110"/>
      <c r="N252" s="1110"/>
      <c r="O252" s="1110"/>
      <c r="P252" s="1110"/>
      <c r="Q252" s="1110"/>
      <c r="R252" s="1110"/>
      <c r="S252" s="1110"/>
      <c r="T252" s="1111"/>
      <c r="U252" s="1111"/>
      <c r="V252" s="1111"/>
      <c r="W252" s="1111"/>
      <c r="X252" s="1111"/>
      <c r="Y252" s="1111"/>
      <c r="Z252" s="1111"/>
      <c r="AA252" s="1111"/>
      <c r="AB252" s="1111"/>
      <c r="AC252" s="1111"/>
      <c r="AD252" s="1111"/>
      <c r="AE252" s="1111"/>
      <c r="AF252" s="1111"/>
      <c r="AG252" s="1111"/>
      <c r="AH252" s="1111"/>
      <c r="AI252" s="1111"/>
      <c r="AJ252" s="1111"/>
      <c r="AK252" s="1111"/>
      <c r="AL252" s="1111"/>
      <c r="AM252" s="1111"/>
      <c r="AN252" s="1111"/>
      <c r="AO252" s="1111"/>
      <c r="AP252" s="1111"/>
      <c r="AQ252" s="1111"/>
      <c r="AR252" s="1111"/>
      <c r="AS252" s="1111"/>
      <c r="AT252" s="1111"/>
      <c r="AU252" s="1111"/>
      <c r="AV252" s="1111"/>
      <c r="AW252" s="1111"/>
      <c r="AX252" s="1111"/>
      <c r="AY252" s="1111"/>
      <c r="AZ252" s="1111"/>
      <c r="BA252" s="1111"/>
      <c r="BB252" s="1111"/>
      <c r="BC252" s="1111"/>
      <c r="BD252" s="1111"/>
      <c r="BE252" s="1111"/>
      <c r="BF252" s="1111"/>
      <c r="BG252" s="1111"/>
      <c r="BH252" s="1111"/>
      <c r="BI252" s="1111"/>
      <c r="BJ252" s="1111"/>
      <c r="BK252" s="1111"/>
      <c r="BL252" s="1111"/>
      <c r="BM252" s="1111"/>
      <c r="BN252" s="1111"/>
      <c r="BO252" s="1111"/>
      <c r="BP252" s="1111"/>
      <c r="BQ252" s="1111"/>
      <c r="BR252" s="1111"/>
      <c r="BS252" s="1111"/>
      <c r="BT252" s="1111"/>
      <c r="BU252" s="1111"/>
      <c r="BV252" s="1111"/>
      <c r="BW252" s="1111"/>
      <c r="BX252" s="1111"/>
      <c r="BY252" s="1111"/>
      <c r="BZ252" s="1111"/>
      <c r="CA252" s="1111"/>
      <c r="CB252" s="1111"/>
      <c r="CC252" s="1111"/>
      <c r="CD252" s="1111"/>
      <c r="CE252" s="1111"/>
      <c r="CF252" s="1111"/>
      <c r="CG252" s="1111"/>
      <c r="CH252" s="1111"/>
      <c r="CI252" s="1111"/>
      <c r="CJ252" s="1111"/>
      <c r="CK252" s="1110"/>
    </row>
    <row r="253" spans="1:89" ht="14.4" x14ac:dyDescent="0.3">
      <c r="A253" s="1110"/>
      <c r="B253" s="1110"/>
      <c r="C253" s="1110"/>
      <c r="D253" s="1110"/>
      <c r="E253" s="1110"/>
      <c r="F253" s="1110"/>
      <c r="G253" s="1110"/>
      <c r="H253" s="1110"/>
      <c r="I253" s="1110"/>
      <c r="J253" s="1110"/>
      <c r="K253" s="1110"/>
      <c r="L253" s="1110"/>
      <c r="M253" s="1110"/>
      <c r="N253" s="1110"/>
      <c r="O253" s="1110"/>
      <c r="P253" s="1110"/>
      <c r="Q253" s="1110"/>
      <c r="R253" s="1110"/>
      <c r="S253" s="1110"/>
      <c r="T253" s="1111"/>
      <c r="U253" s="1111"/>
      <c r="V253" s="1111"/>
      <c r="W253" s="1111"/>
      <c r="X253" s="1111"/>
      <c r="Y253" s="1111"/>
      <c r="Z253" s="1111"/>
      <c r="AA253" s="1111"/>
      <c r="AB253" s="1111"/>
      <c r="AC253" s="1111"/>
      <c r="AD253" s="1111"/>
      <c r="AE253" s="1111"/>
      <c r="AF253" s="1111"/>
      <c r="AG253" s="1111"/>
      <c r="AH253" s="1111"/>
      <c r="AI253" s="1111"/>
      <c r="AJ253" s="1111"/>
      <c r="AK253" s="1111"/>
      <c r="AL253" s="1111"/>
      <c r="AM253" s="1111"/>
      <c r="AN253" s="1111"/>
      <c r="AO253" s="1111"/>
      <c r="AP253" s="1111"/>
      <c r="AQ253" s="1111"/>
      <c r="AR253" s="1111"/>
      <c r="AS253" s="1111"/>
      <c r="AT253" s="1111"/>
      <c r="AU253" s="1111"/>
      <c r="AV253" s="1111"/>
      <c r="AW253" s="1111"/>
      <c r="AX253" s="1111"/>
      <c r="AY253" s="1111"/>
      <c r="AZ253" s="1111"/>
      <c r="BA253" s="1111"/>
      <c r="BB253" s="1111"/>
      <c r="BC253" s="1111"/>
      <c r="BD253" s="1111"/>
      <c r="BE253" s="1111"/>
      <c r="BF253" s="1111"/>
      <c r="BG253" s="1111"/>
      <c r="BH253" s="1111"/>
      <c r="BI253" s="1111"/>
      <c r="BJ253" s="1111"/>
      <c r="BK253" s="1111"/>
      <c r="BL253" s="1111"/>
      <c r="BM253" s="1111"/>
      <c r="BN253" s="1111"/>
      <c r="BO253" s="1111"/>
      <c r="BP253" s="1111"/>
      <c r="BQ253" s="1111"/>
      <c r="BR253" s="1111"/>
      <c r="BS253" s="1111"/>
      <c r="BT253" s="1111"/>
      <c r="BU253" s="1111"/>
      <c r="BV253" s="1111"/>
      <c r="BW253" s="1111"/>
      <c r="BX253" s="1111"/>
      <c r="BY253" s="1111"/>
      <c r="BZ253" s="1111"/>
      <c r="CA253" s="1111"/>
      <c r="CB253" s="1111"/>
      <c r="CC253" s="1111"/>
      <c r="CD253" s="1111"/>
      <c r="CE253" s="1111"/>
      <c r="CF253" s="1111"/>
      <c r="CG253" s="1111"/>
      <c r="CH253" s="1111"/>
      <c r="CI253" s="1111"/>
      <c r="CJ253" s="1111"/>
      <c r="CK253" s="1110"/>
    </row>
    <row r="254" spans="1:89" ht="14.4" x14ac:dyDescent="0.3">
      <c r="A254" s="1110"/>
      <c r="B254" s="1110"/>
      <c r="C254" s="1110"/>
      <c r="D254" s="1110"/>
      <c r="E254" s="1110"/>
      <c r="F254" s="1110"/>
      <c r="G254" s="1110"/>
      <c r="H254" s="1110"/>
      <c r="I254" s="1110"/>
      <c r="J254" s="1110"/>
      <c r="K254" s="1110"/>
      <c r="L254" s="1110"/>
      <c r="M254" s="1110"/>
      <c r="N254" s="1110"/>
      <c r="O254" s="1110"/>
      <c r="P254" s="1110"/>
      <c r="Q254" s="1110"/>
      <c r="R254" s="1110"/>
      <c r="S254" s="1110"/>
      <c r="T254" s="1111"/>
      <c r="U254" s="1111"/>
      <c r="V254" s="1111"/>
      <c r="W254" s="1111"/>
      <c r="X254" s="1111"/>
      <c r="Y254" s="1111"/>
      <c r="Z254" s="1111"/>
      <c r="AA254" s="1111"/>
      <c r="AB254" s="1111"/>
      <c r="AC254" s="1111"/>
      <c r="AD254" s="1111"/>
      <c r="AE254" s="1111"/>
      <c r="AF254" s="1111"/>
      <c r="AG254" s="1111"/>
      <c r="AH254" s="1111"/>
      <c r="AI254" s="1111"/>
      <c r="AJ254" s="1111"/>
      <c r="AK254" s="1111"/>
      <c r="AL254" s="1111"/>
      <c r="AM254" s="1111"/>
      <c r="AN254" s="1111"/>
      <c r="AO254" s="1111"/>
      <c r="AP254" s="1111"/>
      <c r="AQ254" s="1111"/>
      <c r="AR254" s="1111"/>
      <c r="AS254" s="1111"/>
      <c r="AT254" s="1111"/>
      <c r="AU254" s="1111"/>
      <c r="AV254" s="1111"/>
      <c r="AW254" s="1111"/>
      <c r="AX254" s="1111"/>
      <c r="AY254" s="1111"/>
      <c r="AZ254" s="1111"/>
      <c r="BA254" s="1111"/>
      <c r="BB254" s="1111"/>
      <c r="BC254" s="1111"/>
      <c r="BD254" s="1111"/>
      <c r="BE254" s="1111"/>
      <c r="BF254" s="1111"/>
      <c r="BG254" s="1111"/>
      <c r="BH254" s="1111"/>
      <c r="BI254" s="1111"/>
      <c r="BJ254" s="1111"/>
      <c r="BK254" s="1111"/>
      <c r="BL254" s="1111"/>
      <c r="BM254" s="1111"/>
      <c r="BN254" s="1111"/>
      <c r="BO254" s="1111"/>
      <c r="BP254" s="1111"/>
      <c r="BQ254" s="1111"/>
      <c r="BR254" s="1111"/>
      <c r="BS254" s="1111"/>
      <c r="BT254" s="1111"/>
      <c r="BU254" s="1111"/>
      <c r="BV254" s="1111"/>
      <c r="BW254" s="1111"/>
      <c r="BX254" s="1111"/>
      <c r="BY254" s="1111"/>
      <c r="BZ254" s="1111"/>
      <c r="CA254" s="1111"/>
      <c r="CB254" s="1111"/>
      <c r="CC254" s="1111"/>
      <c r="CD254" s="1111"/>
      <c r="CE254" s="1111"/>
      <c r="CF254" s="1111"/>
      <c r="CG254" s="1111"/>
      <c r="CH254" s="1111"/>
      <c r="CI254" s="1111"/>
      <c r="CJ254" s="1111"/>
      <c r="CK254" s="1110"/>
    </row>
    <row r="255" spans="1:89" ht="14.4" x14ac:dyDescent="0.3">
      <c r="A255" s="1110"/>
      <c r="B255" s="1110"/>
      <c r="C255" s="1110"/>
      <c r="D255" s="1110"/>
      <c r="E255" s="1110"/>
      <c r="F255" s="1110"/>
      <c r="G255" s="1110"/>
      <c r="H255" s="1110"/>
      <c r="I255" s="1110"/>
      <c r="J255" s="1110"/>
      <c r="K255" s="1110"/>
      <c r="L255" s="1110"/>
      <c r="M255" s="1110"/>
      <c r="N255" s="1110"/>
      <c r="O255" s="1110"/>
      <c r="P255" s="1110"/>
      <c r="Q255" s="1110"/>
      <c r="R255" s="1110"/>
      <c r="S255" s="1110"/>
      <c r="T255" s="1111"/>
      <c r="U255" s="1111"/>
      <c r="V255" s="1111"/>
      <c r="W255" s="1111"/>
      <c r="X255" s="1111"/>
      <c r="Y255" s="1111"/>
      <c r="Z255" s="1111"/>
      <c r="AA255" s="1111"/>
      <c r="AB255" s="1111"/>
      <c r="AC255" s="1111"/>
      <c r="AD255" s="1111"/>
      <c r="AE255" s="1111"/>
      <c r="AF255" s="1111"/>
      <c r="AG255" s="1111"/>
      <c r="AH255" s="1111"/>
      <c r="AI255" s="1111"/>
      <c r="AJ255" s="1111"/>
      <c r="AK255" s="1111"/>
      <c r="AL255" s="1111"/>
      <c r="AM255" s="1111"/>
      <c r="AN255" s="1111"/>
      <c r="AO255" s="1111"/>
      <c r="AP255" s="1111"/>
      <c r="AQ255" s="1111"/>
      <c r="AR255" s="1111"/>
      <c r="AS255" s="1111"/>
      <c r="AT255" s="1111"/>
      <c r="AU255" s="1111"/>
      <c r="AV255" s="1111"/>
      <c r="AW255" s="1111"/>
      <c r="AX255" s="1111"/>
      <c r="AY255" s="1111"/>
      <c r="AZ255" s="1111"/>
      <c r="BA255" s="1111"/>
      <c r="BB255" s="1111"/>
      <c r="BC255" s="1111"/>
      <c r="BD255" s="1111"/>
      <c r="BE255" s="1111"/>
      <c r="BF255" s="1111"/>
      <c r="BG255" s="1111"/>
      <c r="BH255" s="1111"/>
      <c r="BI255" s="1111"/>
      <c r="BJ255" s="1111"/>
      <c r="BK255" s="1111"/>
      <c r="BL255" s="1111"/>
      <c r="BM255" s="1111"/>
      <c r="BN255" s="1111"/>
      <c r="BO255" s="1111"/>
      <c r="BP255" s="1111"/>
      <c r="BQ255" s="1111"/>
      <c r="BR255" s="1111"/>
      <c r="BS255" s="1111"/>
      <c r="BT255" s="1111"/>
      <c r="BU255" s="1111"/>
      <c r="BV255" s="1111"/>
      <c r="BW255" s="1111"/>
      <c r="BX255" s="1111"/>
      <c r="BY255" s="1111"/>
      <c r="BZ255" s="1111"/>
      <c r="CA255" s="1111"/>
      <c r="CB255" s="1111"/>
      <c r="CC255" s="1111"/>
      <c r="CD255" s="1111"/>
      <c r="CE255" s="1111"/>
      <c r="CF255" s="1111"/>
      <c r="CG255" s="1111"/>
      <c r="CH255" s="1111"/>
      <c r="CI255" s="1111"/>
      <c r="CJ255" s="1111"/>
      <c r="CK255" s="1110"/>
    </row>
    <row r="256" spans="1:89" ht="14.4" x14ac:dyDescent="0.3">
      <c r="A256" s="1110"/>
      <c r="B256" s="1110"/>
      <c r="C256" s="1110"/>
      <c r="D256" s="1110"/>
      <c r="E256" s="1110"/>
      <c r="F256" s="1110"/>
      <c r="G256" s="1110"/>
      <c r="H256" s="1110"/>
      <c r="I256" s="1110"/>
      <c r="J256" s="1110"/>
      <c r="K256" s="1110"/>
      <c r="L256" s="1110"/>
      <c r="M256" s="1110"/>
      <c r="N256" s="1110"/>
      <c r="O256" s="1110"/>
      <c r="P256" s="1110"/>
      <c r="Q256" s="1110"/>
      <c r="R256" s="1110"/>
      <c r="S256" s="1110"/>
      <c r="T256" s="1111"/>
      <c r="U256" s="1111"/>
      <c r="V256" s="1111"/>
      <c r="W256" s="1111"/>
      <c r="X256" s="1111"/>
      <c r="Y256" s="1111"/>
      <c r="Z256" s="1111"/>
      <c r="AA256" s="1111"/>
      <c r="AB256" s="1111"/>
      <c r="AC256" s="1111"/>
      <c r="AD256" s="1111"/>
      <c r="AE256" s="1111"/>
      <c r="AF256" s="1111"/>
      <c r="AG256" s="1111"/>
      <c r="AH256" s="1111"/>
      <c r="AI256" s="1111"/>
      <c r="AJ256" s="1111"/>
      <c r="AK256" s="1111"/>
      <c r="AL256" s="1111"/>
      <c r="AM256" s="1111"/>
      <c r="AN256" s="1111"/>
      <c r="AO256" s="1111"/>
      <c r="AP256" s="1111"/>
      <c r="AQ256" s="1111"/>
      <c r="AR256" s="1111"/>
      <c r="AS256" s="1111"/>
      <c r="AT256" s="1111"/>
      <c r="AU256" s="1111"/>
      <c r="AV256" s="1111"/>
      <c r="AW256" s="1111"/>
      <c r="AX256" s="1111"/>
      <c r="AY256" s="1111"/>
      <c r="AZ256" s="1111"/>
      <c r="BA256" s="1111"/>
      <c r="BB256" s="1111"/>
      <c r="BC256" s="1111"/>
      <c r="BD256" s="1111"/>
      <c r="BE256" s="1111"/>
      <c r="BF256" s="1111"/>
      <c r="BG256" s="1111"/>
      <c r="BH256" s="1111"/>
      <c r="BI256" s="1111"/>
      <c r="BJ256" s="1111"/>
      <c r="BK256" s="1111"/>
      <c r="BL256" s="1111"/>
      <c r="BM256" s="1111"/>
      <c r="BN256" s="1111"/>
      <c r="BO256" s="1111"/>
      <c r="BP256" s="1111"/>
      <c r="BQ256" s="1111"/>
      <c r="BR256" s="1111"/>
      <c r="BS256" s="1111"/>
      <c r="BT256" s="1111"/>
      <c r="BU256" s="1111"/>
      <c r="BV256" s="1111"/>
      <c r="BW256" s="1111"/>
      <c r="BX256" s="1111"/>
      <c r="BY256" s="1111"/>
      <c r="BZ256" s="1111"/>
      <c r="CA256" s="1111"/>
      <c r="CB256" s="1111"/>
      <c r="CC256" s="1111"/>
      <c r="CD256" s="1111"/>
      <c r="CE256" s="1111"/>
      <c r="CF256" s="1111"/>
      <c r="CG256" s="1111"/>
      <c r="CH256" s="1111"/>
      <c r="CI256" s="1111"/>
      <c r="CJ256" s="1111"/>
      <c r="CK256" s="1110"/>
    </row>
    <row r="257" spans="1:89" ht="14.4" x14ac:dyDescent="0.3">
      <c r="A257" s="1110"/>
      <c r="B257" s="1110"/>
      <c r="C257" s="1110"/>
      <c r="D257" s="1110"/>
      <c r="E257" s="1110"/>
      <c r="F257" s="1110"/>
      <c r="G257" s="1110"/>
      <c r="H257" s="1110"/>
      <c r="I257" s="1110"/>
      <c r="J257" s="1110"/>
      <c r="K257" s="1110"/>
      <c r="L257" s="1110"/>
      <c r="M257" s="1110"/>
      <c r="N257" s="1110"/>
      <c r="O257" s="1110"/>
      <c r="P257" s="1110"/>
      <c r="Q257" s="1110"/>
      <c r="R257" s="1110"/>
      <c r="S257" s="1110"/>
      <c r="T257" s="1111"/>
      <c r="U257" s="1111"/>
      <c r="V257" s="1111"/>
      <c r="W257" s="1111"/>
      <c r="X257" s="1111"/>
      <c r="Y257" s="1111"/>
      <c r="Z257" s="1111"/>
      <c r="AA257" s="1111"/>
      <c r="AB257" s="1111"/>
      <c r="AC257" s="1111"/>
      <c r="AD257" s="1111"/>
      <c r="AE257" s="1111"/>
      <c r="AF257" s="1111"/>
      <c r="AG257" s="1111"/>
      <c r="AH257" s="1111"/>
      <c r="AI257" s="1111"/>
      <c r="AJ257" s="1111"/>
      <c r="AK257" s="1111"/>
      <c r="AL257" s="1111"/>
      <c r="AM257" s="1111"/>
      <c r="AN257" s="1111"/>
      <c r="AO257" s="1111"/>
      <c r="AP257" s="1111"/>
      <c r="AQ257" s="1111"/>
      <c r="AR257" s="1111"/>
      <c r="AS257" s="1111"/>
      <c r="AT257" s="1111"/>
      <c r="AU257" s="1111"/>
      <c r="AV257" s="1111"/>
      <c r="AW257" s="1111"/>
      <c r="AX257" s="1111"/>
      <c r="AY257" s="1111"/>
      <c r="AZ257" s="1111"/>
      <c r="BA257" s="1111"/>
      <c r="BB257" s="1111"/>
      <c r="BC257" s="1111"/>
      <c r="BD257" s="1111"/>
      <c r="BE257" s="1111"/>
      <c r="BF257" s="1111"/>
      <c r="BG257" s="1111"/>
      <c r="BH257" s="1111"/>
      <c r="BI257" s="1111"/>
      <c r="BJ257" s="1111"/>
      <c r="BK257" s="1111"/>
      <c r="BL257" s="1111"/>
      <c r="BM257" s="1111"/>
      <c r="BN257" s="1111"/>
      <c r="BO257" s="1111"/>
      <c r="BP257" s="1111"/>
      <c r="BQ257" s="1111"/>
      <c r="BR257" s="1111"/>
      <c r="BS257" s="1111"/>
      <c r="BT257" s="1111"/>
      <c r="BU257" s="1111"/>
      <c r="BV257" s="1111"/>
      <c r="BW257" s="1111"/>
      <c r="BX257" s="1111"/>
      <c r="BY257" s="1111"/>
      <c r="BZ257" s="1111"/>
      <c r="CA257" s="1111"/>
      <c r="CB257" s="1111"/>
      <c r="CC257" s="1111"/>
      <c r="CD257" s="1111"/>
      <c r="CE257" s="1111"/>
      <c r="CF257" s="1111"/>
      <c r="CG257" s="1111"/>
      <c r="CH257" s="1111"/>
      <c r="CI257" s="1111"/>
      <c r="CJ257" s="1111"/>
      <c r="CK257" s="1110"/>
    </row>
    <row r="258" spans="1:89" ht="14.4" x14ac:dyDescent="0.3">
      <c r="A258" s="1110"/>
      <c r="B258" s="1110"/>
      <c r="C258" s="1110"/>
      <c r="D258" s="1110"/>
      <c r="E258" s="1110"/>
      <c r="F258" s="1110"/>
      <c r="G258" s="1110"/>
      <c r="H258" s="1110"/>
      <c r="I258" s="1110"/>
      <c r="J258" s="1110"/>
      <c r="K258" s="1110"/>
      <c r="L258" s="1110"/>
      <c r="M258" s="1110"/>
      <c r="N258" s="1110"/>
      <c r="O258" s="1110"/>
      <c r="P258" s="1110"/>
      <c r="Q258" s="1110"/>
      <c r="R258" s="1110"/>
      <c r="S258" s="1110"/>
      <c r="T258" s="1111"/>
      <c r="U258" s="1111"/>
      <c r="V258" s="1111"/>
      <c r="W258" s="1111"/>
      <c r="X258" s="1111"/>
      <c r="Y258" s="1111"/>
      <c r="Z258" s="1111"/>
      <c r="AA258" s="1111"/>
      <c r="AB258" s="1111"/>
      <c r="AC258" s="1111"/>
      <c r="AD258" s="1111"/>
      <c r="AE258" s="1111"/>
      <c r="AF258" s="1111"/>
      <c r="AG258" s="1111"/>
      <c r="AH258" s="1111"/>
      <c r="AI258" s="1111"/>
      <c r="AJ258" s="1111"/>
      <c r="AK258" s="1111"/>
      <c r="AL258" s="1111"/>
      <c r="AM258" s="1111"/>
      <c r="AN258" s="1111"/>
      <c r="AO258" s="1111"/>
      <c r="AP258" s="1111"/>
      <c r="AQ258" s="1111"/>
      <c r="AR258" s="1111"/>
      <c r="AS258" s="1111"/>
      <c r="AT258" s="1111"/>
      <c r="AU258" s="1111"/>
      <c r="AV258" s="1111"/>
      <c r="AW258" s="1111"/>
      <c r="AX258" s="1111"/>
      <c r="AY258" s="1111"/>
      <c r="AZ258" s="1111"/>
      <c r="BA258" s="1111"/>
      <c r="BB258" s="1111"/>
      <c r="BC258" s="1111"/>
      <c r="BD258" s="1111"/>
      <c r="BE258" s="1111"/>
      <c r="BF258" s="1111"/>
      <c r="BG258" s="1111"/>
      <c r="BH258" s="1111"/>
      <c r="BI258" s="1111"/>
      <c r="BJ258" s="1111"/>
      <c r="BK258" s="1111"/>
      <c r="BL258" s="1111"/>
      <c r="BM258" s="1111"/>
      <c r="BN258" s="1111"/>
      <c r="BO258" s="1111"/>
      <c r="BP258" s="1111"/>
      <c r="BQ258" s="1111"/>
      <c r="BR258" s="1111"/>
      <c r="BS258" s="1111"/>
      <c r="BT258" s="1111"/>
      <c r="BU258" s="1111"/>
      <c r="BV258" s="1111"/>
      <c r="BW258" s="1111"/>
      <c r="BX258" s="1111"/>
      <c r="BY258" s="1111"/>
      <c r="BZ258" s="1111"/>
      <c r="CA258" s="1111"/>
      <c r="CB258" s="1111"/>
      <c r="CC258" s="1111"/>
      <c r="CD258" s="1111"/>
      <c r="CE258" s="1111"/>
      <c r="CF258" s="1111"/>
      <c r="CG258" s="1111"/>
      <c r="CH258" s="1111"/>
      <c r="CI258" s="1111"/>
      <c r="CJ258" s="1111"/>
      <c r="CK258" s="1110"/>
    </row>
    <row r="259" spans="1:89" ht="14.4" x14ac:dyDescent="0.3">
      <c r="A259" s="1110"/>
      <c r="B259" s="1110"/>
      <c r="C259" s="1110"/>
      <c r="D259" s="1110"/>
      <c r="E259" s="1110"/>
      <c r="F259" s="1110"/>
      <c r="G259" s="1110"/>
      <c r="H259" s="1110"/>
      <c r="I259" s="1110"/>
      <c r="J259" s="1110"/>
      <c r="K259" s="1110"/>
      <c r="L259" s="1110"/>
      <c r="M259" s="1110"/>
      <c r="N259" s="1110"/>
      <c r="O259" s="1110"/>
      <c r="P259" s="1110"/>
      <c r="Q259" s="1110"/>
      <c r="R259" s="1110"/>
      <c r="S259" s="1110"/>
      <c r="T259" s="1111"/>
      <c r="U259" s="1111"/>
      <c r="V259" s="1111"/>
      <c r="W259" s="1111"/>
      <c r="X259" s="1111"/>
      <c r="Y259" s="1111"/>
      <c r="Z259" s="1111"/>
      <c r="AA259" s="1111"/>
      <c r="AB259" s="1111"/>
      <c r="AC259" s="1111"/>
      <c r="AD259" s="1111"/>
      <c r="AE259" s="1111"/>
      <c r="AF259" s="1111"/>
      <c r="AG259" s="1111"/>
      <c r="AH259" s="1111"/>
      <c r="AI259" s="1111"/>
      <c r="AJ259" s="1111"/>
      <c r="AK259" s="1111"/>
      <c r="AL259" s="1111"/>
      <c r="AM259" s="1111"/>
      <c r="AN259" s="1111"/>
      <c r="AO259" s="1111"/>
      <c r="AP259" s="1111"/>
      <c r="AQ259" s="1111"/>
      <c r="AR259" s="1111"/>
      <c r="AS259" s="1111"/>
      <c r="AT259" s="1111"/>
      <c r="AU259" s="1111"/>
      <c r="AV259" s="1111"/>
      <c r="AW259" s="1111"/>
      <c r="AX259" s="1111"/>
      <c r="AY259" s="1111"/>
      <c r="AZ259" s="1111"/>
      <c r="BA259" s="1111"/>
      <c r="BB259" s="1111"/>
      <c r="BC259" s="1111"/>
      <c r="BD259" s="1111"/>
      <c r="BE259" s="1111"/>
      <c r="BF259" s="1111"/>
      <c r="BG259" s="1111"/>
      <c r="BH259" s="1111"/>
      <c r="BI259" s="1111"/>
      <c r="BJ259" s="1111"/>
      <c r="BK259" s="1111"/>
      <c r="BL259" s="1111"/>
      <c r="BM259" s="1111"/>
      <c r="BN259" s="1111"/>
      <c r="BO259" s="1111"/>
      <c r="BP259" s="1111"/>
      <c r="BQ259" s="1111"/>
      <c r="BR259" s="1111"/>
      <c r="BS259" s="1111"/>
      <c r="BT259" s="1111"/>
      <c r="BU259" s="1111"/>
      <c r="BV259" s="1111"/>
      <c r="BW259" s="1111"/>
      <c r="BX259" s="1111"/>
      <c r="BY259" s="1111"/>
      <c r="BZ259" s="1111"/>
      <c r="CA259" s="1111"/>
      <c r="CB259" s="1111"/>
      <c r="CC259" s="1111"/>
      <c r="CD259" s="1111"/>
      <c r="CE259" s="1111"/>
      <c r="CF259" s="1111"/>
      <c r="CG259" s="1111"/>
      <c r="CH259" s="1111"/>
      <c r="CI259" s="1111"/>
      <c r="CJ259" s="1111"/>
      <c r="CK259" s="1110"/>
    </row>
    <row r="260" spans="1:89" ht="14.4" x14ac:dyDescent="0.3">
      <c r="A260" s="1110"/>
      <c r="B260" s="1110"/>
      <c r="C260" s="1110"/>
      <c r="D260" s="1110"/>
      <c r="E260" s="1110"/>
      <c r="F260" s="1110"/>
      <c r="G260" s="1110"/>
      <c r="H260" s="1110"/>
      <c r="I260" s="1110"/>
      <c r="J260" s="1110"/>
      <c r="K260" s="1110"/>
      <c r="L260" s="1110"/>
      <c r="M260" s="1110"/>
      <c r="N260" s="1110"/>
      <c r="O260" s="1110"/>
      <c r="P260" s="1110"/>
      <c r="Q260" s="1110"/>
      <c r="R260" s="1110"/>
      <c r="S260" s="1110"/>
      <c r="T260" s="1111"/>
      <c r="U260" s="1111"/>
      <c r="V260" s="1111"/>
      <c r="W260" s="1111"/>
      <c r="X260" s="1111"/>
      <c r="Y260" s="1111"/>
      <c r="Z260" s="1111"/>
      <c r="AA260" s="1111"/>
      <c r="AB260" s="1111"/>
      <c r="AC260" s="1111"/>
      <c r="AD260" s="1111"/>
      <c r="AE260" s="1111"/>
      <c r="AF260" s="1111"/>
      <c r="AG260" s="1111"/>
      <c r="AH260" s="1111"/>
      <c r="AI260" s="1111"/>
      <c r="AJ260" s="1111"/>
      <c r="AK260" s="1111"/>
      <c r="AL260" s="1111"/>
      <c r="AM260" s="1111"/>
      <c r="AN260" s="1111"/>
      <c r="AO260" s="1111"/>
      <c r="AP260" s="1111"/>
      <c r="AQ260" s="1111"/>
      <c r="AR260" s="1111"/>
      <c r="AS260" s="1111"/>
      <c r="AT260" s="1111"/>
      <c r="AU260" s="1111"/>
      <c r="AV260" s="1111"/>
      <c r="AW260" s="1111"/>
      <c r="AX260" s="1111"/>
      <c r="AY260" s="1111"/>
      <c r="AZ260" s="1111"/>
      <c r="BA260" s="1111"/>
      <c r="BB260" s="1111"/>
      <c r="BC260" s="1111"/>
      <c r="BD260" s="1111"/>
      <c r="BE260" s="1111"/>
      <c r="BF260" s="1111"/>
      <c r="BG260" s="1111"/>
      <c r="BH260" s="1111"/>
      <c r="BI260" s="1111"/>
      <c r="BJ260" s="1111"/>
      <c r="BK260" s="1111"/>
      <c r="BL260" s="1111"/>
      <c r="BM260" s="1111"/>
      <c r="BN260" s="1111"/>
      <c r="BO260" s="1111"/>
      <c r="BP260" s="1111"/>
      <c r="BQ260" s="1111"/>
      <c r="BR260" s="1111"/>
      <c r="BS260" s="1111"/>
      <c r="BT260" s="1111"/>
      <c r="BU260" s="1111"/>
      <c r="BV260" s="1111"/>
      <c r="BW260" s="1111"/>
      <c r="BX260" s="1111"/>
      <c r="BY260" s="1111"/>
      <c r="BZ260" s="1111"/>
      <c r="CA260" s="1111"/>
      <c r="CB260" s="1111"/>
      <c r="CC260" s="1111"/>
      <c r="CD260" s="1111"/>
      <c r="CE260" s="1111"/>
      <c r="CF260" s="1111"/>
      <c r="CG260" s="1111"/>
      <c r="CH260" s="1111"/>
      <c r="CI260" s="1111"/>
      <c r="CJ260" s="1111"/>
      <c r="CK260" s="1110"/>
    </row>
    <row r="261" spans="1:89" ht="14.4" x14ac:dyDescent="0.3">
      <c r="A261" s="1110"/>
      <c r="B261" s="1110"/>
      <c r="C261" s="1110"/>
      <c r="D261" s="1110"/>
      <c r="E261" s="1110"/>
      <c r="F261" s="1110"/>
      <c r="G261" s="1110"/>
      <c r="H261" s="1110"/>
      <c r="I261" s="1110"/>
      <c r="J261" s="1110"/>
      <c r="K261" s="1110"/>
      <c r="L261" s="1110"/>
      <c r="M261" s="1110"/>
      <c r="N261" s="1110"/>
      <c r="O261" s="1110"/>
      <c r="P261" s="1110"/>
      <c r="Q261" s="1110"/>
      <c r="R261" s="1110"/>
      <c r="S261" s="1110"/>
      <c r="T261" s="1111"/>
      <c r="U261" s="1111"/>
      <c r="V261" s="1111"/>
      <c r="W261" s="1111"/>
      <c r="X261" s="1111"/>
      <c r="Y261" s="1111"/>
      <c r="Z261" s="1111"/>
      <c r="AA261" s="1111"/>
      <c r="AB261" s="1111"/>
      <c r="AC261" s="1111"/>
      <c r="AD261" s="1111"/>
      <c r="AE261" s="1111"/>
      <c r="AF261" s="1111"/>
      <c r="AG261" s="1111"/>
      <c r="AH261" s="1111"/>
      <c r="AI261" s="1111"/>
      <c r="AJ261" s="1111"/>
      <c r="AK261" s="1111"/>
      <c r="AL261" s="1111"/>
      <c r="AM261" s="1111"/>
      <c r="AN261" s="1111"/>
      <c r="AO261" s="1111"/>
      <c r="AP261" s="1111"/>
      <c r="AQ261" s="1111"/>
      <c r="AR261" s="1111"/>
      <c r="AS261" s="1111"/>
      <c r="AT261" s="1111"/>
      <c r="AU261" s="1111"/>
      <c r="AV261" s="1111"/>
      <c r="AW261" s="1111"/>
      <c r="AX261" s="1111"/>
      <c r="AY261" s="1111"/>
      <c r="AZ261" s="1111"/>
      <c r="BA261" s="1111"/>
      <c r="BB261" s="1111"/>
      <c r="BC261" s="1111"/>
      <c r="BD261" s="1111"/>
      <c r="BE261" s="1111"/>
      <c r="BF261" s="1111"/>
      <c r="BG261" s="1111"/>
      <c r="BH261" s="1111"/>
      <c r="BI261" s="1111"/>
      <c r="BJ261" s="1111"/>
      <c r="BK261" s="1111"/>
      <c r="BL261" s="1111"/>
      <c r="BM261" s="1111"/>
      <c r="BN261" s="1111"/>
      <c r="BO261" s="1111"/>
      <c r="BP261" s="1111"/>
      <c r="BQ261" s="1111"/>
      <c r="BR261" s="1111"/>
      <c r="BS261" s="1111"/>
      <c r="BT261" s="1111"/>
      <c r="BU261" s="1111"/>
      <c r="BV261" s="1111"/>
      <c r="BW261" s="1111"/>
      <c r="BX261" s="1111"/>
      <c r="BY261" s="1111"/>
      <c r="BZ261" s="1111"/>
      <c r="CA261" s="1111"/>
      <c r="CB261" s="1111"/>
      <c r="CC261" s="1111"/>
      <c r="CD261" s="1111"/>
      <c r="CE261" s="1111"/>
      <c r="CF261" s="1111"/>
      <c r="CG261" s="1111"/>
      <c r="CH261" s="1111"/>
      <c r="CI261" s="1111"/>
      <c r="CJ261" s="1111"/>
      <c r="CK261" s="1110"/>
    </row>
    <row r="262" spans="1:89" ht="14.4" x14ac:dyDescent="0.3">
      <c r="A262" s="1110"/>
      <c r="B262" s="1110"/>
      <c r="C262" s="1110"/>
      <c r="D262" s="1110"/>
      <c r="E262" s="1110"/>
      <c r="F262" s="1110"/>
      <c r="G262" s="1110"/>
      <c r="H262" s="1110"/>
      <c r="I262" s="1110"/>
      <c r="J262" s="1110"/>
      <c r="K262" s="1110"/>
      <c r="L262" s="1110"/>
      <c r="M262" s="1110"/>
      <c r="N262" s="1110"/>
      <c r="O262" s="1110"/>
      <c r="P262" s="1110"/>
      <c r="Q262" s="1110"/>
      <c r="R262" s="1110"/>
      <c r="S262" s="1110"/>
      <c r="T262" s="1111"/>
      <c r="U262" s="1111"/>
      <c r="V262" s="1111"/>
      <c r="W262" s="1111"/>
      <c r="X262" s="1111"/>
      <c r="Y262" s="1111"/>
      <c r="Z262" s="1111"/>
      <c r="AA262" s="1111"/>
      <c r="AB262" s="1111"/>
      <c r="AC262" s="1111"/>
      <c r="AD262" s="1111"/>
      <c r="AE262" s="1111"/>
      <c r="AF262" s="1111"/>
      <c r="AG262" s="1111"/>
      <c r="AH262" s="1111"/>
      <c r="AI262" s="1111"/>
      <c r="AJ262" s="1111"/>
      <c r="AK262" s="1111"/>
      <c r="AL262" s="1111"/>
      <c r="AM262" s="1111"/>
      <c r="AN262" s="1111"/>
      <c r="AO262" s="1111"/>
      <c r="AP262" s="1111"/>
      <c r="AQ262" s="1111"/>
      <c r="AR262" s="1111"/>
      <c r="AS262" s="1111"/>
      <c r="AT262" s="1111"/>
      <c r="AU262" s="1111"/>
      <c r="AV262" s="1111"/>
      <c r="AW262" s="1111"/>
      <c r="AX262" s="1111"/>
      <c r="AY262" s="1111"/>
      <c r="AZ262" s="1111"/>
      <c r="BA262" s="1111"/>
      <c r="BB262" s="1111"/>
      <c r="BC262" s="1111"/>
      <c r="BD262" s="1111"/>
      <c r="BE262" s="1111"/>
      <c r="BF262" s="1111"/>
      <c r="BG262" s="1111"/>
      <c r="BH262" s="1111"/>
      <c r="BI262" s="1111"/>
      <c r="BJ262" s="1111"/>
      <c r="BK262" s="1111"/>
      <c r="BL262" s="1111"/>
      <c r="BM262" s="1111"/>
      <c r="BN262" s="1111"/>
      <c r="BO262" s="1111"/>
      <c r="BP262" s="1111"/>
      <c r="BQ262" s="1111"/>
      <c r="BR262" s="1111"/>
      <c r="BS262" s="1111"/>
      <c r="BT262" s="1111"/>
      <c r="BU262" s="1111"/>
      <c r="BV262" s="1111"/>
      <c r="BW262" s="1111"/>
      <c r="BX262" s="1111"/>
      <c r="BY262" s="1111"/>
      <c r="BZ262" s="1111"/>
      <c r="CA262" s="1111"/>
      <c r="CB262" s="1111"/>
      <c r="CC262" s="1111"/>
      <c r="CD262" s="1111"/>
      <c r="CE262" s="1111"/>
      <c r="CF262" s="1111"/>
      <c r="CG262" s="1111"/>
      <c r="CH262" s="1111"/>
      <c r="CI262" s="1111"/>
      <c r="CJ262" s="1111"/>
      <c r="CK262" s="1110"/>
    </row>
    <row r="263" spans="1:89" ht="14.4" x14ac:dyDescent="0.3">
      <c r="A263" s="1110"/>
      <c r="B263" s="1110"/>
      <c r="C263" s="1110"/>
      <c r="D263" s="1110"/>
      <c r="E263" s="1110"/>
      <c r="F263" s="1110"/>
      <c r="G263" s="1110"/>
      <c r="H263" s="1110"/>
      <c r="I263" s="1110"/>
      <c r="J263" s="1110"/>
      <c r="K263" s="1110"/>
      <c r="L263" s="1110"/>
      <c r="M263" s="1110"/>
      <c r="N263" s="1110"/>
      <c r="O263" s="1110"/>
      <c r="P263" s="1110"/>
      <c r="Q263" s="1110"/>
      <c r="R263" s="1110"/>
      <c r="S263" s="1110"/>
      <c r="T263" s="1111"/>
      <c r="U263" s="1111"/>
      <c r="V263" s="1111"/>
      <c r="W263" s="1111"/>
      <c r="X263" s="1111"/>
      <c r="Y263" s="1111"/>
      <c r="Z263" s="1111"/>
      <c r="AA263" s="1111"/>
      <c r="AB263" s="1111"/>
      <c r="AC263" s="1111"/>
      <c r="AD263" s="1111"/>
      <c r="AE263" s="1111"/>
      <c r="AF263" s="1111"/>
      <c r="AG263" s="1111"/>
      <c r="AH263" s="1111"/>
      <c r="AI263" s="1111"/>
      <c r="AJ263" s="1111"/>
      <c r="AK263" s="1111"/>
      <c r="AL263" s="1111"/>
      <c r="AM263" s="1111"/>
      <c r="AN263" s="1111"/>
      <c r="AO263" s="1111"/>
      <c r="AP263" s="1111"/>
      <c r="AQ263" s="1111"/>
      <c r="AR263" s="1111"/>
      <c r="AS263" s="1111"/>
      <c r="AT263" s="1111"/>
      <c r="AU263" s="1111"/>
      <c r="AV263" s="1111"/>
      <c r="AW263" s="1111"/>
      <c r="AX263" s="1111"/>
      <c r="AY263" s="1111"/>
      <c r="AZ263" s="1111"/>
      <c r="BA263" s="1111"/>
      <c r="BB263" s="1111"/>
      <c r="BC263" s="1111"/>
      <c r="BD263" s="1111"/>
      <c r="BE263" s="1111"/>
      <c r="BF263" s="1111"/>
      <c r="BG263" s="1111"/>
      <c r="BH263" s="1111"/>
      <c r="BI263" s="1111"/>
      <c r="BJ263" s="1111"/>
      <c r="BK263" s="1111"/>
      <c r="BL263" s="1111"/>
      <c r="BM263" s="1111"/>
      <c r="BN263" s="1111"/>
      <c r="BO263" s="1111"/>
      <c r="BP263" s="1111"/>
      <c r="BQ263" s="1111"/>
      <c r="BR263" s="1111"/>
      <c r="BS263" s="1111"/>
      <c r="BT263" s="1111"/>
      <c r="BU263" s="1111"/>
      <c r="BV263" s="1111"/>
      <c r="BW263" s="1111"/>
      <c r="BX263" s="1111"/>
      <c r="BY263" s="1111"/>
      <c r="BZ263" s="1111"/>
      <c r="CA263" s="1111"/>
      <c r="CB263" s="1111"/>
      <c r="CC263" s="1111"/>
      <c r="CD263" s="1111"/>
      <c r="CE263" s="1111"/>
      <c r="CF263" s="1111"/>
      <c r="CG263" s="1111"/>
      <c r="CH263" s="1111"/>
      <c r="CI263" s="1111"/>
      <c r="CJ263" s="1111"/>
      <c r="CK263" s="1110"/>
    </row>
    <row r="264" spans="1:89" ht="14.4" x14ac:dyDescent="0.3">
      <c r="A264" s="1110"/>
      <c r="B264" s="1110"/>
      <c r="C264" s="1110"/>
      <c r="D264" s="1110"/>
      <c r="E264" s="1110"/>
      <c r="F264" s="1110"/>
      <c r="G264" s="1110"/>
      <c r="H264" s="1110"/>
      <c r="I264" s="1110"/>
      <c r="J264" s="1110"/>
      <c r="K264" s="1110"/>
      <c r="L264" s="1110"/>
      <c r="M264" s="1110"/>
      <c r="N264" s="1110"/>
      <c r="O264" s="1110"/>
      <c r="P264" s="1110"/>
      <c r="Q264" s="1110"/>
      <c r="R264" s="1110"/>
      <c r="S264" s="1110"/>
      <c r="T264" s="1111"/>
      <c r="U264" s="1111"/>
      <c r="V264" s="1111"/>
      <c r="W264" s="1111"/>
      <c r="X264" s="1111"/>
      <c r="Y264" s="1111"/>
      <c r="Z264" s="1111"/>
      <c r="AA264" s="1111"/>
      <c r="AB264" s="1111"/>
      <c r="AC264" s="1111"/>
      <c r="AD264" s="1111"/>
      <c r="AE264" s="1111"/>
      <c r="AF264" s="1111"/>
      <c r="AG264" s="1111"/>
      <c r="AH264" s="1111"/>
      <c r="AI264" s="1111"/>
      <c r="AJ264" s="1111"/>
      <c r="AK264" s="1111"/>
      <c r="AL264" s="1111"/>
      <c r="AM264" s="1111"/>
      <c r="AN264" s="1111"/>
      <c r="AO264" s="1111"/>
      <c r="AP264" s="1111"/>
      <c r="AQ264" s="1111"/>
      <c r="AR264" s="1111"/>
      <c r="AS264" s="1111"/>
      <c r="AT264" s="1111"/>
      <c r="AU264" s="1111"/>
      <c r="AV264" s="1111"/>
      <c r="AW264" s="1111"/>
      <c r="AX264" s="1111"/>
      <c r="AY264" s="1111"/>
      <c r="AZ264" s="1111"/>
      <c r="BA264" s="1111"/>
      <c r="BB264" s="1111"/>
      <c r="BC264" s="1111"/>
      <c r="BD264" s="1111"/>
      <c r="BE264" s="1111"/>
      <c r="BF264" s="1111"/>
      <c r="BG264" s="1111"/>
      <c r="BH264" s="1111"/>
      <c r="BI264" s="1111"/>
      <c r="BJ264" s="1111"/>
      <c r="BK264" s="1111"/>
      <c r="BL264" s="1111"/>
      <c r="BM264" s="1111"/>
      <c r="BN264" s="1111"/>
      <c r="BO264" s="1111"/>
      <c r="BP264" s="1111"/>
      <c r="BQ264" s="1111"/>
      <c r="BR264" s="1111"/>
      <c r="BS264" s="1111"/>
      <c r="BT264" s="1111"/>
      <c r="BU264" s="1111"/>
      <c r="BV264" s="1111"/>
      <c r="BW264" s="1111"/>
      <c r="BX264" s="1111"/>
      <c r="BY264" s="1111"/>
      <c r="BZ264" s="1111"/>
      <c r="CA264" s="1111"/>
      <c r="CB264" s="1111"/>
      <c r="CC264" s="1111"/>
      <c r="CD264" s="1111"/>
      <c r="CE264" s="1111"/>
      <c r="CF264" s="1111"/>
      <c r="CG264" s="1111"/>
      <c r="CH264" s="1111"/>
      <c r="CI264" s="1111"/>
      <c r="CJ264" s="1111"/>
      <c r="CK264" s="1110"/>
    </row>
    <row r="265" spans="1:89" ht="14.4" x14ac:dyDescent="0.3">
      <c r="A265" s="1110"/>
      <c r="B265" s="1110"/>
      <c r="C265" s="1110"/>
      <c r="D265" s="1110"/>
      <c r="E265" s="1110"/>
      <c r="F265" s="1110"/>
      <c r="G265" s="1110"/>
      <c r="H265" s="1110"/>
      <c r="I265" s="1110"/>
      <c r="J265" s="1110"/>
      <c r="K265" s="1110"/>
      <c r="L265" s="1110"/>
      <c r="M265" s="1110"/>
      <c r="N265" s="1110"/>
      <c r="O265" s="1110"/>
      <c r="P265" s="1110"/>
      <c r="Q265" s="1110"/>
      <c r="R265" s="1110"/>
      <c r="S265" s="1110"/>
      <c r="T265" s="1111"/>
      <c r="U265" s="1111"/>
      <c r="V265" s="1111"/>
      <c r="W265" s="1111"/>
      <c r="X265" s="1111"/>
      <c r="Y265" s="1111"/>
      <c r="Z265" s="1111"/>
      <c r="AA265" s="1111"/>
      <c r="AB265" s="1111"/>
      <c r="AC265" s="1111"/>
      <c r="AD265" s="1111"/>
      <c r="AE265" s="1111"/>
      <c r="AF265" s="1111"/>
      <c r="AG265" s="1111"/>
      <c r="AH265" s="1111"/>
      <c r="AI265" s="1111"/>
      <c r="AJ265" s="1111"/>
      <c r="AK265" s="1111"/>
      <c r="AL265" s="1111"/>
      <c r="AM265" s="1111"/>
      <c r="AN265" s="1111"/>
      <c r="AO265" s="1111"/>
      <c r="AP265" s="1111"/>
      <c r="AQ265" s="1111"/>
      <c r="AR265" s="1111"/>
      <c r="AS265" s="1111"/>
      <c r="AT265" s="1111"/>
      <c r="AU265" s="1111"/>
      <c r="AV265" s="1111"/>
      <c r="AW265" s="1111"/>
      <c r="AX265" s="1111"/>
      <c r="AY265" s="1111"/>
      <c r="AZ265" s="1111"/>
      <c r="BA265" s="1111"/>
      <c r="BB265" s="1111"/>
      <c r="BC265" s="1111"/>
      <c r="BD265" s="1111"/>
      <c r="BE265" s="1111"/>
      <c r="BF265" s="1111"/>
      <c r="BG265" s="1111"/>
      <c r="BH265" s="1111"/>
      <c r="BI265" s="1111"/>
      <c r="BJ265" s="1111"/>
      <c r="BK265" s="1111"/>
      <c r="BL265" s="1111"/>
      <c r="BM265" s="1111"/>
      <c r="BN265" s="1111"/>
      <c r="BO265" s="1111"/>
      <c r="BP265" s="1111"/>
      <c r="BQ265" s="1111"/>
      <c r="BR265" s="1111"/>
      <c r="BS265" s="1111"/>
      <c r="BT265" s="1111"/>
      <c r="BU265" s="1111"/>
      <c r="BV265" s="1111"/>
      <c r="BW265" s="1111"/>
      <c r="BX265" s="1111"/>
      <c r="BY265" s="1111"/>
      <c r="BZ265" s="1111"/>
      <c r="CA265" s="1111"/>
      <c r="CB265" s="1111"/>
      <c r="CC265" s="1111"/>
      <c r="CD265" s="1111"/>
      <c r="CE265" s="1111"/>
      <c r="CF265" s="1111"/>
      <c r="CG265" s="1111"/>
      <c r="CH265" s="1111"/>
      <c r="CI265" s="1111"/>
      <c r="CJ265" s="1111"/>
      <c r="CK265" s="1110"/>
    </row>
    <row r="266" spans="1:89" ht="14.4" x14ac:dyDescent="0.3">
      <c r="A266" s="1110"/>
      <c r="B266" s="1110"/>
      <c r="C266" s="1110"/>
      <c r="D266" s="1110"/>
      <c r="E266" s="1110"/>
      <c r="F266" s="1110"/>
      <c r="G266" s="1110"/>
      <c r="H266" s="1110"/>
      <c r="I266" s="1110"/>
      <c r="J266" s="1110"/>
      <c r="K266" s="1110"/>
      <c r="L266" s="1110"/>
      <c r="M266" s="1110"/>
      <c r="N266" s="1110"/>
      <c r="O266" s="1110"/>
      <c r="P266" s="1110"/>
      <c r="Q266" s="1110"/>
      <c r="R266" s="1110"/>
      <c r="S266" s="1110"/>
      <c r="T266" s="1111"/>
      <c r="U266" s="1111"/>
      <c r="V266" s="1111"/>
      <c r="W266" s="1111"/>
      <c r="X266" s="1111"/>
      <c r="Y266" s="1111"/>
      <c r="Z266" s="1111"/>
      <c r="AA266" s="1111"/>
      <c r="AB266" s="1111"/>
      <c r="AC266" s="1111"/>
      <c r="AD266" s="1111"/>
      <c r="AE266" s="1111"/>
      <c r="AF266" s="1111"/>
      <c r="AG266" s="1111"/>
      <c r="AH266" s="1111"/>
      <c r="AI266" s="1111"/>
      <c r="AJ266" s="1111"/>
      <c r="AK266" s="1111"/>
      <c r="AL266" s="1111"/>
      <c r="AM266" s="1111"/>
      <c r="AN266" s="1111"/>
      <c r="AO266" s="1111"/>
      <c r="AP266" s="1111"/>
      <c r="AQ266" s="1111"/>
      <c r="AR266" s="1111"/>
      <c r="AS266" s="1111"/>
      <c r="AT266" s="1111"/>
      <c r="AU266" s="1111"/>
      <c r="AV266" s="1111"/>
      <c r="AW266" s="1111"/>
      <c r="AX266" s="1111"/>
      <c r="AY266" s="1111"/>
      <c r="AZ266" s="1111"/>
      <c r="BA266" s="1111"/>
      <c r="BB266" s="1111"/>
      <c r="BC266" s="1111"/>
      <c r="BD266" s="1111"/>
      <c r="BE266" s="1111"/>
      <c r="BF266" s="1111"/>
      <c r="BG266" s="1111"/>
      <c r="BH266" s="1111"/>
      <c r="BI266" s="1111"/>
      <c r="BJ266" s="1111"/>
      <c r="BK266" s="1111"/>
      <c r="BL266" s="1111"/>
      <c r="BM266" s="1111"/>
      <c r="BN266" s="1111"/>
      <c r="BO266" s="1111"/>
      <c r="BP266" s="1111"/>
      <c r="BQ266" s="1111"/>
      <c r="BR266" s="1111"/>
      <c r="BS266" s="1111"/>
      <c r="BT266" s="1111"/>
      <c r="BU266" s="1111"/>
      <c r="BV266" s="1111"/>
      <c r="BW266" s="1111"/>
      <c r="BX266" s="1111"/>
      <c r="BY266" s="1111"/>
      <c r="BZ266" s="1111"/>
      <c r="CA266" s="1111"/>
      <c r="CB266" s="1111"/>
      <c r="CC266" s="1111"/>
      <c r="CD266" s="1111"/>
      <c r="CE266" s="1111"/>
      <c r="CF266" s="1111"/>
      <c r="CG266" s="1111"/>
      <c r="CH266" s="1111"/>
      <c r="CI266" s="1111"/>
      <c r="CJ266" s="1111"/>
      <c r="CK266" s="1110"/>
    </row>
    <row r="267" spans="1:89" ht="14.4" x14ac:dyDescent="0.3">
      <c r="A267" s="1110"/>
      <c r="B267" s="1110"/>
      <c r="C267" s="1110"/>
      <c r="D267" s="1110"/>
      <c r="E267" s="1110"/>
      <c r="F267" s="1110"/>
      <c r="G267" s="1110"/>
      <c r="H267" s="1110"/>
      <c r="I267" s="1110"/>
      <c r="J267" s="1110"/>
      <c r="K267" s="1110"/>
      <c r="L267" s="1110"/>
      <c r="M267" s="1110"/>
      <c r="N267" s="1110"/>
      <c r="O267" s="1110"/>
      <c r="P267" s="1110"/>
      <c r="Q267" s="1110"/>
      <c r="R267" s="1110"/>
      <c r="S267" s="1110"/>
      <c r="T267" s="1111"/>
      <c r="U267" s="1111"/>
      <c r="V267" s="1111"/>
      <c r="W267" s="1111"/>
      <c r="X267" s="1111"/>
      <c r="Y267" s="1111"/>
      <c r="Z267" s="1111"/>
      <c r="AA267" s="1111"/>
      <c r="AB267" s="1111"/>
      <c r="AC267" s="1111"/>
      <c r="AD267" s="1111"/>
      <c r="AE267" s="1111"/>
      <c r="AF267" s="1111"/>
      <c r="AG267" s="1111"/>
      <c r="AH267" s="1111"/>
      <c r="AI267" s="1111"/>
      <c r="AJ267" s="1111"/>
      <c r="AK267" s="1111"/>
      <c r="AL267" s="1111"/>
      <c r="AM267" s="1111"/>
      <c r="AN267" s="1111"/>
      <c r="AO267" s="1111"/>
      <c r="AP267" s="1111"/>
      <c r="AQ267" s="1111"/>
      <c r="AR267" s="1111"/>
      <c r="AS267" s="1111"/>
      <c r="AT267" s="1111"/>
      <c r="AU267" s="1111"/>
      <c r="AV267" s="1111"/>
      <c r="AW267" s="1111"/>
      <c r="AX267" s="1111"/>
      <c r="AY267" s="1111"/>
      <c r="AZ267" s="1111"/>
      <c r="BA267" s="1111"/>
      <c r="BB267" s="1111"/>
      <c r="BC267" s="1111"/>
      <c r="BD267" s="1111"/>
      <c r="BE267" s="1111"/>
      <c r="BF267" s="1111"/>
      <c r="BG267" s="1111"/>
      <c r="BH267" s="1111"/>
      <c r="BI267" s="1111"/>
      <c r="BJ267" s="1111"/>
      <c r="BK267" s="1111"/>
      <c r="BL267" s="1111"/>
      <c r="BM267" s="1111"/>
      <c r="BN267" s="1111"/>
      <c r="BO267" s="1111"/>
      <c r="BP267" s="1111"/>
      <c r="BQ267" s="1111"/>
      <c r="BR267" s="1111"/>
      <c r="BS267" s="1111"/>
      <c r="BT267" s="1111"/>
      <c r="BU267" s="1111"/>
      <c r="BV267" s="1111"/>
      <c r="BW267" s="1111"/>
      <c r="BX267" s="1111"/>
      <c r="BY267" s="1111"/>
      <c r="BZ267" s="1111"/>
      <c r="CA267" s="1111"/>
      <c r="CB267" s="1111"/>
      <c r="CC267" s="1111"/>
      <c r="CD267" s="1111"/>
      <c r="CE267" s="1111"/>
      <c r="CF267" s="1111"/>
      <c r="CG267" s="1111"/>
      <c r="CH267" s="1111"/>
      <c r="CI267" s="1111"/>
      <c r="CJ267" s="1111"/>
      <c r="CK267" s="1110"/>
    </row>
    <row r="268" spans="1:89" ht="14.4" x14ac:dyDescent="0.3">
      <c r="A268" s="1110"/>
      <c r="B268" s="1110"/>
      <c r="C268" s="1110"/>
      <c r="D268" s="1110"/>
      <c r="E268" s="1110"/>
      <c r="F268" s="1110"/>
      <c r="G268" s="1110"/>
      <c r="H268" s="1110"/>
      <c r="I268" s="1110"/>
      <c r="J268" s="1110"/>
      <c r="K268" s="1110"/>
      <c r="L268" s="1110"/>
      <c r="M268" s="1110"/>
      <c r="N268" s="1110"/>
      <c r="O268" s="1110"/>
      <c r="P268" s="1110"/>
      <c r="Q268" s="1110"/>
      <c r="R268" s="1110"/>
      <c r="S268" s="1110"/>
      <c r="T268" s="1111"/>
      <c r="U268" s="1111"/>
      <c r="V268" s="1111"/>
      <c r="W268" s="1111"/>
      <c r="X268" s="1111"/>
      <c r="Y268" s="1111"/>
      <c r="Z268" s="1111"/>
      <c r="AA268" s="1111"/>
      <c r="AB268" s="1111"/>
      <c r="AC268" s="1111"/>
      <c r="AD268" s="1111"/>
      <c r="AE268" s="1111"/>
      <c r="AF268" s="1111"/>
      <c r="AG268" s="1111"/>
      <c r="AH268" s="1111"/>
      <c r="AI268" s="1111"/>
      <c r="AJ268" s="1111"/>
      <c r="AK268" s="1111"/>
      <c r="AL268" s="1111"/>
      <c r="AM268" s="1111"/>
      <c r="AN268" s="1111"/>
      <c r="AO268" s="1111"/>
      <c r="AP268" s="1111"/>
      <c r="AQ268" s="1111"/>
      <c r="AR268" s="1111"/>
      <c r="AS268" s="1111"/>
      <c r="AT268" s="1111"/>
      <c r="AU268" s="1111"/>
      <c r="AV268" s="1111"/>
      <c r="AW268" s="1111"/>
      <c r="AX268" s="1111"/>
      <c r="AY268" s="1111"/>
      <c r="AZ268" s="1111"/>
      <c r="BA268" s="1111"/>
      <c r="BB268" s="1111"/>
      <c r="BC268" s="1111"/>
      <c r="BD268" s="1111"/>
      <c r="BE268" s="1111"/>
      <c r="BF268" s="1111"/>
      <c r="BG268" s="1111"/>
      <c r="BH268" s="1111"/>
      <c r="BI268" s="1111"/>
      <c r="BJ268" s="1111"/>
      <c r="BK268" s="1111"/>
      <c r="BL268" s="1111"/>
      <c r="BM268" s="1111"/>
      <c r="BN268" s="1111"/>
      <c r="BO268" s="1111"/>
      <c r="BP268" s="1111"/>
      <c r="BQ268" s="1111"/>
      <c r="BR268" s="1111"/>
      <c r="BS268" s="1111"/>
      <c r="BT268" s="1111"/>
      <c r="BU268" s="1111"/>
      <c r="BV268" s="1111"/>
      <c r="BW268" s="1111"/>
      <c r="BX268" s="1111"/>
      <c r="BY268" s="1111"/>
      <c r="BZ268" s="1111"/>
      <c r="CA268" s="1111"/>
      <c r="CB268" s="1111"/>
      <c r="CC268" s="1111"/>
      <c r="CD268" s="1111"/>
      <c r="CE268" s="1111"/>
      <c r="CF268" s="1111"/>
      <c r="CG268" s="1111"/>
      <c r="CH268" s="1111"/>
      <c r="CI268" s="1111"/>
      <c r="CJ268" s="1111"/>
      <c r="CK268" s="1110"/>
    </row>
    <row r="269" spans="1:89" ht="14.4" x14ac:dyDescent="0.3">
      <c r="A269" s="1110"/>
      <c r="B269" s="1110"/>
      <c r="C269" s="1110"/>
      <c r="D269" s="1110"/>
      <c r="E269" s="1110"/>
      <c r="F269" s="1110"/>
      <c r="G269" s="1110"/>
      <c r="H269" s="1110"/>
      <c r="I269" s="1110"/>
      <c r="J269" s="1110"/>
      <c r="K269" s="1110"/>
      <c r="L269" s="1110"/>
      <c r="M269" s="1110"/>
      <c r="N269" s="1110"/>
      <c r="O269" s="1110"/>
      <c r="P269" s="1110"/>
      <c r="Q269" s="1110"/>
      <c r="R269" s="1110"/>
      <c r="S269" s="1110"/>
      <c r="T269" s="1111"/>
      <c r="U269" s="1111"/>
      <c r="V269" s="1111"/>
      <c r="W269" s="1111"/>
      <c r="X269" s="1111"/>
      <c r="Y269" s="1111"/>
      <c r="Z269" s="1111"/>
      <c r="AA269" s="1111"/>
      <c r="AB269" s="1111"/>
      <c r="AC269" s="1111"/>
      <c r="AD269" s="1111"/>
      <c r="AE269" s="1111"/>
      <c r="AF269" s="1111"/>
      <c r="AG269" s="1111"/>
      <c r="AH269" s="1111"/>
      <c r="AI269" s="1111"/>
      <c r="AJ269" s="1111"/>
      <c r="AK269" s="1111"/>
      <c r="AL269" s="1111"/>
      <c r="AM269" s="1111"/>
      <c r="AN269" s="1111"/>
      <c r="AO269" s="1111"/>
      <c r="AP269" s="1111"/>
      <c r="AQ269" s="1111"/>
      <c r="AR269" s="1111"/>
      <c r="AS269" s="1111"/>
      <c r="AT269" s="1111"/>
      <c r="AU269" s="1111"/>
      <c r="AV269" s="1111"/>
      <c r="AW269" s="1111"/>
      <c r="AX269" s="1111"/>
      <c r="AY269" s="1111"/>
      <c r="AZ269" s="1111"/>
      <c r="BA269" s="1111"/>
      <c r="BB269" s="1111"/>
      <c r="BC269" s="1111"/>
      <c r="BD269" s="1111"/>
      <c r="BE269" s="1111"/>
      <c r="BF269" s="1111"/>
      <c r="BG269" s="1111"/>
      <c r="BH269" s="1111"/>
      <c r="BI269" s="1111"/>
      <c r="BJ269" s="1111"/>
      <c r="BK269" s="1111"/>
      <c r="BL269" s="1111"/>
      <c r="BM269" s="1111"/>
      <c r="BN269" s="1111"/>
      <c r="BO269" s="1111"/>
      <c r="BP269" s="1111"/>
      <c r="BQ269" s="1111"/>
      <c r="BR269" s="1111"/>
      <c r="BS269" s="1111"/>
      <c r="BT269" s="1111"/>
      <c r="BU269" s="1111"/>
      <c r="BV269" s="1111"/>
      <c r="BW269" s="1111"/>
      <c r="BX269" s="1111"/>
      <c r="BY269" s="1111"/>
      <c r="BZ269" s="1111"/>
      <c r="CA269" s="1111"/>
      <c r="CB269" s="1111"/>
      <c r="CC269" s="1111"/>
      <c r="CD269" s="1111"/>
      <c r="CE269" s="1111"/>
      <c r="CF269" s="1111"/>
      <c r="CG269" s="1111"/>
      <c r="CH269" s="1111"/>
      <c r="CI269" s="1111"/>
      <c r="CJ269" s="1111"/>
      <c r="CK269" s="1110"/>
    </row>
    <row r="270" spans="1:89" ht="14.4" x14ac:dyDescent="0.3">
      <c r="A270" s="1110"/>
      <c r="B270" s="1110"/>
      <c r="C270" s="1110"/>
      <c r="D270" s="1110"/>
      <c r="E270" s="1110"/>
      <c r="F270" s="1110"/>
      <c r="G270" s="1110"/>
      <c r="H270" s="1110"/>
      <c r="I270" s="1110"/>
      <c r="J270" s="1110"/>
      <c r="K270" s="1110"/>
      <c r="L270" s="1110"/>
      <c r="M270" s="1110"/>
      <c r="N270" s="1110"/>
      <c r="O270" s="1110"/>
      <c r="P270" s="1110"/>
      <c r="Q270" s="1110"/>
      <c r="R270" s="1110"/>
      <c r="S270" s="1110"/>
      <c r="T270" s="1111"/>
      <c r="U270" s="1111"/>
      <c r="V270" s="1111"/>
      <c r="W270" s="1111"/>
      <c r="X270" s="1111"/>
      <c r="Y270" s="1111"/>
      <c r="Z270" s="1111"/>
      <c r="AA270" s="1111"/>
      <c r="AB270" s="1111"/>
      <c r="AC270" s="1111"/>
      <c r="AD270" s="1111"/>
      <c r="AE270" s="1111"/>
      <c r="AF270" s="1111"/>
      <c r="AG270" s="1111"/>
      <c r="AH270" s="1111"/>
      <c r="AI270" s="1111"/>
      <c r="AJ270" s="1111"/>
      <c r="AK270" s="1111"/>
      <c r="AL270" s="1111"/>
      <c r="AM270" s="1111"/>
      <c r="AN270" s="1111"/>
      <c r="AO270" s="1111"/>
      <c r="AP270" s="1111"/>
      <c r="AQ270" s="1111"/>
      <c r="AR270" s="1111"/>
      <c r="AS270" s="1111"/>
      <c r="AT270" s="1111"/>
      <c r="AU270" s="1111"/>
      <c r="AV270" s="1111"/>
      <c r="AW270" s="1111"/>
      <c r="AX270" s="1111"/>
      <c r="AY270" s="1111"/>
      <c r="AZ270" s="1111"/>
      <c r="BA270" s="1111"/>
      <c r="BB270" s="1111"/>
      <c r="BC270" s="1111"/>
      <c r="BD270" s="1111"/>
      <c r="BE270" s="1111"/>
      <c r="BF270" s="1111"/>
      <c r="BG270" s="1111"/>
      <c r="BH270" s="1111"/>
      <c r="BI270" s="1111"/>
      <c r="BJ270" s="1111"/>
      <c r="BK270" s="1111"/>
      <c r="BL270" s="1111"/>
      <c r="BM270" s="1111"/>
      <c r="BN270" s="1111"/>
      <c r="BO270" s="1111"/>
      <c r="BP270" s="1111"/>
      <c r="BQ270" s="1111"/>
      <c r="BR270" s="1111"/>
      <c r="BS270" s="1111"/>
      <c r="BT270" s="1111"/>
      <c r="BU270" s="1111"/>
      <c r="BV270" s="1111"/>
      <c r="BW270" s="1111"/>
      <c r="BX270" s="1111"/>
      <c r="BY270" s="1111"/>
      <c r="BZ270" s="1111"/>
      <c r="CA270" s="1111"/>
      <c r="CB270" s="1111"/>
      <c r="CC270" s="1111"/>
      <c r="CD270" s="1111"/>
      <c r="CE270" s="1111"/>
      <c r="CF270" s="1111"/>
      <c r="CG270" s="1111"/>
      <c r="CH270" s="1111"/>
      <c r="CI270" s="1111"/>
      <c r="CJ270" s="1111"/>
      <c r="CK270" s="1110"/>
    </row>
    <row r="271" spans="1:89" ht="14.4" x14ac:dyDescent="0.3">
      <c r="A271" s="1110"/>
      <c r="B271" s="1110"/>
      <c r="C271" s="1110"/>
      <c r="D271" s="1110"/>
      <c r="E271" s="1110"/>
      <c r="F271" s="1110"/>
      <c r="G271" s="1110"/>
      <c r="H271" s="1110"/>
      <c r="I271" s="1110"/>
      <c r="J271" s="1110"/>
      <c r="K271" s="1110"/>
      <c r="L271" s="1110"/>
      <c r="M271" s="1110"/>
      <c r="N271" s="1110"/>
      <c r="O271" s="1110"/>
      <c r="P271" s="1110"/>
      <c r="Q271" s="1110"/>
      <c r="R271" s="1110"/>
      <c r="S271" s="1110"/>
      <c r="T271" s="1111"/>
      <c r="U271" s="1111"/>
      <c r="V271" s="1111"/>
      <c r="W271" s="1111"/>
      <c r="X271" s="1111"/>
      <c r="Y271" s="1111"/>
      <c r="Z271" s="1111"/>
      <c r="AA271" s="1111"/>
      <c r="AB271" s="1111"/>
      <c r="AC271" s="1111"/>
      <c r="AD271" s="1111"/>
      <c r="AE271" s="1111"/>
      <c r="AF271" s="1111"/>
      <c r="AG271" s="1111"/>
      <c r="AH271" s="1111"/>
      <c r="AI271" s="1111"/>
      <c r="AJ271" s="1111"/>
      <c r="AK271" s="1111"/>
      <c r="AL271" s="1111"/>
      <c r="AM271" s="1111"/>
      <c r="AN271" s="1111"/>
      <c r="AO271" s="1111"/>
      <c r="AP271" s="1111"/>
      <c r="AQ271" s="1111"/>
      <c r="AR271" s="1111"/>
      <c r="AS271" s="1111"/>
      <c r="AT271" s="1111"/>
      <c r="AU271" s="1111"/>
      <c r="AV271" s="1111"/>
      <c r="AW271" s="1111"/>
      <c r="AX271" s="1111"/>
      <c r="AY271" s="1111"/>
      <c r="AZ271" s="1111"/>
      <c r="BA271" s="1111"/>
      <c r="BB271" s="1111"/>
      <c r="BC271" s="1111"/>
      <c r="BD271" s="1111"/>
      <c r="BE271" s="1111"/>
      <c r="BF271" s="1111"/>
      <c r="BG271" s="1111"/>
      <c r="BH271" s="1111"/>
      <c r="BI271" s="1111"/>
      <c r="BJ271" s="1111"/>
      <c r="BK271" s="1111"/>
      <c r="BL271" s="1111"/>
      <c r="BM271" s="1111"/>
      <c r="BN271" s="1111"/>
      <c r="BO271" s="1111"/>
      <c r="BP271" s="1111"/>
      <c r="BQ271" s="1111"/>
      <c r="BR271" s="1111"/>
      <c r="BS271" s="1111"/>
      <c r="BT271" s="1111"/>
      <c r="BU271" s="1111"/>
      <c r="BV271" s="1111"/>
      <c r="BW271" s="1111"/>
      <c r="BX271" s="1111"/>
      <c r="BY271" s="1111"/>
      <c r="BZ271" s="1111"/>
      <c r="CA271" s="1111"/>
      <c r="CB271" s="1111"/>
      <c r="CC271" s="1111"/>
      <c r="CD271" s="1111"/>
      <c r="CE271" s="1111"/>
      <c r="CF271" s="1111"/>
      <c r="CG271" s="1111"/>
      <c r="CH271" s="1111"/>
      <c r="CI271" s="1111"/>
      <c r="CJ271" s="1111"/>
      <c r="CK271" s="1110"/>
    </row>
    <row r="272" spans="1:89" ht="14.4" x14ac:dyDescent="0.3">
      <c r="A272" s="1110"/>
      <c r="B272" s="1110"/>
      <c r="C272" s="1110"/>
      <c r="D272" s="1110"/>
      <c r="E272" s="1110"/>
      <c r="F272" s="1110"/>
      <c r="G272" s="1110"/>
      <c r="H272" s="1110"/>
      <c r="I272" s="1110"/>
      <c r="J272" s="1110"/>
      <c r="K272" s="1110"/>
      <c r="L272" s="1110"/>
      <c r="M272" s="1110"/>
      <c r="N272" s="1110"/>
      <c r="O272" s="1110"/>
      <c r="P272" s="1110"/>
      <c r="Q272" s="1110"/>
      <c r="R272" s="1110"/>
      <c r="S272" s="1110"/>
      <c r="T272" s="1111"/>
      <c r="U272" s="1111"/>
      <c r="V272" s="1111"/>
      <c r="W272" s="1111"/>
      <c r="X272" s="1111"/>
      <c r="Y272" s="1111"/>
      <c r="Z272" s="1111"/>
      <c r="AA272" s="1111"/>
      <c r="AB272" s="1111"/>
      <c r="AC272" s="1111"/>
      <c r="AD272" s="1111"/>
      <c r="AE272" s="1111"/>
      <c r="AF272" s="1111"/>
      <c r="AG272" s="1111"/>
      <c r="AH272" s="1111"/>
      <c r="AI272" s="1111"/>
      <c r="AJ272" s="1111"/>
      <c r="AK272" s="1111"/>
      <c r="AL272" s="1111"/>
      <c r="AM272" s="1111"/>
      <c r="AN272" s="1111"/>
      <c r="AO272" s="1111"/>
      <c r="AP272" s="1111"/>
      <c r="AQ272" s="1111"/>
      <c r="AR272" s="1111"/>
      <c r="AS272" s="1111"/>
      <c r="AT272" s="1111"/>
      <c r="AU272" s="1111"/>
      <c r="AV272" s="1111"/>
      <c r="AW272" s="1111"/>
      <c r="AX272" s="1111"/>
      <c r="AY272" s="1111"/>
      <c r="AZ272" s="1111"/>
      <c r="BA272" s="1111"/>
      <c r="BB272" s="1111"/>
      <c r="BC272" s="1111"/>
      <c r="BD272" s="1111"/>
      <c r="BE272" s="1111"/>
      <c r="BF272" s="1111"/>
      <c r="BG272" s="1111"/>
      <c r="BH272" s="1111"/>
      <c r="BI272" s="1111"/>
      <c r="BJ272" s="1111"/>
      <c r="BK272" s="1111"/>
      <c r="BL272" s="1111"/>
      <c r="BM272" s="1111"/>
      <c r="BN272" s="1111"/>
      <c r="BO272" s="1111"/>
      <c r="BP272" s="1111"/>
      <c r="BQ272" s="1111"/>
      <c r="BR272" s="1111"/>
      <c r="BS272" s="1111"/>
      <c r="BT272" s="1111"/>
      <c r="BU272" s="1111"/>
      <c r="BV272" s="1111"/>
      <c r="BW272" s="1111"/>
      <c r="BX272" s="1111"/>
      <c r="BY272" s="1111"/>
      <c r="BZ272" s="1111"/>
      <c r="CA272" s="1111"/>
      <c r="CB272" s="1111"/>
      <c r="CC272" s="1111"/>
      <c r="CD272" s="1111"/>
      <c r="CE272" s="1111"/>
      <c r="CF272" s="1111"/>
      <c r="CG272" s="1111"/>
      <c r="CH272" s="1111"/>
      <c r="CI272" s="1111"/>
      <c r="CJ272" s="1111"/>
      <c r="CK272" s="1110"/>
    </row>
    <row r="273" spans="1:89" ht="14.4" x14ac:dyDescent="0.3">
      <c r="A273" s="1110"/>
      <c r="B273" s="1110"/>
      <c r="C273" s="1110"/>
      <c r="D273" s="1110"/>
      <c r="E273" s="1110"/>
      <c r="F273" s="1110"/>
      <c r="G273" s="1110"/>
      <c r="H273" s="1110"/>
      <c r="I273" s="1110"/>
      <c r="J273" s="1110"/>
      <c r="K273" s="1110"/>
      <c r="L273" s="1110"/>
      <c r="M273" s="1110"/>
      <c r="N273" s="1110"/>
      <c r="O273" s="1110"/>
      <c r="P273" s="1110"/>
      <c r="Q273" s="1110"/>
      <c r="R273" s="1110"/>
      <c r="S273" s="1110"/>
      <c r="T273" s="1111"/>
      <c r="U273" s="1111"/>
      <c r="V273" s="1111"/>
      <c r="W273" s="1111"/>
      <c r="X273" s="1111"/>
      <c r="Y273" s="1111"/>
      <c r="Z273" s="1111"/>
      <c r="AA273" s="1111"/>
      <c r="AB273" s="1111"/>
      <c r="AC273" s="1111"/>
      <c r="AD273" s="1111"/>
      <c r="AE273" s="1111"/>
      <c r="AF273" s="1111"/>
      <c r="AG273" s="1111"/>
      <c r="AH273" s="1111"/>
      <c r="AI273" s="1111"/>
      <c r="AJ273" s="1111"/>
      <c r="AK273" s="1111"/>
      <c r="AL273" s="1111"/>
      <c r="AM273" s="1111"/>
      <c r="AN273" s="1111"/>
      <c r="AO273" s="1111"/>
      <c r="AP273" s="1111"/>
      <c r="AQ273" s="1111"/>
      <c r="AR273" s="1111"/>
      <c r="AS273" s="1111"/>
      <c r="AT273" s="1111"/>
      <c r="AU273" s="1111"/>
      <c r="AV273" s="1111"/>
      <c r="AW273" s="1111"/>
      <c r="AX273" s="1111"/>
      <c r="AY273" s="1111"/>
      <c r="AZ273" s="1111"/>
      <c r="BA273" s="1111"/>
      <c r="BB273" s="1111"/>
      <c r="BC273" s="1111"/>
      <c r="BD273" s="1111"/>
      <c r="BE273" s="1111"/>
      <c r="BF273" s="1111"/>
      <c r="BG273" s="1111"/>
      <c r="BH273" s="1111"/>
      <c r="BI273" s="1111"/>
      <c r="BJ273" s="1111"/>
      <c r="BK273" s="1111"/>
      <c r="BL273" s="1111"/>
      <c r="BM273" s="1111"/>
      <c r="BN273" s="1111"/>
      <c r="BO273" s="1111"/>
      <c r="BP273" s="1111"/>
      <c r="BQ273" s="1111"/>
      <c r="BR273" s="1111"/>
      <c r="BS273" s="1111"/>
      <c r="BT273" s="1111"/>
      <c r="BU273" s="1111"/>
      <c r="BV273" s="1111"/>
      <c r="BW273" s="1111"/>
      <c r="BX273" s="1111"/>
      <c r="BY273" s="1111"/>
      <c r="BZ273" s="1111"/>
      <c r="CA273" s="1111"/>
      <c r="CB273" s="1111"/>
      <c r="CC273" s="1111"/>
      <c r="CD273" s="1111"/>
      <c r="CE273" s="1111"/>
      <c r="CF273" s="1111"/>
      <c r="CG273" s="1111"/>
      <c r="CH273" s="1111"/>
      <c r="CI273" s="1111"/>
      <c r="CJ273" s="1111"/>
      <c r="CK273" s="1110"/>
    </row>
    <row r="274" spans="1:89" ht="14.4" x14ac:dyDescent="0.3">
      <c r="A274" s="1110"/>
      <c r="B274" s="1110"/>
      <c r="C274" s="1110"/>
      <c r="D274" s="1110"/>
      <c r="E274" s="1110"/>
      <c r="F274" s="1110"/>
      <c r="G274" s="1110"/>
      <c r="H274" s="1110"/>
      <c r="I274" s="1110"/>
      <c r="J274" s="1110"/>
      <c r="K274" s="1110"/>
      <c r="L274" s="1110"/>
      <c r="M274" s="1110"/>
      <c r="N274" s="1110"/>
      <c r="O274" s="1110"/>
      <c r="P274" s="1110"/>
      <c r="Q274" s="1110"/>
      <c r="R274" s="1110"/>
      <c r="S274" s="1110"/>
      <c r="T274" s="1111"/>
      <c r="U274" s="1111"/>
      <c r="V274" s="1111"/>
      <c r="W274" s="1111"/>
      <c r="X274" s="1111"/>
      <c r="Y274" s="1111"/>
      <c r="Z274" s="1111"/>
      <c r="AA274" s="1111"/>
      <c r="AB274" s="1111"/>
      <c r="AC274" s="1111"/>
      <c r="AD274" s="1111"/>
      <c r="AE274" s="1111"/>
      <c r="AF274" s="1111"/>
      <c r="AG274" s="1111"/>
      <c r="AH274" s="1111"/>
      <c r="AI274" s="1111"/>
      <c r="AJ274" s="1111"/>
      <c r="AK274" s="1111"/>
      <c r="AL274" s="1111"/>
      <c r="AM274" s="1111"/>
      <c r="AN274" s="1111"/>
      <c r="AO274" s="1111"/>
      <c r="AP274" s="1111"/>
      <c r="AQ274" s="1111"/>
      <c r="AR274" s="1111"/>
      <c r="AS274" s="1111"/>
      <c r="AT274" s="1111"/>
      <c r="AU274" s="1111"/>
      <c r="AV274" s="1111"/>
      <c r="AW274" s="1111"/>
      <c r="AX274" s="1111"/>
      <c r="AY274" s="1111"/>
      <c r="AZ274" s="1111"/>
      <c r="BA274" s="1111"/>
      <c r="BB274" s="1111"/>
      <c r="BC274" s="1111"/>
      <c r="BD274" s="1111"/>
      <c r="BE274" s="1111"/>
      <c r="BF274" s="1111"/>
      <c r="BG274" s="1111"/>
      <c r="BH274" s="1111"/>
      <c r="BI274" s="1111"/>
      <c r="BJ274" s="1111"/>
      <c r="BK274" s="1111"/>
      <c r="BL274" s="1111"/>
      <c r="BM274" s="1111"/>
      <c r="BN274" s="1111"/>
      <c r="BO274" s="1111"/>
      <c r="BP274" s="1111"/>
      <c r="BQ274" s="1111"/>
      <c r="BR274" s="1111"/>
      <c r="BS274" s="1111"/>
      <c r="BT274" s="1111"/>
      <c r="BU274" s="1111"/>
      <c r="BV274" s="1111"/>
      <c r="BW274" s="1111"/>
      <c r="BX274" s="1111"/>
      <c r="BY274" s="1111"/>
      <c r="BZ274" s="1111"/>
      <c r="CA274" s="1111"/>
      <c r="CB274" s="1111"/>
      <c r="CC274" s="1111"/>
      <c r="CD274" s="1111"/>
      <c r="CE274" s="1111"/>
      <c r="CF274" s="1111"/>
      <c r="CG274" s="1111"/>
      <c r="CH274" s="1111"/>
      <c r="CI274" s="1111"/>
      <c r="CJ274" s="1111"/>
      <c r="CK274" s="1110"/>
    </row>
    <row r="275" spans="1:89" ht="14.4" x14ac:dyDescent="0.3">
      <c r="A275" s="1110"/>
      <c r="B275" s="1110"/>
      <c r="C275" s="1110"/>
      <c r="D275" s="1110"/>
      <c r="E275" s="1110"/>
      <c r="F275" s="1110"/>
      <c r="G275" s="1110"/>
      <c r="H275" s="1110"/>
      <c r="I275" s="1110"/>
      <c r="J275" s="1110"/>
      <c r="K275" s="1110"/>
      <c r="L275" s="1110"/>
      <c r="M275" s="1110"/>
      <c r="N275" s="1110"/>
      <c r="O275" s="1110"/>
      <c r="P275" s="1110"/>
      <c r="Q275" s="1110"/>
      <c r="R275" s="1110"/>
      <c r="S275" s="1110"/>
      <c r="T275" s="1111"/>
      <c r="U275" s="1111"/>
      <c r="V275" s="1111"/>
      <c r="W275" s="1111"/>
      <c r="X275" s="1111"/>
      <c r="Y275" s="1111"/>
      <c r="Z275" s="1111"/>
      <c r="AA275" s="1111"/>
      <c r="AB275" s="1111"/>
      <c r="AC275" s="1111"/>
      <c r="AD275" s="1111"/>
      <c r="AE275" s="1111"/>
      <c r="AF275" s="1111"/>
      <c r="AG275" s="1111"/>
      <c r="AH275" s="1111"/>
      <c r="AI275" s="1111"/>
      <c r="AJ275" s="1111"/>
      <c r="AK275" s="1111"/>
      <c r="AL275" s="1111"/>
      <c r="AM275" s="1111"/>
      <c r="AN275" s="1111"/>
      <c r="AO275" s="1111"/>
      <c r="AP275" s="1111"/>
      <c r="AQ275" s="1111"/>
      <c r="AR275" s="1111"/>
      <c r="AS275" s="1111"/>
      <c r="AT275" s="1111"/>
      <c r="AU275" s="1111"/>
      <c r="AV275" s="1111"/>
      <c r="AW275" s="1111"/>
      <c r="AX275" s="1111"/>
      <c r="AY275" s="1111"/>
      <c r="AZ275" s="1111"/>
      <c r="BA275" s="1111"/>
      <c r="BB275" s="1111"/>
      <c r="BC275" s="1111"/>
      <c r="BD275" s="1111"/>
      <c r="BE275" s="1111"/>
      <c r="BF275" s="1111"/>
      <c r="BG275" s="1111"/>
      <c r="BH275" s="1111"/>
      <c r="BI275" s="1111"/>
      <c r="BJ275" s="1111"/>
      <c r="BK275" s="1111"/>
      <c r="BL275" s="1111"/>
      <c r="BM275" s="1111"/>
      <c r="BN275" s="1111"/>
      <c r="BO275" s="1111"/>
      <c r="BP275" s="1111"/>
      <c r="BQ275" s="1111"/>
      <c r="BR275" s="1111"/>
      <c r="BS275" s="1111"/>
      <c r="BT275" s="1111"/>
      <c r="BU275" s="1111"/>
      <c r="BV275" s="1111"/>
      <c r="BW275" s="1111"/>
      <c r="BX275" s="1111"/>
      <c r="BY275" s="1111"/>
      <c r="BZ275" s="1111"/>
      <c r="CA275" s="1111"/>
      <c r="CB275" s="1111"/>
      <c r="CC275" s="1111"/>
      <c r="CD275" s="1111"/>
      <c r="CE275" s="1111"/>
      <c r="CF275" s="1111"/>
      <c r="CG275" s="1111"/>
      <c r="CH275" s="1111"/>
      <c r="CI275" s="1111"/>
      <c r="CJ275" s="1111"/>
      <c r="CK275" s="1110"/>
    </row>
    <row r="276" spans="1:89" ht="14.4" x14ac:dyDescent="0.3">
      <c r="A276" s="1110"/>
      <c r="B276" s="1110"/>
      <c r="C276" s="1110"/>
      <c r="D276" s="1110"/>
      <c r="E276" s="1110"/>
      <c r="F276" s="1110"/>
      <c r="G276" s="1110"/>
      <c r="H276" s="1110"/>
      <c r="I276" s="1110"/>
      <c r="J276" s="1110"/>
      <c r="K276" s="1110"/>
      <c r="L276" s="1110"/>
      <c r="M276" s="1110"/>
      <c r="N276" s="1110"/>
      <c r="O276" s="1110"/>
      <c r="P276" s="1110"/>
      <c r="Q276" s="1110"/>
      <c r="R276" s="1110"/>
      <c r="S276" s="1110"/>
      <c r="T276" s="1111"/>
      <c r="U276" s="1111"/>
      <c r="V276" s="1111"/>
      <c r="W276" s="1111"/>
      <c r="X276" s="1111"/>
      <c r="Y276" s="1111"/>
      <c r="Z276" s="1111"/>
      <c r="AA276" s="1111"/>
      <c r="AB276" s="1111"/>
      <c r="AC276" s="1111"/>
      <c r="AD276" s="1111"/>
      <c r="AE276" s="1111"/>
      <c r="AF276" s="1111"/>
      <c r="AG276" s="1111"/>
      <c r="AH276" s="1111"/>
      <c r="AI276" s="1111"/>
      <c r="AJ276" s="1111"/>
      <c r="AK276" s="1111"/>
      <c r="AL276" s="1111"/>
      <c r="AM276" s="1111"/>
      <c r="AN276" s="1111"/>
      <c r="AO276" s="1111"/>
      <c r="AP276" s="1111"/>
      <c r="AQ276" s="1111"/>
      <c r="AR276" s="1111"/>
      <c r="AS276" s="1111"/>
      <c r="AT276" s="1111"/>
      <c r="AU276" s="1111"/>
      <c r="AV276" s="1111"/>
      <c r="AW276" s="1111"/>
      <c r="AX276" s="1111"/>
      <c r="AY276" s="1111"/>
      <c r="AZ276" s="1111"/>
      <c r="BA276" s="1111"/>
      <c r="BB276" s="1111"/>
      <c r="BC276" s="1111"/>
      <c r="BD276" s="1111"/>
      <c r="BE276" s="1111"/>
      <c r="BF276" s="1111"/>
      <c r="BG276" s="1111"/>
      <c r="BH276" s="1111"/>
      <c r="BI276" s="1111"/>
      <c r="BJ276" s="1111"/>
      <c r="BK276" s="1111"/>
      <c r="BL276" s="1111"/>
      <c r="BM276" s="1111"/>
      <c r="BN276" s="1111"/>
      <c r="BO276" s="1111"/>
      <c r="BP276" s="1111"/>
      <c r="BQ276" s="1111"/>
      <c r="BR276" s="1111"/>
      <c r="BS276" s="1111"/>
      <c r="BT276" s="1111"/>
      <c r="BU276" s="1111"/>
      <c r="BV276" s="1111"/>
      <c r="BW276" s="1111"/>
      <c r="BX276" s="1111"/>
      <c r="BY276" s="1111"/>
      <c r="BZ276" s="1111"/>
      <c r="CA276" s="1111"/>
      <c r="CB276" s="1111"/>
      <c r="CC276" s="1111"/>
      <c r="CD276" s="1111"/>
      <c r="CE276" s="1111"/>
      <c r="CF276" s="1111"/>
      <c r="CG276" s="1111"/>
      <c r="CH276" s="1111"/>
      <c r="CI276" s="1111"/>
      <c r="CJ276" s="1111"/>
      <c r="CK276" s="1110"/>
    </row>
    <row r="277" spans="1:89" ht="14.4" x14ac:dyDescent="0.3">
      <c r="A277" s="1110"/>
      <c r="B277" s="1110"/>
      <c r="C277" s="1110"/>
      <c r="D277" s="1110"/>
      <c r="E277" s="1110"/>
      <c r="F277" s="1110"/>
      <c r="G277" s="1110"/>
      <c r="H277" s="1110"/>
      <c r="I277" s="1110"/>
      <c r="J277" s="1110"/>
      <c r="K277" s="1110"/>
      <c r="L277" s="1110"/>
      <c r="M277" s="1110"/>
      <c r="N277" s="1110"/>
      <c r="O277" s="1110"/>
      <c r="P277" s="1110"/>
      <c r="Q277" s="1110"/>
      <c r="R277" s="1110"/>
      <c r="S277" s="1110"/>
      <c r="T277" s="1111"/>
      <c r="U277" s="1111"/>
      <c r="V277" s="1111"/>
      <c r="W277" s="1111"/>
      <c r="X277" s="1111"/>
      <c r="Y277" s="1111"/>
      <c r="Z277" s="1111"/>
      <c r="AA277" s="1111"/>
      <c r="AB277" s="1111"/>
      <c r="AC277" s="1111"/>
      <c r="AD277" s="1111"/>
      <c r="AE277" s="1111"/>
      <c r="AF277" s="1111"/>
      <c r="AG277" s="1111"/>
      <c r="AH277" s="1111"/>
      <c r="AI277" s="1111"/>
      <c r="AJ277" s="1111"/>
      <c r="AK277" s="1111"/>
      <c r="AL277" s="1111"/>
      <c r="AM277" s="1111"/>
      <c r="AN277" s="1111"/>
      <c r="AO277" s="1111"/>
      <c r="AP277" s="1111"/>
      <c r="AQ277" s="1111"/>
      <c r="AR277" s="1111"/>
      <c r="AS277" s="1111"/>
      <c r="AT277" s="1111"/>
      <c r="AU277" s="1111"/>
      <c r="AV277" s="1111"/>
      <c r="AW277" s="1111"/>
      <c r="AX277" s="1111"/>
      <c r="AY277" s="1111"/>
      <c r="AZ277" s="1111"/>
      <c r="BA277" s="1111"/>
      <c r="BB277" s="1111"/>
      <c r="BC277" s="1111"/>
      <c r="BD277" s="1111"/>
      <c r="BE277" s="1111"/>
      <c r="BF277" s="1111"/>
      <c r="BG277" s="1111"/>
      <c r="BH277" s="1111"/>
      <c r="BI277" s="1111"/>
      <c r="BJ277" s="1111"/>
      <c r="BK277" s="1111"/>
      <c r="BL277" s="1111"/>
      <c r="BM277" s="1111"/>
      <c r="BN277" s="1111"/>
      <c r="BO277" s="1111"/>
      <c r="BP277" s="1111"/>
      <c r="BQ277" s="1111"/>
      <c r="BR277" s="1111"/>
      <c r="BS277" s="1111"/>
      <c r="BT277" s="1111"/>
      <c r="BU277" s="1111"/>
      <c r="BV277" s="1111"/>
      <c r="BW277" s="1111"/>
      <c r="BX277" s="1111"/>
      <c r="BY277" s="1111"/>
      <c r="BZ277" s="1111"/>
      <c r="CA277" s="1111"/>
      <c r="CB277" s="1111"/>
      <c r="CC277" s="1111"/>
      <c r="CD277" s="1111"/>
      <c r="CE277" s="1111"/>
      <c r="CF277" s="1111"/>
      <c r="CG277" s="1111"/>
      <c r="CH277" s="1111"/>
      <c r="CI277" s="1111"/>
      <c r="CJ277" s="1111"/>
      <c r="CK277" s="1110"/>
    </row>
    <row r="278" spans="1:89" ht="14.4" x14ac:dyDescent="0.3">
      <c r="A278" s="1110"/>
      <c r="B278" s="1110"/>
      <c r="C278" s="1110"/>
      <c r="D278" s="1110"/>
      <c r="E278" s="1110"/>
      <c r="F278" s="1110"/>
      <c r="G278" s="1110"/>
      <c r="H278" s="1110"/>
      <c r="I278" s="1110"/>
      <c r="J278" s="1110"/>
      <c r="K278" s="1110"/>
      <c r="L278" s="1110"/>
      <c r="M278" s="1110"/>
      <c r="N278" s="1110"/>
      <c r="O278" s="1110"/>
      <c r="P278" s="1110"/>
      <c r="Q278" s="1110"/>
      <c r="R278" s="1110"/>
      <c r="S278" s="1110"/>
      <c r="T278" s="1111"/>
      <c r="U278" s="1111"/>
      <c r="V278" s="1111"/>
      <c r="W278" s="1111"/>
      <c r="X278" s="1111"/>
      <c r="Y278" s="1111"/>
      <c r="Z278" s="1111"/>
      <c r="AA278" s="1111"/>
      <c r="AB278" s="1111"/>
      <c r="AC278" s="1111"/>
      <c r="AD278" s="1111"/>
      <c r="AE278" s="1111"/>
      <c r="AF278" s="1111"/>
      <c r="AG278" s="1111"/>
      <c r="AH278" s="1111"/>
      <c r="AI278" s="1111"/>
      <c r="AJ278" s="1111"/>
      <c r="AK278" s="1111"/>
      <c r="AL278" s="1111"/>
      <c r="AM278" s="1111"/>
      <c r="AN278" s="1111"/>
      <c r="AO278" s="1111"/>
      <c r="AP278" s="1111"/>
      <c r="AQ278" s="1111"/>
      <c r="AR278" s="1111"/>
      <c r="AS278" s="1111"/>
      <c r="AT278" s="1111"/>
      <c r="AU278" s="1111"/>
      <c r="AV278" s="1111"/>
      <c r="AW278" s="1111"/>
      <c r="AX278" s="1111"/>
      <c r="AY278" s="1111"/>
      <c r="AZ278" s="1111"/>
      <c r="BA278" s="1111"/>
      <c r="BB278" s="1111"/>
      <c r="BC278" s="1111"/>
      <c r="BD278" s="1111"/>
      <c r="BE278" s="1111"/>
      <c r="BF278" s="1111"/>
      <c r="BG278" s="1111"/>
      <c r="BH278" s="1111"/>
      <c r="BI278" s="1111"/>
      <c r="BJ278" s="1111"/>
      <c r="BK278" s="1111"/>
      <c r="BL278" s="1111"/>
      <c r="BM278" s="1111"/>
      <c r="BN278" s="1111"/>
      <c r="BO278" s="1111"/>
      <c r="BP278" s="1111"/>
      <c r="BQ278" s="1111"/>
      <c r="BR278" s="1111"/>
      <c r="BS278" s="1111"/>
      <c r="BT278" s="1111"/>
      <c r="BU278" s="1111"/>
      <c r="BV278" s="1111"/>
      <c r="BW278" s="1111"/>
      <c r="BX278" s="1111"/>
      <c r="BY278" s="1111"/>
      <c r="BZ278" s="1111"/>
      <c r="CA278" s="1111"/>
      <c r="CB278" s="1111"/>
      <c r="CC278" s="1111"/>
      <c r="CD278" s="1111"/>
      <c r="CE278" s="1111"/>
      <c r="CF278" s="1111"/>
      <c r="CG278" s="1111"/>
      <c r="CH278" s="1111"/>
      <c r="CI278" s="1111"/>
      <c r="CJ278" s="1111"/>
      <c r="CK278" s="1110"/>
    </row>
    <row r="279" spans="1:89" ht="14.4" x14ac:dyDescent="0.3">
      <c r="A279" s="1110"/>
      <c r="B279" s="1110"/>
      <c r="C279" s="1110"/>
      <c r="D279" s="1110"/>
      <c r="E279" s="1110"/>
      <c r="F279" s="1110"/>
      <c r="G279" s="1110"/>
      <c r="H279" s="1110"/>
      <c r="I279" s="1110"/>
      <c r="J279" s="1110"/>
      <c r="K279" s="1110"/>
      <c r="L279" s="1110"/>
      <c r="M279" s="1110"/>
      <c r="N279" s="1110"/>
      <c r="O279" s="1110"/>
      <c r="P279" s="1110"/>
      <c r="Q279" s="1110"/>
      <c r="R279" s="1110"/>
      <c r="S279" s="1110"/>
      <c r="T279" s="1111"/>
      <c r="U279" s="1111"/>
      <c r="V279" s="1111"/>
      <c r="W279" s="1111"/>
      <c r="X279" s="1111"/>
      <c r="Y279" s="1111"/>
      <c r="Z279" s="1111"/>
      <c r="AA279" s="1111"/>
      <c r="AB279" s="1111"/>
      <c r="AC279" s="1111"/>
      <c r="AD279" s="1111"/>
      <c r="AE279" s="1111"/>
      <c r="AF279" s="1111"/>
      <c r="AG279" s="1111"/>
      <c r="AH279" s="1111"/>
      <c r="AI279" s="1111"/>
      <c r="AJ279" s="1111"/>
      <c r="AK279" s="1111"/>
      <c r="AL279" s="1111"/>
      <c r="AM279" s="1111"/>
      <c r="AN279" s="1111"/>
      <c r="AO279" s="1111"/>
      <c r="AP279" s="1111"/>
      <c r="AQ279" s="1111"/>
      <c r="AR279" s="1111"/>
      <c r="AS279" s="1111"/>
      <c r="AT279" s="1111"/>
      <c r="AU279" s="1111"/>
      <c r="AV279" s="1111"/>
      <c r="AW279" s="1111"/>
      <c r="AX279" s="1111"/>
      <c r="AY279" s="1111"/>
      <c r="AZ279" s="1111"/>
      <c r="BA279" s="1111"/>
      <c r="BB279" s="1111"/>
      <c r="BC279" s="1111"/>
      <c r="BD279" s="1111"/>
      <c r="BE279" s="1111"/>
      <c r="BF279" s="1111"/>
      <c r="BG279" s="1111"/>
      <c r="BH279" s="1111"/>
      <c r="BI279" s="1111"/>
      <c r="BJ279" s="1111"/>
      <c r="BK279" s="1111"/>
      <c r="BL279" s="1111"/>
      <c r="BM279" s="1111"/>
      <c r="BN279" s="1111"/>
      <c r="BO279" s="1111"/>
      <c r="BP279" s="1111"/>
      <c r="BQ279" s="1111"/>
      <c r="BR279" s="1111"/>
      <c r="BS279" s="1111"/>
      <c r="BT279" s="1111"/>
      <c r="BU279" s="1111"/>
      <c r="BV279" s="1111"/>
      <c r="BW279" s="1111"/>
      <c r="BX279" s="1111"/>
      <c r="BY279" s="1111"/>
      <c r="BZ279" s="1111"/>
      <c r="CA279" s="1111"/>
      <c r="CB279" s="1111"/>
      <c r="CC279" s="1111"/>
      <c r="CD279" s="1111"/>
      <c r="CE279" s="1111"/>
      <c r="CF279" s="1111"/>
      <c r="CG279" s="1111"/>
      <c r="CH279" s="1111"/>
      <c r="CI279" s="1111"/>
      <c r="CJ279" s="1111"/>
      <c r="CK279" s="1110"/>
    </row>
    <row r="280" spans="1:89" ht="14.4" x14ac:dyDescent="0.3">
      <c r="A280" s="1110"/>
      <c r="B280" s="1110"/>
      <c r="C280" s="1110"/>
      <c r="D280" s="1110"/>
      <c r="E280" s="1110"/>
      <c r="F280" s="1110"/>
      <c r="G280" s="1110"/>
      <c r="H280" s="1110"/>
      <c r="I280" s="1110"/>
      <c r="J280" s="1110"/>
      <c r="K280" s="1110"/>
      <c r="L280" s="1110"/>
      <c r="M280" s="1110"/>
      <c r="N280" s="1110"/>
      <c r="O280" s="1110"/>
      <c r="P280" s="1110"/>
      <c r="Q280" s="1110"/>
      <c r="R280" s="1110"/>
      <c r="S280" s="1110"/>
      <c r="T280" s="1111"/>
      <c r="U280" s="1111"/>
      <c r="V280" s="1111"/>
      <c r="W280" s="1111"/>
      <c r="X280" s="1111"/>
      <c r="Y280" s="1111"/>
      <c r="Z280" s="1111"/>
      <c r="AA280" s="1111"/>
      <c r="AB280" s="1111"/>
      <c r="AC280" s="1111"/>
      <c r="AD280" s="1111"/>
      <c r="AE280" s="1111"/>
      <c r="AF280" s="1111"/>
      <c r="AG280" s="1111"/>
      <c r="AH280" s="1111"/>
      <c r="AI280" s="1111"/>
      <c r="AJ280" s="1111"/>
      <c r="AK280" s="1111"/>
      <c r="AL280" s="1111"/>
      <c r="AM280" s="1111"/>
      <c r="AN280" s="1111"/>
      <c r="AO280" s="1111"/>
      <c r="AP280" s="1111"/>
      <c r="AQ280" s="1111"/>
      <c r="AR280" s="1111"/>
      <c r="AS280" s="1111"/>
      <c r="AT280" s="1111"/>
      <c r="AU280" s="1111"/>
      <c r="AV280" s="1111"/>
      <c r="AW280" s="1111"/>
      <c r="AX280" s="1111"/>
      <c r="AY280" s="1111"/>
      <c r="AZ280" s="1111"/>
      <c r="BA280" s="1111"/>
      <c r="BB280" s="1111"/>
      <c r="BC280" s="1111"/>
      <c r="BD280" s="1111"/>
      <c r="BE280" s="1111"/>
      <c r="BF280" s="1111"/>
      <c r="BG280" s="1111"/>
      <c r="BH280" s="1111"/>
      <c r="BI280" s="1111"/>
      <c r="BJ280" s="1111"/>
      <c r="BK280" s="1111"/>
      <c r="BL280" s="1111"/>
      <c r="BM280" s="1111"/>
      <c r="BN280" s="1111"/>
      <c r="BO280" s="1111"/>
      <c r="BP280" s="1111"/>
      <c r="BQ280" s="1111"/>
      <c r="BR280" s="1111"/>
      <c r="BS280" s="1111"/>
      <c r="BT280" s="1111"/>
      <c r="BU280" s="1111"/>
      <c r="BV280" s="1111"/>
      <c r="BW280" s="1111"/>
      <c r="BX280" s="1111"/>
      <c r="BY280" s="1111"/>
      <c r="BZ280" s="1111"/>
      <c r="CA280" s="1111"/>
      <c r="CB280" s="1111"/>
      <c r="CC280" s="1111"/>
      <c r="CD280" s="1111"/>
      <c r="CE280" s="1111"/>
      <c r="CF280" s="1111"/>
      <c r="CG280" s="1111"/>
      <c r="CH280" s="1111"/>
      <c r="CI280" s="1111"/>
      <c r="CJ280" s="1111"/>
      <c r="CK280" s="1110"/>
    </row>
    <row r="281" spans="1:89" ht="14.4" x14ac:dyDescent="0.3">
      <c r="A281" s="1110"/>
      <c r="B281" s="1110"/>
      <c r="C281" s="1110"/>
      <c r="D281" s="1110"/>
      <c r="E281" s="1110"/>
      <c r="F281" s="1110"/>
      <c r="G281" s="1110"/>
      <c r="H281" s="1110"/>
      <c r="I281" s="1110"/>
      <c r="J281" s="1110"/>
      <c r="K281" s="1110"/>
      <c r="L281" s="1110"/>
      <c r="M281" s="1110"/>
      <c r="N281" s="1110"/>
      <c r="O281" s="1110"/>
      <c r="P281" s="1110"/>
      <c r="Q281" s="1110"/>
      <c r="R281" s="1110"/>
      <c r="S281" s="1110"/>
      <c r="T281" s="1111"/>
      <c r="U281" s="1111"/>
      <c r="V281" s="1111"/>
      <c r="W281" s="1111"/>
      <c r="X281" s="1111"/>
      <c r="Y281" s="1111"/>
      <c r="Z281" s="1111"/>
      <c r="AA281" s="1111"/>
      <c r="AB281" s="1111"/>
      <c r="AC281" s="1111"/>
      <c r="AD281" s="1111"/>
      <c r="AE281" s="1111"/>
      <c r="AF281" s="1111"/>
      <c r="AG281" s="1111"/>
      <c r="AH281" s="1111"/>
      <c r="AI281" s="1111"/>
      <c r="AJ281" s="1111"/>
      <c r="AK281" s="1111"/>
      <c r="AL281" s="1111"/>
      <c r="AM281" s="1111"/>
      <c r="AN281" s="1111"/>
      <c r="AO281" s="1111"/>
      <c r="AP281" s="1111"/>
      <c r="AQ281" s="1111"/>
      <c r="AR281" s="1111"/>
      <c r="AS281" s="1111"/>
      <c r="AT281" s="1111"/>
      <c r="AU281" s="1111"/>
      <c r="AV281" s="1111"/>
      <c r="AW281" s="1111"/>
      <c r="AX281" s="1111"/>
      <c r="AY281" s="1111"/>
      <c r="AZ281" s="1111"/>
      <c r="BA281" s="1111"/>
      <c r="BB281" s="1111"/>
      <c r="BC281" s="1111"/>
      <c r="BD281" s="1111"/>
      <c r="BE281" s="1111"/>
      <c r="BF281" s="1111"/>
      <c r="BG281" s="1111"/>
      <c r="BH281" s="1111"/>
      <c r="BI281" s="1111"/>
      <c r="BJ281" s="1111"/>
      <c r="BK281" s="1111"/>
      <c r="BL281" s="1111"/>
      <c r="BM281" s="1111"/>
      <c r="BN281" s="1111"/>
      <c r="BO281" s="1111"/>
      <c r="BP281" s="1111"/>
      <c r="BQ281" s="1111"/>
      <c r="BR281" s="1111"/>
      <c r="BS281" s="1111"/>
      <c r="BT281" s="1111"/>
      <c r="BU281" s="1111"/>
      <c r="BV281" s="1111"/>
      <c r="BW281" s="1111"/>
      <c r="BX281" s="1111"/>
      <c r="BY281" s="1111"/>
      <c r="BZ281" s="1111"/>
      <c r="CA281" s="1111"/>
      <c r="CB281" s="1111"/>
      <c r="CC281" s="1111"/>
      <c r="CD281" s="1111"/>
      <c r="CE281" s="1111"/>
      <c r="CF281" s="1111"/>
      <c r="CG281" s="1111"/>
      <c r="CH281" s="1111"/>
      <c r="CI281" s="1111"/>
      <c r="CJ281" s="1111"/>
      <c r="CK281" s="1110"/>
    </row>
    <row r="282" spans="1:89" ht="14.4" x14ac:dyDescent="0.3">
      <c r="A282" s="1110"/>
      <c r="B282" s="1110"/>
      <c r="C282" s="1110"/>
      <c r="D282" s="1110"/>
      <c r="E282" s="1110"/>
      <c r="F282" s="1110"/>
      <c r="G282" s="1110"/>
      <c r="H282" s="1110"/>
      <c r="I282" s="1110"/>
      <c r="J282" s="1110"/>
      <c r="K282" s="1110"/>
      <c r="L282" s="1110"/>
      <c r="M282" s="1110"/>
      <c r="N282" s="1110"/>
      <c r="O282" s="1110"/>
      <c r="P282" s="1110"/>
      <c r="Q282" s="1110"/>
      <c r="R282" s="1110"/>
      <c r="S282" s="1110"/>
      <c r="T282" s="1111"/>
      <c r="U282" s="1111"/>
      <c r="V282" s="1111"/>
      <c r="W282" s="1111"/>
      <c r="X282" s="1111"/>
      <c r="Y282" s="1111"/>
      <c r="Z282" s="1111"/>
      <c r="AA282" s="1111"/>
      <c r="AB282" s="1111"/>
      <c r="AC282" s="1111"/>
      <c r="AD282" s="1111"/>
      <c r="AE282" s="1111"/>
      <c r="AF282" s="1111"/>
      <c r="AG282" s="1111"/>
      <c r="AH282" s="1111"/>
      <c r="AI282" s="1111"/>
      <c r="AJ282" s="1111"/>
      <c r="AK282" s="1111"/>
      <c r="AL282" s="1111"/>
      <c r="AM282" s="1111"/>
      <c r="AN282" s="1111"/>
      <c r="AO282" s="1111"/>
      <c r="AP282" s="1111"/>
      <c r="AQ282" s="1111"/>
      <c r="AR282" s="1111"/>
      <c r="AS282" s="1111"/>
      <c r="AT282" s="1111"/>
      <c r="AU282" s="1111"/>
      <c r="AV282" s="1111"/>
      <c r="AW282" s="1111"/>
      <c r="AX282" s="1111"/>
      <c r="AY282" s="1111"/>
      <c r="AZ282" s="1111"/>
      <c r="BA282" s="1111"/>
      <c r="BB282" s="1111"/>
      <c r="BC282" s="1111"/>
      <c r="BD282" s="1111"/>
      <c r="BE282" s="1111"/>
      <c r="BF282" s="1111"/>
      <c r="BG282" s="1111"/>
      <c r="BH282" s="1111"/>
      <c r="BI282" s="1111"/>
      <c r="BJ282" s="1111"/>
      <c r="BK282" s="1111"/>
      <c r="BL282" s="1111"/>
      <c r="BM282" s="1111"/>
      <c r="BN282" s="1111"/>
      <c r="BO282" s="1111"/>
      <c r="BP282" s="1111"/>
      <c r="BQ282" s="1111"/>
      <c r="BR282" s="1111"/>
      <c r="BS282" s="1111"/>
      <c r="BT282" s="1111"/>
      <c r="BU282" s="1111"/>
      <c r="BV282" s="1111"/>
      <c r="BW282" s="1111"/>
      <c r="BX282" s="1111"/>
      <c r="BY282" s="1111"/>
      <c r="BZ282" s="1111"/>
      <c r="CA282" s="1111"/>
      <c r="CB282" s="1111"/>
      <c r="CC282" s="1111"/>
      <c r="CD282" s="1111"/>
      <c r="CE282" s="1111"/>
      <c r="CF282" s="1111"/>
      <c r="CG282" s="1111"/>
      <c r="CH282" s="1111"/>
      <c r="CI282" s="1111"/>
      <c r="CJ282" s="1111"/>
      <c r="CK282" s="1110"/>
    </row>
    <row r="283" spans="1:89" ht="14.4" x14ac:dyDescent="0.3">
      <c r="A283" s="1110"/>
      <c r="B283" s="1110"/>
      <c r="C283" s="1110"/>
      <c r="D283" s="1110"/>
      <c r="E283" s="1110"/>
      <c r="F283" s="1110"/>
      <c r="G283" s="1110"/>
      <c r="H283" s="1110"/>
      <c r="I283" s="1110"/>
      <c r="J283" s="1110"/>
      <c r="K283" s="1110"/>
      <c r="L283" s="1110"/>
      <c r="M283" s="1110"/>
      <c r="N283" s="1110"/>
      <c r="O283" s="1110"/>
      <c r="P283" s="1110"/>
      <c r="Q283" s="1110"/>
      <c r="R283" s="1110"/>
      <c r="S283" s="1110"/>
      <c r="T283" s="1111"/>
      <c r="U283" s="1111"/>
      <c r="V283" s="1111"/>
      <c r="W283" s="1111"/>
      <c r="X283" s="1111"/>
      <c r="Y283" s="1111"/>
      <c r="Z283" s="1111"/>
      <c r="AA283" s="1111"/>
      <c r="AB283" s="1111"/>
      <c r="AC283" s="1111"/>
      <c r="AD283" s="1111"/>
      <c r="AE283" s="1111"/>
      <c r="AF283" s="1111"/>
      <c r="AG283" s="1111"/>
      <c r="AH283" s="1111"/>
      <c r="AI283" s="1111"/>
      <c r="AJ283" s="1111"/>
      <c r="AK283" s="1111"/>
      <c r="AL283" s="1111"/>
      <c r="AM283" s="1111"/>
      <c r="AN283" s="1111"/>
      <c r="AO283" s="1111"/>
      <c r="AP283" s="1111"/>
      <c r="AQ283" s="1111"/>
      <c r="AR283" s="1111"/>
      <c r="AS283" s="1111"/>
      <c r="AT283" s="1111"/>
      <c r="AU283" s="1111"/>
      <c r="AV283" s="1111"/>
      <c r="AW283" s="1111"/>
      <c r="AX283" s="1111"/>
      <c r="AY283" s="1111"/>
      <c r="AZ283" s="1111"/>
      <c r="BA283" s="1111"/>
      <c r="BB283" s="1111"/>
      <c r="BC283" s="1111"/>
      <c r="BD283" s="1111"/>
      <c r="BE283" s="1111"/>
      <c r="BF283" s="1111"/>
      <c r="BG283" s="1111"/>
      <c r="BH283" s="1111"/>
      <c r="BI283" s="1111"/>
      <c r="BJ283" s="1111"/>
      <c r="BK283" s="1111"/>
      <c r="BL283" s="1111"/>
      <c r="BM283" s="1111"/>
      <c r="BN283" s="1111"/>
      <c r="BO283" s="1111"/>
      <c r="BP283" s="1111"/>
      <c r="BQ283" s="1111"/>
      <c r="BR283" s="1111"/>
      <c r="BS283" s="1111"/>
      <c r="BT283" s="1111"/>
      <c r="BU283" s="1111"/>
      <c r="BV283" s="1111"/>
      <c r="BW283" s="1111"/>
      <c r="BX283" s="1111"/>
      <c r="BY283" s="1111"/>
      <c r="BZ283" s="1111"/>
      <c r="CA283" s="1111"/>
      <c r="CB283" s="1111"/>
      <c r="CC283" s="1111"/>
      <c r="CD283" s="1111"/>
      <c r="CE283" s="1111"/>
      <c r="CF283" s="1111"/>
      <c r="CG283" s="1111"/>
      <c r="CH283" s="1111"/>
      <c r="CI283" s="1111"/>
      <c r="CJ283" s="1111"/>
      <c r="CK283" s="1110"/>
    </row>
    <row r="284" spans="1:89" ht="14.4" x14ac:dyDescent="0.3">
      <c r="A284" s="1110"/>
      <c r="B284" s="1110"/>
      <c r="C284" s="1110"/>
      <c r="D284" s="1110"/>
      <c r="E284" s="1110"/>
      <c r="F284" s="1110"/>
      <c r="G284" s="1110"/>
      <c r="H284" s="1110"/>
      <c r="I284" s="1110"/>
      <c r="J284" s="1110"/>
      <c r="K284" s="1110"/>
      <c r="L284" s="1110"/>
      <c r="M284" s="1110"/>
      <c r="N284" s="1110"/>
      <c r="O284" s="1110"/>
      <c r="P284" s="1110"/>
      <c r="Q284" s="1110"/>
      <c r="R284" s="1110"/>
      <c r="S284" s="1110"/>
      <c r="T284" s="1111"/>
      <c r="U284" s="1111"/>
      <c r="V284" s="1111"/>
      <c r="W284" s="1111"/>
      <c r="X284" s="1111"/>
      <c r="Y284" s="1111"/>
      <c r="Z284" s="1111"/>
      <c r="AA284" s="1111"/>
      <c r="AB284" s="1111"/>
      <c r="AC284" s="1111"/>
      <c r="AD284" s="1111"/>
      <c r="AE284" s="1111"/>
      <c r="AF284" s="1111"/>
      <c r="AG284" s="1111"/>
      <c r="AH284" s="1111"/>
      <c r="AI284" s="1111"/>
      <c r="AJ284" s="1111"/>
      <c r="AK284" s="1111"/>
      <c r="AL284" s="1111"/>
      <c r="AM284" s="1111"/>
      <c r="AN284" s="1111"/>
      <c r="AO284" s="1111"/>
      <c r="AP284" s="1111"/>
      <c r="AQ284" s="1111"/>
      <c r="AR284" s="1111"/>
      <c r="AS284" s="1111"/>
      <c r="AT284" s="1111"/>
      <c r="AU284" s="1111"/>
      <c r="AV284" s="1111"/>
      <c r="AW284" s="1111"/>
      <c r="AX284" s="1111"/>
      <c r="AY284" s="1111"/>
      <c r="AZ284" s="1111"/>
      <c r="BA284" s="1111"/>
      <c r="BB284" s="1111"/>
      <c r="BC284" s="1111"/>
      <c r="BD284" s="1111"/>
      <c r="BE284" s="1111"/>
      <c r="BF284" s="1111"/>
      <c r="BG284" s="1111"/>
      <c r="BH284" s="1111"/>
      <c r="BI284" s="1111"/>
      <c r="BJ284" s="1111"/>
      <c r="BK284" s="1111"/>
      <c r="BL284" s="1111"/>
      <c r="BM284" s="1111"/>
      <c r="BN284" s="1111"/>
      <c r="BO284" s="1111"/>
      <c r="BP284" s="1111"/>
      <c r="BQ284" s="1111"/>
      <c r="BR284" s="1111"/>
      <c r="BS284" s="1111"/>
      <c r="BT284" s="1111"/>
      <c r="BU284" s="1111"/>
      <c r="BV284" s="1111"/>
      <c r="BW284" s="1111"/>
      <c r="BX284" s="1111"/>
      <c r="BY284" s="1111"/>
      <c r="BZ284" s="1111"/>
      <c r="CA284" s="1111"/>
      <c r="CB284" s="1111"/>
      <c r="CC284" s="1111"/>
      <c r="CD284" s="1111"/>
      <c r="CE284" s="1111"/>
      <c r="CF284" s="1111"/>
      <c r="CG284" s="1111"/>
      <c r="CH284" s="1111"/>
      <c r="CI284" s="1111"/>
      <c r="CJ284" s="1111"/>
      <c r="CK284" s="1110"/>
    </row>
    <row r="285" spans="1:89" ht="14.4" x14ac:dyDescent="0.3">
      <c r="A285" s="1110"/>
      <c r="B285" s="1110"/>
      <c r="C285" s="1110"/>
      <c r="D285" s="1110"/>
      <c r="E285" s="1110"/>
      <c r="F285" s="1110"/>
      <c r="G285" s="1110"/>
      <c r="H285" s="1110"/>
      <c r="I285" s="1110"/>
      <c r="J285" s="1110"/>
      <c r="K285" s="1110"/>
      <c r="L285" s="1110"/>
      <c r="M285" s="1110"/>
      <c r="N285" s="1110"/>
      <c r="O285" s="1110"/>
      <c r="P285" s="1110"/>
      <c r="Q285" s="1110"/>
      <c r="R285" s="1110"/>
      <c r="S285" s="1110"/>
      <c r="T285" s="1111"/>
      <c r="U285" s="1111"/>
      <c r="V285" s="1111"/>
      <c r="W285" s="1111"/>
      <c r="X285" s="1111"/>
      <c r="Y285" s="1111"/>
      <c r="Z285" s="1111"/>
      <c r="AA285" s="1111"/>
      <c r="AB285" s="1111"/>
      <c r="AC285" s="1111"/>
      <c r="AD285" s="1111"/>
      <c r="AE285" s="1111"/>
      <c r="AF285" s="1111"/>
      <c r="AG285" s="1111"/>
      <c r="AH285" s="1111"/>
      <c r="AI285" s="1111"/>
      <c r="AJ285" s="1111"/>
      <c r="AK285" s="1111"/>
      <c r="AL285" s="1111"/>
      <c r="AM285" s="1111"/>
      <c r="AN285" s="1111"/>
      <c r="AO285" s="1111"/>
      <c r="AP285" s="1111"/>
      <c r="AQ285" s="1111"/>
      <c r="AR285" s="1111"/>
      <c r="AS285" s="1111"/>
      <c r="AT285" s="1111"/>
      <c r="AU285" s="1111"/>
      <c r="AV285" s="1111"/>
      <c r="AW285" s="1111"/>
      <c r="AX285" s="1111"/>
      <c r="AY285" s="1111"/>
      <c r="AZ285" s="1111"/>
      <c r="BA285" s="1111"/>
      <c r="BB285" s="1111"/>
      <c r="BC285" s="1111"/>
      <c r="BD285" s="1111"/>
      <c r="BE285" s="1111"/>
      <c r="BF285" s="1111"/>
      <c r="BG285" s="1111"/>
      <c r="BH285" s="1111"/>
      <c r="BI285" s="1111"/>
      <c r="BJ285" s="1111"/>
      <c r="BK285" s="1111"/>
      <c r="BL285" s="1111"/>
      <c r="BM285" s="1111"/>
      <c r="BN285" s="1111"/>
      <c r="BO285" s="1111"/>
      <c r="BP285" s="1111"/>
      <c r="BQ285" s="1111"/>
      <c r="BR285" s="1111"/>
      <c r="BS285" s="1111"/>
      <c r="BT285" s="1111"/>
      <c r="BU285" s="1111"/>
      <c r="BV285" s="1111"/>
      <c r="BW285" s="1111"/>
      <c r="BX285" s="1111"/>
      <c r="BY285" s="1111"/>
      <c r="BZ285" s="1111"/>
      <c r="CA285" s="1111"/>
      <c r="CB285" s="1111"/>
      <c r="CC285" s="1111"/>
      <c r="CD285" s="1111"/>
      <c r="CE285" s="1111"/>
      <c r="CF285" s="1111"/>
      <c r="CG285" s="1111"/>
      <c r="CH285" s="1111"/>
      <c r="CI285" s="1111"/>
      <c r="CJ285" s="1111"/>
      <c r="CK285" s="1110"/>
    </row>
    <row r="286" spans="1:89" ht="14.4" x14ac:dyDescent="0.3">
      <c r="A286" s="1110"/>
      <c r="B286" s="1110"/>
      <c r="C286" s="1110"/>
      <c r="D286" s="1110"/>
      <c r="E286" s="1110"/>
      <c r="F286" s="1110"/>
      <c r="G286" s="1110"/>
      <c r="H286" s="1110"/>
      <c r="I286" s="1110"/>
      <c r="J286" s="1110"/>
      <c r="K286" s="1110"/>
      <c r="L286" s="1110"/>
      <c r="M286" s="1110"/>
      <c r="N286" s="1110"/>
      <c r="O286" s="1110"/>
      <c r="P286" s="1110"/>
      <c r="Q286" s="1110"/>
      <c r="R286" s="1110"/>
      <c r="S286" s="1110"/>
      <c r="T286" s="1111"/>
      <c r="U286" s="1111"/>
      <c r="V286" s="1111"/>
      <c r="W286" s="1111"/>
      <c r="X286" s="1111"/>
      <c r="Y286" s="1111"/>
      <c r="Z286" s="1111"/>
      <c r="AA286" s="1111"/>
      <c r="AB286" s="1111"/>
      <c r="AC286" s="1111"/>
      <c r="AD286" s="1111"/>
      <c r="AE286" s="1111"/>
      <c r="AF286" s="1111"/>
      <c r="AG286" s="1111"/>
      <c r="AH286" s="1111"/>
      <c r="AI286" s="1111"/>
      <c r="AJ286" s="1111"/>
      <c r="AK286" s="1111"/>
      <c r="AL286" s="1111"/>
      <c r="AM286" s="1111"/>
      <c r="AN286" s="1111"/>
      <c r="AO286" s="1111"/>
      <c r="AP286" s="1111"/>
      <c r="AQ286" s="1111"/>
      <c r="AR286" s="1111"/>
      <c r="AS286" s="1111"/>
      <c r="AT286" s="1111"/>
      <c r="AU286" s="1111"/>
      <c r="AV286" s="1111"/>
      <c r="AW286" s="1111"/>
      <c r="AX286" s="1111"/>
      <c r="AY286" s="1111"/>
      <c r="AZ286" s="1111"/>
      <c r="BA286" s="1111"/>
      <c r="BB286" s="1111"/>
      <c r="BC286" s="1111"/>
      <c r="BD286" s="1111"/>
      <c r="BE286" s="1111"/>
      <c r="BF286" s="1111"/>
      <c r="BG286" s="1111"/>
      <c r="BH286" s="1111"/>
      <c r="BI286" s="1111"/>
      <c r="BJ286" s="1111"/>
      <c r="BK286" s="1111"/>
      <c r="BL286" s="1111"/>
      <c r="BM286" s="1111"/>
      <c r="BN286" s="1111"/>
      <c r="BO286" s="1111"/>
      <c r="BP286" s="1111"/>
      <c r="BQ286" s="1111"/>
      <c r="BR286" s="1111"/>
      <c r="BS286" s="1111"/>
      <c r="BT286" s="1111"/>
      <c r="BU286" s="1111"/>
      <c r="BV286" s="1111"/>
      <c r="BW286" s="1111"/>
      <c r="BX286" s="1111"/>
      <c r="BY286" s="1111"/>
      <c r="BZ286" s="1111"/>
      <c r="CA286" s="1111"/>
      <c r="CB286" s="1111"/>
      <c r="CC286" s="1111"/>
      <c r="CD286" s="1111"/>
      <c r="CE286" s="1111"/>
      <c r="CF286" s="1111"/>
      <c r="CG286" s="1111"/>
      <c r="CH286" s="1111"/>
      <c r="CI286" s="1111"/>
      <c r="CJ286" s="1111"/>
      <c r="CK286" s="1110"/>
    </row>
    <row r="287" spans="1:89" ht="14.4" x14ac:dyDescent="0.3">
      <c r="A287" s="1110"/>
      <c r="B287" s="1110"/>
      <c r="C287" s="1110"/>
      <c r="D287" s="1110"/>
      <c r="E287" s="1110"/>
      <c r="F287" s="1110"/>
      <c r="G287" s="1110"/>
      <c r="H287" s="1110"/>
      <c r="I287" s="1110"/>
      <c r="J287" s="1110"/>
      <c r="K287" s="1110"/>
      <c r="L287" s="1110"/>
      <c r="M287" s="1110"/>
      <c r="N287" s="1110"/>
      <c r="O287" s="1110"/>
      <c r="P287" s="1110"/>
      <c r="Q287" s="1110"/>
      <c r="R287" s="1110"/>
      <c r="S287" s="1110"/>
      <c r="T287" s="1111"/>
      <c r="U287" s="1111"/>
      <c r="V287" s="1111"/>
      <c r="W287" s="1111"/>
      <c r="X287" s="1111"/>
      <c r="Y287" s="1111"/>
      <c r="Z287" s="1111"/>
      <c r="AA287" s="1111"/>
      <c r="AB287" s="1111"/>
      <c r="AC287" s="1111"/>
      <c r="AD287" s="1111"/>
      <c r="AE287" s="1111"/>
      <c r="AF287" s="1111"/>
      <c r="AG287" s="1111"/>
      <c r="AH287" s="1111"/>
      <c r="AI287" s="1111"/>
      <c r="AJ287" s="1111"/>
      <c r="AK287" s="1111"/>
      <c r="AL287" s="1111"/>
      <c r="AM287" s="1111"/>
      <c r="AN287" s="1111"/>
      <c r="AO287" s="1111"/>
      <c r="AP287" s="1111"/>
      <c r="AQ287" s="1111"/>
      <c r="AR287" s="1111"/>
      <c r="AS287" s="1111"/>
      <c r="AT287" s="1111"/>
      <c r="AU287" s="1111"/>
      <c r="AV287" s="1111"/>
      <c r="AW287" s="1111"/>
      <c r="AX287" s="1111"/>
      <c r="AY287" s="1111"/>
      <c r="AZ287" s="1111"/>
      <c r="BA287" s="1111"/>
      <c r="BB287" s="1111"/>
      <c r="BC287" s="1111"/>
      <c r="BD287" s="1111"/>
      <c r="BE287" s="1111"/>
      <c r="BF287" s="1111"/>
      <c r="BG287" s="1111"/>
      <c r="BH287" s="1111"/>
      <c r="BI287" s="1111"/>
      <c r="BJ287" s="1111"/>
      <c r="BK287" s="1111"/>
      <c r="BL287" s="1111"/>
      <c r="BM287" s="1111"/>
      <c r="BN287" s="1111"/>
      <c r="BO287" s="1111"/>
      <c r="BP287" s="1111"/>
      <c r="BQ287" s="1111"/>
      <c r="BR287" s="1111"/>
      <c r="BS287" s="1111"/>
      <c r="BT287" s="1111"/>
      <c r="BU287" s="1111"/>
      <c r="BV287" s="1111"/>
      <c r="BW287" s="1111"/>
      <c r="BX287" s="1111"/>
      <c r="BY287" s="1111"/>
      <c r="BZ287" s="1111"/>
      <c r="CA287" s="1111"/>
      <c r="CB287" s="1111"/>
      <c r="CC287" s="1111"/>
      <c r="CD287" s="1111"/>
      <c r="CE287" s="1111"/>
      <c r="CF287" s="1111"/>
      <c r="CG287" s="1111"/>
      <c r="CH287" s="1111"/>
      <c r="CI287" s="1111"/>
      <c r="CJ287" s="1111"/>
      <c r="CK287" s="1110"/>
    </row>
    <row r="288" spans="1:89" ht="14.4" x14ac:dyDescent="0.3">
      <c r="A288" s="1110"/>
      <c r="B288" s="1110"/>
      <c r="C288" s="1110"/>
      <c r="D288" s="1110"/>
      <c r="E288" s="1110"/>
      <c r="F288" s="1110"/>
      <c r="G288" s="1110"/>
      <c r="H288" s="1110"/>
      <c r="I288" s="1110"/>
      <c r="J288" s="1110"/>
      <c r="K288" s="1110"/>
      <c r="L288" s="1110"/>
      <c r="M288" s="1110"/>
      <c r="N288" s="1110"/>
      <c r="O288" s="1110"/>
      <c r="P288" s="1110"/>
      <c r="Q288" s="1110"/>
      <c r="R288" s="1110"/>
      <c r="S288" s="1110"/>
      <c r="T288" s="1111"/>
      <c r="U288" s="1111"/>
      <c r="V288" s="1111"/>
      <c r="W288" s="1111"/>
      <c r="X288" s="1111"/>
      <c r="Y288" s="1111"/>
      <c r="Z288" s="1111"/>
      <c r="AA288" s="1111"/>
      <c r="AB288" s="1111"/>
      <c r="AC288" s="1111"/>
      <c r="AD288" s="1111"/>
      <c r="AE288" s="1111"/>
      <c r="AF288" s="1111"/>
      <c r="AG288" s="1111"/>
      <c r="AH288" s="1111"/>
      <c r="AI288" s="1111"/>
      <c r="AJ288" s="1111"/>
      <c r="AK288" s="1111"/>
      <c r="AL288" s="1111"/>
      <c r="AM288" s="1111"/>
      <c r="AN288" s="1111"/>
      <c r="AO288" s="1111"/>
      <c r="AP288" s="1111"/>
      <c r="AQ288" s="1111"/>
      <c r="AR288" s="1111"/>
      <c r="AS288" s="1111"/>
      <c r="AT288" s="1111"/>
      <c r="AU288" s="1111"/>
      <c r="AV288" s="1111"/>
      <c r="AW288" s="1111"/>
      <c r="AX288" s="1111"/>
      <c r="AY288" s="1111"/>
      <c r="AZ288" s="1111"/>
      <c r="BA288" s="1111"/>
      <c r="BB288" s="1111"/>
      <c r="BC288" s="1111"/>
      <c r="BD288" s="1111"/>
      <c r="BE288" s="1111"/>
      <c r="BF288" s="1111"/>
      <c r="BG288" s="1111"/>
      <c r="BH288" s="1111"/>
      <c r="BI288" s="1111"/>
      <c r="BJ288" s="1111"/>
      <c r="BK288" s="1111"/>
      <c r="BL288" s="1111"/>
      <c r="BM288" s="1111"/>
      <c r="BN288" s="1111"/>
      <c r="BO288" s="1111"/>
      <c r="BP288" s="1111"/>
      <c r="BQ288" s="1111"/>
      <c r="BR288" s="1111"/>
      <c r="BS288" s="1111"/>
      <c r="BT288" s="1111"/>
      <c r="BU288" s="1111"/>
      <c r="BV288" s="1111"/>
      <c r="BW288" s="1111"/>
      <c r="BX288" s="1111"/>
      <c r="BY288" s="1111"/>
      <c r="BZ288" s="1111"/>
      <c r="CA288" s="1111"/>
      <c r="CB288" s="1111"/>
      <c r="CC288" s="1111"/>
      <c r="CD288" s="1111"/>
      <c r="CE288" s="1111"/>
      <c r="CF288" s="1111"/>
      <c r="CG288" s="1111"/>
      <c r="CH288" s="1111"/>
      <c r="CI288" s="1111"/>
      <c r="CJ288" s="1111"/>
      <c r="CK288" s="1110"/>
    </row>
    <row r="289" spans="1:89" ht="14.4" x14ac:dyDescent="0.3">
      <c r="A289" s="1110"/>
      <c r="B289" s="1110"/>
      <c r="C289" s="1110"/>
      <c r="D289" s="1110"/>
      <c r="E289" s="1110"/>
      <c r="F289" s="1110"/>
      <c r="G289" s="1110"/>
      <c r="H289" s="1110"/>
      <c r="I289" s="1110"/>
      <c r="J289" s="1110"/>
      <c r="K289" s="1110"/>
      <c r="L289" s="1110"/>
      <c r="M289" s="1110"/>
      <c r="N289" s="1110"/>
      <c r="O289" s="1110"/>
      <c r="P289" s="1110"/>
      <c r="Q289" s="1110"/>
      <c r="R289" s="1110"/>
      <c r="S289" s="1110"/>
      <c r="T289" s="1111"/>
      <c r="U289" s="1111"/>
      <c r="V289" s="1111"/>
      <c r="W289" s="1111"/>
      <c r="X289" s="1111"/>
      <c r="Y289" s="1111"/>
      <c r="Z289" s="1111"/>
      <c r="AA289" s="1111"/>
      <c r="AB289" s="1111"/>
      <c r="AC289" s="1111"/>
      <c r="AD289" s="1111"/>
      <c r="AE289" s="1111"/>
      <c r="AF289" s="1111"/>
      <c r="AG289" s="1111"/>
      <c r="AH289" s="1111"/>
      <c r="AI289" s="1111"/>
      <c r="AJ289" s="1111"/>
      <c r="AK289" s="1111"/>
      <c r="AL289" s="1111"/>
      <c r="AM289" s="1111"/>
      <c r="AN289" s="1111"/>
      <c r="AO289" s="1111"/>
      <c r="AP289" s="1111"/>
      <c r="AQ289" s="1111"/>
      <c r="AR289" s="1111"/>
      <c r="AS289" s="1111"/>
      <c r="AT289" s="1111"/>
      <c r="AU289" s="1111"/>
      <c r="AV289" s="1111"/>
      <c r="AW289" s="1111"/>
      <c r="AX289" s="1111"/>
      <c r="AY289" s="1111"/>
      <c r="AZ289" s="1111"/>
      <c r="BA289" s="1111"/>
      <c r="BB289" s="1111"/>
      <c r="BC289" s="1111"/>
      <c r="BD289" s="1111"/>
      <c r="BE289" s="1111"/>
      <c r="BF289" s="1111"/>
      <c r="BG289" s="1111"/>
      <c r="BH289" s="1111"/>
      <c r="BI289" s="1111"/>
      <c r="BJ289" s="1111"/>
      <c r="BK289" s="1111"/>
      <c r="BL289" s="1111"/>
      <c r="BM289" s="1111"/>
      <c r="BN289" s="1111"/>
      <c r="BO289" s="1111"/>
      <c r="BP289" s="1111"/>
      <c r="BQ289" s="1111"/>
      <c r="BR289" s="1111"/>
      <c r="BS289" s="1111"/>
      <c r="BT289" s="1111"/>
      <c r="BU289" s="1111"/>
      <c r="BV289" s="1111"/>
      <c r="BW289" s="1111"/>
      <c r="BX289" s="1111"/>
      <c r="BY289" s="1111"/>
      <c r="BZ289" s="1111"/>
      <c r="CA289" s="1111"/>
      <c r="CB289" s="1111"/>
      <c r="CC289" s="1111"/>
      <c r="CD289" s="1111"/>
      <c r="CE289" s="1111"/>
      <c r="CF289" s="1111"/>
      <c r="CG289" s="1111"/>
      <c r="CH289" s="1111"/>
      <c r="CI289" s="1111"/>
      <c r="CJ289" s="1111"/>
      <c r="CK289" s="1110"/>
    </row>
    <row r="290" spans="1:89" ht="14.4" x14ac:dyDescent="0.3">
      <c r="A290" s="1110"/>
      <c r="B290" s="1110"/>
      <c r="C290" s="1110"/>
      <c r="D290" s="1110"/>
      <c r="E290" s="1110"/>
      <c r="F290" s="1110"/>
      <c r="G290" s="1110"/>
      <c r="H290" s="1110"/>
      <c r="I290" s="1110"/>
      <c r="J290" s="1110"/>
      <c r="K290" s="1110"/>
      <c r="L290" s="1110"/>
      <c r="M290" s="1110"/>
      <c r="N290" s="1110"/>
      <c r="O290" s="1110"/>
      <c r="P290" s="1110"/>
      <c r="Q290" s="1110"/>
      <c r="R290" s="1110"/>
      <c r="S290" s="1110"/>
      <c r="T290" s="1111"/>
      <c r="U290" s="1111"/>
      <c r="V290" s="1111"/>
      <c r="W290" s="1111"/>
      <c r="X290" s="1111"/>
      <c r="Y290" s="1111"/>
      <c r="Z290" s="1111"/>
      <c r="AA290" s="1111"/>
      <c r="AB290" s="1111"/>
      <c r="AC290" s="1111"/>
      <c r="AD290" s="1111"/>
      <c r="AE290" s="1111"/>
      <c r="AF290" s="1111"/>
      <c r="AG290" s="1111"/>
      <c r="AH290" s="1111"/>
      <c r="AI290" s="1111"/>
      <c r="AJ290" s="1111"/>
      <c r="AK290" s="1111"/>
      <c r="AL290" s="1111"/>
      <c r="AM290" s="1111"/>
      <c r="AN290" s="1111"/>
      <c r="AO290" s="1111"/>
      <c r="AP290" s="1111"/>
      <c r="AQ290" s="1111"/>
      <c r="AR290" s="1111"/>
      <c r="AS290" s="1111"/>
      <c r="AT290" s="1111"/>
      <c r="AU290" s="1111"/>
      <c r="AV290" s="1111"/>
      <c r="AW290" s="1111"/>
      <c r="AX290" s="1111"/>
      <c r="AY290" s="1111"/>
      <c r="AZ290" s="1111"/>
      <c r="BA290" s="1111"/>
      <c r="BB290" s="1111"/>
      <c r="BC290" s="1111"/>
      <c r="BD290" s="1111"/>
      <c r="BE290" s="1111"/>
      <c r="BF290" s="1111"/>
      <c r="BG290" s="1111"/>
      <c r="BH290" s="1111"/>
      <c r="BI290" s="1111"/>
      <c r="BJ290" s="1111"/>
      <c r="BK290" s="1111"/>
      <c r="BL290" s="1111"/>
      <c r="BM290" s="1111"/>
      <c r="BN290" s="1111"/>
      <c r="BO290" s="1111"/>
      <c r="BP290" s="1111"/>
      <c r="BQ290" s="1111"/>
      <c r="BR290" s="1111"/>
      <c r="BS290" s="1111"/>
      <c r="BT290" s="1111"/>
      <c r="BU290" s="1111"/>
      <c r="BV290" s="1111"/>
      <c r="BW290" s="1111"/>
      <c r="BX290" s="1111"/>
      <c r="BY290" s="1111"/>
      <c r="BZ290" s="1111"/>
      <c r="CA290" s="1111"/>
      <c r="CB290" s="1111"/>
      <c r="CC290" s="1111"/>
      <c r="CD290" s="1111"/>
      <c r="CE290" s="1111"/>
      <c r="CF290" s="1111"/>
      <c r="CG290" s="1111"/>
      <c r="CH290" s="1111"/>
      <c r="CI290" s="1111"/>
      <c r="CJ290" s="1111"/>
      <c r="CK290" s="1110"/>
    </row>
    <row r="291" spans="1:89" ht="14.4" x14ac:dyDescent="0.3">
      <c r="A291" s="1110"/>
      <c r="B291" s="1110"/>
      <c r="C291" s="1110"/>
      <c r="D291" s="1110"/>
      <c r="E291" s="1110"/>
      <c r="F291" s="1110"/>
      <c r="G291" s="1110"/>
      <c r="H291" s="1110"/>
      <c r="I291" s="1110"/>
      <c r="J291" s="1110"/>
      <c r="K291" s="1110"/>
      <c r="L291" s="1110"/>
      <c r="M291" s="1110"/>
      <c r="N291" s="1110"/>
      <c r="O291" s="1110"/>
      <c r="P291" s="1110"/>
      <c r="Q291" s="1110"/>
      <c r="R291" s="1110"/>
      <c r="S291" s="1110"/>
      <c r="T291" s="1111"/>
      <c r="U291" s="1111"/>
      <c r="V291" s="1111"/>
      <c r="W291" s="1111"/>
      <c r="X291" s="1111"/>
      <c r="Y291" s="1111"/>
      <c r="Z291" s="1111"/>
      <c r="AA291" s="1111"/>
      <c r="AB291" s="1111"/>
      <c r="AC291" s="1111"/>
      <c r="AD291" s="1111"/>
      <c r="AE291" s="1111"/>
      <c r="AF291" s="1111"/>
      <c r="AG291" s="1111"/>
      <c r="AH291" s="1111"/>
      <c r="AI291" s="1111"/>
      <c r="AJ291" s="1111"/>
      <c r="AK291" s="1111"/>
      <c r="AL291" s="1111"/>
      <c r="AM291" s="1111"/>
      <c r="AN291" s="1111"/>
      <c r="AO291" s="1111"/>
      <c r="AP291" s="1111"/>
      <c r="AQ291" s="1111"/>
      <c r="AR291" s="1111"/>
      <c r="AS291" s="1111"/>
      <c r="AT291" s="1111"/>
      <c r="AU291" s="1111"/>
      <c r="AV291" s="1111"/>
      <c r="AW291" s="1111"/>
      <c r="AX291" s="1111"/>
      <c r="AY291" s="1111"/>
      <c r="AZ291" s="1111"/>
      <c r="BA291" s="1111"/>
      <c r="BB291" s="1111"/>
      <c r="BC291" s="1111"/>
      <c r="BD291" s="1111"/>
      <c r="BE291" s="1111"/>
      <c r="BF291" s="1111"/>
      <c r="BG291" s="1111"/>
      <c r="BH291" s="1111"/>
      <c r="BI291" s="1111"/>
      <c r="BJ291" s="1111"/>
      <c r="BK291" s="1111"/>
      <c r="BL291" s="1111"/>
      <c r="BM291" s="1111"/>
      <c r="BN291" s="1111"/>
      <c r="BO291" s="1111"/>
      <c r="BP291" s="1111"/>
      <c r="BQ291" s="1111"/>
      <c r="BR291" s="1111"/>
      <c r="BS291" s="1111"/>
      <c r="BT291" s="1111"/>
      <c r="BU291" s="1111"/>
      <c r="BV291" s="1111"/>
      <c r="BW291" s="1111"/>
      <c r="BX291" s="1111"/>
      <c r="BY291" s="1111"/>
      <c r="BZ291" s="1111"/>
      <c r="CA291" s="1111"/>
      <c r="CB291" s="1111"/>
      <c r="CC291" s="1111"/>
      <c r="CD291" s="1111"/>
      <c r="CE291" s="1111"/>
      <c r="CF291" s="1111"/>
      <c r="CG291" s="1111"/>
      <c r="CH291" s="1111"/>
      <c r="CI291" s="1111"/>
      <c r="CJ291" s="1111"/>
      <c r="CK291" s="1110"/>
    </row>
    <row r="292" spans="1:89" ht="14.4" x14ac:dyDescent="0.3">
      <c r="A292" s="1110"/>
      <c r="B292" s="1110"/>
      <c r="C292" s="1110"/>
      <c r="D292" s="1110"/>
      <c r="E292" s="1110"/>
      <c r="F292" s="1110"/>
      <c r="G292" s="1110"/>
      <c r="H292" s="1110"/>
      <c r="I292" s="1110"/>
      <c r="J292" s="1110"/>
      <c r="K292" s="1110"/>
      <c r="L292" s="1110"/>
      <c r="M292" s="1110"/>
      <c r="N292" s="1110"/>
      <c r="O292" s="1110"/>
      <c r="P292" s="1110"/>
      <c r="Q292" s="1110"/>
      <c r="R292" s="1110"/>
      <c r="S292" s="1110"/>
      <c r="T292" s="1111"/>
      <c r="U292" s="1111"/>
      <c r="V292" s="1111"/>
      <c r="W292" s="1111"/>
      <c r="X292" s="1111"/>
      <c r="Y292" s="1111"/>
      <c r="Z292" s="1111"/>
      <c r="AA292" s="1111"/>
      <c r="AB292" s="1111"/>
      <c r="AC292" s="1111"/>
      <c r="AD292" s="1111"/>
      <c r="AE292" s="1111"/>
      <c r="AF292" s="1111"/>
      <c r="AG292" s="1111"/>
      <c r="AH292" s="1111"/>
      <c r="AI292" s="1111"/>
      <c r="AJ292" s="1111"/>
      <c r="AK292" s="1111"/>
      <c r="AL292" s="1111"/>
      <c r="AM292" s="1111"/>
      <c r="AN292" s="1111"/>
      <c r="AO292" s="1111"/>
      <c r="AP292" s="1111"/>
      <c r="AQ292" s="1111"/>
      <c r="AR292" s="1111"/>
      <c r="AS292" s="1111"/>
      <c r="AT292" s="1111"/>
      <c r="AU292" s="1111"/>
      <c r="AV292" s="1111"/>
      <c r="AW292" s="1111"/>
      <c r="AX292" s="1111"/>
      <c r="AY292" s="1111"/>
      <c r="AZ292" s="1111"/>
      <c r="BA292" s="1111"/>
      <c r="BB292" s="1111"/>
      <c r="BC292" s="1111"/>
      <c r="BD292" s="1111"/>
      <c r="BE292" s="1111"/>
      <c r="BF292" s="1111"/>
      <c r="BG292" s="1111"/>
      <c r="BH292" s="1111"/>
      <c r="BI292" s="1111"/>
      <c r="BJ292" s="1111"/>
      <c r="BK292" s="1111"/>
      <c r="BL292" s="1111"/>
      <c r="BM292" s="1111"/>
      <c r="BN292" s="1111"/>
      <c r="BO292" s="1111"/>
      <c r="BP292" s="1111"/>
      <c r="BQ292" s="1111"/>
      <c r="BR292" s="1111"/>
      <c r="BS292" s="1111"/>
      <c r="BT292" s="1111"/>
      <c r="BU292" s="1111"/>
      <c r="BV292" s="1111"/>
      <c r="BW292" s="1111"/>
      <c r="BX292" s="1111"/>
      <c r="BY292" s="1111"/>
      <c r="BZ292" s="1111"/>
      <c r="CA292" s="1111"/>
      <c r="CB292" s="1111"/>
      <c r="CC292" s="1111"/>
      <c r="CD292" s="1111"/>
      <c r="CE292" s="1111"/>
      <c r="CF292" s="1111"/>
      <c r="CG292" s="1111"/>
      <c r="CH292" s="1111"/>
      <c r="CI292" s="1111"/>
      <c r="CJ292" s="1111"/>
      <c r="CK292" s="1110"/>
    </row>
    <row r="293" spans="1:89" ht="14.4" x14ac:dyDescent="0.3">
      <c r="A293" s="1110"/>
      <c r="B293" s="1110"/>
      <c r="C293" s="1110"/>
      <c r="D293" s="1110"/>
      <c r="E293" s="1110"/>
      <c r="F293" s="1110"/>
      <c r="G293" s="1110"/>
      <c r="H293" s="1110"/>
      <c r="I293" s="1110"/>
      <c r="J293" s="1110"/>
      <c r="K293" s="1110"/>
      <c r="L293" s="1110"/>
      <c r="M293" s="1110"/>
      <c r="N293" s="1110"/>
      <c r="O293" s="1110"/>
      <c r="P293" s="1110"/>
      <c r="Q293" s="1110"/>
      <c r="R293" s="1110"/>
      <c r="S293" s="1110"/>
      <c r="T293" s="1111"/>
      <c r="U293" s="1111"/>
      <c r="V293" s="1111"/>
      <c r="W293" s="1111"/>
      <c r="X293" s="1111"/>
      <c r="Y293" s="1111"/>
      <c r="Z293" s="1111"/>
      <c r="AA293" s="1111"/>
      <c r="AB293" s="1111"/>
      <c r="AC293" s="1111"/>
      <c r="AD293" s="1111"/>
      <c r="AE293" s="1111"/>
      <c r="AF293" s="1111"/>
      <c r="AG293" s="1111"/>
      <c r="AH293" s="1111"/>
      <c r="AI293" s="1111"/>
      <c r="AJ293" s="1111"/>
      <c r="AK293" s="1111"/>
      <c r="AL293" s="1111"/>
      <c r="AM293" s="1111"/>
      <c r="AN293" s="1111"/>
      <c r="AO293" s="1111"/>
      <c r="AP293" s="1111"/>
      <c r="AQ293" s="1111"/>
      <c r="AR293" s="1111"/>
      <c r="AS293" s="1111"/>
      <c r="AT293" s="1111"/>
      <c r="AU293" s="1111"/>
      <c r="AV293" s="1111"/>
      <c r="AW293" s="1111"/>
      <c r="AX293" s="1111"/>
      <c r="AY293" s="1111"/>
      <c r="AZ293" s="1111"/>
      <c r="BA293" s="1111"/>
      <c r="BB293" s="1111"/>
      <c r="BC293" s="1111"/>
      <c r="BD293" s="1111"/>
      <c r="BE293" s="1111"/>
      <c r="BF293" s="1111"/>
      <c r="BG293" s="1111"/>
      <c r="BH293" s="1111"/>
      <c r="BI293" s="1111"/>
      <c r="BJ293" s="1111"/>
      <c r="BK293" s="1111"/>
      <c r="BL293" s="1111"/>
      <c r="BM293" s="1111"/>
      <c r="BN293" s="1111"/>
      <c r="BO293" s="1111"/>
      <c r="BP293" s="1111"/>
      <c r="BQ293" s="1111"/>
      <c r="BR293" s="1111"/>
      <c r="BS293" s="1111"/>
      <c r="BT293" s="1111"/>
      <c r="BU293" s="1111"/>
      <c r="BV293" s="1111"/>
      <c r="BW293" s="1111"/>
      <c r="BX293" s="1111"/>
      <c r="BY293" s="1111"/>
      <c r="BZ293" s="1111"/>
      <c r="CA293" s="1111"/>
      <c r="CB293" s="1111"/>
      <c r="CC293" s="1111"/>
      <c r="CD293" s="1111"/>
      <c r="CE293" s="1111"/>
      <c r="CF293" s="1111"/>
      <c r="CG293" s="1111"/>
      <c r="CH293" s="1111"/>
      <c r="CI293" s="1111"/>
      <c r="CJ293" s="1111"/>
      <c r="CK293" s="1110"/>
    </row>
    <row r="294" spans="1:89" ht="14.4" x14ac:dyDescent="0.3">
      <c r="A294" s="1110"/>
      <c r="B294" s="1110"/>
      <c r="C294" s="1110"/>
      <c r="D294" s="1110"/>
      <c r="E294" s="1110"/>
      <c r="F294" s="1110"/>
      <c r="G294" s="1110"/>
      <c r="H294" s="1110"/>
      <c r="I294" s="1110"/>
      <c r="J294" s="1110"/>
      <c r="K294" s="1110"/>
      <c r="L294" s="1110"/>
      <c r="M294" s="1110"/>
      <c r="N294" s="1110"/>
      <c r="O294" s="1110"/>
      <c r="P294" s="1110"/>
      <c r="Q294" s="1110"/>
      <c r="R294" s="1110"/>
      <c r="S294" s="1110"/>
      <c r="T294" s="1111"/>
      <c r="U294" s="1111"/>
      <c r="V294" s="1111"/>
      <c r="W294" s="1111"/>
      <c r="X294" s="1111"/>
      <c r="Y294" s="1111"/>
      <c r="Z294" s="1111"/>
      <c r="AA294" s="1111"/>
      <c r="AB294" s="1111"/>
      <c r="AC294" s="1111"/>
      <c r="AD294" s="1111"/>
      <c r="AE294" s="1111"/>
      <c r="AF294" s="1111"/>
      <c r="AG294" s="1111"/>
      <c r="AH294" s="1111"/>
      <c r="AI294" s="1111"/>
      <c r="AJ294" s="1111"/>
      <c r="AK294" s="1111"/>
      <c r="AL294" s="1111"/>
      <c r="AM294" s="1111"/>
      <c r="AN294" s="1111"/>
      <c r="AO294" s="1111"/>
      <c r="AP294" s="1111"/>
      <c r="AQ294" s="1111"/>
      <c r="AR294" s="1111"/>
      <c r="AS294" s="1111"/>
      <c r="AT294" s="1111"/>
      <c r="AU294" s="1111"/>
      <c r="AV294" s="1111"/>
      <c r="AW294" s="1111"/>
      <c r="AX294" s="1111"/>
      <c r="AY294" s="1111"/>
      <c r="AZ294" s="1111"/>
      <c r="BA294" s="1111"/>
      <c r="BB294" s="1111"/>
      <c r="BC294" s="1111"/>
      <c r="BD294" s="1111"/>
      <c r="BE294" s="1111"/>
      <c r="BF294" s="1111"/>
      <c r="BG294" s="1111"/>
      <c r="BH294" s="1111"/>
      <c r="BI294" s="1111"/>
      <c r="BJ294" s="1111"/>
      <c r="BK294" s="1111"/>
      <c r="BL294" s="1111"/>
      <c r="BM294" s="1111"/>
      <c r="BN294" s="1111"/>
      <c r="BO294" s="1111"/>
      <c r="BP294" s="1111"/>
      <c r="BQ294" s="1111"/>
      <c r="BR294" s="1111"/>
      <c r="BS294" s="1111"/>
      <c r="BT294" s="1111"/>
      <c r="BU294" s="1111"/>
      <c r="BV294" s="1111"/>
      <c r="BW294" s="1111"/>
      <c r="BX294" s="1111"/>
      <c r="BY294" s="1111"/>
      <c r="BZ294" s="1111"/>
      <c r="CA294" s="1111"/>
      <c r="CB294" s="1111"/>
      <c r="CC294" s="1111"/>
      <c r="CD294" s="1111"/>
      <c r="CE294" s="1111"/>
      <c r="CF294" s="1111"/>
      <c r="CG294" s="1111"/>
      <c r="CH294" s="1111"/>
      <c r="CI294" s="1111"/>
      <c r="CJ294" s="1111"/>
      <c r="CK294" s="1110"/>
    </row>
    <row r="295" spans="1:89" ht="14.4" x14ac:dyDescent="0.3">
      <c r="A295" s="1110"/>
      <c r="B295" s="1110"/>
      <c r="C295" s="1110"/>
      <c r="D295" s="1110"/>
      <c r="E295" s="1110"/>
      <c r="F295" s="1110"/>
      <c r="G295" s="1110"/>
      <c r="H295" s="1110"/>
      <c r="I295" s="1110"/>
      <c r="J295" s="1110"/>
      <c r="K295" s="1110"/>
      <c r="L295" s="1110"/>
      <c r="M295" s="1110"/>
      <c r="N295" s="1110"/>
      <c r="O295" s="1110"/>
      <c r="P295" s="1110"/>
      <c r="Q295" s="1110"/>
      <c r="R295" s="1110"/>
      <c r="S295" s="1110"/>
      <c r="T295" s="1111"/>
      <c r="U295" s="1111"/>
      <c r="V295" s="1111"/>
      <c r="W295" s="1111"/>
      <c r="X295" s="1111"/>
      <c r="Y295" s="1111"/>
      <c r="Z295" s="1111"/>
      <c r="AA295" s="1111"/>
      <c r="AB295" s="1111"/>
      <c r="AC295" s="1111"/>
      <c r="AD295" s="1111"/>
      <c r="AE295" s="1111"/>
      <c r="AF295" s="1111"/>
      <c r="AG295" s="1111"/>
      <c r="AH295" s="1111"/>
      <c r="AI295" s="1111"/>
      <c r="AJ295" s="1111"/>
      <c r="AK295" s="1111"/>
      <c r="AL295" s="1111"/>
      <c r="AM295" s="1111"/>
      <c r="AN295" s="1111"/>
      <c r="AO295" s="1111"/>
      <c r="AP295" s="1111"/>
      <c r="AQ295" s="1111"/>
      <c r="AR295" s="1111"/>
      <c r="AS295" s="1111"/>
      <c r="AT295" s="1111"/>
      <c r="AU295" s="1111"/>
      <c r="AV295" s="1111"/>
      <c r="AW295" s="1111"/>
      <c r="AX295" s="1111"/>
      <c r="AY295" s="1111"/>
      <c r="AZ295" s="1111"/>
      <c r="BA295" s="1111"/>
      <c r="BB295" s="1111"/>
      <c r="BC295" s="1111"/>
      <c r="BD295" s="1111"/>
      <c r="BE295" s="1111"/>
      <c r="BF295" s="1111"/>
      <c r="BG295" s="1111"/>
      <c r="BH295" s="1111"/>
      <c r="BI295" s="1111"/>
      <c r="BJ295" s="1111"/>
      <c r="BK295" s="1111"/>
      <c r="BL295" s="1111"/>
      <c r="BM295" s="1111"/>
      <c r="BN295" s="1111"/>
      <c r="BO295" s="1111"/>
      <c r="BP295" s="1111"/>
      <c r="BQ295" s="1111"/>
      <c r="BR295" s="1111"/>
      <c r="BS295" s="1111"/>
      <c r="BT295" s="1111"/>
      <c r="BU295" s="1111"/>
      <c r="BV295" s="1111"/>
      <c r="BW295" s="1111"/>
      <c r="BX295" s="1111"/>
      <c r="BY295" s="1111"/>
      <c r="BZ295" s="1111"/>
      <c r="CA295" s="1111"/>
      <c r="CB295" s="1111"/>
      <c r="CC295" s="1111"/>
      <c r="CD295" s="1111"/>
      <c r="CE295" s="1111"/>
      <c r="CF295" s="1111"/>
      <c r="CG295" s="1111"/>
      <c r="CH295" s="1111"/>
      <c r="CI295" s="1111"/>
      <c r="CJ295" s="1111"/>
      <c r="CK295" s="1110"/>
    </row>
    <row r="296" spans="1:89" ht="14.4" x14ac:dyDescent="0.3">
      <c r="A296" s="1110"/>
      <c r="B296" s="1110"/>
      <c r="C296" s="1110"/>
      <c r="D296" s="1110"/>
      <c r="E296" s="1110"/>
      <c r="F296" s="1110"/>
      <c r="G296" s="1110"/>
      <c r="H296" s="1110"/>
      <c r="I296" s="1110"/>
      <c r="J296" s="1110"/>
      <c r="K296" s="1110"/>
      <c r="L296" s="1110"/>
      <c r="M296" s="1110"/>
      <c r="N296" s="1110"/>
      <c r="O296" s="1110"/>
      <c r="P296" s="1110"/>
      <c r="Q296" s="1110"/>
      <c r="R296" s="1110"/>
      <c r="S296" s="1110"/>
      <c r="T296" s="1111"/>
      <c r="U296" s="1111"/>
      <c r="V296" s="1111"/>
      <c r="W296" s="1111"/>
      <c r="X296" s="1111"/>
      <c r="Y296" s="1111"/>
      <c r="Z296" s="1111"/>
      <c r="AA296" s="1111"/>
      <c r="AB296" s="1111"/>
      <c r="AC296" s="1111"/>
      <c r="AD296" s="1111"/>
      <c r="AE296" s="1111"/>
      <c r="AF296" s="1111"/>
      <c r="AG296" s="1111"/>
      <c r="AH296" s="1111"/>
      <c r="AI296" s="1111"/>
      <c r="AJ296" s="1111"/>
      <c r="AK296" s="1111"/>
      <c r="AL296" s="1111"/>
      <c r="AM296" s="1111"/>
      <c r="AN296" s="1111"/>
      <c r="AO296" s="1111"/>
      <c r="AP296" s="1111"/>
      <c r="AQ296" s="1111"/>
      <c r="AR296" s="1111"/>
      <c r="AS296" s="1111"/>
      <c r="AT296" s="1111"/>
      <c r="AU296" s="1111"/>
      <c r="AV296" s="1111"/>
      <c r="AW296" s="1111"/>
      <c r="AX296" s="1111"/>
      <c r="AY296" s="1111"/>
      <c r="AZ296" s="1111"/>
      <c r="BA296" s="1111"/>
      <c r="BB296" s="1111"/>
      <c r="BC296" s="1111"/>
      <c r="BD296" s="1111"/>
      <c r="BE296" s="1111"/>
      <c r="BF296" s="1111"/>
      <c r="BG296" s="1111"/>
      <c r="BH296" s="1111"/>
      <c r="BI296" s="1111"/>
      <c r="BJ296" s="1111"/>
      <c r="BK296" s="1111"/>
      <c r="BL296" s="1111"/>
      <c r="BM296" s="1111"/>
      <c r="BN296" s="1111"/>
      <c r="BO296" s="1111"/>
      <c r="BP296" s="1111"/>
      <c r="BQ296" s="1111"/>
      <c r="BR296" s="1111"/>
      <c r="BS296" s="1111"/>
      <c r="BT296" s="1111"/>
      <c r="BU296" s="1111"/>
      <c r="BV296" s="1111"/>
      <c r="BW296" s="1111"/>
      <c r="BX296" s="1111"/>
      <c r="BY296" s="1111"/>
      <c r="BZ296" s="1111"/>
      <c r="CA296" s="1111"/>
      <c r="CB296" s="1111"/>
      <c r="CC296" s="1111"/>
      <c r="CD296" s="1111"/>
      <c r="CE296" s="1111"/>
      <c r="CF296" s="1111"/>
      <c r="CG296" s="1111"/>
      <c r="CH296" s="1111"/>
      <c r="CI296" s="1111"/>
      <c r="CJ296" s="1111"/>
      <c r="CK296" s="1110"/>
    </row>
    <row r="297" spans="1:89" ht="14.4" x14ac:dyDescent="0.3">
      <c r="A297" s="1110"/>
      <c r="B297" s="1110"/>
      <c r="C297" s="1110"/>
      <c r="D297" s="1110"/>
      <c r="E297" s="1110"/>
      <c r="F297" s="1110"/>
      <c r="G297" s="1110"/>
      <c r="H297" s="1110"/>
      <c r="I297" s="1110"/>
      <c r="J297" s="1110"/>
      <c r="K297" s="1110"/>
      <c r="L297" s="1110"/>
      <c r="M297" s="1110"/>
      <c r="N297" s="1110"/>
      <c r="O297" s="1110"/>
      <c r="P297" s="1110"/>
      <c r="Q297" s="1110"/>
      <c r="R297" s="1110"/>
      <c r="S297" s="1110"/>
      <c r="T297" s="1111"/>
      <c r="U297" s="1111"/>
      <c r="V297" s="1111"/>
      <c r="W297" s="1111"/>
      <c r="X297" s="1111"/>
      <c r="Y297" s="1111"/>
      <c r="Z297" s="1111"/>
      <c r="AA297" s="1111"/>
      <c r="AB297" s="1111"/>
      <c r="AC297" s="1111"/>
      <c r="AD297" s="1111"/>
      <c r="AE297" s="1111"/>
      <c r="AF297" s="1111"/>
      <c r="AG297" s="1111"/>
      <c r="AH297" s="1111"/>
      <c r="AI297" s="1111"/>
      <c r="AJ297" s="1111"/>
      <c r="AK297" s="1111"/>
      <c r="AL297" s="1111"/>
      <c r="AM297" s="1111"/>
      <c r="AN297" s="1111"/>
      <c r="AO297" s="1111"/>
      <c r="AP297" s="1111"/>
      <c r="AQ297" s="1111"/>
      <c r="AR297" s="1111"/>
      <c r="AS297" s="1111"/>
      <c r="AT297" s="1111"/>
      <c r="AU297" s="1111"/>
      <c r="AV297" s="1111"/>
      <c r="AW297" s="1111"/>
      <c r="AX297" s="1111"/>
      <c r="AY297" s="1111"/>
      <c r="AZ297" s="1111"/>
      <c r="BA297" s="1111"/>
      <c r="BB297" s="1111"/>
      <c r="BC297" s="1111"/>
      <c r="BD297" s="1111"/>
      <c r="BE297" s="1111"/>
      <c r="BF297" s="1111"/>
      <c r="BG297" s="1111"/>
      <c r="BH297" s="1111"/>
      <c r="BI297" s="1111"/>
      <c r="BJ297" s="1111"/>
      <c r="BK297" s="1111"/>
      <c r="BL297" s="1111"/>
      <c r="BM297" s="1111"/>
      <c r="BN297" s="1111"/>
      <c r="BO297" s="1111"/>
      <c r="BP297" s="1111"/>
      <c r="BQ297" s="1111"/>
      <c r="BR297" s="1111"/>
      <c r="BS297" s="1111"/>
      <c r="BT297" s="1111"/>
      <c r="BU297" s="1111"/>
      <c r="BV297" s="1111"/>
      <c r="BW297" s="1111"/>
      <c r="BX297" s="1111"/>
      <c r="BY297" s="1111"/>
      <c r="BZ297" s="1111"/>
      <c r="CA297" s="1111"/>
      <c r="CB297" s="1111"/>
      <c r="CC297" s="1111"/>
      <c r="CD297" s="1111"/>
      <c r="CE297" s="1111"/>
      <c r="CF297" s="1111"/>
      <c r="CG297" s="1111"/>
      <c r="CH297" s="1111"/>
      <c r="CI297" s="1111"/>
      <c r="CJ297" s="1111"/>
      <c r="CK297" s="1110"/>
    </row>
    <row r="298" spans="1:89" ht="14.4" x14ac:dyDescent="0.3">
      <c r="A298" s="1110"/>
      <c r="B298" s="1110"/>
      <c r="C298" s="1110"/>
      <c r="D298" s="1110"/>
      <c r="E298" s="1110"/>
      <c r="F298" s="1110"/>
      <c r="G298" s="1110"/>
      <c r="H298" s="1110"/>
      <c r="I298" s="1110"/>
      <c r="J298" s="1110"/>
      <c r="K298" s="1110"/>
      <c r="L298" s="1110"/>
      <c r="M298" s="1110"/>
      <c r="N298" s="1110"/>
      <c r="O298" s="1110"/>
      <c r="P298" s="1110"/>
      <c r="Q298" s="1110"/>
      <c r="R298" s="1110"/>
      <c r="S298" s="1110"/>
      <c r="T298" s="1111"/>
      <c r="U298" s="1111"/>
      <c r="V298" s="1111"/>
      <c r="W298" s="1111"/>
      <c r="X298" s="1111"/>
      <c r="Y298" s="1111"/>
      <c r="Z298" s="1111"/>
      <c r="AA298" s="1111"/>
      <c r="AB298" s="1111"/>
      <c r="AC298" s="1111"/>
      <c r="AD298" s="1111"/>
      <c r="AE298" s="1111"/>
      <c r="AF298" s="1111"/>
      <c r="AG298" s="1111"/>
      <c r="AH298" s="1111"/>
      <c r="AI298" s="1111"/>
      <c r="AJ298" s="1111"/>
      <c r="AK298" s="1111"/>
      <c r="AL298" s="1111"/>
      <c r="AM298" s="1111"/>
      <c r="AN298" s="1111"/>
      <c r="AO298" s="1111"/>
      <c r="AP298" s="1111"/>
      <c r="AQ298" s="1111"/>
      <c r="AR298" s="1111"/>
      <c r="AS298" s="1111"/>
      <c r="AT298" s="1111"/>
      <c r="AU298" s="1111"/>
      <c r="AV298" s="1111"/>
      <c r="AW298" s="1111"/>
      <c r="AX298" s="1111"/>
      <c r="AY298" s="1111"/>
      <c r="AZ298" s="1111"/>
      <c r="BA298" s="1111"/>
      <c r="BB298" s="1111"/>
      <c r="BC298" s="1111"/>
      <c r="BD298" s="1111"/>
      <c r="BE298" s="1111"/>
      <c r="BF298" s="1111"/>
      <c r="BG298" s="1111"/>
      <c r="BH298" s="1111"/>
      <c r="BI298" s="1111"/>
      <c r="BJ298" s="1111"/>
      <c r="BK298" s="1111"/>
      <c r="BL298" s="1111"/>
      <c r="BM298" s="1111"/>
      <c r="BN298" s="1111"/>
      <c r="BO298" s="1111"/>
      <c r="BP298" s="1111"/>
      <c r="BQ298" s="1111"/>
      <c r="BR298" s="1111"/>
      <c r="BS298" s="1111"/>
      <c r="BT298" s="1111"/>
      <c r="BU298" s="1111"/>
      <c r="BV298" s="1111"/>
      <c r="BW298" s="1111"/>
      <c r="BX298" s="1111"/>
      <c r="BY298" s="1111"/>
      <c r="BZ298" s="1111"/>
      <c r="CA298" s="1111"/>
      <c r="CB298" s="1111"/>
      <c r="CC298" s="1111"/>
      <c r="CD298" s="1111"/>
      <c r="CE298" s="1111"/>
      <c r="CF298" s="1111"/>
      <c r="CG298" s="1111"/>
      <c r="CH298" s="1111"/>
      <c r="CI298" s="1111"/>
      <c r="CJ298" s="1111"/>
      <c r="CK298" s="1110"/>
    </row>
    <row r="299" spans="1:89" ht="14.4" x14ac:dyDescent="0.3">
      <c r="A299" s="1110"/>
      <c r="B299" s="1110"/>
      <c r="C299" s="1110"/>
      <c r="D299" s="1110"/>
      <c r="E299" s="1110"/>
      <c r="F299" s="1110"/>
      <c r="G299" s="1110"/>
      <c r="H299" s="1110"/>
      <c r="I299" s="1110"/>
      <c r="J299" s="1110"/>
      <c r="K299" s="1110"/>
      <c r="L299" s="1110"/>
      <c r="M299" s="1110"/>
      <c r="N299" s="1110"/>
      <c r="O299" s="1110"/>
      <c r="P299" s="1110"/>
      <c r="Q299" s="1110"/>
      <c r="R299" s="1110"/>
      <c r="S299" s="1110"/>
      <c r="T299" s="1111"/>
      <c r="U299" s="1111"/>
      <c r="V299" s="1111"/>
      <c r="W299" s="1111"/>
      <c r="X299" s="1111"/>
      <c r="Y299" s="1111"/>
      <c r="Z299" s="1111"/>
      <c r="AA299" s="1111"/>
      <c r="AB299" s="1111"/>
      <c r="AC299" s="1111"/>
      <c r="AD299" s="1111"/>
      <c r="AE299" s="1111"/>
      <c r="AF299" s="1111"/>
      <c r="AG299" s="1111"/>
      <c r="AH299" s="1111"/>
      <c r="AI299" s="1111"/>
      <c r="AJ299" s="1111"/>
      <c r="AK299" s="1111"/>
      <c r="AL299" s="1111"/>
      <c r="AM299" s="1111"/>
      <c r="AN299" s="1111"/>
      <c r="AO299" s="1111"/>
      <c r="AP299" s="1111"/>
      <c r="AQ299" s="1111"/>
      <c r="AR299" s="1111"/>
      <c r="AS299" s="1111"/>
      <c r="AT299" s="1111"/>
      <c r="AU299" s="1111"/>
      <c r="AV299" s="1111"/>
      <c r="AW299" s="1111"/>
      <c r="AX299" s="1111"/>
      <c r="AY299" s="1111"/>
      <c r="AZ299" s="1111"/>
      <c r="BA299" s="1111"/>
      <c r="BB299" s="1111"/>
      <c r="BC299" s="1111"/>
      <c r="BD299" s="1111"/>
      <c r="BE299" s="1111"/>
      <c r="BF299" s="1111"/>
      <c r="BG299" s="1111"/>
      <c r="BH299" s="1111"/>
      <c r="BI299" s="1111"/>
      <c r="BJ299" s="1111"/>
      <c r="BK299" s="1111"/>
      <c r="BL299" s="1111"/>
      <c r="BM299" s="1111"/>
      <c r="BN299" s="1111"/>
      <c r="BO299" s="1111"/>
      <c r="BP299" s="1111"/>
      <c r="BQ299" s="1111"/>
      <c r="BR299" s="1111"/>
      <c r="BS299" s="1111"/>
      <c r="BT299" s="1111"/>
      <c r="BU299" s="1111"/>
      <c r="BV299" s="1111"/>
      <c r="BW299" s="1111"/>
      <c r="BX299" s="1111"/>
      <c r="BY299" s="1111"/>
      <c r="BZ299" s="1111"/>
      <c r="CA299" s="1111"/>
      <c r="CB299" s="1111"/>
      <c r="CC299" s="1111"/>
      <c r="CD299" s="1111"/>
      <c r="CE299" s="1111"/>
      <c r="CF299" s="1111"/>
      <c r="CG299" s="1111"/>
      <c r="CH299" s="1111"/>
      <c r="CI299" s="1111"/>
      <c r="CJ299" s="1111"/>
      <c r="CK299" s="1110"/>
    </row>
    <row r="300" spans="1:89" ht="14.4" x14ac:dyDescent="0.3">
      <c r="A300" s="1110"/>
      <c r="B300" s="1110"/>
      <c r="C300" s="1110"/>
      <c r="D300" s="1110"/>
      <c r="E300" s="1110"/>
      <c r="F300" s="1110"/>
      <c r="G300" s="1110"/>
      <c r="H300" s="1110"/>
      <c r="I300" s="1110"/>
      <c r="J300" s="1110"/>
      <c r="K300" s="1110"/>
      <c r="L300" s="1110"/>
      <c r="M300" s="1110"/>
      <c r="N300" s="1110"/>
      <c r="O300" s="1110"/>
      <c r="P300" s="1110"/>
      <c r="Q300" s="1110"/>
      <c r="R300" s="1110"/>
      <c r="S300" s="1110"/>
      <c r="T300" s="1111"/>
      <c r="U300" s="1111"/>
      <c r="V300" s="1111"/>
      <c r="W300" s="1111"/>
      <c r="X300" s="1111"/>
      <c r="Y300" s="1111"/>
      <c r="Z300" s="1111"/>
      <c r="AA300" s="1111"/>
      <c r="AB300" s="1111"/>
      <c r="AC300" s="1111"/>
      <c r="AD300" s="1111"/>
      <c r="AE300" s="1111"/>
      <c r="AF300" s="1111"/>
      <c r="AG300" s="1111"/>
      <c r="AH300" s="1111"/>
      <c r="AI300" s="1111"/>
      <c r="AJ300" s="1111"/>
      <c r="AK300" s="1111"/>
      <c r="AL300" s="1111"/>
      <c r="AM300" s="1111"/>
      <c r="AN300" s="1111"/>
      <c r="AO300" s="1111"/>
      <c r="AP300" s="1111"/>
      <c r="AQ300" s="1111"/>
      <c r="AR300" s="1111"/>
      <c r="AS300" s="1111"/>
      <c r="AT300" s="1111"/>
      <c r="AU300" s="1111"/>
      <c r="AV300" s="1111"/>
      <c r="AW300" s="1111"/>
      <c r="AX300" s="1111"/>
      <c r="AY300" s="1111"/>
      <c r="AZ300" s="1111"/>
      <c r="BA300" s="1111"/>
      <c r="BB300" s="1111"/>
      <c r="BC300" s="1111"/>
      <c r="BD300" s="1111"/>
      <c r="BE300" s="1111"/>
      <c r="BF300" s="1111"/>
      <c r="BG300" s="1111"/>
      <c r="BH300" s="1111"/>
      <c r="BI300" s="1111"/>
      <c r="BJ300" s="1111"/>
      <c r="BK300" s="1111"/>
      <c r="BL300" s="1111"/>
      <c r="BM300" s="1111"/>
      <c r="BN300" s="1111"/>
      <c r="BO300" s="1111"/>
      <c r="BP300" s="1111"/>
      <c r="BQ300" s="1111"/>
      <c r="BR300" s="1111"/>
      <c r="BS300" s="1111"/>
      <c r="BT300" s="1111"/>
      <c r="BU300" s="1111"/>
      <c r="BV300" s="1111"/>
      <c r="BW300" s="1111"/>
      <c r="BX300" s="1111"/>
      <c r="BY300" s="1111"/>
      <c r="BZ300" s="1111"/>
      <c r="CA300" s="1111"/>
      <c r="CB300" s="1111"/>
      <c r="CC300" s="1111"/>
      <c r="CD300" s="1111"/>
      <c r="CE300" s="1111"/>
      <c r="CF300" s="1111"/>
      <c r="CG300" s="1111"/>
      <c r="CH300" s="1111"/>
      <c r="CI300" s="1111"/>
      <c r="CJ300" s="1111"/>
      <c r="CK300" s="1110"/>
    </row>
    <row r="301" spans="1:89" ht="14.4" x14ac:dyDescent="0.3">
      <c r="A301" s="1110"/>
      <c r="B301" s="1110"/>
      <c r="C301" s="1110"/>
      <c r="D301" s="1110"/>
      <c r="E301" s="1110"/>
      <c r="F301" s="1110"/>
      <c r="G301" s="1110"/>
      <c r="H301" s="1110"/>
      <c r="I301" s="1110"/>
      <c r="J301" s="1110"/>
      <c r="K301" s="1110"/>
      <c r="L301" s="1110"/>
      <c r="M301" s="1110"/>
      <c r="N301" s="1110"/>
      <c r="O301" s="1110"/>
      <c r="P301" s="1110"/>
      <c r="Q301" s="1110"/>
      <c r="R301" s="1110"/>
      <c r="S301" s="1110"/>
      <c r="T301" s="1111"/>
      <c r="U301" s="1111"/>
      <c r="V301" s="1111"/>
      <c r="W301" s="1111"/>
      <c r="X301" s="1111"/>
      <c r="Y301" s="1111"/>
      <c r="Z301" s="1111"/>
      <c r="AA301" s="1111"/>
      <c r="AB301" s="1111"/>
      <c r="AC301" s="1111"/>
      <c r="AD301" s="1111"/>
      <c r="AE301" s="1111"/>
      <c r="AF301" s="1111"/>
      <c r="AG301" s="1111"/>
      <c r="AH301" s="1111"/>
      <c r="AI301" s="1111"/>
      <c r="AJ301" s="1111"/>
      <c r="AK301" s="1111"/>
      <c r="AL301" s="1111"/>
      <c r="AM301" s="1111"/>
      <c r="AN301" s="1111"/>
      <c r="AO301" s="1111"/>
      <c r="AP301" s="1111"/>
      <c r="AQ301" s="1111"/>
      <c r="AR301" s="1111"/>
      <c r="AS301" s="1111"/>
      <c r="AT301" s="1111"/>
      <c r="AU301" s="1111"/>
      <c r="AV301" s="1111"/>
      <c r="AW301" s="1111"/>
      <c r="AX301" s="1111"/>
      <c r="AY301" s="1111"/>
      <c r="AZ301" s="1111"/>
      <c r="BA301" s="1111"/>
      <c r="BB301" s="1111"/>
      <c r="BC301" s="1111"/>
      <c r="BD301" s="1111"/>
      <c r="BE301" s="1111"/>
      <c r="BF301" s="1111"/>
      <c r="BG301" s="1111"/>
      <c r="BH301" s="1111"/>
      <c r="BI301" s="1111"/>
      <c r="BJ301" s="1111"/>
      <c r="BK301" s="1111"/>
      <c r="BL301" s="1111"/>
      <c r="BM301" s="1111"/>
      <c r="BN301" s="1111"/>
      <c r="BO301" s="1111"/>
      <c r="BP301" s="1111"/>
      <c r="BQ301" s="1111"/>
      <c r="BR301" s="1111"/>
      <c r="BS301" s="1111"/>
      <c r="BT301" s="1111"/>
      <c r="BU301" s="1111"/>
      <c r="BV301" s="1111"/>
      <c r="BW301" s="1111"/>
      <c r="BX301" s="1111"/>
      <c r="BY301" s="1111"/>
      <c r="BZ301" s="1111"/>
      <c r="CA301" s="1111"/>
      <c r="CB301" s="1111"/>
      <c r="CC301" s="1111"/>
      <c r="CD301" s="1111"/>
      <c r="CE301" s="1111"/>
      <c r="CF301" s="1111"/>
      <c r="CG301" s="1111"/>
      <c r="CH301" s="1111"/>
      <c r="CI301" s="1111"/>
      <c r="CJ301" s="1111"/>
      <c r="CK301" s="1110"/>
    </row>
    <row r="302" spans="1:89" ht="14.4" x14ac:dyDescent="0.3">
      <c r="A302" s="1110"/>
      <c r="B302" s="1110"/>
      <c r="C302" s="1110"/>
      <c r="D302" s="1110"/>
      <c r="E302" s="1110"/>
      <c r="F302" s="1110"/>
      <c r="G302" s="1110"/>
      <c r="H302" s="1110"/>
      <c r="I302" s="1110"/>
      <c r="J302" s="1110"/>
      <c r="K302" s="1110"/>
      <c r="L302" s="1110"/>
      <c r="M302" s="1110"/>
      <c r="N302" s="1110"/>
      <c r="O302" s="1110"/>
      <c r="P302" s="1110"/>
      <c r="Q302" s="1110"/>
      <c r="R302" s="1110"/>
      <c r="S302" s="1110"/>
      <c r="T302" s="1111"/>
      <c r="U302" s="1111"/>
      <c r="V302" s="1111"/>
      <c r="W302" s="1111"/>
      <c r="X302" s="1111"/>
      <c r="Y302" s="1111"/>
      <c r="Z302" s="1111"/>
      <c r="AA302" s="1111"/>
      <c r="AB302" s="1111"/>
      <c r="AC302" s="1111"/>
      <c r="AD302" s="1111"/>
      <c r="AE302" s="1111"/>
      <c r="AF302" s="1111"/>
      <c r="AG302" s="1111"/>
      <c r="AH302" s="1111"/>
      <c r="AI302" s="1111"/>
      <c r="AJ302" s="1111"/>
      <c r="AK302" s="1111"/>
      <c r="AL302" s="1111"/>
      <c r="AM302" s="1111"/>
      <c r="AN302" s="1111"/>
      <c r="AO302" s="1111"/>
      <c r="AP302" s="1111"/>
      <c r="AQ302" s="1111"/>
      <c r="AR302" s="1111"/>
      <c r="AS302" s="1111"/>
      <c r="AT302" s="1111"/>
      <c r="AU302" s="1111"/>
      <c r="AV302" s="1111"/>
      <c r="AW302" s="1111"/>
      <c r="AX302" s="1111"/>
      <c r="AY302" s="1111"/>
      <c r="AZ302" s="1111"/>
      <c r="BA302" s="1111"/>
      <c r="BB302" s="1111"/>
      <c r="BC302" s="1111"/>
      <c r="BD302" s="1111"/>
      <c r="BE302" s="1111"/>
      <c r="BF302" s="1111"/>
      <c r="BG302" s="1111"/>
      <c r="BH302" s="1111"/>
      <c r="BI302" s="1111"/>
      <c r="BJ302" s="1111"/>
      <c r="BK302" s="1111"/>
      <c r="BL302" s="1111"/>
      <c r="BM302" s="1111"/>
      <c r="BN302" s="1111"/>
      <c r="BO302" s="1111"/>
      <c r="BP302" s="1111"/>
      <c r="BQ302" s="1111"/>
      <c r="BR302" s="1111"/>
      <c r="BS302" s="1111"/>
      <c r="BT302" s="1111"/>
      <c r="BU302" s="1111"/>
      <c r="BV302" s="1111"/>
      <c r="BW302" s="1111"/>
      <c r="BX302" s="1111"/>
      <c r="BY302" s="1111"/>
      <c r="BZ302" s="1111"/>
      <c r="CA302" s="1111"/>
      <c r="CB302" s="1111"/>
      <c r="CC302" s="1111"/>
      <c r="CD302" s="1111"/>
      <c r="CE302" s="1111"/>
      <c r="CF302" s="1111"/>
      <c r="CG302" s="1111"/>
      <c r="CH302" s="1111"/>
      <c r="CI302" s="1111"/>
      <c r="CJ302" s="1111"/>
      <c r="CK302" s="1110"/>
    </row>
    <row r="303" spans="1:89" ht="14.4" x14ac:dyDescent="0.3">
      <c r="A303" s="1110"/>
      <c r="B303" s="1110"/>
      <c r="C303" s="1110"/>
      <c r="D303" s="1110"/>
      <c r="E303" s="1110"/>
      <c r="F303" s="1110"/>
      <c r="G303" s="1110"/>
      <c r="H303" s="1110"/>
      <c r="I303" s="1110"/>
      <c r="J303" s="1110"/>
      <c r="K303" s="1110"/>
      <c r="L303" s="1110"/>
      <c r="M303" s="1110"/>
      <c r="N303" s="1110"/>
      <c r="O303" s="1110"/>
      <c r="P303" s="1110"/>
      <c r="Q303" s="1110"/>
      <c r="R303" s="1110"/>
      <c r="S303" s="1110"/>
      <c r="T303" s="1111"/>
      <c r="U303" s="1111"/>
      <c r="V303" s="1111"/>
      <c r="W303" s="1111"/>
      <c r="X303" s="1111"/>
      <c r="Y303" s="1111"/>
      <c r="Z303" s="1111"/>
      <c r="AA303" s="1111"/>
      <c r="AB303" s="1111"/>
      <c r="AC303" s="1111"/>
      <c r="AD303" s="1111"/>
      <c r="AE303" s="1111"/>
      <c r="AF303" s="1111"/>
      <c r="AG303" s="1111"/>
      <c r="AH303" s="1111"/>
      <c r="AI303" s="1111"/>
      <c r="AJ303" s="1111"/>
      <c r="AK303" s="1111"/>
      <c r="AL303" s="1111"/>
      <c r="AM303" s="1111"/>
      <c r="AN303" s="1111"/>
      <c r="AO303" s="1111"/>
      <c r="AP303" s="1111"/>
      <c r="AQ303" s="1111"/>
      <c r="AR303" s="1111"/>
      <c r="AS303" s="1111"/>
      <c r="AT303" s="1111"/>
      <c r="AU303" s="1111"/>
      <c r="AV303" s="1111"/>
      <c r="AW303" s="1111"/>
      <c r="AX303" s="1111"/>
      <c r="AY303" s="1111"/>
      <c r="AZ303" s="1111"/>
      <c r="BA303" s="1111"/>
      <c r="BB303" s="1111"/>
      <c r="BC303" s="1111"/>
      <c r="BD303" s="1111"/>
      <c r="BE303" s="1111"/>
      <c r="BF303" s="1111"/>
      <c r="BG303" s="1111"/>
      <c r="BH303" s="1111"/>
      <c r="BI303" s="1111"/>
      <c r="BJ303" s="1111"/>
      <c r="BK303" s="1111"/>
      <c r="BL303" s="1111"/>
      <c r="BM303" s="1111"/>
      <c r="BN303" s="1111"/>
      <c r="BO303" s="1111"/>
      <c r="BP303" s="1111"/>
      <c r="BQ303" s="1111"/>
      <c r="BR303" s="1111"/>
      <c r="BS303" s="1111"/>
      <c r="BT303" s="1111"/>
      <c r="BU303" s="1111"/>
      <c r="BV303" s="1111"/>
      <c r="BW303" s="1111"/>
      <c r="BX303" s="1111"/>
      <c r="BY303" s="1111"/>
      <c r="BZ303" s="1111"/>
      <c r="CA303" s="1111"/>
      <c r="CB303" s="1111"/>
      <c r="CC303" s="1111"/>
      <c r="CD303" s="1111"/>
      <c r="CE303" s="1111"/>
      <c r="CF303" s="1111"/>
      <c r="CG303" s="1111"/>
      <c r="CH303" s="1111"/>
      <c r="CI303" s="1111"/>
      <c r="CJ303" s="1111"/>
      <c r="CK303" s="1110"/>
    </row>
    <row r="304" spans="1:89" ht="14.4" x14ac:dyDescent="0.3">
      <c r="A304" s="1110"/>
      <c r="B304" s="1110"/>
      <c r="C304" s="1110"/>
      <c r="D304" s="1110"/>
      <c r="E304" s="1110"/>
      <c r="F304" s="1110"/>
      <c r="G304" s="1110"/>
      <c r="H304" s="1110"/>
      <c r="I304" s="1110"/>
      <c r="J304" s="1110"/>
      <c r="K304" s="1110"/>
      <c r="L304" s="1110"/>
      <c r="M304" s="1110"/>
      <c r="N304" s="1110"/>
      <c r="O304" s="1110"/>
      <c r="P304" s="1110"/>
      <c r="Q304" s="1110"/>
      <c r="R304" s="1110"/>
      <c r="S304" s="1110"/>
      <c r="T304" s="1111"/>
      <c r="U304" s="1111"/>
      <c r="V304" s="1111"/>
      <c r="W304" s="1111"/>
      <c r="X304" s="1111"/>
      <c r="Y304" s="1111"/>
      <c r="Z304" s="1111"/>
      <c r="AA304" s="1111"/>
      <c r="AB304" s="1111"/>
      <c r="AC304" s="1111"/>
      <c r="AD304" s="1111"/>
      <c r="AE304" s="1111"/>
      <c r="AF304" s="1111"/>
      <c r="AG304" s="1111"/>
      <c r="AH304" s="1111"/>
      <c r="AI304" s="1111"/>
      <c r="AJ304" s="1111"/>
      <c r="AK304" s="1111"/>
      <c r="AL304" s="1111"/>
      <c r="AM304" s="1111"/>
      <c r="AN304" s="1111"/>
      <c r="AO304" s="1111"/>
      <c r="AP304" s="1111"/>
      <c r="AQ304" s="1111"/>
      <c r="AR304" s="1111"/>
      <c r="AS304" s="1111"/>
      <c r="AT304" s="1111"/>
      <c r="AU304" s="1111"/>
      <c r="AV304" s="1111"/>
      <c r="AW304" s="1111"/>
      <c r="AX304" s="1111"/>
      <c r="AY304" s="1111"/>
      <c r="AZ304" s="1111"/>
      <c r="BA304" s="1111"/>
      <c r="BB304" s="1111"/>
      <c r="BC304" s="1111"/>
      <c r="BD304" s="1111"/>
      <c r="BE304" s="1111"/>
      <c r="BF304" s="1111"/>
      <c r="BG304" s="1111"/>
      <c r="BH304" s="1111"/>
      <c r="BI304" s="1111"/>
      <c r="BJ304" s="1111"/>
      <c r="BK304" s="1111"/>
      <c r="BL304" s="1111"/>
      <c r="BM304" s="1111"/>
      <c r="BN304" s="1111"/>
      <c r="BO304" s="1111"/>
      <c r="BP304" s="1111"/>
      <c r="BQ304" s="1111"/>
      <c r="BR304" s="1111"/>
      <c r="BS304" s="1111"/>
      <c r="BT304" s="1111"/>
      <c r="BU304" s="1111"/>
      <c r="BV304" s="1111"/>
      <c r="BW304" s="1111"/>
      <c r="BX304" s="1111"/>
      <c r="BY304" s="1111"/>
      <c r="BZ304" s="1111"/>
      <c r="CA304" s="1111"/>
      <c r="CB304" s="1111"/>
      <c r="CC304" s="1111"/>
      <c r="CD304" s="1111"/>
      <c r="CE304" s="1111"/>
      <c r="CF304" s="1111"/>
      <c r="CG304" s="1111"/>
      <c r="CH304" s="1111"/>
      <c r="CI304" s="1111"/>
      <c r="CJ304" s="1111"/>
      <c r="CK304" s="1110"/>
    </row>
    <row r="305" spans="1:89" ht="14.4" x14ac:dyDescent="0.3">
      <c r="A305" s="1110"/>
      <c r="B305" s="1110"/>
      <c r="C305" s="1110"/>
      <c r="D305" s="1110"/>
      <c r="E305" s="1110"/>
      <c r="F305" s="1110"/>
      <c r="G305" s="1110"/>
      <c r="H305" s="1110"/>
      <c r="I305" s="1110"/>
      <c r="J305" s="1110"/>
      <c r="K305" s="1110"/>
      <c r="L305" s="1110"/>
      <c r="M305" s="1110"/>
      <c r="N305" s="1110"/>
      <c r="O305" s="1110"/>
      <c r="P305" s="1110"/>
      <c r="Q305" s="1110"/>
      <c r="R305" s="1110"/>
      <c r="S305" s="1110"/>
      <c r="T305" s="1111"/>
      <c r="U305" s="1111"/>
      <c r="V305" s="1111"/>
      <c r="W305" s="1111"/>
      <c r="X305" s="1111"/>
      <c r="Y305" s="1111"/>
      <c r="Z305" s="1111"/>
      <c r="AA305" s="1111"/>
      <c r="AB305" s="1111"/>
      <c r="AC305" s="1111"/>
      <c r="AD305" s="1111"/>
      <c r="AE305" s="1111"/>
      <c r="AF305" s="1111"/>
      <c r="AG305" s="1111"/>
      <c r="AH305" s="1111"/>
      <c r="AI305" s="1111"/>
      <c r="AJ305" s="1111"/>
      <c r="AK305" s="1111"/>
      <c r="AL305" s="1111"/>
      <c r="AM305" s="1111"/>
      <c r="AN305" s="1111"/>
      <c r="AO305" s="1111"/>
      <c r="AP305" s="1111"/>
      <c r="AQ305" s="1111"/>
      <c r="AR305" s="1111"/>
      <c r="AS305" s="1111"/>
      <c r="AT305" s="1111"/>
      <c r="AU305" s="1111"/>
      <c r="AV305" s="1111"/>
      <c r="AW305" s="1111"/>
      <c r="AX305" s="1111"/>
      <c r="AY305" s="1111"/>
      <c r="AZ305" s="1111"/>
      <c r="BA305" s="1111"/>
      <c r="BB305" s="1111"/>
      <c r="BC305" s="1111"/>
      <c r="BD305" s="1111"/>
      <c r="BE305" s="1111"/>
      <c r="BF305" s="1111"/>
      <c r="BG305" s="1111"/>
      <c r="BH305" s="1111"/>
      <c r="BI305" s="1111"/>
      <c r="BJ305" s="1111"/>
      <c r="BK305" s="1111"/>
      <c r="BL305" s="1111"/>
      <c r="BM305" s="1111"/>
      <c r="BN305" s="1111"/>
      <c r="BO305" s="1111"/>
      <c r="BP305" s="1111"/>
      <c r="BQ305" s="1111"/>
      <c r="BR305" s="1111"/>
      <c r="BS305" s="1111"/>
      <c r="BT305" s="1111"/>
      <c r="BU305" s="1111"/>
      <c r="BV305" s="1111"/>
      <c r="BW305" s="1111"/>
      <c r="BX305" s="1111"/>
      <c r="BY305" s="1111"/>
      <c r="BZ305" s="1111"/>
      <c r="CA305" s="1111"/>
      <c r="CB305" s="1111"/>
      <c r="CC305" s="1111"/>
      <c r="CD305" s="1111"/>
      <c r="CE305" s="1111"/>
      <c r="CF305" s="1111"/>
      <c r="CG305" s="1111"/>
      <c r="CH305" s="1111"/>
      <c r="CI305" s="1111"/>
      <c r="CJ305" s="1111"/>
      <c r="CK305" s="1110"/>
    </row>
    <row r="306" spans="1:89" ht="14.4" x14ac:dyDescent="0.3">
      <c r="A306" s="1110"/>
      <c r="B306" s="1110"/>
      <c r="C306" s="1110"/>
      <c r="D306" s="1110"/>
      <c r="E306" s="1110"/>
      <c r="F306" s="1110"/>
      <c r="G306" s="1110"/>
      <c r="H306" s="1110"/>
      <c r="I306" s="1110"/>
      <c r="J306" s="1110"/>
      <c r="K306" s="1110"/>
      <c r="L306" s="1110"/>
      <c r="M306" s="1110"/>
      <c r="N306" s="1110"/>
      <c r="O306" s="1110"/>
      <c r="P306" s="1110"/>
      <c r="Q306" s="1110"/>
      <c r="R306" s="1110"/>
      <c r="S306" s="1110"/>
      <c r="T306" s="1111"/>
      <c r="U306" s="1111"/>
      <c r="V306" s="1111"/>
      <c r="W306" s="1111"/>
      <c r="X306" s="1111"/>
      <c r="Y306" s="1111"/>
      <c r="Z306" s="1111"/>
      <c r="AA306" s="1111"/>
      <c r="AB306" s="1111"/>
      <c r="AC306" s="1111"/>
      <c r="AD306" s="1111"/>
      <c r="AE306" s="1111"/>
      <c r="AF306" s="1111"/>
      <c r="AG306" s="1111"/>
      <c r="AH306" s="1111"/>
      <c r="AI306" s="1111"/>
      <c r="AJ306" s="1111"/>
      <c r="AK306" s="1111"/>
      <c r="AL306" s="1111"/>
      <c r="AM306" s="1111"/>
      <c r="AN306" s="1111"/>
      <c r="AO306" s="1111"/>
      <c r="AP306" s="1111"/>
      <c r="AQ306" s="1111"/>
      <c r="AR306" s="1111"/>
      <c r="AS306" s="1111"/>
      <c r="AT306" s="1111"/>
      <c r="AU306" s="1111"/>
      <c r="AV306" s="1111"/>
      <c r="AW306" s="1111"/>
      <c r="AX306" s="1111"/>
      <c r="AY306" s="1111"/>
      <c r="AZ306" s="1111"/>
      <c r="BA306" s="1111"/>
      <c r="BB306" s="1111"/>
      <c r="BC306" s="1111"/>
      <c r="BD306" s="1111"/>
      <c r="BE306" s="1111"/>
      <c r="BF306" s="1111"/>
      <c r="BG306" s="1111"/>
      <c r="BH306" s="1111"/>
      <c r="BI306" s="1111"/>
      <c r="BJ306" s="1111"/>
      <c r="BK306" s="1111"/>
      <c r="BL306" s="1111"/>
      <c r="BM306" s="1111"/>
      <c r="BN306" s="1111"/>
      <c r="BO306" s="1111"/>
      <c r="BP306" s="1111"/>
      <c r="BQ306" s="1111"/>
      <c r="BR306" s="1111"/>
      <c r="BS306" s="1111"/>
      <c r="BT306" s="1111"/>
      <c r="BU306" s="1111"/>
      <c r="BV306" s="1111"/>
      <c r="BW306" s="1111"/>
      <c r="BX306" s="1111"/>
      <c r="BY306" s="1111"/>
      <c r="BZ306" s="1111"/>
      <c r="CA306" s="1111"/>
      <c r="CB306" s="1111"/>
      <c r="CC306" s="1111"/>
      <c r="CD306" s="1111"/>
      <c r="CE306" s="1111"/>
      <c r="CF306" s="1111"/>
      <c r="CG306" s="1111"/>
      <c r="CH306" s="1111"/>
      <c r="CI306" s="1111"/>
      <c r="CJ306" s="1111"/>
      <c r="CK306" s="1110"/>
    </row>
    <row r="307" spans="1:89" ht="14.4" x14ac:dyDescent="0.3">
      <c r="A307" s="1110"/>
      <c r="B307" s="1110"/>
      <c r="C307" s="1110"/>
      <c r="D307" s="1110"/>
      <c r="E307" s="1110"/>
      <c r="F307" s="1110"/>
      <c r="G307" s="1110"/>
      <c r="H307" s="1110"/>
      <c r="I307" s="1110"/>
      <c r="J307" s="1110"/>
      <c r="K307" s="1110"/>
      <c r="L307" s="1110"/>
      <c r="M307" s="1110"/>
      <c r="N307" s="1110"/>
      <c r="O307" s="1110"/>
      <c r="P307" s="1110"/>
      <c r="Q307" s="1110"/>
      <c r="R307" s="1110"/>
      <c r="S307" s="1110"/>
      <c r="T307" s="1111"/>
      <c r="U307" s="1111"/>
      <c r="V307" s="1111"/>
      <c r="W307" s="1111"/>
      <c r="X307" s="1111"/>
      <c r="Y307" s="1111"/>
      <c r="Z307" s="1111"/>
      <c r="AA307" s="1111"/>
      <c r="AB307" s="1111"/>
      <c r="AC307" s="1111"/>
      <c r="AD307" s="1111"/>
      <c r="AE307" s="1111"/>
      <c r="AF307" s="1111"/>
      <c r="AG307" s="1111"/>
      <c r="AH307" s="1111"/>
      <c r="AI307" s="1111"/>
      <c r="AJ307" s="1111"/>
      <c r="AK307" s="1111"/>
      <c r="AL307" s="1111"/>
      <c r="AM307" s="1111"/>
      <c r="AN307" s="1111"/>
      <c r="AO307" s="1111"/>
      <c r="AP307" s="1111"/>
      <c r="AQ307" s="1111"/>
      <c r="AR307" s="1111"/>
      <c r="AS307" s="1111"/>
      <c r="AT307" s="1111"/>
      <c r="AU307" s="1111"/>
      <c r="AV307" s="1111"/>
      <c r="AW307" s="1111"/>
      <c r="AX307" s="1111"/>
      <c r="AY307" s="1111"/>
      <c r="AZ307" s="1111"/>
      <c r="BA307" s="1111"/>
      <c r="BB307" s="1111"/>
      <c r="BC307" s="1111"/>
      <c r="BD307" s="1111"/>
      <c r="BE307" s="1111"/>
      <c r="BF307" s="1111"/>
      <c r="BG307" s="1111"/>
      <c r="BH307" s="1111"/>
      <c r="BI307" s="1111"/>
      <c r="BJ307" s="1111"/>
      <c r="BK307" s="1111"/>
      <c r="BL307" s="1111"/>
      <c r="BM307" s="1111"/>
      <c r="BN307" s="1111"/>
      <c r="BO307" s="1111"/>
      <c r="BP307" s="1111"/>
      <c r="BQ307" s="1111"/>
      <c r="BR307" s="1111"/>
      <c r="BS307" s="1111"/>
      <c r="BT307" s="1111"/>
      <c r="BU307" s="1111"/>
      <c r="BV307" s="1111"/>
      <c r="BW307" s="1111"/>
      <c r="BX307" s="1111"/>
      <c r="BY307" s="1111"/>
      <c r="BZ307" s="1111"/>
      <c r="CA307" s="1111"/>
      <c r="CB307" s="1111"/>
      <c r="CC307" s="1111"/>
      <c r="CD307" s="1111"/>
      <c r="CE307" s="1111"/>
      <c r="CF307" s="1111"/>
      <c r="CG307" s="1111"/>
      <c r="CH307" s="1111"/>
      <c r="CI307" s="1111"/>
      <c r="CJ307" s="1111"/>
      <c r="CK307" s="1110"/>
    </row>
    <row r="308" spans="1:89" ht="14.4" x14ac:dyDescent="0.3">
      <c r="A308" s="1110"/>
      <c r="B308" s="1110"/>
      <c r="C308" s="1110"/>
      <c r="D308" s="1110"/>
      <c r="E308" s="1110"/>
      <c r="F308" s="1110"/>
      <c r="G308" s="1110"/>
      <c r="H308" s="1110"/>
      <c r="I308" s="1110"/>
      <c r="J308" s="1110"/>
      <c r="K308" s="1110"/>
      <c r="L308" s="1110"/>
      <c r="M308" s="1110"/>
      <c r="N308" s="1110"/>
      <c r="O308" s="1110"/>
      <c r="P308" s="1110"/>
      <c r="Q308" s="1110"/>
      <c r="R308" s="1110"/>
      <c r="S308" s="1110"/>
      <c r="T308" s="1111"/>
      <c r="U308" s="1111"/>
      <c r="V308" s="1111"/>
      <c r="W308" s="1111"/>
      <c r="X308" s="1111"/>
      <c r="Y308" s="1111"/>
      <c r="Z308" s="1111"/>
      <c r="AA308" s="1111"/>
      <c r="AB308" s="1111"/>
      <c r="AC308" s="1111"/>
      <c r="AD308" s="1111"/>
      <c r="AE308" s="1111"/>
      <c r="AF308" s="1111"/>
      <c r="AG308" s="1111"/>
      <c r="AH308" s="1111"/>
      <c r="AI308" s="1111"/>
      <c r="AJ308" s="1111"/>
      <c r="AK308" s="1111"/>
      <c r="AL308" s="1111"/>
      <c r="AM308" s="1111"/>
      <c r="AN308" s="1111"/>
      <c r="AO308" s="1111"/>
      <c r="AP308" s="1111"/>
      <c r="AQ308" s="1111"/>
      <c r="AR308" s="1111"/>
      <c r="AS308" s="1111"/>
      <c r="AT308" s="1111"/>
      <c r="AU308" s="1111"/>
      <c r="AV308" s="1111"/>
      <c r="AW308" s="1111"/>
      <c r="AX308" s="1111"/>
      <c r="AY308" s="1111"/>
      <c r="AZ308" s="1111"/>
      <c r="BA308" s="1111"/>
      <c r="BB308" s="1111"/>
      <c r="BC308" s="1111"/>
      <c r="BD308" s="1111"/>
      <c r="BE308" s="1111"/>
      <c r="BF308" s="1111"/>
      <c r="BG308" s="1111"/>
      <c r="BH308" s="1111"/>
      <c r="BI308" s="1111"/>
      <c r="BJ308" s="1111"/>
      <c r="BK308" s="1111"/>
      <c r="BL308" s="1111"/>
      <c r="BM308" s="1111"/>
      <c r="BN308" s="1111"/>
      <c r="BO308" s="1111"/>
      <c r="BP308" s="1111"/>
      <c r="BQ308" s="1111"/>
      <c r="BR308" s="1111"/>
      <c r="BS308" s="1111"/>
      <c r="BT308" s="1111"/>
      <c r="BU308" s="1111"/>
      <c r="BV308" s="1111"/>
      <c r="BW308" s="1111"/>
      <c r="BX308" s="1111"/>
      <c r="BY308" s="1111"/>
      <c r="BZ308" s="1111"/>
      <c r="CA308" s="1111"/>
      <c r="CB308" s="1111"/>
      <c r="CC308" s="1111"/>
      <c r="CD308" s="1111"/>
      <c r="CE308" s="1111"/>
      <c r="CF308" s="1111"/>
      <c r="CG308" s="1111"/>
      <c r="CH308" s="1111"/>
      <c r="CI308" s="1111"/>
      <c r="CJ308" s="1111"/>
      <c r="CK308" s="1110"/>
    </row>
    <row r="309" spans="1:89" ht="14.4" x14ac:dyDescent="0.3">
      <c r="A309" s="1110"/>
      <c r="B309" s="1110"/>
      <c r="C309" s="1110"/>
      <c r="D309" s="1110"/>
      <c r="E309" s="1110"/>
      <c r="F309" s="1110"/>
      <c r="G309" s="1110"/>
      <c r="H309" s="1110"/>
      <c r="I309" s="1110"/>
      <c r="J309" s="1110"/>
      <c r="K309" s="1110"/>
      <c r="L309" s="1110"/>
      <c r="M309" s="1110"/>
      <c r="N309" s="1110"/>
      <c r="O309" s="1110"/>
      <c r="P309" s="1110"/>
      <c r="Q309" s="1110"/>
      <c r="R309" s="1110"/>
      <c r="S309" s="1110"/>
      <c r="T309" s="1111"/>
      <c r="U309" s="1111"/>
      <c r="V309" s="1111"/>
      <c r="W309" s="1111"/>
      <c r="X309" s="1111"/>
      <c r="Y309" s="1111"/>
      <c r="Z309" s="1111"/>
      <c r="AA309" s="1111"/>
      <c r="AB309" s="1111"/>
      <c r="AC309" s="1111"/>
      <c r="AD309" s="1111"/>
      <c r="AE309" s="1111"/>
      <c r="AF309" s="1111"/>
      <c r="AG309" s="1111"/>
      <c r="AH309" s="1111"/>
      <c r="AI309" s="1111"/>
      <c r="AJ309" s="1111"/>
      <c r="AK309" s="1111"/>
      <c r="AL309" s="1111"/>
      <c r="AM309" s="1111"/>
      <c r="AN309" s="1111"/>
      <c r="AO309" s="1111"/>
      <c r="AP309" s="1111"/>
      <c r="AQ309" s="1111"/>
      <c r="AR309" s="1111"/>
      <c r="AS309" s="1111"/>
      <c r="AT309" s="1111"/>
      <c r="AU309" s="1111"/>
      <c r="AV309" s="1111"/>
      <c r="AW309" s="1111"/>
      <c r="AX309" s="1111"/>
      <c r="AY309" s="1111"/>
      <c r="AZ309" s="1111"/>
      <c r="BA309" s="1111"/>
      <c r="BB309" s="1111"/>
      <c r="BC309" s="1111"/>
      <c r="BD309" s="1111"/>
      <c r="BE309" s="1111"/>
      <c r="BF309" s="1111"/>
      <c r="BG309" s="1111"/>
      <c r="BH309" s="1111"/>
      <c r="BI309" s="1111"/>
      <c r="BJ309" s="1111"/>
      <c r="BK309" s="1111"/>
      <c r="BL309" s="1111"/>
      <c r="BM309" s="1111"/>
      <c r="BN309" s="1111"/>
      <c r="BO309" s="1111"/>
      <c r="BP309" s="1111"/>
      <c r="BQ309" s="1111"/>
      <c r="BR309" s="1111"/>
      <c r="BS309" s="1111"/>
      <c r="BT309" s="1111"/>
      <c r="BU309" s="1111"/>
      <c r="BV309" s="1111"/>
      <c r="BW309" s="1111"/>
      <c r="BX309" s="1111"/>
      <c r="BY309" s="1111"/>
      <c r="BZ309" s="1111"/>
      <c r="CA309" s="1111"/>
      <c r="CB309" s="1111"/>
      <c r="CC309" s="1111"/>
      <c r="CD309" s="1111"/>
      <c r="CE309" s="1111"/>
      <c r="CF309" s="1111"/>
      <c r="CG309" s="1111"/>
      <c r="CH309" s="1111"/>
      <c r="CI309" s="1111"/>
      <c r="CJ309" s="1111"/>
      <c r="CK309" s="1110"/>
    </row>
    <row r="310" spans="1:89" ht="14.4" x14ac:dyDescent="0.3">
      <c r="A310" s="1110"/>
      <c r="B310" s="1110"/>
      <c r="C310" s="1110"/>
      <c r="D310" s="1110"/>
      <c r="E310" s="1110"/>
      <c r="F310" s="1110"/>
      <c r="G310" s="1110"/>
      <c r="H310" s="1110"/>
      <c r="I310" s="1110"/>
      <c r="J310" s="1110"/>
      <c r="K310" s="1110"/>
      <c r="L310" s="1110"/>
      <c r="M310" s="1110"/>
      <c r="N310" s="1110"/>
      <c r="O310" s="1110"/>
      <c r="P310" s="1110"/>
      <c r="Q310" s="1110"/>
      <c r="R310" s="1110"/>
      <c r="S310" s="1110"/>
      <c r="T310" s="1111"/>
      <c r="U310" s="1111"/>
      <c r="V310" s="1111"/>
      <c r="W310" s="1111"/>
      <c r="X310" s="1111"/>
      <c r="Y310" s="1111"/>
      <c r="Z310" s="1111"/>
      <c r="AA310" s="1111"/>
      <c r="AB310" s="1111"/>
      <c r="AC310" s="1111"/>
      <c r="AD310" s="1111"/>
      <c r="AE310" s="1111"/>
      <c r="AF310" s="1111"/>
      <c r="AG310" s="1111"/>
      <c r="AH310" s="1111"/>
      <c r="AI310" s="1111"/>
      <c r="AJ310" s="1111"/>
      <c r="AK310" s="1111"/>
      <c r="AL310" s="1111"/>
      <c r="AM310" s="1111"/>
      <c r="AN310" s="1111"/>
      <c r="AO310" s="1111"/>
      <c r="AP310" s="1111"/>
      <c r="AQ310" s="1111"/>
      <c r="AR310" s="1111"/>
      <c r="AS310" s="1111"/>
      <c r="AT310" s="1111"/>
      <c r="AU310" s="1111"/>
      <c r="AV310" s="1111"/>
      <c r="AW310" s="1111"/>
      <c r="AX310" s="1111"/>
      <c r="AY310" s="1111"/>
      <c r="AZ310" s="1111"/>
      <c r="BA310" s="1111"/>
      <c r="BB310" s="1111"/>
      <c r="BC310" s="1111"/>
      <c r="BD310" s="1111"/>
      <c r="BE310" s="1111"/>
      <c r="BF310" s="1111"/>
      <c r="BG310" s="1111"/>
      <c r="BH310" s="1111"/>
      <c r="BI310" s="1111"/>
      <c r="BJ310" s="1111"/>
      <c r="BK310" s="1111"/>
      <c r="BL310" s="1111"/>
      <c r="BM310" s="1111"/>
      <c r="BN310" s="1111"/>
      <c r="BO310" s="1111"/>
      <c r="BP310" s="1111"/>
      <c r="BQ310" s="1111"/>
      <c r="BR310" s="1111"/>
      <c r="BS310" s="1111"/>
      <c r="BT310" s="1111"/>
      <c r="BU310" s="1111"/>
      <c r="BV310" s="1111"/>
      <c r="BW310" s="1111"/>
      <c r="BX310" s="1111"/>
      <c r="BY310" s="1111"/>
      <c r="BZ310" s="1111"/>
      <c r="CA310" s="1111"/>
      <c r="CB310" s="1111"/>
      <c r="CC310" s="1111"/>
      <c r="CD310" s="1111"/>
      <c r="CE310" s="1111"/>
      <c r="CF310" s="1111"/>
      <c r="CG310" s="1111"/>
      <c r="CH310" s="1111"/>
      <c r="CI310" s="1111"/>
      <c r="CJ310" s="1111"/>
      <c r="CK310" s="1110"/>
    </row>
    <row r="311" spans="1:89" ht="14.4" x14ac:dyDescent="0.3">
      <c r="A311" s="1110"/>
      <c r="B311" s="1110"/>
      <c r="C311" s="1110"/>
      <c r="D311" s="1110"/>
      <c r="E311" s="1110"/>
      <c r="F311" s="1110"/>
      <c r="G311" s="1110"/>
      <c r="H311" s="1110"/>
      <c r="I311" s="1110"/>
      <c r="J311" s="1110"/>
      <c r="K311" s="1110"/>
      <c r="L311" s="1110"/>
      <c r="M311" s="1110"/>
      <c r="N311" s="1110"/>
      <c r="O311" s="1110"/>
      <c r="P311" s="1110"/>
      <c r="Q311" s="1110"/>
      <c r="R311" s="1110"/>
      <c r="S311" s="1110"/>
      <c r="T311" s="1111"/>
      <c r="U311" s="1111"/>
      <c r="V311" s="1111"/>
      <c r="W311" s="1111"/>
      <c r="X311" s="1111"/>
      <c r="Y311" s="1111"/>
      <c r="Z311" s="1111"/>
      <c r="AA311" s="1111"/>
      <c r="AB311" s="1111"/>
      <c r="AC311" s="1111"/>
      <c r="AD311" s="1111"/>
      <c r="AE311" s="1111"/>
      <c r="AF311" s="1111"/>
      <c r="AG311" s="1111"/>
      <c r="AH311" s="1111"/>
      <c r="AI311" s="1111"/>
      <c r="AJ311" s="1111"/>
      <c r="AK311" s="1111"/>
      <c r="AL311" s="1111"/>
      <c r="AM311" s="1111"/>
      <c r="AN311" s="1111"/>
      <c r="AO311" s="1111"/>
      <c r="AP311" s="1111"/>
      <c r="AQ311" s="1111"/>
      <c r="AR311" s="1111"/>
      <c r="AS311" s="1111"/>
      <c r="AT311" s="1111"/>
      <c r="AU311" s="1111"/>
      <c r="AV311" s="1111"/>
      <c r="AW311" s="1111"/>
      <c r="AX311" s="1111"/>
      <c r="AY311" s="1111"/>
      <c r="AZ311" s="1111"/>
      <c r="BA311" s="1111"/>
      <c r="BB311" s="1111"/>
      <c r="BC311" s="1111"/>
      <c r="BD311" s="1111"/>
      <c r="BE311" s="1111"/>
      <c r="BF311" s="1111"/>
      <c r="BG311" s="1111"/>
      <c r="BH311" s="1111"/>
      <c r="BI311" s="1111"/>
      <c r="BJ311" s="1111"/>
      <c r="BK311" s="1111"/>
      <c r="BL311" s="1111"/>
      <c r="BM311" s="1111"/>
      <c r="BN311" s="1111"/>
      <c r="BO311" s="1111"/>
      <c r="BP311" s="1111"/>
      <c r="BQ311" s="1111"/>
      <c r="BR311" s="1111"/>
      <c r="BS311" s="1111"/>
      <c r="BT311" s="1111"/>
      <c r="BU311" s="1111"/>
      <c r="BV311" s="1111"/>
      <c r="BW311" s="1111"/>
      <c r="BX311" s="1111"/>
      <c r="BY311" s="1111"/>
      <c r="BZ311" s="1111"/>
      <c r="CA311" s="1111"/>
      <c r="CB311" s="1111"/>
      <c r="CC311" s="1111"/>
      <c r="CD311" s="1111"/>
      <c r="CE311" s="1111"/>
      <c r="CF311" s="1111"/>
      <c r="CG311" s="1111"/>
      <c r="CH311" s="1111"/>
      <c r="CI311" s="1111"/>
      <c r="CJ311" s="1111"/>
      <c r="CK311" s="1110"/>
    </row>
    <row r="312" spans="1:89" ht="14.4" x14ac:dyDescent="0.3">
      <c r="A312" s="1110"/>
      <c r="B312" s="1110"/>
      <c r="C312" s="1110"/>
      <c r="D312" s="1110"/>
      <c r="E312" s="1110"/>
      <c r="F312" s="1110"/>
      <c r="G312" s="1110"/>
      <c r="H312" s="1110"/>
      <c r="I312" s="1110"/>
      <c r="J312" s="1110"/>
      <c r="K312" s="1110"/>
      <c r="L312" s="1110"/>
      <c r="M312" s="1110"/>
      <c r="N312" s="1110"/>
      <c r="O312" s="1110"/>
      <c r="P312" s="1110"/>
      <c r="Q312" s="1110"/>
      <c r="R312" s="1110"/>
      <c r="S312" s="1110"/>
      <c r="T312" s="1111"/>
      <c r="U312" s="1111"/>
      <c r="V312" s="1111"/>
      <c r="W312" s="1111"/>
      <c r="X312" s="1111"/>
      <c r="Y312" s="1111"/>
      <c r="Z312" s="1111"/>
      <c r="AA312" s="1111"/>
      <c r="AB312" s="1111"/>
      <c r="AC312" s="1111"/>
      <c r="AD312" s="1111"/>
      <c r="AE312" s="1111"/>
      <c r="AF312" s="1111"/>
      <c r="AG312" s="1111"/>
      <c r="AH312" s="1111"/>
      <c r="AI312" s="1111"/>
      <c r="AJ312" s="1111"/>
      <c r="AK312" s="1111"/>
      <c r="AL312" s="1111"/>
      <c r="AM312" s="1111"/>
      <c r="AN312" s="1111"/>
      <c r="AO312" s="1111"/>
      <c r="AP312" s="1111"/>
      <c r="AQ312" s="1111"/>
      <c r="AR312" s="1111"/>
      <c r="AS312" s="1111"/>
      <c r="AT312" s="1111"/>
      <c r="AU312" s="1111"/>
      <c r="AV312" s="1111"/>
      <c r="AW312" s="1111"/>
      <c r="AX312" s="1111"/>
      <c r="AY312" s="1111"/>
      <c r="AZ312" s="1111"/>
      <c r="BA312" s="1111"/>
      <c r="BB312" s="1111"/>
      <c r="BC312" s="1111"/>
      <c r="BD312" s="1111"/>
      <c r="BE312" s="1111"/>
      <c r="BF312" s="1111"/>
      <c r="BG312" s="1111"/>
      <c r="BH312" s="1111"/>
      <c r="BI312" s="1111"/>
      <c r="BJ312" s="1111"/>
      <c r="BK312" s="1111"/>
      <c r="BL312" s="1111"/>
      <c r="BM312" s="1111"/>
      <c r="BN312" s="1111"/>
      <c r="BO312" s="1111"/>
      <c r="BP312" s="1111"/>
      <c r="BQ312" s="1111"/>
      <c r="BR312" s="1111"/>
      <c r="BS312" s="1111"/>
      <c r="BT312" s="1111"/>
      <c r="BU312" s="1111"/>
      <c r="BV312" s="1111"/>
      <c r="BW312" s="1111"/>
      <c r="BX312" s="1111"/>
      <c r="BY312" s="1111"/>
      <c r="BZ312" s="1111"/>
      <c r="CA312" s="1111"/>
      <c r="CB312" s="1111"/>
      <c r="CC312" s="1111"/>
      <c r="CD312" s="1111"/>
      <c r="CE312" s="1111"/>
      <c r="CF312" s="1111"/>
      <c r="CG312" s="1111"/>
      <c r="CH312" s="1111"/>
      <c r="CI312" s="1111"/>
      <c r="CJ312" s="1111"/>
      <c r="CK312" s="1110"/>
    </row>
    <row r="313" spans="1:89" ht="14.4" x14ac:dyDescent="0.3">
      <c r="A313" s="1110"/>
      <c r="B313" s="1110"/>
      <c r="C313" s="1110"/>
      <c r="D313" s="1110"/>
      <c r="E313" s="1110"/>
      <c r="F313" s="1110"/>
      <c r="G313" s="1110"/>
      <c r="H313" s="1110"/>
      <c r="I313" s="1110"/>
      <c r="J313" s="1110"/>
      <c r="K313" s="1110"/>
      <c r="L313" s="1110"/>
      <c r="M313" s="1110"/>
      <c r="N313" s="1110"/>
      <c r="O313" s="1110"/>
      <c r="P313" s="1110"/>
      <c r="Q313" s="1110"/>
      <c r="R313" s="1110"/>
      <c r="S313" s="1110"/>
      <c r="T313" s="1111"/>
      <c r="U313" s="1111"/>
      <c r="V313" s="1111"/>
      <c r="W313" s="1111"/>
      <c r="X313" s="1111"/>
      <c r="Y313" s="1111"/>
      <c r="Z313" s="1111"/>
      <c r="AA313" s="1111"/>
      <c r="AB313" s="1111"/>
      <c r="AC313" s="1111"/>
      <c r="AD313" s="1111"/>
      <c r="AE313" s="1111"/>
      <c r="AF313" s="1111"/>
      <c r="AG313" s="1111"/>
      <c r="AH313" s="1111"/>
      <c r="AI313" s="1111"/>
      <c r="AJ313" s="1111"/>
      <c r="AK313" s="1111"/>
      <c r="AL313" s="1111"/>
      <c r="AM313" s="1111"/>
      <c r="AN313" s="1111"/>
      <c r="AO313" s="1111"/>
      <c r="AP313" s="1111"/>
      <c r="AQ313" s="1111"/>
      <c r="AR313" s="1111"/>
      <c r="AS313" s="1111"/>
      <c r="AT313" s="1111"/>
      <c r="AU313" s="1111"/>
      <c r="AV313" s="1111"/>
      <c r="AW313" s="1111"/>
      <c r="AX313" s="1111"/>
      <c r="AY313" s="1111"/>
      <c r="AZ313" s="1111"/>
      <c r="BA313" s="1111"/>
      <c r="BB313" s="1111"/>
      <c r="BC313" s="1111"/>
      <c r="BD313" s="1111"/>
      <c r="BE313" s="1111"/>
      <c r="BF313" s="1111"/>
      <c r="BG313" s="1111"/>
      <c r="BH313" s="1111"/>
      <c r="BI313" s="1111"/>
      <c r="BJ313" s="1111"/>
      <c r="BK313" s="1111"/>
      <c r="BL313" s="1111"/>
      <c r="BM313" s="1111"/>
      <c r="BN313" s="1111"/>
      <c r="BO313" s="1111"/>
      <c r="BP313" s="1111"/>
      <c r="BQ313" s="1111"/>
      <c r="BR313" s="1111"/>
      <c r="BS313" s="1111"/>
      <c r="BT313" s="1111"/>
      <c r="BU313" s="1111"/>
      <c r="BV313" s="1111"/>
      <c r="BW313" s="1111"/>
      <c r="BX313" s="1111"/>
      <c r="BY313" s="1111"/>
      <c r="BZ313" s="1111"/>
      <c r="CA313" s="1111"/>
      <c r="CB313" s="1111"/>
      <c r="CC313" s="1111"/>
      <c r="CD313" s="1111"/>
      <c r="CE313" s="1111"/>
      <c r="CF313" s="1111"/>
      <c r="CG313" s="1111"/>
      <c r="CH313" s="1111"/>
      <c r="CI313" s="1111"/>
      <c r="CJ313" s="1111"/>
      <c r="CK313" s="1110"/>
    </row>
    <row r="314" spans="1:89" ht="14.4" x14ac:dyDescent="0.3">
      <c r="A314" s="1110"/>
      <c r="B314" s="1110"/>
      <c r="C314" s="1110"/>
      <c r="D314" s="1110"/>
      <c r="E314" s="1110"/>
      <c r="F314" s="1110"/>
      <c r="G314" s="1110"/>
      <c r="H314" s="1110"/>
      <c r="I314" s="1110"/>
      <c r="J314" s="1110"/>
      <c r="K314" s="1110"/>
      <c r="L314" s="1110"/>
      <c r="M314" s="1110"/>
      <c r="N314" s="1110"/>
      <c r="O314" s="1110"/>
      <c r="P314" s="1110"/>
      <c r="Q314" s="1110"/>
      <c r="R314" s="1110"/>
      <c r="S314" s="1110"/>
      <c r="T314" s="1111"/>
      <c r="U314" s="1111"/>
      <c r="V314" s="1111"/>
      <c r="W314" s="1111"/>
      <c r="X314" s="1111"/>
      <c r="Y314" s="1111"/>
      <c r="Z314" s="1111"/>
      <c r="AA314" s="1111"/>
      <c r="AB314" s="1111"/>
      <c r="AC314" s="1111"/>
      <c r="AD314" s="1111"/>
      <c r="AE314" s="1111"/>
      <c r="AF314" s="1111"/>
      <c r="AG314" s="1111"/>
      <c r="AH314" s="1111"/>
      <c r="AI314" s="1111"/>
      <c r="AJ314" s="1111"/>
      <c r="AK314" s="1111"/>
      <c r="AL314" s="1111"/>
      <c r="AM314" s="1111"/>
      <c r="AN314" s="1111"/>
      <c r="AO314" s="1111"/>
      <c r="AP314" s="1111"/>
      <c r="AQ314" s="1111"/>
      <c r="AR314" s="1111"/>
      <c r="AS314" s="1111"/>
      <c r="AT314" s="1111"/>
      <c r="AU314" s="1111"/>
      <c r="AV314" s="1111"/>
      <c r="AW314" s="1111"/>
      <c r="AX314" s="1111"/>
      <c r="AY314" s="1111"/>
      <c r="AZ314" s="1111"/>
      <c r="BA314" s="1111"/>
      <c r="BB314" s="1111"/>
      <c r="BC314" s="1111"/>
      <c r="BD314" s="1111"/>
      <c r="BE314" s="1111"/>
      <c r="BF314" s="1111"/>
      <c r="BG314" s="1111"/>
      <c r="BH314" s="1111"/>
      <c r="BI314" s="1111"/>
      <c r="BJ314" s="1111"/>
      <c r="BK314" s="1111"/>
      <c r="BL314" s="1111"/>
      <c r="BM314" s="1111"/>
      <c r="BN314" s="1111"/>
      <c r="BO314" s="1111"/>
      <c r="BP314" s="1111"/>
      <c r="BQ314" s="1111"/>
      <c r="BR314" s="1111"/>
      <c r="BS314" s="1111"/>
      <c r="BT314" s="1111"/>
      <c r="BU314" s="1111"/>
      <c r="BV314" s="1111"/>
      <c r="BW314" s="1111"/>
      <c r="BX314" s="1111"/>
      <c r="BY314" s="1111"/>
      <c r="BZ314" s="1111"/>
      <c r="CA314" s="1111"/>
      <c r="CB314" s="1111"/>
      <c r="CC314" s="1111"/>
      <c r="CD314" s="1111"/>
      <c r="CE314" s="1111"/>
      <c r="CF314" s="1111"/>
      <c r="CG314" s="1111"/>
      <c r="CH314" s="1111"/>
      <c r="CI314" s="1111"/>
      <c r="CJ314" s="1111"/>
      <c r="CK314" s="1110"/>
    </row>
    <row r="315" spans="1:89" ht="14.4" x14ac:dyDescent="0.3">
      <c r="A315" s="1110"/>
      <c r="B315" s="1110"/>
      <c r="C315" s="1110"/>
      <c r="D315" s="1110"/>
      <c r="E315" s="1110"/>
      <c r="F315" s="1110"/>
      <c r="G315" s="1110"/>
      <c r="H315" s="1110"/>
      <c r="I315" s="1110"/>
      <c r="J315" s="1110"/>
      <c r="K315" s="1110"/>
      <c r="L315" s="1110"/>
      <c r="M315" s="1110"/>
      <c r="N315" s="1110"/>
      <c r="O315" s="1110"/>
      <c r="P315" s="1110"/>
      <c r="Q315" s="1110"/>
      <c r="R315" s="1110"/>
      <c r="S315" s="1110"/>
      <c r="T315" s="1111"/>
      <c r="U315" s="1111"/>
      <c r="V315" s="1111"/>
      <c r="W315" s="1111"/>
      <c r="X315" s="1111"/>
      <c r="Y315" s="1111"/>
      <c r="Z315" s="1111"/>
      <c r="AA315" s="1111"/>
      <c r="AB315" s="1111"/>
      <c r="AC315" s="1111"/>
      <c r="AD315" s="1111"/>
      <c r="AE315" s="1111"/>
      <c r="AF315" s="1111"/>
      <c r="AG315" s="1111"/>
      <c r="AH315" s="1111"/>
      <c r="AI315" s="1111"/>
      <c r="AJ315" s="1111"/>
      <c r="AK315" s="1111"/>
      <c r="AL315" s="1111"/>
      <c r="AM315" s="1111"/>
      <c r="AN315" s="1111"/>
      <c r="AO315" s="1111"/>
      <c r="AP315" s="1111"/>
      <c r="AQ315" s="1111"/>
      <c r="AR315" s="1111"/>
      <c r="AS315" s="1111"/>
      <c r="AT315" s="1111"/>
      <c r="AU315" s="1111"/>
      <c r="AV315" s="1111"/>
      <c r="AW315" s="1111"/>
      <c r="AX315" s="1111"/>
      <c r="AY315" s="1111"/>
      <c r="AZ315" s="1111"/>
      <c r="BA315" s="1111"/>
      <c r="BB315" s="1111"/>
      <c r="BC315" s="1111"/>
      <c r="BD315" s="1111"/>
      <c r="BE315" s="1111"/>
      <c r="BF315" s="1111"/>
      <c r="BG315" s="1111"/>
      <c r="BH315" s="1111"/>
      <c r="BI315" s="1111"/>
      <c r="BJ315" s="1111"/>
      <c r="BK315" s="1111"/>
      <c r="BL315" s="1111"/>
      <c r="BM315" s="1111"/>
      <c r="BN315" s="1111"/>
      <c r="BO315" s="1111"/>
      <c r="BP315" s="1111"/>
      <c r="BQ315" s="1111"/>
      <c r="BR315" s="1111"/>
      <c r="BS315" s="1111"/>
      <c r="BT315" s="1111"/>
      <c r="BU315" s="1111"/>
      <c r="BV315" s="1111"/>
      <c r="BW315" s="1111"/>
      <c r="BX315" s="1111"/>
      <c r="BY315" s="1111"/>
      <c r="BZ315" s="1111"/>
      <c r="CA315" s="1111"/>
      <c r="CB315" s="1111"/>
      <c r="CC315" s="1111"/>
      <c r="CD315" s="1111"/>
      <c r="CE315" s="1111"/>
      <c r="CF315" s="1111"/>
      <c r="CG315" s="1111"/>
      <c r="CH315" s="1111"/>
      <c r="CI315" s="1111"/>
      <c r="CJ315" s="1111"/>
      <c r="CK315" s="1110"/>
    </row>
    <row r="316" spans="1:89" ht="14.4" x14ac:dyDescent="0.3">
      <c r="A316" s="1110"/>
      <c r="B316" s="1110"/>
      <c r="C316" s="1110"/>
      <c r="D316" s="1110"/>
      <c r="E316" s="1110"/>
      <c r="F316" s="1110"/>
      <c r="G316" s="1110"/>
      <c r="H316" s="1110"/>
      <c r="I316" s="1110"/>
      <c r="J316" s="1110"/>
      <c r="K316" s="1110"/>
      <c r="L316" s="1110"/>
      <c r="M316" s="1110"/>
      <c r="N316" s="1110"/>
      <c r="O316" s="1110"/>
      <c r="P316" s="1110"/>
      <c r="Q316" s="1110"/>
      <c r="R316" s="1110"/>
      <c r="S316" s="1110"/>
      <c r="T316" s="1111"/>
      <c r="U316" s="1111"/>
      <c r="V316" s="1111"/>
      <c r="W316" s="1111"/>
      <c r="X316" s="1111"/>
      <c r="Y316" s="1111"/>
      <c r="Z316" s="1111"/>
      <c r="AA316" s="1111"/>
      <c r="AB316" s="1111"/>
      <c r="AC316" s="1111"/>
      <c r="AD316" s="1111"/>
      <c r="AE316" s="1111"/>
      <c r="AF316" s="1111"/>
      <c r="AG316" s="1111"/>
      <c r="AH316" s="1111"/>
      <c r="AI316" s="1111"/>
      <c r="AJ316" s="1111"/>
      <c r="AK316" s="1111"/>
      <c r="AL316" s="1111"/>
      <c r="AM316" s="1111"/>
      <c r="AN316" s="1111"/>
      <c r="AO316" s="1111"/>
      <c r="AP316" s="1111"/>
      <c r="AQ316" s="1111"/>
      <c r="AR316" s="1111"/>
      <c r="AS316" s="1111"/>
      <c r="AT316" s="1111"/>
      <c r="AU316" s="1111"/>
      <c r="AV316" s="1111"/>
      <c r="AW316" s="1111"/>
      <c r="AX316" s="1111"/>
      <c r="AY316" s="1111"/>
      <c r="AZ316" s="1111"/>
      <c r="BA316" s="1111"/>
      <c r="BB316" s="1111"/>
      <c r="BC316" s="1111"/>
      <c r="BD316" s="1111"/>
      <c r="BE316" s="1111"/>
      <c r="BF316" s="1111"/>
      <c r="BG316" s="1111"/>
      <c r="BH316" s="1111"/>
      <c r="BI316" s="1111"/>
      <c r="BJ316" s="1111"/>
      <c r="BK316" s="1111"/>
      <c r="BL316" s="1111"/>
      <c r="BM316" s="1111"/>
      <c r="BN316" s="1111"/>
      <c r="BO316" s="1111"/>
      <c r="BP316" s="1111"/>
      <c r="BQ316" s="1111"/>
      <c r="BR316" s="1111"/>
      <c r="BS316" s="1111"/>
      <c r="BT316" s="1111"/>
      <c r="BU316" s="1111"/>
      <c r="BV316" s="1111"/>
      <c r="BW316" s="1111"/>
      <c r="BX316" s="1111"/>
      <c r="BY316" s="1111"/>
      <c r="BZ316" s="1111"/>
      <c r="CA316" s="1111"/>
      <c r="CB316" s="1111"/>
      <c r="CC316" s="1111"/>
      <c r="CD316" s="1111"/>
      <c r="CE316" s="1111"/>
      <c r="CF316" s="1111"/>
      <c r="CG316" s="1111"/>
      <c r="CH316" s="1111"/>
      <c r="CI316" s="1111"/>
      <c r="CJ316" s="1111"/>
      <c r="CK316" s="1110"/>
    </row>
    <row r="317" spans="1:89" ht="14.4" x14ac:dyDescent="0.3">
      <c r="A317" s="1110"/>
      <c r="B317" s="1110"/>
      <c r="C317" s="1110"/>
      <c r="D317" s="1110"/>
      <c r="E317" s="1110"/>
      <c r="F317" s="1110"/>
      <c r="G317" s="1110"/>
      <c r="H317" s="1110"/>
      <c r="I317" s="1110"/>
      <c r="J317" s="1110"/>
      <c r="K317" s="1110"/>
      <c r="L317" s="1110"/>
      <c r="M317" s="1110"/>
      <c r="N317" s="1110"/>
      <c r="O317" s="1110"/>
      <c r="P317" s="1110"/>
      <c r="Q317" s="1110"/>
      <c r="R317" s="1110"/>
      <c r="S317" s="1110"/>
      <c r="T317" s="1111"/>
      <c r="U317" s="1111"/>
      <c r="V317" s="1111"/>
      <c r="W317" s="1111"/>
      <c r="X317" s="1111"/>
      <c r="Y317" s="1111"/>
      <c r="Z317" s="1111"/>
      <c r="AA317" s="1111"/>
      <c r="AB317" s="1111"/>
      <c r="AC317" s="1111"/>
      <c r="AD317" s="1111"/>
      <c r="AE317" s="1111"/>
      <c r="AF317" s="1111"/>
      <c r="AG317" s="1111"/>
      <c r="AH317" s="1111"/>
      <c r="AI317" s="1111"/>
      <c r="AJ317" s="1111"/>
      <c r="AK317" s="1111"/>
      <c r="AL317" s="1111"/>
      <c r="AM317" s="1111"/>
      <c r="AN317" s="1111"/>
      <c r="AO317" s="1111"/>
      <c r="AP317" s="1111"/>
      <c r="AQ317" s="1111"/>
      <c r="AR317" s="1111"/>
      <c r="AS317" s="1111"/>
      <c r="AT317" s="1111"/>
      <c r="AU317" s="1111"/>
      <c r="AV317" s="1111"/>
      <c r="AW317" s="1111"/>
      <c r="AX317" s="1111"/>
      <c r="AY317" s="1111"/>
      <c r="AZ317" s="1111"/>
      <c r="BA317" s="1111"/>
      <c r="BB317" s="1111"/>
      <c r="BC317" s="1111"/>
      <c r="BD317" s="1111"/>
      <c r="BE317" s="1111"/>
      <c r="BF317" s="1111"/>
      <c r="BG317" s="1111"/>
      <c r="BH317" s="1111"/>
      <c r="BI317" s="1111"/>
      <c r="BJ317" s="1111"/>
      <c r="BK317" s="1111"/>
      <c r="BL317" s="1111"/>
      <c r="BM317" s="1111"/>
      <c r="BN317" s="1111"/>
      <c r="BO317" s="1111"/>
      <c r="BP317" s="1111"/>
      <c r="BQ317" s="1111"/>
      <c r="BR317" s="1111"/>
      <c r="BS317" s="1111"/>
      <c r="BT317" s="1111"/>
      <c r="BU317" s="1111"/>
      <c r="BV317" s="1111"/>
      <c r="BW317" s="1111"/>
      <c r="BX317" s="1111"/>
      <c r="BY317" s="1111"/>
      <c r="BZ317" s="1111"/>
      <c r="CA317" s="1111"/>
      <c r="CB317" s="1111"/>
      <c r="CC317" s="1111"/>
      <c r="CD317" s="1111"/>
      <c r="CE317" s="1111"/>
      <c r="CF317" s="1111"/>
      <c r="CG317" s="1111"/>
      <c r="CH317" s="1111"/>
      <c r="CI317" s="1111"/>
      <c r="CJ317" s="1111"/>
      <c r="CK317" s="1110"/>
    </row>
    <row r="318" spans="1:89" ht="14.4" x14ac:dyDescent="0.3">
      <c r="A318" s="1110"/>
      <c r="B318" s="1110"/>
      <c r="C318" s="1110"/>
      <c r="D318" s="1110"/>
      <c r="E318" s="1110"/>
      <c r="F318" s="1110"/>
      <c r="G318" s="1110"/>
      <c r="H318" s="1110"/>
      <c r="I318" s="1110"/>
      <c r="J318" s="1110"/>
      <c r="K318" s="1110"/>
      <c r="L318" s="1110"/>
      <c r="M318" s="1110"/>
      <c r="N318" s="1110"/>
      <c r="O318" s="1110"/>
      <c r="P318" s="1110"/>
      <c r="Q318" s="1110"/>
      <c r="R318" s="1110"/>
      <c r="S318" s="1110"/>
      <c r="T318" s="1111"/>
      <c r="U318" s="1111"/>
      <c r="V318" s="1111"/>
      <c r="W318" s="1111"/>
      <c r="X318" s="1111"/>
      <c r="Y318" s="1111"/>
      <c r="Z318" s="1111"/>
      <c r="AA318" s="1111"/>
      <c r="AB318" s="1111"/>
      <c r="AC318" s="1111"/>
      <c r="AD318" s="1111"/>
      <c r="AE318" s="1111"/>
      <c r="AF318" s="1111"/>
      <c r="AG318" s="1111"/>
      <c r="AH318" s="1111"/>
      <c r="AI318" s="1111"/>
      <c r="AJ318" s="1111"/>
      <c r="AK318" s="1111"/>
      <c r="AL318" s="1111"/>
      <c r="AM318" s="1111"/>
      <c r="AN318" s="1111"/>
      <c r="AO318" s="1111"/>
      <c r="AP318" s="1111"/>
      <c r="AQ318" s="1111"/>
      <c r="AR318" s="1111"/>
      <c r="AS318" s="1111"/>
      <c r="AT318" s="1111"/>
      <c r="AU318" s="1111"/>
      <c r="AV318" s="1111"/>
      <c r="AW318" s="1111"/>
      <c r="AX318" s="1111"/>
      <c r="AY318" s="1111"/>
      <c r="AZ318" s="1111"/>
      <c r="BA318" s="1111"/>
      <c r="BB318" s="1111"/>
      <c r="BC318" s="1111"/>
      <c r="BD318" s="1111"/>
      <c r="BE318" s="1111"/>
      <c r="BF318" s="1111"/>
      <c r="BG318" s="1111"/>
      <c r="BH318" s="1111"/>
      <c r="BI318" s="1111"/>
      <c r="BJ318" s="1111"/>
      <c r="BK318" s="1111"/>
      <c r="BL318" s="1111"/>
      <c r="BM318" s="1111"/>
      <c r="BN318" s="1111"/>
      <c r="BO318" s="1111"/>
      <c r="BP318" s="1111"/>
      <c r="BQ318" s="1111"/>
      <c r="BR318" s="1111"/>
      <c r="BS318" s="1111"/>
      <c r="BT318" s="1111"/>
      <c r="BU318" s="1111"/>
      <c r="BV318" s="1111"/>
      <c r="BW318" s="1111"/>
      <c r="BX318" s="1111"/>
      <c r="BY318" s="1111"/>
      <c r="BZ318" s="1111"/>
      <c r="CA318" s="1111"/>
      <c r="CB318" s="1111"/>
      <c r="CC318" s="1111"/>
      <c r="CD318" s="1111"/>
      <c r="CE318" s="1111"/>
      <c r="CF318" s="1111"/>
      <c r="CG318" s="1111"/>
      <c r="CH318" s="1111"/>
      <c r="CI318" s="1111"/>
      <c r="CJ318" s="1111"/>
      <c r="CK318" s="1110"/>
    </row>
    <row r="319" spans="1:89" ht="14.4" x14ac:dyDescent="0.3">
      <c r="A319" s="1110"/>
      <c r="B319" s="1110"/>
      <c r="C319" s="1110"/>
      <c r="D319" s="1110"/>
      <c r="E319" s="1110"/>
      <c r="F319" s="1110"/>
      <c r="G319" s="1110"/>
      <c r="H319" s="1110"/>
      <c r="I319" s="1110"/>
      <c r="J319" s="1110"/>
      <c r="K319" s="1110"/>
      <c r="L319" s="1110"/>
      <c r="M319" s="1110"/>
      <c r="N319" s="1110"/>
      <c r="O319" s="1110"/>
      <c r="P319" s="1110"/>
      <c r="Q319" s="1110"/>
      <c r="R319" s="1110"/>
      <c r="S319" s="1110"/>
      <c r="T319" s="1111"/>
      <c r="U319" s="1111"/>
      <c r="V319" s="1111"/>
      <c r="W319" s="1111"/>
      <c r="X319" s="1111"/>
      <c r="Y319" s="1111"/>
      <c r="Z319" s="1111"/>
      <c r="AA319" s="1111"/>
      <c r="AB319" s="1111"/>
      <c r="AC319" s="1111"/>
      <c r="AD319" s="1111"/>
      <c r="AE319" s="1111"/>
      <c r="AF319" s="1111"/>
      <c r="AG319" s="1111"/>
      <c r="AH319" s="1111"/>
      <c r="AI319" s="1111"/>
      <c r="AJ319" s="1111"/>
      <c r="AK319" s="1111"/>
      <c r="AL319" s="1111"/>
      <c r="AM319" s="1111"/>
      <c r="AN319" s="1111"/>
      <c r="AO319" s="1111"/>
      <c r="AP319" s="1111"/>
      <c r="AQ319" s="1111"/>
      <c r="AR319" s="1111"/>
      <c r="AS319" s="1111"/>
      <c r="AT319" s="1111"/>
      <c r="AU319" s="1111"/>
      <c r="AV319" s="1111"/>
      <c r="AW319" s="1111"/>
      <c r="AX319" s="1111"/>
      <c r="AY319" s="1111"/>
      <c r="AZ319" s="1111"/>
      <c r="BA319" s="1111"/>
      <c r="BB319" s="1111"/>
      <c r="BC319" s="1111"/>
      <c r="BD319" s="1111"/>
      <c r="BE319" s="1111"/>
      <c r="BF319" s="1111"/>
      <c r="BG319" s="1111"/>
      <c r="BH319" s="1111"/>
      <c r="BI319" s="1111"/>
      <c r="BJ319" s="1111"/>
      <c r="BK319" s="1111"/>
      <c r="BL319" s="1111"/>
      <c r="BM319" s="1111"/>
      <c r="BN319" s="1111"/>
      <c r="BO319" s="1111"/>
      <c r="BP319" s="1111"/>
      <c r="BQ319" s="1111"/>
      <c r="BR319" s="1111"/>
      <c r="BS319" s="1111"/>
      <c r="BT319" s="1111"/>
      <c r="BU319" s="1111"/>
      <c r="BV319" s="1111"/>
      <c r="BW319" s="1111"/>
      <c r="BX319" s="1111"/>
      <c r="BY319" s="1111"/>
      <c r="BZ319" s="1111"/>
      <c r="CA319" s="1111"/>
      <c r="CB319" s="1111"/>
      <c r="CC319" s="1111"/>
      <c r="CD319" s="1111"/>
      <c r="CE319" s="1111"/>
      <c r="CF319" s="1111"/>
      <c r="CG319" s="1111"/>
      <c r="CH319" s="1111"/>
      <c r="CI319" s="1111"/>
      <c r="CJ319" s="1111"/>
      <c r="CK319" s="1110"/>
    </row>
    <row r="320" spans="1:89" ht="14.4" x14ac:dyDescent="0.3">
      <c r="A320" s="1110"/>
      <c r="B320" s="1110"/>
      <c r="C320" s="1110"/>
      <c r="D320" s="1110"/>
      <c r="E320" s="1110"/>
      <c r="F320" s="1110"/>
      <c r="G320" s="1110"/>
      <c r="H320" s="1110"/>
      <c r="I320" s="1110"/>
      <c r="J320" s="1110"/>
      <c r="K320" s="1110"/>
      <c r="L320" s="1110"/>
      <c r="M320" s="1110"/>
      <c r="N320" s="1110"/>
      <c r="O320" s="1110"/>
      <c r="P320" s="1110"/>
      <c r="Q320" s="1110"/>
      <c r="R320" s="1110"/>
      <c r="S320" s="1110"/>
      <c r="T320" s="1111"/>
      <c r="U320" s="1111"/>
      <c r="V320" s="1111"/>
      <c r="W320" s="1111"/>
      <c r="X320" s="1111"/>
      <c r="Y320" s="1111"/>
      <c r="Z320" s="1111"/>
      <c r="AA320" s="1111"/>
      <c r="AB320" s="1111"/>
      <c r="AC320" s="1111"/>
      <c r="AD320" s="1111"/>
      <c r="AE320" s="1111"/>
      <c r="AF320" s="1111"/>
      <c r="AG320" s="1111"/>
      <c r="AH320" s="1111"/>
      <c r="AI320" s="1111"/>
      <c r="AJ320" s="1111"/>
      <c r="AK320" s="1111"/>
      <c r="AL320" s="1111"/>
      <c r="AM320" s="1111"/>
      <c r="AN320" s="1111"/>
      <c r="AO320" s="1111"/>
      <c r="AP320" s="1111"/>
      <c r="AQ320" s="1111"/>
      <c r="AR320" s="1111"/>
      <c r="AS320" s="1111"/>
      <c r="AT320" s="1111"/>
      <c r="AU320" s="1111"/>
      <c r="AV320" s="1111"/>
      <c r="AW320" s="1111"/>
      <c r="AX320" s="1111"/>
      <c r="AY320" s="1111"/>
      <c r="AZ320" s="1111"/>
      <c r="BA320" s="1111"/>
      <c r="BB320" s="1111"/>
      <c r="BC320" s="1111"/>
      <c r="BD320" s="1111"/>
      <c r="BE320" s="1111"/>
      <c r="BF320" s="1111"/>
      <c r="BG320" s="1111"/>
      <c r="BH320" s="1111"/>
      <c r="BI320" s="1111"/>
      <c r="BJ320" s="1111"/>
      <c r="BK320" s="1111"/>
      <c r="BL320" s="1111"/>
      <c r="BM320" s="1111"/>
      <c r="BN320" s="1111"/>
      <c r="BO320" s="1111"/>
      <c r="BP320" s="1111"/>
      <c r="BQ320" s="1111"/>
      <c r="BR320" s="1111"/>
      <c r="BS320" s="1111"/>
      <c r="BT320" s="1111"/>
      <c r="BU320" s="1111"/>
      <c r="BV320" s="1111"/>
      <c r="BW320" s="1111"/>
      <c r="BX320" s="1111"/>
      <c r="BY320" s="1111"/>
      <c r="BZ320" s="1111"/>
      <c r="CA320" s="1111"/>
      <c r="CB320" s="1111"/>
      <c r="CC320" s="1111"/>
      <c r="CD320" s="1111"/>
      <c r="CE320" s="1111"/>
      <c r="CF320" s="1111"/>
      <c r="CG320" s="1111"/>
      <c r="CH320" s="1111"/>
      <c r="CI320" s="1111"/>
      <c r="CJ320" s="1111"/>
      <c r="CK320" s="1110"/>
    </row>
    <row r="321" spans="1:89" ht="14.4" x14ac:dyDescent="0.3">
      <c r="A321" s="1110"/>
      <c r="B321" s="1110"/>
      <c r="C321" s="1110"/>
      <c r="D321" s="1110"/>
      <c r="E321" s="1110"/>
      <c r="F321" s="1110"/>
      <c r="G321" s="1110"/>
      <c r="H321" s="1110"/>
      <c r="I321" s="1110"/>
      <c r="J321" s="1110"/>
      <c r="K321" s="1110"/>
      <c r="L321" s="1110"/>
      <c r="M321" s="1110"/>
      <c r="N321" s="1110"/>
      <c r="O321" s="1110"/>
      <c r="P321" s="1110"/>
      <c r="Q321" s="1110"/>
      <c r="R321" s="1110"/>
      <c r="S321" s="1110"/>
      <c r="T321" s="1111"/>
      <c r="U321" s="1111"/>
      <c r="V321" s="1111"/>
      <c r="W321" s="1111"/>
      <c r="X321" s="1111"/>
      <c r="Y321" s="1111"/>
      <c r="Z321" s="1111"/>
      <c r="AA321" s="1111"/>
      <c r="AB321" s="1111"/>
      <c r="AC321" s="1111"/>
      <c r="AD321" s="1111"/>
      <c r="AE321" s="1111"/>
      <c r="AF321" s="1111"/>
      <c r="AG321" s="1111"/>
      <c r="AH321" s="1111"/>
      <c r="AI321" s="1111"/>
      <c r="AJ321" s="1111"/>
      <c r="AK321" s="1111"/>
      <c r="AL321" s="1111"/>
      <c r="AM321" s="1111"/>
      <c r="AN321" s="1111"/>
      <c r="AO321" s="1111"/>
      <c r="AP321" s="1111"/>
      <c r="AQ321" s="1111"/>
      <c r="AR321" s="1111"/>
      <c r="AS321" s="1111"/>
      <c r="AT321" s="1111"/>
      <c r="AU321" s="1111"/>
      <c r="AV321" s="1111"/>
      <c r="AW321" s="1111"/>
      <c r="AX321" s="1111"/>
      <c r="AY321" s="1111"/>
      <c r="AZ321" s="1111"/>
      <c r="BA321" s="1111"/>
      <c r="BB321" s="1111"/>
      <c r="BC321" s="1111"/>
      <c r="BD321" s="1111"/>
      <c r="BE321" s="1111"/>
      <c r="BF321" s="1111"/>
      <c r="BG321" s="1111"/>
      <c r="BH321" s="1111"/>
      <c r="BI321" s="1111"/>
      <c r="BJ321" s="1111"/>
      <c r="BK321" s="1111"/>
      <c r="BL321" s="1111"/>
      <c r="BM321" s="1111"/>
      <c r="BN321" s="1111"/>
      <c r="BO321" s="1111"/>
      <c r="BP321" s="1111"/>
      <c r="BQ321" s="1111"/>
      <c r="BR321" s="1111"/>
      <c r="BS321" s="1111"/>
      <c r="BT321" s="1111"/>
      <c r="BU321" s="1111"/>
      <c r="BV321" s="1111"/>
      <c r="BW321" s="1111"/>
      <c r="BX321" s="1111"/>
      <c r="BY321" s="1111"/>
      <c r="BZ321" s="1111"/>
      <c r="CA321" s="1111"/>
      <c r="CB321" s="1111"/>
      <c r="CC321" s="1111"/>
      <c r="CD321" s="1111"/>
      <c r="CE321" s="1111"/>
      <c r="CF321" s="1111"/>
      <c r="CG321" s="1111"/>
      <c r="CH321" s="1111"/>
      <c r="CI321" s="1111"/>
      <c r="CJ321" s="1111"/>
      <c r="CK321" s="1110"/>
    </row>
    <row r="322" spans="1:89" ht="14.4" x14ac:dyDescent="0.3">
      <c r="A322" s="1110"/>
      <c r="B322" s="1110"/>
      <c r="C322" s="1110"/>
      <c r="D322" s="1110"/>
      <c r="E322" s="1110"/>
      <c r="F322" s="1110"/>
      <c r="G322" s="1110"/>
      <c r="H322" s="1110"/>
      <c r="I322" s="1110"/>
      <c r="J322" s="1110"/>
      <c r="K322" s="1110"/>
      <c r="L322" s="1110"/>
      <c r="M322" s="1110"/>
      <c r="N322" s="1110"/>
      <c r="O322" s="1110"/>
      <c r="P322" s="1110"/>
      <c r="Q322" s="1110"/>
      <c r="R322" s="1110"/>
      <c r="S322" s="1110"/>
      <c r="T322" s="1111"/>
      <c r="U322" s="1111"/>
      <c r="V322" s="1111"/>
      <c r="W322" s="1111"/>
      <c r="X322" s="1111"/>
      <c r="Y322" s="1111"/>
      <c r="Z322" s="1111"/>
      <c r="AA322" s="1111"/>
      <c r="AB322" s="1111"/>
      <c r="AC322" s="1111"/>
      <c r="AD322" s="1111"/>
      <c r="AE322" s="1111"/>
      <c r="AF322" s="1111"/>
      <c r="AG322" s="1111"/>
      <c r="AH322" s="1111"/>
      <c r="AI322" s="1111"/>
      <c r="AJ322" s="1111"/>
      <c r="AK322" s="1111"/>
      <c r="AL322" s="1111"/>
      <c r="AM322" s="1111"/>
      <c r="AN322" s="1111"/>
      <c r="AO322" s="1111"/>
      <c r="AP322" s="1111"/>
      <c r="AQ322" s="1111"/>
      <c r="AR322" s="1111"/>
      <c r="AS322" s="1111"/>
      <c r="AT322" s="1111"/>
      <c r="AU322" s="1111"/>
      <c r="AV322" s="1111"/>
      <c r="AW322" s="1111"/>
      <c r="AX322" s="1111"/>
      <c r="AY322" s="1111"/>
      <c r="AZ322" s="1111"/>
      <c r="BA322" s="1111"/>
      <c r="BB322" s="1111"/>
      <c r="BC322" s="1111"/>
      <c r="BD322" s="1111"/>
      <c r="BE322" s="1111"/>
      <c r="BF322" s="1111"/>
      <c r="BG322" s="1111"/>
      <c r="BH322" s="1111"/>
      <c r="BI322" s="1111"/>
      <c r="BJ322" s="1111"/>
      <c r="BK322" s="1111"/>
      <c r="BL322" s="1111"/>
      <c r="BM322" s="1111"/>
      <c r="BN322" s="1111"/>
      <c r="BO322" s="1111"/>
      <c r="BP322" s="1111"/>
      <c r="BQ322" s="1111"/>
      <c r="BR322" s="1111"/>
      <c r="BS322" s="1111"/>
      <c r="BT322" s="1111"/>
      <c r="BU322" s="1111"/>
      <c r="BV322" s="1111"/>
      <c r="BW322" s="1111"/>
      <c r="BX322" s="1111"/>
      <c r="BY322" s="1111"/>
      <c r="BZ322" s="1111"/>
      <c r="CA322" s="1111"/>
      <c r="CB322" s="1111"/>
      <c r="CC322" s="1111"/>
      <c r="CD322" s="1111"/>
      <c r="CE322" s="1111"/>
      <c r="CF322" s="1111"/>
      <c r="CG322" s="1111"/>
      <c r="CH322" s="1111"/>
      <c r="CI322" s="1111"/>
      <c r="CJ322" s="1111"/>
      <c r="CK322" s="1110"/>
    </row>
    <row r="323" spans="1:89" ht="14.4" x14ac:dyDescent="0.3">
      <c r="A323" s="1110"/>
      <c r="B323" s="1110"/>
      <c r="C323" s="1110"/>
      <c r="D323" s="1110"/>
      <c r="E323" s="1110"/>
      <c r="F323" s="1110"/>
      <c r="G323" s="1110"/>
      <c r="H323" s="1110"/>
      <c r="I323" s="1110"/>
      <c r="J323" s="1110"/>
      <c r="K323" s="1110"/>
      <c r="L323" s="1110"/>
      <c r="M323" s="1110"/>
      <c r="N323" s="1110"/>
      <c r="O323" s="1110"/>
      <c r="P323" s="1110"/>
      <c r="Q323" s="1110"/>
      <c r="R323" s="1110"/>
      <c r="S323" s="1110"/>
      <c r="T323" s="1111"/>
      <c r="U323" s="1111"/>
      <c r="V323" s="1111"/>
      <c r="W323" s="1111"/>
      <c r="X323" s="1111"/>
      <c r="Y323" s="1111"/>
      <c r="Z323" s="1111"/>
      <c r="AA323" s="1111"/>
      <c r="AB323" s="1111"/>
      <c r="AC323" s="1111"/>
      <c r="AD323" s="1111"/>
      <c r="AE323" s="1111"/>
      <c r="AF323" s="1111"/>
      <c r="AG323" s="1111"/>
      <c r="AH323" s="1111"/>
      <c r="AI323" s="1111"/>
      <c r="AJ323" s="1111"/>
      <c r="AK323" s="1111"/>
      <c r="AL323" s="1111"/>
      <c r="AM323" s="1111"/>
      <c r="AN323" s="1111"/>
      <c r="AO323" s="1111"/>
      <c r="AP323" s="1111"/>
      <c r="AQ323" s="1111"/>
      <c r="AR323" s="1111"/>
      <c r="AS323" s="1111"/>
      <c r="AT323" s="1111"/>
      <c r="AU323" s="1111"/>
      <c r="AV323" s="1111"/>
      <c r="AW323" s="1111"/>
      <c r="AX323" s="1111"/>
      <c r="AY323" s="1111"/>
      <c r="AZ323" s="1111"/>
      <c r="BA323" s="1111"/>
      <c r="BB323" s="1111"/>
      <c r="BC323" s="1111"/>
      <c r="BD323" s="1111"/>
      <c r="BE323" s="1111"/>
      <c r="BF323" s="1111"/>
      <c r="BG323" s="1111"/>
      <c r="BH323" s="1111"/>
      <c r="BI323" s="1111"/>
      <c r="BJ323" s="1111"/>
      <c r="BK323" s="1111"/>
      <c r="BL323" s="1111"/>
      <c r="BM323" s="1111"/>
      <c r="BN323" s="1111"/>
      <c r="BO323" s="1111"/>
      <c r="BP323" s="1111"/>
      <c r="BQ323" s="1111"/>
      <c r="BR323" s="1111"/>
      <c r="BS323" s="1111"/>
      <c r="BT323" s="1111"/>
      <c r="BU323" s="1111"/>
      <c r="BV323" s="1111"/>
      <c r="BW323" s="1111"/>
      <c r="BX323" s="1111"/>
      <c r="BY323" s="1111"/>
      <c r="BZ323" s="1111"/>
      <c r="CA323" s="1111"/>
      <c r="CB323" s="1111"/>
      <c r="CC323" s="1111"/>
      <c r="CD323" s="1111"/>
      <c r="CE323" s="1111"/>
      <c r="CF323" s="1111"/>
      <c r="CG323" s="1111"/>
      <c r="CH323" s="1111"/>
      <c r="CI323" s="1111"/>
      <c r="CJ323" s="1111"/>
      <c r="CK323" s="1110"/>
    </row>
    <row r="324" spans="1:89" ht="14.4" x14ac:dyDescent="0.3">
      <c r="A324" s="1110"/>
      <c r="B324" s="1110"/>
      <c r="C324" s="1110"/>
      <c r="D324" s="1110"/>
      <c r="E324" s="1110"/>
      <c r="F324" s="1110"/>
      <c r="G324" s="1110"/>
      <c r="H324" s="1110"/>
      <c r="I324" s="1110"/>
      <c r="J324" s="1110"/>
      <c r="K324" s="1110"/>
      <c r="L324" s="1110"/>
      <c r="M324" s="1110"/>
      <c r="N324" s="1110"/>
      <c r="O324" s="1110"/>
      <c r="P324" s="1110"/>
      <c r="Q324" s="1110"/>
      <c r="R324" s="1110"/>
      <c r="S324" s="1110"/>
      <c r="T324" s="1111"/>
      <c r="U324" s="1111"/>
      <c r="V324" s="1111"/>
      <c r="W324" s="1111"/>
      <c r="X324" s="1111"/>
      <c r="Y324" s="1111"/>
      <c r="Z324" s="1111"/>
      <c r="AA324" s="1111"/>
      <c r="AB324" s="1111"/>
      <c r="AC324" s="1111"/>
      <c r="AD324" s="1111"/>
      <c r="AE324" s="1111"/>
      <c r="AF324" s="1111"/>
      <c r="AG324" s="1111"/>
      <c r="AH324" s="1111"/>
      <c r="AI324" s="1111"/>
      <c r="AJ324" s="1111"/>
      <c r="AK324" s="1111"/>
      <c r="AL324" s="1111"/>
      <c r="AM324" s="1111"/>
      <c r="AN324" s="1111"/>
      <c r="AO324" s="1111"/>
      <c r="AP324" s="1111"/>
      <c r="AQ324" s="1111"/>
      <c r="AR324" s="1111"/>
      <c r="AS324" s="1111"/>
      <c r="AT324" s="1111"/>
      <c r="AU324" s="1111"/>
      <c r="AV324" s="1111"/>
      <c r="AW324" s="1111"/>
      <c r="AX324" s="1111"/>
      <c r="AY324" s="1111"/>
      <c r="AZ324" s="1111"/>
      <c r="BA324" s="1111"/>
      <c r="BB324" s="1111"/>
      <c r="BC324" s="1111"/>
      <c r="BD324" s="1111"/>
      <c r="BE324" s="1111"/>
      <c r="BF324" s="1111"/>
      <c r="BG324" s="1111"/>
      <c r="BH324" s="1111"/>
      <c r="BI324" s="1111"/>
      <c r="BJ324" s="1111"/>
      <c r="BK324" s="1111"/>
      <c r="BL324" s="1111"/>
      <c r="BM324" s="1111"/>
      <c r="BN324" s="1111"/>
      <c r="BO324" s="1111"/>
      <c r="BP324" s="1111"/>
      <c r="BQ324" s="1111"/>
      <c r="BR324" s="1111"/>
      <c r="BS324" s="1111"/>
      <c r="BT324" s="1111"/>
      <c r="BU324" s="1111"/>
      <c r="BV324" s="1111"/>
      <c r="BW324" s="1111"/>
      <c r="BX324" s="1111"/>
      <c r="BY324" s="1111"/>
      <c r="BZ324" s="1111"/>
      <c r="CA324" s="1111"/>
      <c r="CB324" s="1111"/>
      <c r="CC324" s="1111"/>
      <c r="CD324" s="1111"/>
      <c r="CE324" s="1111"/>
      <c r="CF324" s="1111"/>
      <c r="CG324" s="1111"/>
      <c r="CH324" s="1111"/>
      <c r="CI324" s="1111"/>
      <c r="CJ324" s="1111"/>
      <c r="CK324" s="1110"/>
    </row>
    <row r="325" spans="1:89" ht="14.4" x14ac:dyDescent="0.3">
      <c r="A325" s="1110"/>
      <c r="B325" s="1110"/>
      <c r="C325" s="1110"/>
      <c r="D325" s="1110"/>
      <c r="E325" s="1110"/>
      <c r="F325" s="1110"/>
      <c r="G325" s="1110"/>
      <c r="H325" s="1110"/>
      <c r="I325" s="1110"/>
      <c r="J325" s="1110"/>
      <c r="K325" s="1110"/>
      <c r="L325" s="1110"/>
      <c r="M325" s="1110"/>
      <c r="N325" s="1110"/>
      <c r="O325" s="1110"/>
      <c r="P325" s="1110"/>
      <c r="Q325" s="1110"/>
      <c r="R325" s="1110"/>
      <c r="S325" s="1110"/>
      <c r="T325" s="1111"/>
      <c r="U325" s="1111"/>
      <c r="V325" s="1111"/>
      <c r="W325" s="1111"/>
      <c r="X325" s="1111"/>
      <c r="Y325" s="1111"/>
      <c r="Z325" s="1111"/>
      <c r="AA325" s="1111"/>
      <c r="AB325" s="1111"/>
      <c r="AC325" s="1111"/>
      <c r="AD325" s="1111"/>
      <c r="AE325" s="1111"/>
      <c r="AF325" s="1111"/>
      <c r="AG325" s="1111"/>
      <c r="AH325" s="1111"/>
      <c r="AI325" s="1111"/>
      <c r="AJ325" s="1111"/>
      <c r="AK325" s="1111"/>
      <c r="AL325" s="1111"/>
      <c r="AM325" s="1111"/>
      <c r="AN325" s="1111"/>
      <c r="AO325" s="1111"/>
      <c r="AP325" s="1111"/>
      <c r="AQ325" s="1111"/>
      <c r="AR325" s="1111"/>
      <c r="AS325" s="1111"/>
      <c r="AT325" s="1111"/>
      <c r="AU325" s="1111"/>
      <c r="AV325" s="1111"/>
      <c r="AW325" s="1111"/>
      <c r="AX325" s="1111"/>
      <c r="AY325" s="1111"/>
      <c r="AZ325" s="1111"/>
      <c r="BA325" s="1111"/>
      <c r="BB325" s="1111"/>
      <c r="BC325" s="1111"/>
      <c r="BD325" s="1111"/>
      <c r="BE325" s="1111"/>
      <c r="BF325" s="1111"/>
      <c r="BG325" s="1111"/>
      <c r="BH325" s="1111"/>
      <c r="BI325" s="1111"/>
      <c r="BJ325" s="1111"/>
      <c r="BK325" s="1111"/>
      <c r="BL325" s="1111"/>
      <c r="BM325" s="1111"/>
      <c r="BN325" s="1111"/>
      <c r="BO325" s="1111"/>
      <c r="BP325" s="1111"/>
      <c r="BQ325" s="1111"/>
      <c r="BR325" s="1111"/>
      <c r="BS325" s="1111"/>
      <c r="BT325" s="1111"/>
      <c r="BU325" s="1111"/>
      <c r="BV325" s="1111"/>
      <c r="BW325" s="1111"/>
      <c r="BX325" s="1111"/>
      <c r="BY325" s="1111"/>
      <c r="BZ325" s="1111"/>
      <c r="CA325" s="1111"/>
      <c r="CB325" s="1111"/>
      <c r="CC325" s="1111"/>
      <c r="CD325" s="1111"/>
      <c r="CE325" s="1111"/>
      <c r="CF325" s="1111"/>
      <c r="CG325" s="1111"/>
      <c r="CH325" s="1111"/>
      <c r="CI325" s="1111"/>
      <c r="CJ325" s="1111"/>
      <c r="CK325" s="1110"/>
    </row>
    <row r="326" spans="1:89" ht="14.4" x14ac:dyDescent="0.3">
      <c r="A326" s="1110"/>
      <c r="B326" s="1110"/>
      <c r="C326" s="1110"/>
      <c r="D326" s="1110"/>
      <c r="E326" s="1110"/>
      <c r="F326" s="1110"/>
      <c r="G326" s="1110"/>
      <c r="H326" s="1110"/>
      <c r="I326" s="1110"/>
      <c r="J326" s="1110"/>
      <c r="K326" s="1110"/>
      <c r="L326" s="1110"/>
      <c r="M326" s="1110"/>
      <c r="N326" s="1110"/>
      <c r="O326" s="1110"/>
      <c r="P326" s="1110"/>
      <c r="Q326" s="1110"/>
      <c r="R326" s="1110"/>
      <c r="S326" s="1110"/>
      <c r="T326" s="1111"/>
      <c r="U326" s="1111"/>
      <c r="V326" s="1111"/>
      <c r="W326" s="1111"/>
      <c r="X326" s="1111"/>
      <c r="Y326" s="1111"/>
      <c r="Z326" s="1111"/>
      <c r="AA326" s="1111"/>
      <c r="AB326" s="1111"/>
      <c r="AC326" s="1111"/>
      <c r="AD326" s="1111"/>
      <c r="AE326" s="1111"/>
      <c r="AF326" s="1111"/>
      <c r="AG326" s="1111"/>
      <c r="AH326" s="1111"/>
      <c r="AI326" s="1111"/>
      <c r="AJ326" s="1111"/>
      <c r="AK326" s="1111"/>
      <c r="AL326" s="1111"/>
      <c r="AM326" s="1111"/>
      <c r="AN326" s="1111"/>
      <c r="AO326" s="1111"/>
      <c r="AP326" s="1111"/>
      <c r="AQ326" s="1111"/>
      <c r="AR326" s="1111"/>
      <c r="AS326" s="1111"/>
      <c r="AT326" s="1111"/>
      <c r="AU326" s="1111"/>
      <c r="AV326" s="1111"/>
      <c r="AW326" s="1111"/>
      <c r="AX326" s="1111"/>
      <c r="AY326" s="1111"/>
      <c r="AZ326" s="1111"/>
      <c r="BA326" s="1111"/>
      <c r="BB326" s="1111"/>
      <c r="BC326" s="1111"/>
      <c r="BD326" s="1111"/>
      <c r="BE326" s="1111"/>
      <c r="BF326" s="1111"/>
      <c r="BG326" s="1111"/>
      <c r="BH326" s="1111"/>
      <c r="BI326" s="1111"/>
      <c r="BJ326" s="1111"/>
      <c r="BK326" s="1111"/>
      <c r="BL326" s="1111"/>
      <c r="BM326" s="1111"/>
      <c r="BN326" s="1111"/>
      <c r="BO326" s="1111"/>
      <c r="BP326" s="1111"/>
      <c r="BQ326" s="1111"/>
      <c r="BR326" s="1111"/>
      <c r="BS326" s="1111"/>
      <c r="BT326" s="1111"/>
      <c r="BU326" s="1111"/>
      <c r="BV326" s="1111"/>
      <c r="BW326" s="1111"/>
      <c r="BX326" s="1111"/>
      <c r="BY326" s="1111"/>
      <c r="BZ326" s="1111"/>
      <c r="CA326" s="1111"/>
      <c r="CB326" s="1111"/>
      <c r="CC326" s="1111"/>
      <c r="CD326" s="1111"/>
      <c r="CE326" s="1111"/>
      <c r="CF326" s="1111"/>
      <c r="CG326" s="1111"/>
      <c r="CH326" s="1111"/>
      <c r="CI326" s="1111"/>
      <c r="CJ326" s="1111"/>
      <c r="CK326" s="1110"/>
    </row>
    <row r="327" spans="1:89" ht="14.4" x14ac:dyDescent="0.3">
      <c r="A327" s="1110"/>
      <c r="B327" s="1110"/>
      <c r="C327" s="1110"/>
      <c r="D327" s="1110"/>
      <c r="E327" s="1110"/>
      <c r="F327" s="1110"/>
      <c r="G327" s="1110"/>
      <c r="H327" s="1110"/>
      <c r="I327" s="1110"/>
      <c r="J327" s="1110"/>
      <c r="K327" s="1110"/>
      <c r="L327" s="1110"/>
      <c r="M327" s="1110"/>
      <c r="N327" s="1110"/>
      <c r="O327" s="1110"/>
      <c r="P327" s="1110"/>
      <c r="Q327" s="1110"/>
      <c r="R327" s="1110"/>
      <c r="S327" s="1110"/>
      <c r="T327" s="1111"/>
      <c r="U327" s="1111"/>
      <c r="V327" s="1111"/>
      <c r="W327" s="1111"/>
      <c r="X327" s="1111"/>
      <c r="Y327" s="1111"/>
      <c r="Z327" s="1111"/>
      <c r="AA327" s="1111"/>
      <c r="AB327" s="1111"/>
      <c r="AC327" s="1111"/>
      <c r="AD327" s="1111"/>
      <c r="AE327" s="1111"/>
      <c r="AF327" s="1111"/>
      <c r="AG327" s="1111"/>
      <c r="AH327" s="1111"/>
      <c r="AI327" s="1111"/>
      <c r="AJ327" s="1111"/>
      <c r="AK327" s="1111"/>
      <c r="AL327" s="1111"/>
      <c r="AM327" s="1111"/>
      <c r="AN327" s="1111"/>
      <c r="AO327" s="1111"/>
      <c r="AP327" s="1111"/>
      <c r="AQ327" s="1111"/>
      <c r="AR327" s="1111"/>
      <c r="AS327" s="1111"/>
      <c r="AT327" s="1111"/>
      <c r="AU327" s="1111"/>
      <c r="AV327" s="1111"/>
      <c r="AW327" s="1111"/>
      <c r="AX327" s="1111"/>
      <c r="AY327" s="1111"/>
      <c r="AZ327" s="1111"/>
      <c r="BA327" s="1111"/>
      <c r="BB327" s="1111"/>
      <c r="BC327" s="1111"/>
      <c r="BD327" s="1111"/>
      <c r="BE327" s="1111"/>
      <c r="BF327" s="1111"/>
      <c r="BG327" s="1111"/>
      <c r="BH327" s="1111"/>
      <c r="BI327" s="1111"/>
      <c r="BJ327" s="1111"/>
      <c r="BK327" s="1111"/>
      <c r="BL327" s="1111"/>
      <c r="BM327" s="1111"/>
      <c r="BN327" s="1111"/>
      <c r="BO327" s="1111"/>
      <c r="BP327" s="1111"/>
      <c r="BQ327" s="1111"/>
      <c r="BR327" s="1111"/>
      <c r="BS327" s="1111"/>
      <c r="BT327" s="1111"/>
      <c r="BU327" s="1111"/>
      <c r="BV327" s="1111"/>
      <c r="BW327" s="1111"/>
      <c r="BX327" s="1111"/>
      <c r="BY327" s="1111"/>
      <c r="BZ327" s="1111"/>
      <c r="CA327" s="1111"/>
      <c r="CB327" s="1111"/>
      <c r="CC327" s="1111"/>
      <c r="CD327" s="1111"/>
      <c r="CE327" s="1111"/>
      <c r="CF327" s="1111"/>
      <c r="CG327" s="1111"/>
      <c r="CH327" s="1111"/>
      <c r="CI327" s="1111"/>
      <c r="CJ327" s="1111"/>
      <c r="CK327" s="1110"/>
    </row>
    <row r="328" spans="1:89" ht="14.4" x14ac:dyDescent="0.3">
      <c r="A328" s="1110"/>
      <c r="B328" s="1110"/>
      <c r="C328" s="1110"/>
      <c r="D328" s="1110"/>
      <c r="E328" s="1110"/>
      <c r="F328" s="1110"/>
      <c r="G328" s="1110"/>
      <c r="H328" s="1110"/>
      <c r="I328" s="1110"/>
      <c r="J328" s="1110"/>
      <c r="K328" s="1110"/>
      <c r="L328" s="1110"/>
      <c r="M328" s="1110"/>
      <c r="N328" s="1110"/>
      <c r="O328" s="1110"/>
      <c r="P328" s="1110"/>
      <c r="Q328" s="1110"/>
      <c r="R328" s="1110"/>
      <c r="S328" s="1110"/>
      <c r="T328" s="1111"/>
      <c r="U328" s="1111"/>
      <c r="V328" s="1111"/>
      <c r="W328" s="1111"/>
      <c r="X328" s="1111"/>
      <c r="Y328" s="1111"/>
      <c r="Z328" s="1111"/>
      <c r="AA328" s="1111"/>
      <c r="AB328" s="1111"/>
      <c r="AC328" s="1111"/>
      <c r="AD328" s="1111"/>
      <c r="AE328" s="1111"/>
      <c r="AF328" s="1111"/>
      <c r="AG328" s="1111"/>
      <c r="AH328" s="1111"/>
      <c r="AI328" s="1111"/>
      <c r="AJ328" s="1111"/>
      <c r="AK328" s="1111"/>
      <c r="AL328" s="1111"/>
      <c r="AM328" s="1111"/>
      <c r="AN328" s="1111"/>
      <c r="AO328" s="1111"/>
      <c r="AP328" s="1111"/>
      <c r="AQ328" s="1111"/>
      <c r="AR328" s="1111"/>
      <c r="AS328" s="1111"/>
      <c r="AT328" s="1111"/>
      <c r="AU328" s="1111"/>
      <c r="AV328" s="1111"/>
      <c r="AW328" s="1111"/>
      <c r="AX328" s="1111"/>
      <c r="AY328" s="1111"/>
      <c r="AZ328" s="1111"/>
      <c r="BA328" s="1111"/>
      <c r="BB328" s="1111"/>
      <c r="BC328" s="1111"/>
      <c r="BD328" s="1111"/>
      <c r="BE328" s="1111"/>
      <c r="BF328" s="1111"/>
      <c r="BG328" s="1111"/>
      <c r="BH328" s="1111"/>
      <c r="BI328" s="1111"/>
      <c r="BJ328" s="1111"/>
      <c r="BK328" s="1111"/>
      <c r="BL328" s="1111"/>
      <c r="BM328" s="1111"/>
      <c r="BN328" s="1111"/>
      <c r="BO328" s="1111"/>
      <c r="BP328" s="1111"/>
      <c r="BQ328" s="1111"/>
      <c r="BR328" s="1111"/>
      <c r="BS328" s="1111"/>
      <c r="BT328" s="1111"/>
      <c r="BU328" s="1111"/>
      <c r="BV328" s="1111"/>
      <c r="BW328" s="1111"/>
      <c r="BX328" s="1111"/>
      <c r="BY328" s="1111"/>
      <c r="BZ328" s="1111"/>
      <c r="CA328" s="1111"/>
      <c r="CB328" s="1111"/>
      <c r="CC328" s="1111"/>
      <c r="CD328" s="1111"/>
      <c r="CE328" s="1111"/>
      <c r="CF328" s="1111"/>
      <c r="CG328" s="1111"/>
      <c r="CH328" s="1111"/>
      <c r="CI328" s="1111"/>
      <c r="CJ328" s="1111"/>
      <c r="CK328" s="1110"/>
    </row>
    <row r="329" spans="1:89" ht="14.4" x14ac:dyDescent="0.3">
      <c r="A329" s="1110"/>
      <c r="B329" s="1110"/>
      <c r="C329" s="1110"/>
      <c r="D329" s="1110"/>
      <c r="E329" s="1110"/>
      <c r="F329" s="1110"/>
      <c r="G329" s="1110"/>
      <c r="H329" s="1110"/>
      <c r="I329" s="1110"/>
      <c r="J329" s="1110"/>
      <c r="K329" s="1110"/>
      <c r="L329" s="1110"/>
      <c r="M329" s="1110"/>
      <c r="N329" s="1110"/>
      <c r="O329" s="1110"/>
      <c r="P329" s="1110"/>
      <c r="Q329" s="1110"/>
      <c r="R329" s="1110"/>
      <c r="S329" s="1110"/>
      <c r="T329" s="1111"/>
      <c r="U329" s="1111"/>
      <c r="V329" s="1111"/>
      <c r="W329" s="1111"/>
      <c r="X329" s="1111"/>
      <c r="Y329" s="1111"/>
      <c r="Z329" s="1111"/>
      <c r="AA329" s="1111"/>
      <c r="AB329" s="1111"/>
      <c r="AC329" s="1111"/>
      <c r="AD329" s="1111"/>
      <c r="AE329" s="1111"/>
      <c r="AF329" s="1111"/>
      <c r="AG329" s="1111"/>
      <c r="AH329" s="1111"/>
      <c r="AI329" s="1111"/>
      <c r="AJ329" s="1111"/>
      <c r="AK329" s="1111"/>
      <c r="AL329" s="1111"/>
      <c r="AM329" s="1111"/>
      <c r="AN329" s="1111"/>
      <c r="AO329" s="1111"/>
      <c r="AP329" s="1111"/>
      <c r="AQ329" s="1111"/>
      <c r="AR329" s="1111"/>
      <c r="AS329" s="1111"/>
      <c r="AT329" s="1111"/>
      <c r="AU329" s="1111"/>
      <c r="AV329" s="1111"/>
      <c r="AW329" s="1111"/>
      <c r="AX329" s="1111"/>
      <c r="AY329" s="1111"/>
      <c r="AZ329" s="1111"/>
      <c r="BA329" s="1111"/>
      <c r="BB329" s="1111"/>
      <c r="BC329" s="1111"/>
      <c r="BD329" s="1111"/>
      <c r="BE329" s="1111"/>
      <c r="BF329" s="1111"/>
      <c r="BG329" s="1111"/>
      <c r="BH329" s="1111"/>
      <c r="BI329" s="1111"/>
      <c r="BJ329" s="1111"/>
      <c r="BK329" s="1111"/>
      <c r="BL329" s="1111"/>
      <c r="BM329" s="1111"/>
      <c r="BN329" s="1111"/>
      <c r="BO329" s="1111"/>
      <c r="BP329" s="1111"/>
      <c r="BQ329" s="1111"/>
      <c r="BR329" s="1111"/>
      <c r="BS329" s="1111"/>
      <c r="BT329" s="1111"/>
      <c r="BU329" s="1111"/>
      <c r="BV329" s="1111"/>
      <c r="BW329" s="1111"/>
      <c r="BX329" s="1111"/>
      <c r="BY329" s="1111"/>
      <c r="BZ329" s="1111"/>
      <c r="CA329" s="1111"/>
      <c r="CB329" s="1111"/>
      <c r="CC329" s="1111"/>
      <c r="CD329" s="1111"/>
      <c r="CE329" s="1111"/>
      <c r="CF329" s="1111"/>
      <c r="CG329" s="1111"/>
      <c r="CH329" s="1111"/>
      <c r="CI329" s="1111"/>
      <c r="CJ329" s="1111"/>
      <c r="CK329" s="1110"/>
    </row>
    <row r="330" spans="1:89" ht="14.4" x14ac:dyDescent="0.3">
      <c r="A330" s="1110"/>
      <c r="B330" s="1110"/>
      <c r="C330" s="1110"/>
      <c r="D330" s="1110"/>
      <c r="E330" s="1110"/>
      <c r="F330" s="1110"/>
      <c r="G330" s="1110"/>
      <c r="H330" s="1110"/>
      <c r="I330" s="1110"/>
      <c r="J330" s="1110"/>
      <c r="K330" s="1110"/>
      <c r="L330" s="1110"/>
      <c r="M330" s="1110"/>
      <c r="N330" s="1110"/>
      <c r="O330" s="1110"/>
      <c r="P330" s="1110"/>
      <c r="Q330" s="1110"/>
      <c r="R330" s="1110"/>
      <c r="S330" s="1110"/>
      <c r="T330" s="1111"/>
      <c r="U330" s="1111"/>
      <c r="V330" s="1111"/>
      <c r="W330" s="1111"/>
      <c r="X330" s="1111"/>
      <c r="Y330" s="1111"/>
      <c r="Z330" s="1111"/>
      <c r="AA330" s="1111"/>
      <c r="AB330" s="1111"/>
      <c r="AC330" s="1111"/>
      <c r="AD330" s="1111"/>
      <c r="AE330" s="1111"/>
      <c r="AF330" s="1111"/>
      <c r="AG330" s="1111"/>
      <c r="AH330" s="1111"/>
      <c r="AI330" s="1111"/>
      <c r="AJ330" s="1111"/>
      <c r="AK330" s="1111"/>
      <c r="AL330" s="1111"/>
      <c r="AM330" s="1111"/>
      <c r="AN330" s="1111"/>
      <c r="AO330" s="1111"/>
      <c r="AP330" s="1111"/>
      <c r="AQ330" s="1111"/>
      <c r="AR330" s="1111"/>
      <c r="AS330" s="1111"/>
      <c r="AT330" s="1111"/>
      <c r="AU330" s="1111"/>
      <c r="AV330" s="1111"/>
      <c r="AW330" s="1111"/>
      <c r="AX330" s="1111"/>
      <c r="AY330" s="1111"/>
      <c r="AZ330" s="1111"/>
      <c r="BA330" s="1111"/>
      <c r="BB330" s="1111"/>
      <c r="BC330" s="1111"/>
      <c r="BD330" s="1111"/>
      <c r="BE330" s="1111"/>
      <c r="BF330" s="1111"/>
      <c r="BG330" s="1111"/>
      <c r="BH330" s="1111"/>
      <c r="BI330" s="1111"/>
      <c r="BJ330" s="1111"/>
      <c r="BK330" s="1111"/>
      <c r="BL330" s="1111"/>
      <c r="BM330" s="1111"/>
      <c r="BN330" s="1111"/>
      <c r="BO330" s="1111"/>
      <c r="BP330" s="1111"/>
      <c r="BQ330" s="1111"/>
      <c r="BR330" s="1111"/>
      <c r="BS330" s="1111"/>
      <c r="BT330" s="1111"/>
      <c r="BU330" s="1111"/>
      <c r="BV330" s="1111"/>
      <c r="BW330" s="1111"/>
      <c r="BX330" s="1111"/>
      <c r="BY330" s="1111"/>
      <c r="BZ330" s="1111"/>
      <c r="CA330" s="1111"/>
      <c r="CB330" s="1111"/>
      <c r="CC330" s="1111"/>
      <c r="CD330" s="1111"/>
      <c r="CE330" s="1111"/>
      <c r="CF330" s="1111"/>
      <c r="CG330" s="1111"/>
      <c r="CH330" s="1111"/>
      <c r="CI330" s="1111"/>
      <c r="CJ330" s="1111"/>
      <c r="CK330" s="1110"/>
    </row>
    <row r="331" spans="1:89" ht="14.4" x14ac:dyDescent="0.3">
      <c r="A331" s="1110"/>
      <c r="B331" s="1110"/>
      <c r="C331" s="1110"/>
      <c r="D331" s="1110"/>
      <c r="E331" s="1110"/>
      <c r="F331" s="1110"/>
      <c r="G331" s="1110"/>
      <c r="H331" s="1110"/>
      <c r="I331" s="1110"/>
      <c r="J331" s="1110"/>
      <c r="K331" s="1110"/>
      <c r="L331" s="1110"/>
      <c r="M331" s="1110"/>
      <c r="N331" s="1110"/>
      <c r="O331" s="1110"/>
      <c r="P331" s="1110"/>
      <c r="Q331" s="1110"/>
      <c r="R331" s="1110"/>
      <c r="S331" s="1110"/>
      <c r="T331" s="1111"/>
      <c r="U331" s="1111"/>
      <c r="V331" s="1111"/>
      <c r="W331" s="1111"/>
      <c r="X331" s="1111"/>
      <c r="Y331" s="1111"/>
      <c r="Z331" s="1111"/>
      <c r="AA331" s="1111"/>
      <c r="AB331" s="1111"/>
      <c r="AC331" s="1111"/>
      <c r="AD331" s="1111"/>
      <c r="AE331" s="1111"/>
      <c r="AF331" s="1111"/>
      <c r="AG331" s="1111"/>
      <c r="AH331" s="1111"/>
      <c r="AI331" s="1111"/>
      <c r="AJ331" s="1111"/>
      <c r="AK331" s="1111"/>
      <c r="AL331" s="1111"/>
      <c r="AM331" s="1111"/>
      <c r="AN331" s="1111"/>
      <c r="AO331" s="1111"/>
      <c r="AP331" s="1111"/>
      <c r="AQ331" s="1111"/>
      <c r="AR331" s="1111"/>
      <c r="AS331" s="1111"/>
      <c r="AT331" s="1111"/>
      <c r="AU331" s="1111"/>
      <c r="AV331" s="1111"/>
      <c r="AW331" s="1111"/>
      <c r="AX331" s="1111"/>
      <c r="AY331" s="1111"/>
      <c r="AZ331" s="1111"/>
      <c r="BA331" s="1111"/>
      <c r="BB331" s="1111"/>
      <c r="BC331" s="1111"/>
      <c r="BD331" s="1111"/>
      <c r="BE331" s="1111"/>
      <c r="BF331" s="1111"/>
      <c r="BG331" s="1111"/>
      <c r="BH331" s="1111"/>
      <c r="BI331" s="1111"/>
      <c r="BJ331" s="1111"/>
      <c r="BK331" s="1111"/>
      <c r="BL331" s="1111"/>
      <c r="BM331" s="1111"/>
      <c r="BN331" s="1111"/>
      <c r="BO331" s="1111"/>
      <c r="BP331" s="1111"/>
      <c r="BQ331" s="1111"/>
      <c r="BR331" s="1111"/>
      <c r="BS331" s="1111"/>
      <c r="BT331" s="1111"/>
      <c r="BU331" s="1111"/>
      <c r="BV331" s="1111"/>
      <c r="BW331" s="1111"/>
      <c r="BX331" s="1111"/>
      <c r="BY331" s="1111"/>
      <c r="BZ331" s="1111"/>
      <c r="CA331" s="1111"/>
      <c r="CB331" s="1111"/>
      <c r="CC331" s="1111"/>
      <c r="CD331" s="1111"/>
      <c r="CE331" s="1111"/>
      <c r="CF331" s="1111"/>
      <c r="CG331" s="1111"/>
      <c r="CH331" s="1111"/>
      <c r="CI331" s="1111"/>
      <c r="CJ331" s="1111"/>
      <c r="CK331" s="1110"/>
    </row>
    <row r="332" spans="1:89" ht="14.4" x14ac:dyDescent="0.3">
      <c r="A332" s="1110"/>
      <c r="B332" s="1110"/>
      <c r="C332" s="1110"/>
      <c r="D332" s="1110"/>
      <c r="E332" s="1110"/>
      <c r="F332" s="1110"/>
      <c r="G332" s="1110"/>
      <c r="H332" s="1110"/>
      <c r="I332" s="1110"/>
      <c r="J332" s="1110"/>
      <c r="K332" s="1110"/>
      <c r="L332" s="1110"/>
      <c r="M332" s="1110"/>
      <c r="N332" s="1110"/>
      <c r="O332" s="1110"/>
      <c r="P332" s="1110"/>
      <c r="Q332" s="1110"/>
      <c r="R332" s="1110"/>
      <c r="S332" s="1110"/>
      <c r="T332" s="1111"/>
      <c r="U332" s="1111"/>
      <c r="V332" s="1111"/>
      <c r="W332" s="1111"/>
      <c r="X332" s="1111"/>
      <c r="Y332" s="1111"/>
      <c r="Z332" s="1111"/>
      <c r="AA332" s="1111"/>
      <c r="AB332" s="1111"/>
      <c r="AC332" s="1111"/>
      <c r="AD332" s="1111"/>
      <c r="AE332" s="1111"/>
      <c r="AF332" s="1111"/>
      <c r="AG332" s="1111"/>
      <c r="AH332" s="1111"/>
      <c r="AI332" s="1111"/>
      <c r="AJ332" s="1111"/>
      <c r="AK332" s="1111"/>
      <c r="AL332" s="1111"/>
      <c r="AM332" s="1111"/>
      <c r="AN332" s="1111"/>
      <c r="AO332" s="1111"/>
      <c r="AP332" s="1111"/>
      <c r="AQ332" s="1111"/>
      <c r="AR332" s="1111"/>
      <c r="AS332" s="1111"/>
      <c r="AT332" s="1111"/>
      <c r="AU332" s="1111"/>
      <c r="AV332" s="1111"/>
      <c r="AW332" s="1111"/>
      <c r="AX332" s="1111"/>
      <c r="AY332" s="1111"/>
      <c r="AZ332" s="1111"/>
      <c r="BA332" s="1111"/>
      <c r="BB332" s="1111"/>
      <c r="BC332" s="1111"/>
      <c r="BD332" s="1111"/>
      <c r="BE332" s="1111"/>
      <c r="BF332" s="1111"/>
      <c r="BG332" s="1111"/>
      <c r="BH332" s="1111"/>
      <c r="BI332" s="1111"/>
      <c r="BJ332" s="1111"/>
      <c r="BK332" s="1111"/>
      <c r="BL332" s="1111"/>
      <c r="BM332" s="1111"/>
      <c r="BN332" s="1111"/>
      <c r="BO332" s="1111"/>
      <c r="BP332" s="1111"/>
      <c r="BQ332" s="1111"/>
      <c r="BR332" s="1111"/>
      <c r="BS332" s="1111"/>
      <c r="BT332" s="1111"/>
      <c r="BU332" s="1111"/>
      <c r="BV332" s="1111"/>
      <c r="BW332" s="1111"/>
      <c r="BX332" s="1111"/>
      <c r="BY332" s="1111"/>
      <c r="BZ332" s="1111"/>
      <c r="CA332" s="1111"/>
      <c r="CB332" s="1111"/>
      <c r="CC332" s="1111"/>
      <c r="CD332" s="1111"/>
      <c r="CE332" s="1111"/>
      <c r="CF332" s="1111"/>
      <c r="CG332" s="1111"/>
      <c r="CH332" s="1111"/>
      <c r="CI332" s="1111"/>
      <c r="CJ332" s="1111"/>
      <c r="CK332" s="1110"/>
    </row>
    <row r="333" spans="1:89" ht="14.4" x14ac:dyDescent="0.3">
      <c r="A333" s="1110"/>
      <c r="B333" s="1110"/>
      <c r="C333" s="1110"/>
      <c r="D333" s="1110"/>
      <c r="E333" s="1110"/>
      <c r="F333" s="1110"/>
      <c r="G333" s="1110"/>
      <c r="H333" s="1110"/>
      <c r="I333" s="1110"/>
      <c r="J333" s="1110"/>
      <c r="K333" s="1110"/>
      <c r="L333" s="1110"/>
      <c r="M333" s="1110"/>
      <c r="N333" s="1110"/>
      <c r="O333" s="1110"/>
      <c r="P333" s="1110"/>
      <c r="Q333" s="1110"/>
      <c r="R333" s="1110"/>
      <c r="S333" s="1110"/>
      <c r="T333" s="1111"/>
      <c r="U333" s="1111"/>
      <c r="V333" s="1111"/>
      <c r="W333" s="1111"/>
      <c r="X333" s="1111"/>
      <c r="Y333" s="1111"/>
      <c r="Z333" s="1111"/>
      <c r="AA333" s="1111"/>
      <c r="AB333" s="1111"/>
      <c r="AC333" s="1111"/>
      <c r="AD333" s="1111"/>
      <c r="AE333" s="1111"/>
      <c r="AF333" s="1111"/>
      <c r="AG333" s="1111"/>
      <c r="AH333" s="1111"/>
      <c r="AI333" s="1111"/>
      <c r="AJ333" s="1111"/>
      <c r="AK333" s="1111"/>
      <c r="AL333" s="1111"/>
      <c r="AM333" s="1111"/>
      <c r="AN333" s="1111"/>
      <c r="AO333" s="1111"/>
      <c r="AP333" s="1111"/>
      <c r="AQ333" s="1111"/>
      <c r="AR333" s="1111"/>
      <c r="AS333" s="1111"/>
      <c r="AT333" s="1111"/>
      <c r="AU333" s="1111"/>
      <c r="AV333" s="1111"/>
      <c r="AW333" s="1111"/>
      <c r="AX333" s="1111"/>
      <c r="AY333" s="1111"/>
      <c r="AZ333" s="1111"/>
      <c r="BA333" s="1111"/>
      <c r="BB333" s="1111"/>
      <c r="BC333" s="1111"/>
      <c r="BD333" s="1111"/>
      <c r="BE333" s="1111"/>
      <c r="BF333" s="1111"/>
      <c r="BG333" s="1111"/>
      <c r="BH333" s="1111"/>
      <c r="BI333" s="1111"/>
      <c r="BJ333" s="1111"/>
      <c r="BK333" s="1111"/>
      <c r="BL333" s="1111"/>
      <c r="BM333" s="1111"/>
      <c r="BN333" s="1111"/>
      <c r="BO333" s="1111"/>
      <c r="BP333" s="1111"/>
      <c r="BQ333" s="1111"/>
      <c r="BR333" s="1111"/>
      <c r="BS333" s="1111"/>
      <c r="BT333" s="1111"/>
      <c r="BU333" s="1111"/>
      <c r="BV333" s="1111"/>
      <c r="BW333" s="1111"/>
      <c r="BX333" s="1111"/>
      <c r="BY333" s="1111"/>
      <c r="BZ333" s="1111"/>
      <c r="CA333" s="1111"/>
      <c r="CB333" s="1111"/>
      <c r="CC333" s="1111"/>
      <c r="CD333" s="1111"/>
      <c r="CE333" s="1111"/>
      <c r="CF333" s="1111"/>
      <c r="CG333" s="1111"/>
      <c r="CH333" s="1111"/>
      <c r="CI333" s="1111"/>
      <c r="CJ333" s="1111"/>
      <c r="CK333" s="1110"/>
    </row>
    <row r="334" spans="1:89" ht="14.4" x14ac:dyDescent="0.3">
      <c r="A334" s="1110"/>
      <c r="B334" s="1110"/>
      <c r="C334" s="1110"/>
      <c r="D334" s="1110"/>
      <c r="E334" s="1110"/>
      <c r="F334" s="1110"/>
      <c r="G334" s="1110"/>
      <c r="H334" s="1110"/>
      <c r="I334" s="1110"/>
      <c r="J334" s="1110"/>
      <c r="K334" s="1110"/>
      <c r="L334" s="1110"/>
      <c r="M334" s="1110"/>
      <c r="N334" s="1110"/>
      <c r="O334" s="1110"/>
      <c r="P334" s="1110"/>
      <c r="Q334" s="1110"/>
      <c r="R334" s="1110"/>
      <c r="S334" s="1110"/>
      <c r="T334" s="1111"/>
      <c r="U334" s="1111"/>
      <c r="V334" s="1111"/>
      <c r="W334" s="1111"/>
      <c r="X334" s="1111"/>
      <c r="Y334" s="1111"/>
      <c r="Z334" s="1111"/>
      <c r="AA334" s="1111"/>
      <c r="AB334" s="1111"/>
      <c r="AC334" s="1111"/>
      <c r="AD334" s="1111"/>
      <c r="AE334" s="1111"/>
      <c r="AF334" s="1111"/>
      <c r="AG334" s="1111"/>
      <c r="AH334" s="1111"/>
      <c r="AI334" s="1111"/>
      <c r="AJ334" s="1111"/>
      <c r="AK334" s="1111"/>
      <c r="AL334" s="1111"/>
      <c r="AM334" s="1111"/>
      <c r="AN334" s="1111"/>
      <c r="AO334" s="1111"/>
      <c r="AP334" s="1111"/>
      <c r="AQ334" s="1111"/>
      <c r="AR334" s="1111"/>
      <c r="AS334" s="1111"/>
      <c r="AT334" s="1111"/>
      <c r="AU334" s="1111"/>
      <c r="AV334" s="1111"/>
      <c r="AW334" s="1111"/>
      <c r="AX334" s="1111"/>
      <c r="AY334" s="1111"/>
      <c r="AZ334" s="1111"/>
      <c r="BA334" s="1111"/>
      <c r="BB334" s="1111"/>
      <c r="BC334" s="1111"/>
      <c r="BD334" s="1111"/>
      <c r="BE334" s="1111"/>
      <c r="BF334" s="1111"/>
      <c r="BG334" s="1111"/>
      <c r="BH334" s="1111"/>
      <c r="BI334" s="1111"/>
      <c r="BJ334" s="1111"/>
      <c r="BK334" s="1111"/>
      <c r="BL334" s="1111"/>
      <c r="BM334" s="1111"/>
      <c r="BN334" s="1111"/>
      <c r="BO334" s="1111"/>
      <c r="BP334" s="1111"/>
      <c r="BQ334" s="1111"/>
      <c r="BR334" s="1111"/>
      <c r="BS334" s="1111"/>
      <c r="BT334" s="1111"/>
      <c r="BU334" s="1111"/>
      <c r="BV334" s="1111"/>
      <c r="BW334" s="1111"/>
      <c r="BX334" s="1111"/>
      <c r="BY334" s="1111"/>
      <c r="BZ334" s="1111"/>
      <c r="CA334" s="1111"/>
      <c r="CB334" s="1111"/>
      <c r="CC334" s="1111"/>
      <c r="CD334" s="1111"/>
      <c r="CE334" s="1111"/>
      <c r="CF334" s="1111"/>
      <c r="CG334" s="1111"/>
      <c r="CH334" s="1111"/>
      <c r="CI334" s="1111"/>
      <c r="CJ334" s="1111"/>
      <c r="CK334" s="1110"/>
    </row>
    <row r="335" spans="1:89" ht="14.4" x14ac:dyDescent="0.3">
      <c r="A335" s="1110"/>
      <c r="B335" s="1110"/>
      <c r="C335" s="1110"/>
      <c r="D335" s="1110"/>
      <c r="E335" s="1110"/>
      <c r="F335" s="1110"/>
      <c r="G335" s="1110"/>
      <c r="H335" s="1110"/>
      <c r="I335" s="1110"/>
      <c r="J335" s="1110"/>
      <c r="K335" s="1110"/>
      <c r="L335" s="1110"/>
      <c r="M335" s="1110"/>
      <c r="N335" s="1110"/>
      <c r="O335" s="1110"/>
      <c r="P335" s="1110"/>
      <c r="Q335" s="1110"/>
      <c r="R335" s="1110"/>
      <c r="S335" s="1110"/>
      <c r="T335" s="1111"/>
      <c r="U335" s="1111"/>
      <c r="V335" s="1111"/>
      <c r="W335" s="1111"/>
      <c r="X335" s="1111"/>
      <c r="Y335" s="1111"/>
      <c r="Z335" s="1111"/>
      <c r="AA335" s="1111"/>
      <c r="AB335" s="1111"/>
      <c r="AC335" s="1111"/>
      <c r="AD335" s="1111"/>
      <c r="AE335" s="1111"/>
      <c r="AF335" s="1111"/>
      <c r="AG335" s="1111"/>
      <c r="AH335" s="1111"/>
      <c r="AI335" s="1111"/>
      <c r="AJ335" s="1111"/>
      <c r="AK335" s="1111"/>
      <c r="AL335" s="1111"/>
      <c r="AM335" s="1111"/>
      <c r="AN335" s="1111"/>
      <c r="AO335" s="1111"/>
      <c r="AP335" s="1111"/>
      <c r="AQ335" s="1111"/>
      <c r="AR335" s="1111"/>
      <c r="AS335" s="1111"/>
      <c r="AT335" s="1111"/>
      <c r="AU335" s="1111"/>
      <c r="AV335" s="1111"/>
      <c r="AW335" s="1111"/>
      <c r="AX335" s="1111"/>
      <c r="AY335" s="1111"/>
      <c r="AZ335" s="1111"/>
      <c r="BA335" s="1111"/>
      <c r="BB335" s="1111"/>
      <c r="BC335" s="1111"/>
      <c r="BD335" s="1111"/>
      <c r="BE335" s="1111"/>
      <c r="BF335" s="1111"/>
      <c r="BG335" s="1111"/>
      <c r="BH335" s="1111"/>
      <c r="BI335" s="1111"/>
      <c r="BJ335" s="1111"/>
      <c r="BK335" s="1111"/>
      <c r="BL335" s="1111"/>
      <c r="BM335" s="1111"/>
      <c r="BN335" s="1111"/>
      <c r="BO335" s="1111"/>
      <c r="BP335" s="1111"/>
      <c r="BQ335" s="1111"/>
      <c r="BR335" s="1111"/>
      <c r="BS335" s="1111"/>
      <c r="BT335" s="1111"/>
      <c r="BU335" s="1111"/>
      <c r="BV335" s="1111"/>
      <c r="BW335" s="1111"/>
      <c r="BX335" s="1111"/>
      <c r="BY335" s="1111"/>
      <c r="BZ335" s="1111"/>
      <c r="CA335" s="1111"/>
      <c r="CB335" s="1111"/>
      <c r="CC335" s="1111"/>
      <c r="CD335" s="1111"/>
      <c r="CE335" s="1111"/>
      <c r="CF335" s="1111"/>
      <c r="CG335" s="1111"/>
      <c r="CH335" s="1111"/>
      <c r="CI335" s="1111"/>
      <c r="CJ335" s="1111"/>
      <c r="CK335" s="1110"/>
    </row>
    <row r="336" spans="1:89" ht="14.4" x14ac:dyDescent="0.3">
      <c r="A336" s="1110"/>
      <c r="B336" s="1110"/>
      <c r="C336" s="1110"/>
      <c r="D336" s="1110"/>
      <c r="E336" s="1110"/>
      <c r="F336" s="1110"/>
      <c r="G336" s="1110"/>
      <c r="H336" s="1110"/>
      <c r="I336" s="1110"/>
      <c r="J336" s="1110"/>
      <c r="K336" s="1110"/>
      <c r="L336" s="1110"/>
      <c r="M336" s="1110"/>
      <c r="N336" s="1110"/>
      <c r="O336" s="1110"/>
      <c r="P336" s="1110"/>
      <c r="Q336" s="1110"/>
      <c r="R336" s="1110"/>
      <c r="S336" s="1110"/>
      <c r="T336" s="1111"/>
      <c r="U336" s="1111"/>
      <c r="V336" s="1111"/>
      <c r="W336" s="1111"/>
      <c r="X336" s="1111"/>
      <c r="Y336" s="1111"/>
      <c r="Z336" s="1111"/>
      <c r="AA336" s="1111"/>
      <c r="AB336" s="1111"/>
      <c r="AC336" s="1111"/>
      <c r="AD336" s="1111"/>
      <c r="AE336" s="1111"/>
      <c r="AF336" s="1111"/>
      <c r="AG336" s="1111"/>
      <c r="AH336" s="1111"/>
      <c r="AI336" s="1111"/>
      <c r="AJ336" s="1111"/>
      <c r="AK336" s="1111"/>
      <c r="AL336" s="1111"/>
      <c r="AM336" s="1111"/>
      <c r="AN336" s="1111"/>
      <c r="AO336" s="1111"/>
      <c r="AP336" s="1111"/>
      <c r="AQ336" s="1111"/>
      <c r="AR336" s="1111"/>
      <c r="AS336" s="1111"/>
      <c r="AT336" s="1111"/>
      <c r="AU336" s="1111"/>
      <c r="AV336" s="1111"/>
      <c r="AW336" s="1111"/>
      <c r="AX336" s="1111"/>
      <c r="AY336" s="1111"/>
      <c r="AZ336" s="1111"/>
      <c r="BA336" s="1111"/>
      <c r="BB336" s="1111"/>
      <c r="BC336" s="1111"/>
      <c r="BD336" s="1111"/>
      <c r="BE336" s="1111"/>
      <c r="BF336" s="1111"/>
      <c r="BG336" s="1111"/>
      <c r="BH336" s="1111"/>
      <c r="BI336" s="1111"/>
      <c r="BJ336" s="1111"/>
      <c r="BK336" s="1111"/>
      <c r="BL336" s="1111"/>
      <c r="BM336" s="1111"/>
      <c r="BN336" s="1111"/>
      <c r="BO336" s="1111"/>
      <c r="BP336" s="1111"/>
      <c r="BQ336" s="1111"/>
      <c r="BR336" s="1111"/>
      <c r="BS336" s="1111"/>
      <c r="BT336" s="1111"/>
      <c r="BU336" s="1111"/>
      <c r="BV336" s="1111"/>
      <c r="BW336" s="1111"/>
      <c r="BX336" s="1111"/>
      <c r="BY336" s="1111"/>
      <c r="BZ336" s="1111"/>
      <c r="CA336" s="1111"/>
      <c r="CB336" s="1111"/>
      <c r="CC336" s="1111"/>
      <c r="CD336" s="1111"/>
      <c r="CE336" s="1111"/>
      <c r="CF336" s="1111"/>
      <c r="CG336" s="1111"/>
      <c r="CH336" s="1111"/>
      <c r="CI336" s="1111"/>
      <c r="CJ336" s="1111"/>
      <c r="CK336" s="1110"/>
    </row>
    <row r="337" spans="1:89" ht="14.4" x14ac:dyDescent="0.3">
      <c r="A337" s="1110"/>
      <c r="B337" s="1110"/>
      <c r="C337" s="1110"/>
      <c r="D337" s="1110"/>
      <c r="E337" s="1110"/>
      <c r="F337" s="1110"/>
      <c r="G337" s="1110"/>
      <c r="H337" s="1110"/>
      <c r="I337" s="1110"/>
      <c r="J337" s="1110"/>
      <c r="K337" s="1110"/>
      <c r="L337" s="1110"/>
      <c r="M337" s="1110"/>
      <c r="N337" s="1110"/>
      <c r="O337" s="1110"/>
      <c r="P337" s="1110"/>
      <c r="Q337" s="1110"/>
      <c r="R337" s="1110"/>
      <c r="S337" s="1110"/>
      <c r="T337" s="1111"/>
      <c r="U337" s="1111"/>
      <c r="V337" s="1111"/>
      <c r="W337" s="1111"/>
      <c r="X337" s="1111"/>
      <c r="Y337" s="1111"/>
      <c r="Z337" s="1111"/>
      <c r="AA337" s="1111"/>
      <c r="AB337" s="1111"/>
      <c r="AC337" s="1111"/>
      <c r="AD337" s="1111"/>
      <c r="AE337" s="1111"/>
      <c r="AF337" s="1111"/>
      <c r="AG337" s="1111"/>
      <c r="AH337" s="1111"/>
      <c r="AI337" s="1111"/>
      <c r="AJ337" s="1111"/>
      <c r="AK337" s="1111"/>
      <c r="AL337" s="1111"/>
      <c r="AM337" s="1111"/>
      <c r="AN337" s="1111"/>
      <c r="AO337" s="1111"/>
      <c r="AP337" s="1111"/>
      <c r="AQ337" s="1111"/>
      <c r="AR337" s="1111"/>
      <c r="AS337" s="1111"/>
      <c r="AT337" s="1111"/>
      <c r="AU337" s="1111"/>
      <c r="AV337" s="1111"/>
      <c r="AW337" s="1111"/>
      <c r="AX337" s="1111"/>
      <c r="AY337" s="1111"/>
      <c r="AZ337" s="1111"/>
      <c r="BA337" s="1111"/>
      <c r="BB337" s="1111"/>
      <c r="BC337" s="1111"/>
      <c r="BD337" s="1111"/>
      <c r="BE337" s="1111"/>
      <c r="BF337" s="1111"/>
      <c r="BG337" s="1111"/>
      <c r="BH337" s="1111"/>
      <c r="BI337" s="1111"/>
      <c r="BJ337" s="1111"/>
      <c r="BK337" s="1111"/>
      <c r="BL337" s="1111"/>
      <c r="BM337" s="1111"/>
      <c r="BN337" s="1111"/>
      <c r="BO337" s="1111"/>
      <c r="BP337" s="1111"/>
      <c r="BQ337" s="1111"/>
      <c r="BR337" s="1111"/>
      <c r="BS337" s="1111"/>
      <c r="BT337" s="1111"/>
      <c r="BU337" s="1111"/>
      <c r="BV337" s="1111"/>
      <c r="BW337" s="1111"/>
      <c r="BX337" s="1111"/>
      <c r="BY337" s="1111"/>
      <c r="BZ337" s="1111"/>
      <c r="CA337" s="1111"/>
      <c r="CB337" s="1111"/>
      <c r="CC337" s="1111"/>
      <c r="CD337" s="1111"/>
      <c r="CE337" s="1111"/>
      <c r="CF337" s="1111"/>
      <c r="CG337" s="1111"/>
      <c r="CH337" s="1111"/>
      <c r="CI337" s="1111"/>
      <c r="CJ337" s="1111"/>
      <c r="CK337" s="1110"/>
    </row>
    <row r="338" spans="1:89" ht="14.4" x14ac:dyDescent="0.3">
      <c r="A338" s="1110"/>
      <c r="B338" s="1110"/>
      <c r="C338" s="1110"/>
      <c r="D338" s="1110"/>
      <c r="E338" s="1110"/>
      <c r="F338" s="1110"/>
      <c r="G338" s="1110"/>
      <c r="H338" s="1110"/>
      <c r="I338" s="1110"/>
      <c r="J338" s="1110"/>
      <c r="K338" s="1110"/>
      <c r="L338" s="1110"/>
      <c r="M338" s="1110"/>
      <c r="N338" s="1110"/>
      <c r="O338" s="1110"/>
      <c r="P338" s="1110"/>
      <c r="Q338" s="1110"/>
      <c r="R338" s="1110"/>
      <c r="S338" s="1110"/>
      <c r="T338" s="1111"/>
      <c r="U338" s="1111"/>
      <c r="V338" s="1111"/>
      <c r="W338" s="1111"/>
      <c r="X338" s="1111"/>
      <c r="Y338" s="1111"/>
      <c r="Z338" s="1111"/>
      <c r="AA338" s="1111"/>
      <c r="AB338" s="1111"/>
      <c r="AC338" s="1111"/>
      <c r="AD338" s="1111"/>
      <c r="AE338" s="1111"/>
      <c r="AF338" s="1111"/>
      <c r="AG338" s="1111"/>
      <c r="AH338" s="1111"/>
      <c r="AI338" s="1111"/>
      <c r="AJ338" s="1111"/>
      <c r="AK338" s="1111"/>
      <c r="AL338" s="1111"/>
      <c r="AM338" s="1111"/>
      <c r="AN338" s="1111"/>
      <c r="AO338" s="1111"/>
      <c r="AP338" s="1111"/>
      <c r="AQ338" s="1111"/>
      <c r="AR338" s="1111"/>
      <c r="AS338" s="1111"/>
      <c r="AT338" s="1111"/>
      <c r="AU338" s="1111"/>
      <c r="AV338" s="1111"/>
      <c r="AW338" s="1111"/>
      <c r="AX338" s="1111"/>
      <c r="AY338" s="1111"/>
      <c r="AZ338" s="1111"/>
      <c r="BA338" s="1111"/>
      <c r="BB338" s="1111"/>
      <c r="BC338" s="1111"/>
      <c r="BD338" s="1111"/>
      <c r="BE338" s="1111"/>
      <c r="BF338" s="1111"/>
      <c r="BG338" s="1111"/>
      <c r="BH338" s="1111"/>
      <c r="BI338" s="1111"/>
      <c r="BJ338" s="1111"/>
      <c r="BK338" s="1111"/>
      <c r="BL338" s="1111"/>
      <c r="BM338" s="1111"/>
      <c r="BN338" s="1111"/>
      <c r="BO338" s="1111"/>
      <c r="BP338" s="1111"/>
      <c r="BQ338" s="1111"/>
      <c r="BR338" s="1111"/>
      <c r="BS338" s="1111"/>
      <c r="BT338" s="1111"/>
      <c r="BU338" s="1111"/>
      <c r="BV338" s="1111"/>
      <c r="BW338" s="1111"/>
      <c r="BX338" s="1111"/>
      <c r="BY338" s="1111"/>
      <c r="BZ338" s="1111"/>
      <c r="CA338" s="1111"/>
      <c r="CB338" s="1111"/>
      <c r="CC338" s="1111"/>
      <c r="CD338" s="1111"/>
      <c r="CE338" s="1111"/>
      <c r="CF338" s="1111"/>
      <c r="CG338" s="1111"/>
      <c r="CH338" s="1111"/>
      <c r="CI338" s="1111"/>
      <c r="CJ338" s="1111"/>
      <c r="CK338" s="1110"/>
    </row>
    <row r="339" spans="1:89" ht="14.4" x14ac:dyDescent="0.3">
      <c r="A339" s="1110"/>
      <c r="B339" s="1110"/>
      <c r="C339" s="1110"/>
      <c r="D339" s="1110"/>
      <c r="E339" s="1110"/>
      <c r="F339" s="1110"/>
      <c r="G339" s="1110"/>
      <c r="H339" s="1110"/>
      <c r="I339" s="1110"/>
      <c r="J339" s="1110"/>
      <c r="K339" s="1110"/>
      <c r="L339" s="1110"/>
      <c r="M339" s="1110"/>
      <c r="N339" s="1110"/>
      <c r="O339" s="1110"/>
      <c r="P339" s="1110"/>
      <c r="Q339" s="1110"/>
      <c r="R339" s="1110"/>
      <c r="S339" s="1110"/>
      <c r="T339" s="1111"/>
      <c r="U339" s="1111"/>
      <c r="V339" s="1111"/>
      <c r="W339" s="1111"/>
      <c r="X339" s="1111"/>
      <c r="Y339" s="1111"/>
      <c r="Z339" s="1111"/>
      <c r="AA339" s="1111"/>
      <c r="AB339" s="1111"/>
      <c r="AC339" s="1111"/>
      <c r="AD339" s="1111"/>
      <c r="AE339" s="1111"/>
      <c r="AF339" s="1111"/>
      <c r="AG339" s="1111"/>
      <c r="AH339" s="1111"/>
      <c r="AI339" s="1111"/>
      <c r="AJ339" s="1111"/>
      <c r="AK339" s="1111"/>
      <c r="AL339" s="1111"/>
      <c r="AM339" s="1111"/>
      <c r="AN339" s="1111"/>
      <c r="AO339" s="1111"/>
      <c r="AP339" s="1111"/>
      <c r="AQ339" s="1111"/>
      <c r="AR339" s="1111"/>
      <c r="AS339" s="1111"/>
      <c r="AT339" s="1111"/>
      <c r="AU339" s="1111"/>
      <c r="AV339" s="1111"/>
      <c r="AW339" s="1111"/>
      <c r="AX339" s="1111"/>
      <c r="AY339" s="1111"/>
      <c r="AZ339" s="1111"/>
      <c r="BA339" s="1111"/>
      <c r="BB339" s="1111"/>
      <c r="BC339" s="1111"/>
      <c r="BD339" s="1111"/>
      <c r="BE339" s="1111"/>
      <c r="BF339" s="1111"/>
      <c r="BG339" s="1111"/>
      <c r="BH339" s="1111"/>
      <c r="BI339" s="1111"/>
      <c r="BJ339" s="1111"/>
      <c r="BK339" s="1111"/>
      <c r="BL339" s="1111"/>
      <c r="BM339" s="1111"/>
      <c r="BN339" s="1111"/>
      <c r="BO339" s="1111"/>
      <c r="BP339" s="1111"/>
      <c r="BQ339" s="1111"/>
      <c r="BR339" s="1111"/>
      <c r="BS339" s="1111"/>
      <c r="BT339" s="1111"/>
      <c r="BU339" s="1111"/>
      <c r="BV339" s="1111"/>
      <c r="BW339" s="1111"/>
      <c r="BX339" s="1111"/>
      <c r="BY339" s="1111"/>
      <c r="BZ339" s="1111"/>
      <c r="CA339" s="1111"/>
      <c r="CB339" s="1111"/>
      <c r="CC339" s="1111"/>
      <c r="CD339" s="1111"/>
      <c r="CE339" s="1111"/>
      <c r="CF339" s="1111"/>
      <c r="CG339" s="1111"/>
      <c r="CH339" s="1111"/>
      <c r="CI339" s="1111"/>
      <c r="CJ339" s="1111"/>
      <c r="CK339" s="1110"/>
    </row>
    <row r="340" spans="1:89" ht="14.4" x14ac:dyDescent="0.3">
      <c r="A340" s="1110"/>
      <c r="B340" s="1110"/>
      <c r="C340" s="1110"/>
      <c r="D340" s="1110"/>
      <c r="E340" s="1110"/>
      <c r="F340" s="1110"/>
      <c r="G340" s="1110"/>
      <c r="H340" s="1110"/>
      <c r="I340" s="1110"/>
      <c r="J340" s="1110"/>
      <c r="K340" s="1110"/>
      <c r="L340" s="1110"/>
      <c r="M340" s="1110"/>
      <c r="N340" s="1110"/>
      <c r="O340" s="1110"/>
      <c r="P340" s="1110"/>
      <c r="Q340" s="1110"/>
      <c r="R340" s="1110"/>
      <c r="S340" s="1110"/>
      <c r="T340" s="1111"/>
      <c r="U340" s="1111"/>
      <c r="V340" s="1111"/>
      <c r="W340" s="1111"/>
      <c r="X340" s="1111"/>
      <c r="Y340" s="1111"/>
      <c r="Z340" s="1111"/>
      <c r="AA340" s="1111"/>
      <c r="AB340" s="1111"/>
      <c r="AC340" s="1111"/>
      <c r="AD340" s="1111"/>
      <c r="AE340" s="1111"/>
      <c r="AF340" s="1111"/>
      <c r="AG340" s="1111"/>
      <c r="AH340" s="1111"/>
      <c r="AI340" s="1111"/>
      <c r="AJ340" s="1111"/>
      <c r="AK340" s="1111"/>
      <c r="AL340" s="1111"/>
      <c r="AM340" s="1111"/>
      <c r="AN340" s="1111"/>
      <c r="AO340" s="1111"/>
      <c r="AP340" s="1111"/>
      <c r="AQ340" s="1111"/>
      <c r="AR340" s="1111"/>
      <c r="AS340" s="1111"/>
      <c r="AT340" s="1111"/>
      <c r="AU340" s="1111"/>
      <c r="AV340" s="1111"/>
      <c r="AW340" s="1111"/>
      <c r="AX340" s="1111"/>
      <c r="AY340" s="1111"/>
      <c r="AZ340" s="1111"/>
      <c r="BA340" s="1111"/>
      <c r="BB340" s="1111"/>
      <c r="BC340" s="1111"/>
      <c r="BD340" s="1111"/>
      <c r="BE340" s="1111"/>
      <c r="BF340" s="1111"/>
      <c r="BG340" s="1111"/>
      <c r="BH340" s="1111"/>
      <c r="BI340" s="1111"/>
      <c r="BJ340" s="1111"/>
      <c r="BK340" s="1111"/>
      <c r="BL340" s="1111"/>
      <c r="BM340" s="1111"/>
      <c r="BN340" s="1111"/>
      <c r="BO340" s="1111"/>
      <c r="BP340" s="1111"/>
      <c r="BQ340" s="1111"/>
      <c r="BR340" s="1111"/>
      <c r="BS340" s="1111"/>
      <c r="BT340" s="1111"/>
      <c r="BU340" s="1111"/>
      <c r="BV340" s="1111"/>
      <c r="BW340" s="1111"/>
      <c r="BX340" s="1111"/>
      <c r="BY340" s="1111"/>
      <c r="BZ340" s="1111"/>
      <c r="CA340" s="1111"/>
      <c r="CB340" s="1111"/>
      <c r="CC340" s="1111"/>
      <c r="CD340" s="1111"/>
      <c r="CE340" s="1111"/>
      <c r="CF340" s="1111"/>
      <c r="CG340" s="1111"/>
      <c r="CH340" s="1111"/>
      <c r="CI340" s="1111"/>
      <c r="CJ340" s="1111"/>
      <c r="CK340" s="1110"/>
    </row>
    <row r="341" spans="1:89" ht="14.4" x14ac:dyDescent="0.3">
      <c r="A341" s="1110"/>
      <c r="B341" s="1110"/>
      <c r="C341" s="1110"/>
      <c r="D341" s="1110"/>
      <c r="E341" s="1110"/>
      <c r="F341" s="1110"/>
      <c r="G341" s="1110"/>
      <c r="H341" s="1110"/>
      <c r="I341" s="1110"/>
      <c r="J341" s="1110"/>
      <c r="K341" s="1110"/>
      <c r="L341" s="1110"/>
      <c r="M341" s="1110"/>
      <c r="N341" s="1110"/>
      <c r="O341" s="1110"/>
      <c r="P341" s="1110"/>
      <c r="Q341" s="1110"/>
      <c r="R341" s="1110"/>
      <c r="S341" s="1110"/>
      <c r="T341" s="1111"/>
      <c r="U341" s="1111"/>
      <c r="V341" s="1111"/>
      <c r="W341" s="1111"/>
      <c r="X341" s="1111"/>
      <c r="Y341" s="1111"/>
      <c r="Z341" s="1111"/>
      <c r="AA341" s="1111"/>
      <c r="AB341" s="1111"/>
      <c r="AC341" s="1111"/>
      <c r="AD341" s="1111"/>
      <c r="AE341" s="1111"/>
      <c r="AF341" s="1111"/>
      <c r="AG341" s="1111"/>
      <c r="AH341" s="1111"/>
      <c r="AI341" s="1111"/>
      <c r="AJ341" s="1111"/>
      <c r="AK341" s="1111"/>
      <c r="AL341" s="1111"/>
      <c r="AM341" s="1111"/>
      <c r="AN341" s="1111"/>
      <c r="AO341" s="1111"/>
      <c r="AP341" s="1111"/>
      <c r="AQ341" s="1111"/>
      <c r="AR341" s="1111"/>
      <c r="AS341" s="1111"/>
      <c r="AT341" s="1111"/>
      <c r="AU341" s="1111"/>
      <c r="AV341" s="1111"/>
      <c r="AW341" s="1111"/>
      <c r="AX341" s="1111"/>
      <c r="AY341" s="1111"/>
      <c r="AZ341" s="1111"/>
      <c r="BA341" s="1111"/>
      <c r="BB341" s="1111"/>
      <c r="BC341" s="1111"/>
      <c r="BD341" s="1111"/>
      <c r="BE341" s="1111"/>
      <c r="BF341" s="1111"/>
      <c r="BG341" s="1111"/>
      <c r="BH341" s="1111"/>
      <c r="BI341" s="1111"/>
      <c r="BJ341" s="1111"/>
      <c r="BK341" s="1111"/>
      <c r="BL341" s="1111"/>
      <c r="BM341" s="1111"/>
      <c r="BN341" s="1111"/>
      <c r="BO341" s="1111"/>
      <c r="BP341" s="1111"/>
      <c r="BQ341" s="1111"/>
      <c r="BR341" s="1111"/>
      <c r="BS341" s="1111"/>
      <c r="BT341" s="1111"/>
      <c r="BU341" s="1111"/>
      <c r="BV341" s="1111"/>
      <c r="BW341" s="1111"/>
      <c r="BX341" s="1111"/>
      <c r="BY341" s="1111"/>
      <c r="BZ341" s="1111"/>
      <c r="CA341" s="1111"/>
      <c r="CB341" s="1111"/>
      <c r="CC341" s="1111"/>
      <c r="CD341" s="1111"/>
      <c r="CE341" s="1111"/>
      <c r="CF341" s="1111"/>
      <c r="CG341" s="1111"/>
      <c r="CH341" s="1111"/>
      <c r="CI341" s="1111"/>
      <c r="CJ341" s="1111"/>
      <c r="CK341" s="1110"/>
    </row>
    <row r="342" spans="1:89" ht="14.4" x14ac:dyDescent="0.3">
      <c r="A342" s="1110"/>
      <c r="B342" s="1110"/>
      <c r="C342" s="1110"/>
      <c r="D342" s="1110"/>
      <c r="E342" s="1110"/>
      <c r="F342" s="1110"/>
      <c r="G342" s="1110"/>
      <c r="H342" s="1110"/>
      <c r="I342" s="1110"/>
      <c r="J342" s="1110"/>
      <c r="K342" s="1110"/>
      <c r="L342" s="1110"/>
      <c r="M342" s="1110"/>
      <c r="N342" s="1110"/>
      <c r="O342" s="1110"/>
      <c r="P342" s="1110"/>
      <c r="Q342" s="1110"/>
      <c r="R342" s="1110"/>
      <c r="S342" s="1110"/>
      <c r="T342" s="1111"/>
      <c r="U342" s="1111"/>
      <c r="V342" s="1111"/>
      <c r="W342" s="1111"/>
      <c r="X342" s="1111"/>
      <c r="Y342" s="1111"/>
      <c r="Z342" s="1111"/>
      <c r="AA342" s="1111"/>
      <c r="AB342" s="1111"/>
      <c r="AC342" s="1111"/>
      <c r="AD342" s="1111"/>
      <c r="AE342" s="1111"/>
      <c r="AF342" s="1111"/>
      <c r="AG342" s="1111"/>
      <c r="AH342" s="1111"/>
      <c r="AI342" s="1111"/>
      <c r="AJ342" s="1111"/>
      <c r="AK342" s="1111"/>
      <c r="AL342" s="1111"/>
      <c r="AM342" s="1111"/>
      <c r="AN342" s="1111"/>
      <c r="AO342" s="1111"/>
      <c r="AP342" s="1111"/>
      <c r="AQ342" s="1111"/>
      <c r="AR342" s="1111"/>
      <c r="AS342" s="1111"/>
      <c r="AT342" s="1111"/>
      <c r="AU342" s="1111"/>
      <c r="AV342" s="1111"/>
      <c r="AW342" s="1111"/>
      <c r="AX342" s="1111"/>
      <c r="AY342" s="1111"/>
      <c r="AZ342" s="1111"/>
      <c r="BA342" s="1111"/>
      <c r="BB342" s="1111"/>
      <c r="BC342" s="1111"/>
      <c r="BD342" s="1111"/>
      <c r="BE342" s="1111"/>
      <c r="BF342" s="1111"/>
      <c r="BG342" s="1111"/>
      <c r="BH342" s="1111"/>
      <c r="BI342" s="1111"/>
      <c r="BJ342" s="1111"/>
      <c r="BK342" s="1111"/>
      <c r="BL342" s="1111"/>
      <c r="BM342" s="1111"/>
      <c r="BN342" s="1111"/>
      <c r="BO342" s="1111"/>
      <c r="BP342" s="1111"/>
      <c r="BQ342" s="1111"/>
      <c r="BR342" s="1111"/>
      <c r="BS342" s="1111"/>
      <c r="BT342" s="1111"/>
      <c r="BU342" s="1111"/>
      <c r="BV342" s="1111"/>
      <c r="BW342" s="1111"/>
      <c r="BX342" s="1111"/>
      <c r="BY342" s="1111"/>
      <c r="BZ342" s="1111"/>
      <c r="CA342" s="1111"/>
      <c r="CB342" s="1111"/>
      <c r="CC342" s="1111"/>
      <c r="CD342" s="1111"/>
      <c r="CE342" s="1111"/>
      <c r="CF342" s="1111"/>
      <c r="CG342" s="1111"/>
      <c r="CH342" s="1111"/>
      <c r="CI342" s="1111"/>
      <c r="CJ342" s="1111"/>
      <c r="CK342" s="1110"/>
    </row>
    <row r="343" spans="1:89" ht="14.4" x14ac:dyDescent="0.3">
      <c r="A343" s="1110"/>
      <c r="B343" s="1110"/>
      <c r="C343" s="1110"/>
      <c r="D343" s="1110"/>
      <c r="E343" s="1110"/>
      <c r="F343" s="1110"/>
      <c r="G343" s="1110"/>
      <c r="H343" s="1110"/>
      <c r="I343" s="1110"/>
      <c r="J343" s="1110"/>
      <c r="K343" s="1110"/>
      <c r="L343" s="1110"/>
      <c r="M343" s="1110"/>
      <c r="N343" s="1110"/>
      <c r="O343" s="1110"/>
      <c r="P343" s="1110"/>
      <c r="Q343" s="1110"/>
      <c r="R343" s="1110"/>
      <c r="S343" s="1110"/>
      <c r="T343" s="1111"/>
      <c r="U343" s="1111"/>
      <c r="V343" s="1111"/>
      <c r="W343" s="1111"/>
      <c r="X343" s="1111"/>
      <c r="Y343" s="1111"/>
      <c r="Z343" s="1111"/>
      <c r="AA343" s="1111"/>
      <c r="AB343" s="1111"/>
      <c r="AC343" s="1111"/>
      <c r="AD343" s="1111"/>
      <c r="AE343" s="1111"/>
      <c r="AF343" s="1111"/>
      <c r="AG343" s="1111"/>
      <c r="AH343" s="1111"/>
      <c r="AI343" s="1111"/>
      <c r="AJ343" s="1111"/>
      <c r="AK343" s="1111"/>
      <c r="AL343" s="1111"/>
      <c r="AM343" s="1111"/>
      <c r="AN343" s="1111"/>
      <c r="AO343" s="1111"/>
      <c r="AP343" s="1111"/>
      <c r="AQ343" s="1111"/>
      <c r="AR343" s="1111"/>
      <c r="AS343" s="1111"/>
      <c r="AT343" s="1111"/>
      <c r="AU343" s="1111"/>
      <c r="AV343" s="1111"/>
      <c r="AW343" s="1111"/>
      <c r="AX343" s="1111"/>
      <c r="AY343" s="1111"/>
      <c r="AZ343" s="1111"/>
      <c r="BA343" s="1111"/>
      <c r="BB343" s="1111"/>
      <c r="BC343" s="1111"/>
      <c r="BD343" s="1111"/>
      <c r="BE343" s="1111"/>
      <c r="BF343" s="1111"/>
      <c r="BG343" s="1111"/>
      <c r="BH343" s="1111"/>
      <c r="BI343" s="1111"/>
      <c r="BJ343" s="1111"/>
      <c r="BK343" s="1111"/>
      <c r="BL343" s="1111"/>
      <c r="BM343" s="1111"/>
      <c r="BN343" s="1111"/>
      <c r="BO343" s="1111"/>
      <c r="BP343" s="1111"/>
      <c r="BQ343" s="1111"/>
      <c r="BR343" s="1111"/>
      <c r="BS343" s="1111"/>
      <c r="BT343" s="1111"/>
      <c r="BU343" s="1111"/>
      <c r="BV343" s="1111"/>
      <c r="BW343" s="1111"/>
      <c r="BX343" s="1111"/>
      <c r="BY343" s="1111"/>
      <c r="BZ343" s="1111"/>
      <c r="CA343" s="1111"/>
      <c r="CB343" s="1111"/>
      <c r="CC343" s="1111"/>
      <c r="CD343" s="1111"/>
      <c r="CE343" s="1111"/>
      <c r="CF343" s="1111"/>
      <c r="CG343" s="1111"/>
      <c r="CH343" s="1111"/>
      <c r="CI343" s="1111"/>
      <c r="CJ343" s="1111"/>
      <c r="CK343" s="1110"/>
    </row>
    <row r="344" spans="1:89" ht="14.4" x14ac:dyDescent="0.3">
      <c r="A344" s="1110"/>
      <c r="B344" s="1110"/>
      <c r="C344" s="1110"/>
      <c r="D344" s="1110"/>
      <c r="E344" s="1110"/>
      <c r="F344" s="1110"/>
      <c r="G344" s="1110"/>
      <c r="H344" s="1110"/>
      <c r="I344" s="1110"/>
      <c r="J344" s="1110"/>
      <c r="K344" s="1110"/>
      <c r="L344" s="1110"/>
      <c r="M344" s="1110"/>
      <c r="N344" s="1110"/>
      <c r="O344" s="1110"/>
      <c r="P344" s="1110"/>
      <c r="Q344" s="1110"/>
      <c r="R344" s="1110"/>
      <c r="S344" s="1110"/>
      <c r="T344" s="1111"/>
      <c r="U344" s="1111"/>
      <c r="V344" s="1111"/>
      <c r="W344" s="1111"/>
      <c r="X344" s="1111"/>
      <c r="Y344" s="1111"/>
      <c r="Z344" s="1111"/>
      <c r="AA344" s="1111"/>
      <c r="AB344" s="1111"/>
      <c r="AC344" s="1111"/>
      <c r="AD344" s="1111"/>
      <c r="AE344" s="1111"/>
      <c r="AF344" s="1111"/>
      <c r="AG344" s="1111"/>
      <c r="AH344" s="1111"/>
      <c r="AI344" s="1111"/>
      <c r="AJ344" s="1111"/>
      <c r="AK344" s="1111"/>
      <c r="AL344" s="1111"/>
      <c r="AM344" s="1111"/>
      <c r="AN344" s="1111"/>
      <c r="AO344" s="1111"/>
      <c r="AP344" s="1111"/>
      <c r="AQ344" s="1111"/>
      <c r="AR344" s="1111"/>
      <c r="AS344" s="1111"/>
      <c r="AT344" s="1111"/>
      <c r="AU344" s="1111"/>
      <c r="AV344" s="1111"/>
      <c r="AW344" s="1111"/>
      <c r="AX344" s="1111"/>
      <c r="AY344" s="1111"/>
      <c r="AZ344" s="1111"/>
      <c r="BA344" s="1111"/>
      <c r="BB344" s="1111"/>
      <c r="BC344" s="1111"/>
      <c r="BD344" s="1111"/>
      <c r="BE344" s="1111"/>
      <c r="BF344" s="1111"/>
      <c r="BG344" s="1111"/>
      <c r="BH344" s="1111"/>
      <c r="BI344" s="1111"/>
      <c r="BJ344" s="1111"/>
      <c r="BK344" s="1111"/>
      <c r="BL344" s="1111"/>
      <c r="BM344" s="1111"/>
      <c r="BN344" s="1111"/>
      <c r="BO344" s="1111"/>
      <c r="BP344" s="1111"/>
      <c r="BQ344" s="1111"/>
      <c r="BR344" s="1111"/>
      <c r="BS344" s="1111"/>
      <c r="BT344" s="1111"/>
      <c r="BU344" s="1111"/>
      <c r="BV344" s="1111"/>
      <c r="BW344" s="1111"/>
      <c r="BX344" s="1111"/>
      <c r="BY344" s="1111"/>
      <c r="BZ344" s="1111"/>
      <c r="CA344" s="1111"/>
      <c r="CB344" s="1111"/>
      <c r="CC344" s="1111"/>
      <c r="CD344" s="1111"/>
      <c r="CE344" s="1111"/>
      <c r="CF344" s="1111"/>
      <c r="CG344" s="1111"/>
      <c r="CH344" s="1111"/>
      <c r="CI344" s="1111"/>
      <c r="CJ344" s="1111"/>
      <c r="CK344" s="1110"/>
    </row>
    <row r="345" spans="1:89" ht="14.4" x14ac:dyDescent="0.3">
      <c r="A345" s="1110"/>
      <c r="B345" s="1110"/>
      <c r="C345" s="1110"/>
      <c r="D345" s="1110"/>
      <c r="E345" s="1110"/>
      <c r="F345" s="1110"/>
      <c r="G345" s="1110"/>
      <c r="H345" s="1110"/>
      <c r="I345" s="1110"/>
      <c r="J345" s="1110"/>
      <c r="K345" s="1110"/>
      <c r="L345" s="1110"/>
      <c r="M345" s="1110"/>
      <c r="N345" s="1110"/>
      <c r="O345" s="1110"/>
      <c r="P345" s="1110"/>
      <c r="Q345" s="1110"/>
      <c r="R345" s="1110"/>
      <c r="S345" s="1110"/>
      <c r="T345" s="1111"/>
      <c r="U345" s="1111"/>
      <c r="V345" s="1111"/>
      <c r="W345" s="1111"/>
      <c r="X345" s="1111"/>
      <c r="Y345" s="1111"/>
      <c r="Z345" s="1111"/>
      <c r="AA345" s="1111"/>
      <c r="AB345" s="1111"/>
      <c r="AC345" s="1111"/>
      <c r="AD345" s="1111"/>
      <c r="AE345" s="1111"/>
      <c r="AF345" s="1111"/>
      <c r="AG345" s="1111"/>
      <c r="AH345" s="1111"/>
      <c r="AI345" s="1111"/>
      <c r="AJ345" s="1111"/>
      <c r="AK345" s="1111"/>
      <c r="AL345" s="1111"/>
      <c r="AM345" s="1111"/>
      <c r="AN345" s="1111"/>
      <c r="AO345" s="1111"/>
      <c r="AP345" s="1111"/>
      <c r="AQ345" s="1111"/>
      <c r="AR345" s="1111"/>
      <c r="AS345" s="1111"/>
      <c r="AT345" s="1111"/>
      <c r="AU345" s="1111"/>
      <c r="AV345" s="1111"/>
      <c r="AW345" s="1111"/>
      <c r="AX345" s="1111"/>
      <c r="AY345" s="1111"/>
      <c r="AZ345" s="1111"/>
      <c r="BA345" s="1111"/>
      <c r="BB345" s="1111"/>
      <c r="BC345" s="1111"/>
      <c r="BD345" s="1111"/>
      <c r="BE345" s="1111"/>
      <c r="BF345" s="1111"/>
      <c r="BG345" s="1111"/>
      <c r="BH345" s="1111"/>
      <c r="BI345" s="1111"/>
      <c r="BJ345" s="1111"/>
      <c r="BK345" s="1111"/>
      <c r="BL345" s="1111"/>
      <c r="BM345" s="1111"/>
      <c r="BN345" s="1111"/>
      <c r="BO345" s="1111"/>
      <c r="BP345" s="1111"/>
      <c r="BQ345" s="1111"/>
      <c r="BR345" s="1111"/>
      <c r="BS345" s="1111"/>
      <c r="BT345" s="1111"/>
      <c r="BU345" s="1111"/>
      <c r="BV345" s="1111"/>
      <c r="BW345" s="1111"/>
      <c r="BX345" s="1111"/>
      <c r="BY345" s="1111"/>
      <c r="BZ345" s="1111"/>
      <c r="CA345" s="1111"/>
      <c r="CB345" s="1111"/>
      <c r="CC345" s="1111"/>
      <c r="CD345" s="1111"/>
      <c r="CE345" s="1111"/>
      <c r="CF345" s="1111"/>
      <c r="CG345" s="1111"/>
      <c r="CH345" s="1111"/>
      <c r="CI345" s="1111"/>
      <c r="CJ345" s="1111"/>
      <c r="CK345" s="1110"/>
    </row>
    <row r="346" spans="1:89" ht="14.4" x14ac:dyDescent="0.3">
      <c r="A346" s="1110"/>
      <c r="B346" s="1110"/>
      <c r="C346" s="1110"/>
      <c r="D346" s="1110"/>
      <c r="E346" s="1110"/>
      <c r="F346" s="1110"/>
      <c r="G346" s="1110"/>
      <c r="H346" s="1110"/>
      <c r="I346" s="1110"/>
      <c r="J346" s="1110"/>
      <c r="K346" s="1110"/>
      <c r="L346" s="1110"/>
      <c r="M346" s="1110"/>
      <c r="N346" s="1110"/>
      <c r="O346" s="1110"/>
      <c r="P346" s="1110"/>
      <c r="Q346" s="1110"/>
      <c r="R346" s="1110"/>
      <c r="S346" s="1110"/>
      <c r="T346" s="1111"/>
      <c r="U346" s="1111"/>
      <c r="V346" s="1111"/>
      <c r="W346" s="1111"/>
      <c r="X346" s="1111"/>
      <c r="Y346" s="1111"/>
      <c r="Z346" s="1111"/>
      <c r="AA346" s="1111"/>
      <c r="AB346" s="1111"/>
      <c r="AC346" s="1111"/>
      <c r="AD346" s="1111"/>
      <c r="AE346" s="1111"/>
      <c r="AF346" s="1111"/>
      <c r="AG346" s="1111"/>
      <c r="AH346" s="1111"/>
      <c r="AI346" s="1111"/>
      <c r="AJ346" s="1111"/>
      <c r="AK346" s="1111"/>
      <c r="AL346" s="1111"/>
      <c r="AM346" s="1111"/>
      <c r="AN346" s="1111"/>
      <c r="AO346" s="1111"/>
      <c r="AP346" s="1111"/>
      <c r="AQ346" s="1111"/>
      <c r="AR346" s="1111"/>
      <c r="AS346" s="1111"/>
      <c r="AT346" s="1111"/>
      <c r="AU346" s="1111"/>
      <c r="AV346" s="1111"/>
      <c r="AW346" s="1111"/>
      <c r="AX346" s="1111"/>
      <c r="AY346" s="1111"/>
      <c r="AZ346" s="1111"/>
      <c r="BA346" s="1111"/>
      <c r="BB346" s="1111"/>
      <c r="BC346" s="1111"/>
      <c r="BD346" s="1111"/>
      <c r="BE346" s="1111"/>
      <c r="BF346" s="1111"/>
      <c r="BG346" s="1111"/>
      <c r="BH346" s="1111"/>
      <c r="BI346" s="1111"/>
      <c r="BJ346" s="1111"/>
      <c r="BK346" s="1111"/>
      <c r="BL346" s="1111"/>
      <c r="BM346" s="1111"/>
      <c r="BN346" s="1111"/>
      <c r="BO346" s="1111"/>
      <c r="BP346" s="1111"/>
      <c r="BQ346" s="1111"/>
      <c r="BR346" s="1111"/>
      <c r="BS346" s="1111"/>
      <c r="BT346" s="1111"/>
      <c r="BU346" s="1111"/>
      <c r="BV346" s="1111"/>
      <c r="BW346" s="1111"/>
      <c r="BX346" s="1111"/>
      <c r="BY346" s="1111"/>
      <c r="BZ346" s="1111"/>
      <c r="CA346" s="1111"/>
      <c r="CB346" s="1111"/>
      <c r="CC346" s="1111"/>
      <c r="CD346" s="1111"/>
      <c r="CE346" s="1111"/>
      <c r="CF346" s="1111"/>
      <c r="CG346" s="1111"/>
      <c r="CH346" s="1111"/>
      <c r="CI346" s="1111"/>
      <c r="CJ346" s="1111"/>
      <c r="CK346" s="1110"/>
    </row>
    <row r="347" spans="1:89" ht="14.4" x14ac:dyDescent="0.3">
      <c r="A347" s="1110"/>
      <c r="B347" s="1110"/>
      <c r="C347" s="1110"/>
      <c r="D347" s="1110"/>
      <c r="E347" s="1110"/>
      <c r="F347" s="1110"/>
      <c r="G347" s="1110"/>
      <c r="H347" s="1110"/>
      <c r="I347" s="1110"/>
      <c r="J347" s="1110"/>
      <c r="K347" s="1110"/>
      <c r="L347" s="1110"/>
      <c r="M347" s="1110"/>
      <c r="N347" s="1110"/>
      <c r="O347" s="1110"/>
      <c r="P347" s="1110"/>
      <c r="Q347" s="1110"/>
      <c r="R347" s="1110"/>
      <c r="S347" s="1110"/>
      <c r="T347" s="1111"/>
      <c r="U347" s="1111"/>
      <c r="V347" s="1111"/>
      <c r="W347" s="1111"/>
      <c r="X347" s="1111"/>
      <c r="Y347" s="1111"/>
      <c r="Z347" s="1111"/>
      <c r="AA347" s="1111"/>
      <c r="AB347" s="1111"/>
      <c r="AC347" s="1111"/>
      <c r="AD347" s="1111"/>
      <c r="AE347" s="1111"/>
      <c r="AF347" s="1111"/>
      <c r="AG347" s="1111"/>
      <c r="AH347" s="1111"/>
      <c r="AI347" s="1111"/>
      <c r="AJ347" s="1111"/>
      <c r="AK347" s="1111"/>
      <c r="AL347" s="1111"/>
      <c r="AM347" s="1111"/>
      <c r="AN347" s="1111"/>
      <c r="AO347" s="1111"/>
      <c r="AP347" s="1111"/>
      <c r="AQ347" s="1111"/>
      <c r="AR347" s="1111"/>
      <c r="AS347" s="1111"/>
      <c r="AT347" s="1111"/>
      <c r="AU347" s="1111"/>
      <c r="AV347" s="1111"/>
      <c r="AW347" s="1111"/>
      <c r="AX347" s="1111"/>
      <c r="AY347" s="1111"/>
      <c r="AZ347" s="1111"/>
      <c r="BA347" s="1111"/>
      <c r="BB347" s="1111"/>
      <c r="BC347" s="1111"/>
      <c r="BD347" s="1111"/>
      <c r="BE347" s="1111"/>
      <c r="BF347" s="1111"/>
      <c r="BG347" s="1111"/>
      <c r="BH347" s="1111"/>
      <c r="BI347" s="1111"/>
      <c r="BJ347" s="1111"/>
      <c r="BK347" s="1111"/>
      <c r="BL347" s="1111"/>
      <c r="BM347" s="1111"/>
      <c r="BN347" s="1111"/>
      <c r="BO347" s="1111"/>
      <c r="BP347" s="1111"/>
      <c r="BQ347" s="1111"/>
      <c r="BR347" s="1111"/>
      <c r="BS347" s="1111"/>
      <c r="BT347" s="1111"/>
      <c r="BU347" s="1111"/>
      <c r="BV347" s="1111"/>
      <c r="BW347" s="1111"/>
      <c r="BX347" s="1111"/>
      <c r="BY347" s="1111"/>
      <c r="BZ347" s="1111"/>
      <c r="CA347" s="1111"/>
      <c r="CB347" s="1111"/>
      <c r="CC347" s="1111"/>
      <c r="CD347" s="1111"/>
      <c r="CE347" s="1111"/>
      <c r="CF347" s="1111"/>
      <c r="CG347" s="1111"/>
      <c r="CH347" s="1111"/>
      <c r="CI347" s="1111"/>
      <c r="CJ347" s="1111"/>
      <c r="CK347" s="1110"/>
    </row>
    <row r="348" spans="1:89" ht="14.4" x14ac:dyDescent="0.3">
      <c r="A348" s="1110"/>
      <c r="B348" s="1110"/>
      <c r="C348" s="1110"/>
      <c r="D348" s="1110"/>
      <c r="E348" s="1110"/>
      <c r="F348" s="1110"/>
      <c r="G348" s="1110"/>
      <c r="H348" s="1110"/>
      <c r="I348" s="1110"/>
      <c r="J348" s="1110"/>
      <c r="K348" s="1110"/>
      <c r="L348" s="1110"/>
      <c r="M348" s="1110"/>
      <c r="N348" s="1110"/>
      <c r="O348" s="1110"/>
      <c r="P348" s="1110"/>
      <c r="Q348" s="1110"/>
      <c r="R348" s="1110"/>
      <c r="S348" s="1110"/>
      <c r="T348" s="1111"/>
      <c r="U348" s="1111"/>
      <c r="V348" s="1111"/>
      <c r="W348" s="1111"/>
      <c r="X348" s="1111"/>
      <c r="Y348" s="1111"/>
      <c r="Z348" s="1111"/>
      <c r="AA348" s="1111"/>
      <c r="AB348" s="1111"/>
      <c r="AC348" s="1111"/>
      <c r="AD348" s="1111"/>
      <c r="AE348" s="1111"/>
      <c r="AF348" s="1111"/>
      <c r="AG348" s="1111"/>
      <c r="AH348" s="1111"/>
      <c r="AI348" s="1111"/>
      <c r="AJ348" s="1111"/>
      <c r="AK348" s="1111"/>
      <c r="AL348" s="1111"/>
      <c r="AM348" s="1111"/>
      <c r="AN348" s="1111"/>
      <c r="AO348" s="1111"/>
      <c r="AP348" s="1111"/>
      <c r="AQ348" s="1111"/>
      <c r="AR348" s="1111"/>
      <c r="AS348" s="1111"/>
      <c r="AT348" s="1111"/>
      <c r="AU348" s="1111"/>
      <c r="AV348" s="1111"/>
      <c r="AW348" s="1111"/>
      <c r="AX348" s="1111"/>
      <c r="AY348" s="1111"/>
      <c r="AZ348" s="1111"/>
      <c r="BA348" s="1111"/>
      <c r="BB348" s="1111"/>
      <c r="BC348" s="1111"/>
      <c r="BD348" s="1111"/>
      <c r="BE348" s="1111"/>
      <c r="BF348" s="1111"/>
      <c r="BG348" s="1111"/>
      <c r="BH348" s="1111"/>
      <c r="BI348" s="1111"/>
      <c r="BJ348" s="1111"/>
      <c r="BK348" s="1111"/>
      <c r="BL348" s="1111"/>
      <c r="BM348" s="1111"/>
      <c r="BN348" s="1111"/>
      <c r="BO348" s="1111"/>
      <c r="BP348" s="1111"/>
      <c r="BQ348" s="1111"/>
      <c r="BR348" s="1111"/>
      <c r="BS348" s="1111"/>
      <c r="BT348" s="1111"/>
      <c r="BU348" s="1111"/>
      <c r="BV348" s="1111"/>
      <c r="BW348" s="1111"/>
      <c r="BX348" s="1111"/>
      <c r="BY348" s="1111"/>
      <c r="BZ348" s="1111"/>
      <c r="CA348" s="1111"/>
      <c r="CB348" s="1111"/>
      <c r="CC348" s="1111"/>
      <c r="CD348" s="1111"/>
      <c r="CE348" s="1111"/>
      <c r="CF348" s="1111"/>
      <c r="CG348" s="1111"/>
      <c r="CH348" s="1111"/>
      <c r="CI348" s="1111"/>
      <c r="CJ348" s="1111"/>
      <c r="CK348" s="1110"/>
    </row>
    <row r="349" spans="1:89" ht="14.4" x14ac:dyDescent="0.3">
      <c r="A349" s="1110"/>
      <c r="B349" s="1110"/>
      <c r="C349" s="1110"/>
      <c r="D349" s="1110"/>
      <c r="E349" s="1110"/>
      <c r="F349" s="1110"/>
      <c r="G349" s="1110"/>
      <c r="H349" s="1110"/>
      <c r="I349" s="1110"/>
      <c r="J349" s="1110"/>
      <c r="K349" s="1110"/>
      <c r="L349" s="1110"/>
      <c r="M349" s="1110"/>
      <c r="N349" s="1110"/>
      <c r="O349" s="1110"/>
      <c r="P349" s="1110"/>
      <c r="Q349" s="1110"/>
      <c r="R349" s="1110"/>
      <c r="S349" s="1110"/>
      <c r="T349" s="1111"/>
      <c r="U349" s="1111"/>
      <c r="V349" s="1111"/>
      <c r="W349" s="1111"/>
      <c r="X349" s="1111"/>
      <c r="Y349" s="1111"/>
      <c r="Z349" s="1111"/>
      <c r="AA349" s="1111"/>
      <c r="AB349" s="1111"/>
      <c r="AC349" s="1111"/>
      <c r="AD349" s="1111"/>
      <c r="AE349" s="1111"/>
      <c r="AF349" s="1111"/>
      <c r="AG349" s="1111"/>
      <c r="AH349" s="1111"/>
      <c r="AI349" s="1111"/>
      <c r="AJ349" s="1111"/>
      <c r="AK349" s="1111"/>
      <c r="AL349" s="1111"/>
      <c r="AM349" s="1111"/>
      <c r="AN349" s="1111"/>
      <c r="AO349" s="1111"/>
      <c r="AP349" s="1111"/>
      <c r="AQ349" s="1111"/>
      <c r="AR349" s="1111"/>
      <c r="AS349" s="1111"/>
      <c r="AT349" s="1111"/>
      <c r="AU349" s="1111"/>
      <c r="AV349" s="1111"/>
      <c r="AW349" s="1111"/>
      <c r="AX349" s="1111"/>
      <c r="AY349" s="1111"/>
      <c r="AZ349" s="1111"/>
      <c r="BA349" s="1111"/>
      <c r="BB349" s="1111"/>
      <c r="BC349" s="1111"/>
      <c r="BD349" s="1111"/>
      <c r="BE349" s="1111"/>
      <c r="BF349" s="1111"/>
      <c r="BG349" s="1111"/>
      <c r="BH349" s="1111"/>
      <c r="BI349" s="1111"/>
      <c r="BJ349" s="1111"/>
      <c r="BK349" s="1111"/>
      <c r="BL349" s="1111"/>
      <c r="BM349" s="1111"/>
      <c r="BN349" s="1111"/>
      <c r="BO349" s="1111"/>
      <c r="BP349" s="1111"/>
      <c r="BQ349" s="1111"/>
      <c r="BR349" s="1111"/>
      <c r="BS349" s="1111"/>
      <c r="BT349" s="1111"/>
      <c r="BU349" s="1111"/>
      <c r="BV349" s="1111"/>
      <c r="BW349" s="1111"/>
      <c r="BX349" s="1111"/>
      <c r="BY349" s="1111"/>
      <c r="BZ349" s="1111"/>
      <c r="CA349" s="1111"/>
      <c r="CB349" s="1111"/>
      <c r="CC349" s="1111"/>
      <c r="CD349" s="1111"/>
      <c r="CE349" s="1111"/>
      <c r="CF349" s="1111"/>
      <c r="CG349" s="1111"/>
      <c r="CH349" s="1111"/>
      <c r="CI349" s="1111"/>
      <c r="CJ349" s="1111"/>
      <c r="CK349" s="1110"/>
    </row>
    <row r="350" spans="1:89" ht="14.4" x14ac:dyDescent="0.3">
      <c r="A350" s="1110"/>
      <c r="B350" s="1110"/>
      <c r="C350" s="1110"/>
      <c r="D350" s="1110"/>
      <c r="E350" s="1110"/>
      <c r="F350" s="1110"/>
      <c r="G350" s="1110"/>
      <c r="H350" s="1110"/>
      <c r="I350" s="1110"/>
      <c r="J350" s="1110"/>
      <c r="K350" s="1110"/>
      <c r="L350" s="1110"/>
      <c r="M350" s="1110"/>
      <c r="N350" s="1110"/>
      <c r="O350" s="1110"/>
      <c r="P350" s="1110"/>
      <c r="Q350" s="1110"/>
      <c r="R350" s="1110"/>
      <c r="S350" s="1110"/>
      <c r="T350" s="1111"/>
      <c r="U350" s="1111"/>
      <c r="V350" s="1111"/>
      <c r="W350" s="1111"/>
      <c r="X350" s="1111"/>
      <c r="Y350" s="1111"/>
      <c r="Z350" s="1111"/>
      <c r="AA350" s="1111"/>
      <c r="AB350" s="1111"/>
      <c r="AC350" s="1111"/>
      <c r="AD350" s="1111"/>
      <c r="AE350" s="1111"/>
      <c r="AF350" s="1111"/>
      <c r="AG350" s="1111"/>
      <c r="AH350" s="1111"/>
      <c r="AI350" s="1111"/>
      <c r="AJ350" s="1111"/>
      <c r="AK350" s="1111"/>
      <c r="AL350" s="1111"/>
      <c r="AM350" s="1111"/>
      <c r="AN350" s="1111"/>
      <c r="AO350" s="1111"/>
      <c r="AP350" s="1111"/>
      <c r="AQ350" s="1111"/>
      <c r="AR350" s="1111"/>
      <c r="AS350" s="1111"/>
      <c r="AT350" s="1111"/>
      <c r="AU350" s="1111"/>
      <c r="AV350" s="1111"/>
      <c r="AW350" s="1111"/>
      <c r="AX350" s="1111"/>
      <c r="AY350" s="1111"/>
      <c r="AZ350" s="1111"/>
      <c r="BA350" s="1111"/>
      <c r="BB350" s="1111"/>
      <c r="BC350" s="1111"/>
      <c r="BD350" s="1111"/>
      <c r="BE350" s="1111"/>
      <c r="BF350" s="1111"/>
      <c r="BG350" s="1111"/>
      <c r="BH350" s="1111"/>
      <c r="BI350" s="1111"/>
      <c r="BJ350" s="1111"/>
      <c r="BK350" s="1111"/>
      <c r="BL350" s="1111"/>
      <c r="BM350" s="1111"/>
      <c r="BN350" s="1111"/>
      <c r="BO350" s="1111"/>
      <c r="BP350" s="1111"/>
      <c r="BQ350" s="1111"/>
      <c r="BR350" s="1111"/>
      <c r="BS350" s="1111"/>
      <c r="BT350" s="1111"/>
      <c r="BU350" s="1111"/>
      <c r="BV350" s="1111"/>
      <c r="BW350" s="1111"/>
      <c r="BX350" s="1111"/>
      <c r="BY350" s="1111"/>
      <c r="BZ350" s="1111"/>
      <c r="CA350" s="1111"/>
      <c r="CB350" s="1111"/>
      <c r="CC350" s="1111"/>
      <c r="CD350" s="1111"/>
      <c r="CE350" s="1111"/>
      <c r="CF350" s="1111"/>
      <c r="CG350" s="1111"/>
      <c r="CH350" s="1111"/>
      <c r="CI350" s="1111"/>
      <c r="CJ350" s="1111"/>
      <c r="CK350" s="1110"/>
    </row>
    <row r="351" spans="1:89" ht="14.4" x14ac:dyDescent="0.3">
      <c r="A351" s="1110"/>
      <c r="B351" s="1110"/>
      <c r="C351" s="1110"/>
      <c r="D351" s="1110"/>
      <c r="E351" s="1110"/>
      <c r="F351" s="1110"/>
      <c r="G351" s="1110"/>
      <c r="H351" s="1110"/>
      <c r="I351" s="1110"/>
      <c r="J351" s="1110"/>
      <c r="K351" s="1110"/>
      <c r="L351" s="1110"/>
      <c r="M351" s="1110"/>
      <c r="N351" s="1110"/>
      <c r="O351" s="1110"/>
      <c r="P351" s="1110"/>
      <c r="Q351" s="1110"/>
      <c r="R351" s="1110"/>
      <c r="S351" s="1110"/>
      <c r="T351" s="1111"/>
      <c r="U351" s="1111"/>
      <c r="V351" s="1111"/>
      <c r="W351" s="1111"/>
      <c r="X351" s="1111"/>
      <c r="Y351" s="1111"/>
      <c r="Z351" s="1111"/>
      <c r="AA351" s="1111"/>
      <c r="AB351" s="1111"/>
      <c r="AC351" s="1111"/>
      <c r="AD351" s="1111"/>
      <c r="AE351" s="1111"/>
      <c r="AF351" s="1111"/>
      <c r="AG351" s="1111"/>
      <c r="AH351" s="1111"/>
      <c r="AI351" s="1111"/>
      <c r="AJ351" s="1111"/>
      <c r="AK351" s="1111"/>
      <c r="AL351" s="1111"/>
      <c r="AM351" s="1111"/>
      <c r="AN351" s="1111"/>
      <c r="AO351" s="1111"/>
      <c r="AP351" s="1111"/>
      <c r="AQ351" s="1111"/>
      <c r="AR351" s="1111"/>
      <c r="AS351" s="1111"/>
      <c r="AT351" s="1111"/>
      <c r="AU351" s="1111"/>
      <c r="AV351" s="1111"/>
      <c r="AW351" s="1111"/>
      <c r="AX351" s="1111"/>
      <c r="AY351" s="1111"/>
      <c r="AZ351" s="1111"/>
      <c r="BA351" s="1111"/>
      <c r="BB351" s="1111"/>
      <c r="BC351" s="1111"/>
      <c r="BD351" s="1111"/>
      <c r="BE351" s="1111"/>
      <c r="BF351" s="1111"/>
      <c r="BG351" s="1111"/>
      <c r="BH351" s="1111"/>
      <c r="BI351" s="1111"/>
      <c r="BJ351" s="1111"/>
      <c r="BK351" s="1111"/>
      <c r="BL351" s="1111"/>
      <c r="BM351" s="1111"/>
      <c r="BN351" s="1111"/>
      <c r="BO351" s="1111"/>
      <c r="BP351" s="1111"/>
      <c r="BQ351" s="1111"/>
      <c r="BR351" s="1111"/>
      <c r="BS351" s="1111"/>
      <c r="BT351" s="1111"/>
      <c r="BU351" s="1111"/>
      <c r="BV351" s="1111"/>
      <c r="BW351" s="1111"/>
      <c r="BX351" s="1111"/>
      <c r="BY351" s="1111"/>
      <c r="BZ351" s="1111"/>
      <c r="CA351" s="1111"/>
      <c r="CB351" s="1111"/>
      <c r="CC351" s="1111"/>
      <c r="CD351" s="1111"/>
      <c r="CE351" s="1111"/>
      <c r="CF351" s="1111"/>
      <c r="CG351" s="1111"/>
      <c r="CH351" s="1111"/>
      <c r="CI351" s="1111"/>
      <c r="CJ351" s="1111"/>
      <c r="CK351" s="1110"/>
    </row>
    <row r="352" spans="1:89" ht="14.4" x14ac:dyDescent="0.3">
      <c r="A352" s="1110"/>
      <c r="B352" s="1110"/>
      <c r="C352" s="1110"/>
      <c r="D352" s="1110"/>
      <c r="E352" s="1110"/>
      <c r="F352" s="1110"/>
      <c r="G352" s="1110"/>
      <c r="H352" s="1110"/>
      <c r="I352" s="1110"/>
      <c r="J352" s="1110"/>
      <c r="K352" s="1110"/>
      <c r="L352" s="1110"/>
      <c r="M352" s="1110"/>
      <c r="N352" s="1110"/>
      <c r="O352" s="1110"/>
      <c r="P352" s="1110"/>
      <c r="Q352" s="1110"/>
      <c r="R352" s="1110"/>
      <c r="S352" s="1110"/>
      <c r="T352" s="1111"/>
      <c r="U352" s="1111"/>
      <c r="V352" s="1111"/>
      <c r="W352" s="1111"/>
      <c r="X352" s="1111"/>
      <c r="Y352" s="1111"/>
      <c r="Z352" s="1111"/>
      <c r="AA352" s="1111"/>
      <c r="AB352" s="1111"/>
      <c r="AC352" s="1111"/>
      <c r="AD352" s="1111"/>
      <c r="AE352" s="1111"/>
      <c r="AF352" s="1111"/>
      <c r="AG352" s="1111"/>
      <c r="AH352" s="1111"/>
      <c r="AI352" s="1111"/>
      <c r="AJ352" s="1111"/>
      <c r="AK352" s="1111"/>
      <c r="AL352" s="1111"/>
      <c r="AM352" s="1111"/>
      <c r="AN352" s="1111"/>
      <c r="AO352" s="1111"/>
      <c r="AP352" s="1111"/>
      <c r="AQ352" s="1111"/>
      <c r="AR352" s="1111"/>
      <c r="AS352" s="1111"/>
      <c r="AT352" s="1111"/>
      <c r="AU352" s="1111"/>
      <c r="AV352" s="1111"/>
      <c r="AW352" s="1111"/>
      <c r="AX352" s="1111"/>
      <c r="AY352" s="1111"/>
      <c r="AZ352" s="1111"/>
      <c r="BA352" s="1111"/>
      <c r="BB352" s="1111"/>
      <c r="BC352" s="1111"/>
      <c r="BD352" s="1111"/>
      <c r="BE352" s="1111"/>
      <c r="BF352" s="1111"/>
      <c r="BG352" s="1111"/>
      <c r="BH352" s="1111"/>
      <c r="BI352" s="1111"/>
      <c r="BJ352" s="1111"/>
      <c r="BK352" s="1111"/>
      <c r="BL352" s="1111"/>
      <c r="BM352" s="1111"/>
      <c r="BN352" s="1111"/>
      <c r="BO352" s="1111"/>
      <c r="BP352" s="1111"/>
      <c r="BQ352" s="1111"/>
      <c r="BR352" s="1111"/>
      <c r="BS352" s="1111"/>
      <c r="BT352" s="1111"/>
      <c r="BU352" s="1111"/>
      <c r="BV352" s="1111"/>
      <c r="BW352" s="1111"/>
      <c r="BX352" s="1111"/>
      <c r="BY352" s="1111"/>
      <c r="BZ352" s="1111"/>
      <c r="CA352" s="1111"/>
      <c r="CB352" s="1111"/>
      <c r="CC352" s="1111"/>
      <c r="CD352" s="1111"/>
      <c r="CE352" s="1111"/>
      <c r="CF352" s="1111"/>
      <c r="CG352" s="1111"/>
      <c r="CH352" s="1111"/>
      <c r="CI352" s="1111"/>
      <c r="CJ352" s="1111"/>
      <c r="CK352" s="1110"/>
    </row>
    <row r="353" spans="1:89" ht="14.4" x14ac:dyDescent="0.3">
      <c r="A353" s="1110"/>
      <c r="B353" s="1110"/>
      <c r="C353" s="1110"/>
      <c r="D353" s="1110"/>
      <c r="E353" s="1110"/>
      <c r="F353" s="1110"/>
      <c r="G353" s="1110"/>
      <c r="H353" s="1110"/>
      <c r="I353" s="1110"/>
      <c r="J353" s="1110"/>
      <c r="K353" s="1110"/>
      <c r="L353" s="1110"/>
      <c r="M353" s="1110"/>
      <c r="N353" s="1110"/>
      <c r="O353" s="1110"/>
      <c r="P353" s="1110"/>
      <c r="Q353" s="1110"/>
      <c r="R353" s="1110"/>
      <c r="S353" s="1110"/>
      <c r="T353" s="1111"/>
      <c r="U353" s="1111"/>
      <c r="V353" s="1111"/>
      <c r="W353" s="1111"/>
      <c r="X353" s="1111"/>
      <c r="Y353" s="1111"/>
      <c r="Z353" s="1111"/>
      <c r="AA353" s="1111"/>
      <c r="AB353" s="1111"/>
      <c r="AC353" s="1111"/>
      <c r="AD353" s="1111"/>
      <c r="AE353" s="1111"/>
      <c r="AF353" s="1111"/>
      <c r="AG353" s="1111"/>
      <c r="AH353" s="1111"/>
      <c r="AI353" s="1111"/>
      <c r="AJ353" s="1111"/>
      <c r="AK353" s="1111"/>
      <c r="AL353" s="1111"/>
      <c r="AM353" s="1111"/>
      <c r="AN353" s="1111"/>
      <c r="AO353" s="1111"/>
      <c r="AP353" s="1111"/>
      <c r="AQ353" s="1111"/>
      <c r="AR353" s="1111"/>
      <c r="AS353" s="1111"/>
      <c r="AT353" s="1111"/>
      <c r="AU353" s="1111"/>
      <c r="AV353" s="1111"/>
      <c r="AW353" s="1111"/>
      <c r="AX353" s="1111"/>
      <c r="AY353" s="1111"/>
      <c r="AZ353" s="1111"/>
      <c r="BA353" s="1111"/>
      <c r="BB353" s="1111"/>
      <c r="BC353" s="1111"/>
      <c r="BD353" s="1111"/>
      <c r="BE353" s="1111"/>
      <c r="BF353" s="1111"/>
      <c r="BG353" s="1111"/>
      <c r="BH353" s="1111"/>
      <c r="BI353" s="1111"/>
      <c r="BJ353" s="1111"/>
      <c r="BK353" s="1111"/>
      <c r="BL353" s="1111"/>
      <c r="BM353" s="1111"/>
      <c r="BN353" s="1111"/>
      <c r="BO353" s="1111"/>
      <c r="BP353" s="1111"/>
      <c r="BQ353" s="1111"/>
      <c r="BR353" s="1111"/>
      <c r="BS353" s="1111"/>
      <c r="BT353" s="1111"/>
      <c r="BU353" s="1111"/>
      <c r="BV353" s="1111"/>
      <c r="BW353" s="1111"/>
      <c r="BX353" s="1111"/>
      <c r="BY353" s="1111"/>
      <c r="BZ353" s="1111"/>
      <c r="CA353" s="1111"/>
      <c r="CB353" s="1111"/>
      <c r="CC353" s="1111"/>
      <c r="CD353" s="1111"/>
      <c r="CE353" s="1111"/>
      <c r="CF353" s="1111"/>
      <c r="CG353" s="1111"/>
      <c r="CH353" s="1111"/>
      <c r="CI353" s="1111"/>
      <c r="CJ353" s="1111"/>
      <c r="CK353" s="1110"/>
    </row>
    <row r="354" spans="1:89" ht="14.4" x14ac:dyDescent="0.3">
      <c r="A354" s="1110"/>
      <c r="B354" s="1110"/>
      <c r="C354" s="1110"/>
      <c r="D354" s="1110"/>
      <c r="E354" s="1110"/>
      <c r="F354" s="1110"/>
      <c r="G354" s="1110"/>
      <c r="H354" s="1110"/>
      <c r="I354" s="1110"/>
      <c r="J354" s="1110"/>
      <c r="K354" s="1110"/>
      <c r="L354" s="1110"/>
      <c r="M354" s="1110"/>
      <c r="N354" s="1110"/>
      <c r="O354" s="1110"/>
      <c r="P354" s="1110"/>
      <c r="Q354" s="1110"/>
      <c r="R354" s="1110"/>
      <c r="S354" s="1110"/>
      <c r="T354" s="1111"/>
      <c r="U354" s="1111"/>
      <c r="V354" s="1111"/>
      <c r="W354" s="1111"/>
      <c r="X354" s="1111"/>
      <c r="Y354" s="1111"/>
      <c r="Z354" s="1111"/>
      <c r="AA354" s="1111"/>
      <c r="AB354" s="1111"/>
      <c r="AC354" s="1111"/>
      <c r="AD354" s="1111"/>
      <c r="AE354" s="1111"/>
      <c r="AF354" s="1111"/>
      <c r="AG354" s="1111"/>
      <c r="AH354" s="1111"/>
      <c r="AI354" s="1111"/>
      <c r="AJ354" s="1111"/>
      <c r="AK354" s="1111"/>
      <c r="AL354" s="1111"/>
      <c r="AM354" s="1111"/>
      <c r="AN354" s="1111"/>
      <c r="AO354" s="1111"/>
      <c r="AP354" s="1111"/>
      <c r="AQ354" s="1111"/>
      <c r="AR354" s="1111"/>
      <c r="AS354" s="1111"/>
      <c r="AT354" s="1111"/>
      <c r="AU354" s="1111"/>
      <c r="AV354" s="1111"/>
      <c r="AW354" s="1111"/>
      <c r="AX354" s="1111"/>
      <c r="AY354" s="1111"/>
      <c r="AZ354" s="1111"/>
      <c r="BA354" s="1111"/>
      <c r="BB354" s="1111"/>
      <c r="BC354" s="1111"/>
      <c r="BD354" s="1111"/>
      <c r="BE354" s="1111"/>
      <c r="BF354" s="1111"/>
      <c r="BG354" s="1111"/>
      <c r="BH354" s="1111"/>
      <c r="BI354" s="1111"/>
      <c r="BJ354" s="1111"/>
      <c r="BK354" s="1111"/>
      <c r="BL354" s="1111"/>
      <c r="BM354" s="1111"/>
      <c r="BN354" s="1111"/>
      <c r="BO354" s="1111"/>
      <c r="BP354" s="1111"/>
      <c r="BQ354" s="1111"/>
      <c r="BR354" s="1111"/>
      <c r="BS354" s="1111"/>
      <c r="BT354" s="1111"/>
      <c r="BU354" s="1111"/>
      <c r="BV354" s="1111"/>
      <c r="BW354" s="1111"/>
      <c r="BX354" s="1111"/>
      <c r="BY354" s="1111"/>
      <c r="BZ354" s="1111"/>
      <c r="CA354" s="1111"/>
      <c r="CB354" s="1111"/>
      <c r="CC354" s="1111"/>
      <c r="CD354" s="1111"/>
      <c r="CE354" s="1111"/>
      <c r="CF354" s="1111"/>
      <c r="CG354" s="1111"/>
      <c r="CH354" s="1111"/>
      <c r="CI354" s="1111"/>
      <c r="CJ354" s="1111"/>
      <c r="CK354" s="1110"/>
    </row>
    <row r="355" spans="1:89" ht="14.4" x14ac:dyDescent="0.3">
      <c r="A355" s="1110"/>
      <c r="B355" s="1110"/>
      <c r="C355" s="1110"/>
      <c r="D355" s="1110"/>
      <c r="E355" s="1110"/>
      <c r="F355" s="1110"/>
      <c r="G355" s="1110"/>
      <c r="H355" s="1110"/>
      <c r="I355" s="1110"/>
      <c r="J355" s="1110"/>
      <c r="K355" s="1110"/>
      <c r="L355" s="1110"/>
      <c r="M355" s="1110"/>
      <c r="N355" s="1110"/>
      <c r="O355" s="1110"/>
      <c r="P355" s="1110"/>
      <c r="Q355" s="1110"/>
      <c r="R355" s="1110"/>
      <c r="S355" s="1110"/>
      <c r="T355" s="1111"/>
      <c r="U355" s="1111"/>
      <c r="V355" s="1111"/>
      <c r="W355" s="1111"/>
      <c r="X355" s="1111"/>
      <c r="Y355" s="1111"/>
      <c r="Z355" s="1111"/>
      <c r="AA355" s="1111"/>
      <c r="AB355" s="1111"/>
      <c r="AC355" s="1111"/>
      <c r="AD355" s="1111"/>
      <c r="AE355" s="1111"/>
      <c r="AF355" s="1111"/>
      <c r="AG355" s="1111"/>
      <c r="AH355" s="1111"/>
      <c r="AI355" s="1111"/>
      <c r="AJ355" s="1111"/>
      <c r="AK355" s="1111"/>
      <c r="AL355" s="1111"/>
      <c r="AM355" s="1111"/>
      <c r="AN355" s="1111"/>
      <c r="AO355" s="1111"/>
      <c r="AP355" s="1111"/>
      <c r="AQ355" s="1111"/>
      <c r="AR355" s="1111"/>
      <c r="AS355" s="1111"/>
      <c r="AT355" s="1111"/>
      <c r="AU355" s="1111"/>
      <c r="AV355" s="1111"/>
      <c r="AW355" s="1111"/>
      <c r="AX355" s="1111"/>
      <c r="AY355" s="1111"/>
      <c r="AZ355" s="1111"/>
      <c r="BA355" s="1111"/>
      <c r="BB355" s="1111"/>
      <c r="BC355" s="1111"/>
      <c r="BD355" s="1111"/>
      <c r="BE355" s="1111"/>
      <c r="BF355" s="1111"/>
      <c r="BG355" s="1111"/>
      <c r="BH355" s="1111"/>
      <c r="BI355" s="1111"/>
      <c r="BJ355" s="1111"/>
      <c r="BK355" s="1111"/>
      <c r="BL355" s="1111"/>
      <c r="BM355" s="1111"/>
      <c r="BN355" s="1111"/>
      <c r="BO355" s="1111"/>
      <c r="BP355" s="1111"/>
      <c r="BQ355" s="1111"/>
      <c r="BR355" s="1111"/>
      <c r="BS355" s="1111"/>
      <c r="BT355" s="1111"/>
      <c r="BU355" s="1111"/>
      <c r="BV355" s="1111"/>
      <c r="BW355" s="1111"/>
      <c r="BX355" s="1111"/>
      <c r="BY355" s="1111"/>
      <c r="BZ355" s="1111"/>
      <c r="CA355" s="1111"/>
      <c r="CB355" s="1111"/>
      <c r="CC355" s="1111"/>
      <c r="CD355" s="1111"/>
      <c r="CE355" s="1111"/>
      <c r="CF355" s="1111"/>
      <c r="CG355" s="1111"/>
      <c r="CH355" s="1111"/>
      <c r="CI355" s="1111"/>
      <c r="CJ355" s="1111"/>
      <c r="CK355" s="1110"/>
    </row>
    <row r="356" spans="1:89" ht="14.4" x14ac:dyDescent="0.3">
      <c r="A356" s="1110"/>
      <c r="B356" s="1110"/>
      <c r="C356" s="1110"/>
      <c r="D356" s="1110"/>
      <c r="E356" s="1110"/>
      <c r="F356" s="1110"/>
      <c r="G356" s="1110"/>
      <c r="H356" s="1110"/>
      <c r="I356" s="1110"/>
      <c r="J356" s="1110"/>
      <c r="K356" s="1110"/>
      <c r="L356" s="1110"/>
      <c r="M356" s="1110"/>
      <c r="N356" s="1110"/>
      <c r="O356" s="1110"/>
      <c r="P356" s="1110"/>
      <c r="Q356" s="1110"/>
      <c r="R356" s="1110"/>
      <c r="S356" s="1110"/>
      <c r="T356" s="1111"/>
      <c r="U356" s="1111"/>
      <c r="V356" s="1111"/>
      <c r="W356" s="1111"/>
      <c r="X356" s="1111"/>
      <c r="Y356" s="1111"/>
      <c r="Z356" s="1111"/>
      <c r="AA356" s="1111"/>
      <c r="AB356" s="1111"/>
      <c r="AC356" s="1111"/>
      <c r="AD356" s="1111"/>
      <c r="AE356" s="1111"/>
      <c r="AF356" s="1111"/>
      <c r="AG356" s="1111"/>
      <c r="AH356" s="1111"/>
      <c r="AI356" s="1111"/>
      <c r="AJ356" s="1111"/>
      <c r="AK356" s="1111"/>
      <c r="AL356" s="1111"/>
      <c r="AM356" s="1111"/>
      <c r="AN356" s="1111"/>
      <c r="AO356" s="1111"/>
      <c r="AP356" s="1111"/>
      <c r="AQ356" s="1111"/>
      <c r="AR356" s="1111"/>
      <c r="AS356" s="1111"/>
      <c r="AT356" s="1111"/>
      <c r="AU356" s="1111"/>
      <c r="AV356" s="1111"/>
      <c r="AW356" s="1111"/>
      <c r="AX356" s="1111"/>
      <c r="AY356" s="1111"/>
      <c r="AZ356" s="1111"/>
      <c r="BA356" s="1111"/>
      <c r="BB356" s="1111"/>
      <c r="BC356" s="1111"/>
      <c r="BD356" s="1111"/>
      <c r="BE356" s="1111"/>
      <c r="BF356" s="1111"/>
      <c r="BG356" s="1111"/>
      <c r="BH356" s="1111"/>
      <c r="BI356" s="1111"/>
      <c r="BJ356" s="1111"/>
      <c r="BK356" s="1111"/>
      <c r="BL356" s="1111"/>
      <c r="BM356" s="1111"/>
      <c r="BN356" s="1111"/>
      <c r="BO356" s="1111"/>
      <c r="BP356" s="1111"/>
      <c r="BQ356" s="1111"/>
      <c r="BR356" s="1111"/>
      <c r="BS356" s="1111"/>
      <c r="BT356" s="1111"/>
      <c r="BU356" s="1111"/>
      <c r="BV356" s="1111"/>
      <c r="BW356" s="1111"/>
      <c r="BX356" s="1111"/>
      <c r="BY356" s="1111"/>
      <c r="BZ356" s="1111"/>
      <c r="CA356" s="1111"/>
      <c r="CB356" s="1111"/>
      <c r="CC356" s="1111"/>
      <c r="CD356" s="1111"/>
      <c r="CE356" s="1111"/>
      <c r="CF356" s="1111"/>
      <c r="CG356" s="1111"/>
      <c r="CH356" s="1111"/>
      <c r="CI356" s="1111"/>
      <c r="CJ356" s="1111"/>
      <c r="CK356" s="1110"/>
    </row>
    <row r="357" spans="1:89" ht="14.4" x14ac:dyDescent="0.3">
      <c r="A357" s="1110"/>
      <c r="B357" s="1110"/>
      <c r="C357" s="1110"/>
      <c r="D357" s="1110"/>
      <c r="E357" s="1110"/>
      <c r="F357" s="1110"/>
      <c r="G357" s="1110"/>
      <c r="H357" s="1110"/>
      <c r="I357" s="1110"/>
      <c r="J357" s="1110"/>
      <c r="K357" s="1110"/>
      <c r="L357" s="1110"/>
      <c r="M357" s="1110"/>
      <c r="N357" s="1110"/>
      <c r="O357" s="1110"/>
      <c r="P357" s="1110"/>
      <c r="Q357" s="1110"/>
      <c r="R357" s="1110"/>
      <c r="S357" s="1110"/>
      <c r="T357" s="1111"/>
      <c r="U357" s="1111"/>
      <c r="V357" s="1111"/>
      <c r="W357" s="1111"/>
      <c r="X357" s="1111"/>
      <c r="Y357" s="1111"/>
      <c r="Z357" s="1111"/>
      <c r="AA357" s="1111"/>
      <c r="AB357" s="1111"/>
      <c r="AC357" s="1111"/>
      <c r="AD357" s="1111"/>
      <c r="AE357" s="1111"/>
      <c r="AF357" s="1111"/>
      <c r="AG357" s="1111"/>
      <c r="AH357" s="1111"/>
      <c r="AI357" s="1111"/>
      <c r="AJ357" s="1111"/>
      <c r="AK357" s="1111"/>
      <c r="AL357" s="1111"/>
      <c r="AM357" s="1111"/>
      <c r="AN357" s="1111"/>
      <c r="AO357" s="1111"/>
      <c r="AP357" s="1111"/>
      <c r="AQ357" s="1111"/>
      <c r="AR357" s="1111"/>
      <c r="AS357" s="1111"/>
      <c r="AT357" s="1111"/>
      <c r="AU357" s="1111"/>
      <c r="AV357" s="1111"/>
      <c r="AW357" s="1111"/>
      <c r="AX357" s="1111"/>
      <c r="AY357" s="1111"/>
      <c r="AZ357" s="1111"/>
      <c r="BA357" s="1111"/>
      <c r="BB357" s="1111"/>
      <c r="BC357" s="1111"/>
      <c r="BD357" s="1111"/>
      <c r="BE357" s="1111"/>
      <c r="BF357" s="1111"/>
      <c r="BG357" s="1111"/>
      <c r="BH357" s="1111"/>
      <c r="BI357" s="1111"/>
      <c r="BJ357" s="1111"/>
      <c r="BK357" s="1111"/>
      <c r="BL357" s="1111"/>
      <c r="BM357" s="1111"/>
      <c r="BN357" s="1111"/>
      <c r="BO357" s="1111"/>
      <c r="BP357" s="1111"/>
      <c r="BQ357" s="1111"/>
      <c r="BR357" s="1111"/>
      <c r="BS357" s="1111"/>
      <c r="BT357" s="1111"/>
      <c r="BU357" s="1111"/>
      <c r="BV357" s="1111"/>
      <c r="BW357" s="1111"/>
      <c r="BX357" s="1111"/>
      <c r="BY357" s="1111"/>
      <c r="BZ357" s="1111"/>
      <c r="CA357" s="1111"/>
      <c r="CB357" s="1111"/>
      <c r="CC357" s="1111"/>
      <c r="CD357" s="1111"/>
      <c r="CE357" s="1111"/>
      <c r="CF357" s="1111"/>
      <c r="CG357" s="1111"/>
      <c r="CH357" s="1111"/>
      <c r="CI357" s="1111"/>
      <c r="CJ357" s="1111"/>
      <c r="CK357" s="1110"/>
    </row>
    <row r="358" spans="1:89" ht="14.4" x14ac:dyDescent="0.3">
      <c r="A358" s="1110"/>
      <c r="B358" s="1110"/>
      <c r="C358" s="1110"/>
      <c r="D358" s="1110"/>
      <c r="E358" s="1110"/>
      <c r="F358" s="1110"/>
      <c r="G358" s="1110"/>
      <c r="H358" s="1110"/>
      <c r="I358" s="1110"/>
      <c r="J358" s="1110"/>
      <c r="K358" s="1110"/>
      <c r="L358" s="1110"/>
      <c r="M358" s="1110"/>
      <c r="N358" s="1110"/>
      <c r="O358" s="1110"/>
      <c r="P358" s="1110"/>
      <c r="Q358" s="1110"/>
      <c r="R358" s="1110"/>
      <c r="S358" s="1110"/>
      <c r="T358" s="1111"/>
      <c r="U358" s="1111"/>
      <c r="V358" s="1111"/>
      <c r="W358" s="1111"/>
      <c r="X358" s="1111"/>
      <c r="Y358" s="1111"/>
      <c r="Z358" s="1111"/>
      <c r="AA358" s="1111"/>
      <c r="AB358" s="1111"/>
      <c r="AC358" s="1111"/>
      <c r="AD358" s="1111"/>
      <c r="AE358" s="1111"/>
      <c r="AF358" s="1111"/>
      <c r="AG358" s="1111"/>
      <c r="AH358" s="1111"/>
      <c r="AI358" s="1111"/>
      <c r="AJ358" s="1111"/>
      <c r="AK358" s="1111"/>
      <c r="AL358" s="1111"/>
      <c r="AM358" s="1111"/>
      <c r="AN358" s="1111"/>
      <c r="AO358" s="1111"/>
      <c r="AP358" s="1111"/>
      <c r="AQ358" s="1111"/>
      <c r="AR358" s="1111"/>
      <c r="AS358" s="1111"/>
      <c r="AT358" s="1111"/>
      <c r="AU358" s="1111"/>
      <c r="AV358" s="1111"/>
      <c r="AW358" s="1111"/>
      <c r="AX358" s="1111"/>
      <c r="AY358" s="1111"/>
      <c r="AZ358" s="1111"/>
      <c r="BA358" s="1111"/>
      <c r="BB358" s="1111"/>
      <c r="BC358" s="1111"/>
      <c r="BD358" s="1111"/>
      <c r="BE358" s="1111"/>
      <c r="BF358" s="1111"/>
      <c r="BG358" s="1111"/>
      <c r="BH358" s="1111"/>
      <c r="BI358" s="1111"/>
      <c r="BJ358" s="1111"/>
      <c r="BK358" s="1111"/>
      <c r="BL358" s="1111"/>
      <c r="BM358" s="1111"/>
      <c r="BN358" s="1111"/>
      <c r="BO358" s="1111"/>
      <c r="BP358" s="1111"/>
      <c r="BQ358" s="1111"/>
      <c r="BR358" s="1111"/>
      <c r="BS358" s="1111"/>
      <c r="BT358" s="1111"/>
      <c r="BU358" s="1111"/>
      <c r="BV358" s="1111"/>
      <c r="BW358" s="1111"/>
      <c r="BX358" s="1111"/>
      <c r="BY358" s="1111"/>
      <c r="BZ358" s="1111"/>
      <c r="CA358" s="1111"/>
      <c r="CB358" s="1111"/>
      <c r="CC358" s="1111"/>
      <c r="CD358" s="1111"/>
      <c r="CE358" s="1111"/>
      <c r="CF358" s="1111"/>
      <c r="CG358" s="1111"/>
      <c r="CH358" s="1111"/>
      <c r="CI358" s="1111"/>
      <c r="CJ358" s="1111"/>
      <c r="CK358" s="1110"/>
    </row>
    <row r="359" spans="1:89" ht="14.4" x14ac:dyDescent="0.3">
      <c r="A359" s="1110"/>
      <c r="B359" s="1110"/>
      <c r="C359" s="1110"/>
      <c r="D359" s="1110"/>
      <c r="E359" s="1110"/>
      <c r="F359" s="1110"/>
      <c r="G359" s="1110"/>
      <c r="H359" s="1110"/>
      <c r="I359" s="1110"/>
      <c r="J359" s="1110"/>
      <c r="K359" s="1110"/>
      <c r="L359" s="1110"/>
      <c r="M359" s="1110"/>
      <c r="N359" s="1110"/>
      <c r="O359" s="1110"/>
      <c r="P359" s="1110"/>
      <c r="Q359" s="1110"/>
      <c r="R359" s="1110"/>
      <c r="S359" s="1110"/>
      <c r="T359" s="1111"/>
      <c r="U359" s="1111"/>
      <c r="V359" s="1111"/>
      <c r="W359" s="1111"/>
      <c r="X359" s="1111"/>
      <c r="Y359" s="1111"/>
      <c r="Z359" s="1111"/>
      <c r="AA359" s="1111"/>
      <c r="AB359" s="1111"/>
      <c r="AC359" s="1111"/>
      <c r="AD359" s="1111"/>
      <c r="AE359" s="1111"/>
      <c r="AF359" s="1111"/>
      <c r="AG359" s="1111"/>
      <c r="AH359" s="1111"/>
      <c r="AI359" s="1111"/>
      <c r="AJ359" s="1111"/>
      <c r="AK359" s="1111"/>
      <c r="AL359" s="1111"/>
      <c r="AM359" s="1111"/>
      <c r="AN359" s="1111"/>
      <c r="AO359" s="1111"/>
      <c r="AP359" s="1111"/>
      <c r="AQ359" s="1111"/>
      <c r="AR359" s="1111"/>
      <c r="AS359" s="1111"/>
      <c r="AT359" s="1111"/>
      <c r="AU359" s="1111"/>
      <c r="AV359" s="1111"/>
      <c r="AW359" s="1111"/>
      <c r="AX359" s="1111"/>
      <c r="AY359" s="1111"/>
      <c r="AZ359" s="1111"/>
      <c r="BA359" s="1111"/>
      <c r="BB359" s="1111"/>
      <c r="BC359" s="1111"/>
      <c r="BD359" s="1111"/>
      <c r="BE359" s="1111"/>
      <c r="BF359" s="1111"/>
      <c r="BG359" s="1111"/>
      <c r="BH359" s="1111"/>
      <c r="BI359" s="1111"/>
      <c r="BJ359" s="1111"/>
      <c r="BK359" s="1111"/>
      <c r="BL359" s="1111"/>
      <c r="BM359" s="1111"/>
      <c r="BN359" s="1111"/>
      <c r="BO359" s="1111"/>
      <c r="BP359" s="1111"/>
      <c r="BQ359" s="1111"/>
      <c r="BR359" s="1111"/>
      <c r="BS359" s="1111"/>
      <c r="BT359" s="1111"/>
      <c r="BU359" s="1111"/>
      <c r="BV359" s="1111"/>
      <c r="BW359" s="1111"/>
      <c r="BX359" s="1111"/>
      <c r="BY359" s="1111"/>
      <c r="BZ359" s="1111"/>
      <c r="CA359" s="1111"/>
      <c r="CB359" s="1111"/>
      <c r="CC359" s="1111"/>
      <c r="CD359" s="1111"/>
      <c r="CE359" s="1111"/>
      <c r="CF359" s="1111"/>
      <c r="CG359" s="1111"/>
      <c r="CH359" s="1111"/>
      <c r="CI359" s="1111"/>
      <c r="CJ359" s="1111"/>
      <c r="CK359" s="1110"/>
    </row>
    <row r="360" spans="1:89" ht="14.4" x14ac:dyDescent="0.3">
      <c r="A360" s="1110"/>
      <c r="B360" s="1110"/>
      <c r="C360" s="1110"/>
      <c r="D360" s="1110"/>
      <c r="E360" s="1110"/>
      <c r="F360" s="1110"/>
      <c r="G360" s="1110"/>
      <c r="H360" s="1110"/>
      <c r="I360" s="1110"/>
      <c r="J360" s="1110"/>
      <c r="K360" s="1110"/>
      <c r="L360" s="1110"/>
      <c r="M360" s="1110"/>
      <c r="N360" s="1110"/>
      <c r="O360" s="1110"/>
      <c r="P360" s="1110"/>
      <c r="Q360" s="1110"/>
      <c r="R360" s="1110"/>
      <c r="S360" s="1110"/>
      <c r="T360" s="1111"/>
      <c r="U360" s="1111"/>
      <c r="V360" s="1111"/>
      <c r="W360" s="1111"/>
      <c r="X360" s="1111"/>
      <c r="Y360" s="1111"/>
      <c r="Z360" s="1111"/>
      <c r="AA360" s="1111"/>
      <c r="AB360" s="1111"/>
      <c r="AC360" s="1111"/>
      <c r="AD360" s="1111"/>
      <c r="AE360" s="1111"/>
      <c r="AF360" s="1111"/>
      <c r="AG360" s="1111"/>
      <c r="AH360" s="1111"/>
      <c r="AI360" s="1111"/>
      <c r="AJ360" s="1111"/>
      <c r="AK360" s="1111"/>
      <c r="AL360" s="1111"/>
      <c r="AM360" s="1111"/>
      <c r="AN360" s="1111"/>
      <c r="AO360" s="1111"/>
      <c r="AP360" s="1111"/>
      <c r="AQ360" s="1111"/>
      <c r="AR360" s="1111"/>
      <c r="AS360" s="1111"/>
      <c r="AT360" s="1111"/>
      <c r="AU360" s="1111"/>
      <c r="AV360" s="1111"/>
      <c r="AW360" s="1111"/>
      <c r="AX360" s="1111"/>
      <c r="AY360" s="1111"/>
      <c r="AZ360" s="1111"/>
      <c r="BA360" s="1111"/>
      <c r="BB360" s="1111"/>
      <c r="BC360" s="1111"/>
      <c r="BD360" s="1111"/>
      <c r="BE360" s="1111"/>
      <c r="BF360" s="1111"/>
      <c r="BG360" s="1111"/>
      <c r="BH360" s="1111"/>
      <c r="BI360" s="1111"/>
      <c r="BJ360" s="1111"/>
      <c r="BK360" s="1111"/>
      <c r="BL360" s="1111"/>
      <c r="BM360" s="1111"/>
      <c r="BN360" s="1111"/>
      <c r="BO360" s="1111"/>
      <c r="BP360" s="1111"/>
      <c r="BQ360" s="1111"/>
      <c r="BR360" s="1111"/>
      <c r="BS360" s="1111"/>
      <c r="BT360" s="1111"/>
      <c r="BU360" s="1111"/>
      <c r="BV360" s="1111"/>
      <c r="BW360" s="1111"/>
      <c r="BX360" s="1111"/>
      <c r="BY360" s="1111"/>
      <c r="BZ360" s="1111"/>
      <c r="CA360" s="1111"/>
      <c r="CB360" s="1111"/>
      <c r="CC360" s="1111"/>
      <c r="CD360" s="1111"/>
      <c r="CE360" s="1111"/>
      <c r="CF360" s="1111"/>
      <c r="CG360" s="1111"/>
      <c r="CH360" s="1111"/>
      <c r="CI360" s="1111"/>
      <c r="CJ360" s="1111"/>
      <c r="CK360" s="1110"/>
    </row>
    <row r="361" spans="1:89" ht="14.4" x14ac:dyDescent="0.3">
      <c r="A361" s="1110"/>
      <c r="B361" s="1110"/>
      <c r="C361" s="1110"/>
      <c r="D361" s="1110"/>
      <c r="E361" s="1110"/>
      <c r="F361" s="1110"/>
      <c r="G361" s="1110"/>
      <c r="H361" s="1110"/>
      <c r="I361" s="1110"/>
      <c r="J361" s="1110"/>
      <c r="K361" s="1110"/>
      <c r="L361" s="1110"/>
      <c r="M361" s="1110"/>
      <c r="N361" s="1110"/>
      <c r="O361" s="1110"/>
      <c r="P361" s="1110"/>
      <c r="Q361" s="1110"/>
      <c r="R361" s="1110"/>
      <c r="S361" s="1110"/>
      <c r="T361" s="1111"/>
      <c r="U361" s="1111"/>
      <c r="V361" s="1111"/>
      <c r="W361" s="1111"/>
      <c r="X361" s="1111"/>
      <c r="Y361" s="1111"/>
      <c r="Z361" s="1111"/>
      <c r="AA361" s="1111"/>
      <c r="AB361" s="1111"/>
      <c r="AC361" s="1111"/>
      <c r="AD361" s="1111"/>
      <c r="AE361" s="1111"/>
      <c r="AF361" s="1111"/>
      <c r="AG361" s="1111"/>
      <c r="AH361" s="1111"/>
      <c r="AI361" s="1111"/>
      <c r="AJ361" s="1111"/>
      <c r="AK361" s="1111"/>
      <c r="AL361" s="1111"/>
      <c r="AM361" s="1111"/>
      <c r="AN361" s="1111"/>
      <c r="AO361" s="1111"/>
      <c r="AP361" s="1111"/>
      <c r="AQ361" s="1111"/>
      <c r="AR361" s="1111"/>
      <c r="AS361" s="1111"/>
      <c r="AT361" s="1111"/>
      <c r="AU361" s="1111"/>
      <c r="AV361" s="1111"/>
      <c r="AW361" s="1111"/>
      <c r="AX361" s="1111"/>
      <c r="AY361" s="1111"/>
      <c r="AZ361" s="1111"/>
      <c r="BA361" s="1111"/>
      <c r="BB361" s="1111"/>
      <c r="BC361" s="1111"/>
      <c r="BD361" s="1111"/>
      <c r="BE361" s="1111"/>
      <c r="BF361" s="1111"/>
      <c r="BG361" s="1111"/>
      <c r="BH361" s="1111"/>
      <c r="BI361" s="1111"/>
      <c r="BJ361" s="1111"/>
      <c r="BK361" s="1111"/>
      <c r="BL361" s="1111"/>
      <c r="BM361" s="1111"/>
      <c r="BN361" s="1111"/>
      <c r="BO361" s="1111"/>
      <c r="BP361" s="1111"/>
      <c r="BQ361" s="1111"/>
      <c r="BR361" s="1111"/>
      <c r="BS361" s="1111"/>
      <c r="BT361" s="1111"/>
      <c r="BU361" s="1111"/>
      <c r="BV361" s="1111"/>
      <c r="BW361" s="1111"/>
      <c r="BX361" s="1111"/>
      <c r="BY361" s="1111"/>
      <c r="BZ361" s="1111"/>
      <c r="CA361" s="1111"/>
      <c r="CB361" s="1111"/>
      <c r="CC361" s="1111"/>
      <c r="CD361" s="1111"/>
      <c r="CE361" s="1111"/>
      <c r="CF361" s="1111"/>
      <c r="CG361" s="1111"/>
      <c r="CH361" s="1111"/>
      <c r="CI361" s="1111"/>
      <c r="CJ361" s="1111"/>
      <c r="CK361" s="1110"/>
    </row>
    <row r="362" spans="1:89" ht="14.4" x14ac:dyDescent="0.3">
      <c r="A362" s="1110"/>
      <c r="B362" s="1110"/>
      <c r="C362" s="1110"/>
      <c r="D362" s="1110"/>
      <c r="E362" s="1110"/>
      <c r="F362" s="1110"/>
      <c r="G362" s="1110"/>
      <c r="H362" s="1110"/>
      <c r="I362" s="1110"/>
      <c r="J362" s="1110"/>
      <c r="K362" s="1110"/>
      <c r="L362" s="1110"/>
      <c r="M362" s="1110"/>
      <c r="N362" s="1110"/>
      <c r="O362" s="1110"/>
      <c r="P362" s="1110"/>
      <c r="Q362" s="1110"/>
      <c r="R362" s="1110"/>
      <c r="S362" s="1110"/>
      <c r="T362" s="1111"/>
      <c r="U362" s="1111"/>
      <c r="V362" s="1111"/>
      <c r="W362" s="1111"/>
      <c r="X362" s="1111"/>
      <c r="Y362" s="1111"/>
      <c r="Z362" s="1111"/>
      <c r="AA362" s="1111"/>
      <c r="AB362" s="1111"/>
      <c r="AC362" s="1111"/>
      <c r="AD362" s="1111"/>
      <c r="AE362" s="1111"/>
      <c r="AF362" s="1111"/>
      <c r="AG362" s="1111"/>
      <c r="AH362" s="1111"/>
      <c r="AI362" s="1111"/>
      <c r="AJ362" s="1111"/>
      <c r="AK362" s="1111"/>
      <c r="AL362" s="1111"/>
      <c r="AM362" s="1111"/>
      <c r="AN362" s="1111"/>
      <c r="AO362" s="1111"/>
      <c r="AP362" s="1111"/>
      <c r="AQ362" s="1111"/>
      <c r="AR362" s="1111"/>
      <c r="AS362" s="1111"/>
      <c r="AT362" s="1111"/>
      <c r="AU362" s="1111"/>
      <c r="AV362" s="1111"/>
      <c r="AW362" s="1111"/>
      <c r="AX362" s="1111"/>
      <c r="AY362" s="1111"/>
      <c r="AZ362" s="1111"/>
      <c r="BA362" s="1111"/>
      <c r="BB362" s="1111"/>
      <c r="BC362" s="1111"/>
      <c r="BD362" s="1111"/>
      <c r="BE362" s="1111"/>
      <c r="BF362" s="1111"/>
      <c r="BG362" s="1111"/>
      <c r="BH362" s="1111"/>
      <c r="BI362" s="1111"/>
      <c r="BJ362" s="1111"/>
      <c r="BK362" s="1111"/>
      <c r="BL362" s="1111"/>
      <c r="BM362" s="1111"/>
      <c r="BN362" s="1111"/>
      <c r="BO362" s="1111"/>
      <c r="BP362" s="1111"/>
      <c r="BQ362" s="1111"/>
      <c r="BR362" s="1111"/>
      <c r="BS362" s="1111"/>
      <c r="BT362" s="1111"/>
      <c r="BU362" s="1111"/>
      <c r="BV362" s="1111"/>
      <c r="BW362" s="1111"/>
      <c r="BX362" s="1111"/>
      <c r="BY362" s="1111"/>
      <c r="BZ362" s="1111"/>
      <c r="CA362" s="1111"/>
      <c r="CB362" s="1111"/>
      <c r="CC362" s="1111"/>
      <c r="CD362" s="1111"/>
      <c r="CE362" s="1111"/>
      <c r="CF362" s="1111"/>
      <c r="CG362" s="1111"/>
      <c r="CH362" s="1111"/>
      <c r="CI362" s="1111"/>
      <c r="CJ362" s="1111"/>
      <c r="CK362" s="1110"/>
    </row>
    <row r="363" spans="1:89" ht="14.4" x14ac:dyDescent="0.3">
      <c r="A363" s="1110"/>
      <c r="B363" s="1110"/>
      <c r="C363" s="1110"/>
      <c r="D363" s="1110"/>
      <c r="E363" s="1110"/>
      <c r="F363" s="1110"/>
      <c r="G363" s="1110"/>
      <c r="H363" s="1110"/>
      <c r="I363" s="1110"/>
      <c r="J363" s="1110"/>
      <c r="K363" s="1110"/>
      <c r="L363" s="1110"/>
      <c r="M363" s="1110"/>
      <c r="N363" s="1110"/>
      <c r="O363" s="1110"/>
      <c r="P363" s="1110"/>
      <c r="Q363" s="1110"/>
      <c r="R363" s="1110"/>
      <c r="S363" s="1110"/>
      <c r="T363" s="1111"/>
      <c r="U363" s="1111"/>
      <c r="V363" s="1111"/>
      <c r="W363" s="1111"/>
      <c r="X363" s="1111"/>
      <c r="Y363" s="1111"/>
      <c r="Z363" s="1111"/>
      <c r="AA363" s="1111"/>
      <c r="AB363" s="1111"/>
      <c r="AC363" s="1111"/>
      <c r="AD363" s="1111"/>
      <c r="AE363" s="1111"/>
      <c r="AF363" s="1111"/>
      <c r="AG363" s="1111"/>
      <c r="AH363" s="1111"/>
      <c r="AI363" s="1111"/>
      <c r="AJ363" s="1111"/>
      <c r="AK363" s="1111"/>
      <c r="AL363" s="1111"/>
      <c r="AM363" s="1111"/>
      <c r="AN363" s="1111"/>
      <c r="AO363" s="1111"/>
      <c r="AP363" s="1111"/>
      <c r="AQ363" s="1111"/>
      <c r="AR363" s="1111"/>
      <c r="AS363" s="1111"/>
      <c r="AT363" s="1111"/>
      <c r="AU363" s="1111"/>
      <c r="AV363" s="1111"/>
      <c r="AW363" s="1111"/>
      <c r="AX363" s="1111"/>
      <c r="AY363" s="1111"/>
      <c r="AZ363" s="1111"/>
      <c r="BA363" s="1111"/>
      <c r="BB363" s="1111"/>
      <c r="BC363" s="1111"/>
      <c r="BD363" s="1111"/>
      <c r="BE363" s="1111"/>
      <c r="BF363" s="1111"/>
      <c r="BG363" s="1111"/>
      <c r="BH363" s="1111"/>
      <c r="BI363" s="1111"/>
      <c r="BJ363" s="1111"/>
      <c r="BK363" s="1111"/>
      <c r="BL363" s="1111"/>
      <c r="BM363" s="1111"/>
      <c r="BN363" s="1111"/>
      <c r="BO363" s="1111"/>
      <c r="BP363" s="1111"/>
      <c r="BQ363" s="1111"/>
      <c r="BR363" s="1111"/>
      <c r="BS363" s="1111"/>
      <c r="BT363" s="1111"/>
      <c r="BU363" s="1111"/>
      <c r="BV363" s="1111"/>
      <c r="BW363" s="1111"/>
      <c r="BX363" s="1111"/>
      <c r="BY363" s="1111"/>
      <c r="BZ363" s="1111"/>
      <c r="CA363" s="1111"/>
      <c r="CB363" s="1111"/>
      <c r="CC363" s="1111"/>
      <c r="CD363" s="1111"/>
      <c r="CE363" s="1111"/>
      <c r="CF363" s="1111"/>
      <c r="CG363" s="1111"/>
      <c r="CH363" s="1111"/>
      <c r="CI363" s="1111"/>
      <c r="CJ363" s="1111"/>
      <c r="CK363" s="1110"/>
    </row>
    <row r="364" spans="1:89" ht="14.4" x14ac:dyDescent="0.3">
      <c r="A364" s="1110"/>
      <c r="B364" s="1110"/>
      <c r="C364" s="1110"/>
      <c r="D364" s="1110"/>
      <c r="E364" s="1110"/>
      <c r="F364" s="1110"/>
      <c r="G364" s="1110"/>
      <c r="H364" s="1110"/>
      <c r="I364" s="1110"/>
      <c r="J364" s="1110"/>
      <c r="K364" s="1110"/>
      <c r="L364" s="1110"/>
      <c r="M364" s="1110"/>
      <c r="N364" s="1110"/>
      <c r="O364" s="1110"/>
      <c r="P364" s="1110"/>
      <c r="Q364" s="1110"/>
      <c r="R364" s="1110"/>
      <c r="S364" s="1110"/>
      <c r="T364" s="1111"/>
      <c r="U364" s="1111"/>
      <c r="V364" s="1111"/>
      <c r="W364" s="1111"/>
      <c r="X364" s="1111"/>
      <c r="Y364" s="1111"/>
      <c r="Z364" s="1111"/>
      <c r="AA364" s="1111"/>
      <c r="AB364" s="1111"/>
      <c r="AC364" s="1111"/>
      <c r="AD364" s="1111"/>
      <c r="AE364" s="1111"/>
      <c r="AF364" s="1111"/>
      <c r="AG364" s="1111"/>
      <c r="AH364" s="1111"/>
      <c r="AI364" s="1111"/>
      <c r="AJ364" s="1111"/>
      <c r="AK364" s="1111"/>
      <c r="AL364" s="1111"/>
      <c r="AM364" s="1111"/>
      <c r="AN364" s="1111"/>
      <c r="AO364" s="1111"/>
      <c r="AP364" s="1111"/>
      <c r="AQ364" s="1111"/>
      <c r="AR364" s="1111"/>
      <c r="AS364" s="1111"/>
      <c r="AT364" s="1111"/>
      <c r="AU364" s="1111"/>
      <c r="AV364" s="1111"/>
      <c r="AW364" s="1111"/>
      <c r="AX364" s="1111"/>
      <c r="AY364" s="1111"/>
      <c r="AZ364" s="1111"/>
      <c r="BA364" s="1111"/>
      <c r="BB364" s="1111"/>
      <c r="BC364" s="1111"/>
      <c r="BD364" s="1111"/>
      <c r="BE364" s="1111"/>
      <c r="BF364" s="1111"/>
      <c r="BG364" s="1111"/>
      <c r="BH364" s="1111"/>
      <c r="BI364" s="1111"/>
      <c r="BJ364" s="1111"/>
      <c r="BK364" s="1111"/>
      <c r="BL364" s="1111"/>
      <c r="BM364" s="1111"/>
      <c r="BN364" s="1111"/>
      <c r="BO364" s="1111"/>
      <c r="BP364" s="1111"/>
      <c r="BQ364" s="1111"/>
      <c r="BR364" s="1111"/>
      <c r="BS364" s="1111"/>
      <c r="BT364" s="1111"/>
      <c r="BU364" s="1111"/>
      <c r="BV364" s="1111"/>
      <c r="BW364" s="1111"/>
      <c r="BX364" s="1111"/>
      <c r="BY364" s="1111"/>
      <c r="BZ364" s="1111"/>
      <c r="CA364" s="1111"/>
      <c r="CB364" s="1111"/>
      <c r="CC364" s="1111"/>
      <c r="CD364" s="1111"/>
      <c r="CE364" s="1111"/>
      <c r="CF364" s="1111"/>
      <c r="CG364" s="1111"/>
      <c r="CH364" s="1111"/>
      <c r="CI364" s="1111"/>
      <c r="CJ364" s="1111"/>
      <c r="CK364" s="1110"/>
    </row>
    <row r="365" spans="1:89" ht="14.4" x14ac:dyDescent="0.3">
      <c r="A365" s="1110"/>
      <c r="B365" s="1110"/>
      <c r="C365" s="1110"/>
      <c r="D365" s="1110"/>
      <c r="E365" s="1110"/>
      <c r="F365" s="1110"/>
      <c r="G365" s="1110"/>
      <c r="H365" s="1110"/>
      <c r="I365" s="1110"/>
      <c r="J365" s="1110"/>
      <c r="K365" s="1110"/>
      <c r="L365" s="1110"/>
      <c r="M365" s="1110"/>
      <c r="N365" s="1110"/>
      <c r="O365" s="1110"/>
      <c r="P365" s="1110"/>
      <c r="Q365" s="1110"/>
      <c r="R365" s="1110"/>
      <c r="S365" s="1110"/>
      <c r="T365" s="1111"/>
      <c r="U365" s="1111"/>
      <c r="V365" s="1111"/>
      <c r="W365" s="1111"/>
      <c r="X365" s="1111"/>
      <c r="Y365" s="1111"/>
      <c r="Z365" s="1111"/>
      <c r="AA365" s="1111"/>
      <c r="AB365" s="1111"/>
      <c r="AC365" s="1111"/>
      <c r="AD365" s="1111"/>
      <c r="AE365" s="1111"/>
      <c r="AF365" s="1111"/>
      <c r="AG365" s="1111"/>
      <c r="AH365" s="1111"/>
      <c r="AI365" s="1111"/>
      <c r="AJ365" s="1111"/>
      <c r="AK365" s="1111"/>
      <c r="AL365" s="1111"/>
      <c r="AM365" s="1111"/>
      <c r="AN365" s="1111"/>
      <c r="AO365" s="1111"/>
      <c r="AP365" s="1111"/>
      <c r="AQ365" s="1111"/>
      <c r="AR365" s="1111"/>
      <c r="AS365" s="1111"/>
      <c r="AT365" s="1111"/>
      <c r="AU365" s="1111"/>
      <c r="AV365" s="1111"/>
      <c r="AW365" s="1111"/>
      <c r="AX365" s="1111"/>
      <c r="AY365" s="1111"/>
      <c r="AZ365" s="1111"/>
      <c r="BA365" s="1111"/>
      <c r="BB365" s="1111"/>
      <c r="BC365" s="1111"/>
      <c r="BD365" s="1111"/>
      <c r="BE365" s="1111"/>
      <c r="BF365" s="1111"/>
      <c r="BG365" s="1111"/>
      <c r="BH365" s="1111"/>
      <c r="BI365" s="1111"/>
      <c r="BJ365" s="1111"/>
      <c r="BK365" s="1111"/>
      <c r="BL365" s="1111"/>
      <c r="BM365" s="1111"/>
      <c r="BN365" s="1111"/>
      <c r="BO365" s="1111"/>
      <c r="BP365" s="1111"/>
      <c r="BQ365" s="1111"/>
      <c r="BR365" s="1111"/>
      <c r="BS365" s="1111"/>
      <c r="BT365" s="1111"/>
      <c r="BU365" s="1111"/>
      <c r="BV365" s="1111"/>
      <c r="BW365" s="1111"/>
      <c r="BX365" s="1111"/>
      <c r="BY365" s="1111"/>
      <c r="BZ365" s="1111"/>
      <c r="CA365" s="1111"/>
      <c r="CB365" s="1111"/>
      <c r="CC365" s="1111"/>
      <c r="CD365" s="1111"/>
      <c r="CE365" s="1111"/>
      <c r="CF365" s="1111"/>
      <c r="CG365" s="1111"/>
      <c r="CH365" s="1111"/>
      <c r="CI365" s="1111"/>
      <c r="CJ365" s="1111"/>
      <c r="CK365" s="1110"/>
    </row>
    <row r="366" spans="1:89" ht="14.4" x14ac:dyDescent="0.3">
      <c r="A366" s="1110"/>
      <c r="B366" s="1110"/>
      <c r="C366" s="1110"/>
      <c r="D366" s="1110"/>
      <c r="E366" s="1110"/>
      <c r="F366" s="1110"/>
      <c r="G366" s="1110"/>
      <c r="H366" s="1110"/>
      <c r="I366" s="1110"/>
      <c r="J366" s="1110"/>
      <c r="K366" s="1110"/>
      <c r="L366" s="1110"/>
      <c r="M366" s="1110"/>
      <c r="N366" s="1110"/>
      <c r="O366" s="1110"/>
      <c r="P366" s="1110"/>
      <c r="Q366" s="1110"/>
      <c r="R366" s="1110"/>
      <c r="S366" s="1110"/>
      <c r="T366" s="1111"/>
      <c r="U366" s="1111"/>
      <c r="V366" s="1111"/>
      <c r="W366" s="1111"/>
      <c r="X366" s="1111"/>
      <c r="Y366" s="1111"/>
      <c r="Z366" s="1111"/>
      <c r="AA366" s="1111"/>
      <c r="AB366" s="1111"/>
      <c r="AC366" s="1111"/>
      <c r="AD366" s="1111"/>
      <c r="AE366" s="1111"/>
      <c r="AF366" s="1111"/>
      <c r="AG366" s="1111"/>
      <c r="AH366" s="1111"/>
      <c r="AI366" s="1111"/>
      <c r="AJ366" s="1111"/>
      <c r="AK366" s="1111"/>
      <c r="AL366" s="1111"/>
      <c r="AM366" s="1111"/>
      <c r="AN366" s="1111"/>
      <c r="AO366" s="1111"/>
      <c r="AP366" s="1111"/>
      <c r="AQ366" s="1111"/>
      <c r="AR366" s="1111"/>
      <c r="AS366" s="1111"/>
      <c r="AT366" s="1111"/>
      <c r="AU366" s="1111"/>
      <c r="AV366" s="1111"/>
      <c r="AW366" s="1111"/>
      <c r="AX366" s="1111"/>
      <c r="AY366" s="1111"/>
      <c r="AZ366" s="1111"/>
      <c r="BA366" s="1111"/>
      <c r="BB366" s="1111"/>
      <c r="BC366" s="1111"/>
      <c r="BD366" s="1111"/>
      <c r="BE366" s="1111"/>
      <c r="BF366" s="1111"/>
      <c r="BG366" s="1111"/>
      <c r="BH366" s="1111"/>
      <c r="BI366" s="1111"/>
      <c r="BJ366" s="1111"/>
      <c r="BK366" s="1111"/>
      <c r="BL366" s="1111"/>
      <c r="BM366" s="1111"/>
      <c r="BN366" s="1111"/>
      <c r="BO366" s="1111"/>
      <c r="BP366" s="1111"/>
      <c r="BQ366" s="1111"/>
      <c r="BR366" s="1111"/>
      <c r="BS366" s="1111"/>
      <c r="BT366" s="1111"/>
      <c r="BU366" s="1111"/>
      <c r="BV366" s="1111"/>
      <c r="BW366" s="1111"/>
      <c r="BX366" s="1111"/>
      <c r="BY366" s="1111"/>
      <c r="BZ366" s="1111"/>
      <c r="CA366" s="1111"/>
      <c r="CB366" s="1111"/>
      <c r="CC366" s="1111"/>
      <c r="CD366" s="1111"/>
      <c r="CE366" s="1111"/>
      <c r="CF366" s="1111"/>
      <c r="CG366" s="1111"/>
      <c r="CH366" s="1111"/>
      <c r="CI366" s="1111"/>
      <c r="CJ366" s="1111"/>
      <c r="CK366" s="1110"/>
    </row>
    <row r="367" spans="1:89" ht="14.4" x14ac:dyDescent="0.3">
      <c r="A367" s="1110"/>
      <c r="B367" s="1110"/>
      <c r="C367" s="1110"/>
      <c r="D367" s="1110"/>
      <c r="E367" s="1110"/>
      <c r="F367" s="1110"/>
      <c r="G367" s="1110"/>
      <c r="H367" s="1110"/>
      <c r="I367" s="1110"/>
      <c r="J367" s="1110"/>
      <c r="K367" s="1110"/>
      <c r="L367" s="1110"/>
      <c r="M367" s="1110"/>
      <c r="N367" s="1110"/>
      <c r="O367" s="1110"/>
      <c r="P367" s="1110"/>
      <c r="Q367" s="1110"/>
      <c r="R367" s="1110"/>
      <c r="S367" s="1110"/>
      <c r="T367" s="1111"/>
      <c r="U367" s="1111"/>
      <c r="V367" s="1111"/>
      <c r="W367" s="1111"/>
      <c r="X367" s="1111"/>
      <c r="Y367" s="1111"/>
      <c r="Z367" s="1111"/>
      <c r="AA367" s="1111"/>
      <c r="AB367" s="1111"/>
      <c r="AC367" s="1111"/>
      <c r="AD367" s="1111"/>
      <c r="AE367" s="1111"/>
      <c r="AF367" s="1111"/>
      <c r="AG367" s="1111"/>
      <c r="AH367" s="1111"/>
      <c r="AI367" s="1111"/>
      <c r="AJ367" s="1111"/>
      <c r="AK367" s="1111"/>
      <c r="AL367" s="1111"/>
      <c r="AM367" s="1111"/>
      <c r="AN367" s="1111"/>
      <c r="AO367" s="1111"/>
      <c r="AP367" s="1111"/>
      <c r="AQ367" s="1111"/>
      <c r="AR367" s="1111"/>
      <c r="AS367" s="1111"/>
      <c r="AT367" s="1111"/>
      <c r="AU367" s="1111"/>
      <c r="AV367" s="1111"/>
      <c r="AW367" s="1111"/>
      <c r="AX367" s="1111"/>
      <c r="AY367" s="1111"/>
      <c r="AZ367" s="1111"/>
      <c r="BA367" s="1111"/>
      <c r="BB367" s="1111"/>
      <c r="BC367" s="1111"/>
      <c r="BD367" s="1111"/>
      <c r="BE367" s="1111"/>
      <c r="BF367" s="1111"/>
      <c r="BG367" s="1111"/>
      <c r="BH367" s="1111"/>
      <c r="BI367" s="1111"/>
      <c r="BJ367" s="1111"/>
      <c r="BK367" s="1111"/>
      <c r="BL367" s="1111"/>
      <c r="BM367" s="1111"/>
      <c r="BN367" s="1111"/>
      <c r="BO367" s="1111"/>
      <c r="BP367" s="1111"/>
      <c r="BQ367" s="1111"/>
      <c r="BR367" s="1111"/>
      <c r="BS367" s="1111"/>
      <c r="BT367" s="1111"/>
      <c r="BU367" s="1111"/>
      <c r="BV367" s="1111"/>
      <c r="BW367" s="1111"/>
      <c r="BX367" s="1111"/>
      <c r="BY367" s="1111"/>
      <c r="BZ367" s="1111"/>
      <c r="CA367" s="1111"/>
      <c r="CB367" s="1111"/>
      <c r="CC367" s="1111"/>
      <c r="CD367" s="1111"/>
      <c r="CE367" s="1111"/>
      <c r="CF367" s="1111"/>
      <c r="CG367" s="1111"/>
      <c r="CH367" s="1111"/>
      <c r="CI367" s="1111"/>
      <c r="CJ367" s="1111"/>
      <c r="CK367" s="1110"/>
    </row>
    <row r="368" spans="1:89" ht="14.4" x14ac:dyDescent="0.3">
      <c r="A368" s="1110"/>
      <c r="B368" s="1110"/>
      <c r="C368" s="1110"/>
      <c r="D368" s="1110"/>
      <c r="E368" s="1110"/>
      <c r="F368" s="1110"/>
      <c r="G368" s="1110"/>
      <c r="H368" s="1110"/>
      <c r="I368" s="1110"/>
      <c r="J368" s="1110"/>
      <c r="K368" s="1110"/>
      <c r="L368" s="1110"/>
      <c r="M368" s="1110"/>
      <c r="N368" s="1110"/>
      <c r="O368" s="1110"/>
      <c r="P368" s="1110"/>
      <c r="Q368" s="1110"/>
      <c r="R368" s="1110"/>
      <c r="S368" s="1110"/>
      <c r="T368" s="1111"/>
      <c r="U368" s="1111"/>
      <c r="V368" s="1111"/>
      <c r="W368" s="1111"/>
      <c r="X368" s="1111"/>
      <c r="Y368" s="1111"/>
      <c r="Z368" s="1111"/>
      <c r="AA368" s="1111"/>
      <c r="AB368" s="1111"/>
      <c r="AC368" s="1111"/>
      <c r="AD368" s="1111"/>
      <c r="AE368" s="1111"/>
      <c r="AF368" s="1111"/>
      <c r="AG368" s="1111"/>
      <c r="AH368" s="1111"/>
      <c r="AI368" s="1111"/>
      <c r="AJ368" s="1111"/>
      <c r="AK368" s="1111"/>
      <c r="AL368" s="1111"/>
      <c r="AM368" s="1111"/>
      <c r="AN368" s="1111"/>
      <c r="AO368" s="1111"/>
      <c r="AP368" s="1111"/>
      <c r="AQ368" s="1111"/>
      <c r="AR368" s="1111"/>
      <c r="AS368" s="1111"/>
      <c r="AT368" s="1111"/>
      <c r="AU368" s="1111"/>
      <c r="AV368" s="1111"/>
      <c r="AW368" s="1111"/>
      <c r="AX368" s="1111"/>
      <c r="AY368" s="1111"/>
      <c r="AZ368" s="1111"/>
      <c r="BA368" s="1111"/>
      <c r="BB368" s="1111"/>
      <c r="BC368" s="1111"/>
      <c r="BD368" s="1111"/>
      <c r="BE368" s="1111"/>
      <c r="BF368" s="1111"/>
      <c r="BG368" s="1111"/>
      <c r="BH368" s="1111"/>
      <c r="BI368" s="1111"/>
      <c r="BJ368" s="1111"/>
      <c r="BK368" s="1111"/>
      <c r="BL368" s="1111"/>
      <c r="BM368" s="1111"/>
      <c r="BN368" s="1111"/>
      <c r="BO368" s="1111"/>
      <c r="BP368" s="1111"/>
      <c r="BQ368" s="1111"/>
      <c r="BR368" s="1111"/>
      <c r="BS368" s="1111"/>
      <c r="BT368" s="1111"/>
      <c r="BU368" s="1111"/>
      <c r="BV368" s="1111"/>
      <c r="BW368" s="1111"/>
      <c r="BX368" s="1111"/>
      <c r="BY368" s="1111"/>
      <c r="BZ368" s="1111"/>
      <c r="CA368" s="1111"/>
      <c r="CB368" s="1111"/>
      <c r="CC368" s="1111"/>
      <c r="CD368" s="1111"/>
      <c r="CE368" s="1111"/>
      <c r="CF368" s="1111"/>
      <c r="CG368" s="1111"/>
      <c r="CH368" s="1111"/>
      <c r="CI368" s="1111"/>
      <c r="CJ368" s="1111"/>
      <c r="CK368" s="1110"/>
    </row>
    <row r="369" spans="1:89" ht="14.4" x14ac:dyDescent="0.3">
      <c r="A369" s="1110"/>
      <c r="B369" s="1110"/>
      <c r="C369" s="1110"/>
      <c r="D369" s="1110"/>
      <c r="E369" s="1110"/>
      <c r="F369" s="1110"/>
      <c r="G369" s="1110"/>
      <c r="H369" s="1110"/>
      <c r="I369" s="1110"/>
      <c r="J369" s="1110"/>
      <c r="K369" s="1110"/>
      <c r="L369" s="1110"/>
      <c r="M369" s="1110"/>
      <c r="N369" s="1110"/>
      <c r="O369" s="1110"/>
      <c r="P369" s="1110"/>
      <c r="Q369" s="1110"/>
      <c r="R369" s="1110"/>
      <c r="S369" s="1110"/>
      <c r="T369" s="1111"/>
      <c r="U369" s="1111"/>
      <c r="V369" s="1111"/>
      <c r="W369" s="1111"/>
      <c r="X369" s="1111"/>
      <c r="Y369" s="1111"/>
      <c r="Z369" s="1111"/>
      <c r="AA369" s="1111"/>
      <c r="AB369" s="1111"/>
      <c r="AC369" s="1111"/>
      <c r="AD369" s="1111"/>
      <c r="AE369" s="1111"/>
      <c r="AF369" s="1111"/>
      <c r="AG369" s="1111"/>
      <c r="AH369" s="1111"/>
      <c r="AI369" s="1111"/>
      <c r="AJ369" s="1111"/>
      <c r="AK369" s="1111"/>
      <c r="AL369" s="1111"/>
      <c r="AM369" s="1111"/>
      <c r="AN369" s="1111"/>
      <c r="AO369" s="1111"/>
      <c r="AP369" s="1111"/>
      <c r="AQ369" s="1111"/>
      <c r="AR369" s="1111"/>
      <c r="AS369" s="1111"/>
      <c r="AT369" s="1111"/>
      <c r="AU369" s="1111"/>
      <c r="AV369" s="1111"/>
      <c r="AW369" s="1111"/>
      <c r="AX369" s="1111"/>
      <c r="AY369" s="1111"/>
      <c r="AZ369" s="1111"/>
      <c r="BA369" s="1111"/>
      <c r="BB369" s="1111"/>
      <c r="BC369" s="1111"/>
      <c r="BD369" s="1111"/>
      <c r="BE369" s="1111"/>
      <c r="BF369" s="1111"/>
      <c r="BG369" s="1111"/>
      <c r="BH369" s="1111"/>
      <c r="BI369" s="1111"/>
      <c r="BJ369" s="1111"/>
      <c r="BK369" s="1111"/>
      <c r="BL369" s="1111"/>
      <c r="BM369" s="1111"/>
      <c r="BN369" s="1111"/>
      <c r="BO369" s="1111"/>
      <c r="BP369" s="1111"/>
      <c r="BQ369" s="1111"/>
      <c r="BR369" s="1111"/>
      <c r="BS369" s="1111"/>
      <c r="BT369" s="1111"/>
      <c r="BU369" s="1111"/>
      <c r="BV369" s="1111"/>
      <c r="BW369" s="1111"/>
      <c r="BX369" s="1111"/>
      <c r="BY369" s="1111"/>
      <c r="BZ369" s="1111"/>
      <c r="CA369" s="1111"/>
      <c r="CB369" s="1111"/>
      <c r="CC369" s="1111"/>
      <c r="CD369" s="1111"/>
      <c r="CE369" s="1111"/>
      <c r="CF369" s="1111"/>
      <c r="CG369" s="1111"/>
      <c r="CH369" s="1111"/>
      <c r="CI369" s="1111"/>
      <c r="CJ369" s="1111"/>
      <c r="CK369" s="1110"/>
    </row>
    <row r="370" spans="1:89" ht="14.4" x14ac:dyDescent="0.3">
      <c r="A370" s="1110"/>
      <c r="B370" s="1110"/>
      <c r="C370" s="1110"/>
      <c r="D370" s="1110"/>
      <c r="E370" s="1110"/>
      <c r="F370" s="1110"/>
      <c r="G370" s="1110"/>
      <c r="H370" s="1110"/>
      <c r="I370" s="1110"/>
      <c r="J370" s="1110"/>
      <c r="K370" s="1110"/>
      <c r="L370" s="1110"/>
      <c r="M370" s="1110"/>
      <c r="N370" s="1110"/>
      <c r="O370" s="1110"/>
      <c r="P370" s="1110"/>
      <c r="Q370" s="1110"/>
      <c r="R370" s="1110"/>
      <c r="S370" s="1110"/>
      <c r="T370" s="1111"/>
      <c r="U370" s="1111"/>
      <c r="V370" s="1111"/>
      <c r="W370" s="1111"/>
      <c r="X370" s="1111"/>
      <c r="Y370" s="1111"/>
      <c r="Z370" s="1111"/>
      <c r="AA370" s="1111"/>
      <c r="AB370" s="1111"/>
      <c r="AC370" s="1111"/>
      <c r="AD370" s="1111"/>
      <c r="AE370" s="1111"/>
      <c r="AF370" s="1111"/>
      <c r="AG370" s="1111"/>
      <c r="AH370" s="1111"/>
      <c r="AI370" s="1111"/>
      <c r="AJ370" s="1111"/>
      <c r="AK370" s="1111"/>
      <c r="AL370" s="1111"/>
      <c r="AM370" s="1111"/>
      <c r="AN370" s="1111"/>
      <c r="AO370" s="1111"/>
      <c r="AP370" s="1111"/>
      <c r="AQ370" s="1111"/>
      <c r="AR370" s="1111"/>
      <c r="AS370" s="1111"/>
      <c r="AT370" s="1111"/>
      <c r="AU370" s="1111"/>
      <c r="AV370" s="1111"/>
      <c r="AW370" s="1111"/>
      <c r="AX370" s="1111"/>
      <c r="AY370" s="1111"/>
      <c r="AZ370" s="1111"/>
      <c r="BA370" s="1111"/>
      <c r="BB370" s="1111"/>
      <c r="BC370" s="1111"/>
      <c r="BD370" s="1111"/>
      <c r="BE370" s="1111"/>
      <c r="BF370" s="1111"/>
      <c r="BG370" s="1111"/>
      <c r="BH370" s="1111"/>
      <c r="BI370" s="1111"/>
      <c r="BJ370" s="1111"/>
      <c r="BK370" s="1111"/>
      <c r="BL370" s="1111"/>
      <c r="BM370" s="1111"/>
      <c r="BN370" s="1111"/>
      <c r="BO370" s="1111"/>
      <c r="BP370" s="1111"/>
      <c r="BQ370" s="1111"/>
      <c r="BR370" s="1111"/>
      <c r="BS370" s="1111"/>
      <c r="BT370" s="1111"/>
      <c r="BU370" s="1111"/>
      <c r="BV370" s="1111"/>
      <c r="BW370" s="1111"/>
      <c r="BX370" s="1111"/>
      <c r="BY370" s="1111"/>
      <c r="BZ370" s="1111"/>
      <c r="CA370" s="1111"/>
      <c r="CB370" s="1111"/>
      <c r="CC370" s="1111"/>
      <c r="CD370" s="1111"/>
      <c r="CE370" s="1111"/>
      <c r="CF370" s="1111"/>
      <c r="CG370" s="1111"/>
      <c r="CH370" s="1111"/>
      <c r="CI370" s="1111"/>
      <c r="CJ370" s="1111"/>
      <c r="CK370" s="1110"/>
    </row>
    <row r="371" spans="1:89" ht="14.4" x14ac:dyDescent="0.3">
      <c r="A371" s="1110"/>
      <c r="B371" s="1110"/>
      <c r="C371" s="1110"/>
      <c r="D371" s="1110"/>
      <c r="E371" s="1110"/>
      <c r="F371" s="1110"/>
      <c r="G371" s="1110"/>
      <c r="H371" s="1110"/>
      <c r="I371" s="1110"/>
      <c r="J371" s="1110"/>
      <c r="K371" s="1110"/>
      <c r="L371" s="1110"/>
      <c r="M371" s="1110"/>
      <c r="N371" s="1110"/>
      <c r="O371" s="1110"/>
      <c r="P371" s="1110"/>
      <c r="Q371" s="1110"/>
      <c r="R371" s="1110"/>
      <c r="S371" s="1110"/>
      <c r="T371" s="1111"/>
      <c r="U371" s="1111"/>
      <c r="V371" s="1111"/>
      <c r="W371" s="1111"/>
      <c r="X371" s="1111"/>
      <c r="Y371" s="1111"/>
      <c r="Z371" s="1111"/>
      <c r="AA371" s="1111"/>
      <c r="AB371" s="1111"/>
      <c r="AC371" s="1111"/>
      <c r="AD371" s="1111"/>
      <c r="AE371" s="1111"/>
      <c r="AF371" s="1111"/>
      <c r="AG371" s="1111"/>
      <c r="AH371" s="1111"/>
      <c r="AI371" s="1111"/>
      <c r="AJ371" s="1111"/>
      <c r="AK371" s="1111"/>
      <c r="AL371" s="1111"/>
      <c r="AM371" s="1111"/>
      <c r="AN371" s="1111"/>
      <c r="AO371" s="1111"/>
      <c r="AP371" s="1111"/>
      <c r="AQ371" s="1111"/>
      <c r="AR371" s="1111"/>
      <c r="AS371" s="1111"/>
      <c r="AT371" s="1111"/>
      <c r="AU371" s="1111"/>
      <c r="AV371" s="1111"/>
      <c r="AW371" s="1111"/>
      <c r="AX371" s="1111"/>
      <c r="AY371" s="1111"/>
      <c r="AZ371" s="1111"/>
      <c r="BA371" s="1111"/>
      <c r="BB371" s="1111"/>
      <c r="BC371" s="1111"/>
      <c r="BD371" s="1111"/>
      <c r="BE371" s="1111"/>
      <c r="BF371" s="1111"/>
      <c r="BG371" s="1111"/>
      <c r="BH371" s="1111"/>
      <c r="BI371" s="1111"/>
      <c r="BJ371" s="1111"/>
      <c r="BK371" s="1111"/>
      <c r="BL371" s="1111"/>
      <c r="BM371" s="1111"/>
      <c r="BN371" s="1111"/>
      <c r="BO371" s="1111"/>
      <c r="BP371" s="1111"/>
      <c r="BQ371" s="1111"/>
      <c r="BR371" s="1111"/>
      <c r="BS371" s="1111"/>
      <c r="BT371" s="1111"/>
      <c r="BU371" s="1111"/>
      <c r="BV371" s="1111"/>
      <c r="BW371" s="1111"/>
      <c r="BX371" s="1111"/>
      <c r="BY371" s="1111"/>
      <c r="BZ371" s="1111"/>
      <c r="CA371" s="1111"/>
      <c r="CB371" s="1111"/>
      <c r="CC371" s="1111"/>
      <c r="CD371" s="1111"/>
      <c r="CE371" s="1111"/>
      <c r="CF371" s="1111"/>
      <c r="CG371" s="1111"/>
      <c r="CH371" s="1111"/>
      <c r="CI371" s="1111"/>
      <c r="CJ371" s="1111"/>
      <c r="CK371" s="1110"/>
    </row>
    <row r="372" spans="1:89" ht="14.4" x14ac:dyDescent="0.3">
      <c r="A372" s="1110"/>
      <c r="B372" s="1110"/>
      <c r="C372" s="1110"/>
      <c r="D372" s="1110"/>
      <c r="E372" s="1110"/>
      <c r="F372" s="1110"/>
      <c r="G372" s="1110"/>
      <c r="H372" s="1110"/>
      <c r="I372" s="1110"/>
      <c r="J372" s="1110"/>
      <c r="K372" s="1110"/>
      <c r="L372" s="1110"/>
      <c r="M372" s="1110"/>
      <c r="N372" s="1110"/>
      <c r="O372" s="1110"/>
      <c r="P372" s="1110"/>
      <c r="Q372" s="1110"/>
      <c r="R372" s="1110"/>
      <c r="S372" s="1110"/>
      <c r="T372" s="1111"/>
      <c r="U372" s="1111"/>
      <c r="V372" s="1111"/>
      <c r="W372" s="1111"/>
      <c r="X372" s="1111"/>
      <c r="Y372" s="1111"/>
      <c r="Z372" s="1111"/>
      <c r="AA372" s="1111"/>
      <c r="AB372" s="1111"/>
      <c r="AC372" s="1111"/>
      <c r="AD372" s="1111"/>
      <c r="AE372" s="1111"/>
      <c r="AF372" s="1111"/>
      <c r="AG372" s="1111"/>
      <c r="AH372" s="1111"/>
      <c r="AI372" s="1111"/>
      <c r="AJ372" s="1111"/>
      <c r="AK372" s="1111"/>
      <c r="AL372" s="1111"/>
      <c r="AM372" s="1111"/>
      <c r="AN372" s="1111"/>
      <c r="AO372" s="1111"/>
      <c r="AP372" s="1111"/>
      <c r="AQ372" s="1111"/>
      <c r="AR372" s="1111"/>
      <c r="AS372" s="1111"/>
      <c r="AT372" s="1111"/>
      <c r="AU372" s="1111"/>
      <c r="AV372" s="1111"/>
      <c r="AW372" s="1111"/>
      <c r="AX372" s="1111"/>
      <c r="AY372" s="1111"/>
      <c r="AZ372" s="1111"/>
      <c r="BA372" s="1111"/>
      <c r="BB372" s="1111"/>
      <c r="BC372" s="1111"/>
      <c r="BD372" s="1111"/>
      <c r="BE372" s="1111"/>
      <c r="BF372" s="1111"/>
      <c r="BG372" s="1111"/>
      <c r="BH372" s="1111"/>
      <c r="BI372" s="1111"/>
      <c r="BJ372" s="1111"/>
      <c r="BK372" s="1111"/>
      <c r="BL372" s="1111"/>
      <c r="BM372" s="1111"/>
      <c r="BN372" s="1111"/>
      <c r="BO372" s="1111"/>
      <c r="BP372" s="1111"/>
      <c r="BQ372" s="1111"/>
      <c r="BR372" s="1111"/>
      <c r="BS372" s="1111"/>
      <c r="BT372" s="1111"/>
      <c r="BU372" s="1111"/>
      <c r="BV372" s="1111"/>
      <c r="BW372" s="1111"/>
      <c r="BX372" s="1111"/>
      <c r="BY372" s="1111"/>
      <c r="BZ372" s="1111"/>
      <c r="CA372" s="1111"/>
      <c r="CB372" s="1111"/>
      <c r="CC372" s="1111"/>
      <c r="CD372" s="1111"/>
      <c r="CE372" s="1111"/>
      <c r="CF372" s="1111"/>
      <c r="CG372" s="1111"/>
      <c r="CH372" s="1111"/>
      <c r="CI372" s="1111"/>
      <c r="CJ372" s="1111"/>
      <c r="CK372" s="1110"/>
    </row>
    <row r="373" spans="1:89" ht="14.4" x14ac:dyDescent="0.3">
      <c r="A373" s="1110"/>
      <c r="B373" s="1110"/>
      <c r="C373" s="1110"/>
      <c r="D373" s="1110"/>
      <c r="E373" s="1110"/>
      <c r="F373" s="1110"/>
      <c r="G373" s="1110"/>
      <c r="H373" s="1110"/>
      <c r="I373" s="1110"/>
      <c r="J373" s="1110"/>
      <c r="K373" s="1110"/>
      <c r="L373" s="1110"/>
      <c r="M373" s="1110"/>
      <c r="N373" s="1110"/>
      <c r="O373" s="1110"/>
      <c r="P373" s="1110"/>
      <c r="Q373" s="1110"/>
      <c r="R373" s="1110"/>
      <c r="S373" s="1110"/>
      <c r="T373" s="1111"/>
      <c r="U373" s="1111"/>
      <c r="V373" s="1111"/>
      <c r="W373" s="1111"/>
      <c r="X373" s="1111"/>
      <c r="Y373" s="1111"/>
      <c r="Z373" s="1111"/>
      <c r="AA373" s="1111"/>
      <c r="AB373" s="1111"/>
      <c r="AC373" s="1111"/>
      <c r="AD373" s="1111"/>
      <c r="AE373" s="1111"/>
      <c r="AF373" s="1111"/>
      <c r="AG373" s="1111"/>
      <c r="AH373" s="1111"/>
      <c r="AI373" s="1111"/>
      <c r="AJ373" s="1111"/>
      <c r="AK373" s="1111"/>
      <c r="AL373" s="1111"/>
      <c r="AM373" s="1111"/>
      <c r="AN373" s="1111"/>
      <c r="AO373" s="1111"/>
      <c r="AP373" s="1111"/>
      <c r="AQ373" s="1111"/>
      <c r="AR373" s="1111"/>
      <c r="AS373" s="1111"/>
      <c r="AT373" s="1111"/>
      <c r="AU373" s="1111"/>
      <c r="AV373" s="1111"/>
      <c r="AW373" s="1111"/>
      <c r="AX373" s="1111"/>
      <c r="AY373" s="1111"/>
      <c r="AZ373" s="1111"/>
      <c r="BA373" s="1111"/>
      <c r="BB373" s="1111"/>
      <c r="BC373" s="1111"/>
      <c r="BD373" s="1111"/>
      <c r="BE373" s="1111"/>
      <c r="BF373" s="1111"/>
      <c r="BG373" s="1111"/>
      <c r="BH373" s="1111"/>
      <c r="BI373" s="1111"/>
      <c r="BJ373" s="1111"/>
      <c r="BK373" s="1111"/>
      <c r="BL373" s="1111"/>
      <c r="BM373" s="1111"/>
      <c r="BN373" s="1111"/>
      <c r="BO373" s="1111"/>
      <c r="BP373" s="1111"/>
      <c r="BQ373" s="1111"/>
      <c r="BR373" s="1111"/>
      <c r="BS373" s="1111"/>
      <c r="BT373" s="1111"/>
      <c r="BU373" s="1111"/>
      <c r="BV373" s="1111"/>
      <c r="BW373" s="1111"/>
      <c r="BX373" s="1111"/>
      <c r="BY373" s="1111"/>
      <c r="BZ373" s="1111"/>
      <c r="CA373" s="1111"/>
      <c r="CB373" s="1111"/>
      <c r="CC373" s="1111"/>
      <c r="CD373" s="1111"/>
      <c r="CE373" s="1111"/>
      <c r="CF373" s="1111"/>
      <c r="CG373" s="1111"/>
      <c r="CH373" s="1111"/>
      <c r="CI373" s="1111"/>
      <c r="CJ373" s="1111"/>
      <c r="CK373" s="1110"/>
    </row>
    <row r="374" spans="1:89" ht="14.4" x14ac:dyDescent="0.3">
      <c r="A374" s="1110"/>
      <c r="B374" s="1110"/>
      <c r="C374" s="1110"/>
      <c r="D374" s="1110"/>
      <c r="E374" s="1110"/>
      <c r="F374" s="1110"/>
      <c r="G374" s="1110"/>
      <c r="H374" s="1110"/>
      <c r="I374" s="1110"/>
      <c r="J374" s="1110"/>
      <c r="K374" s="1110"/>
      <c r="L374" s="1110"/>
      <c r="M374" s="1110"/>
      <c r="N374" s="1110"/>
      <c r="O374" s="1110"/>
      <c r="P374" s="1110"/>
      <c r="Q374" s="1110"/>
      <c r="R374" s="1110"/>
      <c r="S374" s="1110"/>
      <c r="T374" s="1111"/>
      <c r="U374" s="1111"/>
      <c r="V374" s="1111"/>
      <c r="W374" s="1111"/>
      <c r="X374" s="1111"/>
      <c r="Y374" s="1111"/>
      <c r="Z374" s="1111"/>
      <c r="AA374" s="1111"/>
      <c r="AB374" s="1111"/>
      <c r="AC374" s="1111"/>
      <c r="AD374" s="1111"/>
      <c r="AE374" s="1111"/>
      <c r="AF374" s="1111"/>
      <c r="AG374" s="1111"/>
      <c r="AH374" s="1111"/>
      <c r="AI374" s="1111"/>
      <c r="AJ374" s="1111"/>
      <c r="AK374" s="1111"/>
      <c r="AL374" s="1111"/>
      <c r="AM374" s="1111"/>
      <c r="AN374" s="1111"/>
      <c r="AO374" s="1111"/>
      <c r="AP374" s="1111"/>
      <c r="AQ374" s="1111"/>
      <c r="AR374" s="1111"/>
      <c r="AS374" s="1111"/>
      <c r="AT374" s="1111"/>
      <c r="AU374" s="1111"/>
      <c r="AV374" s="1111"/>
      <c r="AW374" s="1111"/>
      <c r="AX374" s="1111"/>
      <c r="AY374" s="1111"/>
      <c r="AZ374" s="1111"/>
      <c r="BA374" s="1111"/>
      <c r="BB374" s="1111"/>
      <c r="BC374" s="1111"/>
      <c r="BD374" s="1111"/>
      <c r="BE374" s="1111"/>
      <c r="BF374" s="1111"/>
      <c r="BG374" s="1111"/>
      <c r="BH374" s="1111"/>
      <c r="BI374" s="1111"/>
      <c r="BJ374" s="1111"/>
      <c r="BK374" s="1111"/>
      <c r="BL374" s="1111"/>
      <c r="BM374" s="1111"/>
      <c r="BN374" s="1111"/>
      <c r="BO374" s="1111"/>
      <c r="BP374" s="1111"/>
      <c r="BQ374" s="1111"/>
      <c r="BR374" s="1111"/>
      <c r="BS374" s="1111"/>
      <c r="BT374" s="1111"/>
      <c r="BU374" s="1111"/>
      <c r="BV374" s="1111"/>
      <c r="BW374" s="1111"/>
      <c r="BX374" s="1111"/>
      <c r="BY374" s="1111"/>
      <c r="BZ374" s="1111"/>
      <c r="CA374" s="1111"/>
      <c r="CB374" s="1111"/>
      <c r="CC374" s="1111"/>
      <c r="CD374" s="1111"/>
      <c r="CE374" s="1111"/>
      <c r="CF374" s="1111"/>
      <c r="CG374" s="1111"/>
      <c r="CH374" s="1111"/>
      <c r="CI374" s="1111"/>
      <c r="CJ374" s="1111"/>
      <c r="CK374" s="1110"/>
    </row>
    <row r="375" spans="1:89" ht="14.4" x14ac:dyDescent="0.3">
      <c r="A375" s="1110"/>
      <c r="B375" s="1110"/>
      <c r="C375" s="1110"/>
      <c r="D375" s="1110"/>
      <c r="E375" s="1110"/>
      <c r="F375" s="1110"/>
      <c r="G375" s="1110"/>
      <c r="H375" s="1110"/>
      <c r="I375" s="1110"/>
      <c r="J375" s="1110"/>
      <c r="K375" s="1110"/>
      <c r="L375" s="1110"/>
      <c r="M375" s="1110"/>
      <c r="N375" s="1110"/>
      <c r="O375" s="1110"/>
      <c r="P375" s="1110"/>
      <c r="Q375" s="1110"/>
      <c r="R375" s="1110"/>
      <c r="S375" s="1110"/>
      <c r="T375" s="1111"/>
      <c r="U375" s="1111"/>
      <c r="V375" s="1111"/>
      <c r="W375" s="1111"/>
      <c r="X375" s="1111"/>
      <c r="Y375" s="1111"/>
      <c r="Z375" s="1111"/>
      <c r="AA375" s="1111"/>
      <c r="AB375" s="1111"/>
      <c r="AC375" s="1111"/>
      <c r="AD375" s="1111"/>
      <c r="AE375" s="1111"/>
      <c r="AF375" s="1111"/>
      <c r="AG375" s="1111"/>
      <c r="AH375" s="1111"/>
      <c r="AI375" s="1111"/>
      <c r="AJ375" s="1111"/>
      <c r="AK375" s="1111"/>
      <c r="AL375" s="1111"/>
      <c r="AM375" s="1111"/>
      <c r="AN375" s="1111"/>
      <c r="AO375" s="1111"/>
      <c r="AP375" s="1111"/>
      <c r="AQ375" s="1111"/>
      <c r="AR375" s="1111"/>
      <c r="AS375" s="1111"/>
      <c r="AT375" s="1111"/>
      <c r="AU375" s="1111"/>
      <c r="AV375" s="1111"/>
      <c r="AW375" s="1111"/>
      <c r="AX375" s="1111"/>
      <c r="AY375" s="1111"/>
      <c r="AZ375" s="1111"/>
      <c r="BA375" s="1111"/>
      <c r="BB375" s="1111"/>
      <c r="BC375" s="1111"/>
      <c r="BD375" s="1111"/>
      <c r="BE375" s="1111"/>
      <c r="BF375" s="1111"/>
      <c r="BG375" s="1111"/>
      <c r="BH375" s="1111"/>
      <c r="BI375" s="1111"/>
      <c r="BJ375" s="1111"/>
      <c r="BK375" s="1111"/>
      <c r="BL375" s="1111"/>
      <c r="BM375" s="1111"/>
      <c r="BN375" s="1111"/>
      <c r="BO375" s="1111"/>
      <c r="BP375" s="1111"/>
      <c r="BQ375" s="1111"/>
      <c r="BR375" s="1111"/>
      <c r="BS375" s="1111"/>
      <c r="BT375" s="1111"/>
      <c r="BU375" s="1111"/>
      <c r="BV375" s="1111"/>
      <c r="BW375" s="1111"/>
      <c r="BX375" s="1111"/>
      <c r="BY375" s="1111"/>
      <c r="BZ375" s="1111"/>
      <c r="CA375" s="1111"/>
      <c r="CB375" s="1111"/>
      <c r="CC375" s="1111"/>
      <c r="CD375" s="1111"/>
      <c r="CE375" s="1111"/>
      <c r="CF375" s="1111"/>
      <c r="CG375" s="1111"/>
      <c r="CH375" s="1111"/>
      <c r="CI375" s="1111"/>
      <c r="CJ375" s="1111"/>
      <c r="CK375" s="1110"/>
    </row>
    <row r="376" spans="1:89" ht="14.4" x14ac:dyDescent="0.3">
      <c r="A376" s="1110"/>
      <c r="B376" s="1110"/>
      <c r="C376" s="1110"/>
      <c r="D376" s="1110"/>
      <c r="E376" s="1110"/>
      <c r="F376" s="1110"/>
      <c r="G376" s="1110"/>
      <c r="H376" s="1110"/>
      <c r="I376" s="1110"/>
      <c r="J376" s="1110"/>
      <c r="K376" s="1110"/>
      <c r="L376" s="1110"/>
      <c r="M376" s="1110"/>
      <c r="N376" s="1110"/>
      <c r="O376" s="1110"/>
      <c r="P376" s="1110"/>
      <c r="Q376" s="1110"/>
      <c r="R376" s="1110"/>
      <c r="S376" s="1110"/>
      <c r="T376" s="1111"/>
      <c r="U376" s="1111"/>
      <c r="V376" s="1111"/>
      <c r="W376" s="1111"/>
      <c r="X376" s="1111"/>
      <c r="Y376" s="1111"/>
      <c r="Z376" s="1111"/>
      <c r="AA376" s="1111"/>
      <c r="AB376" s="1111"/>
      <c r="AC376" s="1111"/>
      <c r="AD376" s="1111"/>
      <c r="AE376" s="1111"/>
      <c r="AF376" s="1111"/>
      <c r="AG376" s="1111"/>
      <c r="AH376" s="1111"/>
      <c r="AI376" s="1111"/>
      <c r="AJ376" s="1111"/>
      <c r="AK376" s="1111"/>
      <c r="AL376" s="1111"/>
      <c r="AM376" s="1111"/>
      <c r="AN376" s="1111"/>
      <c r="AO376" s="1111"/>
      <c r="AP376" s="1111"/>
      <c r="AQ376" s="1111"/>
      <c r="AR376" s="1111"/>
      <c r="AS376" s="1111"/>
      <c r="AT376" s="1111"/>
      <c r="AU376" s="1111"/>
      <c r="AV376" s="1111"/>
      <c r="AW376" s="1111"/>
      <c r="AX376" s="1111"/>
      <c r="AY376" s="1111"/>
      <c r="AZ376" s="1111"/>
      <c r="BA376" s="1111"/>
      <c r="BB376" s="1111"/>
      <c r="BC376" s="1111"/>
      <c r="BD376" s="1111"/>
      <c r="BE376" s="1111"/>
      <c r="BF376" s="1111"/>
      <c r="BG376" s="1111"/>
      <c r="BH376" s="1111"/>
      <c r="BI376" s="1111"/>
      <c r="BJ376" s="1111"/>
      <c r="BK376" s="1111"/>
      <c r="BL376" s="1111"/>
      <c r="BM376" s="1111"/>
      <c r="BN376" s="1111"/>
      <c r="BO376" s="1111"/>
      <c r="BP376" s="1111"/>
      <c r="BQ376" s="1111"/>
      <c r="BR376" s="1111"/>
      <c r="BS376" s="1111"/>
      <c r="BT376" s="1111"/>
      <c r="BU376" s="1111"/>
      <c r="BV376" s="1111"/>
      <c r="BW376" s="1111"/>
      <c r="BX376" s="1111"/>
      <c r="BY376" s="1111"/>
      <c r="BZ376" s="1111"/>
      <c r="CA376" s="1111"/>
      <c r="CB376" s="1111"/>
      <c r="CC376" s="1111"/>
      <c r="CD376" s="1111"/>
      <c r="CE376" s="1111"/>
      <c r="CF376" s="1111"/>
      <c r="CG376" s="1111"/>
      <c r="CH376" s="1111"/>
      <c r="CI376" s="1111"/>
      <c r="CJ376" s="1111"/>
      <c r="CK376" s="1110"/>
    </row>
    <row r="377" spans="1:89" ht="14.4" x14ac:dyDescent="0.3">
      <c r="A377" s="1110"/>
      <c r="B377" s="1110"/>
      <c r="C377" s="1110"/>
      <c r="D377" s="1110"/>
      <c r="E377" s="1110"/>
      <c r="F377" s="1110"/>
      <c r="G377" s="1110"/>
      <c r="H377" s="1110"/>
      <c r="I377" s="1110"/>
      <c r="J377" s="1110"/>
      <c r="K377" s="1110"/>
      <c r="L377" s="1110"/>
      <c r="M377" s="1110"/>
      <c r="N377" s="1110"/>
      <c r="O377" s="1110"/>
      <c r="P377" s="1110"/>
      <c r="Q377" s="1110"/>
      <c r="R377" s="1110"/>
      <c r="S377" s="1110"/>
      <c r="T377" s="1111"/>
      <c r="U377" s="1111"/>
      <c r="V377" s="1111"/>
      <c r="W377" s="1111"/>
      <c r="X377" s="1111"/>
      <c r="Y377" s="1111"/>
      <c r="Z377" s="1111"/>
      <c r="AA377" s="1111"/>
      <c r="AB377" s="1111"/>
      <c r="AC377" s="1111"/>
      <c r="AD377" s="1111"/>
      <c r="AE377" s="1111"/>
      <c r="AF377" s="1111"/>
      <c r="AG377" s="1111"/>
      <c r="AH377" s="1111"/>
      <c r="AI377" s="1111"/>
      <c r="AJ377" s="1111"/>
      <c r="AK377" s="1111"/>
      <c r="AL377" s="1111"/>
      <c r="AM377" s="1111"/>
      <c r="AN377" s="1111"/>
      <c r="AO377" s="1111"/>
      <c r="AP377" s="1111"/>
      <c r="AQ377" s="1111"/>
      <c r="AR377" s="1111"/>
      <c r="AS377" s="1111"/>
      <c r="AT377" s="1111"/>
      <c r="AU377" s="1111"/>
      <c r="AV377" s="1111"/>
      <c r="AW377" s="1111"/>
      <c r="AX377" s="1111"/>
      <c r="AY377" s="1111"/>
      <c r="AZ377" s="1111"/>
      <c r="BA377" s="1111"/>
      <c r="BB377" s="1111"/>
      <c r="BC377" s="1111"/>
      <c r="BD377" s="1111"/>
      <c r="BE377" s="1111"/>
      <c r="BF377" s="1111"/>
      <c r="BG377" s="1111"/>
      <c r="BH377" s="1111"/>
      <c r="BI377" s="1111"/>
      <c r="BJ377" s="1111"/>
      <c r="BK377" s="1111"/>
      <c r="BL377" s="1111"/>
      <c r="BM377" s="1111"/>
      <c r="BN377" s="1111"/>
      <c r="BO377" s="1111"/>
      <c r="BP377" s="1111"/>
      <c r="BQ377" s="1111"/>
      <c r="BR377" s="1111"/>
      <c r="BS377" s="1111"/>
      <c r="BT377" s="1111"/>
      <c r="BU377" s="1111"/>
      <c r="BV377" s="1111"/>
      <c r="BW377" s="1111"/>
      <c r="BX377" s="1111"/>
      <c r="BY377" s="1111"/>
      <c r="BZ377" s="1111"/>
      <c r="CA377" s="1111"/>
      <c r="CB377" s="1111"/>
      <c r="CC377" s="1111"/>
      <c r="CD377" s="1111"/>
      <c r="CE377" s="1111"/>
      <c r="CF377" s="1111"/>
      <c r="CG377" s="1111"/>
      <c r="CH377" s="1111"/>
      <c r="CI377" s="1111"/>
      <c r="CJ377" s="1111"/>
      <c r="CK377" s="1110"/>
    </row>
    <row r="378" spans="1:89" ht="14.4" x14ac:dyDescent="0.3">
      <c r="A378" s="1110"/>
      <c r="B378" s="1110"/>
      <c r="C378" s="1110"/>
      <c r="D378" s="1110"/>
      <c r="E378" s="1110"/>
      <c r="F378" s="1110"/>
      <c r="G378" s="1110"/>
      <c r="H378" s="1110"/>
      <c r="I378" s="1110"/>
      <c r="J378" s="1110"/>
      <c r="K378" s="1110"/>
      <c r="L378" s="1110"/>
      <c r="M378" s="1110"/>
      <c r="N378" s="1110"/>
      <c r="O378" s="1110"/>
      <c r="P378" s="1110"/>
      <c r="Q378" s="1110"/>
      <c r="R378" s="1110"/>
      <c r="S378" s="1110"/>
      <c r="T378" s="1111"/>
      <c r="U378" s="1111"/>
      <c r="V378" s="1111"/>
      <c r="W378" s="1111"/>
      <c r="X378" s="1111"/>
      <c r="Y378" s="1111"/>
      <c r="Z378" s="1111"/>
      <c r="AA378" s="1111"/>
      <c r="AB378" s="1111"/>
      <c r="AC378" s="1111"/>
      <c r="AD378" s="1111"/>
      <c r="AE378" s="1111"/>
      <c r="AF378" s="1111"/>
      <c r="AG378" s="1111"/>
      <c r="AH378" s="1111"/>
      <c r="AI378" s="1111"/>
      <c r="AJ378" s="1111"/>
      <c r="AK378" s="1111"/>
      <c r="AL378" s="1111"/>
      <c r="AM378" s="1111"/>
      <c r="AN378" s="1111"/>
      <c r="AO378" s="1111"/>
      <c r="AP378" s="1111"/>
      <c r="AQ378" s="1111"/>
      <c r="AR378" s="1111"/>
      <c r="AS378" s="1111"/>
      <c r="AT378" s="1111"/>
      <c r="AU378" s="1111"/>
      <c r="AV378" s="1111"/>
      <c r="AW378" s="1111"/>
      <c r="AX378" s="1111"/>
      <c r="AY378" s="1111"/>
      <c r="AZ378" s="1111"/>
      <c r="BA378" s="1111"/>
      <c r="BB378" s="1111"/>
      <c r="BC378" s="1111"/>
      <c r="BD378" s="1111"/>
      <c r="BE378" s="1111"/>
      <c r="BF378" s="1111"/>
      <c r="BG378" s="1111"/>
      <c r="BH378" s="1111"/>
      <c r="BI378" s="1111"/>
      <c r="BJ378" s="1111"/>
      <c r="BK378" s="1111"/>
      <c r="BL378" s="1111"/>
      <c r="BM378" s="1111"/>
      <c r="BN378" s="1111"/>
      <c r="BO378" s="1111"/>
      <c r="BP378" s="1111"/>
      <c r="BQ378" s="1111"/>
      <c r="BR378" s="1111"/>
      <c r="BS378" s="1111"/>
      <c r="BT378" s="1111"/>
      <c r="BU378" s="1111"/>
      <c r="BV378" s="1111"/>
      <c r="BW378" s="1111"/>
      <c r="BX378" s="1111"/>
      <c r="BY378" s="1111"/>
      <c r="BZ378" s="1111"/>
      <c r="CA378" s="1111"/>
      <c r="CB378" s="1111"/>
      <c r="CC378" s="1111"/>
      <c r="CD378" s="1111"/>
      <c r="CE378" s="1111"/>
      <c r="CF378" s="1111"/>
      <c r="CG378" s="1111"/>
      <c r="CH378" s="1111"/>
      <c r="CI378" s="1111"/>
      <c r="CJ378" s="1111"/>
      <c r="CK378" s="1110"/>
    </row>
    <row r="379" spans="1:89" ht="14.4" x14ac:dyDescent="0.3">
      <c r="A379" s="1110"/>
      <c r="B379" s="1110"/>
      <c r="C379" s="1110"/>
      <c r="D379" s="1110"/>
      <c r="E379" s="1110"/>
      <c r="F379" s="1110"/>
      <c r="G379" s="1110"/>
      <c r="H379" s="1110"/>
      <c r="I379" s="1110"/>
      <c r="J379" s="1110"/>
      <c r="K379" s="1110"/>
      <c r="L379" s="1110"/>
      <c r="M379" s="1110"/>
      <c r="N379" s="1110"/>
      <c r="O379" s="1110"/>
      <c r="P379" s="1110"/>
      <c r="Q379" s="1110"/>
      <c r="R379" s="1110"/>
      <c r="S379" s="1110"/>
      <c r="T379" s="1111"/>
      <c r="U379" s="1111"/>
      <c r="V379" s="1111"/>
      <c r="W379" s="1111"/>
      <c r="X379" s="1111"/>
      <c r="Y379" s="1111"/>
      <c r="Z379" s="1111"/>
      <c r="AA379" s="1111"/>
      <c r="AB379" s="1111"/>
      <c r="AC379" s="1111"/>
      <c r="AD379" s="1111"/>
      <c r="AE379" s="1111"/>
      <c r="AF379" s="1111"/>
      <c r="AG379" s="1111"/>
      <c r="AH379" s="1111"/>
      <c r="AI379" s="1111"/>
      <c r="AJ379" s="1111"/>
      <c r="AK379" s="1111"/>
      <c r="AL379" s="1111"/>
      <c r="AM379" s="1111"/>
      <c r="AN379" s="1111"/>
      <c r="AO379" s="1111"/>
      <c r="AP379" s="1111"/>
      <c r="AQ379" s="1111"/>
      <c r="AR379" s="1111"/>
      <c r="AS379" s="1111"/>
      <c r="AT379" s="1111"/>
      <c r="AU379" s="1111"/>
      <c r="AV379" s="1111"/>
      <c r="AW379" s="1111"/>
      <c r="AX379" s="1111"/>
      <c r="AY379" s="1111"/>
      <c r="AZ379" s="1111"/>
      <c r="BA379" s="1111"/>
      <c r="BB379" s="1111"/>
      <c r="BC379" s="1111"/>
      <c r="BD379" s="1111"/>
      <c r="BE379" s="1111"/>
      <c r="BF379" s="1111"/>
      <c r="BG379" s="1111"/>
      <c r="BH379" s="1111"/>
      <c r="BI379" s="1111"/>
      <c r="BJ379" s="1111"/>
      <c r="BK379" s="1111"/>
      <c r="BL379" s="1111"/>
      <c r="BM379" s="1111"/>
      <c r="BN379" s="1111"/>
      <c r="BO379" s="1111"/>
      <c r="BP379" s="1111"/>
      <c r="BQ379" s="1111"/>
      <c r="BR379" s="1111"/>
      <c r="BS379" s="1111"/>
      <c r="BT379" s="1111"/>
      <c r="BU379" s="1111"/>
      <c r="BV379" s="1111"/>
      <c r="BW379" s="1111"/>
      <c r="BX379" s="1111"/>
      <c r="BY379" s="1111"/>
      <c r="BZ379" s="1111"/>
      <c r="CA379" s="1111"/>
      <c r="CB379" s="1111"/>
      <c r="CC379" s="1111"/>
      <c r="CD379" s="1111"/>
      <c r="CE379" s="1111"/>
      <c r="CF379" s="1111"/>
      <c r="CG379" s="1111"/>
      <c r="CH379" s="1111"/>
      <c r="CI379" s="1111"/>
      <c r="CJ379" s="1111"/>
      <c r="CK379" s="1110"/>
    </row>
    <row r="380" spans="1:89" ht="14.4" x14ac:dyDescent="0.3">
      <c r="A380" s="1110"/>
      <c r="B380" s="1110"/>
      <c r="C380" s="1110"/>
      <c r="D380" s="1110"/>
      <c r="E380" s="1110"/>
      <c r="F380" s="1110"/>
      <c r="G380" s="1110"/>
      <c r="H380" s="1110"/>
      <c r="I380" s="1110"/>
      <c r="J380" s="1110"/>
      <c r="K380" s="1110"/>
      <c r="L380" s="1110"/>
      <c r="M380" s="1110"/>
      <c r="N380" s="1110"/>
      <c r="O380" s="1110"/>
      <c r="P380" s="1110"/>
      <c r="Q380" s="1110"/>
      <c r="R380" s="1110"/>
      <c r="S380" s="1110"/>
      <c r="T380" s="1111"/>
      <c r="U380" s="1111"/>
      <c r="V380" s="1111"/>
      <c r="W380" s="1111"/>
      <c r="X380" s="1111"/>
      <c r="Y380" s="1111"/>
      <c r="Z380" s="1111"/>
      <c r="AA380" s="1111"/>
      <c r="AB380" s="1111"/>
      <c r="AC380" s="1111"/>
      <c r="AD380" s="1111"/>
      <c r="AE380" s="1111"/>
      <c r="AF380" s="1111"/>
      <c r="AG380" s="1111"/>
      <c r="AH380" s="1111"/>
      <c r="AI380" s="1111"/>
      <c r="AJ380" s="1111"/>
      <c r="AK380" s="1111"/>
      <c r="AL380" s="1111"/>
      <c r="AM380" s="1111"/>
      <c r="AN380" s="1111"/>
      <c r="AO380" s="1111"/>
      <c r="AP380" s="1111"/>
      <c r="AQ380" s="1111"/>
      <c r="AR380" s="1111"/>
      <c r="AS380" s="1111"/>
      <c r="AT380" s="1111"/>
      <c r="AU380" s="1111"/>
      <c r="AV380" s="1111"/>
      <c r="AW380" s="1111"/>
      <c r="AX380" s="1111"/>
      <c r="AY380" s="1111"/>
      <c r="AZ380" s="1111"/>
      <c r="BA380" s="1111"/>
      <c r="BB380" s="1111"/>
      <c r="BC380" s="1111"/>
      <c r="BD380" s="1111"/>
      <c r="BE380" s="1111"/>
      <c r="BF380" s="1111"/>
      <c r="BG380" s="1111"/>
      <c r="BH380" s="1111"/>
      <c r="BI380" s="1111"/>
      <c r="BJ380" s="1111"/>
      <c r="BK380" s="1111"/>
      <c r="BL380" s="1111"/>
      <c r="BM380" s="1111"/>
      <c r="BN380" s="1111"/>
      <c r="BO380" s="1111"/>
      <c r="BP380" s="1111"/>
      <c r="BQ380" s="1111"/>
      <c r="BR380" s="1111"/>
      <c r="BS380" s="1111"/>
      <c r="BT380" s="1111"/>
      <c r="BU380" s="1111"/>
      <c r="BV380" s="1111"/>
      <c r="BW380" s="1111"/>
      <c r="BX380" s="1111"/>
      <c r="BY380" s="1111"/>
      <c r="BZ380" s="1111"/>
      <c r="CA380" s="1111"/>
      <c r="CB380" s="1111"/>
      <c r="CC380" s="1111"/>
      <c r="CD380" s="1111"/>
      <c r="CE380" s="1111"/>
      <c r="CF380" s="1111"/>
      <c r="CG380" s="1111"/>
      <c r="CH380" s="1111"/>
      <c r="CI380" s="1111"/>
      <c r="CJ380" s="1111"/>
      <c r="CK380" s="1110"/>
    </row>
    <row r="381" spans="1:89" ht="14.4" x14ac:dyDescent="0.3">
      <c r="A381" s="1110"/>
      <c r="B381" s="1110"/>
      <c r="C381" s="1110"/>
      <c r="D381" s="1110"/>
      <c r="E381" s="1110"/>
      <c r="F381" s="1110"/>
      <c r="G381" s="1110"/>
      <c r="H381" s="1110"/>
      <c r="I381" s="1110"/>
      <c r="J381" s="1110"/>
      <c r="K381" s="1110"/>
      <c r="L381" s="1110"/>
      <c r="M381" s="1110"/>
      <c r="N381" s="1110"/>
      <c r="O381" s="1110"/>
      <c r="P381" s="1110"/>
      <c r="Q381" s="1110"/>
      <c r="R381" s="1110"/>
      <c r="S381" s="1110"/>
      <c r="T381" s="1111"/>
      <c r="U381" s="1111"/>
      <c r="V381" s="1111"/>
      <c r="W381" s="1111"/>
      <c r="X381" s="1111"/>
      <c r="Y381" s="1111"/>
      <c r="Z381" s="1111"/>
      <c r="AA381" s="1111"/>
      <c r="AB381" s="1111"/>
      <c r="AC381" s="1111"/>
      <c r="AD381" s="1111"/>
      <c r="AE381" s="1111"/>
      <c r="AF381" s="1111"/>
      <c r="AG381" s="1111"/>
      <c r="AH381" s="1111"/>
      <c r="AI381" s="1111"/>
      <c r="AJ381" s="1111"/>
      <c r="AK381" s="1111"/>
      <c r="AL381" s="1111"/>
      <c r="AM381" s="1111"/>
      <c r="AN381" s="1111"/>
      <c r="AO381" s="1111"/>
      <c r="AP381" s="1111"/>
      <c r="AQ381" s="1111"/>
      <c r="AR381" s="1111"/>
      <c r="AS381" s="1111"/>
      <c r="AT381" s="1111"/>
      <c r="AU381" s="1111"/>
      <c r="AV381" s="1111"/>
      <c r="AW381" s="1111"/>
      <c r="AX381" s="1111"/>
      <c r="AY381" s="1111"/>
      <c r="AZ381" s="1111"/>
      <c r="BA381" s="1111"/>
      <c r="BB381" s="1111"/>
      <c r="BC381" s="1111"/>
      <c r="BD381" s="1111"/>
      <c r="BE381" s="1111"/>
      <c r="BF381" s="1111"/>
      <c r="BG381" s="1111"/>
      <c r="BH381" s="1111"/>
      <c r="BI381" s="1111"/>
      <c r="BJ381" s="1111"/>
      <c r="BK381" s="1111"/>
      <c r="BL381" s="1111"/>
      <c r="BM381" s="1111"/>
      <c r="BN381" s="1111"/>
      <c r="BO381" s="1111"/>
      <c r="BP381" s="1111"/>
      <c r="BQ381" s="1111"/>
      <c r="BR381" s="1111"/>
      <c r="BS381" s="1111"/>
      <c r="BT381" s="1111"/>
      <c r="BU381" s="1111"/>
      <c r="BV381" s="1111"/>
      <c r="BW381" s="1111"/>
      <c r="BX381" s="1111"/>
      <c r="BY381" s="1111"/>
      <c r="BZ381" s="1111"/>
      <c r="CA381" s="1111"/>
      <c r="CB381" s="1111"/>
      <c r="CC381" s="1111"/>
      <c r="CD381" s="1111"/>
      <c r="CE381" s="1111"/>
      <c r="CF381" s="1111"/>
      <c r="CG381" s="1111"/>
      <c r="CH381" s="1111"/>
      <c r="CI381" s="1111"/>
      <c r="CJ381" s="1111"/>
      <c r="CK381" s="1110"/>
    </row>
    <row r="382" spans="1:89" ht="14.4" x14ac:dyDescent="0.3">
      <c r="A382" s="1110"/>
      <c r="B382" s="1110"/>
      <c r="C382" s="1110"/>
      <c r="D382" s="1110"/>
      <c r="E382" s="1110"/>
      <c r="F382" s="1110"/>
      <c r="G382" s="1110"/>
      <c r="H382" s="1110"/>
      <c r="I382" s="1110"/>
      <c r="J382" s="1110"/>
      <c r="K382" s="1110"/>
      <c r="L382" s="1110"/>
      <c r="M382" s="1110"/>
      <c r="N382" s="1110"/>
      <c r="O382" s="1110"/>
      <c r="P382" s="1110"/>
      <c r="Q382" s="1110"/>
      <c r="R382" s="1110"/>
      <c r="S382" s="1110"/>
      <c r="T382" s="1111"/>
      <c r="U382" s="1111"/>
      <c r="V382" s="1111"/>
      <c r="W382" s="1111"/>
      <c r="X382" s="1111"/>
      <c r="Y382" s="1111"/>
      <c r="Z382" s="1111"/>
      <c r="AA382" s="1111"/>
      <c r="AB382" s="1111"/>
      <c r="AC382" s="1111"/>
      <c r="AD382" s="1111"/>
      <c r="AE382" s="1111"/>
      <c r="AF382" s="1111"/>
      <c r="AG382" s="1111"/>
      <c r="AH382" s="1111"/>
      <c r="AI382" s="1111"/>
      <c r="AJ382" s="1111"/>
      <c r="AK382" s="1111"/>
      <c r="AL382" s="1111"/>
      <c r="AM382" s="1111"/>
      <c r="AN382" s="1111"/>
      <c r="AO382" s="1111"/>
      <c r="AP382" s="1111"/>
      <c r="AQ382" s="1111"/>
      <c r="AR382" s="1111"/>
      <c r="AS382" s="1111"/>
      <c r="AT382" s="1111"/>
      <c r="AU382" s="1111"/>
      <c r="AV382" s="1111"/>
      <c r="AW382" s="1111"/>
      <c r="AX382" s="1111"/>
      <c r="AY382" s="1111"/>
      <c r="AZ382" s="1111"/>
      <c r="BA382" s="1111"/>
      <c r="BB382" s="1111"/>
      <c r="BC382" s="1111"/>
      <c r="BD382" s="1111"/>
      <c r="BE382" s="1111"/>
      <c r="BF382" s="1111"/>
      <c r="BG382" s="1111"/>
      <c r="BH382" s="1111"/>
      <c r="BI382" s="1111"/>
      <c r="BJ382" s="1111"/>
      <c r="BK382" s="1111"/>
      <c r="BL382" s="1111"/>
      <c r="BM382" s="1111"/>
      <c r="BN382" s="1111"/>
      <c r="BO382" s="1111"/>
      <c r="BP382" s="1111"/>
      <c r="BQ382" s="1111"/>
      <c r="BR382" s="1111"/>
      <c r="BS382" s="1111"/>
      <c r="BT382" s="1111"/>
      <c r="BU382" s="1111"/>
      <c r="BV382" s="1111"/>
      <c r="BW382" s="1111"/>
      <c r="BX382" s="1111"/>
      <c r="BY382" s="1111"/>
      <c r="BZ382" s="1111"/>
      <c r="CA382" s="1111"/>
      <c r="CB382" s="1111"/>
      <c r="CC382" s="1111"/>
      <c r="CD382" s="1111"/>
      <c r="CE382" s="1111"/>
      <c r="CF382" s="1111"/>
      <c r="CG382" s="1111"/>
      <c r="CH382" s="1111"/>
      <c r="CI382" s="1111"/>
      <c r="CJ382" s="1111"/>
      <c r="CK382" s="1110"/>
    </row>
    <row r="383" spans="1:89" ht="14.4" x14ac:dyDescent="0.3">
      <c r="A383" s="1110"/>
      <c r="B383" s="1110"/>
      <c r="C383" s="1110"/>
      <c r="D383" s="1110"/>
      <c r="E383" s="1110"/>
      <c r="F383" s="1110"/>
      <c r="G383" s="1110"/>
      <c r="H383" s="1110"/>
      <c r="I383" s="1110"/>
      <c r="J383" s="1110"/>
      <c r="K383" s="1110"/>
      <c r="L383" s="1110"/>
      <c r="M383" s="1110"/>
      <c r="N383" s="1110"/>
      <c r="O383" s="1110"/>
      <c r="P383" s="1110"/>
      <c r="Q383" s="1110"/>
      <c r="R383" s="1110"/>
      <c r="S383" s="1110"/>
      <c r="T383" s="1111"/>
      <c r="U383" s="1111"/>
      <c r="V383" s="1111"/>
      <c r="W383" s="1111"/>
      <c r="X383" s="1111"/>
      <c r="Y383" s="1111"/>
      <c r="Z383" s="1111"/>
      <c r="AA383" s="1111"/>
      <c r="AB383" s="1111"/>
      <c r="AC383" s="1111"/>
      <c r="AD383" s="1111"/>
      <c r="AE383" s="1111"/>
      <c r="AF383" s="1111"/>
      <c r="AG383" s="1111"/>
      <c r="AH383" s="1111"/>
      <c r="AI383" s="1111"/>
      <c r="AJ383" s="1111"/>
      <c r="AK383" s="1111"/>
      <c r="AL383" s="1111"/>
      <c r="AM383" s="1111"/>
      <c r="AN383" s="1111"/>
      <c r="AO383" s="1111"/>
      <c r="AP383" s="1111"/>
      <c r="AQ383" s="1111"/>
      <c r="AR383" s="1111"/>
      <c r="AS383" s="1111"/>
      <c r="AT383" s="1111"/>
      <c r="AU383" s="1111"/>
      <c r="AV383" s="1111"/>
      <c r="AW383" s="1111"/>
      <c r="AX383" s="1111"/>
      <c r="AY383" s="1111"/>
      <c r="AZ383" s="1111"/>
      <c r="BA383" s="1111"/>
      <c r="BB383" s="1111"/>
      <c r="BC383" s="1111"/>
      <c r="BD383" s="1111"/>
      <c r="BE383" s="1111"/>
      <c r="BF383" s="1111"/>
      <c r="BG383" s="1111"/>
      <c r="BH383" s="1111"/>
      <c r="BI383" s="1111"/>
      <c r="BJ383" s="1111"/>
      <c r="BK383" s="1111"/>
      <c r="BL383" s="1111"/>
      <c r="BM383" s="1111"/>
      <c r="BN383" s="1111"/>
      <c r="BO383" s="1111"/>
      <c r="BP383" s="1111"/>
      <c r="BQ383" s="1111"/>
      <c r="BR383" s="1111"/>
      <c r="BS383" s="1111"/>
      <c r="BT383" s="1111"/>
      <c r="BU383" s="1111"/>
      <c r="BV383" s="1111"/>
      <c r="BW383" s="1111"/>
      <c r="BX383" s="1111"/>
      <c r="BY383" s="1111"/>
      <c r="BZ383" s="1111"/>
      <c r="CA383" s="1111"/>
      <c r="CB383" s="1111"/>
      <c r="CC383" s="1111"/>
      <c r="CD383" s="1111"/>
      <c r="CE383" s="1111"/>
      <c r="CF383" s="1111"/>
      <c r="CG383" s="1111"/>
      <c r="CH383" s="1111"/>
      <c r="CI383" s="1111"/>
      <c r="CJ383" s="1111"/>
      <c r="CK383" s="1110"/>
    </row>
    <row r="384" spans="1:89" ht="14.4" x14ac:dyDescent="0.3">
      <c r="A384" s="1110"/>
      <c r="B384" s="1110"/>
      <c r="C384" s="1110"/>
      <c r="D384" s="1110"/>
      <c r="E384" s="1110"/>
      <c r="F384" s="1110"/>
      <c r="G384" s="1110"/>
      <c r="H384" s="1110"/>
      <c r="I384" s="1110"/>
      <c r="J384" s="1110"/>
      <c r="K384" s="1110"/>
      <c r="L384" s="1110"/>
      <c r="M384" s="1110"/>
      <c r="N384" s="1110"/>
      <c r="O384" s="1110"/>
      <c r="P384" s="1110"/>
      <c r="Q384" s="1110"/>
      <c r="R384" s="1110"/>
      <c r="S384" s="1110"/>
      <c r="T384" s="1111"/>
      <c r="U384" s="1111"/>
      <c r="V384" s="1111"/>
      <c r="W384" s="1111"/>
      <c r="X384" s="1111"/>
      <c r="Y384" s="1111"/>
      <c r="Z384" s="1111"/>
      <c r="AA384" s="1111"/>
      <c r="AB384" s="1111"/>
      <c r="AC384" s="1111"/>
      <c r="AD384" s="1111"/>
      <c r="AE384" s="1111"/>
      <c r="AF384" s="1111"/>
      <c r="AG384" s="1111"/>
      <c r="AH384" s="1111"/>
      <c r="AI384" s="1111"/>
      <c r="AJ384" s="1111"/>
      <c r="AK384" s="1111"/>
      <c r="AL384" s="1111"/>
      <c r="AM384" s="1111"/>
      <c r="AN384" s="1111"/>
      <c r="AO384" s="1111"/>
      <c r="AP384" s="1111"/>
      <c r="AQ384" s="1111"/>
      <c r="AR384" s="1111"/>
      <c r="AS384" s="1111"/>
      <c r="AT384" s="1111"/>
      <c r="AU384" s="1111"/>
      <c r="AV384" s="1111"/>
      <c r="AW384" s="1111"/>
      <c r="AX384" s="1111"/>
      <c r="AY384" s="1111"/>
      <c r="AZ384" s="1111"/>
      <c r="BA384" s="1111"/>
      <c r="BB384" s="1111"/>
      <c r="BC384" s="1111"/>
      <c r="BD384" s="1111"/>
      <c r="BE384" s="1111"/>
      <c r="BF384" s="1111"/>
      <c r="BG384" s="1111"/>
      <c r="BH384" s="1111"/>
      <c r="BI384" s="1111"/>
      <c r="BJ384" s="1111"/>
      <c r="BK384" s="1111"/>
      <c r="BL384" s="1111"/>
      <c r="BM384" s="1111"/>
      <c r="BN384" s="1111"/>
      <c r="BO384" s="1111"/>
      <c r="BP384" s="1111"/>
      <c r="BQ384" s="1111"/>
      <c r="BR384" s="1111"/>
      <c r="BS384" s="1111"/>
      <c r="BT384" s="1111"/>
      <c r="BU384" s="1111"/>
      <c r="BV384" s="1111"/>
      <c r="BW384" s="1111"/>
      <c r="BX384" s="1111"/>
      <c r="BY384" s="1111"/>
      <c r="BZ384" s="1111"/>
      <c r="CA384" s="1111"/>
      <c r="CB384" s="1111"/>
      <c r="CC384" s="1111"/>
      <c r="CD384" s="1111"/>
      <c r="CE384" s="1111"/>
      <c r="CF384" s="1111"/>
      <c r="CG384" s="1111"/>
      <c r="CH384" s="1111"/>
      <c r="CI384" s="1111"/>
      <c r="CJ384" s="1111"/>
      <c r="CK384" s="1110"/>
    </row>
    <row r="385" spans="1:89" ht="14.4" x14ac:dyDescent="0.3">
      <c r="A385" s="1110"/>
      <c r="B385" s="1110"/>
      <c r="C385" s="1110"/>
      <c r="D385" s="1110"/>
      <c r="E385" s="1110"/>
      <c r="F385" s="1110"/>
      <c r="G385" s="1110"/>
      <c r="H385" s="1110"/>
      <c r="I385" s="1110"/>
      <c r="J385" s="1110"/>
      <c r="K385" s="1110"/>
      <c r="L385" s="1110"/>
      <c r="M385" s="1110"/>
      <c r="N385" s="1110"/>
      <c r="O385" s="1110"/>
      <c r="P385" s="1110"/>
      <c r="Q385" s="1110"/>
      <c r="R385" s="1110"/>
      <c r="S385" s="1110"/>
      <c r="T385" s="1111"/>
      <c r="U385" s="1111"/>
      <c r="V385" s="1111"/>
      <c r="W385" s="1111"/>
      <c r="X385" s="1111"/>
      <c r="Y385" s="1111"/>
      <c r="Z385" s="1111"/>
      <c r="AA385" s="1111"/>
      <c r="AB385" s="1111"/>
      <c r="AC385" s="1111"/>
      <c r="AD385" s="1111"/>
      <c r="AE385" s="1111"/>
      <c r="AF385" s="1111"/>
      <c r="AG385" s="1111"/>
      <c r="AH385" s="1111"/>
      <c r="AI385" s="1111"/>
      <c r="AJ385" s="1111"/>
      <c r="AK385" s="1111"/>
      <c r="AL385" s="1111"/>
      <c r="AM385" s="1111"/>
      <c r="AN385" s="1111"/>
      <c r="AO385" s="1111"/>
      <c r="AP385" s="1111"/>
      <c r="AQ385" s="1111"/>
      <c r="AR385" s="1111"/>
      <c r="AS385" s="1111"/>
      <c r="AT385" s="1111"/>
      <c r="AU385" s="1111"/>
      <c r="AV385" s="1111"/>
      <c r="AW385" s="1111"/>
      <c r="AX385" s="1111"/>
      <c r="AY385" s="1111"/>
      <c r="AZ385" s="1111"/>
      <c r="BA385" s="1111"/>
      <c r="BB385" s="1111"/>
      <c r="BC385" s="1111"/>
      <c r="BD385" s="1111"/>
      <c r="BE385" s="1111"/>
      <c r="BF385" s="1111"/>
      <c r="BG385" s="1111"/>
      <c r="BH385" s="1111"/>
      <c r="BI385" s="1111"/>
      <c r="BJ385" s="1111"/>
      <c r="BK385" s="1111"/>
      <c r="BL385" s="1111"/>
      <c r="BM385" s="1111"/>
      <c r="BN385" s="1111"/>
      <c r="BO385" s="1111"/>
      <c r="BP385" s="1111"/>
      <c r="BQ385" s="1111"/>
      <c r="BR385" s="1111"/>
      <c r="BS385" s="1111"/>
      <c r="BT385" s="1111"/>
      <c r="BU385" s="1111"/>
      <c r="BV385" s="1111"/>
      <c r="BW385" s="1111"/>
      <c r="BX385" s="1111"/>
      <c r="BY385" s="1111"/>
      <c r="BZ385" s="1111"/>
      <c r="CA385" s="1111"/>
      <c r="CB385" s="1111"/>
      <c r="CC385" s="1111"/>
      <c r="CD385" s="1111"/>
      <c r="CE385" s="1111"/>
      <c r="CF385" s="1111"/>
      <c r="CG385" s="1111"/>
      <c r="CH385" s="1111"/>
      <c r="CI385" s="1111"/>
      <c r="CJ385" s="1111"/>
      <c r="CK385" s="1110"/>
    </row>
    <row r="386" spans="1:89" ht="14.4" x14ac:dyDescent="0.3">
      <c r="A386" s="1110"/>
      <c r="B386" s="1110"/>
      <c r="C386" s="1110"/>
      <c r="D386" s="1110"/>
      <c r="E386" s="1110"/>
      <c r="F386" s="1110"/>
      <c r="G386" s="1110"/>
      <c r="H386" s="1110"/>
      <c r="I386" s="1110"/>
      <c r="J386" s="1110"/>
      <c r="K386" s="1110"/>
      <c r="L386" s="1110"/>
      <c r="M386" s="1110"/>
      <c r="N386" s="1110"/>
      <c r="O386" s="1110"/>
      <c r="P386" s="1110"/>
      <c r="Q386" s="1110"/>
      <c r="R386" s="1110"/>
      <c r="S386" s="1110"/>
      <c r="T386" s="1111"/>
      <c r="U386" s="1111"/>
      <c r="V386" s="1111"/>
      <c r="W386" s="1111"/>
      <c r="X386" s="1111"/>
      <c r="Y386" s="1111"/>
      <c r="Z386" s="1111"/>
      <c r="AA386" s="1111"/>
      <c r="AB386" s="1111"/>
      <c r="AC386" s="1111"/>
      <c r="AD386" s="1111"/>
      <c r="AE386" s="1111"/>
      <c r="AF386" s="1111"/>
      <c r="AG386" s="1111"/>
      <c r="AH386" s="1111"/>
      <c r="AI386" s="1111"/>
      <c r="AJ386" s="1111"/>
      <c r="AK386" s="1111"/>
      <c r="AL386" s="1111"/>
      <c r="AM386" s="1111"/>
      <c r="AN386" s="1111"/>
      <c r="AO386" s="1111"/>
      <c r="AP386" s="1111"/>
      <c r="AQ386" s="1111"/>
      <c r="AR386" s="1111"/>
      <c r="AS386" s="1111"/>
      <c r="AT386" s="1111"/>
      <c r="AU386" s="1111"/>
      <c r="AV386" s="1111"/>
      <c r="AW386" s="1111"/>
      <c r="AX386" s="1111"/>
      <c r="AY386" s="1111"/>
      <c r="AZ386" s="1111"/>
      <c r="BA386" s="1111"/>
      <c r="BB386" s="1111"/>
      <c r="BC386" s="1111"/>
      <c r="BD386" s="1111"/>
      <c r="BE386" s="1111"/>
      <c r="BF386" s="1111"/>
      <c r="BG386" s="1111"/>
      <c r="BH386" s="1111"/>
      <c r="BI386" s="1111"/>
      <c r="BJ386" s="1111"/>
      <c r="BK386" s="1111"/>
      <c r="BL386" s="1111"/>
      <c r="BM386" s="1111"/>
      <c r="BN386" s="1111"/>
      <c r="BO386" s="1111"/>
      <c r="BP386" s="1111"/>
      <c r="BQ386" s="1111"/>
      <c r="BR386" s="1111"/>
      <c r="BS386" s="1111"/>
      <c r="BT386" s="1111"/>
      <c r="BU386" s="1111"/>
      <c r="BV386" s="1111"/>
      <c r="BW386" s="1111"/>
      <c r="BX386" s="1111"/>
      <c r="BY386" s="1111"/>
      <c r="BZ386" s="1111"/>
      <c r="CA386" s="1111"/>
      <c r="CB386" s="1111"/>
      <c r="CC386" s="1111"/>
      <c r="CD386" s="1111"/>
      <c r="CE386" s="1111"/>
      <c r="CF386" s="1111"/>
      <c r="CG386" s="1111"/>
      <c r="CH386" s="1111"/>
      <c r="CI386" s="1111"/>
      <c r="CJ386" s="1111"/>
      <c r="CK386" s="1110"/>
    </row>
    <row r="387" spans="1:89" ht="14.4" x14ac:dyDescent="0.3">
      <c r="A387" s="1110"/>
      <c r="B387" s="1110"/>
      <c r="C387" s="1110"/>
      <c r="D387" s="1110"/>
      <c r="E387" s="1110"/>
      <c r="F387" s="1110"/>
      <c r="G387" s="1110"/>
      <c r="H387" s="1110"/>
      <c r="I387" s="1110"/>
      <c r="J387" s="1110"/>
      <c r="K387" s="1110"/>
      <c r="L387" s="1110"/>
      <c r="M387" s="1110"/>
      <c r="N387" s="1110"/>
      <c r="O387" s="1110"/>
      <c r="P387" s="1110"/>
      <c r="Q387" s="1110"/>
      <c r="R387" s="1110"/>
      <c r="S387" s="1110"/>
      <c r="T387" s="1111"/>
      <c r="U387" s="1111"/>
      <c r="V387" s="1111"/>
      <c r="W387" s="1111"/>
      <c r="X387" s="1111"/>
      <c r="Y387" s="1111"/>
      <c r="Z387" s="1111"/>
      <c r="AA387" s="1111"/>
      <c r="AB387" s="1111"/>
      <c r="AC387" s="1111"/>
      <c r="AD387" s="1111"/>
      <c r="AE387" s="1111"/>
      <c r="AF387" s="1111"/>
      <c r="AG387" s="1111"/>
      <c r="AH387" s="1111"/>
      <c r="AI387" s="1111"/>
      <c r="AJ387" s="1111"/>
      <c r="AK387" s="1111"/>
      <c r="AL387" s="1111"/>
      <c r="AM387" s="1111"/>
      <c r="AN387" s="1111"/>
      <c r="AO387" s="1111"/>
      <c r="AP387" s="1111"/>
      <c r="AQ387" s="1111"/>
      <c r="AR387" s="1111"/>
      <c r="AS387" s="1111"/>
      <c r="AT387" s="1111"/>
      <c r="AU387" s="1111"/>
      <c r="AV387" s="1111"/>
      <c r="AW387" s="1111"/>
      <c r="AX387" s="1111"/>
      <c r="AY387" s="1111"/>
      <c r="AZ387" s="1111"/>
      <c r="BA387" s="1111"/>
      <c r="BB387" s="1111"/>
      <c r="BC387" s="1111"/>
      <c r="BD387" s="1111"/>
      <c r="BE387" s="1111"/>
      <c r="BF387" s="1111"/>
      <c r="BG387" s="1111"/>
      <c r="BH387" s="1111"/>
      <c r="BI387" s="1111"/>
      <c r="BJ387" s="1111"/>
      <c r="BK387" s="1111"/>
      <c r="BL387" s="1111"/>
      <c r="BM387" s="1111"/>
      <c r="BN387" s="1111"/>
      <c r="BO387" s="1111"/>
      <c r="BP387" s="1111"/>
      <c r="BQ387" s="1111"/>
      <c r="BR387" s="1111"/>
      <c r="BS387" s="1111"/>
      <c r="BT387" s="1111"/>
      <c r="BU387" s="1111"/>
      <c r="BV387" s="1111"/>
      <c r="BW387" s="1111"/>
      <c r="BX387" s="1111"/>
      <c r="BY387" s="1111"/>
      <c r="BZ387" s="1111"/>
      <c r="CA387" s="1111"/>
      <c r="CB387" s="1111"/>
      <c r="CC387" s="1111"/>
      <c r="CD387" s="1111"/>
      <c r="CE387" s="1111"/>
      <c r="CF387" s="1111"/>
      <c r="CG387" s="1111"/>
      <c r="CH387" s="1111"/>
      <c r="CI387" s="1111"/>
      <c r="CJ387" s="1111"/>
      <c r="CK387" s="1110"/>
    </row>
    <row r="388" spans="1:89" ht="14.4" x14ac:dyDescent="0.3">
      <c r="A388" s="1110"/>
      <c r="B388" s="1110"/>
      <c r="C388" s="1110"/>
      <c r="D388" s="1110"/>
      <c r="E388" s="1110"/>
      <c r="F388" s="1110"/>
      <c r="G388" s="1110"/>
      <c r="H388" s="1110"/>
      <c r="I388" s="1110"/>
      <c r="J388" s="1110"/>
      <c r="K388" s="1110"/>
      <c r="L388" s="1110"/>
      <c r="M388" s="1110"/>
      <c r="N388" s="1110"/>
      <c r="O388" s="1110"/>
      <c r="P388" s="1110"/>
      <c r="Q388" s="1110"/>
      <c r="R388" s="1110"/>
      <c r="S388" s="1110"/>
      <c r="T388" s="1111"/>
      <c r="U388" s="1111"/>
      <c r="V388" s="1111"/>
      <c r="W388" s="1111"/>
      <c r="X388" s="1111"/>
      <c r="Y388" s="1111"/>
      <c r="Z388" s="1111"/>
      <c r="AA388" s="1111"/>
      <c r="AB388" s="1111"/>
      <c r="AC388" s="1111"/>
      <c r="AD388" s="1111"/>
      <c r="AE388" s="1111"/>
      <c r="AF388" s="1111"/>
      <c r="AG388" s="1111"/>
      <c r="AH388" s="1111"/>
      <c r="AI388" s="1111"/>
      <c r="AJ388" s="1111"/>
      <c r="AK388" s="1111"/>
      <c r="AL388" s="1111"/>
      <c r="AM388" s="1111"/>
      <c r="AN388" s="1111"/>
      <c r="AO388" s="1111"/>
      <c r="AP388" s="1111"/>
      <c r="AQ388" s="1111"/>
      <c r="AR388" s="1111"/>
      <c r="AS388" s="1111"/>
      <c r="AT388" s="1111"/>
      <c r="AU388" s="1111"/>
      <c r="AV388" s="1111"/>
      <c r="AW388" s="1111"/>
      <c r="AX388" s="1111"/>
      <c r="AY388" s="1111"/>
      <c r="AZ388" s="1111"/>
      <c r="BA388" s="1111"/>
      <c r="BB388" s="1111"/>
      <c r="BC388" s="1111"/>
      <c r="BD388" s="1111"/>
      <c r="BE388" s="1111"/>
      <c r="BF388" s="1111"/>
      <c r="BG388" s="1111"/>
      <c r="BH388" s="1111"/>
      <c r="BI388" s="1111"/>
      <c r="BJ388" s="1111"/>
      <c r="BK388" s="1111"/>
      <c r="BL388" s="1111"/>
      <c r="BM388" s="1111"/>
      <c r="BN388" s="1111"/>
      <c r="BO388" s="1111"/>
      <c r="BP388" s="1111"/>
      <c r="BQ388" s="1111"/>
      <c r="BR388" s="1111"/>
      <c r="BS388" s="1111"/>
      <c r="BT388" s="1111"/>
      <c r="BU388" s="1111"/>
      <c r="BV388" s="1111"/>
      <c r="BW388" s="1111"/>
      <c r="BX388" s="1111"/>
      <c r="BY388" s="1111"/>
      <c r="BZ388" s="1111"/>
      <c r="CA388" s="1111"/>
      <c r="CB388" s="1111"/>
      <c r="CC388" s="1111"/>
      <c r="CD388" s="1111"/>
      <c r="CE388" s="1111"/>
      <c r="CF388" s="1111"/>
      <c r="CG388" s="1111"/>
      <c r="CH388" s="1111"/>
      <c r="CI388" s="1111"/>
      <c r="CJ388" s="1111"/>
      <c r="CK388" s="1110"/>
    </row>
    <row r="389" spans="1:89" ht="14.4" x14ac:dyDescent="0.3">
      <c r="A389" s="1110"/>
      <c r="B389" s="1110"/>
      <c r="C389" s="1110"/>
      <c r="D389" s="1110"/>
      <c r="E389" s="1110"/>
      <c r="F389" s="1110"/>
      <c r="G389" s="1110"/>
      <c r="H389" s="1110"/>
      <c r="I389" s="1110"/>
      <c r="J389" s="1110"/>
      <c r="K389" s="1110"/>
      <c r="L389" s="1110"/>
      <c r="M389" s="1110"/>
      <c r="N389" s="1110"/>
      <c r="O389" s="1110"/>
      <c r="P389" s="1110"/>
      <c r="Q389" s="1110"/>
      <c r="R389" s="1110"/>
      <c r="S389" s="1110"/>
      <c r="T389" s="1111"/>
      <c r="U389" s="1111"/>
      <c r="V389" s="1111"/>
      <c r="W389" s="1111"/>
      <c r="X389" s="1111"/>
      <c r="Y389" s="1111"/>
      <c r="Z389" s="1111"/>
      <c r="AA389" s="1111"/>
      <c r="AB389" s="1111"/>
      <c r="AC389" s="1111"/>
      <c r="AD389" s="1111"/>
      <c r="AE389" s="1111"/>
      <c r="AF389" s="1111"/>
      <c r="AG389" s="1111"/>
      <c r="AH389" s="1111"/>
      <c r="AI389" s="1111"/>
      <c r="AJ389" s="1111"/>
      <c r="AK389" s="1111"/>
      <c r="AL389" s="1111"/>
      <c r="AM389" s="1111"/>
      <c r="AN389" s="1111"/>
      <c r="AO389" s="1111"/>
      <c r="AP389" s="1111"/>
      <c r="AQ389" s="1111"/>
      <c r="AR389" s="1111"/>
      <c r="AS389" s="1111"/>
      <c r="AT389" s="1111"/>
      <c r="AU389" s="1111"/>
      <c r="AV389" s="1111"/>
      <c r="AW389" s="1111"/>
      <c r="AX389" s="1111"/>
      <c r="AY389" s="1111"/>
      <c r="AZ389" s="1111"/>
      <c r="BA389" s="1111"/>
      <c r="BB389" s="1111"/>
      <c r="BC389" s="1111"/>
      <c r="BD389" s="1111"/>
      <c r="BE389" s="1111"/>
      <c r="BF389" s="1111"/>
      <c r="BG389" s="1111"/>
      <c r="BH389" s="1111"/>
      <c r="BI389" s="1111"/>
      <c r="BJ389" s="1111"/>
      <c r="BK389" s="1111"/>
      <c r="BL389" s="1111"/>
      <c r="BM389" s="1111"/>
      <c r="BN389" s="1111"/>
      <c r="BO389" s="1111"/>
      <c r="BP389" s="1111"/>
      <c r="BQ389" s="1111"/>
      <c r="BR389" s="1111"/>
      <c r="BS389" s="1111"/>
      <c r="BT389" s="1111"/>
      <c r="BU389" s="1111"/>
      <c r="BV389" s="1111"/>
      <c r="BW389" s="1111"/>
      <c r="BX389" s="1111"/>
      <c r="BY389" s="1111"/>
      <c r="BZ389" s="1111"/>
      <c r="CA389" s="1111"/>
      <c r="CB389" s="1111"/>
      <c r="CC389" s="1111"/>
      <c r="CD389" s="1111"/>
      <c r="CE389" s="1111"/>
      <c r="CF389" s="1111"/>
      <c r="CG389" s="1111"/>
      <c r="CH389" s="1111"/>
      <c r="CI389" s="1111"/>
      <c r="CJ389" s="1111"/>
      <c r="CK389" s="1110"/>
    </row>
    <row r="390" spans="1:89" ht="14.4" x14ac:dyDescent="0.3">
      <c r="A390" s="1110"/>
      <c r="B390" s="1110"/>
      <c r="C390" s="1110"/>
      <c r="D390" s="1110"/>
      <c r="E390" s="1110"/>
      <c r="F390" s="1110"/>
      <c r="G390" s="1110"/>
      <c r="H390" s="1110"/>
      <c r="I390" s="1110"/>
      <c r="J390" s="1110"/>
      <c r="K390" s="1110"/>
      <c r="L390" s="1110"/>
      <c r="M390" s="1110"/>
      <c r="N390" s="1110"/>
      <c r="O390" s="1110"/>
      <c r="P390" s="1110"/>
      <c r="Q390" s="1110"/>
      <c r="R390" s="1110"/>
      <c r="S390" s="1110"/>
      <c r="T390" s="1111"/>
      <c r="U390" s="1111"/>
      <c r="V390" s="1111"/>
      <c r="W390" s="1111"/>
      <c r="X390" s="1111"/>
      <c r="Y390" s="1111"/>
      <c r="Z390" s="1111"/>
      <c r="AA390" s="1111"/>
      <c r="AB390" s="1111"/>
      <c r="AC390" s="1111"/>
      <c r="AD390" s="1111"/>
      <c r="AE390" s="1111"/>
      <c r="AF390" s="1111"/>
      <c r="AG390" s="1111"/>
      <c r="AH390" s="1111"/>
      <c r="AI390" s="1111"/>
      <c r="AJ390" s="1111"/>
      <c r="AK390" s="1111"/>
      <c r="AL390" s="1111"/>
      <c r="AM390" s="1111"/>
      <c r="AN390" s="1111"/>
      <c r="AO390" s="1111"/>
      <c r="AP390" s="1111"/>
      <c r="AQ390" s="1111"/>
      <c r="AR390" s="1111"/>
      <c r="AS390" s="1111"/>
      <c r="AT390" s="1111"/>
      <c r="AU390" s="1111"/>
      <c r="AV390" s="1111"/>
      <c r="AW390" s="1111"/>
      <c r="AX390" s="1111"/>
      <c r="AY390" s="1111"/>
      <c r="AZ390" s="1111"/>
      <c r="BA390" s="1111"/>
      <c r="BB390" s="1111"/>
      <c r="BC390" s="1111"/>
      <c r="BD390" s="1111"/>
      <c r="BE390" s="1111"/>
      <c r="BF390" s="1111"/>
      <c r="BG390" s="1111"/>
      <c r="BH390" s="1111"/>
      <c r="BI390" s="1111"/>
      <c r="BJ390" s="1111"/>
      <c r="BK390" s="1111"/>
      <c r="BL390" s="1111"/>
      <c r="BM390" s="1111"/>
      <c r="BN390" s="1111"/>
      <c r="BO390" s="1111"/>
      <c r="BP390" s="1111"/>
      <c r="BQ390" s="1111"/>
      <c r="BR390" s="1111"/>
      <c r="BS390" s="1111"/>
      <c r="BT390" s="1111"/>
      <c r="BU390" s="1111"/>
      <c r="BV390" s="1111"/>
      <c r="BW390" s="1111"/>
      <c r="BX390" s="1111"/>
      <c r="BY390" s="1111"/>
      <c r="BZ390" s="1111"/>
      <c r="CA390" s="1111"/>
      <c r="CB390" s="1111"/>
      <c r="CC390" s="1111"/>
      <c r="CD390" s="1111"/>
      <c r="CE390" s="1111"/>
      <c r="CF390" s="1111"/>
      <c r="CG390" s="1111"/>
      <c r="CH390" s="1111"/>
      <c r="CI390" s="1111"/>
      <c r="CJ390" s="1111"/>
      <c r="CK390" s="1110"/>
    </row>
    <row r="391" spans="1:89" ht="14.4" x14ac:dyDescent="0.3">
      <c r="A391" s="1110"/>
      <c r="B391" s="1110"/>
      <c r="C391" s="1110"/>
      <c r="D391" s="1110"/>
      <c r="E391" s="1110"/>
      <c r="F391" s="1110"/>
      <c r="G391" s="1110"/>
      <c r="H391" s="1110"/>
      <c r="I391" s="1110"/>
      <c r="J391" s="1110"/>
      <c r="K391" s="1110"/>
      <c r="L391" s="1110"/>
      <c r="M391" s="1110"/>
      <c r="N391" s="1110"/>
      <c r="O391" s="1110"/>
      <c r="P391" s="1110"/>
      <c r="Q391" s="1110"/>
      <c r="R391" s="1110"/>
      <c r="S391" s="1110"/>
      <c r="T391" s="1111"/>
      <c r="U391" s="1111"/>
      <c r="V391" s="1111"/>
      <c r="W391" s="1111"/>
      <c r="X391" s="1111"/>
      <c r="Y391" s="1111"/>
      <c r="Z391" s="1111"/>
      <c r="AA391" s="1111"/>
      <c r="AB391" s="1111"/>
      <c r="AC391" s="1111"/>
      <c r="AD391" s="1111"/>
      <c r="AE391" s="1111"/>
      <c r="AF391" s="1111"/>
      <c r="AG391" s="1111"/>
      <c r="AH391" s="1111"/>
      <c r="AI391" s="1111"/>
      <c r="AJ391" s="1111"/>
      <c r="AK391" s="1111"/>
      <c r="AL391" s="1111"/>
      <c r="AM391" s="1111"/>
      <c r="AN391" s="1111"/>
      <c r="AO391" s="1111"/>
      <c r="AP391" s="1111"/>
      <c r="AQ391" s="1111"/>
      <c r="AR391" s="1111"/>
      <c r="AS391" s="1111"/>
      <c r="AT391" s="1111"/>
      <c r="AU391" s="1111"/>
      <c r="AV391" s="1111"/>
      <c r="AW391" s="1111"/>
      <c r="AX391" s="1111"/>
      <c r="AY391" s="1111"/>
      <c r="AZ391" s="1111"/>
      <c r="BA391" s="1111"/>
      <c r="BB391" s="1111"/>
      <c r="BC391" s="1111"/>
      <c r="BD391" s="1111"/>
      <c r="BE391" s="1111"/>
      <c r="BF391" s="1111"/>
      <c r="BG391" s="1111"/>
      <c r="BH391" s="1111"/>
      <c r="BI391" s="1111"/>
      <c r="BJ391" s="1111"/>
      <c r="BK391" s="1111"/>
      <c r="BL391" s="1111"/>
      <c r="BM391" s="1111"/>
      <c r="BN391" s="1111"/>
      <c r="BO391" s="1111"/>
      <c r="BP391" s="1111"/>
      <c r="BQ391" s="1111"/>
      <c r="BR391" s="1111"/>
      <c r="BS391" s="1111"/>
      <c r="BT391" s="1111"/>
      <c r="BU391" s="1111"/>
      <c r="BV391" s="1111"/>
      <c r="BW391" s="1111"/>
      <c r="BX391" s="1111"/>
      <c r="BY391" s="1111"/>
      <c r="BZ391" s="1111"/>
      <c r="CA391" s="1111"/>
      <c r="CB391" s="1111"/>
      <c r="CC391" s="1111"/>
      <c r="CD391" s="1111"/>
      <c r="CE391" s="1111"/>
      <c r="CF391" s="1111"/>
      <c r="CG391" s="1111"/>
      <c r="CH391" s="1111"/>
      <c r="CI391" s="1111"/>
      <c r="CJ391" s="1111"/>
      <c r="CK391" s="1110"/>
    </row>
    <row r="392" spans="1:89" ht="14.4" x14ac:dyDescent="0.3">
      <c r="A392" s="1110"/>
      <c r="B392" s="1110"/>
      <c r="C392" s="1110"/>
      <c r="D392" s="1110"/>
      <c r="E392" s="1110"/>
      <c r="F392" s="1110"/>
      <c r="G392" s="1110"/>
      <c r="H392" s="1110"/>
      <c r="I392" s="1110"/>
      <c r="J392" s="1110"/>
      <c r="K392" s="1110"/>
      <c r="L392" s="1110"/>
      <c r="M392" s="1110"/>
      <c r="N392" s="1110"/>
      <c r="O392" s="1110"/>
      <c r="P392" s="1110"/>
      <c r="Q392" s="1110"/>
      <c r="R392" s="1110"/>
      <c r="S392" s="1110"/>
      <c r="T392" s="1111"/>
      <c r="U392" s="1111"/>
      <c r="V392" s="1111"/>
      <c r="W392" s="1111"/>
      <c r="X392" s="1111"/>
      <c r="Y392" s="1111"/>
      <c r="Z392" s="1111"/>
      <c r="AA392" s="1111"/>
      <c r="AB392" s="1111"/>
      <c r="AC392" s="1111"/>
      <c r="AD392" s="1111"/>
      <c r="AE392" s="1111"/>
      <c r="AF392" s="1111"/>
      <c r="AG392" s="1111"/>
      <c r="AH392" s="1111"/>
      <c r="AI392" s="1111"/>
      <c r="AJ392" s="1111"/>
      <c r="AK392" s="1111"/>
      <c r="AL392" s="1111"/>
      <c r="AM392" s="1111"/>
      <c r="AN392" s="1111"/>
      <c r="AO392" s="1111"/>
      <c r="AP392" s="1111"/>
      <c r="AQ392" s="1111"/>
      <c r="AR392" s="1111"/>
      <c r="AS392" s="1111"/>
      <c r="AT392" s="1111"/>
      <c r="AU392" s="1111"/>
      <c r="AV392" s="1111"/>
      <c r="AW392" s="1111"/>
      <c r="AX392" s="1111"/>
      <c r="AY392" s="1111"/>
      <c r="AZ392" s="1111"/>
      <c r="BA392" s="1111"/>
      <c r="BB392" s="1111"/>
      <c r="BC392" s="1111"/>
      <c r="BD392" s="1111"/>
      <c r="BE392" s="1111"/>
      <c r="BF392" s="1111"/>
      <c r="BG392" s="1111"/>
      <c r="BH392" s="1111"/>
      <c r="BI392" s="1111"/>
      <c r="BJ392" s="1111"/>
      <c r="BK392" s="1111"/>
      <c r="BL392" s="1111"/>
      <c r="BM392" s="1111"/>
      <c r="BN392" s="1111"/>
      <c r="BO392" s="1111"/>
      <c r="BP392" s="1111"/>
      <c r="BQ392" s="1111"/>
      <c r="BR392" s="1111"/>
      <c r="BS392" s="1111"/>
      <c r="BT392" s="1111"/>
      <c r="BU392" s="1111"/>
      <c r="BV392" s="1111"/>
      <c r="BW392" s="1111"/>
      <c r="BX392" s="1111"/>
      <c r="BY392" s="1111"/>
      <c r="BZ392" s="1111"/>
      <c r="CA392" s="1111"/>
      <c r="CB392" s="1111"/>
      <c r="CC392" s="1111"/>
      <c r="CD392" s="1111"/>
      <c r="CE392" s="1111"/>
      <c r="CF392" s="1111"/>
      <c r="CG392" s="1111"/>
      <c r="CH392" s="1111"/>
      <c r="CI392" s="1111"/>
      <c r="CJ392" s="1111"/>
      <c r="CK392" s="1110"/>
    </row>
    <row r="393" spans="1:89" ht="14.4" x14ac:dyDescent="0.3">
      <c r="A393" s="1110"/>
      <c r="B393" s="1110"/>
      <c r="C393" s="1110"/>
      <c r="D393" s="1110"/>
      <c r="E393" s="1110"/>
      <c r="F393" s="1110"/>
      <c r="G393" s="1110"/>
      <c r="H393" s="1110"/>
      <c r="I393" s="1110"/>
      <c r="J393" s="1110"/>
      <c r="K393" s="1110"/>
      <c r="L393" s="1110"/>
      <c r="M393" s="1110"/>
      <c r="N393" s="1110"/>
      <c r="O393" s="1110"/>
      <c r="P393" s="1110"/>
      <c r="Q393" s="1110"/>
      <c r="R393" s="1110"/>
      <c r="S393" s="1110"/>
      <c r="T393" s="1111"/>
      <c r="U393" s="1111"/>
      <c r="V393" s="1111"/>
      <c r="W393" s="1111"/>
      <c r="X393" s="1111"/>
      <c r="Y393" s="1111"/>
      <c r="Z393" s="1111"/>
      <c r="AA393" s="1111"/>
      <c r="AB393" s="1111"/>
      <c r="AC393" s="1111"/>
      <c r="AD393" s="1111"/>
      <c r="AE393" s="1111"/>
      <c r="AF393" s="1111"/>
      <c r="AG393" s="1111"/>
      <c r="AH393" s="1111"/>
      <c r="AI393" s="1111"/>
      <c r="AJ393" s="1111"/>
      <c r="AK393" s="1111"/>
      <c r="AL393" s="1111"/>
      <c r="AM393" s="1111"/>
      <c r="AN393" s="1111"/>
      <c r="AO393" s="1111"/>
      <c r="AP393" s="1111"/>
      <c r="AQ393" s="1111"/>
      <c r="AR393" s="1111"/>
      <c r="AS393" s="1111"/>
      <c r="AT393" s="1111"/>
      <c r="AU393" s="1111"/>
      <c r="AV393" s="1111"/>
      <c r="AW393" s="1111"/>
      <c r="AX393" s="1111"/>
      <c r="AY393" s="1111"/>
      <c r="AZ393" s="1111"/>
      <c r="BA393" s="1111"/>
      <c r="BB393" s="1111"/>
      <c r="BC393" s="1111"/>
      <c r="BD393" s="1111"/>
      <c r="BE393" s="1111"/>
      <c r="BF393" s="1111"/>
      <c r="BG393" s="1111"/>
      <c r="BH393" s="1111"/>
      <c r="BI393" s="1111"/>
      <c r="BJ393" s="1111"/>
      <c r="BK393" s="1111"/>
      <c r="BL393" s="1111"/>
      <c r="BM393" s="1111"/>
      <c r="BN393" s="1111"/>
      <c r="BO393" s="1111"/>
      <c r="BP393" s="1111"/>
      <c r="BQ393" s="1111"/>
      <c r="BR393" s="1111"/>
      <c r="BS393" s="1111"/>
      <c r="BT393" s="1111"/>
      <c r="BU393" s="1111"/>
      <c r="BV393" s="1111"/>
      <c r="BW393" s="1111"/>
      <c r="BX393" s="1111"/>
      <c r="BY393" s="1111"/>
      <c r="BZ393" s="1111"/>
      <c r="CA393" s="1111"/>
      <c r="CB393" s="1111"/>
      <c r="CC393" s="1111"/>
      <c r="CD393" s="1111"/>
      <c r="CE393" s="1111"/>
      <c r="CF393" s="1111"/>
      <c r="CG393" s="1111"/>
      <c r="CH393" s="1111"/>
      <c r="CI393" s="1111"/>
      <c r="CJ393" s="1111"/>
      <c r="CK393" s="1110"/>
    </row>
    <row r="394" spans="1:89" ht="14.4" x14ac:dyDescent="0.3">
      <c r="A394" s="1110"/>
      <c r="B394" s="1110"/>
      <c r="C394" s="1110"/>
      <c r="D394" s="1110"/>
      <c r="E394" s="1110"/>
      <c r="F394" s="1110"/>
      <c r="G394" s="1110"/>
      <c r="H394" s="1110"/>
      <c r="I394" s="1110"/>
      <c r="J394" s="1110"/>
      <c r="K394" s="1110"/>
      <c r="L394" s="1110"/>
      <c r="M394" s="1110"/>
      <c r="N394" s="1110"/>
      <c r="O394" s="1110"/>
      <c r="P394" s="1110"/>
      <c r="Q394" s="1110"/>
      <c r="R394" s="1110"/>
      <c r="S394" s="1110"/>
      <c r="T394" s="1111"/>
      <c r="U394" s="1111"/>
      <c r="V394" s="1111"/>
      <c r="W394" s="1111"/>
      <c r="X394" s="1111"/>
      <c r="Y394" s="1111"/>
      <c r="Z394" s="1111"/>
      <c r="AA394" s="1111"/>
      <c r="AB394" s="1111"/>
      <c r="AC394" s="1111"/>
      <c r="AD394" s="1111"/>
      <c r="AE394" s="1111"/>
      <c r="AF394" s="1111"/>
      <c r="AG394" s="1111"/>
      <c r="AH394" s="1111"/>
      <c r="AI394" s="1111"/>
      <c r="AJ394" s="1111"/>
      <c r="AK394" s="1111"/>
      <c r="AL394" s="1111"/>
      <c r="AM394" s="1111"/>
      <c r="AN394" s="1111"/>
      <c r="AO394" s="1111"/>
      <c r="AP394" s="1111"/>
      <c r="AQ394" s="1111"/>
      <c r="AR394" s="1111"/>
      <c r="AS394" s="1111"/>
      <c r="AT394" s="1111"/>
      <c r="AU394" s="1111"/>
      <c r="AV394" s="1111"/>
      <c r="AW394" s="1111"/>
      <c r="AX394" s="1111"/>
      <c r="AY394" s="1111"/>
      <c r="AZ394" s="1111"/>
      <c r="BA394" s="1111"/>
      <c r="BB394" s="1111"/>
      <c r="BC394" s="1111"/>
      <c r="BD394" s="1111"/>
      <c r="BE394" s="1111"/>
      <c r="BF394" s="1111"/>
      <c r="BG394" s="1111"/>
      <c r="BH394" s="1111"/>
      <c r="BI394" s="1111"/>
      <c r="BJ394" s="1111"/>
      <c r="BK394" s="1111"/>
      <c r="BL394" s="1111"/>
      <c r="BM394" s="1111"/>
      <c r="BN394" s="1111"/>
      <c r="BO394" s="1111"/>
      <c r="BP394" s="1111"/>
      <c r="BQ394" s="1111"/>
      <c r="BR394" s="1111"/>
      <c r="BS394" s="1111"/>
      <c r="BT394" s="1111"/>
      <c r="BU394" s="1111"/>
      <c r="BV394" s="1111"/>
      <c r="BW394" s="1111"/>
      <c r="BX394" s="1111"/>
      <c r="BY394" s="1111"/>
      <c r="BZ394" s="1111"/>
      <c r="CA394" s="1111"/>
      <c r="CB394" s="1111"/>
      <c r="CC394" s="1111"/>
      <c r="CD394" s="1111"/>
      <c r="CE394" s="1111"/>
      <c r="CF394" s="1111"/>
      <c r="CG394" s="1111"/>
      <c r="CH394" s="1111"/>
      <c r="CI394" s="1111"/>
      <c r="CJ394" s="1111"/>
      <c r="CK394" s="1110"/>
    </row>
    <row r="395" spans="1:89" ht="14.4" x14ac:dyDescent="0.3">
      <c r="A395" s="1110"/>
      <c r="B395" s="1110"/>
      <c r="C395" s="1110"/>
      <c r="D395" s="1110"/>
      <c r="E395" s="1110"/>
      <c r="F395" s="1110"/>
      <c r="G395" s="1110"/>
      <c r="H395" s="1110"/>
      <c r="I395" s="1110"/>
      <c r="J395" s="1110"/>
      <c r="K395" s="1110"/>
      <c r="L395" s="1110"/>
      <c r="M395" s="1110"/>
      <c r="N395" s="1110"/>
      <c r="O395" s="1110"/>
      <c r="P395" s="1110"/>
      <c r="Q395" s="1110"/>
      <c r="R395" s="1110"/>
      <c r="S395" s="1110"/>
      <c r="T395" s="1111"/>
      <c r="U395" s="1111"/>
      <c r="V395" s="1111"/>
      <c r="W395" s="1111"/>
      <c r="X395" s="1111"/>
      <c r="Y395" s="1111"/>
      <c r="Z395" s="1111"/>
      <c r="AA395" s="1111"/>
      <c r="AB395" s="1111"/>
      <c r="AC395" s="1111"/>
      <c r="AD395" s="1111"/>
      <c r="AE395" s="1111"/>
      <c r="AF395" s="1111"/>
      <c r="AG395" s="1111"/>
      <c r="AH395" s="1111"/>
      <c r="AI395" s="1111"/>
      <c r="AJ395" s="1111"/>
      <c r="AK395" s="1111"/>
      <c r="AL395" s="1111"/>
      <c r="AM395" s="1111"/>
      <c r="AN395" s="1111"/>
      <c r="AO395" s="1111"/>
      <c r="AP395" s="1111"/>
      <c r="AQ395" s="1111"/>
      <c r="AR395" s="1111"/>
      <c r="AS395" s="1111"/>
      <c r="AT395" s="1111"/>
      <c r="AU395" s="1111"/>
      <c r="AV395" s="1111"/>
      <c r="AW395" s="1111"/>
      <c r="AX395" s="1111"/>
      <c r="AY395" s="1111"/>
      <c r="AZ395" s="1111"/>
      <c r="BA395" s="1111"/>
      <c r="BB395" s="1111"/>
      <c r="BC395" s="1111"/>
      <c r="BD395" s="1111"/>
      <c r="BE395" s="1111"/>
      <c r="BF395" s="1111"/>
      <c r="BG395" s="1111"/>
      <c r="BH395" s="1111"/>
      <c r="BI395" s="1111"/>
      <c r="BJ395" s="1111"/>
      <c r="BK395" s="1111"/>
      <c r="BL395" s="1111"/>
      <c r="BM395" s="1111"/>
      <c r="BN395" s="1111"/>
      <c r="BO395" s="1111"/>
      <c r="BP395" s="1111"/>
      <c r="BQ395" s="1111"/>
      <c r="BR395" s="1111"/>
      <c r="BS395" s="1111"/>
      <c r="BT395" s="1111"/>
      <c r="BU395" s="1111"/>
      <c r="BV395" s="1111"/>
      <c r="BW395" s="1111"/>
      <c r="BX395" s="1111"/>
      <c r="BY395" s="1111"/>
      <c r="BZ395" s="1111"/>
      <c r="CA395" s="1111"/>
      <c r="CB395" s="1111"/>
      <c r="CC395" s="1111"/>
      <c r="CD395" s="1111"/>
      <c r="CE395" s="1111"/>
      <c r="CF395" s="1111"/>
      <c r="CG395" s="1111"/>
      <c r="CH395" s="1111"/>
      <c r="CI395" s="1111"/>
      <c r="CJ395" s="1111"/>
      <c r="CK395" s="1110"/>
    </row>
    <row r="396" spans="1:89" ht="14.4" x14ac:dyDescent="0.3">
      <c r="A396" s="1110"/>
      <c r="B396" s="1110"/>
      <c r="C396" s="1110"/>
      <c r="D396" s="1110"/>
      <c r="E396" s="1110"/>
      <c r="F396" s="1110"/>
      <c r="G396" s="1110"/>
      <c r="H396" s="1110"/>
      <c r="I396" s="1110"/>
      <c r="J396" s="1110"/>
      <c r="K396" s="1110"/>
      <c r="L396" s="1110"/>
      <c r="M396" s="1110"/>
      <c r="N396" s="1110"/>
      <c r="O396" s="1110"/>
      <c r="P396" s="1110"/>
      <c r="Q396" s="1110"/>
      <c r="R396" s="1110"/>
      <c r="S396" s="1110"/>
      <c r="T396" s="1111"/>
      <c r="U396" s="1111"/>
      <c r="V396" s="1111"/>
      <c r="W396" s="1111"/>
      <c r="X396" s="1111"/>
      <c r="Y396" s="1111"/>
      <c r="Z396" s="1111"/>
      <c r="AA396" s="1111"/>
      <c r="AB396" s="1111"/>
      <c r="AC396" s="1111"/>
      <c r="AD396" s="1111"/>
      <c r="AE396" s="1111"/>
      <c r="AF396" s="1111"/>
      <c r="AG396" s="1111"/>
      <c r="AH396" s="1111"/>
      <c r="AI396" s="1111"/>
      <c r="AJ396" s="1111"/>
      <c r="AK396" s="1111"/>
      <c r="AL396" s="1111"/>
      <c r="AM396" s="1111"/>
      <c r="AN396" s="1111"/>
      <c r="AO396" s="1111"/>
      <c r="AP396" s="1111"/>
      <c r="AQ396" s="1111"/>
      <c r="AR396" s="1111"/>
      <c r="AS396" s="1111"/>
      <c r="AT396" s="1111"/>
      <c r="AU396" s="1111"/>
      <c r="AV396" s="1111"/>
      <c r="AW396" s="1111"/>
      <c r="AX396" s="1111"/>
      <c r="AY396" s="1111"/>
      <c r="AZ396" s="1111"/>
      <c r="BA396" s="1111"/>
      <c r="BB396" s="1111"/>
      <c r="BC396" s="1111"/>
      <c r="BD396" s="1111"/>
      <c r="BE396" s="1111"/>
      <c r="BF396" s="1111"/>
      <c r="BG396" s="1111"/>
      <c r="BH396" s="1111"/>
      <c r="BI396" s="1111"/>
      <c r="BJ396" s="1111"/>
      <c r="BK396" s="1111"/>
      <c r="BL396" s="1111"/>
      <c r="BM396" s="1111"/>
      <c r="BN396" s="1111"/>
      <c r="BO396" s="1111"/>
      <c r="BP396" s="1111"/>
      <c r="BQ396" s="1111"/>
      <c r="BR396" s="1111"/>
      <c r="BS396" s="1111"/>
      <c r="BT396" s="1111"/>
      <c r="BU396" s="1111"/>
      <c r="BV396" s="1111"/>
      <c r="BW396" s="1111"/>
      <c r="BX396" s="1111"/>
      <c r="BY396" s="1111"/>
      <c r="BZ396" s="1111"/>
      <c r="CA396" s="1111"/>
      <c r="CB396" s="1111"/>
      <c r="CC396" s="1111"/>
      <c r="CD396" s="1111"/>
      <c r="CE396" s="1111"/>
      <c r="CF396" s="1111"/>
      <c r="CG396" s="1111"/>
      <c r="CH396" s="1111"/>
      <c r="CI396" s="1111"/>
      <c r="CJ396" s="1111"/>
      <c r="CK396" s="1110"/>
    </row>
    <row r="397" spans="1:89" ht="14.4" x14ac:dyDescent="0.3">
      <c r="A397" s="1110"/>
      <c r="B397" s="1110"/>
      <c r="C397" s="1110"/>
      <c r="D397" s="1110"/>
      <c r="E397" s="1110"/>
      <c r="F397" s="1110"/>
      <c r="G397" s="1110"/>
      <c r="H397" s="1110"/>
      <c r="I397" s="1110"/>
      <c r="J397" s="1110"/>
      <c r="K397" s="1110"/>
      <c r="L397" s="1110"/>
      <c r="M397" s="1110"/>
      <c r="N397" s="1110"/>
      <c r="O397" s="1110"/>
      <c r="P397" s="1110"/>
      <c r="Q397" s="1110"/>
      <c r="R397" s="1110"/>
      <c r="S397" s="1110"/>
      <c r="T397" s="1111"/>
      <c r="U397" s="1111"/>
      <c r="V397" s="1111"/>
      <c r="W397" s="1111"/>
      <c r="X397" s="1111"/>
      <c r="Y397" s="1111"/>
      <c r="Z397" s="1111"/>
      <c r="AA397" s="1111"/>
      <c r="AB397" s="1111"/>
      <c r="AC397" s="1111"/>
      <c r="AD397" s="1111"/>
      <c r="AE397" s="1111"/>
      <c r="AF397" s="1111"/>
      <c r="AG397" s="1111"/>
      <c r="AH397" s="1111"/>
      <c r="AI397" s="1111"/>
      <c r="AJ397" s="1111"/>
      <c r="AK397" s="1111"/>
      <c r="AL397" s="1111"/>
      <c r="AM397" s="1111"/>
      <c r="AN397" s="1111"/>
      <c r="AO397" s="1111"/>
      <c r="AP397" s="1111"/>
      <c r="AQ397" s="1111"/>
      <c r="AR397" s="1111"/>
      <c r="AS397" s="1111"/>
      <c r="AT397" s="1111"/>
      <c r="AU397" s="1111"/>
      <c r="AV397" s="1111"/>
      <c r="AW397" s="1111"/>
      <c r="AX397" s="1111"/>
      <c r="AY397" s="1111"/>
      <c r="AZ397" s="1111"/>
      <c r="BA397" s="1111"/>
      <c r="BB397" s="1111"/>
      <c r="BC397" s="1111"/>
      <c r="BD397" s="1111"/>
      <c r="BE397" s="1111"/>
      <c r="BF397" s="1111"/>
      <c r="BG397" s="1111"/>
      <c r="BH397" s="1111"/>
      <c r="BI397" s="1111"/>
      <c r="BJ397" s="1111"/>
      <c r="BK397" s="1111"/>
      <c r="BL397" s="1111"/>
      <c r="BM397" s="1111"/>
      <c r="BN397" s="1111"/>
      <c r="BO397" s="1111"/>
      <c r="BP397" s="1111"/>
      <c r="BQ397" s="1111"/>
      <c r="BR397" s="1111"/>
      <c r="BS397" s="1111"/>
      <c r="BT397" s="1111"/>
      <c r="BU397" s="1111"/>
      <c r="BV397" s="1111"/>
      <c r="BW397" s="1111"/>
      <c r="BX397" s="1111"/>
      <c r="BY397" s="1111"/>
      <c r="BZ397" s="1111"/>
      <c r="CA397" s="1111"/>
      <c r="CB397" s="1111"/>
      <c r="CC397" s="1111"/>
      <c r="CD397" s="1111"/>
      <c r="CE397" s="1111"/>
      <c r="CF397" s="1111"/>
      <c r="CG397" s="1111"/>
      <c r="CH397" s="1111"/>
      <c r="CI397" s="1111"/>
      <c r="CJ397" s="1111"/>
      <c r="CK397" s="1110"/>
    </row>
    <row r="398" spans="1:89" ht="14.4" x14ac:dyDescent="0.3">
      <c r="A398" s="1110"/>
      <c r="B398" s="1110"/>
      <c r="C398" s="1110"/>
      <c r="D398" s="1110"/>
      <c r="E398" s="1110"/>
      <c r="F398" s="1110"/>
      <c r="G398" s="1110"/>
      <c r="H398" s="1110"/>
      <c r="I398" s="1110"/>
      <c r="J398" s="1110"/>
      <c r="K398" s="1110"/>
      <c r="L398" s="1110"/>
      <c r="M398" s="1110"/>
      <c r="N398" s="1110"/>
      <c r="O398" s="1110"/>
      <c r="P398" s="1110"/>
      <c r="Q398" s="1110"/>
      <c r="R398" s="1110"/>
      <c r="S398" s="1110"/>
      <c r="T398" s="1111"/>
      <c r="U398" s="1111"/>
      <c r="V398" s="1111"/>
      <c r="W398" s="1111"/>
      <c r="X398" s="1111"/>
      <c r="Y398" s="1111"/>
      <c r="Z398" s="1111"/>
      <c r="AA398" s="1111"/>
      <c r="AB398" s="1111"/>
      <c r="AC398" s="1111"/>
      <c r="AD398" s="1111"/>
      <c r="AE398" s="1111"/>
      <c r="AF398" s="1111"/>
      <c r="AG398" s="1111"/>
      <c r="AH398" s="1111"/>
      <c r="AI398" s="1111"/>
      <c r="AJ398" s="1111"/>
      <c r="AK398" s="1111"/>
      <c r="AL398" s="1111"/>
      <c r="AM398" s="1111"/>
      <c r="AN398" s="1111"/>
      <c r="AO398" s="1111"/>
      <c r="AP398" s="1111"/>
      <c r="AQ398" s="1111"/>
      <c r="AR398" s="1111"/>
      <c r="AS398" s="1111"/>
      <c r="AT398" s="1111"/>
      <c r="AU398" s="1111"/>
      <c r="AV398" s="1111"/>
      <c r="AW398" s="1111"/>
      <c r="AX398" s="1111"/>
      <c r="AY398" s="1111"/>
      <c r="AZ398" s="1111"/>
      <c r="BA398" s="1111"/>
      <c r="BB398" s="1111"/>
      <c r="BC398" s="1111"/>
      <c r="BD398" s="1111"/>
      <c r="BE398" s="1111"/>
      <c r="BF398" s="1111"/>
      <c r="BG398" s="1111"/>
      <c r="BH398" s="1111"/>
      <c r="BI398" s="1111"/>
      <c r="BJ398" s="1111"/>
      <c r="BK398" s="1111"/>
      <c r="BL398" s="1111"/>
      <c r="BM398" s="1111"/>
      <c r="BN398" s="1111"/>
      <c r="BO398" s="1111"/>
      <c r="BP398" s="1111"/>
      <c r="BQ398" s="1111"/>
      <c r="BR398" s="1111"/>
      <c r="BS398" s="1111"/>
      <c r="BT398" s="1111"/>
      <c r="BU398" s="1111"/>
      <c r="BV398" s="1111"/>
      <c r="BW398" s="1111"/>
      <c r="BX398" s="1111"/>
      <c r="BY398" s="1111"/>
      <c r="BZ398" s="1111"/>
      <c r="CA398" s="1111"/>
      <c r="CB398" s="1111"/>
      <c r="CC398" s="1111"/>
      <c r="CD398" s="1111"/>
      <c r="CE398" s="1111"/>
      <c r="CF398" s="1111"/>
      <c r="CG398" s="1111"/>
      <c r="CH398" s="1111"/>
      <c r="CI398" s="1111"/>
      <c r="CJ398" s="1111"/>
      <c r="CK398" s="1110"/>
    </row>
    <row r="399" spans="1:89" ht="14.4" x14ac:dyDescent="0.3">
      <c r="A399" s="1110"/>
      <c r="B399" s="1110"/>
      <c r="C399" s="1110"/>
      <c r="D399" s="1110"/>
      <c r="E399" s="1110"/>
      <c r="F399" s="1110"/>
      <c r="G399" s="1110"/>
      <c r="H399" s="1110"/>
      <c r="I399" s="1110"/>
      <c r="J399" s="1110"/>
      <c r="K399" s="1110"/>
      <c r="L399" s="1110"/>
      <c r="M399" s="1110"/>
      <c r="N399" s="1110"/>
      <c r="O399" s="1110"/>
      <c r="P399" s="1110"/>
      <c r="Q399" s="1110"/>
      <c r="R399" s="1110"/>
      <c r="S399" s="1110"/>
      <c r="T399" s="1111"/>
      <c r="U399" s="1111"/>
      <c r="V399" s="1111"/>
      <c r="W399" s="1111"/>
      <c r="X399" s="1111"/>
      <c r="Y399" s="1111"/>
      <c r="Z399" s="1111"/>
      <c r="AA399" s="1111"/>
      <c r="AB399" s="1111"/>
      <c r="AC399" s="1111"/>
      <c r="AD399" s="1111"/>
      <c r="AE399" s="1111"/>
      <c r="AF399" s="1111"/>
      <c r="AG399" s="1111"/>
      <c r="AH399" s="1111"/>
      <c r="AI399" s="1111"/>
      <c r="AJ399" s="1111"/>
      <c r="AK399" s="1111"/>
      <c r="AL399" s="1111"/>
      <c r="AM399" s="1111"/>
      <c r="AN399" s="1111"/>
      <c r="AO399" s="1111"/>
      <c r="AP399" s="1111"/>
      <c r="AQ399" s="1111"/>
      <c r="AR399" s="1111"/>
      <c r="AS399" s="1111"/>
      <c r="AT399" s="1111"/>
      <c r="AU399" s="1111"/>
      <c r="AV399" s="1111"/>
      <c r="AW399" s="1111"/>
      <c r="AX399" s="1111"/>
      <c r="AY399" s="1111"/>
      <c r="AZ399" s="1111"/>
      <c r="BA399" s="1111"/>
      <c r="BB399" s="1111"/>
      <c r="BC399" s="1111"/>
      <c r="BD399" s="1111"/>
      <c r="BE399" s="1111"/>
      <c r="BF399" s="1111"/>
      <c r="BG399" s="1111"/>
      <c r="BH399" s="1111"/>
      <c r="BI399" s="1111"/>
      <c r="BJ399" s="1111"/>
      <c r="BK399" s="1111"/>
      <c r="BL399" s="1111"/>
      <c r="BM399" s="1111"/>
      <c r="BN399" s="1111"/>
      <c r="BO399" s="1111"/>
      <c r="BP399" s="1111"/>
      <c r="BQ399" s="1111"/>
      <c r="BR399" s="1111"/>
      <c r="BS399" s="1111"/>
      <c r="BT399" s="1111"/>
      <c r="BU399" s="1111"/>
      <c r="BV399" s="1111"/>
      <c r="BW399" s="1111"/>
      <c r="BX399" s="1111"/>
      <c r="BY399" s="1111"/>
      <c r="BZ399" s="1111"/>
      <c r="CA399" s="1111"/>
      <c r="CB399" s="1111"/>
      <c r="CC399" s="1111"/>
      <c r="CD399" s="1111"/>
      <c r="CE399" s="1111"/>
      <c r="CF399" s="1111"/>
      <c r="CG399" s="1111"/>
      <c r="CH399" s="1111"/>
      <c r="CI399" s="1111"/>
      <c r="CJ399" s="1111"/>
      <c r="CK399" s="1110"/>
    </row>
    <row r="400" spans="1:89" ht="14.4" x14ac:dyDescent="0.3">
      <c r="A400" s="1110"/>
      <c r="B400" s="1110"/>
      <c r="C400" s="1110"/>
      <c r="D400" s="1110"/>
      <c r="E400" s="1110"/>
      <c r="F400" s="1110"/>
      <c r="G400" s="1110"/>
      <c r="H400" s="1110"/>
      <c r="I400" s="1110"/>
      <c r="J400" s="1110"/>
      <c r="K400" s="1110"/>
      <c r="L400" s="1110"/>
      <c r="M400" s="1110"/>
      <c r="N400" s="1110"/>
      <c r="O400" s="1110"/>
      <c r="P400" s="1110"/>
      <c r="Q400" s="1110"/>
      <c r="R400" s="1110"/>
      <c r="S400" s="1110"/>
      <c r="T400" s="1111"/>
      <c r="U400" s="1111"/>
      <c r="V400" s="1111"/>
      <c r="W400" s="1111"/>
      <c r="X400" s="1111"/>
      <c r="Y400" s="1111"/>
      <c r="Z400" s="1111"/>
      <c r="AA400" s="1111"/>
      <c r="AB400" s="1111"/>
      <c r="AC400" s="1111"/>
      <c r="AD400" s="1111"/>
      <c r="AE400" s="1111"/>
      <c r="AF400" s="1111"/>
      <c r="AG400" s="1111"/>
      <c r="AH400" s="1111"/>
      <c r="AI400" s="1111"/>
      <c r="AJ400" s="1111"/>
      <c r="AK400" s="1111"/>
      <c r="AL400" s="1111"/>
      <c r="AM400" s="1111"/>
      <c r="AN400" s="1111"/>
      <c r="AO400" s="1111"/>
      <c r="AP400" s="1111"/>
      <c r="AQ400" s="1111"/>
      <c r="AR400" s="1111"/>
      <c r="AS400" s="1111"/>
      <c r="AT400" s="1111"/>
      <c r="AU400" s="1111"/>
      <c r="AV400" s="1111"/>
      <c r="AW400" s="1111"/>
      <c r="AX400" s="1111"/>
      <c r="AY400" s="1111"/>
      <c r="AZ400" s="1111"/>
      <c r="BA400" s="1111"/>
      <c r="BB400" s="1111"/>
      <c r="BC400" s="1111"/>
      <c r="BD400" s="1111"/>
      <c r="BE400" s="1111"/>
      <c r="BF400" s="1111"/>
      <c r="BG400" s="1111"/>
      <c r="BH400" s="1111"/>
      <c r="BI400" s="1111"/>
      <c r="BJ400" s="1111"/>
      <c r="BK400" s="1111"/>
      <c r="BL400" s="1111"/>
      <c r="BM400" s="1111"/>
      <c r="BN400" s="1111"/>
      <c r="BO400" s="1111"/>
      <c r="BP400" s="1111"/>
      <c r="BQ400" s="1111"/>
      <c r="BR400" s="1111"/>
      <c r="BS400" s="1111"/>
      <c r="BT400" s="1111"/>
      <c r="BU400" s="1111"/>
      <c r="BV400" s="1111"/>
      <c r="BW400" s="1111"/>
      <c r="BX400" s="1111"/>
      <c r="BY400" s="1111"/>
      <c r="BZ400" s="1111"/>
      <c r="CA400" s="1111"/>
      <c r="CB400" s="1111"/>
      <c r="CC400" s="1111"/>
      <c r="CD400" s="1111"/>
      <c r="CE400" s="1111"/>
      <c r="CF400" s="1111"/>
      <c r="CG400" s="1111"/>
      <c r="CH400" s="1111"/>
      <c r="CI400" s="1111"/>
      <c r="CJ400" s="1111"/>
      <c r="CK400" s="1110"/>
    </row>
    <row r="401" spans="1:89" ht="14.4" x14ac:dyDescent="0.3">
      <c r="A401" s="1110"/>
      <c r="B401" s="1110"/>
      <c r="C401" s="1110"/>
      <c r="D401" s="1110"/>
      <c r="E401" s="1110"/>
      <c r="F401" s="1110"/>
      <c r="G401" s="1110"/>
      <c r="H401" s="1110"/>
      <c r="I401" s="1110"/>
      <c r="J401" s="1110"/>
      <c r="K401" s="1110"/>
      <c r="L401" s="1110"/>
      <c r="M401" s="1110"/>
      <c r="N401" s="1110"/>
      <c r="O401" s="1110"/>
      <c r="P401" s="1110"/>
      <c r="Q401" s="1110"/>
      <c r="R401" s="1110"/>
      <c r="S401" s="1110"/>
      <c r="T401" s="1111"/>
      <c r="U401" s="1111"/>
      <c r="V401" s="1111"/>
      <c r="W401" s="1111"/>
      <c r="X401" s="1111"/>
      <c r="Y401" s="1111"/>
      <c r="Z401" s="1111"/>
      <c r="AA401" s="1111"/>
      <c r="AB401" s="1111"/>
      <c r="AC401" s="1111"/>
      <c r="AD401" s="1111"/>
      <c r="AE401" s="1111"/>
      <c r="AF401" s="1111"/>
      <c r="AG401" s="1111"/>
      <c r="AH401" s="1111"/>
      <c r="AI401" s="1111"/>
      <c r="AJ401" s="1111"/>
      <c r="AK401" s="1111"/>
      <c r="AL401" s="1111"/>
      <c r="AM401" s="1111"/>
      <c r="AN401" s="1111"/>
      <c r="AO401" s="1111"/>
      <c r="AP401" s="1111"/>
      <c r="AQ401" s="1111"/>
      <c r="AR401" s="1111"/>
      <c r="AS401" s="1111"/>
      <c r="AT401" s="1111"/>
      <c r="AU401" s="1111"/>
      <c r="AV401" s="1111"/>
      <c r="AW401" s="1111"/>
      <c r="AX401" s="1111"/>
      <c r="AY401" s="1111"/>
      <c r="AZ401" s="1111"/>
      <c r="BA401" s="1111"/>
      <c r="BB401" s="1111"/>
      <c r="BC401" s="1111"/>
      <c r="BD401" s="1111"/>
      <c r="BE401" s="1111"/>
      <c r="BF401" s="1111"/>
      <c r="BG401" s="1111"/>
      <c r="BH401" s="1111"/>
      <c r="BI401" s="1111"/>
      <c r="BJ401" s="1111"/>
      <c r="BK401" s="1111"/>
      <c r="BL401" s="1111"/>
      <c r="BM401" s="1111"/>
      <c r="BN401" s="1111"/>
      <c r="BO401" s="1111"/>
      <c r="BP401" s="1111"/>
      <c r="BQ401" s="1111"/>
      <c r="BR401" s="1111"/>
      <c r="BS401" s="1111"/>
      <c r="BT401" s="1111"/>
      <c r="BU401" s="1111"/>
      <c r="BV401" s="1111"/>
      <c r="BW401" s="1111"/>
      <c r="BX401" s="1111"/>
      <c r="BY401" s="1111"/>
      <c r="BZ401" s="1111"/>
      <c r="CA401" s="1111"/>
      <c r="CB401" s="1111"/>
      <c r="CC401" s="1111"/>
      <c r="CD401" s="1111"/>
      <c r="CE401" s="1111"/>
      <c r="CF401" s="1111"/>
      <c r="CG401" s="1111"/>
      <c r="CH401" s="1111"/>
      <c r="CI401" s="1111"/>
      <c r="CJ401" s="1111"/>
      <c r="CK401" s="1110"/>
    </row>
    <row r="402" spans="1:89" ht="14.4" x14ac:dyDescent="0.3">
      <c r="A402" s="1110"/>
      <c r="B402" s="1110"/>
      <c r="C402" s="1110"/>
      <c r="D402" s="1110"/>
      <c r="E402" s="1110"/>
      <c r="F402" s="1110"/>
      <c r="G402" s="1110"/>
      <c r="H402" s="1110"/>
      <c r="I402" s="1110"/>
      <c r="J402" s="1110"/>
      <c r="K402" s="1110"/>
      <c r="L402" s="1110"/>
      <c r="M402" s="1110"/>
      <c r="N402" s="1110"/>
      <c r="O402" s="1110"/>
      <c r="P402" s="1110"/>
      <c r="Q402" s="1110"/>
      <c r="R402" s="1110"/>
      <c r="S402" s="1110"/>
      <c r="T402" s="1111"/>
      <c r="U402" s="1111"/>
      <c r="V402" s="1111"/>
      <c r="W402" s="1111"/>
      <c r="X402" s="1111"/>
      <c r="Y402" s="1111"/>
      <c r="Z402" s="1111"/>
      <c r="AA402" s="1111"/>
      <c r="AB402" s="1111"/>
      <c r="AC402" s="1111"/>
      <c r="AD402" s="1111"/>
      <c r="AE402" s="1111"/>
      <c r="AF402" s="1111"/>
      <c r="AG402" s="1111"/>
      <c r="AH402" s="1111"/>
      <c r="AI402" s="1111"/>
      <c r="AJ402" s="1111"/>
      <c r="AK402" s="1111"/>
      <c r="AL402" s="1111"/>
      <c r="AM402" s="1111"/>
      <c r="AN402" s="1111"/>
      <c r="AO402" s="1111"/>
      <c r="AP402" s="1111"/>
      <c r="AQ402" s="1111"/>
      <c r="AR402" s="1111"/>
      <c r="AS402" s="1111"/>
      <c r="AT402" s="1111"/>
      <c r="AU402" s="1111"/>
      <c r="AV402" s="1111"/>
      <c r="AW402" s="1111"/>
      <c r="AX402" s="1111"/>
      <c r="AY402" s="1111"/>
      <c r="AZ402" s="1111"/>
      <c r="BA402" s="1111"/>
      <c r="BB402" s="1111"/>
      <c r="BC402" s="1111"/>
      <c r="BD402" s="1111"/>
      <c r="BE402" s="1111"/>
      <c r="BF402" s="1111"/>
      <c r="BG402" s="1111"/>
      <c r="BH402" s="1111"/>
      <c r="BI402" s="1111"/>
      <c r="BJ402" s="1111"/>
      <c r="BK402" s="1111"/>
      <c r="BL402" s="1111"/>
      <c r="BM402" s="1111"/>
      <c r="BN402" s="1111"/>
      <c r="BO402" s="1111"/>
      <c r="BP402" s="1111"/>
      <c r="BQ402" s="1111"/>
      <c r="BR402" s="1111"/>
      <c r="BS402" s="1111"/>
      <c r="BT402" s="1111"/>
      <c r="BU402" s="1111"/>
      <c r="BV402" s="1111"/>
      <c r="BW402" s="1111"/>
      <c r="BX402" s="1111"/>
      <c r="BY402" s="1111"/>
      <c r="BZ402" s="1111"/>
      <c r="CA402" s="1111"/>
      <c r="CB402" s="1111"/>
      <c r="CC402" s="1111"/>
      <c r="CD402" s="1111"/>
      <c r="CE402" s="1111"/>
      <c r="CF402" s="1111"/>
      <c r="CG402" s="1111"/>
      <c r="CH402" s="1111"/>
      <c r="CI402" s="1111"/>
      <c r="CJ402" s="1111"/>
      <c r="CK402" s="1110"/>
    </row>
    <row r="403" spans="1:89" ht="14.4" x14ac:dyDescent="0.3">
      <c r="A403" s="1110"/>
      <c r="B403" s="1110"/>
      <c r="C403" s="1110"/>
      <c r="D403" s="1110"/>
      <c r="E403" s="1110"/>
      <c r="F403" s="1110"/>
      <c r="G403" s="1110"/>
      <c r="H403" s="1110"/>
      <c r="I403" s="1110"/>
      <c r="J403" s="1110"/>
      <c r="K403" s="1110"/>
      <c r="L403" s="1110"/>
      <c r="M403" s="1110"/>
      <c r="N403" s="1110"/>
      <c r="O403" s="1110"/>
      <c r="P403" s="1110"/>
      <c r="Q403" s="1110"/>
      <c r="R403" s="1110"/>
      <c r="S403" s="1110"/>
      <c r="T403" s="1111"/>
      <c r="U403" s="1111"/>
      <c r="V403" s="1111"/>
      <c r="W403" s="1111"/>
      <c r="X403" s="1111"/>
      <c r="Y403" s="1111"/>
      <c r="Z403" s="1111"/>
      <c r="AA403" s="1111"/>
      <c r="AB403" s="1111"/>
      <c r="AC403" s="1111"/>
      <c r="AD403" s="1111"/>
      <c r="AE403" s="1111"/>
      <c r="AF403" s="1111"/>
      <c r="AG403" s="1111"/>
      <c r="AH403" s="1111"/>
      <c r="AI403" s="1111"/>
      <c r="AJ403" s="1111"/>
      <c r="AK403" s="1111"/>
      <c r="AL403" s="1111"/>
      <c r="AM403" s="1111"/>
      <c r="AN403" s="1111"/>
      <c r="AO403" s="1111"/>
      <c r="AP403" s="1111"/>
      <c r="AQ403" s="1111"/>
      <c r="AR403" s="1111"/>
      <c r="AS403" s="1111"/>
      <c r="AT403" s="1111"/>
      <c r="AU403" s="1111"/>
      <c r="AV403" s="1111"/>
      <c r="AW403" s="1111"/>
      <c r="AX403" s="1111"/>
      <c r="AY403" s="1111"/>
      <c r="AZ403" s="1111"/>
      <c r="BA403" s="1111"/>
      <c r="BB403" s="1111"/>
      <c r="BC403" s="1111"/>
      <c r="BD403" s="1111"/>
      <c r="BE403" s="1111"/>
      <c r="BF403" s="1111"/>
      <c r="BG403" s="1111"/>
      <c r="BH403" s="1111"/>
      <c r="BI403" s="1111"/>
      <c r="BJ403" s="1111"/>
      <c r="BK403" s="1111"/>
      <c r="BL403" s="1111"/>
      <c r="BM403" s="1111"/>
      <c r="BN403" s="1111"/>
      <c r="BO403" s="1111"/>
      <c r="BP403" s="1111"/>
      <c r="BQ403" s="1111"/>
      <c r="BR403" s="1111"/>
      <c r="BS403" s="1111"/>
      <c r="BT403" s="1111"/>
      <c r="BU403" s="1111"/>
      <c r="BV403" s="1111"/>
      <c r="BW403" s="1111"/>
      <c r="BX403" s="1111"/>
      <c r="BY403" s="1111"/>
      <c r="BZ403" s="1111"/>
      <c r="CA403" s="1111"/>
      <c r="CB403" s="1111"/>
      <c r="CC403" s="1111"/>
      <c r="CD403" s="1111"/>
      <c r="CE403" s="1111"/>
      <c r="CF403" s="1111"/>
      <c r="CG403" s="1111"/>
      <c r="CH403" s="1111"/>
      <c r="CI403" s="1111"/>
      <c r="CJ403" s="1111"/>
      <c r="CK403" s="1110"/>
    </row>
    <row r="404" spans="1:89" ht="14.4" x14ac:dyDescent="0.3">
      <c r="A404" s="1110"/>
      <c r="B404" s="1110"/>
      <c r="C404" s="1110"/>
      <c r="D404" s="1110"/>
      <c r="E404" s="1110"/>
      <c r="F404" s="1110"/>
      <c r="G404" s="1110"/>
      <c r="H404" s="1110"/>
      <c r="I404" s="1110"/>
      <c r="J404" s="1110"/>
      <c r="K404" s="1110"/>
      <c r="L404" s="1110"/>
      <c r="M404" s="1110"/>
      <c r="N404" s="1110"/>
      <c r="O404" s="1110"/>
      <c r="P404" s="1110"/>
      <c r="Q404" s="1110"/>
      <c r="R404" s="1110"/>
      <c r="S404" s="1110"/>
      <c r="T404" s="1111"/>
      <c r="U404" s="1111"/>
      <c r="V404" s="1111"/>
      <c r="W404" s="1111"/>
      <c r="X404" s="1111"/>
      <c r="Y404" s="1111"/>
      <c r="Z404" s="1111"/>
      <c r="AA404" s="1111"/>
      <c r="AB404" s="1111"/>
      <c r="AC404" s="1111"/>
      <c r="AD404" s="1111"/>
      <c r="AE404" s="1111"/>
      <c r="AF404" s="1111"/>
      <c r="AG404" s="1111"/>
      <c r="AH404" s="1111"/>
      <c r="AI404" s="1111"/>
      <c r="AJ404" s="1111"/>
      <c r="AK404" s="1111"/>
      <c r="AL404" s="1111"/>
      <c r="AM404" s="1111"/>
      <c r="AN404" s="1111"/>
      <c r="AO404" s="1111"/>
      <c r="AP404" s="1111"/>
      <c r="AQ404" s="1111"/>
      <c r="AR404" s="1111"/>
      <c r="AS404" s="1111"/>
      <c r="AT404" s="1111"/>
      <c r="AU404" s="1111"/>
      <c r="AV404" s="1111"/>
      <c r="AW404" s="1111"/>
      <c r="AX404" s="1111"/>
      <c r="AY404" s="1111"/>
      <c r="AZ404" s="1111"/>
      <c r="BA404" s="1111"/>
      <c r="BB404" s="1111"/>
      <c r="BC404" s="1111"/>
      <c r="BD404" s="1111"/>
      <c r="BE404" s="1111"/>
      <c r="BF404" s="1111"/>
      <c r="BG404" s="1111"/>
      <c r="BH404" s="1111"/>
      <c r="BI404" s="1111"/>
      <c r="BJ404" s="1111"/>
      <c r="BK404" s="1111"/>
      <c r="BL404" s="1111"/>
      <c r="BM404" s="1111"/>
      <c r="BN404" s="1111"/>
      <c r="BO404" s="1111"/>
      <c r="BP404" s="1111"/>
      <c r="BQ404" s="1111"/>
      <c r="BR404" s="1111"/>
      <c r="BS404" s="1111"/>
      <c r="BT404" s="1111"/>
      <c r="BU404" s="1111"/>
      <c r="BV404" s="1111"/>
      <c r="BW404" s="1111"/>
      <c r="BX404" s="1111"/>
      <c r="BY404" s="1111"/>
      <c r="BZ404" s="1111"/>
      <c r="CA404" s="1111"/>
      <c r="CB404" s="1111"/>
      <c r="CC404" s="1111"/>
      <c r="CD404" s="1111"/>
      <c r="CE404" s="1111"/>
      <c r="CF404" s="1111"/>
      <c r="CG404" s="1111"/>
      <c r="CH404" s="1111"/>
      <c r="CI404" s="1111"/>
      <c r="CJ404" s="1111"/>
      <c r="CK404" s="1110"/>
    </row>
    <row r="405" spans="1:89" ht="14.4" x14ac:dyDescent="0.3">
      <c r="A405" s="1110"/>
      <c r="B405" s="1110"/>
      <c r="C405" s="1110"/>
      <c r="D405" s="1110"/>
      <c r="E405" s="1110"/>
      <c r="F405" s="1110"/>
      <c r="G405" s="1110"/>
      <c r="H405" s="1110"/>
      <c r="I405" s="1110"/>
      <c r="J405" s="1110"/>
      <c r="K405" s="1110"/>
      <c r="L405" s="1110"/>
      <c r="M405" s="1110"/>
      <c r="N405" s="1110"/>
      <c r="O405" s="1110"/>
      <c r="P405" s="1110"/>
      <c r="Q405" s="1110"/>
      <c r="R405" s="1110"/>
      <c r="S405" s="1110"/>
      <c r="T405" s="1111"/>
      <c r="U405" s="1111"/>
      <c r="V405" s="1111"/>
      <c r="W405" s="1111"/>
      <c r="X405" s="1111"/>
      <c r="Y405" s="1111"/>
      <c r="Z405" s="1111"/>
      <c r="AA405" s="1111"/>
      <c r="AB405" s="1111"/>
      <c r="AC405" s="1111"/>
      <c r="AD405" s="1111"/>
      <c r="AE405" s="1111"/>
      <c r="AF405" s="1111"/>
      <c r="AG405" s="1111"/>
      <c r="AH405" s="1111"/>
      <c r="AI405" s="1111"/>
      <c r="AJ405" s="1111"/>
      <c r="AK405" s="1111"/>
      <c r="AL405" s="1111"/>
      <c r="AM405" s="1111"/>
      <c r="AN405" s="1111"/>
      <c r="AO405" s="1111"/>
      <c r="AP405" s="1111"/>
      <c r="AQ405" s="1111"/>
      <c r="AR405" s="1111"/>
      <c r="AS405" s="1111"/>
      <c r="AT405" s="1111"/>
      <c r="AU405" s="1111"/>
      <c r="AV405" s="1111"/>
      <c r="AW405" s="1111"/>
      <c r="AX405" s="1111"/>
      <c r="AY405" s="1111"/>
      <c r="AZ405" s="1111"/>
      <c r="BA405" s="1111"/>
      <c r="BB405" s="1111"/>
      <c r="BC405" s="1111"/>
      <c r="BD405" s="1111"/>
      <c r="BE405" s="1111"/>
      <c r="BF405" s="1111"/>
      <c r="BG405" s="1111"/>
      <c r="BH405" s="1111"/>
      <c r="BI405" s="1111"/>
      <c r="BJ405" s="1111"/>
      <c r="BK405" s="1111"/>
      <c r="BL405" s="1111"/>
      <c r="BM405" s="1111"/>
      <c r="BN405" s="1111"/>
      <c r="BO405" s="1111"/>
      <c r="BP405" s="1111"/>
      <c r="BQ405" s="1111"/>
      <c r="BR405" s="1111"/>
      <c r="BS405" s="1111"/>
      <c r="BT405" s="1111"/>
      <c r="BU405" s="1111"/>
      <c r="BV405" s="1111"/>
      <c r="BW405" s="1111"/>
      <c r="BX405" s="1111"/>
      <c r="BY405" s="1111"/>
      <c r="BZ405" s="1111"/>
      <c r="CA405" s="1111"/>
      <c r="CB405" s="1111"/>
      <c r="CC405" s="1111"/>
      <c r="CD405" s="1111"/>
      <c r="CE405" s="1111"/>
      <c r="CF405" s="1111"/>
      <c r="CG405" s="1111"/>
      <c r="CH405" s="1111"/>
      <c r="CI405" s="1111"/>
      <c r="CJ405" s="1111"/>
      <c r="CK405" s="1110"/>
    </row>
    <row r="406" spans="1:89" ht="14.4" x14ac:dyDescent="0.3">
      <c r="A406" s="1110"/>
      <c r="B406" s="1110"/>
      <c r="C406" s="1110"/>
      <c r="D406" s="1110"/>
      <c r="E406" s="1110"/>
      <c r="F406" s="1110"/>
      <c r="G406" s="1110"/>
      <c r="H406" s="1110"/>
      <c r="I406" s="1110"/>
      <c r="J406" s="1110"/>
      <c r="K406" s="1110"/>
      <c r="L406" s="1110"/>
      <c r="M406" s="1110"/>
      <c r="N406" s="1110"/>
      <c r="O406" s="1110"/>
      <c r="P406" s="1110"/>
      <c r="Q406" s="1110"/>
      <c r="R406" s="1110"/>
      <c r="S406" s="1110"/>
      <c r="T406" s="1111"/>
      <c r="U406" s="1111"/>
      <c r="V406" s="1111"/>
      <c r="W406" s="1111"/>
      <c r="X406" s="1111"/>
      <c r="Y406" s="1111"/>
      <c r="Z406" s="1111"/>
      <c r="AA406" s="1111"/>
      <c r="AB406" s="1111"/>
      <c r="AC406" s="1111"/>
      <c r="AD406" s="1111"/>
      <c r="AE406" s="1111"/>
      <c r="AF406" s="1111"/>
      <c r="AG406" s="1111"/>
      <c r="AH406" s="1111"/>
      <c r="AI406" s="1111"/>
      <c r="AJ406" s="1111"/>
      <c r="AK406" s="1111"/>
      <c r="AL406" s="1111"/>
      <c r="AM406" s="1111"/>
      <c r="AN406" s="1111"/>
      <c r="AO406" s="1111"/>
      <c r="AP406" s="1111"/>
      <c r="AQ406" s="1111"/>
      <c r="AR406" s="1111"/>
      <c r="AS406" s="1111"/>
      <c r="AT406" s="1111"/>
      <c r="AU406" s="1111"/>
      <c r="AV406" s="1111"/>
      <c r="AW406" s="1111"/>
      <c r="AX406" s="1111"/>
      <c r="AY406" s="1111"/>
      <c r="AZ406" s="1111"/>
      <c r="BA406" s="1111"/>
      <c r="BB406" s="1111"/>
      <c r="BC406" s="1111"/>
      <c r="BD406" s="1111"/>
      <c r="BE406" s="1111"/>
      <c r="BF406" s="1111"/>
      <c r="BG406" s="1111"/>
      <c r="BH406" s="1111"/>
      <c r="BI406" s="1111"/>
      <c r="BJ406" s="1111"/>
      <c r="BK406" s="1111"/>
      <c r="BL406" s="1111"/>
      <c r="BM406" s="1111"/>
      <c r="BN406" s="1111"/>
      <c r="BO406" s="1111"/>
      <c r="BP406" s="1111"/>
      <c r="BQ406" s="1111"/>
      <c r="BR406" s="1111"/>
      <c r="BS406" s="1111"/>
      <c r="BT406" s="1111"/>
      <c r="BU406" s="1111"/>
      <c r="BV406" s="1111"/>
      <c r="BW406" s="1111"/>
      <c r="BX406" s="1111"/>
      <c r="BY406" s="1111"/>
      <c r="BZ406" s="1111"/>
      <c r="CA406" s="1111"/>
      <c r="CB406" s="1111"/>
      <c r="CC406" s="1111"/>
      <c r="CD406" s="1111"/>
      <c r="CE406" s="1111"/>
      <c r="CF406" s="1111"/>
      <c r="CG406" s="1111"/>
      <c r="CH406" s="1111"/>
      <c r="CI406" s="1111"/>
      <c r="CJ406" s="1111"/>
      <c r="CK406" s="1110"/>
    </row>
    <row r="407" spans="1:89" ht="14.4" x14ac:dyDescent="0.3">
      <c r="A407" s="1110"/>
      <c r="B407" s="1110"/>
      <c r="C407" s="1110"/>
      <c r="D407" s="1110"/>
      <c r="E407" s="1110"/>
      <c r="F407" s="1110"/>
      <c r="G407" s="1110"/>
      <c r="H407" s="1110"/>
      <c r="I407" s="1110"/>
      <c r="J407" s="1110"/>
      <c r="K407" s="1110"/>
      <c r="L407" s="1110"/>
      <c r="M407" s="1110"/>
      <c r="N407" s="1110"/>
      <c r="O407" s="1110"/>
      <c r="P407" s="1110"/>
      <c r="Q407" s="1110"/>
      <c r="R407" s="1110"/>
      <c r="S407" s="1110"/>
      <c r="T407" s="1111"/>
      <c r="U407" s="1111"/>
      <c r="V407" s="1111"/>
      <c r="W407" s="1111"/>
      <c r="X407" s="1111"/>
      <c r="Y407" s="1111"/>
      <c r="Z407" s="1111"/>
      <c r="AA407" s="1111"/>
      <c r="AB407" s="1111"/>
      <c r="AC407" s="1111"/>
      <c r="AD407" s="1111"/>
      <c r="AE407" s="1111"/>
      <c r="AF407" s="1111"/>
      <c r="AG407" s="1111"/>
      <c r="AH407" s="1111"/>
      <c r="AI407" s="1111"/>
      <c r="AJ407" s="1111"/>
      <c r="AK407" s="1111"/>
      <c r="AL407" s="1111"/>
      <c r="AM407" s="1111"/>
      <c r="AN407" s="1111"/>
      <c r="AO407" s="1111"/>
      <c r="AP407" s="1111"/>
      <c r="AQ407" s="1111"/>
      <c r="AR407" s="1111"/>
      <c r="AS407" s="1111"/>
      <c r="AT407" s="1111"/>
      <c r="AU407" s="1111"/>
      <c r="AV407" s="1111"/>
      <c r="AW407" s="1111"/>
      <c r="AX407" s="1111"/>
      <c r="AY407" s="1111"/>
      <c r="AZ407" s="1111"/>
      <c r="BA407" s="1111"/>
      <c r="BB407" s="1111"/>
      <c r="BC407" s="1111"/>
      <c r="BD407" s="1111"/>
      <c r="BE407" s="1111"/>
      <c r="BF407" s="1111"/>
      <c r="BG407" s="1111"/>
      <c r="BH407" s="1111"/>
      <c r="BI407" s="1111"/>
      <c r="BJ407" s="1111"/>
      <c r="BK407" s="1111"/>
      <c r="BL407" s="1111"/>
      <c r="BM407" s="1111"/>
      <c r="BN407" s="1111"/>
      <c r="BO407" s="1111"/>
      <c r="BP407" s="1111"/>
      <c r="BQ407" s="1111"/>
      <c r="BR407" s="1111"/>
      <c r="BS407" s="1111"/>
      <c r="BT407" s="1111"/>
      <c r="BU407" s="1111"/>
      <c r="BV407" s="1111"/>
      <c r="BW407" s="1111"/>
      <c r="BX407" s="1111"/>
      <c r="BY407" s="1111"/>
      <c r="BZ407" s="1111"/>
      <c r="CA407" s="1111"/>
      <c r="CB407" s="1111"/>
      <c r="CC407" s="1111"/>
      <c r="CD407" s="1111"/>
      <c r="CE407" s="1111"/>
      <c r="CF407" s="1111"/>
      <c r="CG407" s="1111"/>
      <c r="CH407" s="1111"/>
      <c r="CI407" s="1111"/>
      <c r="CJ407" s="1111"/>
      <c r="CK407" s="1110"/>
    </row>
    <row r="408" spans="1:89" ht="14.4" x14ac:dyDescent="0.3">
      <c r="A408" s="1110"/>
      <c r="B408" s="1110"/>
      <c r="C408" s="1110"/>
      <c r="D408" s="1110"/>
      <c r="E408" s="1110"/>
      <c r="F408" s="1110"/>
      <c r="G408" s="1110"/>
      <c r="H408" s="1110"/>
      <c r="I408" s="1110"/>
      <c r="J408" s="1110"/>
      <c r="K408" s="1110"/>
      <c r="L408" s="1110"/>
      <c r="M408" s="1110"/>
      <c r="N408" s="1110"/>
      <c r="O408" s="1110"/>
      <c r="P408" s="1110"/>
      <c r="Q408" s="1110"/>
      <c r="R408" s="1110"/>
      <c r="S408" s="1110"/>
      <c r="T408" s="1111"/>
      <c r="U408" s="1111"/>
      <c r="V408" s="1111"/>
      <c r="W408" s="1111"/>
      <c r="X408" s="1111"/>
      <c r="Y408" s="1111"/>
      <c r="Z408" s="1111"/>
      <c r="AA408" s="1111"/>
      <c r="AB408" s="1111"/>
      <c r="AC408" s="1111"/>
      <c r="AD408" s="1111"/>
      <c r="AE408" s="1111"/>
      <c r="AF408" s="1111"/>
      <c r="AG408" s="1111"/>
      <c r="AH408" s="1111"/>
      <c r="AI408" s="1111"/>
      <c r="AJ408" s="1111"/>
      <c r="AK408" s="1111"/>
      <c r="AL408" s="1111"/>
      <c r="AM408" s="1111"/>
      <c r="AN408" s="1111"/>
      <c r="AO408" s="1111"/>
      <c r="AP408" s="1111"/>
      <c r="AQ408" s="1111"/>
      <c r="AR408" s="1111"/>
      <c r="AS408" s="1111"/>
      <c r="AT408" s="1111"/>
      <c r="AU408" s="1111"/>
      <c r="AV408" s="1111"/>
      <c r="AW408" s="1111"/>
      <c r="AX408" s="1111"/>
      <c r="AY408" s="1111"/>
      <c r="AZ408" s="1111"/>
      <c r="BA408" s="1111"/>
      <c r="BB408" s="1111"/>
      <c r="BC408" s="1111"/>
      <c r="BD408" s="1111"/>
      <c r="BE408" s="1111"/>
      <c r="BF408" s="1111"/>
      <c r="BG408" s="1111"/>
      <c r="BH408" s="1111"/>
      <c r="BI408" s="1111"/>
      <c r="BJ408" s="1111"/>
      <c r="BK408" s="1111"/>
      <c r="BL408" s="1111"/>
      <c r="BM408" s="1111"/>
      <c r="BN408" s="1111"/>
      <c r="BO408" s="1111"/>
      <c r="BP408" s="1111"/>
      <c r="BQ408" s="1111"/>
      <c r="BR408" s="1111"/>
      <c r="BS408" s="1111"/>
      <c r="BT408" s="1111"/>
      <c r="BU408" s="1111"/>
      <c r="BV408" s="1111"/>
      <c r="BW408" s="1111"/>
      <c r="BX408" s="1111"/>
      <c r="BY408" s="1111"/>
      <c r="BZ408" s="1111"/>
      <c r="CA408" s="1111"/>
      <c r="CB408" s="1111"/>
      <c r="CC408" s="1111"/>
      <c r="CD408" s="1111"/>
      <c r="CE408" s="1111"/>
      <c r="CF408" s="1111"/>
      <c r="CG408" s="1111"/>
      <c r="CH408" s="1111"/>
      <c r="CI408" s="1111"/>
      <c r="CJ408" s="1111"/>
      <c r="CK408" s="1110"/>
    </row>
    <row r="409" spans="1:89" ht="14.4" x14ac:dyDescent="0.3">
      <c r="A409" s="1110"/>
      <c r="B409" s="1110"/>
      <c r="C409" s="1110"/>
      <c r="D409" s="1110"/>
      <c r="E409" s="1110"/>
      <c r="F409" s="1110"/>
      <c r="G409" s="1110"/>
      <c r="H409" s="1110"/>
      <c r="I409" s="1110"/>
      <c r="J409" s="1110"/>
      <c r="K409" s="1110"/>
      <c r="L409" s="1110"/>
      <c r="M409" s="1110"/>
      <c r="N409" s="1110"/>
      <c r="O409" s="1110"/>
      <c r="P409" s="1110"/>
      <c r="Q409" s="1110"/>
      <c r="R409" s="1110"/>
      <c r="S409" s="1110"/>
      <c r="T409" s="1111"/>
      <c r="U409" s="1111"/>
      <c r="V409" s="1111"/>
      <c r="W409" s="1111"/>
      <c r="X409" s="1111"/>
      <c r="Y409" s="1111"/>
      <c r="Z409" s="1111"/>
      <c r="AA409" s="1111"/>
      <c r="AB409" s="1111"/>
      <c r="AC409" s="1111"/>
      <c r="AD409" s="1111"/>
      <c r="AE409" s="1111"/>
      <c r="AF409" s="1111"/>
      <c r="AG409" s="1111"/>
      <c r="AH409" s="1111"/>
      <c r="AI409" s="1111"/>
      <c r="AJ409" s="1111"/>
      <c r="AK409" s="1111"/>
      <c r="AL409" s="1111"/>
      <c r="AM409" s="1111"/>
      <c r="AN409" s="1111"/>
      <c r="AO409" s="1111"/>
      <c r="AP409" s="1111"/>
      <c r="AQ409" s="1111"/>
      <c r="AR409" s="1111"/>
      <c r="AS409" s="1111"/>
      <c r="AT409" s="1111"/>
      <c r="AU409" s="1111"/>
      <c r="AV409" s="1111"/>
      <c r="AW409" s="1111"/>
      <c r="AX409" s="1111"/>
      <c r="AY409" s="1111"/>
      <c r="AZ409" s="1111"/>
      <c r="BA409" s="1111"/>
      <c r="BB409" s="1111"/>
      <c r="BC409" s="1111"/>
      <c r="BD409" s="1111"/>
      <c r="BE409" s="1111"/>
      <c r="BF409" s="1111"/>
      <c r="BG409" s="1111"/>
      <c r="BH409" s="1111"/>
      <c r="BI409" s="1111"/>
      <c r="BJ409" s="1111"/>
      <c r="BK409" s="1111"/>
      <c r="BL409" s="1111"/>
      <c r="BM409" s="1111"/>
      <c r="BN409" s="1111"/>
      <c r="BO409" s="1111"/>
      <c r="BP409" s="1111"/>
      <c r="BQ409" s="1111"/>
      <c r="BR409" s="1111"/>
      <c r="BS409" s="1111"/>
      <c r="BT409" s="1111"/>
      <c r="BU409" s="1111"/>
      <c r="BV409" s="1111"/>
      <c r="BW409" s="1111"/>
      <c r="BX409" s="1111"/>
      <c r="BY409" s="1111"/>
      <c r="BZ409" s="1111"/>
      <c r="CA409" s="1111"/>
      <c r="CB409" s="1111"/>
      <c r="CC409" s="1111"/>
      <c r="CD409" s="1111"/>
      <c r="CE409" s="1111"/>
      <c r="CF409" s="1111"/>
      <c r="CG409" s="1111"/>
      <c r="CH409" s="1111"/>
      <c r="CI409" s="1111"/>
      <c r="CJ409" s="1111"/>
      <c r="CK409" s="1110"/>
    </row>
    <row r="410" spans="1:89" ht="14.4" x14ac:dyDescent="0.3">
      <c r="A410" s="1110"/>
      <c r="B410" s="1110"/>
      <c r="C410" s="1110"/>
      <c r="D410" s="1110"/>
      <c r="E410" s="1110"/>
      <c r="F410" s="1110"/>
      <c r="G410" s="1110"/>
      <c r="H410" s="1110"/>
      <c r="I410" s="1110"/>
      <c r="J410" s="1110"/>
      <c r="K410" s="1110"/>
      <c r="L410" s="1110"/>
      <c r="M410" s="1110"/>
      <c r="N410" s="1110"/>
      <c r="O410" s="1110"/>
      <c r="P410" s="1110"/>
      <c r="Q410" s="1110"/>
      <c r="R410" s="1110"/>
      <c r="S410" s="1110"/>
      <c r="T410" s="1111"/>
      <c r="U410" s="1111"/>
      <c r="V410" s="1111"/>
      <c r="W410" s="1111"/>
      <c r="X410" s="1111"/>
      <c r="Y410" s="1111"/>
      <c r="Z410" s="1111"/>
      <c r="AA410" s="1111"/>
      <c r="AB410" s="1111"/>
      <c r="AC410" s="1111"/>
      <c r="AD410" s="1111"/>
      <c r="AE410" s="1111"/>
      <c r="AF410" s="1111"/>
      <c r="AG410" s="1111"/>
      <c r="AH410" s="1111"/>
      <c r="AI410" s="1111"/>
      <c r="AJ410" s="1111"/>
      <c r="AK410" s="1111"/>
      <c r="AL410" s="1111"/>
      <c r="AM410" s="1111"/>
      <c r="AN410" s="1111"/>
      <c r="AO410" s="1111"/>
      <c r="AP410" s="1111"/>
      <c r="AQ410" s="1111"/>
      <c r="AR410" s="1111"/>
      <c r="AS410" s="1111"/>
      <c r="AT410" s="1111"/>
      <c r="AU410" s="1111"/>
      <c r="AV410" s="1111"/>
      <c r="AW410" s="1111"/>
      <c r="AX410" s="1111"/>
      <c r="AY410" s="1111"/>
      <c r="AZ410" s="1111"/>
      <c r="BA410" s="1111"/>
      <c r="BB410" s="1111"/>
      <c r="BC410" s="1111"/>
      <c r="BD410" s="1111"/>
      <c r="BE410" s="1111"/>
      <c r="BF410" s="1111"/>
      <c r="BG410" s="1111"/>
      <c r="BH410" s="1111"/>
      <c r="BI410" s="1111"/>
      <c r="BJ410" s="1111"/>
      <c r="BK410" s="1111"/>
      <c r="BL410" s="1111"/>
      <c r="BM410" s="1111"/>
      <c r="BN410" s="1111"/>
      <c r="BO410" s="1111"/>
      <c r="BP410" s="1111"/>
      <c r="BQ410" s="1111"/>
      <c r="BR410" s="1111"/>
      <c r="BS410" s="1111"/>
      <c r="BT410" s="1111"/>
      <c r="BU410" s="1111"/>
      <c r="BV410" s="1111"/>
      <c r="BW410" s="1111"/>
      <c r="BX410" s="1111"/>
      <c r="BY410" s="1111"/>
      <c r="BZ410" s="1111"/>
      <c r="CA410" s="1111"/>
      <c r="CB410" s="1111"/>
      <c r="CC410" s="1111"/>
      <c r="CD410" s="1111"/>
      <c r="CE410" s="1111"/>
      <c r="CF410" s="1111"/>
      <c r="CG410" s="1111"/>
      <c r="CH410" s="1111"/>
      <c r="CI410" s="1111"/>
      <c r="CJ410" s="1111"/>
      <c r="CK410" s="1110"/>
    </row>
    <row r="411" spans="1:89" ht="14.4" x14ac:dyDescent="0.3">
      <c r="A411" s="1110"/>
      <c r="B411" s="1110"/>
      <c r="C411" s="1110"/>
      <c r="D411" s="1110"/>
      <c r="E411" s="1110"/>
      <c r="F411" s="1110"/>
      <c r="G411" s="1110"/>
      <c r="H411" s="1110"/>
      <c r="I411" s="1110"/>
      <c r="J411" s="1110"/>
      <c r="K411" s="1110"/>
      <c r="L411" s="1110"/>
      <c r="M411" s="1110"/>
      <c r="N411" s="1110"/>
      <c r="O411" s="1110"/>
      <c r="P411" s="1110"/>
      <c r="Q411" s="1110"/>
      <c r="R411" s="1110"/>
      <c r="S411" s="1110"/>
      <c r="T411" s="1111"/>
      <c r="U411" s="1111"/>
      <c r="V411" s="1111"/>
      <c r="W411" s="1111"/>
      <c r="X411" s="1111"/>
      <c r="Y411" s="1111"/>
      <c r="Z411" s="1111"/>
      <c r="AA411" s="1111"/>
      <c r="AB411" s="1111"/>
      <c r="AC411" s="1111"/>
      <c r="AD411" s="1111"/>
      <c r="AE411" s="1111"/>
      <c r="AF411" s="1111"/>
      <c r="AG411" s="1111"/>
      <c r="AH411" s="1111"/>
      <c r="AI411" s="1111"/>
      <c r="AJ411" s="1111"/>
      <c r="AK411" s="1111"/>
      <c r="AL411" s="1111"/>
      <c r="AM411" s="1111"/>
      <c r="AN411" s="1111"/>
      <c r="AO411" s="1111"/>
      <c r="AP411" s="1111"/>
      <c r="AQ411" s="1111"/>
      <c r="AR411" s="1111"/>
      <c r="AS411" s="1111"/>
      <c r="AT411" s="1111"/>
      <c r="AU411" s="1111"/>
      <c r="AV411" s="1111"/>
      <c r="AW411" s="1111"/>
      <c r="AX411" s="1111"/>
      <c r="AY411" s="1111"/>
      <c r="AZ411" s="1111"/>
      <c r="BA411" s="1111"/>
      <c r="BB411" s="1111"/>
      <c r="BC411" s="1111"/>
      <c r="BD411" s="1111"/>
      <c r="BE411" s="1111"/>
      <c r="BF411" s="1111"/>
      <c r="BG411" s="1111"/>
      <c r="BH411" s="1111"/>
      <c r="BI411" s="1111"/>
      <c r="BJ411" s="1111"/>
      <c r="BK411" s="1111"/>
      <c r="BL411" s="1111"/>
      <c r="BM411" s="1111"/>
      <c r="BN411" s="1111"/>
      <c r="BO411" s="1111"/>
      <c r="BP411" s="1111"/>
      <c r="BQ411" s="1111"/>
      <c r="BR411" s="1111"/>
      <c r="BS411" s="1111"/>
      <c r="BT411" s="1111"/>
      <c r="BU411" s="1111"/>
      <c r="BV411" s="1111"/>
      <c r="BW411" s="1111"/>
      <c r="BX411" s="1111"/>
      <c r="BY411" s="1111"/>
      <c r="BZ411" s="1111"/>
      <c r="CA411" s="1111"/>
      <c r="CB411" s="1111"/>
      <c r="CC411" s="1111"/>
      <c r="CD411" s="1111"/>
      <c r="CE411" s="1111"/>
      <c r="CF411" s="1111"/>
      <c r="CG411" s="1111"/>
      <c r="CH411" s="1111"/>
      <c r="CI411" s="1111"/>
      <c r="CJ411" s="1111"/>
      <c r="CK411" s="1110"/>
    </row>
    <row r="412" spans="1:89" ht="14.4" x14ac:dyDescent="0.3">
      <c r="A412" s="1110"/>
      <c r="B412" s="1110"/>
      <c r="C412" s="1110"/>
      <c r="D412" s="1110"/>
      <c r="E412" s="1110"/>
      <c r="F412" s="1110"/>
      <c r="G412" s="1110"/>
      <c r="H412" s="1110"/>
      <c r="I412" s="1110"/>
      <c r="J412" s="1110"/>
      <c r="K412" s="1110"/>
      <c r="L412" s="1110"/>
      <c r="M412" s="1110"/>
      <c r="N412" s="1110"/>
      <c r="O412" s="1110"/>
      <c r="P412" s="1110"/>
      <c r="Q412" s="1110"/>
      <c r="R412" s="1110"/>
      <c r="S412" s="1110"/>
      <c r="T412" s="1111"/>
      <c r="U412" s="1111"/>
      <c r="V412" s="1111"/>
      <c r="W412" s="1111"/>
      <c r="X412" s="1111"/>
      <c r="Y412" s="1111"/>
      <c r="Z412" s="1111"/>
      <c r="AA412" s="1111"/>
      <c r="AB412" s="1111"/>
      <c r="AC412" s="1111"/>
      <c r="AD412" s="1111"/>
      <c r="AE412" s="1111"/>
      <c r="AF412" s="1111"/>
      <c r="AG412" s="1111"/>
      <c r="AH412" s="1111"/>
      <c r="AI412" s="1111"/>
      <c r="AJ412" s="1111"/>
      <c r="AK412" s="1111"/>
      <c r="AL412" s="1111"/>
      <c r="AM412" s="1111"/>
      <c r="AN412" s="1111"/>
      <c r="AO412" s="1111"/>
      <c r="AP412" s="1111"/>
      <c r="AQ412" s="1111"/>
      <c r="AR412" s="1111"/>
      <c r="AS412" s="1111"/>
      <c r="AT412" s="1111"/>
      <c r="AU412" s="1111"/>
      <c r="AV412" s="1111"/>
      <c r="AW412" s="1111"/>
      <c r="AX412" s="1111"/>
      <c r="AY412" s="1111"/>
      <c r="AZ412" s="1111"/>
      <c r="BA412" s="1111"/>
      <c r="BB412" s="1111"/>
      <c r="BC412" s="1111"/>
      <c r="BD412" s="1111"/>
      <c r="BE412" s="1111"/>
      <c r="BF412" s="1111"/>
      <c r="BG412" s="1111"/>
      <c r="BH412" s="1111"/>
      <c r="BI412" s="1111"/>
      <c r="BJ412" s="1111"/>
      <c r="BK412" s="1111"/>
      <c r="BL412" s="1111"/>
      <c r="BM412" s="1111"/>
      <c r="BN412" s="1111"/>
      <c r="BO412" s="1111"/>
      <c r="BP412" s="1111"/>
      <c r="BQ412" s="1111"/>
      <c r="BR412" s="1111"/>
      <c r="BS412" s="1111"/>
      <c r="BT412" s="1111"/>
      <c r="BU412" s="1111"/>
      <c r="BV412" s="1111"/>
      <c r="BW412" s="1111"/>
      <c r="BX412" s="1111"/>
      <c r="BY412" s="1111"/>
      <c r="BZ412" s="1111"/>
      <c r="CA412" s="1111"/>
      <c r="CB412" s="1111"/>
      <c r="CC412" s="1111"/>
      <c r="CD412" s="1111"/>
      <c r="CE412" s="1111"/>
      <c r="CF412" s="1111"/>
      <c r="CG412" s="1111"/>
      <c r="CH412" s="1111"/>
      <c r="CI412" s="1111"/>
      <c r="CJ412" s="1111"/>
      <c r="CK412" s="1110"/>
    </row>
    <row r="413" spans="1:89" ht="14.4" x14ac:dyDescent="0.3">
      <c r="A413" s="1110"/>
      <c r="B413" s="1110"/>
      <c r="C413" s="1110"/>
      <c r="D413" s="1110"/>
      <c r="E413" s="1110"/>
      <c r="F413" s="1110"/>
      <c r="G413" s="1110"/>
      <c r="H413" s="1110"/>
      <c r="I413" s="1110"/>
      <c r="J413" s="1110"/>
      <c r="K413" s="1110"/>
      <c r="L413" s="1110"/>
      <c r="M413" s="1110"/>
      <c r="N413" s="1110"/>
      <c r="O413" s="1110"/>
      <c r="P413" s="1110"/>
      <c r="Q413" s="1110"/>
      <c r="R413" s="1110"/>
      <c r="S413" s="1110"/>
      <c r="T413" s="1111"/>
      <c r="U413" s="1111"/>
      <c r="V413" s="1111"/>
      <c r="W413" s="1111"/>
      <c r="X413" s="1111"/>
      <c r="Y413" s="1111"/>
      <c r="Z413" s="1111"/>
      <c r="AA413" s="1111"/>
      <c r="AB413" s="1111"/>
      <c r="AC413" s="1111"/>
      <c r="AD413" s="1111"/>
      <c r="AE413" s="1111"/>
      <c r="AF413" s="1111"/>
      <c r="AG413" s="1111"/>
      <c r="AH413" s="1111"/>
      <c r="AI413" s="1111"/>
      <c r="AJ413" s="1111"/>
      <c r="AK413" s="1111"/>
      <c r="AL413" s="1111"/>
      <c r="AM413" s="1111"/>
      <c r="AN413" s="1111"/>
      <c r="AO413" s="1111"/>
      <c r="AP413" s="1111"/>
      <c r="AQ413" s="1111"/>
      <c r="AR413" s="1111"/>
      <c r="AS413" s="1111"/>
      <c r="AT413" s="1111"/>
      <c r="AU413" s="1111"/>
      <c r="AV413" s="1111"/>
      <c r="AW413" s="1111"/>
      <c r="AX413" s="1111"/>
      <c r="AY413" s="1111"/>
      <c r="AZ413" s="1111"/>
      <c r="BA413" s="1111"/>
      <c r="BB413" s="1111"/>
      <c r="BC413" s="1111"/>
      <c r="BD413" s="1111"/>
      <c r="BE413" s="1111"/>
      <c r="BF413" s="1111"/>
      <c r="BG413" s="1111"/>
      <c r="BH413" s="1111"/>
      <c r="BI413" s="1111"/>
      <c r="BJ413" s="1111"/>
      <c r="BK413" s="1111"/>
      <c r="BL413" s="1111"/>
      <c r="BM413" s="1111"/>
      <c r="BN413" s="1111"/>
      <c r="BO413" s="1111"/>
      <c r="BP413" s="1111"/>
      <c r="BQ413" s="1111"/>
      <c r="BR413" s="1111"/>
      <c r="BS413" s="1111"/>
      <c r="BT413" s="1111"/>
      <c r="BU413" s="1111"/>
      <c r="BV413" s="1111"/>
      <c r="BW413" s="1111"/>
      <c r="BX413" s="1111"/>
      <c r="BY413" s="1111"/>
      <c r="BZ413" s="1111"/>
      <c r="CA413" s="1111"/>
      <c r="CB413" s="1111"/>
      <c r="CC413" s="1111"/>
      <c r="CD413" s="1111"/>
      <c r="CE413" s="1111"/>
      <c r="CF413" s="1111"/>
      <c r="CG413" s="1111"/>
      <c r="CH413" s="1111"/>
      <c r="CI413" s="1111"/>
      <c r="CJ413" s="1111"/>
      <c r="CK413" s="1110"/>
    </row>
    <row r="414" spans="1:89" ht="14.4" x14ac:dyDescent="0.3">
      <c r="A414" s="1110"/>
      <c r="B414" s="1110"/>
      <c r="C414" s="1110"/>
      <c r="D414" s="1110"/>
      <c r="E414" s="1110"/>
      <c r="F414" s="1110"/>
      <c r="G414" s="1110"/>
      <c r="H414" s="1110"/>
      <c r="I414" s="1110"/>
      <c r="J414" s="1110"/>
      <c r="K414" s="1110"/>
      <c r="L414" s="1110"/>
      <c r="M414" s="1110"/>
      <c r="N414" s="1110"/>
      <c r="O414" s="1110"/>
      <c r="P414" s="1110"/>
      <c r="Q414" s="1110"/>
      <c r="R414" s="1110"/>
      <c r="S414" s="1110"/>
      <c r="T414" s="1111"/>
      <c r="U414" s="1111"/>
      <c r="V414" s="1111"/>
      <c r="W414" s="1111"/>
      <c r="X414" s="1111"/>
      <c r="Y414" s="1111"/>
      <c r="Z414" s="1111"/>
      <c r="AA414" s="1111"/>
      <c r="AB414" s="1111"/>
      <c r="AC414" s="1111"/>
      <c r="AD414" s="1111"/>
      <c r="AE414" s="1111"/>
      <c r="AF414" s="1111"/>
      <c r="AG414" s="1111"/>
      <c r="AH414" s="1111"/>
      <c r="AI414" s="1111"/>
      <c r="AJ414" s="1111"/>
      <c r="AK414" s="1111"/>
      <c r="AL414" s="1111"/>
      <c r="AM414" s="1111"/>
      <c r="AN414" s="1111"/>
      <c r="AO414" s="1111"/>
      <c r="AP414" s="1111"/>
      <c r="AQ414" s="1111"/>
      <c r="AR414" s="1111"/>
      <c r="AS414" s="1111"/>
      <c r="AT414" s="1111"/>
      <c r="AU414" s="1111"/>
      <c r="AV414" s="1111"/>
      <c r="AW414" s="1111"/>
      <c r="AX414" s="1111"/>
      <c r="AY414" s="1111"/>
      <c r="AZ414" s="1111"/>
      <c r="BA414" s="1111"/>
      <c r="BB414" s="1111"/>
      <c r="BC414" s="1111"/>
      <c r="BD414" s="1111"/>
      <c r="BE414" s="1111"/>
      <c r="BF414" s="1111"/>
      <c r="BG414" s="1111"/>
      <c r="BH414" s="1111"/>
      <c r="BI414" s="1111"/>
      <c r="BJ414" s="1111"/>
      <c r="BK414" s="1111"/>
      <c r="BL414" s="1111"/>
      <c r="BM414" s="1111"/>
      <c r="BN414" s="1111"/>
      <c r="BO414" s="1111"/>
      <c r="BP414" s="1111"/>
      <c r="BQ414" s="1111"/>
      <c r="BR414" s="1111"/>
      <c r="BS414" s="1111"/>
      <c r="BT414" s="1111"/>
      <c r="BU414" s="1111"/>
      <c r="BV414" s="1111"/>
      <c r="BW414" s="1111"/>
      <c r="BX414" s="1111"/>
      <c r="BY414" s="1111"/>
      <c r="BZ414" s="1111"/>
      <c r="CA414" s="1111"/>
      <c r="CB414" s="1111"/>
      <c r="CC414" s="1111"/>
      <c r="CD414" s="1111"/>
      <c r="CE414" s="1111"/>
      <c r="CF414" s="1111"/>
      <c r="CG414" s="1111"/>
      <c r="CH414" s="1111"/>
      <c r="CI414" s="1111"/>
      <c r="CJ414" s="1111"/>
      <c r="CK414" s="1110"/>
    </row>
    <row r="415" spans="1:89" ht="14.4" x14ac:dyDescent="0.3">
      <c r="A415" s="1110"/>
      <c r="B415" s="1110"/>
      <c r="C415" s="1110"/>
      <c r="D415" s="1110"/>
      <c r="E415" s="1110"/>
      <c r="F415" s="1110"/>
      <c r="G415" s="1110"/>
      <c r="H415" s="1110"/>
      <c r="I415" s="1110"/>
      <c r="J415" s="1110"/>
      <c r="K415" s="1110"/>
      <c r="L415" s="1110"/>
      <c r="M415" s="1110"/>
      <c r="N415" s="1110"/>
      <c r="O415" s="1110"/>
      <c r="P415" s="1110"/>
      <c r="Q415" s="1110"/>
      <c r="R415" s="1110"/>
      <c r="S415" s="1110"/>
      <c r="T415" s="1111"/>
      <c r="U415" s="1111"/>
      <c r="V415" s="1111"/>
      <c r="W415" s="1111"/>
      <c r="X415" s="1111"/>
      <c r="Y415" s="1111"/>
      <c r="Z415" s="1111"/>
      <c r="AA415" s="1111"/>
      <c r="AB415" s="1111"/>
      <c r="AC415" s="1111"/>
      <c r="AD415" s="1111"/>
      <c r="AE415" s="1111"/>
      <c r="AF415" s="1111"/>
      <c r="AG415" s="1111"/>
      <c r="AH415" s="1111"/>
      <c r="AI415" s="1111"/>
      <c r="AJ415" s="1111"/>
      <c r="AK415" s="1111"/>
      <c r="AL415" s="1111"/>
      <c r="AM415" s="1111"/>
      <c r="AN415" s="1111"/>
      <c r="AO415" s="1111"/>
      <c r="AP415" s="1111"/>
      <c r="AQ415" s="1111"/>
      <c r="AR415" s="1111"/>
      <c r="AS415" s="1111"/>
      <c r="AT415" s="1111"/>
      <c r="AU415" s="1111"/>
      <c r="AV415" s="1111"/>
      <c r="AW415" s="1111"/>
      <c r="AX415" s="1111"/>
      <c r="AY415" s="1111"/>
      <c r="AZ415" s="1111"/>
      <c r="BA415" s="1111"/>
      <c r="BB415" s="1111"/>
      <c r="BC415" s="1111"/>
      <c r="BD415" s="1111"/>
      <c r="BE415" s="1111"/>
      <c r="BF415" s="1111"/>
      <c r="BG415" s="1111"/>
      <c r="BH415" s="1111"/>
      <c r="BI415" s="1111"/>
      <c r="BJ415" s="1111"/>
      <c r="BK415" s="1111"/>
      <c r="BL415" s="1111"/>
      <c r="BM415" s="1111"/>
      <c r="BN415" s="1111"/>
      <c r="BO415" s="1111"/>
      <c r="BP415" s="1111"/>
      <c r="BQ415" s="1111"/>
      <c r="BR415" s="1111"/>
      <c r="BS415" s="1111"/>
      <c r="BT415" s="1111"/>
      <c r="BU415" s="1111"/>
      <c r="BV415" s="1111"/>
      <c r="BW415" s="1111"/>
      <c r="BX415" s="1111"/>
      <c r="BY415" s="1111"/>
      <c r="BZ415" s="1111"/>
      <c r="CA415" s="1111"/>
      <c r="CB415" s="1111"/>
      <c r="CC415" s="1111"/>
      <c r="CD415" s="1111"/>
      <c r="CE415" s="1111"/>
      <c r="CF415" s="1111"/>
      <c r="CG415" s="1111"/>
      <c r="CH415" s="1111"/>
      <c r="CI415" s="1111"/>
      <c r="CJ415" s="1111"/>
      <c r="CK415" s="1110"/>
    </row>
    <row r="416" spans="1:89" ht="14.4" x14ac:dyDescent="0.3">
      <c r="A416" s="1110"/>
      <c r="B416" s="1110"/>
      <c r="C416" s="1110"/>
      <c r="D416" s="1110"/>
      <c r="E416" s="1110"/>
      <c r="F416" s="1110"/>
      <c r="G416" s="1110"/>
      <c r="H416" s="1110"/>
      <c r="I416" s="1110"/>
      <c r="J416" s="1110"/>
      <c r="K416" s="1110"/>
      <c r="L416" s="1110"/>
      <c r="M416" s="1110"/>
      <c r="N416" s="1110"/>
      <c r="O416" s="1110"/>
      <c r="P416" s="1110"/>
      <c r="Q416" s="1110"/>
      <c r="R416" s="1110"/>
      <c r="S416" s="1110"/>
      <c r="T416" s="1111"/>
      <c r="U416" s="1111"/>
      <c r="V416" s="1111"/>
      <c r="W416" s="1111"/>
      <c r="X416" s="1111"/>
      <c r="Y416" s="1111"/>
      <c r="Z416" s="1111"/>
      <c r="AA416" s="1111"/>
      <c r="AB416" s="1111"/>
      <c r="AC416" s="1111"/>
      <c r="AD416" s="1111"/>
      <c r="AE416" s="1111"/>
      <c r="AF416" s="1111"/>
      <c r="AG416" s="1111"/>
      <c r="AH416" s="1111"/>
      <c r="AI416" s="1111"/>
      <c r="AJ416" s="1111"/>
      <c r="AK416" s="1111"/>
      <c r="AL416" s="1111"/>
      <c r="AM416" s="1111"/>
      <c r="AN416" s="1111"/>
      <c r="AO416" s="1111"/>
      <c r="AP416" s="1111"/>
      <c r="AQ416" s="1111"/>
      <c r="AR416" s="1111"/>
      <c r="AS416" s="1111"/>
      <c r="AT416" s="1111"/>
      <c r="AU416" s="1111"/>
      <c r="AV416" s="1111"/>
      <c r="AW416" s="1111"/>
      <c r="AX416" s="1111"/>
      <c r="AY416" s="1111"/>
      <c r="AZ416" s="1111"/>
      <c r="BA416" s="1111"/>
      <c r="BB416" s="1111"/>
      <c r="BC416" s="1111"/>
      <c r="BD416" s="1111"/>
      <c r="BE416" s="1111"/>
      <c r="BF416" s="1111"/>
      <c r="BG416" s="1111"/>
      <c r="BH416" s="1111"/>
      <c r="BI416" s="1111"/>
      <c r="BJ416" s="1111"/>
      <c r="BK416" s="1111"/>
      <c r="BL416" s="1111"/>
      <c r="BM416" s="1111"/>
      <c r="BN416" s="1111"/>
      <c r="BO416" s="1111"/>
      <c r="BP416" s="1111"/>
      <c r="BQ416" s="1111"/>
      <c r="BR416" s="1111"/>
      <c r="BS416" s="1111"/>
      <c r="BT416" s="1111"/>
      <c r="BU416" s="1111"/>
      <c r="BV416" s="1111"/>
      <c r="BW416" s="1111"/>
      <c r="BX416" s="1111"/>
      <c r="BY416" s="1111"/>
      <c r="BZ416" s="1111"/>
      <c r="CA416" s="1111"/>
      <c r="CB416" s="1111"/>
      <c r="CC416" s="1111"/>
      <c r="CD416" s="1111"/>
      <c r="CE416" s="1111"/>
      <c r="CF416" s="1111"/>
      <c r="CG416" s="1111"/>
      <c r="CH416" s="1111"/>
      <c r="CI416" s="1111"/>
      <c r="CJ416" s="1111"/>
      <c r="CK416" s="1110"/>
    </row>
    <row r="417" spans="1:89" ht="14.4" x14ac:dyDescent="0.3">
      <c r="A417" s="1110"/>
      <c r="B417" s="1110"/>
      <c r="C417" s="1110"/>
      <c r="D417" s="1110"/>
      <c r="E417" s="1110"/>
      <c r="F417" s="1110"/>
      <c r="G417" s="1110"/>
      <c r="H417" s="1110"/>
      <c r="I417" s="1110"/>
      <c r="J417" s="1110"/>
      <c r="K417" s="1110"/>
      <c r="L417" s="1110"/>
      <c r="M417" s="1110"/>
      <c r="N417" s="1110"/>
      <c r="O417" s="1110"/>
      <c r="P417" s="1110"/>
      <c r="Q417" s="1110"/>
      <c r="R417" s="1110"/>
      <c r="S417" s="1110"/>
      <c r="T417" s="1111"/>
      <c r="U417" s="1111"/>
      <c r="V417" s="1111"/>
      <c r="W417" s="1111"/>
      <c r="X417" s="1111"/>
      <c r="Y417" s="1111"/>
      <c r="Z417" s="1111"/>
      <c r="AA417" s="1111"/>
      <c r="AB417" s="1111"/>
      <c r="AC417" s="1111"/>
      <c r="AD417" s="1111"/>
      <c r="AE417" s="1111"/>
      <c r="AF417" s="1111"/>
      <c r="AG417" s="1111"/>
      <c r="AH417" s="1111"/>
      <c r="AI417" s="1111"/>
      <c r="AJ417" s="1111"/>
      <c r="AK417" s="1111"/>
      <c r="AL417" s="1111"/>
      <c r="AM417" s="1111"/>
      <c r="AN417" s="1111"/>
      <c r="AO417" s="1111"/>
      <c r="AP417" s="1111"/>
      <c r="AQ417" s="1111"/>
      <c r="AR417" s="1111"/>
      <c r="AS417" s="1111"/>
      <c r="AT417" s="1111"/>
      <c r="AU417" s="1111"/>
      <c r="AV417" s="1111"/>
      <c r="AW417" s="1111"/>
      <c r="AX417" s="1111"/>
      <c r="AY417" s="1111"/>
      <c r="AZ417" s="1111"/>
      <c r="BA417" s="1111"/>
      <c r="BB417" s="1111"/>
      <c r="BC417" s="1111"/>
      <c r="BD417" s="1111"/>
      <c r="BE417" s="1111"/>
      <c r="BF417" s="1111"/>
      <c r="BG417" s="1111"/>
      <c r="BH417" s="1111"/>
      <c r="BI417" s="1111"/>
      <c r="BJ417" s="1111"/>
      <c r="BK417" s="1111"/>
      <c r="BL417" s="1111"/>
      <c r="BM417" s="1111"/>
      <c r="BN417" s="1111"/>
      <c r="BO417" s="1111"/>
      <c r="BP417" s="1111"/>
      <c r="BQ417" s="1111"/>
      <c r="BR417" s="1111"/>
      <c r="BS417" s="1111"/>
      <c r="BT417" s="1111"/>
      <c r="BU417" s="1111"/>
      <c r="BV417" s="1111"/>
      <c r="BW417" s="1111"/>
      <c r="BX417" s="1111"/>
      <c r="BY417" s="1111"/>
      <c r="BZ417" s="1111"/>
      <c r="CA417" s="1111"/>
      <c r="CB417" s="1111"/>
      <c r="CC417" s="1111"/>
      <c r="CD417" s="1111"/>
      <c r="CE417" s="1111"/>
      <c r="CF417" s="1111"/>
      <c r="CG417" s="1111"/>
      <c r="CH417" s="1111"/>
      <c r="CI417" s="1111"/>
      <c r="CJ417" s="1111"/>
      <c r="CK417" s="1110"/>
    </row>
    <row r="418" spans="1:89" ht="14.4" x14ac:dyDescent="0.3">
      <c r="A418" s="1110"/>
      <c r="B418" s="1110"/>
      <c r="C418" s="1110"/>
      <c r="D418" s="1110"/>
      <c r="E418" s="1110"/>
      <c r="F418" s="1110"/>
      <c r="G418" s="1110"/>
      <c r="H418" s="1110"/>
      <c r="I418" s="1110"/>
      <c r="J418" s="1110"/>
      <c r="K418" s="1110"/>
      <c r="L418" s="1110"/>
      <c r="M418" s="1110"/>
      <c r="N418" s="1110"/>
      <c r="O418" s="1110"/>
      <c r="P418" s="1110"/>
      <c r="Q418" s="1110"/>
      <c r="R418" s="1110"/>
      <c r="S418" s="1110"/>
      <c r="T418" s="1111"/>
      <c r="U418" s="1111"/>
      <c r="V418" s="1111"/>
      <c r="W418" s="1111"/>
      <c r="X418" s="1111"/>
      <c r="Y418" s="1111"/>
      <c r="Z418" s="1111"/>
      <c r="AA418" s="1111"/>
      <c r="AB418" s="1111"/>
      <c r="AC418" s="1111"/>
      <c r="AD418" s="1111"/>
      <c r="AE418" s="1111"/>
      <c r="AF418" s="1111"/>
      <c r="AG418" s="1111"/>
      <c r="AH418" s="1111"/>
      <c r="AI418" s="1111"/>
      <c r="AJ418" s="1111"/>
      <c r="AK418" s="1111"/>
      <c r="AL418" s="1111"/>
      <c r="AM418" s="1111"/>
      <c r="AN418" s="1111"/>
      <c r="AO418" s="1111"/>
      <c r="AP418" s="1111"/>
      <c r="AQ418" s="1111"/>
      <c r="AR418" s="1111"/>
      <c r="AS418" s="1111"/>
      <c r="AT418" s="1111"/>
      <c r="AU418" s="1111"/>
      <c r="AV418" s="1111"/>
      <c r="AW418" s="1111"/>
      <c r="AX418" s="1111"/>
      <c r="AY418" s="1111"/>
      <c r="AZ418" s="1111"/>
      <c r="BA418" s="1111"/>
      <c r="BB418" s="1111"/>
      <c r="BC418" s="1111"/>
      <c r="BD418" s="1111"/>
      <c r="BE418" s="1111"/>
      <c r="BF418" s="1111"/>
      <c r="BG418" s="1111"/>
      <c r="BH418" s="1111"/>
      <c r="BI418" s="1111"/>
      <c r="BJ418" s="1111"/>
      <c r="BK418" s="1111"/>
      <c r="BL418" s="1111"/>
      <c r="BM418" s="1111"/>
      <c r="BN418" s="1111"/>
      <c r="BO418" s="1111"/>
      <c r="BP418" s="1111"/>
      <c r="BQ418" s="1111"/>
      <c r="BR418" s="1111"/>
      <c r="BS418" s="1111"/>
      <c r="BT418" s="1111"/>
      <c r="BU418" s="1111"/>
      <c r="BV418" s="1111"/>
      <c r="BW418" s="1111"/>
      <c r="BX418" s="1111"/>
      <c r="BY418" s="1111"/>
      <c r="BZ418" s="1111"/>
      <c r="CA418" s="1111"/>
      <c r="CB418" s="1111"/>
      <c r="CC418" s="1111"/>
      <c r="CD418" s="1111"/>
      <c r="CE418" s="1111"/>
      <c r="CF418" s="1111"/>
      <c r="CG418" s="1111"/>
      <c r="CH418" s="1111"/>
      <c r="CI418" s="1111"/>
      <c r="CJ418" s="1111"/>
      <c r="CK418" s="1110"/>
    </row>
    <row r="419" spans="1:89" ht="14.4" x14ac:dyDescent="0.3">
      <c r="A419" s="1110"/>
      <c r="B419" s="1110"/>
      <c r="C419" s="1110"/>
      <c r="D419" s="1110"/>
      <c r="E419" s="1110"/>
      <c r="F419" s="1110"/>
      <c r="G419" s="1110"/>
      <c r="H419" s="1110"/>
      <c r="I419" s="1110"/>
      <c r="J419" s="1110"/>
      <c r="K419" s="1110"/>
      <c r="L419" s="1110"/>
      <c r="M419" s="1110"/>
      <c r="N419" s="1110"/>
      <c r="O419" s="1110"/>
      <c r="P419" s="1110"/>
      <c r="Q419" s="1110"/>
      <c r="R419" s="1110"/>
      <c r="S419" s="1110"/>
      <c r="T419" s="1111"/>
      <c r="U419" s="1111"/>
      <c r="V419" s="1111"/>
      <c r="W419" s="1111"/>
      <c r="X419" s="1111"/>
      <c r="Y419" s="1111"/>
      <c r="Z419" s="1111"/>
      <c r="AA419" s="1111"/>
      <c r="AB419" s="1111"/>
      <c r="AC419" s="1111"/>
      <c r="AD419" s="1111"/>
      <c r="AE419" s="1111"/>
      <c r="AF419" s="1111"/>
      <c r="AG419" s="1111"/>
      <c r="AH419" s="1111"/>
      <c r="AI419" s="1111"/>
      <c r="AJ419" s="1111"/>
      <c r="AK419" s="1111"/>
      <c r="AL419" s="1111"/>
      <c r="AM419" s="1111"/>
      <c r="AN419" s="1111"/>
      <c r="AO419" s="1111"/>
      <c r="AP419" s="1111"/>
      <c r="AQ419" s="1111"/>
      <c r="AR419" s="1111"/>
      <c r="AS419" s="1111"/>
      <c r="AT419" s="1111"/>
      <c r="AU419" s="1111"/>
      <c r="AV419" s="1111"/>
      <c r="AW419" s="1111"/>
      <c r="AX419" s="1111"/>
      <c r="AY419" s="1111"/>
      <c r="AZ419" s="1111"/>
      <c r="BA419" s="1111"/>
      <c r="BB419" s="1111"/>
      <c r="BC419" s="1111"/>
      <c r="BD419" s="1111"/>
      <c r="BE419" s="1111"/>
      <c r="BF419" s="1111"/>
      <c r="BG419" s="1111"/>
      <c r="BH419" s="1111"/>
      <c r="BI419" s="1111"/>
      <c r="BJ419" s="1111"/>
      <c r="BK419" s="1111"/>
      <c r="BL419" s="1111"/>
      <c r="BM419" s="1111"/>
      <c r="BN419" s="1111"/>
      <c r="BO419" s="1111"/>
      <c r="BP419" s="1111"/>
      <c r="BQ419" s="1111"/>
      <c r="BR419" s="1111"/>
      <c r="BS419" s="1111"/>
      <c r="BT419" s="1111"/>
      <c r="BU419" s="1111"/>
      <c r="BV419" s="1111"/>
      <c r="BW419" s="1111"/>
      <c r="BX419" s="1111"/>
      <c r="BY419" s="1111"/>
      <c r="BZ419" s="1111"/>
      <c r="CA419" s="1111"/>
      <c r="CB419" s="1111"/>
      <c r="CC419" s="1111"/>
      <c r="CD419" s="1111"/>
      <c r="CE419" s="1111"/>
      <c r="CF419" s="1111"/>
      <c r="CG419" s="1111"/>
      <c r="CH419" s="1111"/>
      <c r="CI419" s="1111"/>
      <c r="CJ419" s="1111"/>
      <c r="CK419" s="1110"/>
    </row>
    <row r="420" spans="1:89" ht="14.4" x14ac:dyDescent="0.3">
      <c r="A420" s="1110"/>
      <c r="B420" s="1110"/>
      <c r="C420" s="1110"/>
      <c r="D420" s="1110"/>
      <c r="E420" s="1110"/>
      <c r="F420" s="1110"/>
      <c r="G420" s="1110"/>
      <c r="H420" s="1110"/>
      <c r="I420" s="1110"/>
      <c r="J420" s="1110"/>
      <c r="K420" s="1110"/>
      <c r="L420" s="1110"/>
      <c r="M420" s="1110"/>
      <c r="N420" s="1110"/>
      <c r="O420" s="1110"/>
      <c r="P420" s="1110"/>
      <c r="Q420" s="1110"/>
      <c r="R420" s="1110"/>
      <c r="S420" s="1110"/>
      <c r="T420" s="1111"/>
      <c r="U420" s="1111"/>
      <c r="V420" s="1111"/>
      <c r="W420" s="1111"/>
      <c r="X420" s="1111"/>
      <c r="Y420" s="1111"/>
      <c r="Z420" s="1111"/>
      <c r="AA420" s="1111"/>
      <c r="AB420" s="1111"/>
      <c r="AC420" s="1111"/>
      <c r="AD420" s="1111"/>
      <c r="AE420" s="1111"/>
      <c r="AF420" s="1111"/>
      <c r="AG420" s="1111"/>
      <c r="AH420" s="1111"/>
      <c r="AI420" s="1111"/>
      <c r="AJ420" s="1111"/>
      <c r="AK420" s="1111"/>
      <c r="AL420" s="1111"/>
      <c r="AM420" s="1111"/>
      <c r="AN420" s="1111"/>
      <c r="AO420" s="1111"/>
      <c r="AP420" s="1111"/>
      <c r="AQ420" s="1111"/>
      <c r="AR420" s="1111"/>
      <c r="AS420" s="1111"/>
      <c r="AT420" s="1111"/>
      <c r="AU420" s="1111"/>
      <c r="AV420" s="1111"/>
      <c r="AW420" s="1111"/>
      <c r="AX420" s="1111"/>
      <c r="AY420" s="1111"/>
      <c r="AZ420" s="1111"/>
      <c r="BA420" s="1111"/>
      <c r="BB420" s="1111"/>
      <c r="BC420" s="1111"/>
      <c r="BD420" s="1111"/>
      <c r="BE420" s="1111"/>
      <c r="BF420" s="1111"/>
      <c r="BG420" s="1111"/>
      <c r="BH420" s="1111"/>
      <c r="BI420" s="1111"/>
      <c r="BJ420" s="1111"/>
      <c r="BK420" s="1111"/>
      <c r="BL420" s="1111"/>
      <c r="BM420" s="1111"/>
      <c r="BN420" s="1111"/>
      <c r="BO420" s="1111"/>
      <c r="BP420" s="1111"/>
      <c r="BQ420" s="1111"/>
      <c r="BR420" s="1111"/>
      <c r="BS420" s="1111"/>
      <c r="BT420" s="1111"/>
      <c r="BU420" s="1111"/>
      <c r="BV420" s="1111"/>
      <c r="BW420" s="1111"/>
      <c r="BX420" s="1111"/>
      <c r="BY420" s="1111"/>
      <c r="BZ420" s="1111"/>
      <c r="CA420" s="1111"/>
      <c r="CB420" s="1111"/>
      <c r="CC420" s="1111"/>
      <c r="CD420" s="1111"/>
      <c r="CE420" s="1111"/>
      <c r="CF420" s="1111"/>
      <c r="CG420" s="1111"/>
      <c r="CH420" s="1111"/>
      <c r="CI420" s="1111"/>
      <c r="CJ420" s="1111"/>
      <c r="CK420" s="1110"/>
    </row>
    <row r="421" spans="1:89" ht="14.4" x14ac:dyDescent="0.3">
      <c r="A421" s="1110"/>
      <c r="B421" s="1110"/>
      <c r="C421" s="1110"/>
      <c r="D421" s="1110"/>
      <c r="E421" s="1110"/>
      <c r="F421" s="1110"/>
      <c r="G421" s="1110"/>
      <c r="H421" s="1110"/>
      <c r="I421" s="1110"/>
      <c r="J421" s="1110"/>
      <c r="K421" s="1110"/>
      <c r="L421" s="1110"/>
      <c r="M421" s="1110"/>
      <c r="N421" s="1110"/>
      <c r="O421" s="1110"/>
      <c r="P421" s="1110"/>
      <c r="Q421" s="1110"/>
      <c r="R421" s="1110"/>
      <c r="S421" s="1110"/>
      <c r="T421" s="1111"/>
      <c r="U421" s="1111"/>
      <c r="V421" s="1111"/>
      <c r="W421" s="1111"/>
      <c r="X421" s="1111"/>
      <c r="Y421" s="1111"/>
      <c r="Z421" s="1111"/>
      <c r="AA421" s="1111"/>
      <c r="AB421" s="1111"/>
      <c r="AC421" s="1111"/>
      <c r="AD421" s="1111"/>
      <c r="AE421" s="1111"/>
      <c r="AF421" s="1111"/>
      <c r="AG421" s="1111"/>
      <c r="AH421" s="1111"/>
      <c r="AI421" s="1111"/>
      <c r="AJ421" s="1111"/>
      <c r="AK421" s="1111"/>
      <c r="AL421" s="1111"/>
      <c r="AM421" s="1111"/>
      <c r="AN421" s="1111"/>
      <c r="AO421" s="1111"/>
      <c r="AP421" s="1111"/>
      <c r="AQ421" s="1111"/>
      <c r="AR421" s="1111"/>
      <c r="AS421" s="1111"/>
      <c r="AT421" s="1111"/>
      <c r="AU421" s="1111"/>
      <c r="AV421" s="1111"/>
      <c r="AW421" s="1111"/>
      <c r="AX421" s="1111"/>
      <c r="AY421" s="1111"/>
      <c r="AZ421" s="1111"/>
      <c r="BA421" s="1111"/>
      <c r="BB421" s="1111"/>
      <c r="BC421" s="1111"/>
      <c r="BD421" s="1111"/>
      <c r="BE421" s="1111"/>
      <c r="BF421" s="1111"/>
      <c r="BG421" s="1111"/>
      <c r="BH421" s="1111"/>
      <c r="BI421" s="1111"/>
      <c r="BJ421" s="1111"/>
      <c r="BK421" s="1111"/>
      <c r="BL421" s="1111"/>
      <c r="BM421" s="1111"/>
      <c r="BN421" s="1111"/>
      <c r="BO421" s="1111"/>
      <c r="BP421" s="1111"/>
      <c r="BQ421" s="1111"/>
      <c r="BR421" s="1111"/>
      <c r="BS421" s="1111"/>
      <c r="BT421" s="1111"/>
      <c r="BU421" s="1111"/>
      <c r="BV421" s="1111"/>
      <c r="BW421" s="1111"/>
      <c r="BX421" s="1111"/>
      <c r="BY421" s="1111"/>
      <c r="BZ421" s="1111"/>
      <c r="CA421" s="1111"/>
      <c r="CB421" s="1111"/>
      <c r="CC421" s="1111"/>
      <c r="CD421" s="1111"/>
      <c r="CE421" s="1111"/>
      <c r="CF421" s="1111"/>
      <c r="CG421" s="1111"/>
      <c r="CH421" s="1111"/>
      <c r="CI421" s="1111"/>
      <c r="CJ421" s="1111"/>
      <c r="CK421" s="1110"/>
    </row>
    <row r="422" spans="1:89" ht="14.4" x14ac:dyDescent="0.3">
      <c r="A422" s="1110"/>
      <c r="B422" s="1110"/>
      <c r="C422" s="1110"/>
      <c r="D422" s="1110"/>
      <c r="E422" s="1110"/>
      <c r="F422" s="1110"/>
      <c r="G422" s="1110"/>
      <c r="H422" s="1110"/>
      <c r="I422" s="1110"/>
      <c r="J422" s="1110"/>
      <c r="K422" s="1110"/>
      <c r="L422" s="1110"/>
      <c r="M422" s="1110"/>
      <c r="N422" s="1110"/>
      <c r="O422" s="1110"/>
      <c r="P422" s="1110"/>
      <c r="Q422" s="1110"/>
      <c r="R422" s="1110"/>
      <c r="S422" s="1110"/>
      <c r="T422" s="1111"/>
      <c r="U422" s="1111"/>
      <c r="V422" s="1111"/>
      <c r="W422" s="1111"/>
      <c r="X422" s="1111"/>
      <c r="Y422" s="1111"/>
      <c r="Z422" s="1111"/>
      <c r="AA422" s="1111"/>
      <c r="AB422" s="1111"/>
      <c r="AC422" s="1111"/>
      <c r="AD422" s="1111"/>
      <c r="AE422" s="1111"/>
      <c r="AF422" s="1111"/>
      <c r="AG422" s="1111"/>
      <c r="AH422" s="1111"/>
      <c r="AI422" s="1111"/>
      <c r="AJ422" s="1111"/>
      <c r="AK422" s="1111"/>
      <c r="AL422" s="1111"/>
      <c r="AM422" s="1111"/>
      <c r="AN422" s="1111"/>
      <c r="AO422" s="1111"/>
      <c r="AP422" s="1111"/>
      <c r="AQ422" s="1111"/>
      <c r="AR422" s="1111"/>
      <c r="AS422" s="1111"/>
      <c r="AT422" s="1111"/>
      <c r="AU422" s="1111"/>
      <c r="AV422" s="1111"/>
      <c r="AW422" s="1111"/>
      <c r="AX422" s="1111"/>
      <c r="AY422" s="1111"/>
      <c r="AZ422" s="1111"/>
      <c r="BA422" s="1111"/>
      <c r="BB422" s="1111"/>
      <c r="BC422" s="1111"/>
      <c r="BD422" s="1111"/>
      <c r="BE422" s="1111"/>
      <c r="BF422" s="1111"/>
      <c r="BG422" s="1111"/>
      <c r="BH422" s="1111"/>
      <c r="BI422" s="1111"/>
      <c r="BJ422" s="1111"/>
      <c r="BK422" s="1111"/>
      <c r="BL422" s="1111"/>
      <c r="BM422" s="1111"/>
      <c r="BN422" s="1111"/>
      <c r="BO422" s="1111"/>
      <c r="BP422" s="1111"/>
      <c r="BQ422" s="1111"/>
      <c r="BR422" s="1111"/>
      <c r="BS422" s="1111"/>
      <c r="BT422" s="1111"/>
      <c r="BU422" s="1111"/>
      <c r="BV422" s="1111"/>
      <c r="BW422" s="1111"/>
      <c r="BX422" s="1111"/>
      <c r="BY422" s="1111"/>
      <c r="BZ422" s="1111"/>
      <c r="CA422" s="1111"/>
      <c r="CB422" s="1111"/>
      <c r="CC422" s="1111"/>
      <c r="CD422" s="1111"/>
      <c r="CE422" s="1111"/>
      <c r="CF422" s="1111"/>
      <c r="CG422" s="1111"/>
      <c r="CH422" s="1111"/>
      <c r="CI422" s="1111"/>
      <c r="CJ422" s="1111"/>
      <c r="CK422" s="1110"/>
    </row>
    <row r="423" spans="1:89" ht="14.4" x14ac:dyDescent="0.3">
      <c r="A423" s="1110"/>
      <c r="B423" s="1110"/>
      <c r="C423" s="1110"/>
      <c r="D423" s="1110"/>
      <c r="E423" s="1110"/>
      <c r="F423" s="1110"/>
      <c r="G423" s="1110"/>
      <c r="H423" s="1110"/>
      <c r="I423" s="1110"/>
      <c r="J423" s="1110"/>
      <c r="K423" s="1110"/>
      <c r="L423" s="1110"/>
      <c r="M423" s="1110"/>
      <c r="N423" s="1110"/>
      <c r="O423" s="1110"/>
      <c r="P423" s="1110"/>
      <c r="Q423" s="1110"/>
      <c r="R423" s="1110"/>
      <c r="S423" s="1110"/>
      <c r="T423" s="1111"/>
      <c r="U423" s="1111"/>
      <c r="V423" s="1111"/>
      <c r="W423" s="1111"/>
      <c r="X423" s="1111"/>
      <c r="Y423" s="1111"/>
      <c r="Z423" s="1111"/>
      <c r="AA423" s="1111"/>
      <c r="AB423" s="1111"/>
      <c r="AC423" s="1111"/>
      <c r="AD423" s="1111"/>
      <c r="AE423" s="1111"/>
      <c r="AF423" s="1111"/>
      <c r="AG423" s="1111"/>
      <c r="AH423" s="1111"/>
      <c r="AI423" s="1111"/>
      <c r="AJ423" s="1111"/>
      <c r="AK423" s="1111"/>
      <c r="AL423" s="1111"/>
      <c r="AM423" s="1111"/>
      <c r="AN423" s="1111"/>
      <c r="AO423" s="1111"/>
      <c r="AP423" s="1111"/>
      <c r="AQ423" s="1111"/>
      <c r="AR423" s="1111"/>
      <c r="AS423" s="1111"/>
      <c r="AT423" s="1111"/>
      <c r="AU423" s="1111"/>
      <c r="AV423" s="1111"/>
      <c r="AW423" s="1111"/>
      <c r="AX423" s="1111"/>
      <c r="AY423" s="1111"/>
      <c r="AZ423" s="1111"/>
      <c r="BA423" s="1111"/>
      <c r="BB423" s="1111"/>
      <c r="BC423" s="1111"/>
      <c r="BD423" s="1111"/>
      <c r="BE423" s="1111"/>
      <c r="BF423" s="1111"/>
      <c r="BG423" s="1111"/>
      <c r="BH423" s="1111"/>
      <c r="BI423" s="1111"/>
      <c r="BJ423" s="1111"/>
      <c r="BK423" s="1111"/>
      <c r="BL423" s="1111"/>
      <c r="BM423" s="1111"/>
      <c r="BN423" s="1111"/>
      <c r="BO423" s="1111"/>
      <c r="BP423" s="1111"/>
      <c r="BQ423" s="1111"/>
      <c r="BR423" s="1111"/>
      <c r="BS423" s="1111"/>
      <c r="BT423" s="1111"/>
      <c r="BU423" s="1111"/>
      <c r="BV423" s="1111"/>
      <c r="BW423" s="1111"/>
      <c r="BX423" s="1111"/>
      <c r="BY423" s="1111"/>
      <c r="BZ423" s="1111"/>
      <c r="CA423" s="1111"/>
      <c r="CB423" s="1111"/>
      <c r="CC423" s="1111"/>
      <c r="CD423" s="1111"/>
      <c r="CE423" s="1111"/>
      <c r="CF423" s="1111"/>
      <c r="CG423" s="1111"/>
      <c r="CH423" s="1111"/>
      <c r="CI423" s="1111"/>
      <c r="CJ423" s="1111"/>
      <c r="CK423" s="1110"/>
    </row>
    <row r="424" spans="1:89" ht="14.4" x14ac:dyDescent="0.3">
      <c r="A424" s="1110"/>
      <c r="B424" s="1110"/>
      <c r="C424" s="1110"/>
      <c r="D424" s="1110"/>
      <c r="E424" s="1110"/>
      <c r="F424" s="1110"/>
      <c r="G424" s="1110"/>
      <c r="H424" s="1110"/>
      <c r="I424" s="1110"/>
      <c r="J424" s="1110"/>
      <c r="K424" s="1110"/>
      <c r="L424" s="1110"/>
      <c r="M424" s="1110"/>
      <c r="N424" s="1110"/>
      <c r="O424" s="1110"/>
      <c r="P424" s="1110"/>
      <c r="Q424" s="1110"/>
      <c r="R424" s="1110"/>
      <c r="S424" s="1110"/>
      <c r="T424" s="1111"/>
      <c r="U424" s="1111"/>
      <c r="V424" s="1111"/>
      <c r="W424" s="1111"/>
      <c r="X424" s="1111"/>
      <c r="Y424" s="1111"/>
      <c r="Z424" s="1111"/>
      <c r="AA424" s="1111"/>
      <c r="AB424" s="1111"/>
      <c r="AC424" s="1111"/>
      <c r="AD424" s="1111"/>
      <c r="AE424" s="1111"/>
      <c r="AF424" s="1111"/>
      <c r="AG424" s="1111"/>
      <c r="AH424" s="1111"/>
      <c r="AI424" s="1111"/>
      <c r="AJ424" s="1111"/>
      <c r="AK424" s="1111"/>
      <c r="AL424" s="1111"/>
      <c r="AM424" s="1111"/>
      <c r="AN424" s="1111"/>
      <c r="AO424" s="1111"/>
      <c r="AP424" s="1111"/>
      <c r="AQ424" s="1111"/>
      <c r="AR424" s="1111"/>
      <c r="AS424" s="1111"/>
      <c r="AT424" s="1111"/>
      <c r="AU424" s="1111"/>
      <c r="AV424" s="1111"/>
      <c r="AW424" s="1111"/>
      <c r="AX424" s="1111"/>
      <c r="AY424" s="1111"/>
      <c r="AZ424" s="1111"/>
      <c r="BA424" s="1111"/>
      <c r="BB424" s="1111"/>
      <c r="BC424" s="1111"/>
      <c r="BD424" s="1111"/>
      <c r="BE424" s="1111"/>
      <c r="BF424" s="1111"/>
      <c r="BG424" s="1111"/>
      <c r="BH424" s="1111"/>
      <c r="BI424" s="1111"/>
      <c r="BJ424" s="1111"/>
      <c r="BK424" s="1111"/>
      <c r="BL424" s="1111"/>
      <c r="BM424" s="1111"/>
      <c r="BN424" s="1111"/>
      <c r="BO424" s="1111"/>
      <c r="BP424" s="1111"/>
      <c r="BQ424" s="1111"/>
      <c r="BR424" s="1111"/>
      <c r="BS424" s="1111"/>
      <c r="BT424" s="1111"/>
      <c r="BU424" s="1111"/>
      <c r="BV424" s="1111"/>
      <c r="BW424" s="1111"/>
      <c r="BX424" s="1111"/>
      <c r="BY424" s="1111"/>
      <c r="BZ424" s="1111"/>
      <c r="CA424" s="1111"/>
      <c r="CB424" s="1111"/>
      <c r="CC424" s="1111"/>
      <c r="CD424" s="1111"/>
      <c r="CE424" s="1111"/>
      <c r="CF424" s="1111"/>
      <c r="CG424" s="1111"/>
      <c r="CH424" s="1111"/>
      <c r="CI424" s="1111"/>
      <c r="CJ424" s="1111"/>
      <c r="CK424" s="1110"/>
    </row>
    <row r="425" spans="1:89" ht="14.4" x14ac:dyDescent="0.3">
      <c r="A425" s="1110"/>
      <c r="B425" s="1110"/>
      <c r="C425" s="1110"/>
      <c r="D425" s="1110"/>
      <c r="E425" s="1110"/>
      <c r="F425" s="1110"/>
      <c r="G425" s="1110"/>
      <c r="H425" s="1110"/>
      <c r="I425" s="1110"/>
      <c r="J425" s="1110"/>
      <c r="K425" s="1110"/>
      <c r="L425" s="1110"/>
      <c r="M425" s="1110"/>
      <c r="N425" s="1110"/>
      <c r="O425" s="1110"/>
      <c r="P425" s="1110"/>
      <c r="Q425" s="1110"/>
      <c r="R425" s="1110"/>
      <c r="S425" s="1110"/>
      <c r="T425" s="1111"/>
      <c r="U425" s="1111"/>
      <c r="V425" s="1111"/>
      <c r="W425" s="1111"/>
      <c r="X425" s="1111"/>
      <c r="Y425" s="1111"/>
      <c r="Z425" s="1111"/>
      <c r="AA425" s="1111"/>
      <c r="AB425" s="1111"/>
      <c r="AC425" s="1111"/>
      <c r="AD425" s="1111"/>
      <c r="AE425" s="1111"/>
      <c r="AF425" s="1111"/>
      <c r="AG425" s="1111"/>
      <c r="AH425" s="1111"/>
      <c r="AI425" s="1111"/>
      <c r="AJ425" s="1111"/>
      <c r="AK425" s="1111"/>
      <c r="AL425" s="1111"/>
      <c r="AM425" s="1111"/>
      <c r="AN425" s="1111"/>
      <c r="AO425" s="1111"/>
      <c r="AP425" s="1111"/>
      <c r="AQ425" s="1111"/>
      <c r="AR425" s="1111"/>
      <c r="AS425" s="1111"/>
      <c r="AT425" s="1111"/>
      <c r="AU425" s="1111"/>
      <c r="AV425" s="1111"/>
      <c r="AW425" s="1111"/>
      <c r="AX425" s="1111"/>
      <c r="AY425" s="1111"/>
      <c r="AZ425" s="1111"/>
      <c r="BA425" s="1111"/>
      <c r="BB425" s="1111"/>
      <c r="BC425" s="1111"/>
      <c r="BD425" s="1111"/>
      <c r="BE425" s="1111"/>
      <c r="BF425" s="1111"/>
      <c r="BG425" s="1111"/>
      <c r="BH425" s="1111"/>
      <c r="BI425" s="1111"/>
      <c r="BJ425" s="1111"/>
      <c r="BK425" s="1111"/>
      <c r="BL425" s="1111"/>
      <c r="BM425" s="1111"/>
      <c r="BN425" s="1111"/>
      <c r="BO425" s="1111"/>
      <c r="BP425" s="1111"/>
      <c r="BQ425" s="1111"/>
      <c r="BR425" s="1111"/>
      <c r="BS425" s="1111"/>
      <c r="BT425" s="1111"/>
      <c r="BU425" s="1111"/>
      <c r="BV425" s="1111"/>
      <c r="BW425" s="1111"/>
      <c r="BX425" s="1111"/>
      <c r="BY425" s="1111"/>
      <c r="BZ425" s="1111"/>
      <c r="CA425" s="1111"/>
      <c r="CB425" s="1111"/>
      <c r="CC425" s="1111"/>
      <c r="CD425" s="1111"/>
      <c r="CE425" s="1111"/>
      <c r="CF425" s="1111"/>
      <c r="CG425" s="1111"/>
      <c r="CH425" s="1111"/>
      <c r="CI425" s="1111"/>
      <c r="CJ425" s="1111"/>
      <c r="CK425" s="1110"/>
    </row>
    <row r="426" spans="1:89" ht="14.4" x14ac:dyDescent="0.3">
      <c r="A426" s="1110"/>
      <c r="B426" s="1110"/>
      <c r="C426" s="1110"/>
      <c r="D426" s="1110"/>
      <c r="E426" s="1110"/>
      <c r="F426" s="1110"/>
      <c r="G426" s="1110"/>
      <c r="H426" s="1110"/>
      <c r="I426" s="1110"/>
      <c r="J426" s="1110"/>
      <c r="K426" s="1110"/>
      <c r="L426" s="1110"/>
      <c r="M426" s="1110"/>
      <c r="N426" s="1110"/>
      <c r="O426" s="1110"/>
      <c r="P426" s="1110"/>
      <c r="Q426" s="1110"/>
      <c r="R426" s="1110"/>
      <c r="S426" s="1110"/>
      <c r="T426" s="1111"/>
      <c r="U426" s="1111"/>
      <c r="V426" s="1111"/>
      <c r="W426" s="1111"/>
      <c r="X426" s="1111"/>
      <c r="Y426" s="1111"/>
      <c r="Z426" s="1111"/>
      <c r="AA426" s="1111"/>
      <c r="AB426" s="1111"/>
      <c r="AC426" s="1111"/>
      <c r="AD426" s="1111"/>
      <c r="AE426" s="1111"/>
      <c r="AF426" s="1111"/>
      <c r="AG426" s="1111"/>
      <c r="AH426" s="1111"/>
      <c r="AI426" s="1111"/>
      <c r="AJ426" s="1111"/>
      <c r="AK426" s="1111"/>
      <c r="AL426" s="1111"/>
      <c r="AM426" s="1111"/>
      <c r="AN426" s="1111"/>
      <c r="AO426" s="1111"/>
      <c r="AP426" s="1111"/>
      <c r="AQ426" s="1111"/>
      <c r="AR426" s="1111"/>
      <c r="AS426" s="1111"/>
      <c r="AT426" s="1111"/>
      <c r="AU426" s="1111"/>
      <c r="AV426" s="1111"/>
      <c r="AW426" s="1111"/>
      <c r="AX426" s="1111"/>
      <c r="AY426" s="1111"/>
      <c r="AZ426" s="1111"/>
      <c r="BA426" s="1111"/>
      <c r="BB426" s="1111"/>
      <c r="BC426" s="1111"/>
      <c r="BD426" s="1111"/>
      <c r="BE426" s="1111"/>
      <c r="BF426" s="1111"/>
      <c r="BG426" s="1111"/>
      <c r="BH426" s="1111"/>
      <c r="BI426" s="1111"/>
      <c r="BJ426" s="1111"/>
      <c r="BK426" s="1111"/>
      <c r="BL426" s="1111"/>
      <c r="BM426" s="1111"/>
      <c r="BN426" s="1111"/>
      <c r="BO426" s="1111"/>
      <c r="BP426" s="1111"/>
      <c r="BQ426" s="1111"/>
      <c r="BR426" s="1111"/>
      <c r="BS426" s="1111"/>
      <c r="BT426" s="1111"/>
      <c r="BU426" s="1111"/>
      <c r="BV426" s="1111"/>
      <c r="BW426" s="1111"/>
      <c r="BX426" s="1111"/>
      <c r="BY426" s="1111"/>
      <c r="BZ426" s="1111"/>
      <c r="CA426" s="1111"/>
      <c r="CB426" s="1111"/>
      <c r="CC426" s="1111"/>
      <c r="CD426" s="1111"/>
      <c r="CE426" s="1111"/>
      <c r="CF426" s="1111"/>
      <c r="CG426" s="1111"/>
      <c r="CH426" s="1111"/>
      <c r="CI426" s="1111"/>
      <c r="CJ426" s="1111"/>
      <c r="CK426" s="1110"/>
    </row>
    <row r="427" spans="1:89" ht="14.4" x14ac:dyDescent="0.3">
      <c r="A427" s="1110"/>
      <c r="B427" s="1110"/>
      <c r="C427" s="1110"/>
      <c r="D427" s="1110"/>
      <c r="E427" s="1110"/>
      <c r="F427" s="1110"/>
      <c r="G427" s="1110"/>
      <c r="H427" s="1110"/>
      <c r="I427" s="1110"/>
      <c r="J427" s="1110"/>
      <c r="K427" s="1110"/>
      <c r="L427" s="1110"/>
      <c r="M427" s="1110"/>
      <c r="N427" s="1110"/>
      <c r="O427" s="1110"/>
      <c r="P427" s="1110"/>
      <c r="Q427" s="1110"/>
      <c r="R427" s="1110"/>
      <c r="S427" s="1110"/>
      <c r="T427" s="1111"/>
      <c r="U427" s="1111"/>
      <c r="V427" s="1111"/>
      <c r="W427" s="1111"/>
      <c r="X427" s="1111"/>
      <c r="Y427" s="1111"/>
      <c r="Z427" s="1111"/>
      <c r="AA427" s="1111"/>
      <c r="AB427" s="1111"/>
      <c r="AC427" s="1111"/>
      <c r="AD427" s="1111"/>
      <c r="AE427" s="1111"/>
      <c r="AF427" s="1111"/>
      <c r="AG427" s="1111"/>
      <c r="AH427" s="1111"/>
      <c r="AI427" s="1111"/>
      <c r="AJ427" s="1111"/>
      <c r="AK427" s="1111"/>
      <c r="AL427" s="1111"/>
      <c r="AM427" s="1111"/>
      <c r="AN427" s="1111"/>
      <c r="AO427" s="1111"/>
      <c r="AP427" s="1111"/>
      <c r="AQ427" s="1111"/>
      <c r="AR427" s="1111"/>
      <c r="AS427" s="1111"/>
      <c r="AT427" s="1111"/>
      <c r="AU427" s="1111"/>
      <c r="AV427" s="1111"/>
      <c r="AW427" s="1111"/>
      <c r="AX427" s="1111"/>
      <c r="AY427" s="1111"/>
      <c r="AZ427" s="1111"/>
      <c r="BA427" s="1111"/>
      <c r="BB427" s="1111"/>
      <c r="BC427" s="1111"/>
      <c r="BD427" s="1111"/>
      <c r="BE427" s="1111"/>
      <c r="BF427" s="1111"/>
      <c r="BG427" s="1111"/>
      <c r="BH427" s="1111"/>
      <c r="BI427" s="1111"/>
      <c r="BJ427" s="1111"/>
      <c r="BK427" s="1111"/>
      <c r="BL427" s="1111"/>
      <c r="BM427" s="1111"/>
      <c r="BN427" s="1111"/>
      <c r="BO427" s="1111"/>
      <c r="BP427" s="1111"/>
      <c r="BQ427" s="1111"/>
      <c r="BR427" s="1111"/>
      <c r="BS427" s="1111"/>
      <c r="BT427" s="1111"/>
      <c r="BU427" s="1111"/>
      <c r="BV427" s="1111"/>
      <c r="BW427" s="1111"/>
      <c r="BX427" s="1111"/>
      <c r="BY427" s="1111"/>
      <c r="BZ427" s="1111"/>
      <c r="CA427" s="1111"/>
      <c r="CB427" s="1111"/>
      <c r="CC427" s="1111"/>
      <c r="CD427" s="1111"/>
      <c r="CE427" s="1111"/>
      <c r="CF427" s="1111"/>
      <c r="CG427" s="1111"/>
      <c r="CH427" s="1111"/>
      <c r="CI427" s="1111"/>
      <c r="CJ427" s="1111"/>
      <c r="CK427" s="1110"/>
    </row>
    <row r="428" spans="1:89" ht="14.4" x14ac:dyDescent="0.3">
      <c r="A428" s="1110"/>
      <c r="B428" s="1110"/>
      <c r="C428" s="1110"/>
      <c r="D428" s="1110"/>
      <c r="E428" s="1110"/>
      <c r="F428" s="1110"/>
      <c r="G428" s="1110"/>
      <c r="H428" s="1110"/>
      <c r="I428" s="1110"/>
      <c r="J428" s="1110"/>
      <c r="K428" s="1110"/>
      <c r="L428" s="1110"/>
      <c r="M428" s="1110"/>
      <c r="N428" s="1110"/>
      <c r="O428" s="1110"/>
      <c r="P428" s="1110"/>
      <c r="Q428" s="1110"/>
      <c r="R428" s="1110"/>
      <c r="S428" s="1110"/>
      <c r="T428" s="1111"/>
      <c r="U428" s="1111"/>
      <c r="V428" s="1111"/>
      <c r="W428" s="1111"/>
      <c r="X428" s="1111"/>
      <c r="Y428" s="1111"/>
      <c r="Z428" s="1111"/>
      <c r="AA428" s="1111"/>
      <c r="AB428" s="1111"/>
      <c r="AC428" s="1111"/>
      <c r="AD428" s="1111"/>
      <c r="AE428" s="1111"/>
      <c r="AF428" s="1111"/>
      <c r="AG428" s="1111"/>
      <c r="AH428" s="1111"/>
      <c r="AI428" s="1111"/>
      <c r="AJ428" s="1111"/>
      <c r="AK428" s="1111"/>
      <c r="AL428" s="1111"/>
      <c r="AM428" s="1111"/>
      <c r="AN428" s="1111"/>
      <c r="AO428" s="1111"/>
      <c r="AP428" s="1111"/>
      <c r="AQ428" s="1111"/>
      <c r="AR428" s="1111"/>
      <c r="AS428" s="1111"/>
      <c r="AT428" s="1111"/>
      <c r="AU428" s="1111"/>
      <c r="AV428" s="1111"/>
      <c r="AW428" s="1111"/>
      <c r="AX428" s="1111"/>
      <c r="AY428" s="1111"/>
      <c r="AZ428" s="1111"/>
      <c r="BA428" s="1111"/>
      <c r="BB428" s="1111"/>
      <c r="BC428" s="1111"/>
      <c r="BD428" s="1111"/>
      <c r="BE428" s="1111"/>
      <c r="BF428" s="1111"/>
      <c r="BG428" s="1111"/>
      <c r="BH428" s="1111"/>
      <c r="BI428" s="1111"/>
      <c r="BJ428" s="1111"/>
      <c r="BK428" s="1111"/>
      <c r="BL428" s="1111"/>
      <c r="BM428" s="1111"/>
      <c r="BN428" s="1111"/>
      <c r="BO428" s="1111"/>
      <c r="BP428" s="1111"/>
      <c r="BQ428" s="1111"/>
      <c r="BR428" s="1111"/>
      <c r="BS428" s="1111"/>
      <c r="BT428" s="1111"/>
      <c r="BU428" s="1111"/>
      <c r="BV428" s="1111"/>
      <c r="BW428" s="1111"/>
      <c r="BX428" s="1111"/>
      <c r="BY428" s="1111"/>
      <c r="BZ428" s="1111"/>
      <c r="CA428" s="1111"/>
      <c r="CB428" s="1111"/>
      <c r="CC428" s="1111"/>
      <c r="CD428" s="1111"/>
      <c r="CE428" s="1111"/>
      <c r="CF428" s="1111"/>
      <c r="CG428" s="1111"/>
      <c r="CH428" s="1111"/>
      <c r="CI428" s="1111"/>
      <c r="CJ428" s="1111"/>
      <c r="CK428" s="1110"/>
    </row>
    <row r="429" spans="1:89" ht="14.4" x14ac:dyDescent="0.3">
      <c r="A429" s="1110"/>
      <c r="B429" s="1110"/>
      <c r="C429" s="1110"/>
      <c r="D429" s="1110"/>
      <c r="E429" s="1110"/>
      <c r="F429" s="1110"/>
      <c r="G429" s="1110"/>
      <c r="H429" s="1110"/>
      <c r="I429" s="1110"/>
      <c r="J429" s="1110"/>
      <c r="K429" s="1110"/>
      <c r="L429" s="1110"/>
      <c r="M429" s="1110"/>
      <c r="N429" s="1110"/>
      <c r="O429" s="1110"/>
      <c r="P429" s="1110"/>
      <c r="Q429" s="1110"/>
      <c r="R429" s="1110"/>
      <c r="S429" s="1110"/>
      <c r="T429" s="1111"/>
      <c r="U429" s="1111"/>
      <c r="V429" s="1111"/>
      <c r="W429" s="1111"/>
      <c r="X429" s="1111"/>
      <c r="Y429" s="1111"/>
      <c r="Z429" s="1111"/>
      <c r="AA429" s="1111"/>
      <c r="AB429" s="1111"/>
      <c r="AC429" s="1111"/>
      <c r="AD429" s="1111"/>
      <c r="AE429" s="1111"/>
      <c r="AF429" s="1111"/>
      <c r="AG429" s="1111"/>
      <c r="AH429" s="1111"/>
      <c r="AI429" s="1111"/>
      <c r="AJ429" s="1111"/>
      <c r="AK429" s="1111"/>
      <c r="AL429" s="1111"/>
      <c r="AM429" s="1111"/>
      <c r="AN429" s="1111"/>
      <c r="AO429" s="1111"/>
      <c r="AP429" s="1111"/>
      <c r="AQ429" s="1111"/>
      <c r="AR429" s="1111"/>
      <c r="AS429" s="1111"/>
      <c r="AT429" s="1111"/>
      <c r="AU429" s="1111"/>
      <c r="AV429" s="1111"/>
      <c r="AW429" s="1111"/>
      <c r="AX429" s="1111"/>
      <c r="AY429" s="1111"/>
      <c r="AZ429" s="1111"/>
      <c r="BA429" s="1111"/>
      <c r="BB429" s="1111"/>
      <c r="BC429" s="1111"/>
      <c r="BD429" s="1111"/>
      <c r="BE429" s="1111"/>
      <c r="BF429" s="1111"/>
      <c r="BG429" s="1111"/>
      <c r="BH429" s="1111"/>
      <c r="BI429" s="1111"/>
      <c r="BJ429" s="1111"/>
      <c r="BK429" s="1111"/>
      <c r="BL429" s="1111"/>
      <c r="BM429" s="1111"/>
      <c r="BN429" s="1111"/>
      <c r="BO429" s="1111"/>
      <c r="BP429" s="1111"/>
      <c r="BQ429" s="1111"/>
      <c r="BR429" s="1111"/>
      <c r="BS429" s="1111"/>
      <c r="BT429" s="1111"/>
      <c r="BU429" s="1111"/>
      <c r="BV429" s="1111"/>
      <c r="BW429" s="1111"/>
      <c r="BX429" s="1111"/>
      <c r="BY429" s="1111"/>
      <c r="BZ429" s="1111"/>
      <c r="CA429" s="1111"/>
      <c r="CB429" s="1111"/>
      <c r="CC429" s="1111"/>
      <c r="CD429" s="1111"/>
      <c r="CE429" s="1111"/>
      <c r="CF429" s="1111"/>
      <c r="CG429" s="1111"/>
      <c r="CH429" s="1111"/>
      <c r="CI429" s="1111"/>
      <c r="CJ429" s="1111"/>
      <c r="CK429" s="1110"/>
    </row>
    <row r="430" spans="1:89" ht="14.4" x14ac:dyDescent="0.3">
      <c r="A430" s="1110"/>
      <c r="B430" s="1110"/>
      <c r="C430" s="1110"/>
      <c r="D430" s="1110"/>
      <c r="E430" s="1110"/>
      <c r="F430" s="1110"/>
      <c r="G430" s="1110"/>
      <c r="H430" s="1110"/>
      <c r="I430" s="1110"/>
      <c r="J430" s="1110"/>
      <c r="K430" s="1110"/>
      <c r="L430" s="1110"/>
      <c r="M430" s="1110"/>
      <c r="N430" s="1110"/>
      <c r="O430" s="1110"/>
      <c r="P430" s="1110"/>
      <c r="Q430" s="1110"/>
      <c r="R430" s="1110"/>
      <c r="S430" s="1110"/>
      <c r="T430" s="1111"/>
      <c r="U430" s="1111"/>
      <c r="V430" s="1111"/>
      <c r="W430" s="1111"/>
      <c r="X430" s="1111"/>
      <c r="Y430" s="1111"/>
      <c r="Z430" s="1111"/>
      <c r="AA430" s="1111"/>
      <c r="AB430" s="1111"/>
      <c r="AC430" s="1111"/>
      <c r="AD430" s="1111"/>
      <c r="AE430" s="1111"/>
      <c r="AF430" s="1111"/>
      <c r="AG430" s="1111"/>
      <c r="AH430" s="1111"/>
      <c r="AI430" s="1111"/>
      <c r="AJ430" s="1111"/>
      <c r="AK430" s="1111"/>
      <c r="AL430" s="1111"/>
      <c r="AM430" s="1111"/>
      <c r="AN430" s="1111"/>
      <c r="AO430" s="1111"/>
      <c r="AP430" s="1111"/>
      <c r="AQ430" s="1111"/>
      <c r="AR430" s="1111"/>
      <c r="AS430" s="1111"/>
      <c r="AT430" s="1111"/>
      <c r="AU430" s="1111"/>
      <c r="AV430" s="1111"/>
      <c r="AW430" s="1111"/>
      <c r="AX430" s="1111"/>
      <c r="AY430" s="1111"/>
      <c r="AZ430" s="1111"/>
      <c r="BA430" s="1111"/>
      <c r="BB430" s="1111"/>
      <c r="BC430" s="1111"/>
      <c r="BD430" s="1111"/>
      <c r="BE430" s="1111"/>
      <c r="BF430" s="1111"/>
      <c r="BG430" s="1111"/>
      <c r="BH430" s="1111"/>
      <c r="BI430" s="1111"/>
      <c r="BJ430" s="1111"/>
      <c r="BK430" s="1111"/>
      <c r="BL430" s="1111"/>
      <c r="BM430" s="1111"/>
      <c r="BN430" s="1111"/>
      <c r="BO430" s="1111"/>
      <c r="BP430" s="1111"/>
      <c r="BQ430" s="1111"/>
      <c r="BR430" s="1111"/>
      <c r="BS430" s="1111"/>
      <c r="BT430" s="1111"/>
      <c r="BU430" s="1111"/>
      <c r="BV430" s="1111"/>
      <c r="BW430" s="1111"/>
      <c r="BX430" s="1111"/>
      <c r="BY430" s="1111"/>
      <c r="BZ430" s="1111"/>
      <c r="CA430" s="1111"/>
      <c r="CB430" s="1111"/>
      <c r="CC430" s="1111"/>
      <c r="CD430" s="1111"/>
      <c r="CE430" s="1111"/>
      <c r="CF430" s="1111"/>
      <c r="CG430" s="1111"/>
      <c r="CH430" s="1111"/>
      <c r="CI430" s="1111"/>
      <c r="CJ430" s="1111"/>
      <c r="CK430" s="1110"/>
    </row>
    <row r="431" spans="1:89" ht="14.4" x14ac:dyDescent="0.3">
      <c r="A431" s="1110"/>
      <c r="B431" s="1110"/>
      <c r="C431" s="1110"/>
      <c r="D431" s="1110"/>
      <c r="E431" s="1110"/>
      <c r="F431" s="1110"/>
      <c r="G431" s="1110"/>
      <c r="H431" s="1110"/>
      <c r="I431" s="1110"/>
      <c r="J431" s="1110"/>
      <c r="K431" s="1110"/>
      <c r="L431" s="1110"/>
      <c r="M431" s="1110"/>
      <c r="N431" s="1110"/>
      <c r="O431" s="1110"/>
      <c r="P431" s="1110"/>
      <c r="Q431" s="1110"/>
      <c r="R431" s="1110"/>
      <c r="S431" s="1110"/>
      <c r="T431" s="1111"/>
      <c r="U431" s="1111"/>
      <c r="V431" s="1111"/>
      <c r="W431" s="1111"/>
      <c r="X431" s="1111"/>
      <c r="Y431" s="1111"/>
      <c r="Z431" s="1111"/>
      <c r="AA431" s="1111"/>
      <c r="AB431" s="1111"/>
      <c r="AC431" s="1111"/>
      <c r="AD431" s="1111"/>
      <c r="AE431" s="1111"/>
      <c r="AF431" s="1111"/>
      <c r="AG431" s="1111"/>
      <c r="AH431" s="1111"/>
      <c r="AI431" s="1111"/>
      <c r="AJ431" s="1111"/>
      <c r="AK431" s="1111"/>
      <c r="AL431" s="1111"/>
      <c r="AM431" s="1111"/>
      <c r="AN431" s="1111"/>
      <c r="AO431" s="1111"/>
      <c r="AP431" s="1111"/>
      <c r="AQ431" s="1111"/>
      <c r="AR431" s="1111"/>
      <c r="AS431" s="1111"/>
      <c r="AT431" s="1111"/>
      <c r="AU431" s="1111"/>
      <c r="AV431" s="1111"/>
      <c r="AW431" s="1111"/>
      <c r="AX431" s="1111"/>
      <c r="AY431" s="1111"/>
      <c r="AZ431" s="1111"/>
      <c r="BA431" s="1111"/>
      <c r="BB431" s="1111"/>
      <c r="BC431" s="1111"/>
      <c r="BD431" s="1111"/>
      <c r="BE431" s="1111"/>
      <c r="BF431" s="1111"/>
      <c r="BG431" s="1111"/>
      <c r="BH431" s="1111"/>
      <c r="BI431" s="1111"/>
      <c r="BJ431" s="1111"/>
      <c r="BK431" s="1111"/>
      <c r="BL431" s="1111"/>
      <c r="BM431" s="1111"/>
      <c r="BN431" s="1111"/>
      <c r="BO431" s="1111"/>
      <c r="BP431" s="1111"/>
      <c r="BQ431" s="1111"/>
      <c r="BR431" s="1111"/>
      <c r="BS431" s="1111"/>
      <c r="BT431" s="1111"/>
      <c r="BU431" s="1111"/>
      <c r="BV431" s="1111"/>
      <c r="BW431" s="1111"/>
      <c r="BX431" s="1111"/>
      <c r="BY431" s="1111"/>
      <c r="BZ431" s="1111"/>
      <c r="CA431" s="1111"/>
      <c r="CB431" s="1111"/>
      <c r="CC431" s="1111"/>
      <c r="CD431" s="1111"/>
      <c r="CE431" s="1111"/>
      <c r="CF431" s="1111"/>
      <c r="CG431" s="1111"/>
      <c r="CH431" s="1111"/>
      <c r="CI431" s="1111"/>
      <c r="CJ431" s="1111"/>
      <c r="CK431" s="1110"/>
    </row>
    <row r="432" spans="1:89" ht="14.4" x14ac:dyDescent="0.3">
      <c r="A432" s="1110"/>
      <c r="B432" s="1110"/>
      <c r="C432" s="1110"/>
      <c r="D432" s="1110"/>
      <c r="E432" s="1110"/>
      <c r="F432" s="1110"/>
      <c r="G432" s="1110"/>
      <c r="H432" s="1110"/>
      <c r="I432" s="1110"/>
      <c r="J432" s="1110"/>
      <c r="K432" s="1110"/>
      <c r="L432" s="1110"/>
      <c r="M432" s="1110"/>
      <c r="N432" s="1110"/>
      <c r="O432" s="1110"/>
      <c r="P432" s="1110"/>
      <c r="Q432" s="1110"/>
      <c r="R432" s="1110"/>
      <c r="S432" s="1110"/>
      <c r="T432" s="1111"/>
      <c r="U432" s="1111"/>
      <c r="V432" s="1111"/>
      <c r="W432" s="1111"/>
      <c r="X432" s="1111"/>
      <c r="Y432" s="1111"/>
      <c r="Z432" s="1111"/>
      <c r="AA432" s="1111"/>
      <c r="AB432" s="1111"/>
      <c r="AC432" s="1111"/>
      <c r="AD432" s="1111"/>
      <c r="AE432" s="1111"/>
      <c r="AF432" s="1111"/>
      <c r="AG432" s="1111"/>
      <c r="AH432" s="1111"/>
      <c r="AI432" s="1111"/>
      <c r="AJ432" s="1111"/>
      <c r="AK432" s="1111"/>
      <c r="AL432" s="1111"/>
      <c r="AM432" s="1111"/>
      <c r="AN432" s="1111"/>
      <c r="AO432" s="1111"/>
      <c r="AP432" s="1111"/>
      <c r="AQ432" s="1111"/>
      <c r="AR432" s="1111"/>
      <c r="AS432" s="1111"/>
      <c r="AT432" s="1111"/>
      <c r="AU432" s="1111"/>
      <c r="AV432" s="1111"/>
      <c r="AW432" s="1111"/>
      <c r="AX432" s="1111"/>
      <c r="AY432" s="1111"/>
      <c r="AZ432" s="1111"/>
      <c r="BA432" s="1111"/>
      <c r="BB432" s="1111"/>
      <c r="BC432" s="1111"/>
      <c r="BD432" s="1111"/>
      <c r="BE432" s="1111"/>
      <c r="BF432" s="1111"/>
      <c r="BG432" s="1111"/>
      <c r="BH432" s="1111"/>
      <c r="BI432" s="1111"/>
      <c r="BJ432" s="1111"/>
      <c r="BK432" s="1111"/>
      <c r="BL432" s="1111"/>
      <c r="BM432" s="1111"/>
      <c r="BN432" s="1111"/>
      <c r="BO432" s="1111"/>
      <c r="BP432" s="1111"/>
      <c r="BQ432" s="1111"/>
      <c r="BR432" s="1111"/>
      <c r="BS432" s="1111"/>
      <c r="BT432" s="1111"/>
      <c r="BU432" s="1111"/>
      <c r="BV432" s="1111"/>
      <c r="BW432" s="1111"/>
      <c r="BX432" s="1111"/>
      <c r="BY432" s="1111"/>
      <c r="BZ432" s="1111"/>
      <c r="CA432" s="1111"/>
      <c r="CB432" s="1111"/>
      <c r="CC432" s="1111"/>
      <c r="CD432" s="1111"/>
      <c r="CE432" s="1111"/>
      <c r="CF432" s="1111"/>
      <c r="CG432" s="1111"/>
      <c r="CH432" s="1111"/>
      <c r="CI432" s="1111"/>
      <c r="CJ432" s="1111"/>
      <c r="CK432" s="1110"/>
    </row>
    <row r="433" spans="1:89" ht="14.4" x14ac:dyDescent="0.3">
      <c r="A433" s="1110"/>
      <c r="B433" s="1110"/>
      <c r="C433" s="1110"/>
      <c r="D433" s="1110"/>
      <c r="E433" s="1110"/>
      <c r="F433" s="1110"/>
      <c r="G433" s="1110"/>
      <c r="H433" s="1110"/>
      <c r="I433" s="1110"/>
      <c r="J433" s="1110"/>
      <c r="K433" s="1110"/>
      <c r="L433" s="1110"/>
      <c r="M433" s="1110"/>
      <c r="N433" s="1110"/>
      <c r="O433" s="1110"/>
      <c r="P433" s="1110"/>
      <c r="Q433" s="1110"/>
      <c r="R433" s="1110"/>
      <c r="S433" s="1110"/>
      <c r="T433" s="1111"/>
      <c r="U433" s="1111"/>
      <c r="V433" s="1111"/>
      <c r="W433" s="1111"/>
      <c r="X433" s="1111"/>
      <c r="Y433" s="1111"/>
      <c r="Z433" s="1111"/>
      <c r="AA433" s="1111"/>
      <c r="AB433" s="1111"/>
      <c r="AC433" s="1111"/>
      <c r="AD433" s="1111"/>
      <c r="AE433" s="1111"/>
      <c r="AF433" s="1111"/>
      <c r="AG433" s="1111"/>
      <c r="AH433" s="1111"/>
      <c r="AI433" s="1111"/>
      <c r="AJ433" s="1111"/>
      <c r="AK433" s="1111"/>
      <c r="AL433" s="1111"/>
      <c r="AM433" s="1111"/>
      <c r="AN433" s="1111"/>
      <c r="AO433" s="1111"/>
      <c r="AP433" s="1111"/>
      <c r="AQ433" s="1111"/>
      <c r="AR433" s="1111"/>
      <c r="AS433" s="1111"/>
      <c r="AT433" s="1111"/>
      <c r="AU433" s="1111"/>
      <c r="AV433" s="1111"/>
      <c r="AW433" s="1111"/>
      <c r="AX433" s="1111"/>
      <c r="AY433" s="1111"/>
      <c r="AZ433" s="1111"/>
      <c r="BA433" s="1111"/>
      <c r="BB433" s="1111"/>
      <c r="BC433" s="1111"/>
      <c r="BD433" s="1111"/>
      <c r="BE433" s="1111"/>
      <c r="BF433" s="1111"/>
      <c r="BG433" s="1111"/>
      <c r="BH433" s="1111"/>
      <c r="BI433" s="1111"/>
      <c r="BJ433" s="1111"/>
      <c r="BK433" s="1111"/>
      <c r="BL433" s="1111"/>
      <c r="BM433" s="1111"/>
      <c r="BN433" s="1111"/>
      <c r="BO433" s="1111"/>
      <c r="BP433" s="1111"/>
      <c r="BQ433" s="1111"/>
      <c r="BR433" s="1111"/>
      <c r="BS433" s="1111"/>
      <c r="BT433" s="1111"/>
      <c r="BU433" s="1111"/>
      <c r="BV433" s="1111"/>
      <c r="BW433" s="1111"/>
      <c r="BX433" s="1111"/>
      <c r="BY433" s="1111"/>
      <c r="BZ433" s="1111"/>
      <c r="CA433" s="1111"/>
      <c r="CB433" s="1111"/>
      <c r="CC433" s="1111"/>
      <c r="CD433" s="1111"/>
      <c r="CE433" s="1111"/>
      <c r="CF433" s="1111"/>
      <c r="CG433" s="1111"/>
      <c r="CH433" s="1111"/>
      <c r="CI433" s="1111"/>
      <c r="CJ433" s="1111"/>
      <c r="CK433" s="1110"/>
    </row>
    <row r="434" spans="1:89" ht="14.4" x14ac:dyDescent="0.3">
      <c r="A434" s="1110"/>
      <c r="B434" s="1110"/>
      <c r="C434" s="1110"/>
      <c r="D434" s="1110"/>
      <c r="E434" s="1110"/>
      <c r="F434" s="1110"/>
      <c r="G434" s="1110"/>
      <c r="H434" s="1110"/>
      <c r="I434" s="1110"/>
      <c r="J434" s="1110"/>
      <c r="K434" s="1110"/>
      <c r="L434" s="1110"/>
      <c r="M434" s="1110"/>
      <c r="N434" s="1110"/>
      <c r="O434" s="1110"/>
      <c r="P434" s="1110"/>
      <c r="Q434" s="1110"/>
      <c r="R434" s="1110"/>
      <c r="S434" s="1110"/>
      <c r="T434" s="1111"/>
      <c r="U434" s="1111"/>
      <c r="V434" s="1111"/>
      <c r="W434" s="1111"/>
      <c r="X434" s="1111"/>
      <c r="Y434" s="1111"/>
      <c r="Z434" s="1111"/>
      <c r="AA434" s="1111"/>
      <c r="AB434" s="1111"/>
      <c r="AC434" s="1111"/>
      <c r="AD434" s="1111"/>
      <c r="AE434" s="1111"/>
      <c r="AF434" s="1111"/>
      <c r="AG434" s="1111"/>
      <c r="AH434" s="1111"/>
      <c r="AI434" s="1111"/>
      <c r="AJ434" s="1111"/>
      <c r="AK434" s="1111"/>
      <c r="AL434" s="1111"/>
      <c r="AM434" s="1111"/>
      <c r="AN434" s="1111"/>
      <c r="AO434" s="1111"/>
      <c r="AP434" s="1111"/>
      <c r="AQ434" s="1111"/>
      <c r="AR434" s="1111"/>
      <c r="AS434" s="1111"/>
      <c r="AT434" s="1111"/>
      <c r="AU434" s="1111"/>
      <c r="AV434" s="1111"/>
      <c r="AW434" s="1111"/>
      <c r="AX434" s="1111"/>
      <c r="AY434" s="1111"/>
      <c r="AZ434" s="1111"/>
      <c r="BA434" s="1111"/>
      <c r="BB434" s="1111"/>
      <c r="BC434" s="1111"/>
      <c r="BD434" s="1111"/>
      <c r="BE434" s="1111"/>
      <c r="BF434" s="1111"/>
      <c r="BG434" s="1111"/>
      <c r="BH434" s="1111"/>
      <c r="BI434" s="1111"/>
      <c r="BJ434" s="1111"/>
      <c r="BK434" s="1111"/>
      <c r="BL434" s="1111"/>
      <c r="BM434" s="1111"/>
      <c r="BN434" s="1111"/>
      <c r="BO434" s="1111"/>
      <c r="BP434" s="1111"/>
      <c r="BQ434" s="1111"/>
      <c r="BR434" s="1111"/>
      <c r="BS434" s="1111"/>
      <c r="BT434" s="1111"/>
      <c r="BU434" s="1111"/>
      <c r="BV434" s="1111"/>
      <c r="BW434" s="1111"/>
      <c r="BX434" s="1111"/>
      <c r="BY434" s="1111"/>
      <c r="BZ434" s="1111"/>
      <c r="CA434" s="1111"/>
      <c r="CB434" s="1111"/>
      <c r="CC434" s="1111"/>
      <c r="CD434" s="1111"/>
      <c r="CE434" s="1111"/>
      <c r="CF434" s="1111"/>
      <c r="CG434" s="1111"/>
      <c r="CH434" s="1111"/>
      <c r="CI434" s="1111"/>
      <c r="CJ434" s="1111"/>
      <c r="CK434" s="1110"/>
    </row>
    <row r="435" spans="1:89" ht="14.4" x14ac:dyDescent="0.3">
      <c r="A435" s="1110"/>
      <c r="B435" s="1110"/>
      <c r="C435" s="1110"/>
      <c r="D435" s="1110"/>
      <c r="E435" s="1110"/>
      <c r="F435" s="1110"/>
      <c r="G435" s="1110"/>
      <c r="H435" s="1110"/>
      <c r="I435" s="1110"/>
      <c r="J435" s="1110"/>
      <c r="K435" s="1110"/>
      <c r="L435" s="1110"/>
      <c r="M435" s="1110"/>
      <c r="N435" s="1110"/>
      <c r="O435" s="1110"/>
      <c r="P435" s="1110"/>
      <c r="Q435" s="1110"/>
      <c r="R435" s="1110"/>
      <c r="S435" s="1110"/>
      <c r="T435" s="1111"/>
      <c r="U435" s="1111"/>
      <c r="V435" s="1111"/>
      <c r="W435" s="1111"/>
      <c r="X435" s="1111"/>
      <c r="Y435" s="1111"/>
      <c r="Z435" s="1111"/>
      <c r="AA435" s="1111"/>
      <c r="AB435" s="1111"/>
      <c r="AC435" s="1111"/>
      <c r="AD435" s="1111"/>
      <c r="AE435" s="1111"/>
      <c r="AF435" s="1111"/>
      <c r="AG435" s="1111"/>
      <c r="AH435" s="1111"/>
      <c r="AI435" s="1111"/>
      <c r="AJ435" s="1111"/>
      <c r="AK435" s="1111"/>
      <c r="AL435" s="1111"/>
      <c r="AM435" s="1111"/>
      <c r="AN435" s="1111"/>
      <c r="AO435" s="1111"/>
      <c r="AP435" s="1111"/>
      <c r="AQ435" s="1111"/>
      <c r="AR435" s="1111"/>
      <c r="AS435" s="1111"/>
      <c r="AT435" s="1111"/>
      <c r="AU435" s="1111"/>
      <c r="AV435" s="1111"/>
      <c r="AW435" s="1111"/>
      <c r="AX435" s="1111"/>
      <c r="AY435" s="1111"/>
      <c r="AZ435" s="1111"/>
      <c r="BA435" s="1111"/>
      <c r="BB435" s="1111"/>
      <c r="BC435" s="1111"/>
      <c r="BD435" s="1111"/>
      <c r="BE435" s="1111"/>
      <c r="BF435" s="1111"/>
      <c r="BG435" s="1111"/>
      <c r="BH435" s="1111"/>
      <c r="BI435" s="1111"/>
      <c r="BJ435" s="1111"/>
      <c r="BK435" s="1111"/>
      <c r="BL435" s="1111"/>
      <c r="BM435" s="1111"/>
      <c r="BN435" s="1111"/>
      <c r="BO435" s="1111"/>
      <c r="BP435" s="1111"/>
      <c r="BQ435" s="1111"/>
      <c r="BR435" s="1111"/>
      <c r="BS435" s="1111"/>
      <c r="BT435" s="1111"/>
      <c r="BU435" s="1111"/>
      <c r="BV435" s="1111"/>
      <c r="BW435" s="1111"/>
      <c r="BX435" s="1111"/>
      <c r="BY435" s="1111"/>
      <c r="BZ435" s="1111"/>
      <c r="CA435" s="1111"/>
      <c r="CB435" s="1111"/>
      <c r="CC435" s="1111"/>
      <c r="CD435" s="1111"/>
      <c r="CE435" s="1111"/>
      <c r="CF435" s="1111"/>
      <c r="CG435" s="1111"/>
      <c r="CH435" s="1111"/>
      <c r="CI435" s="1111"/>
      <c r="CJ435" s="1111"/>
      <c r="CK435" s="1110"/>
    </row>
    <row r="436" spans="1:89" ht="14.4" x14ac:dyDescent="0.3">
      <c r="A436" s="1110"/>
      <c r="B436" s="1110"/>
      <c r="C436" s="1110"/>
      <c r="D436" s="1110"/>
      <c r="E436" s="1110"/>
      <c r="F436" s="1110"/>
      <c r="G436" s="1110"/>
      <c r="H436" s="1110"/>
      <c r="I436" s="1110"/>
      <c r="J436" s="1110"/>
      <c r="K436" s="1110"/>
      <c r="L436" s="1110"/>
      <c r="M436" s="1110"/>
      <c r="N436" s="1110"/>
      <c r="O436" s="1110"/>
      <c r="P436" s="1110"/>
      <c r="Q436" s="1110"/>
      <c r="R436" s="1110"/>
      <c r="S436" s="1110"/>
      <c r="T436" s="1111"/>
      <c r="U436" s="1111"/>
      <c r="V436" s="1111"/>
      <c r="W436" s="1111"/>
      <c r="X436" s="1111"/>
      <c r="Y436" s="1111"/>
      <c r="Z436" s="1111"/>
      <c r="AA436" s="1111"/>
      <c r="AB436" s="1111"/>
      <c r="AC436" s="1111"/>
      <c r="AD436" s="1111"/>
      <c r="AE436" s="1111"/>
      <c r="AF436" s="1111"/>
      <c r="AG436" s="1111"/>
      <c r="AH436" s="1111"/>
      <c r="AI436" s="1111"/>
      <c r="AJ436" s="1111"/>
      <c r="AK436" s="1111"/>
      <c r="AL436" s="1111"/>
      <c r="AM436" s="1111"/>
      <c r="AN436" s="1111"/>
      <c r="AO436" s="1111"/>
      <c r="AP436" s="1111"/>
      <c r="AQ436" s="1111"/>
      <c r="AR436" s="1111"/>
      <c r="AS436" s="1111"/>
      <c r="AT436" s="1111"/>
      <c r="AU436" s="1111"/>
      <c r="AV436" s="1111"/>
      <c r="AW436" s="1111"/>
      <c r="AX436" s="1111"/>
      <c r="AY436" s="1111"/>
      <c r="AZ436" s="1111"/>
      <c r="BA436" s="1111"/>
      <c r="BB436" s="1111"/>
      <c r="BC436" s="1111"/>
      <c r="BD436" s="1111"/>
      <c r="BE436" s="1111"/>
      <c r="BF436" s="1111"/>
      <c r="BG436" s="1111"/>
      <c r="BH436" s="1111"/>
      <c r="BI436" s="1111"/>
      <c r="BJ436" s="1111"/>
      <c r="BK436" s="1111"/>
      <c r="BL436" s="1111"/>
      <c r="BM436" s="1111"/>
      <c r="BN436" s="1111"/>
      <c r="BO436" s="1111"/>
      <c r="BP436" s="1111"/>
      <c r="BQ436" s="1111"/>
      <c r="BR436" s="1111"/>
      <c r="BS436" s="1111"/>
      <c r="BT436" s="1111"/>
      <c r="BU436" s="1111"/>
      <c r="BV436" s="1111"/>
      <c r="BW436" s="1111"/>
      <c r="BX436" s="1111"/>
      <c r="BY436" s="1111"/>
      <c r="BZ436" s="1111"/>
      <c r="CA436" s="1111"/>
      <c r="CB436" s="1111"/>
      <c r="CC436" s="1111"/>
      <c r="CD436" s="1111"/>
      <c r="CE436" s="1111"/>
      <c r="CF436" s="1111"/>
      <c r="CG436" s="1111"/>
      <c r="CH436" s="1111"/>
      <c r="CI436" s="1111"/>
      <c r="CJ436" s="1111"/>
      <c r="CK436" s="1110"/>
    </row>
    <row r="437" spans="1:89" ht="14.4" x14ac:dyDescent="0.3">
      <c r="A437" s="1110"/>
      <c r="B437" s="1110"/>
      <c r="C437" s="1110"/>
      <c r="D437" s="1110"/>
      <c r="E437" s="1110"/>
      <c r="F437" s="1110"/>
      <c r="G437" s="1110"/>
      <c r="H437" s="1110"/>
      <c r="I437" s="1110"/>
      <c r="J437" s="1110"/>
      <c r="K437" s="1110"/>
      <c r="L437" s="1110"/>
      <c r="M437" s="1110"/>
      <c r="N437" s="1110"/>
      <c r="O437" s="1110"/>
      <c r="P437" s="1110"/>
      <c r="Q437" s="1110"/>
      <c r="R437" s="1110"/>
      <c r="S437" s="1110"/>
      <c r="T437" s="1111"/>
      <c r="U437" s="1111"/>
      <c r="V437" s="1111"/>
      <c r="W437" s="1111"/>
      <c r="X437" s="1111"/>
      <c r="Y437" s="1111"/>
      <c r="Z437" s="1111"/>
      <c r="AA437" s="1111"/>
      <c r="AB437" s="1111"/>
      <c r="AC437" s="1111"/>
      <c r="AD437" s="1111"/>
      <c r="AE437" s="1111"/>
      <c r="AF437" s="1111"/>
      <c r="AG437" s="1111"/>
      <c r="AH437" s="1111"/>
      <c r="AI437" s="1111"/>
      <c r="AJ437" s="1111"/>
      <c r="AK437" s="1111"/>
      <c r="AL437" s="1111"/>
      <c r="AM437" s="1111"/>
      <c r="AN437" s="1111"/>
      <c r="AO437" s="1111"/>
      <c r="AP437" s="1111"/>
      <c r="AQ437" s="1111"/>
      <c r="AR437" s="1111"/>
      <c r="AS437" s="1111"/>
      <c r="AT437" s="1111"/>
      <c r="AU437" s="1111"/>
      <c r="AV437" s="1111"/>
      <c r="AW437" s="1111"/>
      <c r="AX437" s="1111"/>
      <c r="AY437" s="1111"/>
      <c r="AZ437" s="1111"/>
      <c r="BA437" s="1111"/>
      <c r="BB437" s="1111"/>
      <c r="BC437" s="1111"/>
      <c r="BD437" s="1111"/>
      <c r="BE437" s="1111"/>
      <c r="BF437" s="1111"/>
      <c r="BG437" s="1111"/>
      <c r="BH437" s="1111"/>
      <c r="BI437" s="1111"/>
      <c r="BJ437" s="1111"/>
      <c r="BK437" s="1111"/>
      <c r="BL437" s="1111"/>
      <c r="BM437" s="1111"/>
      <c r="BN437" s="1111"/>
      <c r="BO437" s="1111"/>
      <c r="BP437" s="1111"/>
      <c r="BQ437" s="1111"/>
      <c r="BR437" s="1111"/>
      <c r="BS437" s="1111"/>
      <c r="BT437" s="1111"/>
      <c r="BU437" s="1111"/>
      <c r="BV437" s="1111"/>
      <c r="BW437" s="1111"/>
      <c r="BX437" s="1111"/>
      <c r="BY437" s="1111"/>
      <c r="BZ437" s="1111"/>
      <c r="CA437" s="1111"/>
      <c r="CB437" s="1111"/>
      <c r="CC437" s="1111"/>
      <c r="CD437" s="1111"/>
      <c r="CE437" s="1111"/>
      <c r="CF437" s="1111"/>
      <c r="CG437" s="1111"/>
      <c r="CH437" s="1111"/>
      <c r="CI437" s="1111"/>
      <c r="CJ437" s="1111"/>
      <c r="CK437" s="1110"/>
    </row>
    <row r="438" spans="1:89" ht="14.4" x14ac:dyDescent="0.3">
      <c r="A438" s="1110"/>
      <c r="B438" s="1110"/>
      <c r="C438" s="1110"/>
      <c r="D438" s="1110"/>
      <c r="E438" s="1110"/>
      <c r="F438" s="1110"/>
      <c r="G438" s="1110"/>
      <c r="H438" s="1110"/>
      <c r="I438" s="1110"/>
      <c r="J438" s="1110"/>
      <c r="K438" s="1110"/>
      <c r="L438" s="1110"/>
      <c r="M438" s="1110"/>
      <c r="N438" s="1110"/>
      <c r="O438" s="1110"/>
      <c r="P438" s="1110"/>
      <c r="Q438" s="1110"/>
      <c r="R438" s="1110"/>
      <c r="S438" s="1110"/>
      <c r="T438" s="1111"/>
      <c r="U438" s="1111"/>
      <c r="V438" s="1111"/>
      <c r="W438" s="1111"/>
      <c r="X438" s="1111"/>
      <c r="Y438" s="1111"/>
      <c r="Z438" s="1111"/>
      <c r="AA438" s="1111"/>
      <c r="AB438" s="1111"/>
      <c r="AC438" s="1111"/>
      <c r="AD438" s="1111"/>
      <c r="AE438" s="1111"/>
      <c r="AF438" s="1111"/>
      <c r="AG438" s="1111"/>
      <c r="AH438" s="1111"/>
      <c r="AI438" s="1111"/>
      <c r="AJ438" s="1111"/>
      <c r="AK438" s="1111"/>
      <c r="AL438" s="1111"/>
      <c r="AM438" s="1111"/>
      <c r="AN438" s="1111"/>
      <c r="AO438" s="1111"/>
      <c r="AP438" s="1111"/>
      <c r="AQ438" s="1111"/>
      <c r="AR438" s="1111"/>
      <c r="AS438" s="1111"/>
      <c r="AT438" s="1111"/>
      <c r="AU438" s="1111"/>
      <c r="AV438" s="1111"/>
      <c r="AW438" s="1111"/>
      <c r="AX438" s="1111"/>
      <c r="AY438" s="1111"/>
      <c r="AZ438" s="1111"/>
      <c r="BA438" s="1111"/>
      <c r="BB438" s="1111"/>
      <c r="BC438" s="1111"/>
      <c r="BD438" s="1111"/>
      <c r="BE438" s="1111"/>
      <c r="BF438" s="1111"/>
      <c r="BG438" s="1111"/>
      <c r="BH438" s="1111"/>
      <c r="BI438" s="1111"/>
      <c r="BJ438" s="1111"/>
      <c r="BK438" s="1111"/>
      <c r="BL438" s="1111"/>
      <c r="BM438" s="1111"/>
      <c r="BN438" s="1111"/>
      <c r="BO438" s="1111"/>
      <c r="BP438" s="1111"/>
      <c r="BQ438" s="1111"/>
      <c r="BR438" s="1111"/>
      <c r="BS438" s="1111"/>
      <c r="BT438" s="1111"/>
      <c r="BU438" s="1111"/>
      <c r="BV438" s="1111"/>
      <c r="BW438" s="1111"/>
      <c r="BX438" s="1111"/>
      <c r="BY438" s="1111"/>
      <c r="BZ438" s="1111"/>
      <c r="CA438" s="1111"/>
      <c r="CB438" s="1111"/>
      <c r="CC438" s="1111"/>
      <c r="CD438" s="1111"/>
      <c r="CE438" s="1111"/>
      <c r="CF438" s="1111"/>
      <c r="CG438" s="1111"/>
      <c r="CH438" s="1111"/>
      <c r="CI438" s="1111"/>
      <c r="CJ438" s="1111"/>
      <c r="CK438" s="1110"/>
    </row>
    <row r="439" spans="1:89" ht="14.4" x14ac:dyDescent="0.3">
      <c r="A439" s="1110"/>
      <c r="B439" s="1110"/>
      <c r="C439" s="1110"/>
      <c r="D439" s="1110"/>
      <c r="E439" s="1110"/>
      <c r="F439" s="1110"/>
      <c r="G439" s="1110"/>
      <c r="H439" s="1110"/>
      <c r="I439" s="1110"/>
      <c r="J439" s="1110"/>
      <c r="K439" s="1110"/>
      <c r="L439" s="1110"/>
      <c r="M439" s="1110"/>
      <c r="N439" s="1110"/>
      <c r="O439" s="1110"/>
      <c r="P439" s="1110"/>
      <c r="Q439" s="1110"/>
      <c r="R439" s="1110"/>
      <c r="S439" s="1110"/>
      <c r="T439" s="1111"/>
      <c r="U439" s="1111"/>
      <c r="V439" s="1111"/>
      <c r="W439" s="1111"/>
      <c r="X439" s="1111"/>
      <c r="Y439" s="1111"/>
      <c r="Z439" s="1111"/>
      <c r="AA439" s="1111"/>
      <c r="AB439" s="1111"/>
      <c r="AC439" s="1111"/>
      <c r="AD439" s="1111"/>
      <c r="AE439" s="1111"/>
      <c r="AF439" s="1111"/>
      <c r="AG439" s="1111"/>
      <c r="AH439" s="1111"/>
      <c r="AI439" s="1111"/>
      <c r="AJ439" s="1111"/>
      <c r="AK439" s="1111"/>
      <c r="AL439" s="1111"/>
      <c r="AM439" s="1111"/>
      <c r="AN439" s="1111"/>
      <c r="AO439" s="1111"/>
      <c r="AP439" s="1111"/>
      <c r="AQ439" s="1111"/>
      <c r="AR439" s="1111"/>
      <c r="AS439" s="1111"/>
      <c r="AT439" s="1111"/>
      <c r="AU439" s="1111"/>
      <c r="AV439" s="1111"/>
      <c r="AW439" s="1111"/>
      <c r="AX439" s="1111"/>
      <c r="AY439" s="1111"/>
      <c r="AZ439" s="1111"/>
      <c r="BA439" s="1111"/>
      <c r="BB439" s="1111"/>
      <c r="BC439" s="1111"/>
      <c r="BD439" s="1111"/>
      <c r="BE439" s="1111"/>
      <c r="BF439" s="1111"/>
      <c r="BG439" s="1111"/>
      <c r="BH439" s="1111"/>
      <c r="BI439" s="1111"/>
      <c r="BJ439" s="1111"/>
      <c r="BK439" s="1111"/>
      <c r="BL439" s="1111"/>
      <c r="BM439" s="1111"/>
      <c r="BN439" s="1111"/>
      <c r="BO439" s="1111"/>
      <c r="BP439" s="1111"/>
      <c r="BQ439" s="1111"/>
      <c r="BR439" s="1111"/>
      <c r="BS439" s="1111"/>
      <c r="BT439" s="1111"/>
      <c r="BU439" s="1111"/>
      <c r="BV439" s="1111"/>
      <c r="BW439" s="1111"/>
      <c r="BX439" s="1111"/>
      <c r="BY439" s="1111"/>
      <c r="BZ439" s="1111"/>
      <c r="CA439" s="1111"/>
      <c r="CB439" s="1111"/>
      <c r="CC439" s="1111"/>
      <c r="CD439" s="1111"/>
      <c r="CE439" s="1111"/>
      <c r="CF439" s="1111"/>
      <c r="CG439" s="1111"/>
      <c r="CH439" s="1111"/>
      <c r="CI439" s="1111"/>
      <c r="CJ439" s="1111"/>
      <c r="CK439" s="1110"/>
    </row>
    <row r="440" spans="1:89" ht="14.4" x14ac:dyDescent="0.3">
      <c r="A440" s="1110"/>
      <c r="B440" s="1110"/>
      <c r="C440" s="1110"/>
      <c r="D440" s="1110"/>
      <c r="E440" s="1110"/>
      <c r="F440" s="1110"/>
      <c r="G440" s="1110"/>
      <c r="H440" s="1110"/>
      <c r="I440" s="1110"/>
      <c r="J440" s="1110"/>
      <c r="K440" s="1110"/>
      <c r="L440" s="1110"/>
      <c r="M440" s="1110"/>
      <c r="N440" s="1110"/>
      <c r="O440" s="1110"/>
      <c r="P440" s="1110"/>
      <c r="Q440" s="1110"/>
      <c r="R440" s="1110"/>
      <c r="S440" s="1110"/>
      <c r="T440" s="1111"/>
      <c r="U440" s="1111"/>
      <c r="V440" s="1111"/>
      <c r="W440" s="1111"/>
      <c r="X440" s="1111"/>
      <c r="Y440" s="1111"/>
      <c r="Z440" s="1111"/>
      <c r="AA440" s="1111"/>
      <c r="AB440" s="1111"/>
      <c r="AC440" s="1111"/>
      <c r="AD440" s="1111"/>
      <c r="AE440" s="1111"/>
      <c r="AF440" s="1111"/>
      <c r="AG440" s="1111"/>
      <c r="AH440" s="1111"/>
      <c r="AI440" s="1111"/>
      <c r="AJ440" s="1111"/>
      <c r="AK440" s="1111"/>
      <c r="AL440" s="1111"/>
      <c r="AM440" s="1111"/>
      <c r="AN440" s="1111"/>
      <c r="AO440" s="1111"/>
      <c r="AP440" s="1111"/>
      <c r="AQ440" s="1111"/>
      <c r="AR440" s="1111"/>
      <c r="AS440" s="1111"/>
      <c r="AT440" s="1111"/>
      <c r="AU440" s="1111"/>
      <c r="AV440" s="1111"/>
      <c r="AW440" s="1111"/>
      <c r="AX440" s="1111"/>
      <c r="AY440" s="1111"/>
      <c r="AZ440" s="1111"/>
      <c r="BA440" s="1111"/>
      <c r="BB440" s="1111"/>
      <c r="BC440" s="1111"/>
      <c r="BD440" s="1111"/>
      <c r="BE440" s="1111"/>
      <c r="BF440" s="1111"/>
      <c r="BG440" s="1111"/>
      <c r="BH440" s="1111"/>
      <c r="BI440" s="1111"/>
      <c r="BJ440" s="1111"/>
      <c r="BK440" s="1111"/>
      <c r="BL440" s="1111"/>
      <c r="BM440" s="1111"/>
      <c r="BN440" s="1111"/>
      <c r="BO440" s="1111"/>
      <c r="BP440" s="1111"/>
      <c r="BQ440" s="1111"/>
      <c r="BR440" s="1111"/>
      <c r="BS440" s="1111"/>
      <c r="BT440" s="1111"/>
      <c r="BU440" s="1111"/>
      <c r="BV440" s="1111"/>
      <c r="BW440" s="1111"/>
      <c r="BX440" s="1111"/>
      <c r="BY440" s="1111"/>
      <c r="BZ440" s="1111"/>
      <c r="CA440" s="1111"/>
      <c r="CB440" s="1111"/>
      <c r="CC440" s="1111"/>
      <c r="CD440" s="1111"/>
      <c r="CE440" s="1111"/>
      <c r="CF440" s="1111"/>
      <c r="CG440" s="1111"/>
      <c r="CH440" s="1111"/>
      <c r="CI440" s="1111"/>
      <c r="CJ440" s="1111"/>
      <c r="CK440" s="1110"/>
    </row>
    <row r="441" spans="1:89" ht="14.4" x14ac:dyDescent="0.3">
      <c r="A441" s="1110"/>
      <c r="B441" s="1110"/>
      <c r="C441" s="1110"/>
      <c r="D441" s="1110"/>
      <c r="E441" s="1110"/>
      <c r="F441" s="1110"/>
      <c r="G441" s="1110"/>
      <c r="H441" s="1110"/>
      <c r="I441" s="1110"/>
      <c r="J441" s="1110"/>
      <c r="K441" s="1110"/>
      <c r="L441" s="1110"/>
      <c r="M441" s="1110"/>
      <c r="N441" s="1110"/>
      <c r="O441" s="1110"/>
      <c r="P441" s="1110"/>
      <c r="Q441" s="1110"/>
      <c r="R441" s="1110"/>
      <c r="S441" s="1110"/>
      <c r="T441" s="1111"/>
      <c r="U441" s="1111"/>
      <c r="V441" s="1111"/>
      <c r="W441" s="1111"/>
      <c r="X441" s="1111"/>
      <c r="Y441" s="1111"/>
      <c r="Z441" s="1111"/>
      <c r="AA441" s="1111"/>
      <c r="AB441" s="1111"/>
      <c r="AC441" s="1111"/>
      <c r="AD441" s="1111"/>
      <c r="AE441" s="1111"/>
      <c r="AF441" s="1111"/>
      <c r="AG441" s="1111"/>
      <c r="AH441" s="1111"/>
      <c r="AI441" s="1111"/>
      <c r="AJ441" s="1111"/>
      <c r="AK441" s="1111"/>
      <c r="AL441" s="1111"/>
      <c r="AM441" s="1111"/>
      <c r="AN441" s="1111"/>
      <c r="AO441" s="1111"/>
      <c r="AP441" s="1111"/>
      <c r="AQ441" s="1111"/>
      <c r="AR441" s="1111"/>
      <c r="AS441" s="1111"/>
      <c r="AT441" s="1111"/>
      <c r="AU441" s="1111"/>
      <c r="AV441" s="1111"/>
      <c r="AW441" s="1111"/>
      <c r="AX441" s="1111"/>
      <c r="AY441" s="1111"/>
      <c r="AZ441" s="1111"/>
      <c r="BA441" s="1111"/>
      <c r="BB441" s="1111"/>
      <c r="BC441" s="1111"/>
      <c r="BD441" s="1111"/>
      <c r="BE441" s="1111"/>
      <c r="BF441" s="1111"/>
      <c r="BG441" s="1111"/>
      <c r="BH441" s="1111"/>
      <c r="BI441" s="1111"/>
      <c r="BJ441" s="1111"/>
      <c r="BK441" s="1111"/>
      <c r="BL441" s="1111"/>
      <c r="BM441" s="1111"/>
      <c r="BN441" s="1111"/>
      <c r="BO441" s="1111"/>
      <c r="BP441" s="1111"/>
      <c r="BQ441" s="1111"/>
      <c r="BR441" s="1111"/>
      <c r="BS441" s="1111"/>
      <c r="BT441" s="1111"/>
      <c r="BU441" s="1111"/>
      <c r="BV441" s="1111"/>
      <c r="BW441" s="1111"/>
      <c r="BX441" s="1111"/>
      <c r="BY441" s="1111"/>
      <c r="BZ441" s="1111"/>
      <c r="CA441" s="1111"/>
      <c r="CB441" s="1111"/>
      <c r="CC441" s="1111"/>
      <c r="CD441" s="1111"/>
      <c r="CE441" s="1111"/>
      <c r="CF441" s="1111"/>
      <c r="CG441" s="1111"/>
      <c r="CH441" s="1111"/>
      <c r="CI441" s="1111"/>
      <c r="CJ441" s="1111"/>
      <c r="CK441" s="1110"/>
    </row>
    <row r="442" spans="1:89" ht="14.4" x14ac:dyDescent="0.3">
      <c r="A442" s="1110"/>
      <c r="B442" s="1110"/>
      <c r="C442" s="1110"/>
      <c r="D442" s="1110"/>
      <c r="E442" s="1110"/>
      <c r="F442" s="1110"/>
      <c r="G442" s="1110"/>
      <c r="H442" s="1110"/>
      <c r="I442" s="1110"/>
      <c r="J442" s="1110"/>
      <c r="K442" s="1110"/>
      <c r="L442" s="1110"/>
      <c r="M442" s="1110"/>
      <c r="N442" s="1110"/>
      <c r="O442" s="1110"/>
      <c r="P442" s="1110"/>
      <c r="Q442" s="1110"/>
      <c r="R442" s="1110"/>
      <c r="S442" s="1110"/>
      <c r="T442" s="1111"/>
      <c r="U442" s="1111"/>
      <c r="V442" s="1111"/>
      <c r="W442" s="1111"/>
      <c r="X442" s="1111"/>
      <c r="Y442" s="1111"/>
      <c r="Z442" s="1111"/>
      <c r="AA442" s="1111"/>
      <c r="AB442" s="1111"/>
      <c r="AC442" s="1111"/>
      <c r="AD442" s="1111"/>
      <c r="AE442" s="1111"/>
      <c r="AF442" s="1111"/>
      <c r="AG442" s="1111"/>
      <c r="AH442" s="1111"/>
      <c r="AI442" s="1111"/>
      <c r="AJ442" s="1111"/>
      <c r="AK442" s="1111"/>
      <c r="AL442" s="1111"/>
      <c r="AM442" s="1111"/>
      <c r="AN442" s="1111"/>
      <c r="AO442" s="1111"/>
      <c r="AP442" s="1111"/>
      <c r="AQ442" s="1111"/>
      <c r="AR442" s="1111"/>
      <c r="AS442" s="1111"/>
      <c r="AT442" s="1111"/>
      <c r="AU442" s="1111"/>
      <c r="AV442" s="1111"/>
      <c r="AW442" s="1111"/>
      <c r="AX442" s="1111"/>
      <c r="AY442" s="1111"/>
      <c r="AZ442" s="1111"/>
      <c r="BA442" s="1111"/>
      <c r="BB442" s="1111"/>
      <c r="BC442" s="1111"/>
      <c r="BD442" s="1111"/>
      <c r="BE442" s="1111"/>
      <c r="BF442" s="1111"/>
      <c r="BG442" s="1111"/>
      <c r="BH442" s="1111"/>
      <c r="BI442" s="1111"/>
      <c r="BJ442" s="1111"/>
      <c r="BK442" s="1111"/>
      <c r="BL442" s="1111"/>
      <c r="BM442" s="1111"/>
      <c r="BN442" s="1111"/>
      <c r="BO442" s="1111"/>
      <c r="BP442" s="1111"/>
      <c r="BQ442" s="1111"/>
      <c r="BR442" s="1111"/>
      <c r="BS442" s="1111"/>
      <c r="BT442" s="1111"/>
      <c r="BU442" s="1111"/>
      <c r="BV442" s="1111"/>
      <c r="BW442" s="1111"/>
      <c r="BX442" s="1111"/>
      <c r="BY442" s="1111"/>
      <c r="BZ442" s="1111"/>
      <c r="CA442" s="1111"/>
      <c r="CB442" s="1111"/>
      <c r="CC442" s="1111"/>
      <c r="CD442" s="1111"/>
      <c r="CE442" s="1111"/>
      <c r="CF442" s="1111"/>
      <c r="CG442" s="1111"/>
      <c r="CH442" s="1111"/>
      <c r="CI442" s="1111"/>
      <c r="CJ442" s="1111"/>
      <c r="CK442" s="1110"/>
    </row>
    <row r="443" spans="1:89" ht="14.4" x14ac:dyDescent="0.3">
      <c r="A443" s="1110"/>
      <c r="B443" s="1110"/>
      <c r="C443" s="1110"/>
      <c r="D443" s="1110"/>
      <c r="E443" s="1110"/>
      <c r="F443" s="1110"/>
      <c r="G443" s="1110"/>
      <c r="H443" s="1110"/>
      <c r="I443" s="1110"/>
      <c r="J443" s="1110"/>
      <c r="K443" s="1110"/>
      <c r="L443" s="1110"/>
      <c r="M443" s="1110"/>
      <c r="N443" s="1110"/>
      <c r="O443" s="1110"/>
      <c r="P443" s="1110"/>
      <c r="Q443" s="1110"/>
      <c r="R443" s="1110"/>
      <c r="S443" s="1110"/>
      <c r="T443" s="1111"/>
      <c r="U443" s="1111"/>
      <c r="V443" s="1111"/>
      <c r="W443" s="1111"/>
      <c r="X443" s="1111"/>
      <c r="Y443" s="1111"/>
      <c r="Z443" s="1111"/>
      <c r="AA443" s="1111"/>
      <c r="AB443" s="1111"/>
      <c r="AC443" s="1111"/>
      <c r="AD443" s="1111"/>
      <c r="AE443" s="1111"/>
      <c r="AF443" s="1111"/>
      <c r="AG443" s="1111"/>
      <c r="AH443" s="1111"/>
      <c r="AI443" s="1111"/>
      <c r="AJ443" s="1111"/>
      <c r="AK443" s="1111"/>
      <c r="AL443" s="1111"/>
      <c r="AM443" s="1111"/>
      <c r="AN443" s="1111"/>
      <c r="AO443" s="1111"/>
      <c r="AP443" s="1111"/>
      <c r="AQ443" s="1111"/>
      <c r="AR443" s="1111"/>
      <c r="AS443" s="1111"/>
      <c r="AT443" s="1111"/>
      <c r="AU443" s="1111"/>
      <c r="AV443" s="1111"/>
      <c r="AW443" s="1111"/>
      <c r="AX443" s="1111"/>
      <c r="AY443" s="1111"/>
      <c r="AZ443" s="1111"/>
      <c r="BA443" s="1111"/>
      <c r="BB443" s="1111"/>
      <c r="BC443" s="1111"/>
      <c r="BD443" s="1111"/>
      <c r="BE443" s="1111"/>
      <c r="BF443" s="1111"/>
      <c r="BG443" s="1111"/>
      <c r="BH443" s="1111"/>
      <c r="BI443" s="1111"/>
      <c r="BJ443" s="1111"/>
      <c r="BK443" s="1111"/>
      <c r="BL443" s="1111"/>
      <c r="BM443" s="1111"/>
      <c r="BN443" s="1111"/>
      <c r="BO443" s="1111"/>
      <c r="BP443" s="1111"/>
      <c r="BQ443" s="1111"/>
      <c r="BR443" s="1111"/>
      <c r="BS443" s="1111"/>
      <c r="BT443" s="1111"/>
      <c r="BU443" s="1111"/>
      <c r="BV443" s="1111"/>
      <c r="BW443" s="1111"/>
      <c r="BX443" s="1111"/>
      <c r="BY443" s="1111"/>
      <c r="BZ443" s="1111"/>
      <c r="CA443" s="1111"/>
      <c r="CB443" s="1111"/>
      <c r="CC443" s="1111"/>
      <c r="CD443" s="1111"/>
      <c r="CE443" s="1111"/>
      <c r="CF443" s="1111"/>
      <c r="CG443" s="1111"/>
      <c r="CH443" s="1111"/>
      <c r="CI443" s="1111"/>
      <c r="CJ443" s="1111"/>
      <c r="CK443" s="1110"/>
    </row>
    <row r="444" spans="1:89" ht="14.4" x14ac:dyDescent="0.3">
      <c r="A444" s="1110"/>
      <c r="B444" s="1110"/>
      <c r="C444" s="1110"/>
      <c r="D444" s="1110"/>
      <c r="E444" s="1110"/>
      <c r="F444" s="1110"/>
      <c r="G444" s="1110"/>
      <c r="H444" s="1110"/>
      <c r="I444" s="1110"/>
      <c r="J444" s="1110"/>
      <c r="K444" s="1110"/>
      <c r="L444" s="1110"/>
      <c r="M444" s="1110"/>
      <c r="N444" s="1110"/>
      <c r="O444" s="1110"/>
      <c r="P444" s="1110"/>
      <c r="Q444" s="1110"/>
      <c r="R444" s="1110"/>
      <c r="S444" s="1110"/>
      <c r="T444" s="1111"/>
      <c r="U444" s="1111"/>
      <c r="V444" s="1111"/>
      <c r="W444" s="1111"/>
      <c r="X444" s="1111"/>
      <c r="Y444" s="1111"/>
      <c r="Z444" s="1111"/>
      <c r="AA444" s="1111"/>
      <c r="AB444" s="1111"/>
      <c r="AC444" s="1111"/>
      <c r="AD444" s="1111"/>
      <c r="AE444" s="1111"/>
      <c r="AF444" s="1111"/>
      <c r="AG444" s="1111"/>
      <c r="AH444" s="1111"/>
      <c r="AI444" s="1111"/>
      <c r="AJ444" s="1111"/>
      <c r="AK444" s="1111"/>
      <c r="AL444" s="1111"/>
      <c r="AM444" s="1111"/>
      <c r="AN444" s="1111"/>
      <c r="AO444" s="1111"/>
      <c r="AP444" s="1111"/>
      <c r="AQ444" s="1111"/>
      <c r="AR444" s="1111"/>
      <c r="AS444" s="1111"/>
      <c r="AT444" s="1111"/>
      <c r="AU444" s="1111"/>
      <c r="AV444" s="1111"/>
      <c r="AW444" s="1111"/>
      <c r="AX444" s="1111"/>
      <c r="AY444" s="1111"/>
      <c r="AZ444" s="1111"/>
      <c r="BA444" s="1111"/>
      <c r="BB444" s="1111"/>
      <c r="BC444" s="1111"/>
      <c r="BD444" s="1111"/>
      <c r="BE444" s="1111"/>
      <c r="BF444" s="1111"/>
      <c r="BG444" s="1111"/>
      <c r="BH444" s="1111"/>
      <c r="BI444" s="1111"/>
      <c r="BJ444" s="1111"/>
      <c r="BK444" s="1111"/>
      <c r="BL444" s="1111"/>
      <c r="BM444" s="1111"/>
      <c r="BN444" s="1111"/>
      <c r="BO444" s="1111"/>
      <c r="BP444" s="1111"/>
      <c r="BQ444" s="1111"/>
      <c r="BR444" s="1111"/>
      <c r="BS444" s="1111"/>
      <c r="BT444" s="1111"/>
      <c r="BU444" s="1111"/>
      <c r="BV444" s="1111"/>
      <c r="BW444" s="1111"/>
      <c r="BX444" s="1111"/>
      <c r="BY444" s="1111"/>
      <c r="BZ444" s="1111"/>
      <c r="CA444" s="1111"/>
      <c r="CB444" s="1111"/>
      <c r="CC444" s="1111"/>
      <c r="CD444" s="1111"/>
      <c r="CE444" s="1111"/>
      <c r="CF444" s="1111"/>
      <c r="CG444" s="1111"/>
      <c r="CH444" s="1111"/>
      <c r="CI444" s="1111"/>
      <c r="CJ444" s="1111"/>
      <c r="CK444" s="1110"/>
    </row>
    <row r="445" spans="1:89" ht="14.4" x14ac:dyDescent="0.3">
      <c r="A445" s="1110"/>
      <c r="B445" s="1110"/>
      <c r="C445" s="1110"/>
      <c r="D445" s="1110"/>
      <c r="E445" s="1110"/>
      <c r="F445" s="1110"/>
      <c r="G445" s="1110"/>
      <c r="H445" s="1110"/>
      <c r="I445" s="1110"/>
      <c r="J445" s="1110"/>
      <c r="K445" s="1110"/>
      <c r="L445" s="1110"/>
      <c r="M445" s="1110"/>
      <c r="N445" s="1110"/>
      <c r="O445" s="1110"/>
      <c r="P445" s="1110"/>
      <c r="Q445" s="1110"/>
      <c r="R445" s="1110"/>
      <c r="S445" s="1110"/>
      <c r="T445" s="1111"/>
      <c r="U445" s="1111"/>
      <c r="V445" s="1111"/>
      <c r="W445" s="1111"/>
      <c r="X445" s="1111"/>
      <c r="Y445" s="1111"/>
      <c r="Z445" s="1111"/>
      <c r="AA445" s="1111"/>
      <c r="AB445" s="1111"/>
      <c r="AC445" s="1111"/>
      <c r="AD445" s="1111"/>
      <c r="AE445" s="1111"/>
      <c r="AF445" s="1111"/>
      <c r="AG445" s="1111"/>
      <c r="AH445" s="1111"/>
      <c r="AI445" s="1111"/>
      <c r="AJ445" s="1111"/>
      <c r="AK445" s="1111"/>
      <c r="AL445" s="1111"/>
      <c r="AM445" s="1111"/>
      <c r="AN445" s="1111"/>
      <c r="AO445" s="1111"/>
      <c r="AP445" s="1111"/>
      <c r="AQ445" s="1111"/>
      <c r="AR445" s="1111"/>
      <c r="AS445" s="1111"/>
      <c r="AT445" s="1111"/>
      <c r="AU445" s="1111"/>
      <c r="AV445" s="1111"/>
      <c r="AW445" s="1111"/>
      <c r="AX445" s="1111"/>
      <c r="AY445" s="1111"/>
      <c r="AZ445" s="1111"/>
      <c r="BA445" s="1111"/>
      <c r="BB445" s="1111"/>
      <c r="BC445" s="1111"/>
      <c r="BD445" s="1111"/>
      <c r="BE445" s="1111"/>
      <c r="BF445" s="1111"/>
      <c r="BG445" s="1111"/>
      <c r="BH445" s="1111"/>
      <c r="BI445" s="1111"/>
      <c r="BJ445" s="1111"/>
      <c r="BK445" s="1111"/>
      <c r="BL445" s="1111"/>
      <c r="BM445" s="1111"/>
      <c r="BN445" s="1111"/>
      <c r="BO445" s="1111"/>
      <c r="BP445" s="1111"/>
      <c r="BQ445" s="1111"/>
      <c r="BR445" s="1111"/>
      <c r="BS445" s="1111"/>
      <c r="BT445" s="1111"/>
      <c r="BU445" s="1111"/>
      <c r="BV445" s="1111"/>
      <c r="BW445" s="1111"/>
      <c r="BX445" s="1111"/>
      <c r="BY445" s="1111"/>
      <c r="BZ445" s="1111"/>
      <c r="CA445" s="1111"/>
      <c r="CB445" s="1111"/>
      <c r="CC445" s="1111"/>
      <c r="CD445" s="1111"/>
      <c r="CE445" s="1111"/>
      <c r="CF445" s="1111"/>
      <c r="CG445" s="1111"/>
      <c r="CH445" s="1111"/>
      <c r="CI445" s="1111"/>
      <c r="CJ445" s="1111"/>
      <c r="CK445" s="1110"/>
    </row>
    <row r="446" spans="1:89" ht="14.4" x14ac:dyDescent="0.3">
      <c r="A446" s="1110"/>
      <c r="B446" s="1110"/>
      <c r="C446" s="1110"/>
      <c r="D446" s="1110"/>
      <c r="E446" s="1110"/>
      <c r="F446" s="1110"/>
      <c r="G446" s="1110"/>
      <c r="H446" s="1110"/>
      <c r="I446" s="1110"/>
      <c r="J446" s="1110"/>
      <c r="K446" s="1110"/>
      <c r="L446" s="1110"/>
      <c r="M446" s="1110"/>
      <c r="N446" s="1110"/>
      <c r="O446" s="1110"/>
      <c r="P446" s="1110"/>
      <c r="Q446" s="1110"/>
      <c r="R446" s="1110"/>
      <c r="S446" s="1110"/>
      <c r="T446" s="1111"/>
      <c r="U446" s="1111"/>
      <c r="V446" s="1111"/>
      <c r="W446" s="1111"/>
      <c r="X446" s="1111"/>
      <c r="Y446" s="1111"/>
      <c r="Z446" s="1111"/>
      <c r="AA446" s="1111"/>
      <c r="AB446" s="1111"/>
      <c r="AC446" s="1111"/>
      <c r="AD446" s="1111"/>
      <c r="AE446" s="1111"/>
      <c r="AF446" s="1111"/>
      <c r="AG446" s="1111"/>
      <c r="AH446" s="1111"/>
      <c r="AI446" s="1111"/>
      <c r="AJ446" s="1111"/>
      <c r="AK446" s="1111"/>
      <c r="AL446" s="1111"/>
      <c r="AM446" s="1111"/>
      <c r="AN446" s="1111"/>
      <c r="AO446" s="1111"/>
      <c r="AP446" s="1111"/>
      <c r="AQ446" s="1111"/>
      <c r="AR446" s="1111"/>
      <c r="AS446" s="1111"/>
      <c r="AT446" s="1111"/>
      <c r="AU446" s="1111"/>
      <c r="AV446" s="1111"/>
      <c r="AW446" s="1111"/>
      <c r="AX446" s="1111"/>
      <c r="AY446" s="1111"/>
      <c r="AZ446" s="1111"/>
      <c r="BA446" s="1111"/>
      <c r="BB446" s="1111"/>
      <c r="BC446" s="1111"/>
      <c r="BD446" s="1111"/>
      <c r="BE446" s="1111"/>
      <c r="BF446" s="1111"/>
      <c r="BG446" s="1111"/>
      <c r="BH446" s="1111"/>
      <c r="BI446" s="1111"/>
      <c r="BJ446" s="1111"/>
      <c r="BK446" s="1111"/>
      <c r="BL446" s="1111"/>
      <c r="BM446" s="1111"/>
      <c r="BN446" s="1111"/>
      <c r="BO446" s="1111"/>
      <c r="BP446" s="1111"/>
      <c r="BQ446" s="1111"/>
      <c r="BR446" s="1111"/>
      <c r="BS446" s="1111"/>
      <c r="BT446" s="1111"/>
      <c r="BU446" s="1111"/>
      <c r="BV446" s="1111"/>
      <c r="BW446" s="1111"/>
      <c r="BX446" s="1111"/>
      <c r="BY446" s="1111"/>
      <c r="BZ446" s="1111"/>
      <c r="CA446" s="1111"/>
      <c r="CB446" s="1111"/>
      <c r="CC446" s="1111"/>
      <c r="CD446" s="1111"/>
      <c r="CE446" s="1111"/>
      <c r="CF446" s="1111"/>
      <c r="CG446" s="1111"/>
      <c r="CH446" s="1111"/>
      <c r="CI446" s="1111"/>
      <c r="CJ446" s="1111"/>
      <c r="CK446" s="1110"/>
    </row>
    <row r="447" spans="1:89" ht="14.4" x14ac:dyDescent="0.3">
      <c r="A447" s="1110"/>
      <c r="B447" s="1110"/>
      <c r="C447" s="1110"/>
      <c r="D447" s="1110"/>
      <c r="E447" s="1110"/>
      <c r="F447" s="1110"/>
      <c r="G447" s="1110"/>
      <c r="H447" s="1110"/>
      <c r="I447" s="1110"/>
      <c r="J447" s="1110"/>
      <c r="K447" s="1110"/>
      <c r="L447" s="1110"/>
      <c r="M447" s="1110"/>
      <c r="N447" s="1110"/>
      <c r="O447" s="1110"/>
      <c r="P447" s="1110"/>
      <c r="Q447" s="1110"/>
      <c r="R447" s="1110"/>
      <c r="S447" s="1110"/>
      <c r="T447" s="1111"/>
      <c r="U447" s="1111"/>
      <c r="V447" s="1111"/>
      <c r="W447" s="1111"/>
      <c r="X447" s="1111"/>
      <c r="Y447" s="1111"/>
      <c r="Z447" s="1111"/>
      <c r="AA447" s="1111"/>
      <c r="AB447" s="1111"/>
      <c r="AC447" s="1111"/>
      <c r="AD447" s="1111"/>
      <c r="AE447" s="1111"/>
      <c r="AF447" s="1111"/>
      <c r="AG447" s="1111"/>
      <c r="AH447" s="1111"/>
      <c r="AI447" s="1111"/>
      <c r="AJ447" s="1111"/>
      <c r="AK447" s="1111"/>
      <c r="AL447" s="1111"/>
      <c r="AM447" s="1111"/>
      <c r="AN447" s="1111"/>
      <c r="AO447" s="1111"/>
      <c r="AP447" s="1111"/>
      <c r="AQ447" s="1111"/>
      <c r="AR447" s="1111"/>
      <c r="AS447" s="1111"/>
      <c r="AT447" s="1111"/>
      <c r="AU447" s="1111"/>
      <c r="AV447" s="1111"/>
      <c r="AW447" s="1111"/>
      <c r="AX447" s="1111"/>
      <c r="AY447" s="1111"/>
      <c r="AZ447" s="1111"/>
      <c r="BA447" s="1111"/>
      <c r="BB447" s="1111"/>
      <c r="BC447" s="1111"/>
      <c r="BD447" s="1111"/>
      <c r="BE447" s="1111"/>
      <c r="BF447" s="1111"/>
      <c r="BG447" s="1111"/>
      <c r="BH447" s="1111"/>
      <c r="BI447" s="1111"/>
      <c r="BJ447" s="1111"/>
      <c r="BK447" s="1111"/>
      <c r="BL447" s="1111"/>
      <c r="BM447" s="1111"/>
      <c r="BN447" s="1111"/>
      <c r="BO447" s="1111"/>
      <c r="BP447" s="1111"/>
      <c r="BQ447" s="1111"/>
      <c r="BR447" s="1111"/>
      <c r="BS447" s="1111"/>
      <c r="BT447" s="1111"/>
      <c r="BU447" s="1111"/>
      <c r="BV447" s="1111"/>
      <c r="BW447" s="1111"/>
      <c r="BX447" s="1111"/>
      <c r="BY447" s="1111"/>
      <c r="BZ447" s="1111"/>
      <c r="CA447" s="1111"/>
      <c r="CB447" s="1111"/>
      <c r="CC447" s="1111"/>
      <c r="CD447" s="1111"/>
      <c r="CE447" s="1111"/>
      <c r="CF447" s="1111"/>
      <c r="CG447" s="1111"/>
      <c r="CH447" s="1111"/>
      <c r="CI447" s="1111"/>
      <c r="CJ447" s="1111"/>
      <c r="CK447" s="1110"/>
    </row>
    <row r="448" spans="1:89" ht="14.4" x14ac:dyDescent="0.3">
      <c r="A448" s="1110"/>
      <c r="B448" s="1110"/>
      <c r="C448" s="1110"/>
      <c r="D448" s="1110"/>
      <c r="E448" s="1110"/>
      <c r="F448" s="1110"/>
      <c r="G448" s="1110"/>
      <c r="H448" s="1110"/>
      <c r="I448" s="1110"/>
      <c r="J448" s="1110"/>
      <c r="K448" s="1110"/>
      <c r="L448" s="1110"/>
      <c r="M448" s="1110"/>
      <c r="N448" s="1110"/>
      <c r="O448" s="1110"/>
      <c r="P448" s="1110"/>
      <c r="Q448" s="1110"/>
      <c r="R448" s="1110"/>
      <c r="S448" s="1110"/>
      <c r="T448" s="1111"/>
      <c r="U448" s="1111"/>
      <c r="V448" s="1111"/>
      <c r="W448" s="1111"/>
      <c r="X448" s="1111"/>
      <c r="Y448" s="1111"/>
      <c r="Z448" s="1111"/>
      <c r="AA448" s="1111"/>
      <c r="AB448" s="1111"/>
      <c r="AC448" s="1111"/>
      <c r="AD448" s="1111"/>
      <c r="AE448" s="1111"/>
      <c r="AF448" s="1111"/>
      <c r="AG448" s="1111"/>
      <c r="AH448" s="1111"/>
      <c r="AI448" s="1111"/>
      <c r="AJ448" s="1111"/>
      <c r="AK448" s="1111"/>
      <c r="AL448" s="1111"/>
      <c r="AM448" s="1111"/>
      <c r="AN448" s="1111"/>
      <c r="AO448" s="1111"/>
      <c r="AP448" s="1111"/>
      <c r="AQ448" s="1111"/>
      <c r="AR448" s="1111"/>
      <c r="AS448" s="1111"/>
      <c r="AT448" s="1111"/>
      <c r="AU448" s="1111"/>
      <c r="AV448" s="1111"/>
      <c r="AW448" s="1111"/>
      <c r="AX448" s="1111"/>
      <c r="AY448" s="1111"/>
      <c r="AZ448" s="1111"/>
      <c r="BA448" s="1111"/>
      <c r="BB448" s="1111"/>
      <c r="BC448" s="1111"/>
      <c r="BD448" s="1111"/>
      <c r="BE448" s="1111"/>
      <c r="BF448" s="1111"/>
      <c r="BG448" s="1111"/>
      <c r="BH448" s="1111"/>
      <c r="BI448" s="1111"/>
      <c r="BJ448" s="1111"/>
      <c r="BK448" s="1111"/>
      <c r="BL448" s="1111"/>
      <c r="BM448" s="1111"/>
      <c r="BN448" s="1111"/>
      <c r="BO448" s="1111"/>
      <c r="BP448" s="1111"/>
      <c r="BQ448" s="1111"/>
      <c r="BR448" s="1111"/>
      <c r="BS448" s="1111"/>
      <c r="BT448" s="1111"/>
      <c r="BU448" s="1111"/>
      <c r="BV448" s="1111"/>
      <c r="BW448" s="1111"/>
      <c r="BX448" s="1111"/>
      <c r="BY448" s="1111"/>
      <c r="BZ448" s="1111"/>
      <c r="CA448" s="1111"/>
      <c r="CB448" s="1111"/>
      <c r="CC448" s="1111"/>
      <c r="CD448" s="1111"/>
      <c r="CE448" s="1111"/>
      <c r="CF448" s="1111"/>
      <c r="CG448" s="1111"/>
      <c r="CH448" s="1111"/>
      <c r="CI448" s="1111"/>
      <c r="CJ448" s="1111"/>
      <c r="CK448" s="1110"/>
    </row>
    <row r="449" spans="1:89" ht="14.4" x14ac:dyDescent="0.3">
      <c r="A449" s="1110"/>
      <c r="B449" s="1110"/>
      <c r="C449" s="1110"/>
      <c r="D449" s="1110"/>
      <c r="E449" s="1110"/>
      <c r="F449" s="1110"/>
      <c r="G449" s="1110"/>
      <c r="H449" s="1110"/>
      <c r="I449" s="1110"/>
      <c r="J449" s="1110"/>
      <c r="K449" s="1110"/>
      <c r="L449" s="1110"/>
      <c r="M449" s="1110"/>
      <c r="N449" s="1110"/>
      <c r="O449" s="1110"/>
      <c r="P449" s="1110"/>
      <c r="Q449" s="1110"/>
      <c r="R449" s="1110"/>
      <c r="S449" s="1110"/>
      <c r="T449" s="1111"/>
      <c r="U449" s="1111"/>
      <c r="V449" s="1111"/>
      <c r="W449" s="1111"/>
      <c r="X449" s="1111"/>
      <c r="Y449" s="1111"/>
      <c r="Z449" s="1111"/>
      <c r="AA449" s="1111"/>
      <c r="AB449" s="1111"/>
      <c r="AC449" s="1111"/>
      <c r="AD449" s="1111"/>
      <c r="AE449" s="1111"/>
      <c r="AF449" s="1111"/>
      <c r="AG449" s="1111"/>
      <c r="AH449" s="1111"/>
      <c r="AI449" s="1111"/>
      <c r="AJ449" s="1111"/>
      <c r="AK449" s="1111"/>
      <c r="AL449" s="1111"/>
      <c r="AM449" s="1111"/>
      <c r="AN449" s="1111"/>
      <c r="AO449" s="1111"/>
      <c r="AP449" s="1111"/>
      <c r="AQ449" s="1111"/>
      <c r="AR449" s="1111"/>
      <c r="AS449" s="1111"/>
      <c r="AT449" s="1111"/>
      <c r="AU449" s="1111"/>
      <c r="AV449" s="1111"/>
      <c r="AW449" s="1111"/>
      <c r="AX449" s="1111"/>
      <c r="AY449" s="1111"/>
      <c r="AZ449" s="1111"/>
      <c r="BA449" s="1111"/>
      <c r="BB449" s="1111"/>
      <c r="BC449" s="1111"/>
      <c r="BD449" s="1111"/>
      <c r="BE449" s="1111"/>
      <c r="BF449" s="1111"/>
      <c r="BG449" s="1111"/>
      <c r="BH449" s="1111"/>
      <c r="BI449" s="1111"/>
      <c r="BJ449" s="1111"/>
      <c r="BK449" s="1111"/>
      <c r="BL449" s="1111"/>
      <c r="BM449" s="1111"/>
      <c r="BN449" s="1111"/>
      <c r="BO449" s="1111"/>
      <c r="BP449" s="1111"/>
      <c r="BQ449" s="1111"/>
      <c r="BR449" s="1111"/>
      <c r="BS449" s="1111"/>
      <c r="BT449" s="1111"/>
      <c r="BU449" s="1111"/>
      <c r="BV449" s="1111"/>
      <c r="BW449" s="1111"/>
      <c r="BX449" s="1111"/>
      <c r="BY449" s="1111"/>
      <c r="BZ449" s="1111"/>
      <c r="CA449" s="1111"/>
      <c r="CB449" s="1111"/>
      <c r="CC449" s="1111"/>
      <c r="CD449" s="1111"/>
      <c r="CE449" s="1111"/>
      <c r="CF449" s="1111"/>
      <c r="CG449" s="1111"/>
      <c r="CH449" s="1111"/>
      <c r="CI449" s="1111"/>
      <c r="CJ449" s="1111"/>
      <c r="CK449" s="1110"/>
    </row>
    <row r="450" spans="1:89" ht="14.4" x14ac:dyDescent="0.3">
      <c r="A450" s="1110"/>
      <c r="B450" s="1110"/>
      <c r="C450" s="1110"/>
      <c r="D450" s="1110"/>
      <c r="E450" s="1110"/>
      <c r="F450" s="1110"/>
      <c r="G450" s="1110"/>
      <c r="H450" s="1110"/>
      <c r="I450" s="1110"/>
      <c r="J450" s="1110"/>
      <c r="K450" s="1110"/>
      <c r="L450" s="1110"/>
      <c r="M450" s="1110"/>
      <c r="N450" s="1110"/>
      <c r="O450" s="1110"/>
      <c r="P450" s="1110"/>
      <c r="Q450" s="1110"/>
      <c r="R450" s="1110"/>
      <c r="S450" s="1110"/>
      <c r="T450" s="1111"/>
      <c r="U450" s="1111"/>
      <c r="V450" s="1111"/>
      <c r="W450" s="1111"/>
      <c r="X450" s="1111"/>
      <c r="Y450" s="1111"/>
      <c r="Z450" s="1111"/>
      <c r="AA450" s="1111"/>
      <c r="AB450" s="1111"/>
      <c r="AC450" s="1111"/>
      <c r="AD450" s="1111"/>
      <c r="AE450" s="1111"/>
      <c r="AF450" s="1111"/>
      <c r="AG450" s="1111"/>
      <c r="AH450" s="1111"/>
      <c r="AI450" s="1111"/>
      <c r="AJ450" s="1111"/>
      <c r="AK450" s="1111"/>
      <c r="AL450" s="1111"/>
      <c r="AM450" s="1111"/>
      <c r="AN450" s="1111"/>
      <c r="AO450" s="1111"/>
      <c r="AP450" s="1111"/>
      <c r="AQ450" s="1111"/>
      <c r="AR450" s="1111"/>
      <c r="AS450" s="1111"/>
      <c r="AT450" s="1111"/>
      <c r="AU450" s="1111"/>
      <c r="AV450" s="1111"/>
      <c r="AW450" s="1111"/>
      <c r="AX450" s="1111"/>
      <c r="AY450" s="1111"/>
      <c r="AZ450" s="1111"/>
      <c r="BA450" s="1111"/>
      <c r="BB450" s="1111"/>
      <c r="BC450" s="1111"/>
      <c r="BD450" s="1111"/>
      <c r="BE450" s="1111"/>
      <c r="BF450" s="1111"/>
      <c r="BG450" s="1111"/>
      <c r="BH450" s="1111"/>
      <c r="BI450" s="1111"/>
      <c r="BJ450" s="1111"/>
      <c r="BK450" s="1111"/>
      <c r="BL450" s="1111"/>
      <c r="BM450" s="1111"/>
      <c r="BN450" s="1111"/>
      <c r="BO450" s="1111"/>
      <c r="BP450" s="1111"/>
      <c r="BQ450" s="1111"/>
      <c r="BR450" s="1111"/>
      <c r="BS450" s="1111"/>
      <c r="BT450" s="1111"/>
      <c r="BU450" s="1111"/>
      <c r="BV450" s="1111"/>
      <c r="BW450" s="1111"/>
      <c r="BX450" s="1111"/>
      <c r="BY450" s="1111"/>
      <c r="BZ450" s="1111"/>
      <c r="CA450" s="1111"/>
      <c r="CB450" s="1111"/>
      <c r="CC450" s="1111"/>
      <c r="CD450" s="1111"/>
      <c r="CE450" s="1111"/>
      <c r="CF450" s="1111"/>
      <c r="CG450" s="1111"/>
      <c r="CH450" s="1111"/>
      <c r="CI450" s="1111"/>
      <c r="CJ450" s="1111"/>
      <c r="CK450" s="1110"/>
    </row>
    <row r="451" spans="1:89" ht="14.4" x14ac:dyDescent="0.3">
      <c r="A451" s="1110"/>
      <c r="B451" s="1110"/>
      <c r="C451" s="1110"/>
      <c r="D451" s="1110"/>
      <c r="E451" s="1110"/>
      <c r="F451" s="1110"/>
      <c r="G451" s="1110"/>
      <c r="H451" s="1110"/>
      <c r="I451" s="1110"/>
      <c r="J451" s="1110"/>
      <c r="K451" s="1110"/>
      <c r="L451" s="1110"/>
      <c r="M451" s="1110"/>
      <c r="N451" s="1110"/>
      <c r="O451" s="1110"/>
      <c r="P451" s="1110"/>
      <c r="Q451" s="1110"/>
      <c r="R451" s="1110"/>
      <c r="S451" s="1110"/>
      <c r="T451" s="1111"/>
      <c r="U451" s="1111"/>
      <c r="V451" s="1111"/>
      <c r="W451" s="1111"/>
      <c r="X451" s="1111"/>
      <c r="Y451" s="1111"/>
      <c r="Z451" s="1111"/>
      <c r="AA451" s="1111"/>
      <c r="AB451" s="1111"/>
      <c r="AC451" s="1111"/>
      <c r="AD451" s="1111"/>
      <c r="AE451" s="1111"/>
      <c r="AF451" s="1111"/>
      <c r="AG451" s="1111"/>
      <c r="AH451" s="1111"/>
      <c r="AI451" s="1111"/>
      <c r="AJ451" s="1111"/>
      <c r="AK451" s="1111"/>
      <c r="AL451" s="1111"/>
      <c r="AM451" s="1111"/>
      <c r="AN451" s="1111"/>
      <c r="AO451" s="1111"/>
      <c r="AP451" s="1111"/>
      <c r="AQ451" s="1111"/>
      <c r="AR451" s="1111"/>
      <c r="AS451" s="1111"/>
      <c r="AT451" s="1111"/>
      <c r="AU451" s="1111"/>
      <c r="AV451" s="1111"/>
      <c r="AW451" s="1111"/>
      <c r="AX451" s="1111"/>
      <c r="AY451" s="1111"/>
      <c r="AZ451" s="1111"/>
      <c r="BA451" s="1111"/>
      <c r="BB451" s="1111"/>
      <c r="BC451" s="1111"/>
      <c r="BD451" s="1111"/>
      <c r="BE451" s="1111"/>
      <c r="BF451" s="1111"/>
      <c r="BG451" s="1111"/>
      <c r="BH451" s="1111"/>
      <c r="BI451" s="1111"/>
      <c r="BJ451" s="1111"/>
      <c r="BK451" s="1111"/>
      <c r="BL451" s="1111"/>
      <c r="BM451" s="1111"/>
      <c r="BN451" s="1111"/>
      <c r="BO451" s="1111"/>
      <c r="BP451" s="1111"/>
      <c r="BQ451" s="1111"/>
      <c r="BR451" s="1111"/>
      <c r="BS451" s="1111"/>
      <c r="BT451" s="1111"/>
      <c r="BU451" s="1111"/>
      <c r="BV451" s="1111"/>
      <c r="BW451" s="1111"/>
      <c r="BX451" s="1111"/>
      <c r="BY451" s="1111"/>
      <c r="BZ451" s="1111"/>
      <c r="CA451" s="1111"/>
      <c r="CB451" s="1111"/>
      <c r="CC451" s="1111"/>
      <c r="CD451" s="1111"/>
      <c r="CE451" s="1111"/>
      <c r="CF451" s="1111"/>
      <c r="CG451" s="1111"/>
      <c r="CH451" s="1111"/>
      <c r="CI451" s="1111"/>
      <c r="CJ451" s="1111"/>
      <c r="CK451" s="1110"/>
    </row>
    <row r="452" spans="1:89" ht="14.4" x14ac:dyDescent="0.3">
      <c r="A452" s="1110"/>
      <c r="B452" s="1110"/>
      <c r="C452" s="1110"/>
      <c r="D452" s="1110"/>
      <c r="E452" s="1110"/>
      <c r="F452" s="1110"/>
      <c r="G452" s="1110"/>
      <c r="H452" s="1110"/>
      <c r="I452" s="1110"/>
      <c r="J452" s="1110"/>
      <c r="K452" s="1110"/>
      <c r="L452" s="1110"/>
      <c r="M452" s="1110"/>
      <c r="N452" s="1110"/>
      <c r="O452" s="1110"/>
      <c r="P452" s="1110"/>
      <c r="Q452" s="1110"/>
      <c r="R452" s="1110"/>
      <c r="S452" s="1110"/>
      <c r="T452" s="1111"/>
      <c r="U452" s="1111"/>
      <c r="V452" s="1111"/>
      <c r="W452" s="1111"/>
      <c r="X452" s="1111"/>
      <c r="Y452" s="1111"/>
      <c r="Z452" s="1111"/>
      <c r="AA452" s="1111"/>
      <c r="AB452" s="1111"/>
      <c r="AC452" s="1111"/>
      <c r="AD452" s="1111"/>
      <c r="AE452" s="1111"/>
      <c r="AF452" s="1111"/>
      <c r="AG452" s="1111"/>
      <c r="AH452" s="1111"/>
      <c r="AI452" s="1111"/>
      <c r="AJ452" s="1111"/>
      <c r="AK452" s="1111"/>
      <c r="AL452" s="1111"/>
      <c r="AM452" s="1111"/>
      <c r="AN452" s="1111"/>
      <c r="AO452" s="1111"/>
      <c r="AP452" s="1111"/>
      <c r="AQ452" s="1111"/>
      <c r="AR452" s="1111"/>
      <c r="AS452" s="1111"/>
      <c r="AT452" s="1111"/>
      <c r="AU452" s="1111"/>
      <c r="AV452" s="1111"/>
      <c r="AW452" s="1111"/>
      <c r="AX452" s="1111"/>
      <c r="AY452" s="1111"/>
      <c r="AZ452" s="1111"/>
      <c r="BA452" s="1111"/>
      <c r="BB452" s="1111"/>
      <c r="BC452" s="1111"/>
      <c r="BD452" s="1111"/>
      <c r="BE452" s="1111"/>
      <c r="BF452" s="1111"/>
      <c r="BG452" s="1111"/>
      <c r="BH452" s="1111"/>
      <c r="BI452" s="1111"/>
      <c r="BJ452" s="1111"/>
      <c r="BK452" s="1111"/>
      <c r="BL452" s="1111"/>
      <c r="BM452" s="1111"/>
      <c r="BN452" s="1111"/>
      <c r="BO452" s="1111"/>
      <c r="BP452" s="1111"/>
      <c r="BQ452" s="1111"/>
      <c r="BR452" s="1111"/>
      <c r="BS452" s="1111"/>
      <c r="BT452" s="1111"/>
      <c r="BU452" s="1111"/>
      <c r="BV452" s="1111"/>
      <c r="BW452" s="1111"/>
      <c r="BX452" s="1111"/>
      <c r="BY452" s="1111"/>
      <c r="BZ452" s="1111"/>
      <c r="CA452" s="1111"/>
      <c r="CB452" s="1111"/>
      <c r="CC452" s="1111"/>
      <c r="CD452" s="1111"/>
      <c r="CE452" s="1111"/>
      <c r="CF452" s="1111"/>
      <c r="CG452" s="1111"/>
      <c r="CH452" s="1111"/>
      <c r="CI452" s="1111"/>
      <c r="CJ452" s="1111"/>
      <c r="CK452" s="1110"/>
    </row>
    <row r="453" spans="1:89" ht="14.4" x14ac:dyDescent="0.3">
      <c r="A453" s="1110"/>
      <c r="B453" s="1110"/>
      <c r="C453" s="1110"/>
      <c r="D453" s="1110"/>
      <c r="E453" s="1110"/>
      <c r="F453" s="1110"/>
      <c r="G453" s="1110"/>
      <c r="H453" s="1110"/>
      <c r="I453" s="1110"/>
      <c r="J453" s="1110"/>
      <c r="K453" s="1110"/>
      <c r="L453" s="1110"/>
      <c r="M453" s="1110"/>
      <c r="N453" s="1110"/>
      <c r="O453" s="1110"/>
      <c r="P453" s="1110"/>
      <c r="Q453" s="1110"/>
      <c r="R453" s="1110"/>
      <c r="S453" s="1110"/>
      <c r="T453" s="1111"/>
      <c r="U453" s="1111"/>
      <c r="V453" s="1111"/>
      <c r="W453" s="1111"/>
      <c r="X453" s="1111"/>
      <c r="Y453" s="1111"/>
      <c r="Z453" s="1111"/>
      <c r="AA453" s="1111"/>
      <c r="AB453" s="1111"/>
      <c r="AC453" s="1111"/>
      <c r="AD453" s="1111"/>
      <c r="AE453" s="1111"/>
      <c r="AF453" s="1111"/>
      <c r="AG453" s="1111"/>
      <c r="AH453" s="1111"/>
      <c r="AI453" s="1111"/>
      <c r="AJ453" s="1111"/>
      <c r="AK453" s="1111"/>
      <c r="AL453" s="1111"/>
      <c r="AM453" s="1111"/>
      <c r="AN453" s="1111"/>
      <c r="AO453" s="1111"/>
      <c r="AP453" s="1111"/>
      <c r="AQ453" s="1111"/>
      <c r="AR453" s="1111"/>
      <c r="AS453" s="1111"/>
      <c r="AT453" s="1111"/>
      <c r="AU453" s="1111"/>
      <c r="AV453" s="1111"/>
      <c r="AW453" s="1111"/>
      <c r="AX453" s="1111"/>
      <c r="AY453" s="1111"/>
      <c r="AZ453" s="1111"/>
      <c r="BA453" s="1111"/>
      <c r="BB453" s="1111"/>
      <c r="BC453" s="1111"/>
      <c r="BD453" s="1111"/>
      <c r="BE453" s="1111"/>
      <c r="BF453" s="1111"/>
      <c r="BG453" s="1111"/>
      <c r="BH453" s="1111"/>
      <c r="BI453" s="1111"/>
      <c r="BJ453" s="1111"/>
      <c r="BK453" s="1111"/>
      <c r="BL453" s="1111"/>
      <c r="BM453" s="1111"/>
      <c r="BN453" s="1111"/>
      <c r="BO453" s="1111"/>
      <c r="BP453" s="1111"/>
      <c r="BQ453" s="1111"/>
      <c r="BR453" s="1111"/>
      <c r="BS453" s="1111"/>
      <c r="BT453" s="1111"/>
      <c r="BU453" s="1111"/>
      <c r="BV453" s="1111"/>
      <c r="BW453" s="1111"/>
      <c r="BX453" s="1111"/>
      <c r="BY453" s="1111"/>
      <c r="BZ453" s="1111"/>
      <c r="CA453" s="1111"/>
      <c r="CB453" s="1111"/>
      <c r="CC453" s="1111"/>
      <c r="CD453" s="1111"/>
      <c r="CE453" s="1111"/>
      <c r="CF453" s="1111"/>
      <c r="CG453" s="1111"/>
      <c r="CH453" s="1111"/>
      <c r="CI453" s="1111"/>
      <c r="CJ453" s="1111"/>
      <c r="CK453" s="1110"/>
    </row>
    <row r="454" spans="1:89" ht="14.4" x14ac:dyDescent="0.3">
      <c r="A454" s="1110"/>
      <c r="B454" s="1110"/>
      <c r="C454" s="1110"/>
      <c r="D454" s="1110"/>
      <c r="E454" s="1110"/>
      <c r="F454" s="1110"/>
      <c r="G454" s="1110"/>
      <c r="H454" s="1110"/>
      <c r="I454" s="1110"/>
      <c r="J454" s="1110"/>
      <c r="K454" s="1110"/>
      <c r="L454" s="1110"/>
      <c r="M454" s="1110"/>
      <c r="N454" s="1110"/>
      <c r="O454" s="1110"/>
      <c r="P454" s="1110"/>
      <c r="Q454" s="1110"/>
      <c r="R454" s="1110"/>
      <c r="S454" s="1110"/>
      <c r="T454" s="1111"/>
      <c r="U454" s="1111"/>
      <c r="V454" s="1111"/>
      <c r="W454" s="1111"/>
      <c r="X454" s="1111"/>
      <c r="Y454" s="1111"/>
      <c r="Z454" s="1111"/>
      <c r="AA454" s="1111"/>
      <c r="AB454" s="1111"/>
      <c r="AC454" s="1111"/>
      <c r="AD454" s="1111"/>
      <c r="AE454" s="1111"/>
      <c r="AF454" s="1111"/>
      <c r="AG454" s="1111"/>
      <c r="AH454" s="1111"/>
      <c r="AI454" s="1111"/>
      <c r="AJ454" s="1111"/>
      <c r="AK454" s="1111"/>
      <c r="AL454" s="1111"/>
      <c r="AM454" s="1111"/>
      <c r="AN454" s="1111"/>
      <c r="AO454" s="1111"/>
      <c r="AP454" s="1111"/>
      <c r="AQ454" s="1111"/>
      <c r="AR454" s="1111"/>
      <c r="AS454" s="1111"/>
      <c r="AT454" s="1111"/>
      <c r="AU454" s="1111"/>
      <c r="AV454" s="1111"/>
      <c r="AW454" s="1111"/>
      <c r="AX454" s="1111"/>
      <c r="AY454" s="1111"/>
      <c r="AZ454" s="1111"/>
      <c r="BA454" s="1111"/>
      <c r="BB454" s="1111"/>
      <c r="BC454" s="1111"/>
      <c r="BD454" s="1111"/>
      <c r="BE454" s="1111"/>
      <c r="BF454" s="1111"/>
      <c r="BG454" s="1111"/>
      <c r="BH454" s="1111"/>
      <c r="BI454" s="1111"/>
      <c r="BJ454" s="1111"/>
      <c r="BK454" s="1111"/>
      <c r="BL454" s="1111"/>
      <c r="BM454" s="1111"/>
      <c r="BN454" s="1111"/>
      <c r="BO454" s="1111"/>
      <c r="BP454" s="1111"/>
      <c r="BQ454" s="1111"/>
      <c r="BR454" s="1111"/>
      <c r="BS454" s="1111"/>
      <c r="BT454" s="1111"/>
      <c r="BU454" s="1111"/>
      <c r="BV454" s="1111"/>
      <c r="BW454" s="1111"/>
      <c r="BX454" s="1111"/>
      <c r="BY454" s="1111"/>
      <c r="BZ454" s="1111"/>
      <c r="CA454" s="1111"/>
      <c r="CB454" s="1111"/>
      <c r="CC454" s="1111"/>
      <c r="CD454" s="1111"/>
      <c r="CE454" s="1111"/>
      <c r="CF454" s="1111"/>
      <c r="CG454" s="1111"/>
      <c r="CH454" s="1111"/>
      <c r="CI454" s="1111"/>
      <c r="CJ454" s="1111"/>
      <c r="CK454" s="1110"/>
    </row>
    <row r="455" spans="1:89" ht="14.4" x14ac:dyDescent="0.3">
      <c r="A455" s="1110"/>
      <c r="B455" s="1110"/>
      <c r="C455" s="1110"/>
      <c r="D455" s="1110"/>
      <c r="E455" s="1110"/>
      <c r="F455" s="1110"/>
      <c r="G455" s="1110"/>
      <c r="H455" s="1110"/>
      <c r="I455" s="1110"/>
      <c r="J455" s="1110"/>
      <c r="K455" s="1110"/>
      <c r="L455" s="1110"/>
      <c r="M455" s="1110"/>
      <c r="N455" s="1110"/>
      <c r="O455" s="1110"/>
      <c r="P455" s="1110"/>
      <c r="Q455" s="1110"/>
      <c r="R455" s="1110"/>
      <c r="S455" s="1110"/>
      <c r="T455" s="1111"/>
      <c r="U455" s="1111"/>
      <c r="V455" s="1111"/>
      <c r="W455" s="1111"/>
      <c r="X455" s="1111"/>
      <c r="Y455" s="1111"/>
      <c r="Z455" s="1111"/>
      <c r="AA455" s="1111"/>
      <c r="AB455" s="1111"/>
      <c r="AC455" s="1111"/>
      <c r="AD455" s="1111"/>
      <c r="AE455" s="1111"/>
      <c r="AF455" s="1111"/>
      <c r="AG455" s="1111"/>
      <c r="AH455" s="1111"/>
      <c r="AI455" s="1111"/>
      <c r="AJ455" s="1111"/>
      <c r="AK455" s="1111"/>
      <c r="AL455" s="1111"/>
      <c r="AM455" s="1111"/>
      <c r="AN455" s="1111"/>
      <c r="AO455" s="1111"/>
      <c r="AP455" s="1111"/>
      <c r="AQ455" s="1111"/>
      <c r="AR455" s="1111"/>
      <c r="AS455" s="1111"/>
      <c r="AT455" s="1111"/>
      <c r="AU455" s="1111"/>
      <c r="AV455" s="1111"/>
      <c r="AW455" s="1111"/>
      <c r="AX455" s="1111"/>
      <c r="AY455" s="1111"/>
      <c r="AZ455" s="1111"/>
      <c r="BA455" s="1111"/>
      <c r="BB455" s="1111"/>
      <c r="BC455" s="1111"/>
      <c r="BD455" s="1111"/>
      <c r="BE455" s="1111"/>
      <c r="BF455" s="1111"/>
      <c r="BG455" s="1111"/>
      <c r="BH455" s="1111"/>
      <c r="BI455" s="1111"/>
      <c r="BJ455" s="1111"/>
      <c r="BK455" s="1111"/>
      <c r="BL455" s="1111"/>
      <c r="BM455" s="1111"/>
      <c r="BN455" s="1111"/>
      <c r="BO455" s="1111"/>
      <c r="BP455" s="1111"/>
      <c r="BQ455" s="1111"/>
      <c r="BR455" s="1111"/>
      <c r="BS455" s="1111"/>
      <c r="BT455" s="1111"/>
      <c r="BU455" s="1111"/>
      <c r="BV455" s="1111"/>
      <c r="BW455" s="1111"/>
      <c r="BX455" s="1111"/>
      <c r="BY455" s="1111"/>
      <c r="BZ455" s="1111"/>
      <c r="CA455" s="1111"/>
      <c r="CB455" s="1111"/>
      <c r="CC455" s="1111"/>
      <c r="CD455" s="1111"/>
      <c r="CE455" s="1111"/>
      <c r="CF455" s="1111"/>
      <c r="CG455" s="1111"/>
      <c r="CH455" s="1111"/>
      <c r="CI455" s="1111"/>
      <c r="CJ455" s="1111"/>
      <c r="CK455" s="1110"/>
    </row>
    <row r="456" spans="1:89" ht="14.4" x14ac:dyDescent="0.3">
      <c r="A456" s="1110"/>
      <c r="B456" s="1110"/>
      <c r="C456" s="1110"/>
      <c r="D456" s="1110"/>
      <c r="E456" s="1110"/>
      <c r="F456" s="1110"/>
      <c r="G456" s="1110"/>
      <c r="H456" s="1110"/>
      <c r="I456" s="1110"/>
      <c r="J456" s="1110"/>
      <c r="K456" s="1110"/>
      <c r="L456" s="1110"/>
      <c r="M456" s="1110"/>
      <c r="N456" s="1110"/>
      <c r="O456" s="1110"/>
      <c r="P456" s="1110"/>
      <c r="Q456" s="1110"/>
      <c r="R456" s="1110"/>
      <c r="S456" s="1110"/>
      <c r="T456" s="1111"/>
      <c r="U456" s="1111"/>
      <c r="V456" s="1111"/>
      <c r="W456" s="1111"/>
      <c r="X456" s="1111"/>
      <c r="Y456" s="1111"/>
      <c r="Z456" s="1111"/>
      <c r="AA456" s="1111"/>
      <c r="AB456" s="1111"/>
      <c r="AC456" s="1111"/>
      <c r="AD456" s="1111"/>
      <c r="AE456" s="1111"/>
      <c r="AF456" s="1111"/>
      <c r="AG456" s="1111"/>
      <c r="AH456" s="1111"/>
      <c r="AI456" s="1111"/>
      <c r="AJ456" s="1111"/>
      <c r="AK456" s="1111"/>
      <c r="AL456" s="1111"/>
      <c r="AM456" s="1111"/>
      <c r="AN456" s="1111"/>
      <c r="AO456" s="1111"/>
      <c r="AP456" s="1111"/>
      <c r="AQ456" s="1111"/>
      <c r="AR456" s="1111"/>
      <c r="AS456" s="1111"/>
      <c r="AT456" s="1111"/>
      <c r="AU456" s="1111"/>
      <c r="AV456" s="1111"/>
      <c r="AW456" s="1111"/>
      <c r="AX456" s="1111"/>
      <c r="AY456" s="1111"/>
      <c r="AZ456" s="1111"/>
      <c r="BA456" s="1111"/>
      <c r="BB456" s="1111"/>
      <c r="BC456" s="1111"/>
      <c r="BD456" s="1111"/>
      <c r="BE456" s="1111"/>
      <c r="BF456" s="1111"/>
      <c r="BG456" s="1111"/>
      <c r="BH456" s="1111"/>
      <c r="BI456" s="1111"/>
      <c r="BJ456" s="1111"/>
      <c r="BK456" s="1111"/>
      <c r="BL456" s="1111"/>
      <c r="BM456" s="1111"/>
      <c r="BN456" s="1111"/>
      <c r="BO456" s="1111"/>
      <c r="BP456" s="1111"/>
      <c r="BQ456" s="1111"/>
      <c r="BR456" s="1111"/>
      <c r="BS456" s="1111"/>
      <c r="BT456" s="1111"/>
      <c r="BU456" s="1111"/>
      <c r="BV456" s="1111"/>
      <c r="BW456" s="1111"/>
      <c r="BX456" s="1111"/>
      <c r="BY456" s="1111"/>
      <c r="BZ456" s="1111"/>
      <c r="CA456" s="1111"/>
      <c r="CB456" s="1111"/>
      <c r="CC456" s="1111"/>
      <c r="CD456" s="1111"/>
      <c r="CE456" s="1111"/>
      <c r="CF456" s="1111"/>
      <c r="CG456" s="1111"/>
      <c r="CH456" s="1111"/>
      <c r="CI456" s="1111"/>
      <c r="CJ456" s="1111"/>
      <c r="CK456" s="1110"/>
    </row>
    <row r="457" spans="1:89" ht="14.4" x14ac:dyDescent="0.3">
      <c r="A457" s="1110"/>
      <c r="B457" s="1110"/>
      <c r="C457" s="1110"/>
      <c r="D457" s="1110"/>
      <c r="E457" s="1110"/>
      <c r="F457" s="1110"/>
      <c r="G457" s="1110"/>
      <c r="H457" s="1110"/>
      <c r="I457" s="1110"/>
      <c r="J457" s="1110"/>
      <c r="K457" s="1110"/>
      <c r="L457" s="1110"/>
      <c r="M457" s="1110"/>
      <c r="N457" s="1110"/>
      <c r="O457" s="1110"/>
      <c r="P457" s="1110"/>
      <c r="Q457" s="1110"/>
      <c r="R457" s="1110"/>
      <c r="S457" s="1110"/>
      <c r="T457" s="1111"/>
      <c r="U457" s="1111"/>
      <c r="V457" s="1111"/>
      <c r="W457" s="1111"/>
      <c r="X457" s="1111"/>
      <c r="Y457" s="1111"/>
      <c r="Z457" s="1111"/>
      <c r="AA457" s="1111"/>
      <c r="AB457" s="1111"/>
      <c r="AC457" s="1111"/>
      <c r="AD457" s="1111"/>
      <c r="AE457" s="1111"/>
      <c r="AF457" s="1111"/>
      <c r="AG457" s="1111"/>
      <c r="AH457" s="1111"/>
      <c r="AI457" s="1111"/>
      <c r="AJ457" s="1111"/>
      <c r="AK457" s="1111"/>
      <c r="AL457" s="1111"/>
      <c r="AM457" s="1111"/>
      <c r="AN457" s="1111"/>
      <c r="AO457" s="1111"/>
      <c r="AP457" s="1111"/>
      <c r="AQ457" s="1111"/>
      <c r="AR457" s="1111"/>
      <c r="AS457" s="1111"/>
      <c r="AT457" s="1111"/>
      <c r="AU457" s="1111"/>
      <c r="AV457" s="1111"/>
      <c r="AW457" s="1111"/>
      <c r="AX457" s="1111"/>
      <c r="AY457" s="1111"/>
      <c r="AZ457" s="1111"/>
      <c r="BA457" s="1111"/>
      <c r="BB457" s="1111"/>
      <c r="BC457" s="1111"/>
      <c r="BD457" s="1111"/>
      <c r="BE457" s="1111"/>
      <c r="BF457" s="1111"/>
      <c r="BG457" s="1111"/>
      <c r="BH457" s="1111"/>
      <c r="BI457" s="1111"/>
      <c r="BJ457" s="1111"/>
      <c r="BK457" s="1111"/>
      <c r="BL457" s="1111"/>
      <c r="BM457" s="1111"/>
      <c r="BN457" s="1111"/>
      <c r="BO457" s="1111"/>
      <c r="BP457" s="1111"/>
      <c r="BQ457" s="1111"/>
      <c r="BR457" s="1111"/>
      <c r="BS457" s="1111"/>
      <c r="BT457" s="1111"/>
      <c r="BU457" s="1111"/>
      <c r="BV457" s="1111"/>
      <c r="BW457" s="1111"/>
      <c r="BX457" s="1111"/>
      <c r="BY457" s="1111"/>
      <c r="BZ457" s="1111"/>
      <c r="CA457" s="1111"/>
      <c r="CB457" s="1111"/>
      <c r="CC457" s="1111"/>
      <c r="CD457" s="1111"/>
      <c r="CE457" s="1111"/>
      <c r="CF457" s="1111"/>
      <c r="CG457" s="1111"/>
      <c r="CH457" s="1111"/>
      <c r="CI457" s="1111"/>
      <c r="CJ457" s="1111"/>
      <c r="CK457" s="1110"/>
    </row>
    <row r="458" spans="1:89" ht="14.4" x14ac:dyDescent="0.3">
      <c r="A458" s="1110"/>
      <c r="B458" s="1110"/>
      <c r="C458" s="1110"/>
      <c r="D458" s="1110"/>
      <c r="E458" s="1110"/>
      <c r="F458" s="1110"/>
      <c r="G458" s="1110"/>
      <c r="H458" s="1110"/>
      <c r="I458" s="1110"/>
      <c r="J458" s="1110"/>
      <c r="K458" s="1110"/>
      <c r="L458" s="1110"/>
      <c r="M458" s="1110"/>
      <c r="N458" s="1110"/>
      <c r="O458" s="1110"/>
      <c r="P458" s="1110"/>
      <c r="Q458" s="1110"/>
      <c r="R458" s="1110"/>
      <c r="S458" s="1110"/>
      <c r="T458" s="1111"/>
      <c r="U458" s="1111"/>
      <c r="V458" s="1111"/>
      <c r="W458" s="1111"/>
      <c r="X458" s="1111"/>
      <c r="Y458" s="1111"/>
      <c r="Z458" s="1111"/>
      <c r="AA458" s="1111"/>
      <c r="AB458" s="1111"/>
      <c r="AC458" s="1111"/>
      <c r="AD458" s="1111"/>
      <c r="AE458" s="1111"/>
      <c r="AF458" s="1111"/>
      <c r="AG458" s="1111"/>
      <c r="AH458" s="1111"/>
      <c r="AI458" s="1111"/>
      <c r="AJ458" s="1111"/>
      <c r="AK458" s="1111"/>
      <c r="AL458" s="1111"/>
      <c r="AM458" s="1111"/>
      <c r="AN458" s="1111"/>
      <c r="AO458" s="1111"/>
      <c r="AP458" s="1111"/>
      <c r="AQ458" s="1111"/>
      <c r="AR458" s="1111"/>
      <c r="AS458" s="1111"/>
      <c r="AT458" s="1111"/>
      <c r="AU458" s="1111"/>
      <c r="AV458" s="1111"/>
      <c r="AW458" s="1111"/>
      <c r="AX458" s="1111"/>
      <c r="AY458" s="1111"/>
      <c r="AZ458" s="1111"/>
      <c r="BA458" s="1111"/>
      <c r="BB458" s="1111"/>
      <c r="BC458" s="1111"/>
      <c r="BD458" s="1111"/>
      <c r="BE458" s="1111"/>
      <c r="BF458" s="1111"/>
      <c r="BG458" s="1111"/>
      <c r="BH458" s="1111"/>
      <c r="BI458" s="1111"/>
      <c r="BJ458" s="1111"/>
      <c r="BK458" s="1111"/>
      <c r="BL458" s="1111"/>
      <c r="BM458" s="1111"/>
      <c r="BN458" s="1111"/>
      <c r="BO458" s="1111"/>
      <c r="BP458" s="1111"/>
      <c r="BQ458" s="1111"/>
      <c r="BR458" s="1111"/>
      <c r="BS458" s="1111"/>
      <c r="BT458" s="1111"/>
      <c r="BU458" s="1111"/>
      <c r="BV458" s="1111"/>
      <c r="BW458" s="1111"/>
      <c r="BX458" s="1111"/>
      <c r="BY458" s="1111"/>
      <c r="BZ458" s="1111"/>
      <c r="CA458" s="1111"/>
      <c r="CB458" s="1111"/>
      <c r="CC458" s="1111"/>
      <c r="CD458" s="1111"/>
      <c r="CE458" s="1111"/>
      <c r="CF458" s="1111"/>
      <c r="CG458" s="1111"/>
      <c r="CH458" s="1111"/>
      <c r="CI458" s="1111"/>
      <c r="CJ458" s="1111"/>
      <c r="CK458" s="1110"/>
    </row>
    <row r="459" spans="1:89" ht="14.4" x14ac:dyDescent="0.3">
      <c r="A459" s="1110"/>
      <c r="B459" s="1110"/>
      <c r="C459" s="1110"/>
      <c r="D459" s="1110"/>
      <c r="E459" s="1110"/>
      <c r="F459" s="1110"/>
      <c r="G459" s="1110"/>
      <c r="H459" s="1110"/>
      <c r="I459" s="1110"/>
      <c r="J459" s="1110"/>
      <c r="K459" s="1110"/>
      <c r="L459" s="1110"/>
      <c r="M459" s="1110"/>
      <c r="N459" s="1110"/>
      <c r="O459" s="1110"/>
      <c r="P459" s="1110"/>
      <c r="Q459" s="1110"/>
      <c r="R459" s="1110"/>
      <c r="S459" s="1110"/>
      <c r="T459" s="1111"/>
      <c r="U459" s="1111"/>
      <c r="V459" s="1111"/>
      <c r="W459" s="1111"/>
      <c r="X459" s="1111"/>
      <c r="Y459" s="1111"/>
      <c r="Z459" s="1111"/>
      <c r="AA459" s="1111"/>
      <c r="AB459" s="1111"/>
      <c r="AC459" s="1111"/>
      <c r="AD459" s="1111"/>
      <c r="AE459" s="1111"/>
      <c r="AF459" s="1111"/>
      <c r="AG459" s="1111"/>
      <c r="AH459" s="1111"/>
      <c r="AI459" s="1111"/>
      <c r="AJ459" s="1111"/>
      <c r="AK459" s="1111"/>
      <c r="AL459" s="1111"/>
      <c r="AM459" s="1111"/>
      <c r="AN459" s="1111"/>
      <c r="AO459" s="1111"/>
      <c r="AP459" s="1111"/>
      <c r="AQ459" s="1111"/>
      <c r="AR459" s="1111"/>
      <c r="AS459" s="1111"/>
      <c r="AT459" s="1111"/>
      <c r="AU459" s="1111"/>
      <c r="AV459" s="1111"/>
      <c r="AW459" s="1111"/>
      <c r="AX459" s="1111"/>
      <c r="AY459" s="1111"/>
      <c r="AZ459" s="1111"/>
      <c r="BA459" s="1111"/>
      <c r="BB459" s="1111"/>
      <c r="BC459" s="1111"/>
      <c r="BD459" s="1111"/>
      <c r="BE459" s="1111"/>
      <c r="BF459" s="1111"/>
      <c r="BG459" s="1111"/>
      <c r="BH459" s="1111"/>
      <c r="BI459" s="1111"/>
      <c r="BJ459" s="1111"/>
      <c r="BK459" s="1111"/>
      <c r="BL459" s="1111"/>
      <c r="BM459" s="1111"/>
      <c r="BN459" s="1111"/>
      <c r="BO459" s="1111"/>
      <c r="BP459" s="1111"/>
      <c r="BQ459" s="1111"/>
      <c r="BR459" s="1111"/>
      <c r="BS459" s="1111"/>
      <c r="BT459" s="1111"/>
      <c r="BU459" s="1111"/>
      <c r="BV459" s="1111"/>
      <c r="BW459" s="1111"/>
      <c r="BX459" s="1111"/>
      <c r="BY459" s="1111"/>
      <c r="BZ459" s="1111"/>
      <c r="CA459" s="1111"/>
      <c r="CB459" s="1111"/>
      <c r="CC459" s="1111"/>
      <c r="CD459" s="1111"/>
      <c r="CE459" s="1111"/>
      <c r="CF459" s="1111"/>
      <c r="CG459" s="1111"/>
      <c r="CH459" s="1111"/>
      <c r="CI459" s="1111"/>
      <c r="CJ459" s="1111"/>
      <c r="CK459" s="1110"/>
    </row>
    <row r="460" spans="1:89" ht="14.4" x14ac:dyDescent="0.3">
      <c r="A460" s="1110"/>
      <c r="B460" s="1110"/>
      <c r="C460" s="1110"/>
      <c r="D460" s="1110"/>
      <c r="E460" s="1110"/>
      <c r="F460" s="1110"/>
      <c r="G460" s="1110"/>
      <c r="H460" s="1110"/>
      <c r="I460" s="1110"/>
      <c r="J460" s="1110"/>
      <c r="K460" s="1110"/>
      <c r="L460" s="1110"/>
      <c r="M460" s="1110"/>
      <c r="N460" s="1110"/>
      <c r="O460" s="1110"/>
      <c r="P460" s="1110"/>
      <c r="Q460" s="1110"/>
      <c r="R460" s="1110"/>
      <c r="S460" s="1110"/>
      <c r="T460" s="1111"/>
      <c r="U460" s="1111"/>
      <c r="V460" s="1111"/>
      <c r="W460" s="1111"/>
      <c r="X460" s="1111"/>
      <c r="Y460" s="1111"/>
      <c r="Z460" s="1111"/>
      <c r="AA460" s="1111"/>
      <c r="AB460" s="1111"/>
      <c r="AC460" s="1111"/>
      <c r="AD460" s="1111"/>
      <c r="AE460" s="1111"/>
      <c r="AF460" s="1111"/>
      <c r="AG460" s="1111"/>
      <c r="AH460" s="1111"/>
      <c r="AI460" s="1111"/>
      <c r="AJ460" s="1111"/>
      <c r="AK460" s="1111"/>
      <c r="AL460" s="1111"/>
      <c r="AM460" s="1111"/>
      <c r="AN460" s="1111"/>
      <c r="AO460" s="1111"/>
      <c r="AP460" s="1111"/>
      <c r="AQ460" s="1111"/>
      <c r="AR460" s="1111"/>
      <c r="AS460" s="1111"/>
      <c r="AT460" s="1111"/>
      <c r="AU460" s="1111"/>
      <c r="AV460" s="1111"/>
      <c r="AW460" s="1111"/>
      <c r="AX460" s="1111"/>
      <c r="AY460" s="1111"/>
      <c r="AZ460" s="1111"/>
      <c r="BA460" s="1111"/>
      <c r="BB460" s="1111"/>
      <c r="BC460" s="1111"/>
      <c r="BD460" s="1111"/>
      <c r="BE460" s="1111"/>
      <c r="BF460" s="1111"/>
      <c r="BG460" s="1111"/>
      <c r="BH460" s="1111"/>
      <c r="BI460" s="1111"/>
      <c r="BJ460" s="1111"/>
      <c r="BK460" s="1111"/>
      <c r="BL460" s="1111"/>
      <c r="BM460" s="1111"/>
      <c r="BN460" s="1111"/>
      <c r="BO460" s="1111"/>
      <c r="BP460" s="1111"/>
      <c r="BQ460" s="1111"/>
      <c r="BR460" s="1111"/>
      <c r="BS460" s="1111"/>
      <c r="BT460" s="1111"/>
      <c r="BU460" s="1111"/>
      <c r="BV460" s="1111"/>
      <c r="BW460" s="1111"/>
      <c r="BX460" s="1111"/>
      <c r="BY460" s="1111"/>
      <c r="BZ460" s="1111"/>
      <c r="CA460" s="1111"/>
      <c r="CB460" s="1111"/>
      <c r="CC460" s="1111"/>
      <c r="CD460" s="1111"/>
      <c r="CE460" s="1111"/>
      <c r="CF460" s="1111"/>
      <c r="CG460" s="1111"/>
      <c r="CH460" s="1111"/>
      <c r="CI460" s="1111"/>
      <c r="CJ460" s="1111"/>
      <c r="CK460" s="1110"/>
    </row>
    <row r="461" spans="1:89" ht="14.4" x14ac:dyDescent="0.3">
      <c r="A461" s="1110"/>
      <c r="B461" s="1110"/>
      <c r="C461" s="1110"/>
      <c r="D461" s="1110"/>
      <c r="E461" s="1110"/>
      <c r="F461" s="1110"/>
      <c r="G461" s="1110"/>
      <c r="H461" s="1110"/>
      <c r="I461" s="1110"/>
      <c r="J461" s="1110"/>
      <c r="K461" s="1110"/>
      <c r="L461" s="1110"/>
      <c r="M461" s="1110"/>
      <c r="N461" s="1110"/>
      <c r="O461" s="1110"/>
      <c r="P461" s="1110"/>
      <c r="Q461" s="1110"/>
      <c r="R461" s="1110"/>
      <c r="S461" s="1110"/>
      <c r="T461" s="1111"/>
      <c r="U461" s="1111"/>
      <c r="V461" s="1111"/>
      <c r="W461" s="1111"/>
      <c r="X461" s="1111"/>
      <c r="Y461" s="1111"/>
      <c r="Z461" s="1111"/>
      <c r="AA461" s="1111"/>
      <c r="AB461" s="1111"/>
      <c r="AC461" s="1111"/>
      <c r="AD461" s="1111"/>
      <c r="AE461" s="1111"/>
      <c r="AF461" s="1111"/>
      <c r="AG461" s="1111"/>
      <c r="AH461" s="1111"/>
      <c r="AI461" s="1111"/>
      <c r="AJ461" s="1111"/>
      <c r="AK461" s="1111"/>
      <c r="AL461" s="1111"/>
      <c r="AM461" s="1111"/>
      <c r="AN461" s="1111"/>
      <c r="AO461" s="1111"/>
      <c r="AP461" s="1111"/>
      <c r="AQ461" s="1111"/>
      <c r="AR461" s="1111"/>
      <c r="AS461" s="1111"/>
      <c r="AT461" s="1111"/>
      <c r="AU461" s="1111"/>
      <c r="AV461" s="1111"/>
      <c r="AW461" s="1111"/>
      <c r="AX461" s="1111"/>
      <c r="AY461" s="1111"/>
      <c r="AZ461" s="1111"/>
      <c r="BA461" s="1111"/>
      <c r="BB461" s="1111"/>
      <c r="BC461" s="1111"/>
      <c r="BD461" s="1111"/>
      <c r="BE461" s="1111"/>
      <c r="BF461" s="1111"/>
      <c r="BG461" s="1111"/>
      <c r="BH461" s="1111"/>
      <c r="BI461" s="1111"/>
      <c r="BJ461" s="1111"/>
      <c r="BK461" s="1111"/>
      <c r="BL461" s="1111"/>
      <c r="BM461" s="1111"/>
      <c r="BN461" s="1111"/>
      <c r="BO461" s="1111"/>
      <c r="BP461" s="1111"/>
      <c r="BQ461" s="1111"/>
      <c r="BR461" s="1111"/>
      <c r="BS461" s="1111"/>
      <c r="BT461" s="1111"/>
      <c r="BU461" s="1111"/>
      <c r="BV461" s="1111"/>
      <c r="BW461" s="1111"/>
      <c r="BX461" s="1111"/>
      <c r="BY461" s="1111"/>
      <c r="BZ461" s="1111"/>
      <c r="CA461" s="1111"/>
      <c r="CB461" s="1111"/>
      <c r="CC461" s="1111"/>
      <c r="CD461" s="1111"/>
      <c r="CE461" s="1111"/>
      <c r="CF461" s="1111"/>
      <c r="CG461" s="1111"/>
      <c r="CH461" s="1111"/>
      <c r="CI461" s="1111"/>
      <c r="CJ461" s="1111"/>
      <c r="CK461" s="1110"/>
    </row>
    <row r="462" spans="1:89" ht="14.4" x14ac:dyDescent="0.3">
      <c r="A462" s="1110"/>
      <c r="B462" s="1110"/>
      <c r="C462" s="1110"/>
      <c r="D462" s="1110"/>
      <c r="E462" s="1110"/>
      <c r="F462" s="1110"/>
      <c r="G462" s="1110"/>
      <c r="H462" s="1110"/>
      <c r="I462" s="1110"/>
      <c r="J462" s="1110"/>
      <c r="K462" s="1110"/>
      <c r="L462" s="1110"/>
      <c r="M462" s="1110"/>
      <c r="N462" s="1110"/>
      <c r="O462" s="1110"/>
      <c r="P462" s="1110"/>
      <c r="Q462" s="1110"/>
      <c r="R462" s="1110"/>
      <c r="S462" s="1110"/>
      <c r="T462" s="1111"/>
      <c r="U462" s="1111"/>
      <c r="V462" s="1111"/>
      <c r="W462" s="1111"/>
      <c r="X462" s="1111"/>
      <c r="Y462" s="1111"/>
      <c r="Z462" s="1111"/>
      <c r="AA462" s="1111"/>
      <c r="AB462" s="1111"/>
      <c r="AC462" s="1111"/>
      <c r="AD462" s="1111"/>
      <c r="AE462" s="1111"/>
      <c r="AF462" s="1111"/>
      <c r="AG462" s="1111"/>
      <c r="AH462" s="1111"/>
      <c r="AI462" s="1111"/>
      <c r="AJ462" s="1111"/>
      <c r="AK462" s="1111"/>
      <c r="AL462" s="1111"/>
      <c r="AM462" s="1111"/>
      <c r="AN462" s="1111"/>
      <c r="AO462" s="1111"/>
      <c r="AP462" s="1111"/>
      <c r="AQ462" s="1111"/>
      <c r="AR462" s="1111"/>
      <c r="AS462" s="1111"/>
      <c r="AT462" s="1111"/>
      <c r="AU462" s="1111"/>
      <c r="AV462" s="1111"/>
      <c r="AW462" s="1111"/>
      <c r="AX462" s="1111"/>
      <c r="AY462" s="1111"/>
      <c r="AZ462" s="1111"/>
      <c r="BA462" s="1111"/>
      <c r="BB462" s="1111"/>
      <c r="BC462" s="1111"/>
      <c r="BD462" s="1111"/>
      <c r="BE462" s="1111"/>
      <c r="BF462" s="1111"/>
      <c r="BG462" s="1111"/>
      <c r="BH462" s="1111"/>
      <c r="BI462" s="1111"/>
      <c r="BJ462" s="1111"/>
      <c r="BK462" s="1111"/>
      <c r="BL462" s="1111"/>
      <c r="BM462" s="1111"/>
      <c r="BN462" s="1111"/>
      <c r="BO462" s="1111"/>
      <c r="BP462" s="1111"/>
      <c r="BQ462" s="1111"/>
      <c r="BR462" s="1111"/>
      <c r="BS462" s="1111"/>
      <c r="BT462" s="1111"/>
      <c r="BU462" s="1111"/>
      <c r="BV462" s="1111"/>
      <c r="BW462" s="1111"/>
      <c r="BX462" s="1111"/>
      <c r="BY462" s="1111"/>
      <c r="BZ462" s="1111"/>
      <c r="CA462" s="1111"/>
      <c r="CB462" s="1111"/>
      <c r="CC462" s="1111"/>
      <c r="CD462" s="1111"/>
      <c r="CE462" s="1111"/>
      <c r="CF462" s="1111"/>
      <c r="CG462" s="1111"/>
      <c r="CH462" s="1111"/>
      <c r="CI462" s="1111"/>
      <c r="CJ462" s="1111"/>
      <c r="CK462" s="1110"/>
    </row>
    <row r="463" spans="1:89" ht="14.4" x14ac:dyDescent="0.3">
      <c r="A463" s="1110"/>
      <c r="B463" s="1110"/>
      <c r="C463" s="1110"/>
      <c r="D463" s="1110"/>
      <c r="E463" s="1110"/>
      <c r="F463" s="1110"/>
      <c r="G463" s="1110"/>
      <c r="H463" s="1110"/>
      <c r="I463" s="1110"/>
      <c r="J463" s="1110"/>
      <c r="K463" s="1110"/>
      <c r="L463" s="1110"/>
      <c r="M463" s="1110"/>
      <c r="N463" s="1110"/>
      <c r="O463" s="1110"/>
      <c r="P463" s="1110"/>
      <c r="Q463" s="1110"/>
      <c r="R463" s="1110"/>
      <c r="S463" s="1110"/>
      <c r="T463" s="1111"/>
      <c r="U463" s="1111"/>
      <c r="V463" s="1111"/>
      <c r="W463" s="1111"/>
      <c r="X463" s="1111"/>
      <c r="Y463" s="1111"/>
      <c r="Z463" s="1111"/>
      <c r="AA463" s="1111"/>
      <c r="AB463" s="1111"/>
      <c r="AC463" s="1111"/>
      <c r="AD463" s="1111"/>
      <c r="AE463" s="1111"/>
      <c r="AF463" s="1111"/>
      <c r="AG463" s="1111"/>
      <c r="AH463" s="1111"/>
      <c r="AI463" s="1111"/>
      <c r="AJ463" s="1111"/>
      <c r="AK463" s="1111"/>
      <c r="AL463" s="1111"/>
      <c r="AM463" s="1111"/>
      <c r="AN463" s="1111"/>
      <c r="AO463" s="1111"/>
      <c r="AP463" s="1111"/>
      <c r="AQ463" s="1111"/>
      <c r="AR463" s="1111"/>
      <c r="AS463" s="1111"/>
      <c r="AT463" s="1111"/>
      <c r="AU463" s="1111"/>
      <c r="AV463" s="1111"/>
      <c r="AW463" s="1111"/>
      <c r="AX463" s="1111"/>
      <c r="AY463" s="1111"/>
      <c r="AZ463" s="1111"/>
      <c r="BA463" s="1111"/>
      <c r="BB463" s="1111"/>
      <c r="BC463" s="1111"/>
      <c r="BD463" s="1111"/>
      <c r="BE463" s="1111"/>
      <c r="BF463" s="1111"/>
      <c r="BG463" s="1111"/>
      <c r="BH463" s="1111"/>
      <c r="BI463" s="1111"/>
      <c r="BJ463" s="1111"/>
      <c r="BK463" s="1111"/>
      <c r="BL463" s="1111"/>
      <c r="BM463" s="1111"/>
      <c r="BN463" s="1111"/>
      <c r="BO463" s="1111"/>
      <c r="BP463" s="1111"/>
      <c r="BQ463" s="1111"/>
      <c r="BR463" s="1111"/>
      <c r="BS463" s="1111"/>
      <c r="BT463" s="1111"/>
      <c r="BU463" s="1111"/>
      <c r="BV463" s="1111"/>
      <c r="BW463" s="1111"/>
      <c r="BX463" s="1111"/>
      <c r="BY463" s="1111"/>
      <c r="BZ463" s="1111"/>
      <c r="CA463" s="1111"/>
      <c r="CB463" s="1111"/>
      <c r="CC463" s="1111"/>
      <c r="CD463" s="1111"/>
      <c r="CE463" s="1111"/>
      <c r="CF463" s="1111"/>
      <c r="CG463" s="1111"/>
      <c r="CH463" s="1111"/>
      <c r="CI463" s="1111"/>
      <c r="CJ463" s="1111"/>
      <c r="CK463" s="1110"/>
    </row>
    <row r="464" spans="1:89" ht="14.4" x14ac:dyDescent="0.3">
      <c r="A464" s="1110"/>
      <c r="B464" s="1110"/>
      <c r="C464" s="1110"/>
      <c r="D464" s="1110"/>
      <c r="E464" s="1110"/>
      <c r="F464" s="1110"/>
      <c r="G464" s="1110"/>
      <c r="H464" s="1110"/>
      <c r="I464" s="1110"/>
      <c r="J464" s="1110"/>
      <c r="K464" s="1110"/>
      <c r="L464" s="1110"/>
      <c r="M464" s="1110"/>
      <c r="N464" s="1110"/>
      <c r="O464" s="1110"/>
      <c r="P464" s="1110"/>
      <c r="Q464" s="1110"/>
      <c r="R464" s="1110"/>
      <c r="S464" s="1110"/>
      <c r="T464" s="1111"/>
      <c r="U464" s="1111"/>
      <c r="V464" s="1111"/>
      <c r="W464" s="1111"/>
      <c r="X464" s="1111"/>
      <c r="Y464" s="1111"/>
      <c r="Z464" s="1111"/>
      <c r="AA464" s="1111"/>
      <c r="AB464" s="1111"/>
      <c r="AC464" s="1111"/>
      <c r="AD464" s="1111"/>
      <c r="AE464" s="1111"/>
      <c r="AF464" s="1111"/>
      <c r="AG464" s="1111"/>
      <c r="AH464" s="1111"/>
      <c r="AI464" s="1111"/>
      <c r="AJ464" s="1111"/>
      <c r="AK464" s="1111"/>
      <c r="AL464" s="1111"/>
      <c r="AM464" s="1111"/>
      <c r="AN464" s="1111"/>
      <c r="AO464" s="1111"/>
      <c r="AP464" s="1111"/>
      <c r="AQ464" s="1111"/>
      <c r="AR464" s="1111"/>
      <c r="AS464" s="1111"/>
      <c r="AT464" s="1111"/>
      <c r="AU464" s="1111"/>
      <c r="AV464" s="1111"/>
      <c r="AW464" s="1111"/>
      <c r="AX464" s="1111"/>
      <c r="AY464" s="1111"/>
      <c r="AZ464" s="1111"/>
      <c r="BA464" s="1111"/>
      <c r="BB464" s="1111"/>
      <c r="BC464" s="1111"/>
      <c r="BD464" s="1111"/>
      <c r="BE464" s="1111"/>
      <c r="BF464" s="1111"/>
      <c r="BG464" s="1111"/>
      <c r="BH464" s="1111"/>
      <c r="BI464" s="1111"/>
      <c r="BJ464" s="1111"/>
      <c r="BK464" s="1111"/>
      <c r="BL464" s="1111"/>
      <c r="BM464" s="1111"/>
      <c r="BN464" s="1111"/>
      <c r="BO464" s="1111"/>
      <c r="BP464" s="1111"/>
      <c r="BQ464" s="1111"/>
      <c r="BR464" s="1111"/>
      <c r="BS464" s="1111"/>
      <c r="BT464" s="1111"/>
      <c r="BU464" s="1111"/>
      <c r="BV464" s="1111"/>
      <c r="BW464" s="1111"/>
      <c r="BX464" s="1111"/>
      <c r="BY464" s="1111"/>
      <c r="BZ464" s="1111"/>
      <c r="CA464" s="1111"/>
      <c r="CB464" s="1111"/>
      <c r="CC464" s="1111"/>
      <c r="CD464" s="1111"/>
      <c r="CE464" s="1111"/>
      <c r="CF464" s="1111"/>
      <c r="CG464" s="1111"/>
      <c r="CH464" s="1111"/>
      <c r="CI464" s="1111"/>
      <c r="CJ464" s="1111"/>
      <c r="CK464" s="1110"/>
    </row>
    <row r="465" spans="1:89" ht="14.4" x14ac:dyDescent="0.3">
      <c r="A465" s="1110"/>
      <c r="B465" s="1110"/>
      <c r="C465" s="1110"/>
      <c r="D465" s="1110"/>
      <c r="E465" s="1110"/>
      <c r="F465" s="1110"/>
      <c r="G465" s="1110"/>
      <c r="H465" s="1110"/>
      <c r="I465" s="1110"/>
      <c r="J465" s="1110"/>
      <c r="K465" s="1110"/>
      <c r="L465" s="1110"/>
      <c r="M465" s="1110"/>
      <c r="N465" s="1110"/>
      <c r="O465" s="1110"/>
      <c r="P465" s="1110"/>
      <c r="Q465" s="1110"/>
      <c r="R465" s="1110"/>
      <c r="S465" s="1110"/>
      <c r="T465" s="1111"/>
      <c r="U465" s="1111"/>
      <c r="V465" s="1111"/>
      <c r="W465" s="1111"/>
      <c r="X465" s="1111"/>
      <c r="Y465" s="1111"/>
      <c r="Z465" s="1111"/>
      <c r="AA465" s="1111"/>
      <c r="AB465" s="1111"/>
      <c r="AC465" s="1111"/>
      <c r="AD465" s="1111"/>
      <c r="AE465" s="1111"/>
      <c r="AF465" s="1111"/>
      <c r="AG465" s="1111"/>
      <c r="AH465" s="1111"/>
      <c r="AI465" s="1111"/>
      <c r="AJ465" s="1111"/>
      <c r="AK465" s="1111"/>
      <c r="AL465" s="1111"/>
      <c r="AM465" s="1111"/>
      <c r="AN465" s="1111"/>
      <c r="AO465" s="1111"/>
      <c r="AP465" s="1111"/>
      <c r="AQ465" s="1111"/>
      <c r="AR465" s="1111"/>
      <c r="AS465" s="1111"/>
      <c r="AT465" s="1111"/>
      <c r="AU465" s="1111"/>
      <c r="AV465" s="1111"/>
      <c r="AW465" s="1111"/>
      <c r="AX465" s="1111"/>
      <c r="AY465" s="1111"/>
      <c r="AZ465" s="1111"/>
      <c r="BA465" s="1111"/>
      <c r="BB465" s="1111"/>
      <c r="BC465" s="1111"/>
      <c r="BD465" s="1111"/>
      <c r="BE465" s="1111"/>
      <c r="BF465" s="1111"/>
      <c r="BG465" s="1111"/>
      <c r="BH465" s="1111"/>
      <c r="BI465" s="1111"/>
      <c r="BJ465" s="1111"/>
      <c r="BK465" s="1111"/>
      <c r="BL465" s="1111"/>
      <c r="BM465" s="1111"/>
      <c r="BN465" s="1111"/>
      <c r="BO465" s="1111"/>
      <c r="BP465" s="1111"/>
      <c r="BQ465" s="1111"/>
      <c r="BR465" s="1111"/>
      <c r="BS465" s="1111"/>
      <c r="BT465" s="1111"/>
      <c r="BU465" s="1111"/>
      <c r="BV465" s="1111"/>
      <c r="BW465" s="1111"/>
      <c r="BX465" s="1111"/>
      <c r="BY465" s="1111"/>
      <c r="BZ465" s="1111"/>
      <c r="CA465" s="1111"/>
      <c r="CB465" s="1111"/>
      <c r="CC465" s="1111"/>
      <c r="CD465" s="1111"/>
      <c r="CE465" s="1111"/>
      <c r="CF465" s="1111"/>
      <c r="CG465" s="1111"/>
      <c r="CH465" s="1111"/>
      <c r="CI465" s="1111"/>
      <c r="CJ465" s="1111"/>
      <c r="CK465" s="1110"/>
    </row>
    <row r="466" spans="1:89" ht="14.4" x14ac:dyDescent="0.3">
      <c r="A466" s="1110"/>
      <c r="B466" s="1110"/>
      <c r="C466" s="1110"/>
      <c r="D466" s="1110"/>
      <c r="E466" s="1110"/>
      <c r="F466" s="1110"/>
      <c r="G466" s="1110"/>
      <c r="H466" s="1110"/>
      <c r="I466" s="1110"/>
      <c r="J466" s="1110"/>
      <c r="K466" s="1110"/>
      <c r="L466" s="1110"/>
      <c r="M466" s="1110"/>
      <c r="N466" s="1110"/>
      <c r="O466" s="1110"/>
      <c r="P466" s="1110"/>
      <c r="Q466" s="1110"/>
      <c r="R466" s="1110"/>
      <c r="S466" s="1110"/>
      <c r="T466" s="1111"/>
      <c r="U466" s="1111"/>
      <c r="V466" s="1111"/>
      <c r="W466" s="1111"/>
      <c r="X466" s="1111"/>
      <c r="Y466" s="1111"/>
      <c r="Z466" s="1111"/>
      <c r="AA466" s="1111"/>
      <c r="AB466" s="1111"/>
      <c r="AC466" s="1111"/>
      <c r="AD466" s="1111"/>
      <c r="AE466" s="1111"/>
      <c r="AF466" s="1111"/>
      <c r="AG466" s="1111"/>
      <c r="AH466" s="1111"/>
      <c r="AI466" s="1111"/>
      <c r="AJ466" s="1111"/>
      <c r="AK466" s="1111"/>
      <c r="AL466" s="1111"/>
      <c r="AM466" s="1111"/>
      <c r="AN466" s="1111"/>
      <c r="AO466" s="1111"/>
      <c r="AP466" s="1111"/>
      <c r="AQ466" s="1111"/>
      <c r="AR466" s="1111"/>
      <c r="AS466" s="1111"/>
      <c r="AT466" s="1111"/>
      <c r="AU466" s="1111"/>
      <c r="AV466" s="1111"/>
      <c r="AW466" s="1111"/>
      <c r="AX466" s="1111"/>
      <c r="AY466" s="1111"/>
      <c r="AZ466" s="1111"/>
      <c r="BA466" s="1111"/>
      <c r="BB466" s="1111"/>
      <c r="BC466" s="1111"/>
      <c r="BD466" s="1111"/>
      <c r="BE466" s="1111"/>
      <c r="BF466" s="1111"/>
      <c r="BG466" s="1111"/>
      <c r="BH466" s="1111"/>
      <c r="BI466" s="1111"/>
      <c r="BJ466" s="1111"/>
      <c r="BK466" s="1111"/>
      <c r="BL466" s="1111"/>
      <c r="BM466" s="1111"/>
      <c r="BN466" s="1111"/>
      <c r="BO466" s="1111"/>
      <c r="BP466" s="1111"/>
      <c r="BQ466" s="1111"/>
      <c r="BR466" s="1111"/>
      <c r="BS466" s="1111"/>
      <c r="BT466" s="1111"/>
      <c r="BU466" s="1111"/>
      <c r="BV466" s="1111"/>
      <c r="BW466" s="1111"/>
      <c r="BX466" s="1111"/>
      <c r="BY466" s="1111"/>
      <c r="BZ466" s="1111"/>
      <c r="CA466" s="1111"/>
      <c r="CB466" s="1111"/>
      <c r="CC466" s="1111"/>
      <c r="CD466" s="1111"/>
      <c r="CE466" s="1111"/>
      <c r="CF466" s="1111"/>
      <c r="CG466" s="1111"/>
      <c r="CH466" s="1111"/>
      <c r="CI466" s="1111"/>
      <c r="CJ466" s="1111"/>
      <c r="CK466" s="1110"/>
    </row>
    <row r="467" spans="1:89" ht="14.4" x14ac:dyDescent="0.3">
      <c r="A467" s="1110"/>
      <c r="B467" s="1110"/>
      <c r="C467" s="1110"/>
      <c r="D467" s="1110"/>
      <c r="E467" s="1110"/>
      <c r="F467" s="1110"/>
      <c r="G467" s="1110"/>
      <c r="H467" s="1110"/>
      <c r="I467" s="1110"/>
      <c r="J467" s="1110"/>
      <c r="K467" s="1110"/>
      <c r="L467" s="1110"/>
      <c r="M467" s="1110"/>
      <c r="N467" s="1110"/>
      <c r="O467" s="1110"/>
      <c r="P467" s="1110"/>
      <c r="Q467" s="1110"/>
      <c r="R467" s="1110"/>
      <c r="S467" s="1110"/>
      <c r="T467" s="1111"/>
      <c r="U467" s="1111"/>
      <c r="V467" s="1111"/>
      <c r="W467" s="1111"/>
      <c r="X467" s="1111"/>
      <c r="Y467" s="1111"/>
      <c r="Z467" s="1111"/>
      <c r="AA467" s="1111"/>
      <c r="AB467" s="1111"/>
      <c r="AC467" s="1111"/>
      <c r="AD467" s="1111"/>
      <c r="AE467" s="1111"/>
      <c r="AF467" s="1111"/>
      <c r="AG467" s="1111"/>
      <c r="AH467" s="1111"/>
      <c r="AI467" s="1111"/>
      <c r="AJ467" s="1111"/>
      <c r="AK467" s="1111"/>
      <c r="AL467" s="1111"/>
      <c r="AM467" s="1111"/>
      <c r="AN467" s="1111"/>
      <c r="AO467" s="1111"/>
      <c r="AP467" s="1111"/>
      <c r="AQ467" s="1111"/>
      <c r="AR467" s="1111"/>
      <c r="AS467" s="1111"/>
      <c r="AT467" s="1111"/>
      <c r="AU467" s="1111"/>
      <c r="AV467" s="1111"/>
      <c r="AW467" s="1111"/>
      <c r="AX467" s="1111"/>
      <c r="AY467" s="1111"/>
      <c r="AZ467" s="1111"/>
      <c r="BA467" s="1111"/>
      <c r="BB467" s="1111"/>
      <c r="BC467" s="1111"/>
      <c r="BD467" s="1111"/>
      <c r="BE467" s="1111"/>
      <c r="BF467" s="1111"/>
      <c r="BG467" s="1111"/>
      <c r="BH467" s="1111"/>
      <c r="BI467" s="1111"/>
      <c r="BJ467" s="1111"/>
      <c r="BK467" s="1111"/>
      <c r="BL467" s="1111"/>
      <c r="BM467" s="1111"/>
      <c r="BN467" s="1111"/>
      <c r="BO467" s="1111"/>
      <c r="BP467" s="1111"/>
      <c r="BQ467" s="1111"/>
      <c r="BR467" s="1111"/>
      <c r="BS467" s="1111"/>
      <c r="BT467" s="1111"/>
      <c r="BU467" s="1111"/>
      <c r="BV467" s="1111"/>
      <c r="BW467" s="1111"/>
      <c r="BX467" s="1111"/>
      <c r="BY467" s="1111"/>
      <c r="BZ467" s="1111"/>
      <c r="CA467" s="1111"/>
      <c r="CB467" s="1111"/>
      <c r="CC467" s="1111"/>
      <c r="CD467" s="1111"/>
      <c r="CE467" s="1111"/>
      <c r="CF467" s="1111"/>
      <c r="CG467" s="1111"/>
      <c r="CH467" s="1111"/>
      <c r="CI467" s="1111"/>
      <c r="CJ467" s="1111"/>
      <c r="CK467" s="1110"/>
    </row>
    <row r="468" spans="1:89" ht="14.4" x14ac:dyDescent="0.3">
      <c r="A468" s="1110"/>
      <c r="B468" s="1110"/>
      <c r="C468" s="1110"/>
      <c r="D468" s="1110"/>
      <c r="E468" s="1110"/>
      <c r="F468" s="1110"/>
      <c r="G468" s="1110"/>
      <c r="H468" s="1110"/>
      <c r="I468" s="1110"/>
      <c r="J468" s="1110"/>
      <c r="K468" s="1110"/>
      <c r="L468" s="1110"/>
      <c r="M468" s="1110"/>
      <c r="N468" s="1110"/>
      <c r="O468" s="1110"/>
      <c r="P468" s="1110"/>
      <c r="Q468" s="1110"/>
      <c r="R468" s="1110"/>
      <c r="S468" s="1110"/>
      <c r="T468" s="1111"/>
      <c r="U468" s="1111"/>
      <c r="V468" s="1111"/>
      <c r="W468" s="1111"/>
      <c r="X468" s="1111"/>
      <c r="Y468" s="1111"/>
      <c r="Z468" s="1111"/>
      <c r="AA468" s="1111"/>
      <c r="AB468" s="1111"/>
      <c r="AC468" s="1111"/>
      <c r="AD468" s="1111"/>
      <c r="AE468" s="1111"/>
      <c r="AF468" s="1111"/>
      <c r="AG468" s="1111"/>
      <c r="AH468" s="1111"/>
      <c r="AI468" s="1111"/>
      <c r="AJ468" s="1111"/>
      <c r="AK468" s="1111"/>
      <c r="AL468" s="1111"/>
      <c r="AM468" s="1111"/>
      <c r="AN468" s="1111"/>
      <c r="AO468" s="1111"/>
      <c r="AP468" s="1111"/>
      <c r="AQ468" s="1111"/>
      <c r="AR468" s="1111"/>
      <c r="AS468" s="1111"/>
      <c r="AT468" s="1111"/>
      <c r="AU468" s="1111"/>
      <c r="AV468" s="1111"/>
      <c r="AW468" s="1111"/>
      <c r="AX468" s="1111"/>
      <c r="AY468" s="1111"/>
      <c r="AZ468" s="1111"/>
      <c r="BA468" s="1111"/>
      <c r="BB468" s="1111"/>
      <c r="BC468" s="1111"/>
      <c r="BD468" s="1111"/>
      <c r="BE468" s="1111"/>
      <c r="BF468" s="1111"/>
      <c r="BG468" s="1111"/>
      <c r="BH468" s="1111"/>
      <c r="BI468" s="1111"/>
      <c r="BJ468" s="1111"/>
      <c r="BK468" s="1111"/>
      <c r="BL468" s="1111"/>
      <c r="BM468" s="1111"/>
      <c r="BN468" s="1111"/>
      <c r="BO468" s="1111"/>
      <c r="BP468" s="1111"/>
      <c r="BQ468" s="1111"/>
      <c r="BR468" s="1111"/>
      <c r="BS468" s="1111"/>
      <c r="BT468" s="1111"/>
      <c r="BU468" s="1111"/>
      <c r="BV468" s="1111"/>
      <c r="BW468" s="1111"/>
      <c r="BX468" s="1111"/>
      <c r="BY468" s="1111"/>
      <c r="BZ468" s="1111"/>
      <c r="CA468" s="1111"/>
      <c r="CB468" s="1111"/>
      <c r="CC468" s="1111"/>
      <c r="CD468" s="1111"/>
      <c r="CE468" s="1111"/>
      <c r="CF468" s="1111"/>
      <c r="CG468" s="1111"/>
      <c r="CH468" s="1111"/>
      <c r="CI468" s="1111"/>
      <c r="CJ468" s="1111"/>
      <c r="CK468" s="1110"/>
    </row>
    <row r="469" spans="1:89" ht="14.4" x14ac:dyDescent="0.3">
      <c r="A469" s="1110"/>
      <c r="B469" s="1110"/>
      <c r="C469" s="1110"/>
      <c r="D469" s="1110"/>
      <c r="E469" s="1110"/>
      <c r="F469" s="1110"/>
      <c r="G469" s="1110"/>
      <c r="H469" s="1110"/>
      <c r="I469" s="1110"/>
      <c r="J469" s="1110"/>
      <c r="K469" s="1110"/>
      <c r="L469" s="1110"/>
      <c r="M469" s="1110"/>
      <c r="N469" s="1110"/>
      <c r="O469" s="1110"/>
      <c r="P469" s="1110"/>
      <c r="Q469" s="1110"/>
      <c r="R469" s="1110"/>
      <c r="S469" s="1110"/>
      <c r="T469" s="1111"/>
      <c r="U469" s="1111"/>
      <c r="V469" s="1111"/>
      <c r="W469" s="1111"/>
      <c r="X469" s="1111"/>
      <c r="Y469" s="1111"/>
      <c r="Z469" s="1111"/>
      <c r="AA469" s="1111"/>
      <c r="AB469" s="1111"/>
      <c r="AC469" s="1111"/>
      <c r="AD469" s="1111"/>
      <c r="AE469" s="1111"/>
      <c r="AF469" s="1111"/>
      <c r="AG469" s="1111"/>
      <c r="AH469" s="1111"/>
      <c r="AI469" s="1111"/>
      <c r="AJ469" s="1111"/>
      <c r="AK469" s="1111"/>
      <c r="AL469" s="1111"/>
      <c r="AM469" s="1111"/>
      <c r="AN469" s="1111"/>
      <c r="AO469" s="1111"/>
      <c r="AP469" s="1111"/>
      <c r="AQ469" s="1111"/>
      <c r="AR469" s="1111"/>
      <c r="AS469" s="1111"/>
      <c r="AT469" s="1111"/>
      <c r="AU469" s="1111"/>
      <c r="AV469" s="1111"/>
      <c r="AW469" s="1111"/>
      <c r="AX469" s="1111"/>
      <c r="AY469" s="1111"/>
      <c r="AZ469" s="1111"/>
      <c r="BA469" s="1111"/>
      <c r="BB469" s="1111"/>
      <c r="BC469" s="1111"/>
      <c r="BD469" s="1111"/>
      <c r="BE469" s="1111"/>
      <c r="BF469" s="1111"/>
      <c r="BG469" s="1111"/>
      <c r="BH469" s="1111"/>
      <c r="BI469" s="1111"/>
      <c r="BJ469" s="1111"/>
      <c r="BK469" s="1111"/>
      <c r="BL469" s="1111"/>
      <c r="BM469" s="1111"/>
      <c r="BN469" s="1111"/>
      <c r="BO469" s="1111"/>
      <c r="BP469" s="1111"/>
      <c r="BQ469" s="1111"/>
      <c r="BR469" s="1111"/>
      <c r="BS469" s="1111"/>
      <c r="BT469" s="1111"/>
      <c r="BU469" s="1111"/>
      <c r="BV469" s="1111"/>
      <c r="BW469" s="1111"/>
      <c r="BX469" s="1111"/>
      <c r="BY469" s="1111"/>
      <c r="BZ469" s="1111"/>
      <c r="CA469" s="1111"/>
      <c r="CB469" s="1111"/>
      <c r="CC469" s="1111"/>
      <c r="CD469" s="1111"/>
      <c r="CE469" s="1111"/>
      <c r="CF469" s="1111"/>
      <c r="CG469" s="1111"/>
      <c r="CH469" s="1111"/>
      <c r="CI469" s="1111"/>
      <c r="CJ469" s="1111"/>
      <c r="CK469" s="1110"/>
    </row>
    <row r="470" spans="1:89" ht="14.4" x14ac:dyDescent="0.3">
      <c r="A470" s="1110"/>
      <c r="B470" s="1110"/>
      <c r="C470" s="1110"/>
      <c r="D470" s="1110"/>
      <c r="E470" s="1110"/>
      <c r="F470" s="1110"/>
      <c r="G470" s="1110"/>
      <c r="H470" s="1110"/>
      <c r="I470" s="1110"/>
      <c r="J470" s="1110"/>
      <c r="K470" s="1110"/>
      <c r="L470" s="1110"/>
      <c r="M470" s="1110"/>
      <c r="N470" s="1110"/>
      <c r="O470" s="1110"/>
      <c r="P470" s="1110"/>
      <c r="Q470" s="1110"/>
      <c r="R470" s="1110"/>
      <c r="S470" s="1110"/>
      <c r="T470" s="1111"/>
      <c r="U470" s="1111"/>
      <c r="V470" s="1111"/>
      <c r="W470" s="1111"/>
      <c r="X470" s="1111"/>
      <c r="Y470" s="1111"/>
      <c r="Z470" s="1111"/>
      <c r="AA470" s="1111"/>
      <c r="AB470" s="1111"/>
      <c r="AC470" s="1111"/>
      <c r="AD470" s="1111"/>
      <c r="AE470" s="1111"/>
      <c r="AF470" s="1111"/>
      <c r="AG470" s="1111"/>
      <c r="AH470" s="1111"/>
      <c r="AI470" s="1111"/>
      <c r="AJ470" s="1111"/>
      <c r="AK470" s="1111"/>
      <c r="AL470" s="1111"/>
      <c r="AM470" s="1111"/>
      <c r="AN470" s="1111"/>
      <c r="AO470" s="1111"/>
      <c r="AP470" s="1111"/>
      <c r="AQ470" s="1111"/>
      <c r="AR470" s="1111"/>
      <c r="AS470" s="1111"/>
      <c r="AT470" s="1111"/>
      <c r="AU470" s="1111"/>
      <c r="AV470" s="1111"/>
      <c r="AW470" s="1111"/>
      <c r="AX470" s="1111"/>
      <c r="AY470" s="1111"/>
      <c r="AZ470" s="1111"/>
      <c r="BA470" s="1111"/>
      <c r="BB470" s="1111"/>
      <c r="BC470" s="1111"/>
      <c r="BD470" s="1111"/>
      <c r="BE470" s="1111"/>
      <c r="BF470" s="1111"/>
      <c r="BG470" s="1111"/>
      <c r="BH470" s="1111"/>
      <c r="BI470" s="1111"/>
      <c r="BJ470" s="1111"/>
      <c r="BK470" s="1111"/>
      <c r="BL470" s="1111"/>
      <c r="BM470" s="1111"/>
      <c r="BN470" s="1111"/>
      <c r="BO470" s="1111"/>
      <c r="BP470" s="1111"/>
      <c r="BQ470" s="1111"/>
      <c r="BR470" s="1111"/>
      <c r="BS470" s="1111"/>
      <c r="BT470" s="1111"/>
      <c r="BU470" s="1111"/>
      <c r="BV470" s="1111"/>
      <c r="BW470" s="1111"/>
      <c r="BX470" s="1111"/>
      <c r="BY470" s="1111"/>
      <c r="BZ470" s="1111"/>
      <c r="CA470" s="1111"/>
      <c r="CB470" s="1111"/>
      <c r="CC470" s="1111"/>
      <c r="CD470" s="1111"/>
      <c r="CE470" s="1111"/>
      <c r="CF470" s="1111"/>
      <c r="CG470" s="1111"/>
      <c r="CH470" s="1111"/>
      <c r="CI470" s="1111"/>
      <c r="CJ470" s="1111"/>
      <c r="CK470" s="1110"/>
    </row>
    <row r="471" spans="1:89" ht="14.4" x14ac:dyDescent="0.3">
      <c r="A471" s="1110"/>
      <c r="B471" s="1110"/>
      <c r="C471" s="1110"/>
      <c r="D471" s="1110"/>
      <c r="E471" s="1110"/>
      <c r="F471" s="1110"/>
      <c r="G471" s="1110"/>
      <c r="H471" s="1110"/>
      <c r="I471" s="1110"/>
      <c r="J471" s="1110"/>
      <c r="K471" s="1110"/>
      <c r="L471" s="1110"/>
      <c r="M471" s="1110"/>
      <c r="N471" s="1110"/>
      <c r="O471" s="1110"/>
      <c r="P471" s="1110"/>
      <c r="Q471" s="1110"/>
      <c r="R471" s="1110"/>
      <c r="S471" s="1110"/>
      <c r="T471" s="1111"/>
      <c r="U471" s="1111"/>
      <c r="V471" s="1111"/>
      <c r="W471" s="1111"/>
      <c r="X471" s="1111"/>
      <c r="Y471" s="1111"/>
      <c r="Z471" s="1111"/>
      <c r="AA471" s="1111"/>
      <c r="AB471" s="1111"/>
      <c r="AC471" s="1111"/>
      <c r="AD471" s="1111"/>
      <c r="AE471" s="1111"/>
      <c r="AF471" s="1111"/>
      <c r="AG471" s="1111"/>
      <c r="AH471" s="1111"/>
      <c r="AI471" s="1111"/>
      <c r="AJ471" s="1111"/>
      <c r="AK471" s="1111"/>
      <c r="AL471" s="1111"/>
      <c r="AM471" s="1111"/>
      <c r="AN471" s="1111"/>
      <c r="AO471" s="1111"/>
      <c r="AP471" s="1111"/>
      <c r="AQ471" s="1111"/>
      <c r="AR471" s="1111"/>
      <c r="AS471" s="1111"/>
      <c r="AT471" s="1111"/>
      <c r="AU471" s="1111"/>
      <c r="AV471" s="1111"/>
      <c r="AW471" s="1111"/>
      <c r="AX471" s="1111"/>
      <c r="AY471" s="1111"/>
      <c r="AZ471" s="1111"/>
      <c r="BA471" s="1111"/>
      <c r="BB471" s="1111"/>
      <c r="BC471" s="1111"/>
      <c r="BD471" s="1111"/>
      <c r="BE471" s="1111"/>
      <c r="BF471" s="1111"/>
      <c r="BG471" s="1111"/>
      <c r="BH471" s="1111"/>
      <c r="BI471" s="1111"/>
      <c r="BJ471" s="1111"/>
      <c r="BK471" s="1111"/>
      <c r="BL471" s="1111"/>
      <c r="BM471" s="1111"/>
      <c r="BN471" s="1111"/>
      <c r="BO471" s="1111"/>
      <c r="BP471" s="1111"/>
      <c r="BQ471" s="1111"/>
      <c r="BR471" s="1111"/>
      <c r="BS471" s="1111"/>
      <c r="BT471" s="1111"/>
      <c r="BU471" s="1111"/>
      <c r="BV471" s="1111"/>
      <c r="BW471" s="1111"/>
      <c r="BX471" s="1111"/>
      <c r="BY471" s="1111"/>
      <c r="BZ471" s="1111"/>
      <c r="CA471" s="1111"/>
      <c r="CB471" s="1111"/>
      <c r="CC471" s="1111"/>
      <c r="CD471" s="1111"/>
      <c r="CE471" s="1111"/>
      <c r="CF471" s="1111"/>
      <c r="CG471" s="1111"/>
      <c r="CH471" s="1111"/>
      <c r="CI471" s="1111"/>
      <c r="CJ471" s="1111"/>
      <c r="CK471" s="1110"/>
    </row>
    <row r="472" spans="1:89" ht="14.4" x14ac:dyDescent="0.3">
      <c r="A472" s="1110"/>
      <c r="B472" s="1110"/>
      <c r="C472" s="1110"/>
      <c r="D472" s="1110"/>
      <c r="E472" s="1110"/>
      <c r="F472" s="1110"/>
      <c r="G472" s="1110"/>
      <c r="H472" s="1110"/>
      <c r="I472" s="1110"/>
      <c r="J472" s="1110"/>
      <c r="K472" s="1110"/>
      <c r="L472" s="1110"/>
      <c r="M472" s="1110"/>
      <c r="N472" s="1110"/>
      <c r="O472" s="1110"/>
      <c r="P472" s="1110"/>
      <c r="Q472" s="1110"/>
      <c r="R472" s="1110"/>
      <c r="S472" s="1110"/>
      <c r="T472" s="1111"/>
      <c r="U472" s="1111"/>
      <c r="V472" s="1111"/>
      <c r="W472" s="1111"/>
      <c r="X472" s="1111"/>
      <c r="Y472" s="1111"/>
      <c r="Z472" s="1111"/>
      <c r="AA472" s="1111"/>
      <c r="AB472" s="1111"/>
      <c r="AC472" s="1111"/>
      <c r="AD472" s="1111"/>
      <c r="AE472" s="1111"/>
      <c r="AF472" s="1111"/>
      <c r="AG472" s="1111"/>
      <c r="AH472" s="1111"/>
      <c r="AI472" s="1111"/>
      <c r="AJ472" s="1111"/>
      <c r="AK472" s="1111"/>
      <c r="AL472" s="1111"/>
      <c r="AM472" s="1111"/>
      <c r="AN472" s="1111"/>
      <c r="AO472" s="1111"/>
      <c r="AP472" s="1111"/>
      <c r="AQ472" s="1111"/>
      <c r="AR472" s="1111"/>
      <c r="AS472" s="1111"/>
      <c r="AT472" s="1111"/>
      <c r="AU472" s="1111"/>
      <c r="AV472" s="1111"/>
      <c r="AW472" s="1111"/>
      <c r="AX472" s="1111"/>
      <c r="AY472" s="1111"/>
      <c r="AZ472" s="1111"/>
      <c r="BA472" s="1111"/>
      <c r="BB472" s="1111"/>
      <c r="BC472" s="1111"/>
      <c r="BD472" s="1111"/>
      <c r="BE472" s="1111"/>
      <c r="BF472" s="1111"/>
      <c r="BG472" s="1111"/>
      <c r="BH472" s="1111"/>
      <c r="BI472" s="1111"/>
      <c r="BJ472" s="1111"/>
      <c r="BK472" s="1111"/>
      <c r="BL472" s="1111"/>
      <c r="BM472" s="1111"/>
      <c r="BN472" s="1111"/>
      <c r="BO472" s="1111"/>
      <c r="BP472" s="1111"/>
      <c r="BQ472" s="1111"/>
      <c r="BR472" s="1111"/>
      <c r="BS472" s="1111"/>
      <c r="BT472" s="1111"/>
      <c r="BU472" s="1111"/>
      <c r="BV472" s="1111"/>
      <c r="BW472" s="1111"/>
      <c r="BX472" s="1111"/>
      <c r="BY472" s="1111"/>
      <c r="BZ472" s="1111"/>
      <c r="CA472" s="1111"/>
      <c r="CB472" s="1111"/>
      <c r="CC472" s="1111"/>
      <c r="CD472" s="1111"/>
      <c r="CE472" s="1111"/>
      <c r="CF472" s="1111"/>
      <c r="CG472" s="1111"/>
      <c r="CH472" s="1111"/>
      <c r="CI472" s="1111"/>
      <c r="CJ472" s="1111"/>
      <c r="CK472" s="1110"/>
    </row>
    <row r="473" spans="1:89" ht="14.4" x14ac:dyDescent="0.3">
      <c r="A473" s="1110"/>
      <c r="B473" s="1110"/>
      <c r="C473" s="1110"/>
      <c r="D473" s="1110"/>
      <c r="E473" s="1110"/>
      <c r="F473" s="1110"/>
      <c r="G473" s="1110"/>
      <c r="H473" s="1110"/>
      <c r="I473" s="1110"/>
      <c r="J473" s="1110"/>
      <c r="K473" s="1110"/>
      <c r="L473" s="1110"/>
      <c r="M473" s="1110"/>
      <c r="N473" s="1110"/>
      <c r="O473" s="1110"/>
      <c r="P473" s="1110"/>
      <c r="Q473" s="1110"/>
      <c r="R473" s="1110"/>
      <c r="S473" s="1110"/>
      <c r="T473" s="1111"/>
      <c r="U473" s="1111"/>
      <c r="V473" s="1111"/>
      <c r="W473" s="1111"/>
      <c r="X473" s="1111"/>
      <c r="Y473" s="1111"/>
      <c r="Z473" s="1111"/>
      <c r="AA473" s="1111"/>
      <c r="AB473" s="1111"/>
      <c r="AC473" s="1111"/>
      <c r="AD473" s="1111"/>
      <c r="AE473" s="1111"/>
      <c r="AF473" s="1111"/>
      <c r="AG473" s="1111"/>
      <c r="AH473" s="1111"/>
      <c r="AI473" s="1111"/>
      <c r="AJ473" s="1111"/>
      <c r="AK473" s="1111"/>
      <c r="AL473" s="1111"/>
      <c r="AM473" s="1111"/>
      <c r="AN473" s="1111"/>
      <c r="AO473" s="1111"/>
      <c r="AP473" s="1111"/>
      <c r="AQ473" s="1111"/>
      <c r="AR473" s="1111"/>
      <c r="AS473" s="1111"/>
      <c r="AT473" s="1111"/>
      <c r="AU473" s="1111"/>
      <c r="AV473" s="1111"/>
      <c r="AW473" s="1111"/>
      <c r="AX473" s="1111"/>
      <c r="AY473" s="1111"/>
      <c r="AZ473" s="1111"/>
      <c r="BA473" s="1111"/>
      <c r="BB473" s="1111"/>
      <c r="BC473" s="1111"/>
      <c r="BD473" s="1111"/>
      <c r="BE473" s="1111"/>
      <c r="BF473" s="1111"/>
      <c r="BG473" s="1111"/>
      <c r="BH473" s="1111"/>
      <c r="BI473" s="1111"/>
      <c r="BJ473" s="1111"/>
      <c r="BK473" s="1111"/>
      <c r="BL473" s="1111"/>
      <c r="BM473" s="1111"/>
      <c r="BN473" s="1111"/>
      <c r="BO473" s="1111"/>
      <c r="BP473" s="1111"/>
      <c r="BQ473" s="1111"/>
      <c r="BR473" s="1111"/>
      <c r="BS473" s="1111"/>
      <c r="BT473" s="1111"/>
      <c r="BU473" s="1111"/>
      <c r="BV473" s="1111"/>
      <c r="BW473" s="1111"/>
      <c r="BX473" s="1111"/>
      <c r="BY473" s="1111"/>
      <c r="BZ473" s="1111"/>
      <c r="CA473" s="1111"/>
      <c r="CB473" s="1111"/>
      <c r="CC473" s="1111"/>
      <c r="CD473" s="1111"/>
      <c r="CE473" s="1111"/>
      <c r="CF473" s="1111"/>
      <c r="CG473" s="1111"/>
      <c r="CH473" s="1111"/>
      <c r="CI473" s="1111"/>
      <c r="CJ473" s="1111"/>
      <c r="CK473" s="1110"/>
    </row>
    <row r="474" spans="1:89" ht="14.4" x14ac:dyDescent="0.3">
      <c r="A474" s="1110"/>
      <c r="B474" s="1110"/>
      <c r="C474" s="1110"/>
      <c r="D474" s="1110"/>
      <c r="E474" s="1110"/>
      <c r="F474" s="1110"/>
      <c r="G474" s="1110"/>
      <c r="H474" s="1110"/>
      <c r="I474" s="1110"/>
      <c r="J474" s="1110"/>
      <c r="K474" s="1110"/>
      <c r="L474" s="1110"/>
      <c r="M474" s="1110"/>
      <c r="N474" s="1110"/>
      <c r="O474" s="1110"/>
      <c r="P474" s="1110"/>
      <c r="Q474" s="1110"/>
      <c r="R474" s="1110"/>
      <c r="S474" s="1110"/>
      <c r="T474" s="1111"/>
      <c r="U474" s="1111"/>
      <c r="V474" s="1111"/>
      <c r="W474" s="1111"/>
      <c r="X474" s="1111"/>
      <c r="Y474" s="1111"/>
      <c r="Z474" s="1111"/>
      <c r="AA474" s="1111"/>
      <c r="AB474" s="1111"/>
      <c r="AC474" s="1111"/>
      <c r="AD474" s="1111"/>
      <c r="AE474" s="1111"/>
      <c r="AF474" s="1111"/>
      <c r="AG474" s="1111"/>
      <c r="AH474" s="1111"/>
      <c r="AI474" s="1111"/>
      <c r="AJ474" s="1111"/>
      <c r="AK474" s="1111"/>
      <c r="AL474" s="1111"/>
      <c r="AM474" s="1111"/>
      <c r="AN474" s="1111"/>
      <c r="AO474" s="1111"/>
      <c r="AP474" s="1111"/>
      <c r="AQ474" s="1111"/>
      <c r="AR474" s="1111"/>
      <c r="AS474" s="1111"/>
      <c r="AT474" s="1111"/>
      <c r="AU474" s="1111"/>
      <c r="AV474" s="1111"/>
      <c r="AW474" s="1111"/>
      <c r="AX474" s="1111"/>
      <c r="AY474" s="1111"/>
      <c r="AZ474" s="1111"/>
      <c r="BA474" s="1111"/>
      <c r="BB474" s="1111"/>
      <c r="BC474" s="1111"/>
      <c r="BD474" s="1111"/>
      <c r="BE474" s="1111"/>
      <c r="BF474" s="1111"/>
      <c r="BG474" s="1111"/>
      <c r="BH474" s="1111"/>
      <c r="BI474" s="1111"/>
      <c r="BJ474" s="1111"/>
      <c r="BK474" s="1111"/>
      <c r="BL474" s="1111"/>
      <c r="BM474" s="1111"/>
      <c r="BN474" s="1111"/>
      <c r="BO474" s="1111"/>
      <c r="BP474" s="1111"/>
      <c r="BQ474" s="1111"/>
      <c r="BR474" s="1111"/>
      <c r="BS474" s="1111"/>
      <c r="BT474" s="1111"/>
      <c r="BU474" s="1111"/>
      <c r="BV474" s="1111"/>
      <c r="BW474" s="1111"/>
      <c r="BX474" s="1111"/>
      <c r="BY474" s="1111"/>
      <c r="BZ474" s="1111"/>
      <c r="CA474" s="1111"/>
      <c r="CB474" s="1111"/>
      <c r="CC474" s="1111"/>
      <c r="CD474" s="1111"/>
      <c r="CE474" s="1111"/>
      <c r="CF474" s="1111"/>
      <c r="CG474" s="1111"/>
      <c r="CH474" s="1111"/>
      <c r="CI474" s="1111"/>
      <c r="CJ474" s="1111"/>
      <c r="CK474" s="1110"/>
    </row>
    <row r="475" spans="1:89" ht="14.4" x14ac:dyDescent="0.3">
      <c r="A475" s="1110"/>
      <c r="B475" s="1110"/>
      <c r="C475" s="1110"/>
      <c r="D475" s="1110"/>
      <c r="E475" s="1110"/>
      <c r="F475" s="1110"/>
      <c r="G475" s="1110"/>
      <c r="H475" s="1110"/>
      <c r="I475" s="1110"/>
      <c r="J475" s="1110"/>
      <c r="K475" s="1110"/>
      <c r="L475" s="1110"/>
      <c r="M475" s="1110"/>
      <c r="N475" s="1110"/>
      <c r="O475" s="1110"/>
      <c r="P475" s="1110"/>
      <c r="Q475" s="1110"/>
      <c r="R475" s="1110"/>
      <c r="S475" s="1110"/>
      <c r="T475" s="1111"/>
      <c r="U475" s="1111"/>
      <c r="V475" s="1111"/>
      <c r="W475" s="1111"/>
      <c r="X475" s="1111"/>
      <c r="Y475" s="1111"/>
      <c r="Z475" s="1111"/>
      <c r="AA475" s="1111"/>
      <c r="AB475" s="1111"/>
      <c r="AC475" s="1111"/>
      <c r="AD475" s="1111"/>
      <c r="AE475" s="1111"/>
      <c r="AF475" s="1111"/>
      <c r="AG475" s="1111"/>
      <c r="AH475" s="1111"/>
      <c r="AI475" s="1111"/>
      <c r="AJ475" s="1111"/>
      <c r="AK475" s="1111"/>
      <c r="AL475" s="1111"/>
      <c r="AM475" s="1111"/>
      <c r="AN475" s="1111"/>
      <c r="AO475" s="1111"/>
      <c r="AP475" s="1111"/>
      <c r="AQ475" s="1111"/>
      <c r="AR475" s="1111"/>
      <c r="AS475" s="1111"/>
      <c r="AT475" s="1111"/>
      <c r="AU475" s="1111"/>
      <c r="AV475" s="1111"/>
      <c r="AW475" s="1111"/>
      <c r="AX475" s="1111"/>
      <c r="AY475" s="1111"/>
      <c r="AZ475" s="1111"/>
      <c r="BA475" s="1111"/>
      <c r="BB475" s="1111"/>
      <c r="BC475" s="1111"/>
      <c r="BD475" s="1111"/>
      <c r="BE475" s="1111"/>
      <c r="BF475" s="1111"/>
      <c r="BG475" s="1111"/>
      <c r="BH475" s="1111"/>
      <c r="BI475" s="1111"/>
      <c r="BJ475" s="1111"/>
      <c r="BK475" s="1111"/>
      <c r="BL475" s="1111"/>
      <c r="BM475" s="1111"/>
      <c r="BN475" s="1111"/>
      <c r="BO475" s="1111"/>
      <c r="BP475" s="1111"/>
      <c r="BQ475" s="1111"/>
      <c r="BR475" s="1111"/>
      <c r="BS475" s="1111"/>
      <c r="BT475" s="1111"/>
      <c r="BU475" s="1111"/>
      <c r="BV475" s="1111"/>
      <c r="BW475" s="1111"/>
      <c r="BX475" s="1111"/>
      <c r="BY475" s="1111"/>
      <c r="BZ475" s="1111"/>
      <c r="CA475" s="1111"/>
      <c r="CB475" s="1111"/>
      <c r="CC475" s="1111"/>
      <c r="CD475" s="1111"/>
      <c r="CE475" s="1111"/>
      <c r="CF475" s="1111"/>
      <c r="CG475" s="1111"/>
      <c r="CH475" s="1111"/>
      <c r="CI475" s="1111"/>
      <c r="CJ475" s="1111"/>
      <c r="CK475" s="1110"/>
    </row>
    <row r="476" spans="1:89" ht="14.4" x14ac:dyDescent="0.3">
      <c r="A476" s="1110"/>
      <c r="B476" s="1110"/>
      <c r="C476" s="1110"/>
      <c r="D476" s="1110"/>
      <c r="E476" s="1110"/>
      <c r="F476" s="1110"/>
      <c r="G476" s="1110"/>
      <c r="H476" s="1110"/>
      <c r="I476" s="1110"/>
      <c r="J476" s="1110"/>
      <c r="K476" s="1110"/>
      <c r="L476" s="1110"/>
      <c r="M476" s="1110"/>
      <c r="N476" s="1110"/>
      <c r="O476" s="1110"/>
      <c r="P476" s="1110"/>
      <c r="Q476" s="1110"/>
      <c r="R476" s="1110"/>
      <c r="S476" s="1110"/>
      <c r="T476" s="1111"/>
      <c r="U476" s="1111"/>
      <c r="V476" s="1111"/>
      <c r="W476" s="1111"/>
      <c r="X476" s="1111"/>
      <c r="Y476" s="1111"/>
      <c r="Z476" s="1111"/>
      <c r="AA476" s="1111"/>
      <c r="AB476" s="1111"/>
      <c r="AC476" s="1111"/>
      <c r="AD476" s="1111"/>
      <c r="AE476" s="1111"/>
      <c r="AF476" s="1111"/>
      <c r="AG476" s="1111"/>
      <c r="AH476" s="1111"/>
      <c r="AI476" s="1111"/>
      <c r="AJ476" s="1111"/>
      <c r="AK476" s="1111"/>
      <c r="AL476" s="1111"/>
      <c r="AM476" s="1111"/>
      <c r="AN476" s="1111"/>
      <c r="AO476" s="1111"/>
      <c r="AP476" s="1111"/>
      <c r="AQ476" s="1111"/>
      <c r="AR476" s="1111"/>
      <c r="AS476" s="1111"/>
      <c r="AT476" s="1111"/>
      <c r="AU476" s="1111"/>
      <c r="AV476" s="1111"/>
      <c r="AW476" s="1111"/>
      <c r="AX476" s="1111"/>
      <c r="AY476" s="1111"/>
      <c r="AZ476" s="1111"/>
      <c r="BA476" s="1111"/>
      <c r="BB476" s="1111"/>
      <c r="BC476" s="1111"/>
      <c r="BD476" s="1111"/>
      <c r="BE476" s="1111"/>
      <c r="BF476" s="1111"/>
      <c r="BG476" s="1111"/>
      <c r="BH476" s="1111"/>
      <c r="BI476" s="1111"/>
      <c r="BJ476" s="1111"/>
      <c r="BK476" s="1111"/>
      <c r="BL476" s="1111"/>
      <c r="BM476" s="1111"/>
      <c r="BN476" s="1111"/>
      <c r="BO476" s="1111"/>
      <c r="BP476" s="1111"/>
      <c r="BQ476" s="1111"/>
      <c r="BR476" s="1111"/>
      <c r="BS476" s="1111"/>
      <c r="BT476" s="1111"/>
      <c r="BU476" s="1111"/>
      <c r="BV476" s="1111"/>
      <c r="BW476" s="1111"/>
      <c r="BX476" s="1111"/>
      <c r="BY476" s="1111"/>
      <c r="BZ476" s="1111"/>
      <c r="CA476" s="1111"/>
      <c r="CB476" s="1111"/>
      <c r="CC476" s="1111"/>
      <c r="CD476" s="1111"/>
      <c r="CE476" s="1111"/>
      <c r="CF476" s="1111"/>
      <c r="CG476" s="1111"/>
      <c r="CH476" s="1111"/>
      <c r="CI476" s="1111"/>
      <c r="CJ476" s="1111"/>
      <c r="CK476" s="1110"/>
    </row>
    <row r="477" spans="1:89" ht="14.4" x14ac:dyDescent="0.3">
      <c r="A477" s="1110"/>
      <c r="B477" s="1110"/>
      <c r="C477" s="1110"/>
      <c r="D477" s="1110"/>
      <c r="E477" s="1110"/>
      <c r="F477" s="1110"/>
      <c r="G477" s="1110"/>
      <c r="H477" s="1110"/>
      <c r="I477" s="1110"/>
      <c r="J477" s="1110"/>
      <c r="K477" s="1110"/>
      <c r="L477" s="1110"/>
      <c r="M477" s="1110"/>
      <c r="N477" s="1110"/>
      <c r="O477" s="1110"/>
      <c r="P477" s="1110"/>
      <c r="Q477" s="1110"/>
      <c r="R477" s="1110"/>
      <c r="S477" s="1110"/>
      <c r="T477" s="1111"/>
      <c r="U477" s="1111"/>
      <c r="V477" s="1111"/>
      <c r="W477" s="1111"/>
      <c r="X477" s="1111"/>
      <c r="Y477" s="1111"/>
      <c r="Z477" s="1111"/>
      <c r="AA477" s="1111"/>
      <c r="AB477" s="1111"/>
      <c r="AC477" s="1111"/>
      <c r="AD477" s="1111"/>
      <c r="AE477" s="1111"/>
      <c r="AF477" s="1111"/>
      <c r="AG477" s="1111"/>
      <c r="AH477" s="1111"/>
      <c r="AI477" s="1111"/>
      <c r="AJ477" s="1111"/>
      <c r="AK477" s="1111"/>
      <c r="AL477" s="1111"/>
      <c r="AM477" s="1111"/>
      <c r="AN477" s="1111"/>
      <c r="AO477" s="1111"/>
      <c r="AP477" s="1111"/>
      <c r="AQ477" s="1111"/>
      <c r="AR477" s="1111"/>
      <c r="AS477" s="1111"/>
      <c r="AT477" s="1111"/>
      <c r="AU477" s="1111"/>
      <c r="AV477" s="1111"/>
      <c r="AW477" s="1111"/>
      <c r="AX477" s="1111"/>
      <c r="AY477" s="1111"/>
      <c r="AZ477" s="1111"/>
      <c r="BA477" s="1111"/>
      <c r="BB477" s="1111"/>
      <c r="BC477" s="1111"/>
      <c r="BD477" s="1111"/>
      <c r="BE477" s="1111"/>
      <c r="BF477" s="1111"/>
      <c r="BG477" s="1111"/>
      <c r="BH477" s="1111"/>
      <c r="BI477" s="1111"/>
      <c r="BJ477" s="1111"/>
      <c r="BK477" s="1111"/>
      <c r="BL477" s="1111"/>
      <c r="BM477" s="1111"/>
      <c r="BN477" s="1111"/>
      <c r="BO477" s="1111"/>
      <c r="BP477" s="1111"/>
      <c r="BQ477" s="1111"/>
      <c r="BR477" s="1111"/>
      <c r="BS477" s="1111"/>
      <c r="BT477" s="1111"/>
      <c r="BU477" s="1111"/>
      <c r="BV477" s="1111"/>
      <c r="BW477" s="1111"/>
      <c r="BX477" s="1111"/>
      <c r="BY477" s="1111"/>
      <c r="BZ477" s="1111"/>
      <c r="CA477" s="1111"/>
      <c r="CB477" s="1111"/>
      <c r="CC477" s="1111"/>
      <c r="CD477" s="1111"/>
      <c r="CE477" s="1111"/>
      <c r="CF477" s="1111"/>
      <c r="CG477" s="1111"/>
      <c r="CH477" s="1111"/>
      <c r="CI477" s="1111"/>
      <c r="CJ477" s="1111"/>
      <c r="CK477" s="1110"/>
    </row>
    <row r="478" spans="1:89" ht="14.4" x14ac:dyDescent="0.3">
      <c r="A478" s="1110"/>
      <c r="B478" s="1110"/>
      <c r="C478" s="1110"/>
      <c r="D478" s="1110"/>
      <c r="E478" s="1110"/>
      <c r="F478" s="1110"/>
      <c r="G478" s="1110"/>
      <c r="H478" s="1110"/>
      <c r="I478" s="1110"/>
      <c r="J478" s="1110"/>
      <c r="K478" s="1110"/>
      <c r="L478" s="1110"/>
      <c r="M478" s="1110"/>
      <c r="N478" s="1110"/>
      <c r="O478" s="1110"/>
      <c r="P478" s="1110"/>
      <c r="Q478" s="1110"/>
      <c r="R478" s="1110"/>
      <c r="S478" s="1110"/>
      <c r="T478" s="1111"/>
      <c r="U478" s="1111"/>
      <c r="V478" s="1111"/>
      <c r="W478" s="1111"/>
      <c r="X478" s="1111"/>
      <c r="Y478" s="1111"/>
      <c r="Z478" s="1111"/>
      <c r="AA478" s="1111"/>
      <c r="AB478" s="1111"/>
      <c r="AC478" s="1111"/>
      <c r="AD478" s="1111"/>
      <c r="AE478" s="1111"/>
      <c r="AF478" s="1111"/>
      <c r="AG478" s="1111"/>
      <c r="AH478" s="1111"/>
      <c r="AI478" s="1111"/>
      <c r="AJ478" s="1111"/>
      <c r="AK478" s="1111"/>
      <c r="AL478" s="1111"/>
      <c r="AM478" s="1111"/>
      <c r="AN478" s="1111"/>
      <c r="AO478" s="1111"/>
      <c r="AP478" s="1111"/>
      <c r="AQ478" s="1111"/>
      <c r="AR478" s="1111"/>
      <c r="AS478" s="1111"/>
      <c r="AT478" s="1111"/>
      <c r="AU478" s="1111"/>
      <c r="AV478" s="1111"/>
      <c r="AW478" s="1111"/>
      <c r="AX478" s="1111"/>
      <c r="AY478" s="1111"/>
      <c r="AZ478" s="1111"/>
      <c r="BA478" s="1111"/>
      <c r="BB478" s="1111"/>
      <c r="BC478" s="1111"/>
      <c r="BD478" s="1111"/>
      <c r="BE478" s="1111"/>
      <c r="BF478" s="1111"/>
      <c r="BG478" s="1111"/>
      <c r="BH478" s="1111"/>
      <c r="BI478" s="1111"/>
      <c r="BJ478" s="1111"/>
      <c r="BK478" s="1111"/>
      <c r="BL478" s="1111"/>
      <c r="BM478" s="1111"/>
      <c r="BN478" s="1111"/>
      <c r="BO478" s="1111"/>
      <c r="BP478" s="1111"/>
      <c r="BQ478" s="1111"/>
      <c r="BR478" s="1111"/>
      <c r="BS478" s="1111"/>
      <c r="BT478" s="1111"/>
      <c r="BU478" s="1111"/>
      <c r="BV478" s="1111"/>
      <c r="BW478" s="1111"/>
      <c r="BX478" s="1111"/>
      <c r="BY478" s="1111"/>
      <c r="BZ478" s="1111"/>
      <c r="CA478" s="1111"/>
      <c r="CB478" s="1111"/>
      <c r="CC478" s="1111"/>
      <c r="CD478" s="1111"/>
      <c r="CE478" s="1111"/>
      <c r="CF478" s="1111"/>
      <c r="CG478" s="1111"/>
      <c r="CH478" s="1111"/>
      <c r="CI478" s="1111"/>
      <c r="CJ478" s="1111"/>
      <c r="CK478" s="1110"/>
    </row>
    <row r="479" spans="1:89" ht="14.4" x14ac:dyDescent="0.3">
      <c r="A479" s="1110"/>
      <c r="B479" s="1110"/>
      <c r="C479" s="1110"/>
      <c r="D479" s="1110"/>
      <c r="E479" s="1110"/>
      <c r="F479" s="1110"/>
      <c r="G479" s="1110"/>
      <c r="H479" s="1110"/>
      <c r="I479" s="1110"/>
      <c r="J479" s="1110"/>
      <c r="K479" s="1110"/>
      <c r="L479" s="1110"/>
      <c r="M479" s="1110"/>
      <c r="N479" s="1110"/>
      <c r="O479" s="1110"/>
      <c r="P479" s="1110"/>
      <c r="Q479" s="1110"/>
      <c r="R479" s="1110"/>
      <c r="S479" s="1110"/>
      <c r="T479" s="1111"/>
      <c r="U479" s="1111"/>
      <c r="V479" s="1111"/>
      <c r="W479" s="1111"/>
      <c r="X479" s="1111"/>
      <c r="Y479" s="1111"/>
      <c r="Z479" s="1111"/>
      <c r="AA479" s="1111"/>
      <c r="AB479" s="1111"/>
      <c r="AC479" s="1111"/>
      <c r="AD479" s="1111"/>
      <c r="AE479" s="1111"/>
      <c r="AF479" s="1111"/>
      <c r="AG479" s="1111"/>
      <c r="AH479" s="1111"/>
      <c r="AI479" s="1111"/>
      <c r="AJ479" s="1111"/>
      <c r="AK479" s="1111"/>
      <c r="AL479" s="1111"/>
      <c r="AM479" s="1111"/>
      <c r="AN479" s="1111"/>
      <c r="AO479" s="1111"/>
      <c r="AP479" s="1111"/>
      <c r="AQ479" s="1111"/>
      <c r="AR479" s="1111"/>
      <c r="AS479" s="1111"/>
      <c r="AT479" s="1111"/>
      <c r="AU479" s="1111"/>
      <c r="AV479" s="1111"/>
      <c r="AW479" s="1111"/>
      <c r="AX479" s="1111"/>
      <c r="AY479" s="1111"/>
      <c r="AZ479" s="1111"/>
      <c r="BA479" s="1111"/>
      <c r="BB479" s="1111"/>
      <c r="BC479" s="1111"/>
      <c r="BD479" s="1111"/>
      <c r="BE479" s="1111"/>
      <c r="BF479" s="1111"/>
      <c r="BG479" s="1111"/>
      <c r="BH479" s="1111"/>
      <c r="BI479" s="1111"/>
      <c r="BJ479" s="1111"/>
      <c r="BK479" s="1111"/>
      <c r="BL479" s="1111"/>
      <c r="BM479" s="1111"/>
      <c r="BN479" s="1111"/>
      <c r="BO479" s="1111"/>
      <c r="BP479" s="1111"/>
      <c r="BQ479" s="1111"/>
      <c r="BR479" s="1111"/>
      <c r="BS479" s="1111"/>
      <c r="BT479" s="1111"/>
      <c r="BU479" s="1111"/>
      <c r="BV479" s="1111"/>
      <c r="BW479" s="1111"/>
      <c r="BX479" s="1111"/>
      <c r="BY479" s="1111"/>
      <c r="BZ479" s="1111"/>
      <c r="CA479" s="1111"/>
      <c r="CB479" s="1111"/>
      <c r="CC479" s="1111"/>
      <c r="CD479" s="1111"/>
      <c r="CE479" s="1111"/>
      <c r="CF479" s="1111"/>
      <c r="CG479" s="1111"/>
      <c r="CH479" s="1111"/>
      <c r="CI479" s="1111"/>
      <c r="CJ479" s="1111"/>
      <c r="CK479" s="1110"/>
    </row>
    <row r="480" spans="1:89" ht="14.4" x14ac:dyDescent="0.3">
      <c r="A480" s="1110"/>
      <c r="B480" s="1110"/>
      <c r="C480" s="1110"/>
      <c r="D480" s="1110"/>
      <c r="E480" s="1110"/>
      <c r="F480" s="1110"/>
      <c r="G480" s="1110"/>
      <c r="H480" s="1110"/>
      <c r="I480" s="1110"/>
      <c r="J480" s="1110"/>
      <c r="K480" s="1110"/>
      <c r="L480" s="1110"/>
      <c r="M480" s="1110"/>
      <c r="N480" s="1110"/>
      <c r="O480" s="1110"/>
      <c r="P480" s="1110"/>
      <c r="Q480" s="1110"/>
      <c r="R480" s="1110"/>
      <c r="S480" s="1110"/>
      <c r="T480" s="1111"/>
      <c r="U480" s="1111"/>
      <c r="V480" s="1111"/>
      <c r="W480" s="1111"/>
      <c r="X480" s="1111"/>
      <c r="Y480" s="1111"/>
      <c r="Z480" s="1111"/>
      <c r="AA480" s="1111"/>
      <c r="AB480" s="1111"/>
      <c r="AC480" s="1111"/>
      <c r="AD480" s="1111"/>
      <c r="AE480" s="1111"/>
      <c r="AF480" s="1111"/>
      <c r="AG480" s="1111"/>
      <c r="AH480" s="1111"/>
      <c r="AI480" s="1111"/>
      <c r="AJ480" s="1111"/>
      <c r="AK480" s="1111"/>
      <c r="AL480" s="1111"/>
      <c r="AM480" s="1111"/>
      <c r="AN480" s="1111"/>
      <c r="AO480" s="1111"/>
      <c r="AP480" s="1111"/>
      <c r="AQ480" s="1111"/>
      <c r="AR480" s="1111"/>
      <c r="AS480" s="1111"/>
      <c r="AT480" s="1111"/>
      <c r="AU480" s="1111"/>
      <c r="AV480" s="1111"/>
      <c r="AW480" s="1111"/>
      <c r="AX480" s="1111"/>
      <c r="AY480" s="1111"/>
      <c r="AZ480" s="1111"/>
      <c r="BA480" s="1111"/>
      <c r="BB480" s="1111"/>
      <c r="BC480" s="1111"/>
      <c r="BD480" s="1111"/>
      <c r="BE480" s="1111"/>
      <c r="BF480" s="1111"/>
      <c r="BG480" s="1111"/>
      <c r="BH480" s="1111"/>
      <c r="BI480" s="1111"/>
      <c r="BJ480" s="1111"/>
      <c r="BK480" s="1111"/>
      <c r="BL480" s="1111"/>
      <c r="BM480" s="1111"/>
      <c r="BN480" s="1111"/>
      <c r="BO480" s="1111"/>
      <c r="BP480" s="1111"/>
      <c r="BQ480" s="1111"/>
      <c r="BR480" s="1111"/>
      <c r="BS480" s="1111"/>
      <c r="BT480" s="1111"/>
      <c r="BU480" s="1111"/>
      <c r="BV480" s="1111"/>
      <c r="BW480" s="1111"/>
      <c r="BX480" s="1111"/>
      <c r="BY480" s="1111"/>
      <c r="BZ480" s="1111"/>
      <c r="CA480" s="1111"/>
      <c r="CB480" s="1111"/>
      <c r="CC480" s="1111"/>
      <c r="CD480" s="1111"/>
      <c r="CE480" s="1111"/>
      <c r="CF480" s="1111"/>
      <c r="CG480" s="1111"/>
      <c r="CH480" s="1111"/>
      <c r="CI480" s="1111"/>
      <c r="CJ480" s="1111"/>
      <c r="CK480" s="1110"/>
    </row>
    <row r="481" spans="1:89" ht="14.4" x14ac:dyDescent="0.3">
      <c r="A481" s="1110"/>
      <c r="B481" s="1110"/>
      <c r="C481" s="1110"/>
      <c r="D481" s="1110"/>
      <c r="E481" s="1110"/>
      <c r="F481" s="1110"/>
      <c r="G481" s="1110"/>
      <c r="H481" s="1110"/>
      <c r="I481" s="1110"/>
      <c r="J481" s="1110"/>
      <c r="K481" s="1110"/>
      <c r="L481" s="1110"/>
      <c r="M481" s="1110"/>
      <c r="N481" s="1110"/>
      <c r="O481" s="1110"/>
      <c r="P481" s="1110"/>
      <c r="Q481" s="1110"/>
      <c r="R481" s="1110"/>
      <c r="S481" s="1110"/>
      <c r="T481" s="1111"/>
      <c r="U481" s="1111"/>
      <c r="V481" s="1111"/>
      <c r="W481" s="1111"/>
      <c r="X481" s="1111"/>
      <c r="Y481" s="1111"/>
      <c r="Z481" s="1111"/>
      <c r="AA481" s="1111"/>
      <c r="AB481" s="1111"/>
      <c r="AC481" s="1111"/>
      <c r="AD481" s="1111"/>
      <c r="AE481" s="1111"/>
      <c r="AF481" s="1111"/>
      <c r="AG481" s="1111"/>
      <c r="AH481" s="1111"/>
      <c r="AI481" s="1111"/>
      <c r="AJ481" s="1111"/>
      <c r="AK481" s="1111"/>
      <c r="AL481" s="1111"/>
      <c r="AM481" s="1111"/>
      <c r="AN481" s="1111"/>
      <c r="AO481" s="1111"/>
      <c r="AP481" s="1111"/>
      <c r="AQ481" s="1111"/>
      <c r="AR481" s="1111"/>
      <c r="AS481" s="1111"/>
      <c r="AT481" s="1111"/>
      <c r="AU481" s="1111"/>
      <c r="AV481" s="1111"/>
      <c r="AW481" s="1111"/>
      <c r="AX481" s="1111"/>
      <c r="AY481" s="1111"/>
      <c r="AZ481" s="1111"/>
      <c r="BA481" s="1111"/>
      <c r="BB481" s="1111"/>
      <c r="BC481" s="1111"/>
      <c r="BD481" s="1111"/>
      <c r="BE481" s="1111"/>
      <c r="BF481" s="1111"/>
      <c r="BG481" s="1111"/>
      <c r="BH481" s="1111"/>
      <c r="BI481" s="1111"/>
      <c r="BJ481" s="1111"/>
      <c r="BK481" s="1111"/>
      <c r="BL481" s="1111"/>
      <c r="BM481" s="1111"/>
      <c r="BN481" s="1111"/>
      <c r="BO481" s="1111"/>
      <c r="BP481" s="1111"/>
      <c r="BQ481" s="1111"/>
      <c r="BR481" s="1111"/>
      <c r="BS481" s="1111"/>
      <c r="BT481" s="1111"/>
      <c r="BU481" s="1111"/>
      <c r="BV481" s="1111"/>
      <c r="BW481" s="1111"/>
      <c r="BX481" s="1111"/>
      <c r="BY481" s="1111"/>
      <c r="BZ481" s="1111"/>
      <c r="CA481" s="1111"/>
      <c r="CB481" s="1111"/>
      <c r="CC481" s="1111"/>
      <c r="CD481" s="1111"/>
      <c r="CE481" s="1111"/>
      <c r="CF481" s="1111"/>
      <c r="CG481" s="1111"/>
      <c r="CH481" s="1111"/>
      <c r="CI481" s="1111"/>
      <c r="CJ481" s="1111"/>
      <c r="CK481" s="1110"/>
    </row>
    <row r="482" spans="1:89" ht="14.4" x14ac:dyDescent="0.3">
      <c r="A482" s="1110"/>
      <c r="B482" s="1110"/>
      <c r="C482" s="1110"/>
      <c r="D482" s="1110"/>
      <c r="E482" s="1110"/>
      <c r="F482" s="1110"/>
      <c r="G482" s="1110"/>
      <c r="H482" s="1110"/>
      <c r="I482" s="1110"/>
      <c r="J482" s="1110"/>
      <c r="K482" s="1110"/>
      <c r="L482" s="1110"/>
      <c r="M482" s="1110"/>
      <c r="N482" s="1110"/>
      <c r="O482" s="1110"/>
      <c r="P482" s="1110"/>
      <c r="Q482" s="1110"/>
      <c r="R482" s="1110"/>
      <c r="S482" s="1110"/>
      <c r="T482" s="1111"/>
      <c r="U482" s="1111"/>
      <c r="V482" s="1111"/>
      <c r="W482" s="1111"/>
      <c r="X482" s="1111"/>
      <c r="Y482" s="1111"/>
      <c r="Z482" s="1111"/>
      <c r="AA482" s="1111"/>
      <c r="AB482" s="1111"/>
      <c r="AC482" s="1111"/>
      <c r="AD482" s="1111"/>
      <c r="AE482" s="1111"/>
      <c r="AF482" s="1111"/>
      <c r="AG482" s="1111"/>
      <c r="AH482" s="1111"/>
      <c r="AI482" s="1111"/>
      <c r="AJ482" s="1111"/>
      <c r="AK482" s="1111"/>
      <c r="AL482" s="1111"/>
      <c r="AM482" s="1111"/>
      <c r="AN482" s="1111"/>
      <c r="AO482" s="1111"/>
      <c r="AP482" s="1111"/>
      <c r="AQ482" s="1111"/>
      <c r="AR482" s="1111"/>
      <c r="AS482" s="1111"/>
      <c r="AT482" s="1111"/>
      <c r="AU482" s="1111"/>
      <c r="AV482" s="1111"/>
      <c r="AW482" s="1111"/>
      <c r="AX482" s="1111"/>
      <c r="AY482" s="1111"/>
      <c r="AZ482" s="1111"/>
      <c r="BA482" s="1111"/>
      <c r="BB482" s="1111"/>
      <c r="BC482" s="1111"/>
      <c r="BD482" s="1111"/>
      <c r="BE482" s="1111"/>
      <c r="BF482" s="1111"/>
      <c r="BG482" s="1111"/>
      <c r="BH482" s="1111"/>
      <c r="BI482" s="1111"/>
      <c r="BJ482" s="1111"/>
      <c r="BK482" s="1111"/>
      <c r="BL482" s="1111"/>
      <c r="BM482" s="1111"/>
      <c r="BN482" s="1111"/>
      <c r="BO482" s="1111"/>
      <c r="BP482" s="1111"/>
      <c r="BQ482" s="1111"/>
      <c r="BR482" s="1111"/>
      <c r="BS482" s="1111"/>
      <c r="BT482" s="1111"/>
      <c r="BU482" s="1111"/>
      <c r="BV482" s="1111"/>
      <c r="BW482" s="1111"/>
      <c r="BX482" s="1111"/>
      <c r="BY482" s="1111"/>
      <c r="BZ482" s="1111"/>
      <c r="CA482" s="1111"/>
      <c r="CB482" s="1111"/>
      <c r="CC482" s="1111"/>
      <c r="CD482" s="1111"/>
      <c r="CE482" s="1111"/>
      <c r="CF482" s="1111"/>
      <c r="CG482" s="1111"/>
      <c r="CH482" s="1111"/>
      <c r="CI482" s="1111"/>
      <c r="CJ482" s="1111"/>
      <c r="CK482" s="1110"/>
    </row>
    <row r="483" spans="1:89" ht="14.4" x14ac:dyDescent="0.3">
      <c r="A483" s="1110"/>
      <c r="B483" s="1110"/>
      <c r="C483" s="1110"/>
      <c r="D483" s="1110"/>
      <c r="E483" s="1110"/>
      <c r="F483" s="1110"/>
      <c r="G483" s="1110"/>
      <c r="H483" s="1110"/>
      <c r="I483" s="1110"/>
      <c r="J483" s="1110"/>
      <c r="K483" s="1110"/>
      <c r="L483" s="1110"/>
      <c r="M483" s="1110"/>
      <c r="N483" s="1110"/>
      <c r="O483" s="1110"/>
      <c r="P483" s="1110"/>
      <c r="Q483" s="1110"/>
      <c r="R483" s="1110"/>
      <c r="S483" s="1110"/>
      <c r="T483" s="1111"/>
      <c r="U483" s="1111"/>
      <c r="V483" s="1111"/>
      <c r="W483" s="1111"/>
      <c r="X483" s="1111"/>
      <c r="Y483" s="1111"/>
      <c r="Z483" s="1111"/>
      <c r="AA483" s="1111"/>
      <c r="AB483" s="1111"/>
      <c r="AC483" s="1111"/>
      <c r="AD483" s="1111"/>
      <c r="AE483" s="1111"/>
      <c r="AF483" s="1111"/>
      <c r="AG483" s="1111"/>
      <c r="AH483" s="1111"/>
      <c r="AI483" s="1111"/>
      <c r="AJ483" s="1111"/>
      <c r="AK483" s="1111"/>
      <c r="AL483" s="1111"/>
      <c r="AM483" s="1111"/>
      <c r="AN483" s="1111"/>
      <c r="AO483" s="1111"/>
      <c r="AP483" s="1111"/>
      <c r="AQ483" s="1111"/>
      <c r="AR483" s="1111"/>
      <c r="AS483" s="1111"/>
      <c r="AT483" s="1111"/>
      <c r="AU483" s="1111"/>
      <c r="AV483" s="1111"/>
      <c r="AW483" s="1111"/>
      <c r="AX483" s="1111"/>
      <c r="AY483" s="1111"/>
      <c r="AZ483" s="1111"/>
      <c r="BA483" s="1111"/>
      <c r="BB483" s="1111"/>
      <c r="BC483" s="1111"/>
      <c r="BD483" s="1111"/>
      <c r="BE483" s="1111"/>
      <c r="BF483" s="1111"/>
      <c r="BG483" s="1111"/>
      <c r="BH483" s="1111"/>
      <c r="BI483" s="1111"/>
      <c r="BJ483" s="1111"/>
      <c r="BK483" s="1111"/>
      <c r="BL483" s="1111"/>
      <c r="BM483" s="1111"/>
      <c r="BN483" s="1111"/>
      <c r="BO483" s="1111"/>
      <c r="BP483" s="1111"/>
      <c r="BQ483" s="1111"/>
      <c r="BR483" s="1111"/>
      <c r="BS483" s="1111"/>
      <c r="BT483" s="1111"/>
      <c r="BU483" s="1111"/>
      <c r="BV483" s="1111"/>
      <c r="BW483" s="1111"/>
      <c r="BX483" s="1111"/>
      <c r="BY483" s="1111"/>
      <c r="BZ483" s="1111"/>
      <c r="CA483" s="1111"/>
      <c r="CB483" s="1111"/>
      <c r="CC483" s="1111"/>
      <c r="CD483" s="1111"/>
      <c r="CE483" s="1111"/>
      <c r="CF483" s="1111"/>
      <c r="CG483" s="1111"/>
      <c r="CH483" s="1111"/>
      <c r="CI483" s="1111"/>
      <c r="CJ483" s="1111"/>
      <c r="CK483" s="1110"/>
    </row>
    <row r="484" spans="1:89" ht="14.4" x14ac:dyDescent="0.3">
      <c r="A484" s="1110"/>
      <c r="B484" s="1110"/>
      <c r="C484" s="1110"/>
      <c r="D484" s="1110"/>
      <c r="E484" s="1110"/>
      <c r="F484" s="1110"/>
      <c r="G484" s="1110"/>
      <c r="H484" s="1110"/>
      <c r="I484" s="1110"/>
      <c r="J484" s="1110"/>
      <c r="K484" s="1110"/>
      <c r="L484" s="1110"/>
      <c r="M484" s="1110"/>
      <c r="N484" s="1110"/>
      <c r="O484" s="1110"/>
      <c r="P484" s="1110"/>
      <c r="Q484" s="1110"/>
      <c r="R484" s="1110"/>
      <c r="S484" s="1110"/>
      <c r="T484" s="1111"/>
      <c r="U484" s="1111"/>
      <c r="V484" s="1111"/>
      <c r="W484" s="1111"/>
      <c r="X484" s="1111"/>
      <c r="Y484" s="1111"/>
      <c r="Z484" s="1111"/>
      <c r="AA484" s="1111"/>
      <c r="AB484" s="1111"/>
      <c r="AC484" s="1111"/>
      <c r="AD484" s="1111"/>
      <c r="AE484" s="1111"/>
      <c r="AF484" s="1111"/>
      <c r="AG484" s="1111"/>
      <c r="AH484" s="1111"/>
      <c r="AI484" s="1111"/>
      <c r="AJ484" s="1111"/>
      <c r="AK484" s="1111"/>
      <c r="AL484" s="1111"/>
      <c r="AM484" s="1111"/>
      <c r="AN484" s="1111"/>
      <c r="AO484" s="1111"/>
      <c r="AP484" s="1111"/>
      <c r="AQ484" s="1111"/>
      <c r="AR484" s="1111"/>
      <c r="AS484" s="1111"/>
      <c r="AT484" s="1111"/>
      <c r="AU484" s="1111"/>
      <c r="AV484" s="1111"/>
      <c r="AW484" s="1111"/>
      <c r="AX484" s="1111"/>
      <c r="AY484" s="1111"/>
      <c r="AZ484" s="1111"/>
      <c r="BA484" s="1111"/>
      <c r="BB484" s="1111"/>
      <c r="BC484" s="1111"/>
      <c r="BD484" s="1111"/>
      <c r="BE484" s="1111"/>
      <c r="BF484" s="1111"/>
      <c r="BG484" s="1111"/>
      <c r="BH484" s="1111"/>
      <c r="BI484" s="1111"/>
      <c r="BJ484" s="1111"/>
      <c r="BK484" s="1111"/>
      <c r="BL484" s="1111"/>
      <c r="BM484" s="1111"/>
      <c r="BN484" s="1111"/>
      <c r="BO484" s="1111"/>
      <c r="BP484" s="1111"/>
      <c r="BQ484" s="1111"/>
      <c r="BR484" s="1111"/>
      <c r="BS484" s="1111"/>
      <c r="BT484" s="1111"/>
      <c r="BU484" s="1111"/>
      <c r="BV484" s="1111"/>
      <c r="BW484" s="1111"/>
      <c r="BX484" s="1111"/>
      <c r="BY484" s="1111"/>
      <c r="BZ484" s="1111"/>
      <c r="CA484" s="1111"/>
      <c r="CB484" s="1111"/>
      <c r="CC484" s="1111"/>
      <c r="CD484" s="1111"/>
      <c r="CE484" s="1111"/>
      <c r="CF484" s="1111"/>
      <c r="CG484" s="1111"/>
      <c r="CH484" s="1111"/>
      <c r="CI484" s="1111"/>
      <c r="CJ484" s="1111"/>
      <c r="CK484" s="1110"/>
    </row>
    <row r="485" spans="1:89" ht="14.4" x14ac:dyDescent="0.3">
      <c r="A485" s="1110"/>
      <c r="B485" s="1110"/>
      <c r="C485" s="1110"/>
      <c r="D485" s="1110"/>
      <c r="E485" s="1110"/>
      <c r="F485" s="1110"/>
      <c r="G485" s="1110"/>
      <c r="H485" s="1110"/>
      <c r="I485" s="1110"/>
      <c r="J485" s="1110"/>
      <c r="K485" s="1110"/>
      <c r="L485" s="1110"/>
      <c r="M485" s="1110"/>
      <c r="N485" s="1110"/>
      <c r="O485" s="1110"/>
      <c r="P485" s="1110"/>
      <c r="Q485" s="1110"/>
      <c r="R485" s="1110"/>
      <c r="S485" s="1110"/>
      <c r="T485" s="1110"/>
      <c r="U485" s="1110"/>
      <c r="V485" s="1110"/>
      <c r="W485" s="1110"/>
      <c r="X485" s="1110"/>
      <c r="Y485" s="1110"/>
      <c r="Z485" s="1110"/>
      <c r="AA485" s="1110"/>
      <c r="AB485" s="1110"/>
      <c r="AC485" s="1110"/>
      <c r="AD485" s="1110"/>
      <c r="AE485" s="1110"/>
      <c r="AF485" s="1110"/>
      <c r="AG485" s="1110"/>
      <c r="AH485" s="1110"/>
      <c r="AI485" s="1110"/>
      <c r="AJ485" s="1110"/>
      <c r="AK485" s="1110"/>
      <c r="AL485" s="1110"/>
      <c r="AM485" s="1110"/>
      <c r="AN485" s="1110"/>
      <c r="AO485" s="1110"/>
      <c r="AP485" s="1110"/>
      <c r="AQ485" s="1110"/>
      <c r="AR485" s="1110"/>
      <c r="AS485" s="1110"/>
      <c r="AT485" s="1110"/>
      <c r="AU485" s="1110"/>
      <c r="AV485" s="1110"/>
      <c r="AW485" s="1110"/>
      <c r="AX485" s="1110"/>
      <c r="AY485" s="1110"/>
      <c r="AZ485" s="1110"/>
      <c r="BA485" s="1110"/>
      <c r="BB485" s="1110"/>
      <c r="BC485" s="1110"/>
      <c r="BD485" s="1110"/>
      <c r="BE485" s="1110"/>
      <c r="BF485" s="1110"/>
      <c r="BG485" s="1110"/>
      <c r="BH485" s="1110"/>
      <c r="BI485" s="1110"/>
      <c r="BJ485" s="1110"/>
      <c r="BK485" s="1110"/>
      <c r="BL485" s="1110"/>
      <c r="BM485" s="1110"/>
      <c r="BN485" s="1110"/>
      <c r="BO485" s="1110"/>
      <c r="BP485" s="1110"/>
      <c r="BQ485" s="1110"/>
      <c r="BR485" s="1110"/>
      <c r="BS485" s="1110"/>
      <c r="BT485" s="1110"/>
      <c r="BU485" s="1110"/>
      <c r="BV485" s="1110"/>
      <c r="BW485" s="1110"/>
      <c r="BX485" s="1110"/>
      <c r="BY485" s="1110"/>
      <c r="BZ485" s="1110"/>
      <c r="CA485" s="1110"/>
      <c r="CB485" s="1110"/>
      <c r="CC485" s="1110"/>
      <c r="CD485" s="1110"/>
      <c r="CE485" s="1110"/>
      <c r="CF485" s="1110"/>
      <c r="CG485" s="1110"/>
      <c r="CH485" s="1110"/>
      <c r="CI485" s="1110"/>
      <c r="CJ485" s="1110"/>
      <c r="CK485" s="1110"/>
    </row>
  </sheetData>
  <mergeCells count="2">
    <mergeCell ref="A1:B1"/>
    <mergeCell ref="E1:G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82F65-26AA-4EF4-B9E5-B72339EDA7BC}">
  <sheetPr>
    <tabColor theme="4" tint="0.59999389629810485"/>
  </sheetPr>
  <dimension ref="A2:BX191"/>
  <sheetViews>
    <sheetView zoomScale="50" zoomScaleNormal="50" workbookViewId="0">
      <selection activeCell="B26" sqref="B26"/>
    </sheetView>
  </sheetViews>
  <sheetFormatPr defaultColWidth="11.59765625" defaultRowHeight="21.9" customHeight="1" x14ac:dyDescent="0.25"/>
  <cols>
    <col min="1" max="1" width="3.3984375" customWidth="1"/>
    <col min="2" max="2" width="14.19921875" customWidth="1"/>
    <col min="3" max="3" width="14.5" customWidth="1"/>
    <col min="4" max="4" width="16.59765625" bestFit="1" customWidth="1"/>
    <col min="5" max="5" width="16.09765625" bestFit="1" customWidth="1"/>
    <col min="6" max="13" width="11.69921875" style="2" customWidth="1"/>
    <col min="14" max="14" width="12.69921875" style="2" customWidth="1"/>
    <col min="15" max="17" width="11.69921875" style="2" customWidth="1"/>
    <col min="18" max="18" width="16.3984375" style="2" customWidth="1"/>
    <col min="19" max="20" width="11.69921875" customWidth="1"/>
    <col min="21" max="21" width="13.5" customWidth="1"/>
    <col min="22" max="23" width="11.69921875" customWidth="1"/>
    <col min="24" max="24" width="13" customWidth="1"/>
    <col min="25" max="25" width="13.5" customWidth="1"/>
    <col min="26" max="26" width="14.69921875" customWidth="1"/>
    <col min="27" max="27" width="14.3984375" bestFit="1" customWidth="1"/>
    <col min="28" max="28" width="14.69921875" bestFit="1" customWidth="1"/>
    <col min="30" max="31" width="14.69921875" bestFit="1" customWidth="1"/>
    <col min="32" max="32" width="13.5" bestFit="1" customWidth="1"/>
    <col min="33" max="33" width="14.69921875" bestFit="1" customWidth="1"/>
    <col min="35" max="35" width="14.69921875" customWidth="1"/>
  </cols>
  <sheetData>
    <row r="2" spans="2:22" ht="22.8" x14ac:dyDescent="0.25">
      <c r="B2" s="371" t="s">
        <v>149</v>
      </c>
      <c r="C2" s="10"/>
      <c r="D2" s="10"/>
      <c r="E2" s="10"/>
    </row>
    <row r="3" spans="2:22" ht="21.9" customHeight="1" x14ac:dyDescent="0.25">
      <c r="B3" t="s">
        <v>675</v>
      </c>
      <c r="F3"/>
      <c r="G3"/>
      <c r="H3"/>
      <c r="I3"/>
      <c r="J3"/>
      <c r="K3"/>
      <c r="L3"/>
      <c r="M3"/>
      <c r="N3"/>
      <c r="O3"/>
      <c r="P3"/>
      <c r="Q3"/>
    </row>
    <row r="4" spans="2:22" ht="21.9" customHeight="1" x14ac:dyDescent="0.25">
      <c r="I4" s="495"/>
      <c r="J4" s="495"/>
    </row>
    <row r="5" spans="2:22" ht="21.9" customHeight="1" x14ac:dyDescent="0.25">
      <c r="J5" s="538" t="s">
        <v>150</v>
      </c>
      <c r="K5" s="31"/>
      <c r="L5" s="31"/>
      <c r="M5" s="31"/>
      <c r="N5" s="31"/>
      <c r="Q5"/>
      <c r="S5" s="2"/>
      <c r="T5" s="2"/>
      <c r="U5" s="2"/>
      <c r="V5" s="2"/>
    </row>
    <row r="6" spans="2:22" ht="21.9" customHeight="1" x14ac:dyDescent="0.25">
      <c r="J6" s="9" t="s">
        <v>151</v>
      </c>
      <c r="K6"/>
      <c r="L6"/>
      <c r="M6"/>
      <c r="Q6"/>
      <c r="R6"/>
    </row>
    <row r="7" spans="2:22" ht="21.9" customHeight="1" x14ac:dyDescent="0.25">
      <c r="J7" s="9" t="s">
        <v>152</v>
      </c>
      <c r="K7"/>
      <c r="L7"/>
      <c r="M7"/>
      <c r="Q7"/>
      <c r="R7"/>
    </row>
    <row r="8" spans="2:22" ht="21.9" customHeight="1" x14ac:dyDescent="0.25">
      <c r="J8"/>
      <c r="K8"/>
      <c r="L8"/>
      <c r="M8"/>
      <c r="Q8"/>
      <c r="R8"/>
    </row>
    <row r="9" spans="2:22" ht="21.9" customHeight="1" x14ac:dyDescent="0.25">
      <c r="J9"/>
      <c r="K9"/>
      <c r="L9"/>
      <c r="M9"/>
      <c r="Q9"/>
      <c r="R9"/>
    </row>
    <row r="10" spans="2:22" ht="21.9" customHeight="1" x14ac:dyDescent="0.25">
      <c r="J10"/>
      <c r="K10"/>
      <c r="L10"/>
      <c r="M10"/>
      <c r="Q10"/>
      <c r="R10"/>
    </row>
    <row r="11" spans="2:22" ht="21.9" customHeight="1" x14ac:dyDescent="0.25">
      <c r="J11"/>
      <c r="K11"/>
      <c r="L11"/>
      <c r="M11"/>
      <c r="R11"/>
    </row>
    <row r="12" spans="2:22" ht="21.9" customHeight="1" x14ac:dyDescent="0.25">
      <c r="J12"/>
      <c r="K12"/>
      <c r="L12"/>
      <c r="M12"/>
      <c r="R12"/>
    </row>
    <row r="13" spans="2:22" ht="21.9" customHeight="1" x14ac:dyDescent="0.25">
      <c r="J13"/>
      <c r="K13"/>
      <c r="L13"/>
      <c r="M13"/>
    </row>
    <row r="16" spans="2:22" ht="21.9" customHeight="1" x14ac:dyDescent="0.25">
      <c r="K16" s="347" t="s">
        <v>364</v>
      </c>
      <c r="L16" s="347"/>
      <c r="M16" s="348"/>
      <c r="N16" s="348" t="s">
        <v>661</v>
      </c>
      <c r="O16" s="348" t="s">
        <v>586</v>
      </c>
    </row>
    <row r="17" spans="2:32" ht="21.9" customHeight="1" x14ac:dyDescent="0.25">
      <c r="K17" s="347" t="s">
        <v>127</v>
      </c>
      <c r="L17" s="347" t="s">
        <v>365</v>
      </c>
      <c r="M17" s="347" t="s">
        <v>366</v>
      </c>
      <c r="N17" s="347" t="s">
        <v>368</v>
      </c>
      <c r="O17" s="347" t="s">
        <v>368</v>
      </c>
      <c r="Z17" s="345"/>
      <c r="AA17" s="345"/>
      <c r="AB17" s="345"/>
      <c r="AC17" s="345"/>
    </row>
    <row r="18" spans="2:32" ht="21.9" customHeight="1" x14ac:dyDescent="0.25">
      <c r="K18" s="347">
        <v>75</v>
      </c>
      <c r="L18" s="347">
        <v>2400</v>
      </c>
      <c r="M18" s="347" t="s">
        <v>367</v>
      </c>
      <c r="N18" s="347" t="s">
        <v>367</v>
      </c>
      <c r="O18" s="347" t="s">
        <v>367</v>
      </c>
      <c r="AC18" s="7"/>
    </row>
    <row r="19" spans="2:32" ht="21.9" customHeight="1" x14ac:dyDescent="0.25">
      <c r="K19" s="347">
        <v>70</v>
      </c>
      <c r="L19" s="347">
        <v>2400</v>
      </c>
      <c r="M19" s="347">
        <v>2300</v>
      </c>
      <c r="N19" s="347" t="s">
        <v>367</v>
      </c>
      <c r="O19" s="347" t="s">
        <v>367</v>
      </c>
    </row>
    <row r="20" spans="2:32" ht="21.9" customHeight="1" x14ac:dyDescent="0.25">
      <c r="K20" s="347">
        <v>65</v>
      </c>
      <c r="L20" s="347">
        <v>2350</v>
      </c>
      <c r="M20" s="347">
        <v>2300</v>
      </c>
      <c r="N20" s="347">
        <f>$G$32</f>
        <v>800</v>
      </c>
      <c r="O20" s="347">
        <f>$G$32</f>
        <v>800</v>
      </c>
    </row>
    <row r="21" spans="2:32" ht="21.9" customHeight="1" x14ac:dyDescent="0.25">
      <c r="K21" s="347">
        <v>60</v>
      </c>
      <c r="L21" s="347">
        <v>2300</v>
      </c>
      <c r="M21" s="347">
        <v>2200</v>
      </c>
      <c r="N21" s="347">
        <f t="shared" ref="N21:O30" si="0">$G$32</f>
        <v>800</v>
      </c>
      <c r="O21" s="347">
        <f t="shared" si="0"/>
        <v>800</v>
      </c>
    </row>
    <row r="22" spans="2:32" ht="21.9" customHeight="1" x14ac:dyDescent="0.25">
      <c r="K22" s="347">
        <v>55</v>
      </c>
      <c r="L22" s="347">
        <v>2250</v>
      </c>
      <c r="M22" s="347">
        <v>2100</v>
      </c>
      <c r="N22" s="347">
        <f t="shared" si="0"/>
        <v>800</v>
      </c>
      <c r="O22" s="347">
        <f t="shared" si="0"/>
        <v>800</v>
      </c>
      <c r="AF22" s="1"/>
    </row>
    <row r="23" spans="2:32" ht="21.9" customHeight="1" x14ac:dyDescent="0.25">
      <c r="K23" s="347">
        <v>50</v>
      </c>
      <c r="L23" s="347" t="s">
        <v>367</v>
      </c>
      <c r="M23" s="347">
        <v>2000</v>
      </c>
      <c r="N23" s="347">
        <f t="shared" si="0"/>
        <v>800</v>
      </c>
      <c r="O23" s="347">
        <f t="shared" si="0"/>
        <v>800</v>
      </c>
    </row>
    <row r="24" spans="2:32" ht="21.9" customHeight="1" x14ac:dyDescent="0.25">
      <c r="K24" s="347">
        <v>45</v>
      </c>
      <c r="L24" s="347" t="s">
        <v>367</v>
      </c>
      <c r="M24" s="347">
        <v>1900</v>
      </c>
      <c r="N24" s="347">
        <f t="shared" si="0"/>
        <v>800</v>
      </c>
      <c r="O24" s="347">
        <f t="shared" si="0"/>
        <v>800</v>
      </c>
    </row>
    <row r="25" spans="2:32" ht="21.9" customHeight="1" x14ac:dyDescent="0.25">
      <c r="K25" s="347">
        <v>40</v>
      </c>
      <c r="L25" s="347" t="s">
        <v>367</v>
      </c>
      <c r="M25" s="347">
        <v>1850</v>
      </c>
      <c r="N25" s="347">
        <f t="shared" si="0"/>
        <v>800</v>
      </c>
      <c r="O25" s="347">
        <f t="shared" si="0"/>
        <v>800</v>
      </c>
    </row>
    <row r="26" spans="2:32" ht="21.9" customHeight="1" x14ac:dyDescent="0.25">
      <c r="B26" s="538"/>
      <c r="C26" s="31"/>
      <c r="D26" s="31"/>
      <c r="E26" s="31"/>
      <c r="F26" s="31"/>
      <c r="G26" s="31"/>
      <c r="H26" s="31"/>
      <c r="I26" s="31"/>
      <c r="J26" s="31"/>
      <c r="K26" s="347">
        <v>35</v>
      </c>
      <c r="L26" s="347" t="s">
        <v>367</v>
      </c>
      <c r="M26" s="347">
        <v>1800</v>
      </c>
      <c r="N26" s="347">
        <f t="shared" si="0"/>
        <v>800</v>
      </c>
      <c r="O26" s="347">
        <f t="shared" si="0"/>
        <v>800</v>
      </c>
    </row>
    <row r="27" spans="2:32" ht="21.9" customHeight="1" x14ac:dyDescent="0.25">
      <c r="B27" s="9"/>
      <c r="K27" s="347">
        <v>30</v>
      </c>
      <c r="L27" s="347" t="s">
        <v>367</v>
      </c>
      <c r="M27" s="347">
        <v>1750</v>
      </c>
      <c r="N27" s="347">
        <f t="shared" si="0"/>
        <v>800</v>
      </c>
      <c r="O27" s="347">
        <f t="shared" si="0"/>
        <v>800</v>
      </c>
    </row>
    <row r="28" spans="2:32" ht="21.9" customHeight="1" x14ac:dyDescent="0.25">
      <c r="B28" s="9"/>
      <c r="K28" s="347">
        <v>25</v>
      </c>
      <c r="L28" s="347" t="s">
        <v>367</v>
      </c>
      <c r="M28" s="347">
        <v>1700</v>
      </c>
      <c r="N28" s="347">
        <f t="shared" si="0"/>
        <v>800</v>
      </c>
      <c r="O28" s="347">
        <f t="shared" si="0"/>
        <v>800</v>
      </c>
    </row>
    <row r="29" spans="2:32" ht="21.9" customHeight="1" x14ac:dyDescent="0.25">
      <c r="C29" s="1421" t="s">
        <v>667</v>
      </c>
      <c r="D29" s="1422"/>
      <c r="E29" s="1191" t="s">
        <v>419</v>
      </c>
      <c r="F29" s="1191" t="s">
        <v>423</v>
      </c>
      <c r="G29" s="1191" t="s">
        <v>666</v>
      </c>
      <c r="K29" s="347">
        <v>20</v>
      </c>
      <c r="L29" s="347" t="s">
        <v>367</v>
      </c>
      <c r="M29" s="347">
        <v>1650</v>
      </c>
      <c r="N29" s="347">
        <f t="shared" si="0"/>
        <v>800</v>
      </c>
      <c r="O29" s="347">
        <f t="shared" si="0"/>
        <v>800</v>
      </c>
    </row>
    <row r="30" spans="2:32" ht="21.9" customHeight="1" x14ac:dyDescent="0.25">
      <c r="C30" s="1320" t="s">
        <v>663</v>
      </c>
      <c r="D30" s="1322"/>
      <c r="E30" s="1192">
        <v>0.2</v>
      </c>
      <c r="F30" s="1081">
        <v>10</v>
      </c>
      <c r="G30" s="1081" t="s">
        <v>668</v>
      </c>
      <c r="K30" s="347">
        <v>15</v>
      </c>
      <c r="L30" s="347" t="s">
        <v>367</v>
      </c>
      <c r="M30" s="347">
        <v>1600</v>
      </c>
      <c r="N30" s="347">
        <f t="shared" si="0"/>
        <v>800</v>
      </c>
      <c r="O30" s="347">
        <f t="shared" si="0"/>
        <v>800</v>
      </c>
      <c r="AD30" s="275"/>
    </row>
    <row r="31" spans="2:32" ht="21.9" customHeight="1" x14ac:dyDescent="0.25">
      <c r="C31" s="1320" t="s">
        <v>664</v>
      </c>
      <c r="D31" s="1322"/>
      <c r="E31" s="1192">
        <v>0.2</v>
      </c>
      <c r="F31" s="1081">
        <v>10</v>
      </c>
      <c r="G31" s="1081" t="s">
        <v>668</v>
      </c>
      <c r="I31"/>
      <c r="K31" s="9" t="s">
        <v>662</v>
      </c>
      <c r="R31"/>
    </row>
    <row r="32" spans="2:32" ht="21.9" customHeight="1" x14ac:dyDescent="0.25">
      <c r="C32" s="1320" t="s">
        <v>670</v>
      </c>
      <c r="D32" s="1322"/>
      <c r="E32" s="1081">
        <v>0.05</v>
      </c>
      <c r="F32" s="1081">
        <v>10</v>
      </c>
      <c r="G32" s="1081">
        <v>800</v>
      </c>
      <c r="R32"/>
    </row>
    <row r="33" spans="1:21" ht="21.9" customHeight="1" x14ac:dyDescent="0.25">
      <c r="C33" s="1320" t="s">
        <v>665</v>
      </c>
      <c r="D33" s="1322"/>
      <c r="E33" s="1081">
        <v>0.55000000000000004</v>
      </c>
      <c r="F33" s="1081">
        <v>8</v>
      </c>
      <c r="G33" s="1081">
        <v>1600</v>
      </c>
      <c r="R33" s="73"/>
    </row>
    <row r="34" spans="1:21" ht="21.9" customHeight="1" x14ac:dyDescent="0.25">
      <c r="C34" t="s">
        <v>669</v>
      </c>
    </row>
    <row r="35" spans="1:21" ht="21.9" customHeight="1" thickBot="1" x14ac:dyDescent="0.3">
      <c r="C35" t="s">
        <v>671</v>
      </c>
    </row>
    <row r="36" spans="1:21" ht="21.9" customHeight="1" x14ac:dyDescent="0.25">
      <c r="A36" s="1193"/>
      <c r="B36" s="1194"/>
      <c r="C36" s="1194"/>
      <c r="D36" s="1194"/>
      <c r="E36" s="1194"/>
      <c r="F36" s="1195"/>
      <c r="G36" s="1195"/>
      <c r="H36" s="1195"/>
      <c r="I36" s="1195"/>
      <c r="J36" s="1195"/>
      <c r="K36" s="1195"/>
      <c r="L36" s="1195"/>
      <c r="M36" s="1195"/>
      <c r="N36" s="1195"/>
      <c r="O36" s="1195"/>
      <c r="P36" s="1195"/>
      <c r="Q36" s="1195"/>
      <c r="R36" s="1195"/>
      <c r="S36" s="1194"/>
      <c r="T36" s="1194"/>
      <c r="U36" s="1196"/>
    </row>
    <row r="37" spans="1:21" ht="21.9" customHeight="1" x14ac:dyDescent="0.25">
      <c r="A37" s="1429" t="s">
        <v>672</v>
      </c>
      <c r="B37" s="1430"/>
      <c r="U37" s="206"/>
    </row>
    <row r="38" spans="1:21" ht="21.9" customHeight="1" x14ac:dyDescent="0.25">
      <c r="A38" s="1429"/>
      <c r="B38" s="1430"/>
      <c r="U38" s="206"/>
    </row>
    <row r="39" spans="1:21" ht="21.9" customHeight="1" x14ac:dyDescent="0.25">
      <c r="A39" s="1429"/>
      <c r="B39" s="1430"/>
      <c r="U39" s="206"/>
    </row>
    <row r="40" spans="1:21" ht="21.9" customHeight="1" x14ac:dyDescent="0.25">
      <c r="A40" s="1429"/>
      <c r="B40" s="1430"/>
      <c r="U40" s="206"/>
    </row>
    <row r="41" spans="1:21" ht="21.9" customHeight="1" x14ac:dyDescent="0.25">
      <c r="A41" s="1429"/>
      <c r="B41" s="1430"/>
      <c r="U41" s="206"/>
    </row>
    <row r="42" spans="1:21" ht="21.9" customHeight="1" x14ac:dyDescent="0.25">
      <c r="A42" s="1429"/>
      <c r="B42" s="1430"/>
      <c r="U42" s="206"/>
    </row>
    <row r="43" spans="1:21" ht="21.9" customHeight="1" x14ac:dyDescent="0.25">
      <c r="A43" s="1429"/>
      <c r="B43" s="1430"/>
      <c r="U43" s="206"/>
    </row>
    <row r="44" spans="1:21" ht="21.9" customHeight="1" x14ac:dyDescent="0.25">
      <c r="A44" s="1429"/>
      <c r="B44" s="1430"/>
      <c r="U44" s="206"/>
    </row>
    <row r="45" spans="1:21" ht="21.9" customHeight="1" x14ac:dyDescent="0.25">
      <c r="A45" s="1429"/>
      <c r="B45" s="1430"/>
      <c r="U45" s="206"/>
    </row>
    <row r="46" spans="1:21" ht="21.9" customHeight="1" x14ac:dyDescent="0.25">
      <c r="A46" s="194"/>
      <c r="U46" s="206"/>
    </row>
    <row r="47" spans="1:21" ht="21.9" customHeight="1" x14ac:dyDescent="0.25">
      <c r="A47" s="194"/>
      <c r="U47" s="206"/>
    </row>
    <row r="48" spans="1:21" ht="21.9" customHeight="1" thickBot="1" x14ac:dyDescent="0.3">
      <c r="A48" s="198"/>
      <c r="B48" s="199"/>
      <c r="C48" s="199"/>
      <c r="D48" s="199"/>
      <c r="E48" s="199"/>
      <c r="F48" s="1197"/>
      <c r="G48" s="1197"/>
      <c r="H48" s="1197"/>
      <c r="I48" s="1197"/>
      <c r="J48" s="1197"/>
      <c r="K48" s="1197"/>
      <c r="L48" s="1197"/>
      <c r="M48" s="1197"/>
      <c r="N48" s="1197"/>
      <c r="O48" s="1197"/>
      <c r="P48" s="1197"/>
      <c r="Q48" s="1197"/>
      <c r="R48" s="1197"/>
      <c r="S48" s="199"/>
      <c r="T48" s="199"/>
      <c r="U48" s="207"/>
    </row>
    <row r="49" spans="1:21" ht="21.9" customHeight="1" x14ac:dyDescent="0.25">
      <c r="A49" s="1193"/>
      <c r="B49" s="1194"/>
      <c r="C49" s="1194"/>
      <c r="D49" s="1194"/>
      <c r="E49" s="1194"/>
      <c r="F49" s="1195"/>
      <c r="G49" s="1195"/>
      <c r="H49" s="1195"/>
      <c r="I49" s="1195"/>
      <c r="J49" s="1195"/>
      <c r="K49" s="1195"/>
      <c r="L49" s="1195"/>
      <c r="M49" s="1195"/>
      <c r="N49" s="1195"/>
      <c r="O49" s="1195"/>
      <c r="P49" s="1195"/>
      <c r="Q49" s="1195"/>
      <c r="R49" s="1195"/>
      <c r="S49" s="1194"/>
      <c r="T49" s="1194"/>
      <c r="U49" s="1196"/>
    </row>
    <row r="50" spans="1:21" ht="21.9" customHeight="1" x14ac:dyDescent="0.25">
      <c r="A50" s="194"/>
      <c r="U50" s="206"/>
    </row>
    <row r="51" spans="1:21" ht="21.9" customHeight="1" x14ac:dyDescent="0.25">
      <c r="A51" s="194"/>
      <c r="U51" s="206"/>
    </row>
    <row r="52" spans="1:21" ht="21.9" customHeight="1" x14ac:dyDescent="0.25">
      <c r="A52" s="194"/>
      <c r="U52" s="206"/>
    </row>
    <row r="53" spans="1:21" ht="21.9" customHeight="1" x14ac:dyDescent="0.25">
      <c r="A53" s="194"/>
      <c r="B53" s="1420" t="s">
        <v>673</v>
      </c>
      <c r="C53" s="1420"/>
      <c r="U53" s="206"/>
    </row>
    <row r="54" spans="1:21" ht="21.9" customHeight="1" x14ac:dyDescent="0.25">
      <c r="A54" s="194"/>
      <c r="B54" s="1420"/>
      <c r="C54" s="1420"/>
      <c r="U54" s="206"/>
    </row>
    <row r="55" spans="1:21" ht="21.9" customHeight="1" x14ac:dyDescent="0.25">
      <c r="A55" s="194"/>
      <c r="B55" s="1420"/>
      <c r="C55" s="1420"/>
      <c r="U55" s="206"/>
    </row>
    <row r="56" spans="1:21" ht="21.9" customHeight="1" x14ac:dyDescent="0.25">
      <c r="A56" s="194"/>
      <c r="B56" s="1420"/>
      <c r="C56" s="1420"/>
      <c r="U56" s="206"/>
    </row>
    <row r="57" spans="1:21" ht="21.9" customHeight="1" x14ac:dyDescent="0.25">
      <c r="A57" s="194"/>
      <c r="U57" s="206"/>
    </row>
    <row r="58" spans="1:21" ht="21.9" customHeight="1" x14ac:dyDescent="0.25">
      <c r="A58" s="194"/>
      <c r="U58" s="206"/>
    </row>
    <row r="59" spans="1:21" ht="21.9" customHeight="1" x14ac:dyDescent="0.25">
      <c r="A59" s="194"/>
      <c r="U59" s="206"/>
    </row>
    <row r="60" spans="1:21" ht="21.9" customHeight="1" x14ac:dyDescent="0.25">
      <c r="A60" s="194"/>
      <c r="U60" s="206"/>
    </row>
    <row r="61" spans="1:21" ht="21.9" customHeight="1" x14ac:dyDescent="0.25">
      <c r="A61" s="194"/>
      <c r="U61" s="206"/>
    </row>
    <row r="62" spans="1:21" ht="21.9" customHeight="1" x14ac:dyDescent="0.25">
      <c r="A62" s="194"/>
      <c r="U62" s="206"/>
    </row>
    <row r="63" spans="1:21" ht="21.9" customHeight="1" x14ac:dyDescent="0.25">
      <c r="A63" s="194"/>
      <c r="U63" s="206"/>
    </row>
    <row r="64" spans="1:21" ht="21.9" customHeight="1" x14ac:dyDescent="0.25">
      <c r="A64" s="194"/>
      <c r="U64" s="206"/>
    </row>
    <row r="65" spans="1:21" ht="21.9" customHeight="1" x14ac:dyDescent="0.25">
      <c r="A65" s="194"/>
      <c r="U65" s="206"/>
    </row>
    <row r="66" spans="1:21" ht="21.9" customHeight="1" x14ac:dyDescent="0.25">
      <c r="A66" s="194"/>
      <c r="U66" s="206"/>
    </row>
    <row r="67" spans="1:21" ht="21.9" customHeight="1" thickBot="1" x14ac:dyDescent="0.3">
      <c r="A67" s="198"/>
      <c r="B67" s="199"/>
      <c r="C67" s="199"/>
      <c r="D67" s="199"/>
      <c r="E67" s="199"/>
      <c r="F67" s="1197"/>
      <c r="G67" s="1197"/>
      <c r="H67" s="1197"/>
      <c r="I67" s="1197"/>
      <c r="J67" s="1197"/>
      <c r="K67" s="1197"/>
      <c r="L67" s="1197"/>
      <c r="M67" s="1197"/>
      <c r="N67" s="1197"/>
      <c r="O67" s="1197"/>
      <c r="P67" s="1197"/>
      <c r="Q67" s="1197"/>
      <c r="R67" s="1197"/>
      <c r="S67" s="199"/>
      <c r="T67" s="199"/>
      <c r="U67" s="207"/>
    </row>
    <row r="68" spans="1:21" ht="21.9" customHeight="1" x14ac:dyDescent="0.25">
      <c r="A68" s="1193"/>
      <c r="B68" s="1194"/>
      <c r="C68" s="1194"/>
      <c r="D68" s="1194"/>
      <c r="E68" s="1194"/>
      <c r="F68" s="1195"/>
      <c r="G68" s="1195"/>
      <c r="H68" s="1195"/>
      <c r="I68" s="1195"/>
      <c r="J68" s="1195"/>
      <c r="K68" s="1195"/>
      <c r="L68" s="1195"/>
      <c r="M68" s="1195"/>
      <c r="N68" s="1195"/>
      <c r="O68" s="1195"/>
      <c r="P68" s="1195"/>
      <c r="Q68" s="1195"/>
      <c r="R68" s="1195"/>
      <c r="S68" s="1194"/>
      <c r="T68" s="1194"/>
      <c r="U68" s="1196"/>
    </row>
    <row r="69" spans="1:21" ht="21.9" customHeight="1" x14ac:dyDescent="0.25">
      <c r="A69" s="194"/>
      <c r="U69" s="206"/>
    </row>
    <row r="70" spans="1:21" ht="21.9" customHeight="1" x14ac:dyDescent="0.25">
      <c r="A70" s="194"/>
      <c r="U70" s="206"/>
    </row>
    <row r="71" spans="1:21" ht="21.9" customHeight="1" x14ac:dyDescent="0.25">
      <c r="A71" s="194"/>
      <c r="U71" s="206"/>
    </row>
    <row r="72" spans="1:21" ht="21.9" customHeight="1" x14ac:dyDescent="0.25">
      <c r="A72" s="194"/>
      <c r="U72" s="206"/>
    </row>
    <row r="73" spans="1:21" ht="21.9" customHeight="1" x14ac:dyDescent="0.25">
      <c r="A73" s="194"/>
      <c r="B73" s="1198" t="s">
        <v>674</v>
      </c>
      <c r="U73" s="206"/>
    </row>
    <row r="74" spans="1:21" ht="21.9" customHeight="1" x14ac:dyDescent="0.25">
      <c r="A74" s="194"/>
      <c r="U74" s="206"/>
    </row>
    <row r="75" spans="1:21" ht="21.9" customHeight="1" x14ac:dyDescent="0.25">
      <c r="A75" s="194"/>
      <c r="U75" s="206"/>
    </row>
    <row r="76" spans="1:21" ht="21.9" customHeight="1" x14ac:dyDescent="0.25">
      <c r="A76" s="194"/>
      <c r="U76" s="206"/>
    </row>
    <row r="77" spans="1:21" ht="21.9" customHeight="1" x14ac:dyDescent="0.25">
      <c r="A77" s="194"/>
      <c r="U77" s="206"/>
    </row>
    <row r="78" spans="1:21" ht="21.9" customHeight="1" x14ac:dyDescent="0.25">
      <c r="A78" s="194"/>
      <c r="U78" s="206"/>
    </row>
    <row r="79" spans="1:21" ht="21.9" customHeight="1" x14ac:dyDescent="0.25">
      <c r="A79" s="194"/>
      <c r="U79" s="206"/>
    </row>
    <row r="80" spans="1:21" ht="21.9" customHeight="1" x14ac:dyDescent="0.25">
      <c r="A80" s="194"/>
      <c r="U80" s="206"/>
    </row>
    <row r="81" spans="1:76" ht="21.9" customHeight="1" thickBot="1" x14ac:dyDescent="0.3">
      <c r="A81" s="198"/>
      <c r="B81" s="199"/>
      <c r="C81" s="199"/>
      <c r="D81" s="199"/>
      <c r="E81" s="199"/>
      <c r="F81" s="1197"/>
      <c r="G81" s="1197"/>
      <c r="H81" s="1197"/>
      <c r="I81" s="1197"/>
      <c r="J81" s="1197"/>
      <c r="K81" s="1197"/>
      <c r="L81" s="1197"/>
      <c r="M81" s="1197"/>
      <c r="N81" s="1197"/>
      <c r="O81" s="1197"/>
      <c r="P81" s="1197"/>
      <c r="Q81" s="1197"/>
      <c r="R81" s="1197"/>
      <c r="S81" s="199"/>
      <c r="T81" s="199"/>
      <c r="U81" s="207"/>
    </row>
    <row r="83" spans="1:76" ht="21.9" customHeight="1" x14ac:dyDescent="0.25">
      <c r="AC83" s="1" t="s">
        <v>371</v>
      </c>
    </row>
    <row r="84" spans="1:76" ht="21.9" customHeight="1" x14ac:dyDescent="0.25">
      <c r="B84" s="538" t="s">
        <v>214</v>
      </c>
      <c r="X84" s="73"/>
      <c r="Y84" s="73"/>
      <c r="Z84" s="73"/>
      <c r="AA84" s="73"/>
      <c r="AB84" s="73"/>
      <c r="AC84" s="360" t="s">
        <v>383</v>
      </c>
      <c r="AD84" s="73"/>
      <c r="AE84" s="73"/>
      <c r="AF84" s="73"/>
    </row>
    <row r="85" spans="1:76" ht="21.9" customHeight="1" thickBot="1" x14ac:dyDescent="0.3">
      <c r="B85" t="s">
        <v>240</v>
      </c>
      <c r="AX85" s="618"/>
      <c r="AY85" s="618"/>
      <c r="AZ85" s="618"/>
      <c r="BA85" s="618"/>
      <c r="BB85" s="618"/>
      <c r="BC85" s="618"/>
      <c r="BD85" s="618"/>
      <c r="BE85" s="618"/>
      <c r="BF85" s="618"/>
      <c r="BG85" s="618"/>
      <c r="BH85" s="618"/>
      <c r="BI85" s="618"/>
      <c r="BJ85" s="618"/>
      <c r="BK85" s="618"/>
      <c r="BL85" s="618"/>
      <c r="BM85" s="618"/>
      <c r="BN85" s="618"/>
      <c r="BO85" s="618"/>
      <c r="BP85" s="618"/>
      <c r="BQ85" s="618"/>
      <c r="BR85" s="618"/>
      <c r="BS85" s="618"/>
      <c r="BT85" s="618"/>
      <c r="BU85" s="618"/>
      <c r="BV85" s="618"/>
      <c r="BW85" s="618"/>
    </row>
    <row r="86" spans="1:76" ht="21.9" customHeight="1" thickTop="1" x14ac:dyDescent="0.25">
      <c r="B86" s="1362" t="s">
        <v>27</v>
      </c>
      <c r="C86" s="1329" t="s">
        <v>312</v>
      </c>
      <c r="D86" s="1329" t="s">
        <v>18</v>
      </c>
      <c r="E86" s="1329"/>
      <c r="F86" s="1329" t="s">
        <v>248</v>
      </c>
      <c r="G86" s="1329" t="s">
        <v>249</v>
      </c>
      <c r="H86" s="1364" t="s">
        <v>384</v>
      </c>
      <c r="I86" s="1364" t="s">
        <v>327</v>
      </c>
      <c r="J86" s="1364" t="s">
        <v>388</v>
      </c>
      <c r="K86" s="1364" t="s">
        <v>396</v>
      </c>
      <c r="L86" s="1329" t="s">
        <v>389</v>
      </c>
      <c r="M86" s="1329" t="s">
        <v>390</v>
      </c>
      <c r="N86" s="1329" t="s">
        <v>391</v>
      </c>
      <c r="O86" s="1329" t="s">
        <v>392</v>
      </c>
      <c r="P86" s="1329" t="s">
        <v>393</v>
      </c>
      <c r="Q86" s="1329" t="s">
        <v>394</v>
      </c>
      <c r="R86" s="1364" t="s">
        <v>395</v>
      </c>
      <c r="S86" s="1364" t="s">
        <v>397</v>
      </c>
      <c r="T86" s="1364" t="s">
        <v>357</v>
      </c>
      <c r="U86" s="1364" t="s">
        <v>433</v>
      </c>
      <c r="V86" s="1364" t="s">
        <v>419</v>
      </c>
      <c r="W86" s="1435" t="s">
        <v>423</v>
      </c>
      <c r="X86" s="1431" t="s">
        <v>369</v>
      </c>
      <c r="Y86" s="1431"/>
      <c r="Z86" s="1431"/>
      <c r="AA86" s="1431"/>
      <c r="AB86" s="1431"/>
      <c r="AC86" s="1431"/>
      <c r="AD86" s="1431"/>
      <c r="AE86" s="1431"/>
      <c r="AF86" s="1431"/>
      <c r="AG86" s="1431"/>
      <c r="AH86" s="1431"/>
      <c r="AI86" s="1431"/>
      <c r="AJ86" s="1431"/>
      <c r="AK86" s="1431"/>
      <c r="AL86" s="1431"/>
      <c r="AM86" s="1431"/>
      <c r="AN86" s="1431"/>
      <c r="AO86" s="1431"/>
      <c r="AP86" s="1431"/>
      <c r="AQ86" s="1431"/>
      <c r="AR86" s="1431"/>
      <c r="AS86" s="1431"/>
      <c r="AT86" s="1431"/>
      <c r="AU86" s="1431"/>
      <c r="AV86" s="1431"/>
      <c r="AW86" s="1432"/>
      <c r="AX86" s="1433" t="s">
        <v>370</v>
      </c>
      <c r="AY86" s="1433"/>
      <c r="AZ86" s="1433"/>
      <c r="BA86" s="1433"/>
      <c r="BB86" s="1433"/>
      <c r="BC86" s="1433"/>
      <c r="BD86" s="1433"/>
      <c r="BE86" s="1433"/>
      <c r="BF86" s="1433"/>
      <c r="BG86" s="1433"/>
      <c r="BH86" s="1433"/>
      <c r="BI86" s="1433"/>
      <c r="BJ86" s="1433"/>
      <c r="BK86" s="1433"/>
      <c r="BL86" s="1433"/>
      <c r="BM86" s="1433"/>
      <c r="BN86" s="1433"/>
      <c r="BO86" s="1433"/>
      <c r="BP86" s="1433"/>
      <c r="BQ86" s="1433"/>
      <c r="BR86" s="1433"/>
      <c r="BS86" s="1433"/>
      <c r="BT86" s="1433"/>
      <c r="BU86" s="1433"/>
      <c r="BV86" s="1433"/>
      <c r="BW86" s="1433"/>
      <c r="BX86" s="239"/>
    </row>
    <row r="87" spans="1:76" ht="21.9" customHeight="1" thickBot="1" x14ac:dyDescent="0.3">
      <c r="B87" s="1426"/>
      <c r="C87" s="1425"/>
      <c r="D87" s="649" t="s">
        <v>313</v>
      </c>
      <c r="E87" s="649" t="s">
        <v>314</v>
      </c>
      <c r="F87" s="1425"/>
      <c r="G87" s="1425"/>
      <c r="H87" s="1424"/>
      <c r="I87" s="1434"/>
      <c r="J87" s="1424"/>
      <c r="K87" s="1424"/>
      <c r="L87" s="1425"/>
      <c r="M87" s="1425"/>
      <c r="N87" s="1425"/>
      <c r="O87" s="1425"/>
      <c r="P87" s="1425"/>
      <c r="Q87" s="1425"/>
      <c r="R87" s="1425"/>
      <c r="S87" s="1424"/>
      <c r="T87" s="1424"/>
      <c r="U87" s="1424"/>
      <c r="V87" s="1425"/>
      <c r="W87" s="1436"/>
      <c r="X87" s="619">
        <v>2023</v>
      </c>
      <c r="Y87" s="349">
        <f t="shared" ref="Y87:AW87" si="1">X87+1</f>
        <v>2024</v>
      </c>
      <c r="Z87" s="349">
        <f t="shared" si="1"/>
        <v>2025</v>
      </c>
      <c r="AA87" s="349">
        <f t="shared" si="1"/>
        <v>2026</v>
      </c>
      <c r="AB87" s="349">
        <f t="shared" si="1"/>
        <v>2027</v>
      </c>
      <c r="AC87" s="349">
        <f t="shared" si="1"/>
        <v>2028</v>
      </c>
      <c r="AD87" s="349">
        <f t="shared" si="1"/>
        <v>2029</v>
      </c>
      <c r="AE87" s="349">
        <f t="shared" si="1"/>
        <v>2030</v>
      </c>
      <c r="AF87" s="349">
        <f t="shared" si="1"/>
        <v>2031</v>
      </c>
      <c r="AG87" s="349">
        <f t="shared" si="1"/>
        <v>2032</v>
      </c>
      <c r="AH87" s="349">
        <f t="shared" si="1"/>
        <v>2033</v>
      </c>
      <c r="AI87" s="349">
        <f t="shared" si="1"/>
        <v>2034</v>
      </c>
      <c r="AJ87" s="349">
        <f t="shared" si="1"/>
        <v>2035</v>
      </c>
      <c r="AK87" s="349">
        <f t="shared" si="1"/>
        <v>2036</v>
      </c>
      <c r="AL87" s="349">
        <f t="shared" si="1"/>
        <v>2037</v>
      </c>
      <c r="AM87" s="349">
        <f t="shared" si="1"/>
        <v>2038</v>
      </c>
      <c r="AN87" s="349">
        <f t="shared" si="1"/>
        <v>2039</v>
      </c>
      <c r="AO87" s="349">
        <f t="shared" si="1"/>
        <v>2040</v>
      </c>
      <c r="AP87" s="349">
        <f t="shared" si="1"/>
        <v>2041</v>
      </c>
      <c r="AQ87" s="349">
        <f t="shared" si="1"/>
        <v>2042</v>
      </c>
      <c r="AR87" s="349">
        <f t="shared" si="1"/>
        <v>2043</v>
      </c>
      <c r="AS87" s="349">
        <f t="shared" si="1"/>
        <v>2044</v>
      </c>
      <c r="AT87" s="349">
        <f t="shared" si="1"/>
        <v>2045</v>
      </c>
      <c r="AU87" s="349">
        <f t="shared" si="1"/>
        <v>2046</v>
      </c>
      <c r="AV87" s="349">
        <f t="shared" si="1"/>
        <v>2047</v>
      </c>
      <c r="AW87" s="619">
        <f t="shared" si="1"/>
        <v>2048</v>
      </c>
      <c r="AX87" s="646">
        <v>2023</v>
      </c>
      <c r="AY87" s="647">
        <f t="shared" ref="AY87:BV87" si="2">AX87+1</f>
        <v>2024</v>
      </c>
      <c r="AZ87" s="647">
        <f t="shared" si="2"/>
        <v>2025</v>
      </c>
      <c r="BA87" s="647">
        <f t="shared" si="2"/>
        <v>2026</v>
      </c>
      <c r="BB87" s="647">
        <f t="shared" si="2"/>
        <v>2027</v>
      </c>
      <c r="BC87" s="647">
        <f t="shared" si="2"/>
        <v>2028</v>
      </c>
      <c r="BD87" s="647">
        <f t="shared" si="2"/>
        <v>2029</v>
      </c>
      <c r="BE87" s="647">
        <f t="shared" si="2"/>
        <v>2030</v>
      </c>
      <c r="BF87" s="647">
        <f t="shared" si="2"/>
        <v>2031</v>
      </c>
      <c r="BG87" s="647">
        <f t="shared" si="2"/>
        <v>2032</v>
      </c>
      <c r="BH87" s="647">
        <f t="shared" si="2"/>
        <v>2033</v>
      </c>
      <c r="BI87" s="647">
        <f t="shared" si="2"/>
        <v>2034</v>
      </c>
      <c r="BJ87" s="647">
        <f t="shared" si="2"/>
        <v>2035</v>
      </c>
      <c r="BK87" s="647">
        <f t="shared" si="2"/>
        <v>2036</v>
      </c>
      <c r="BL87" s="647">
        <f t="shared" si="2"/>
        <v>2037</v>
      </c>
      <c r="BM87" s="647">
        <f t="shared" si="2"/>
        <v>2038</v>
      </c>
      <c r="BN87" s="647">
        <f t="shared" si="2"/>
        <v>2039</v>
      </c>
      <c r="BO87" s="647">
        <f t="shared" si="2"/>
        <v>2040</v>
      </c>
      <c r="BP87" s="647">
        <f t="shared" si="2"/>
        <v>2041</v>
      </c>
      <c r="BQ87" s="647">
        <f t="shared" si="2"/>
        <v>2042</v>
      </c>
      <c r="BR87" s="647">
        <f t="shared" si="2"/>
        <v>2043</v>
      </c>
      <c r="BS87" s="647">
        <f t="shared" si="2"/>
        <v>2044</v>
      </c>
      <c r="BT87" s="647">
        <f t="shared" si="2"/>
        <v>2045</v>
      </c>
      <c r="BU87" s="647">
        <f t="shared" si="2"/>
        <v>2046</v>
      </c>
      <c r="BV87" s="647">
        <f t="shared" si="2"/>
        <v>2047</v>
      </c>
      <c r="BW87" s="648">
        <v>2048</v>
      </c>
    </row>
    <row r="88" spans="1:76" ht="21.9" customHeight="1" x14ac:dyDescent="0.25">
      <c r="A88" s="617"/>
      <c r="B88" s="114" t="s">
        <v>9</v>
      </c>
      <c r="C88" s="1427" t="s">
        <v>315</v>
      </c>
      <c r="D88" s="114" t="s">
        <v>316</v>
      </c>
      <c r="E88" s="114" t="s">
        <v>276</v>
      </c>
      <c r="F88" s="550">
        <f>'Traffic Data'!CM7</f>
        <v>0.81967213114754101</v>
      </c>
      <c r="G88" s="550">
        <f>'Traffic Data'!CN7</f>
        <v>0.9</v>
      </c>
      <c r="H88" s="143">
        <f>'Traffic Data'!G7</f>
        <v>70</v>
      </c>
      <c r="I88" s="143">
        <v>4</v>
      </c>
      <c r="J88" s="143">
        <f>H88+5</f>
        <v>75</v>
      </c>
      <c r="K88" s="143">
        <v>0</v>
      </c>
      <c r="L88" s="143">
        <v>0</v>
      </c>
      <c r="M88" s="143">
        <v>0</v>
      </c>
      <c r="N88" s="143">
        <v>0</v>
      </c>
      <c r="O88" s="143">
        <v>0</v>
      </c>
      <c r="P88" s="143">
        <v>0</v>
      </c>
      <c r="Q88" s="143">
        <f>3.22*(1)^(0.84)</f>
        <v>3.22</v>
      </c>
      <c r="R88" s="171">
        <f>J88-K88-L88-M88-N88-O88-P88-Q88</f>
        <v>71.78</v>
      </c>
      <c r="S88" s="551">
        <f>L$19*F88*G88</f>
        <v>1770.4918032786886</v>
      </c>
      <c r="T88" s="552">
        <v>0.12</v>
      </c>
      <c r="U88" s="553">
        <v>0.65</v>
      </c>
      <c r="V88" s="554">
        <f>E31</f>
        <v>0.2</v>
      </c>
      <c r="W88" s="225">
        <v>10</v>
      </c>
      <c r="X88" s="388">
        <f>$R88/(1+($V88*(('Traffic Data'!$J7*$T88*$U88)/(($I88/2)*$S88))^$W88))</f>
        <v>71.779575441467983</v>
      </c>
      <c r="Y88" s="389">
        <f>$R88/(1+($V88*(('Traffic Data'!K7*$T88*$U88)/(($I88/2)*$S88))^$W88))</f>
        <v>71.779334299460473</v>
      </c>
      <c r="Z88" s="389">
        <f>$R88/(1+($V88*(('Traffic Data'!L7*$T88*$U88)/(($I88/2)*$S88))^$W88))</f>
        <v>71.778787878486114</v>
      </c>
      <c r="AA88" s="389">
        <f>$R88/(1+($V88*(('Traffic Data'!M7*$T88*$U88)/(($I88/2)*$S88))^$W88))</f>
        <v>71.777251043765986</v>
      </c>
      <c r="AB88" s="389">
        <f>$R88/(1+($V88*(('Traffic Data'!N7*$T88*$U88)/(($I88/2)*$S88))^$W88))</f>
        <v>71.774139096862498</v>
      </c>
      <c r="AC88" s="389">
        <f>$R88/(1+($V88*(('Traffic Data'!O7*$T88*$U88)/(($I88/2)*$S88))^$W88))</f>
        <v>71.768153206844218</v>
      </c>
      <c r="AD88" s="389">
        <f>$R88/(1+($V88*(('Traffic Data'!P7*$T88*$U88)/(($I88/2)*$S88))^$W88))</f>
        <v>71.757144515248598</v>
      </c>
      <c r="AE88" s="389">
        <f>$R88/(1+($V88*(('Traffic Data'!Q7*$T88*$U88)/(($I88/2)*$S88))^$W88))</f>
        <v>71.737644035831721</v>
      </c>
      <c r="AF88" s="389">
        <f>$R88/(1+($V88*(('Traffic Data'!R7*$T88*$U88)/(($I88/2)*$S88))^$W88))</f>
        <v>71.704789610609467</v>
      </c>
      <c r="AG88" s="389">
        <f>$R88/(1+($V88*(('Traffic Data'!S7*$T88*$U88)/(($I88/2)*$S88))^$W88))</f>
        <v>71.650582585878709</v>
      </c>
      <c r="AH88" s="389">
        <f>$R88/(1+($V88*(('Traffic Data'!T7*$T88*$U88)/(($I88/2)*$S88))^$W88))</f>
        <v>71.563581595553117</v>
      </c>
      <c r="AI88" s="389">
        <f>$R88/(1+($V88*(('Traffic Data'!U7*$T88*$U88)/(($I88/2)*$S88))^$W88))</f>
        <v>71.427366744949822</v>
      </c>
      <c r="AJ88" s="389">
        <f>$R88/(1+($V88*(('Traffic Data'!V7*$T88*$U88)/(($I88/2)*$S88))^$W88))</f>
        <v>71.21879507004229</v>
      </c>
      <c r="AK88" s="389">
        <f>$R88/(1+($V88*(('Traffic Data'!W7*$T88*$U88)/(($I88/2)*$S88))^$W88))</f>
        <v>71.021030182520875</v>
      </c>
      <c r="AL88" s="389">
        <f>$R88/(1+($V88*(('Traffic Data'!X7*$T88*$U88)/(($I88/2)*$S88))^$W88))</f>
        <v>70.841357698792024</v>
      </c>
      <c r="AM88" s="389">
        <f>$R88/(1+($V88*(('Traffic Data'!Y7*$T88*$U88)/(($I88/2)*$S88))^$W88))</f>
        <v>70.625000035421792</v>
      </c>
      <c r="AN88" s="389">
        <f>$R88/(1+($V88*(('Traffic Data'!Z7*$T88*$U88)/(($I88/2)*$S88))^$W88))</f>
        <v>70.365799481356788</v>
      </c>
      <c r="AO88" s="389">
        <f>$R88/(1+($V88*(('Traffic Data'!AA7*$T88*$U88)/(($I88/2)*$S88))^$W88))</f>
        <v>70.056734390169765</v>
      </c>
      <c r="AP88" s="389">
        <f>$R88/(1+($V88*(('Traffic Data'!AB7*$T88*$U88)/(($I88/2)*$S88))^$W88))</f>
        <v>69.690435805982844</v>
      </c>
      <c r="AQ88" s="389">
        <f>$R88/(1+($V88*(('Traffic Data'!AC7*$T88*$U88)/(($I88/2)*$S88))^$W88))</f>
        <v>69.25826657278931</v>
      </c>
      <c r="AR88" s="389">
        <f>$R88/(1+($V88*(('Traffic Data'!AD7*$T88*$U88)/(($I88/2)*$S88))^$W88))</f>
        <v>68.751587689021846</v>
      </c>
      <c r="AS88" s="389">
        <f>$R88/(1+($V88*(('Traffic Data'!AE7*$T88*$U88)/(($I88/2)*$S88))^$W88))</f>
        <v>68.160693295998897</v>
      </c>
      <c r="AT88" s="389">
        <f>$R88/(1+($V88*(('Traffic Data'!AF7*$T88*$U88)/(($I88/2)*$S88))^$W88))</f>
        <v>67.475339819335559</v>
      </c>
      <c r="AU88" s="389">
        <f>$R88/(1+($V88*(('Traffic Data'!AG7*$T88*$U88)/(($I88/2)*$S88))^$W88))</f>
        <v>66.685957113298798</v>
      </c>
      <c r="AV88" s="389">
        <f>$R88/(1+($V88*(('Traffic Data'!AH7*$T88*$U88)/(($I88/2)*$S88))^$W88))</f>
        <v>65.782268161745847</v>
      </c>
      <c r="AW88" s="390">
        <f>$R88/(1+($V88*(('Traffic Data'!AI7*$T88*$U88)/(($I88/2)*$S88))^$W88))</f>
        <v>64.754279024804021</v>
      </c>
      <c r="AX88" s="378">
        <f>$R88/(1+($V88*(('Traffic Data'!J7*(0.67/14))/(($I88)*$S88))^$W88))</f>
        <v>71.779999996865541</v>
      </c>
      <c r="AY88" s="378">
        <f>$R88/(1+($V88*(('Traffic Data'!J7*(0.67/14))/(($I88)*$S88))^$W88))</f>
        <v>71.779999996865541</v>
      </c>
      <c r="AZ88" s="378">
        <f>$R88/(1+($V88*(('Traffic Data'!K7*(0.67/14))/(($I88)*$S88))^$W88))</f>
        <v>71.77999999508522</v>
      </c>
      <c r="BA88" s="378">
        <f>$R88/(1+($V88*(('Traffic Data'!L7*(0.67/14))/(($I88)*$S88))^$W88))</f>
        <v>71.779999991051</v>
      </c>
      <c r="BB88" s="378">
        <f>$R88/(1+($V88*(('Traffic Data'!M7*(0.67/14))/(($I88)*$S88))^$W88))</f>
        <v>71.779999979704201</v>
      </c>
      <c r="BC88" s="378">
        <f>$R88/(1+($V88*(('Traffic Data'!N7*(0.67/14))/(($I88)*$S88))^$W88))</f>
        <v>71.779999956726542</v>
      </c>
      <c r="BD88" s="378">
        <f>$R88/(1+($V88*(('Traffic Data'!O7*(0.67/14))/(($I88)*$S88))^$W88))</f>
        <v>71.779999912522939</v>
      </c>
      <c r="BE88" s="378">
        <f>$R88/(1+($V88*(('Traffic Data'!P7*(0.67/14))/(($I88)*$S88))^$W88))</f>
        <v>71.779999831208556</v>
      </c>
      <c r="BF88" s="378">
        <f>$R88/(1+($V88*(('Traffic Data'!Q7*(0.67/14))/(($I88)*$S88))^$W88))</f>
        <v>71.779999687109338</v>
      </c>
      <c r="BG88" s="378">
        <f>$R88/(1+($V88*(('Traffic Data'!R7*(0.67/14))/(($I88)*$S88))^$W88))</f>
        <v>71.779999444153589</v>
      </c>
      <c r="BH88" s="378">
        <f>$R88/(1+($V88*(('Traffic Data'!S7*(0.67/14))/(($I88)*$S88))^$W88))</f>
        <v>71.779999042810061</v>
      </c>
      <c r="BI88" s="378">
        <f>$R88/(1+($V88*(('Traffic Data'!T7*(0.67/14))/(($I88)*$S88))^$W88))</f>
        <v>71.779998397392205</v>
      </c>
      <c r="BJ88" s="378">
        <f>$R88/(1+($V88*(('Traffic Data'!U7*(0.67/14))/(($I88)*$S88))^$W88))</f>
        <v>71.779997383722829</v>
      </c>
      <c r="BK88" s="378">
        <f>$R88/(1+($V88*(('Traffic Data'!V7*(0.67/14))/(($I88)*$S88))^$W88))</f>
        <v>71.779995824081922</v>
      </c>
      <c r="BL88" s="378">
        <f>$R88/(1+($V88*(('Traffic Data'!W7*(0.67/14))/(($I88)*$S88))^$W88))</f>
        <v>71.779994336790281</v>
      </c>
      <c r="BM88" s="378">
        <f>$R88/(1+($V88*(('Traffic Data'!X7*(0.67/14))/(($I88)*$S88))^$W88))</f>
        <v>71.779992978363467</v>
      </c>
      <c r="BN88" s="378">
        <f>$R88/(1+($V88*(('Traffic Data'!Y7*(0.67/14))/(($I88)*$S88))^$W88))</f>
        <v>71.779991333403089</v>
      </c>
      <c r="BO88" s="378">
        <f>$R88/(1+($V88*(('Traffic Data'!Z7*(0.67/14))/(($I88)*$S88))^$W88))</f>
        <v>71.779989349390988</v>
      </c>
      <c r="BP88" s="378">
        <f>$R88/(1+($V88*(('Traffic Data'!AA7*(0.67/14))/(($I88)*$S88))^$W88))</f>
        <v>71.779986964509021</v>
      </c>
      <c r="BQ88" s="378">
        <f>$R88/(1+($V88*(('Traffic Data'!AB7*(0.67/14))/(($I88)*$S88))^$W88))</f>
        <v>71.779984110596928</v>
      </c>
      <c r="BR88" s="378">
        <f>$R88/(1+($V88*(('Traffic Data'!AC7*(0.67/14))/(($I88)*$S88))^$W88))</f>
        <v>71.779980704653511</v>
      </c>
      <c r="BS88" s="378">
        <f>$R88/(1+($V88*(('Traffic Data'!AD7*(0.67/14))/(($I88)*$S88))^$W88))</f>
        <v>71.779976656967719</v>
      </c>
      <c r="BT88" s="378">
        <f>$R88/(1+($V88*(('Traffic Data'!AE7*(0.67/14))/(($I88)*$S88))^$W88))</f>
        <v>71.779971860501163</v>
      </c>
      <c r="BU88" s="378">
        <f>$R88/(1+($V88*(('Traffic Data'!AF7*(0.67/14))/(($I88)*$S88))^$W88))</f>
        <v>71.779966192058453</v>
      </c>
      <c r="BV88" s="378">
        <f>$R88/(1+($V88*(('Traffic Data'!AG7*(0.67/14))/(($I88)*$S88))^$W88))</f>
        <v>71.779959518825549</v>
      </c>
      <c r="BW88" s="620">
        <f>$R88/(1+($V88*(('Traffic Data'!AH7*(0.67/14))/(($I88)*$S88))^$W88))</f>
        <v>71.779951682656474</v>
      </c>
    </row>
    <row r="89" spans="1:76" ht="21.9" customHeight="1" x14ac:dyDescent="0.25">
      <c r="A89" s="617"/>
      <c r="C89" s="1427"/>
      <c r="D89" s="114" t="s">
        <v>276</v>
      </c>
      <c r="E89" s="114" t="s">
        <v>274</v>
      </c>
      <c r="F89" s="550">
        <f>'Traffic Data'!CM7</f>
        <v>0.81967213114754101</v>
      </c>
      <c r="G89" s="550">
        <f>'Traffic Data'!CN7</f>
        <v>0.9</v>
      </c>
      <c r="H89" s="143">
        <f>'Traffic Data'!G8</f>
        <v>70</v>
      </c>
      <c r="I89" s="143">
        <v>4</v>
      </c>
      <c r="J89" s="143">
        <f t="shared" ref="J89:J90" si="3">H89+5</f>
        <v>75</v>
      </c>
      <c r="K89" s="143">
        <v>0</v>
      </c>
      <c r="L89" s="143">
        <v>0</v>
      </c>
      <c r="M89" s="143">
        <v>0</v>
      </c>
      <c r="N89" s="143">
        <v>0</v>
      </c>
      <c r="O89" s="143">
        <v>0</v>
      </c>
      <c r="P89" s="143">
        <v>0</v>
      </c>
      <c r="Q89" s="143">
        <f>3.22*(1)^(0.84)</f>
        <v>3.22</v>
      </c>
      <c r="R89" s="171">
        <f t="shared" ref="R89:R134" si="4">J89-K89-L89-M89-N89-O89-P89-Q89</f>
        <v>71.78</v>
      </c>
      <c r="S89" s="551">
        <f>L$19*F89*G89</f>
        <v>1770.4918032786886</v>
      </c>
      <c r="T89" s="552">
        <v>0.12</v>
      </c>
      <c r="U89" s="553">
        <v>0.65</v>
      </c>
      <c r="V89" s="554">
        <f t="shared" ref="V89:V98" si="5">$E$31</f>
        <v>0.2</v>
      </c>
      <c r="W89" s="225">
        <v>10</v>
      </c>
      <c r="X89" s="377">
        <f>$R89/(1+($V89*(('Traffic Data'!J8*$T89*$U89)/(($I89/2)*$S89))^$W89))</f>
        <v>71.779922361429513</v>
      </c>
      <c r="Y89" s="378">
        <f>$R89/(1+($V89*(('Traffic Data'!K8*$T89*$U89)/(($I89/2)*$S89))^$W89))</f>
        <v>71.779866883205102</v>
      </c>
      <c r="Z89" s="378">
        <f>$R89/(1+($V89*(('Traffic Data'!L8*$T89*$U89)/(($I89/2)*$S89))^$W89))</f>
        <v>71.779759647242699</v>
      </c>
      <c r="AA89" s="378">
        <f>$R89/(1+($V89*(('Traffic Data'!M8*$T89*$U89)/(($I89/2)*$S89))^$W89))</f>
        <v>71.779335392490808</v>
      </c>
      <c r="AB89" s="378">
        <f>$R89/(1+($V89*(('Traffic Data'!N8*$T89*$U89)/(($I89/2)*$S89))^$W89))</f>
        <v>71.778326554685776</v>
      </c>
      <c r="AC89" s="378">
        <f>$R89/(1+($V89*(('Traffic Data'!O8*$T89*$U89)/(($I89/2)*$S89))^$W89))</f>
        <v>71.776102456590195</v>
      </c>
      <c r="AD89" s="378">
        <f>$R89/(1+($V89*(('Traffic Data'!P8*$T89*$U89)/(($I89/2)*$S89))^$W89))</f>
        <v>71.771505557553269</v>
      </c>
      <c r="AE89" s="378">
        <f>$R89/(1+($V89*(('Traffic Data'!Q8*$T89*$U89)/(($I89/2)*$S89))^$W89))</f>
        <v>71.762490509958596</v>
      </c>
      <c r="AF89" s="378">
        <f>$R89/(1+($V89*(('Traffic Data'!R8*$T89*$U89)/(($I89/2)*$S89))^$W89))</f>
        <v>71.741243527950729</v>
      </c>
      <c r="AG89" s="378">
        <f>$R89/(1+($V89*(('Traffic Data'!S8*$T89*$U89)/(($I89/2)*$S89))^$W89))</f>
        <v>71.699100219370493</v>
      </c>
      <c r="AH89" s="378">
        <f>$R89/(1+($V89*(('Traffic Data'!T8*$T89*$U89)/(($I89/2)*$S89))^$W89))</f>
        <v>71.619568003512242</v>
      </c>
      <c r="AI89" s="378">
        <f>$R89/(1+($V89*(('Traffic Data'!U8*$T89*$U89)/(($I89/2)*$S89))^$W89))</f>
        <v>71.475824433778442</v>
      </c>
      <c r="AJ89" s="378">
        <f>$R89/(1+($V89*(('Traffic Data'!V8*$T89*$U89)/(($I89/2)*$S89))^$W89))</f>
        <v>71.225697387641787</v>
      </c>
      <c r="AK89" s="378">
        <f>$R89/(1+($V89*(('Traffic Data'!W8*$T89*$U89)/(($I89/2)*$S89))^$W89))</f>
        <v>70.996085113341579</v>
      </c>
      <c r="AL89" s="378">
        <f>$R89/(1+($V89*(('Traffic Data'!X8*$T89*$U89)/(($I89/2)*$S89))^$W89))</f>
        <v>70.808012315796518</v>
      </c>
      <c r="AM89" s="378">
        <f>$R89/(1+($V89*(('Traffic Data'!Y8*$T89*$U89)/(($I89/2)*$S89))^$W89))</f>
        <v>70.581063979868489</v>
      </c>
      <c r="AN89" s="378">
        <f>$R89/(1+($V89*(('Traffic Data'!Z8*$T89*$U89)/(($I89/2)*$S89))^$W89))</f>
        <v>70.30865108524344</v>
      </c>
      <c r="AO89" s="378">
        <f>$R89/(1+($V89*(('Traffic Data'!AA8*$T89*$U89)/(($I89/2)*$S89))^$W89))</f>
        <v>69.983170356830627</v>
      </c>
      <c r="AP89" s="378">
        <f>$R89/(1+($V89*(('Traffic Data'!AB8*$T89*$U89)/(($I89/2)*$S89))^$W89))</f>
        <v>69.596906083650012</v>
      </c>
      <c r="AQ89" s="378">
        <f>$R89/(1+($V89*(('Traffic Data'!AC8*$T89*$U89)/(($I89/2)*$S89))^$W89))</f>
        <v>69.140432544411851</v>
      </c>
      <c r="AR89" s="378">
        <f>$R89/(1+($V89*(('Traffic Data'!AD8*$T89*$U89)/(($I89/2)*$S89))^$W89))</f>
        <v>68.604778676433313</v>
      </c>
      <c r="AS89" s="378">
        <f>$R89/(1+($V89*(('Traffic Data'!AE8*$T89*$U89)/(($I89/2)*$S89))^$W89))</f>
        <v>67.97953153806732</v>
      </c>
      <c r="AT89" s="378">
        <f>$R89/(1+($V89*(('Traffic Data'!AF8*$T89*$U89)/(($I89/2)*$S89))^$W89))</f>
        <v>67.253666556062626</v>
      </c>
      <c r="AU89" s="378">
        <f>$R89/(1+($V89*(('Traffic Data'!AG8*$T89*$U89)/(($I89/2)*$S89))^$W89))</f>
        <v>66.417529330754277</v>
      </c>
      <c r="AV89" s="378">
        <f>$R89/(1+($V89*(('Traffic Data'!AH8*$T89*$U89)/(($I89/2)*$S89))^$W89))</f>
        <v>65.460271583763813</v>
      </c>
      <c r="AW89" s="350">
        <f>$R89/(1+($V89*(('Traffic Data'!AI8*$T89*$U89)/(($I89/2)*$S89))^$W89))</f>
        <v>64.371357524430437</v>
      </c>
      <c r="AX89" s="378">
        <f>$R89/(1+($V89*(('Traffic Data'!J8*(0.67/14))/(($I89)*$S89))^$W89))</f>
        <v>71.779999999426806</v>
      </c>
      <c r="AY89" s="378">
        <f>$R89/(1+($V89*(('Traffic Data'!J8*(0.67/14))/(($I89)*$S89))^$W89))</f>
        <v>71.779999999426806</v>
      </c>
      <c r="AZ89" s="378">
        <f>$R89/(1+($V89*(('Traffic Data'!K8*(0.67/14))/(($I89)*$S89))^$W89))</f>
        <v>71.779999999017221</v>
      </c>
      <c r="BA89" s="378">
        <f>$R89/(1+($V89*(('Traffic Data'!L8*(0.67/14))/(($I89)*$S89))^$W89))</f>
        <v>71.77999999822552</v>
      </c>
      <c r="BB89" s="378">
        <f>$R89/(1+($V89*(('Traffic Data'!M8*(0.67/14))/(($I89)*$S89))^$W89))</f>
        <v>71.779999995093277</v>
      </c>
      <c r="BC89" s="378">
        <f>$R89/(1+($V89*(('Traffic Data'!N8*(0.67/14))/(($I89)*$S89))^$W89))</f>
        <v>71.779999987644985</v>
      </c>
      <c r="BD89" s="378">
        <f>$R89/(1+($V89*(('Traffic Data'!O8*(0.67/14))/(($I89)*$S89))^$W89))</f>
        <v>71.779999971223617</v>
      </c>
      <c r="BE89" s="378">
        <f>$R89/(1+($V89*(('Traffic Data'!P8*(0.67/14))/(($I89)*$S89))^$W89))</f>
        <v>71.779999937279726</v>
      </c>
      <c r="BF89" s="378">
        <f>$R89/(1+($V89*(('Traffic Data'!Q8*(0.67/14))/(($I89)*$S89))^$W89))</f>
        <v>71.779999870699228</v>
      </c>
      <c r="BG89" s="378">
        <f>$R89/(1+($V89*(('Traffic Data'!R8*(0.67/14))/(($I89)*$S89))^$W89))</f>
        <v>71.779999713713764</v>
      </c>
      <c r="BH89" s="378">
        <f>$R89/(1+($V89*(('Traffic Data'!S8*(0.67/14))/(($I89)*$S89))^$W89))</f>
        <v>71.779999402058394</v>
      </c>
      <c r="BI89" s="378">
        <f>$R89/(1+($V89*(('Traffic Data'!T8*(0.67/14))/(($I89)*$S89))^$W89))</f>
        <v>71.779998812907877</v>
      </c>
      <c r="BJ89" s="378">
        <f>$R89/(1+($V89*(('Traffic Data'!U8*(0.67/14))/(($I89)*$S89))^$W89))</f>
        <v>71.779997744772913</v>
      </c>
      <c r="BK89" s="378">
        <f>$R89/(1+($V89*(('Traffic Data'!V8*(0.67/14))/(($I89)*$S89))^$W89))</f>
        <v>71.779995875841664</v>
      </c>
      <c r="BL89" s="378">
        <f>$R89/(1+($V89*(('Traffic Data'!W8*(0.67/14))/(($I89)*$S89))^$W89))</f>
        <v>71.779994148602313</v>
      </c>
      <c r="BM89" s="378">
        <f>$R89/(1+($V89*(('Traffic Data'!X8*(0.67/14))/(($I89)*$S89))^$W89))</f>
        <v>71.77999272549485</v>
      </c>
      <c r="BN89" s="378">
        <f>$R89/(1+($V89*(('Traffic Data'!Y8*(0.67/14))/(($I89)*$S89))^$W89))</f>
        <v>71.779990998126749</v>
      </c>
      <c r="BO89" s="378">
        <f>$R89/(1+($V89*(('Traffic Data'!Z8*(0.67/14))/(($I89)*$S89))^$W89))</f>
        <v>71.779988909988901</v>
      </c>
      <c r="BP89" s="378">
        <f>$R89/(1+($V89*(('Traffic Data'!AA8*(0.67/14))/(($I89)*$S89))^$W89))</f>
        <v>71.779986393753035</v>
      </c>
      <c r="BQ89" s="378">
        <f>$R89/(1+($V89*(('Traffic Data'!AB8*(0.67/14))/(($I89)*$S89))^$W89))</f>
        <v>71.779983377071929</v>
      </c>
      <c r="BR89" s="378">
        <f>$R89/(1+($V89*(('Traffic Data'!AC8*(0.67/14))/(($I89)*$S89))^$W89))</f>
        <v>71.77997976861144</v>
      </c>
      <c r="BS89" s="378">
        <f>$R89/(1+($V89*(('Traffic Data'!AD8*(0.67/14))/(($I89)*$S89))^$W89))</f>
        <v>71.779975472988923</v>
      </c>
      <c r="BT89" s="378">
        <f>$R89/(1+($V89*(('Traffic Data'!AE8*(0.67/14))/(($I89)*$S89))^$W89))</f>
        <v>71.77997037325585</v>
      </c>
      <c r="BU89" s="378">
        <f>$R89/(1+($V89*(('Traffic Data'!AF8*(0.67/14))/(($I89)*$S89))^$W89))</f>
        <v>71.779964333909859</v>
      </c>
      <c r="BV89" s="378">
        <f>$R89/(1+($V89*(('Traffic Data'!AG8*(0.67/14))/(($I89)*$S89))^$W89))</f>
        <v>71.779957213467156</v>
      </c>
      <c r="BW89" s="620">
        <f>$R89/(1+($V89*(('Traffic Data'!AH8*(0.67/14))/(($I89)*$S89))^$W89))</f>
        <v>71.779948838243811</v>
      </c>
    </row>
    <row r="90" spans="1:76" ht="21.9" customHeight="1" x14ac:dyDescent="0.25">
      <c r="A90" s="617"/>
      <c r="C90" s="1428"/>
      <c r="D90" s="250" t="s">
        <v>274</v>
      </c>
      <c r="E90" s="250" t="s">
        <v>317</v>
      </c>
      <c r="F90" s="555">
        <f>'Traffic Data'!CM7</f>
        <v>0.81967213114754101</v>
      </c>
      <c r="G90" s="555">
        <f>'Traffic Data'!CN7</f>
        <v>0.9</v>
      </c>
      <c r="H90" s="556">
        <f>'Traffic Data'!G9</f>
        <v>70</v>
      </c>
      <c r="I90" s="556">
        <v>4</v>
      </c>
      <c r="J90" s="556">
        <f t="shared" si="3"/>
        <v>75</v>
      </c>
      <c r="K90" s="556">
        <v>0</v>
      </c>
      <c r="L90" s="556">
        <v>0</v>
      </c>
      <c r="M90" s="556">
        <v>0</v>
      </c>
      <c r="N90" s="556">
        <v>0</v>
      </c>
      <c r="O90" s="556">
        <v>0</v>
      </c>
      <c r="P90" s="556">
        <v>0</v>
      </c>
      <c r="Q90" s="556">
        <f>3.22*(1)^(0.84)</f>
        <v>3.22</v>
      </c>
      <c r="R90" s="249">
        <f t="shared" si="4"/>
        <v>71.78</v>
      </c>
      <c r="S90" s="551">
        <f>L$19*F90*G90</f>
        <v>1770.4918032786886</v>
      </c>
      <c r="T90" s="552">
        <v>0.12</v>
      </c>
      <c r="U90" s="553">
        <v>0.65</v>
      </c>
      <c r="V90" s="554">
        <f t="shared" si="5"/>
        <v>0.2</v>
      </c>
      <c r="W90" s="227">
        <v>10</v>
      </c>
      <c r="X90" s="381">
        <f>$R90/(1+($V90*(('Traffic Data'!J9*$T90*$U90)/(($I90/2)*$S90))^$W90))</f>
        <v>71.77997609148342</v>
      </c>
      <c r="Y90" s="351">
        <f>$R90/(1+($V90*(('Traffic Data'!K9*$T90*$U90)/(($I90/2)*$S90))^$W90))</f>
        <v>71.779964006640029</v>
      </c>
      <c r="Z90" s="351">
        <f>$R90/(1+($V90*(('Traffic Data'!L9*$T90*$U90)/(($I90/2)*$S90))^$W90))</f>
        <v>71.779941587120831</v>
      </c>
      <c r="AA90" s="351">
        <f>$R90/(1+($V90*(('Traffic Data'!M9*$T90*$U90)/(($I90/2)*$S90))^$W90))</f>
        <v>71.779891746331302</v>
      </c>
      <c r="AB90" s="351">
        <f>$R90/(1+($V90*(('Traffic Data'!N9*$T90*$U90)/(($I90/2)*$S90))^$W90))</f>
        <v>71.779806406539308</v>
      </c>
      <c r="AC90" s="351">
        <f>$R90/(1+($V90*(('Traffic Data'!O9*$T90*$U90)/(($I90/2)*$S90))^$W90))</f>
        <v>71.779664695929995</v>
      </c>
      <c r="AD90" s="351">
        <f>$R90/(1+($V90*(('Traffic Data'!P9*$T90*$U90)/(($I90/2)*$S90))^$W90))</f>
        <v>71.779435699921265</v>
      </c>
      <c r="AE90" s="351">
        <f>$R90/(1+($V90*(('Traffic Data'!Q9*$T90*$U90)/(($I90/2)*$S90))^$W90))</f>
        <v>71.779074144952205</v>
      </c>
      <c r="AF90" s="351">
        <f>$R90/(1+($V90*(('Traffic Data'!R9*$T90*$U90)/(($I90/2)*$S90))^$W90))</f>
        <v>71.778537161168515</v>
      </c>
      <c r="AG90" s="351">
        <f>$R90/(1+($V90*(('Traffic Data'!S9*$T90*$U90)/(($I90/2)*$S90))^$W90))</f>
        <v>71.777734175406351</v>
      </c>
      <c r="AH90" s="351">
        <f>$R90/(1+($V90*(('Traffic Data'!T9*$T90*$U90)/(($I90/2)*$S90))^$W90))</f>
        <v>71.776554757167034</v>
      </c>
      <c r="AI90" s="351">
        <f>$R90/(1+($V90*(('Traffic Data'!U9*$T90*$U90)/(($I90/2)*$S90))^$W90))</f>
        <v>71.774849031981802</v>
      </c>
      <c r="AJ90" s="351">
        <f>$R90/(1+($V90*(('Traffic Data'!V9*$T90*$U90)/(($I90/2)*$S90))^$W90))</f>
        <v>71.772415612541664</v>
      </c>
      <c r="AK90" s="351">
        <f>$R90/(1+($V90*(('Traffic Data'!W9*$T90*$U90)/(($I90/2)*$S90))^$W90))</f>
        <v>71.770018300188895</v>
      </c>
      <c r="AL90" s="351">
        <f>$R90/(1+($V90*(('Traffic Data'!X9*$T90*$U90)/(($I90/2)*$S90))^$W90))</f>
        <v>71.767489898122705</v>
      </c>
      <c r="AM90" s="351">
        <f>$R90/(1+($V90*(('Traffic Data'!Y9*$T90*$U90)/(($I90/2)*$S90))^$W90))</f>
        <v>71.764399160622403</v>
      </c>
      <c r="AN90" s="351">
        <f>$R90/(1+($V90*(('Traffic Data'!Z9*$T90*$U90)/(($I90/2)*$S90))^$W90))</f>
        <v>71.760637617205063</v>
      </c>
      <c r="AO90" s="351">
        <f>$R90/(1+($V90*(('Traffic Data'!AA9*$T90*$U90)/(($I90/2)*$S90))^$W90))</f>
        <v>71.756076952093565</v>
      </c>
      <c r="AP90" s="351">
        <f>$R90/(1+($V90*(('Traffic Data'!AB9*$T90*$U90)/(($I90/2)*$S90))^$W90))</f>
        <v>71.750574141488244</v>
      </c>
      <c r="AQ90" s="351">
        <f>$R90/(1+($V90*(('Traffic Data'!AC9*$T90*$U90)/(($I90/2)*$S90))^$W90))</f>
        <v>71.743955026283516</v>
      </c>
      <c r="AR90" s="351">
        <f>$R90/(1+($V90*(('Traffic Data'!AD9*$T90*$U90)/(($I90/2)*$S90))^$W90))</f>
        <v>71.736029202085291</v>
      </c>
      <c r="AS90" s="351">
        <f>$R90/(1+($V90*(('Traffic Data'!AE9*$T90*$U90)/(($I90/2)*$S90))^$W90))</f>
        <v>71.726569339588096</v>
      </c>
      <c r="AT90" s="351">
        <f>$R90/(1+($V90*(('Traffic Data'!AF9*$T90*$U90)/(($I90/2)*$S90))^$W90))</f>
        <v>71.715312708256533</v>
      </c>
      <c r="AU90" s="351">
        <f>$R90/(1+($V90*(('Traffic Data'!AG9*$T90*$U90)/(($I90/2)*$S90))^$W90))</f>
        <v>71.70197345015616</v>
      </c>
      <c r="AV90" s="351">
        <f>$R90/(1+($V90*(('Traffic Data'!AH9*$T90*$U90)/(($I90/2)*$S90))^$W90))</f>
        <v>71.686211478832135</v>
      </c>
      <c r="AW90" s="352">
        <f>$R90/(1+($V90*(('Traffic Data'!AI9*$T90*$U90)/(($I90/2)*$S90))^$W90))</f>
        <v>71.667636866876236</v>
      </c>
      <c r="AX90" s="378">
        <f>$R90/(1+($V90*(('Traffic Data'!J9*(0.67/14))/(($I90)*$S90))^$W90))</f>
        <v>71.779999999823488</v>
      </c>
      <c r="AY90" s="378">
        <f>$R90/(1+($V90*(('Traffic Data'!J9*(0.67/14))/(($I90)*$S90))^$W90))</f>
        <v>71.779999999823488</v>
      </c>
      <c r="AZ90" s="378">
        <f>$R90/(1+($V90*(('Traffic Data'!K9*(0.67/14))/(($I90)*$S90))^$W90))</f>
        <v>71.779999999734272</v>
      </c>
      <c r="BA90" s="378">
        <f>$R90/(1+($V90*(('Traffic Data'!L9*(0.67/14))/(($I90)*$S90))^$W90))</f>
        <v>71.779999999568759</v>
      </c>
      <c r="BB90" s="378">
        <f>$R90/(1+($V90*(('Traffic Data'!M9*(0.67/14))/(($I90)*$S90))^$W90))</f>
        <v>71.779999999200783</v>
      </c>
      <c r="BC90" s="378">
        <f>$R90/(1+($V90*(('Traffic Data'!N9*(0.67/14))/(($I90)*$S90))^$W90))</f>
        <v>71.77999999857073</v>
      </c>
      <c r="BD90" s="378">
        <f>$R90/(1+($V90*(('Traffic Data'!O9*(0.67/14))/(($I90)*$S90))^$W90))</f>
        <v>71.779999997524499</v>
      </c>
      <c r="BE90" s="378">
        <f>$R90/(1+($V90*(('Traffic Data'!P9*(0.67/14))/(($I90)*$S90))^$W90))</f>
        <v>71.779999995833847</v>
      </c>
      <c r="BF90" s="378">
        <f>$R90/(1+($V90*(('Traffic Data'!Q9*(0.67/14))/(($I90)*$S90))^$W90))</f>
        <v>71.779999993164495</v>
      </c>
      <c r="BG90" s="378">
        <f>$R90/(1+($V90*(('Traffic Data'!R9*(0.67/14))/(($I90)*$S90))^$W90))</f>
        <v>71.779999989199908</v>
      </c>
      <c r="BH90" s="378">
        <f>$R90/(1+($V90*(('Traffic Data'!S9*(0.67/14))/(($I90)*$S90))^$W90))</f>
        <v>71.779999983271324</v>
      </c>
      <c r="BI90" s="378">
        <f>$R90/(1+($V90*(('Traffic Data'!T9*(0.67/14))/(($I90)*$S90))^$W90))</f>
        <v>71.779999974563211</v>
      </c>
      <c r="BJ90" s="378">
        <f>$R90/(1+($V90*(('Traffic Data'!U9*(0.67/14))/(($I90)*$S90))^$W90))</f>
        <v>71.779999961968642</v>
      </c>
      <c r="BK90" s="378">
        <f>$R90/(1+($V90*(('Traffic Data'!V9*(0.67/14))/(($I90)*$S90))^$W90))</f>
        <v>71.779999943999997</v>
      </c>
      <c r="BL90" s="378">
        <f>$R90/(1+($V90*(('Traffic Data'!W9*(0.67/14))/(($I90)*$S90))^$W90))</f>
        <v>71.779999926296767</v>
      </c>
      <c r="BM90" s="378">
        <f>$R90/(1+($V90*(('Traffic Data'!X9*(0.67/14))/(($I90)*$S90))^$W90))</f>
        <v>71.779999907624202</v>
      </c>
      <c r="BN90" s="378">
        <f>$R90/(1+($V90*(('Traffic Data'!Y9*(0.67/14))/(($I90)*$S90))^$W90))</f>
        <v>71.779999884796936</v>
      </c>
      <c r="BO90" s="378">
        <f>$R90/(1+($V90*(('Traffic Data'!Z9*(0.67/14))/(($I90)*$S90))^$W90))</f>
        <v>71.779999857012641</v>
      </c>
      <c r="BP90" s="378">
        <f>$R90/(1+($V90*(('Traffic Data'!AA9*(0.67/14))/(($I90)*$S90))^$W90))</f>
        <v>71.779999823321802</v>
      </c>
      <c r="BQ90" s="378">
        <f>$R90/(1+($V90*(('Traffic Data'!AB9*(0.67/14))/(($I90)*$S90))^$W90))</f>
        <v>71.779999782665399</v>
      </c>
      <c r="BR90" s="378">
        <f>$R90/(1+($V90*(('Traffic Data'!AC9*(0.67/14))/(($I90)*$S90))^$W90))</f>
        <v>71.779999733753115</v>
      </c>
      <c r="BS90" s="378">
        <f>$R90/(1+($V90*(('Traffic Data'!AD9*(0.67/14))/(($I90)*$S90))^$W90))</f>
        <v>71.779999675172974</v>
      </c>
      <c r="BT90" s="378">
        <f>$R90/(1+($V90*(('Traffic Data'!AE9*(0.67/14))/(($I90)*$S90))^$W90))</f>
        <v>71.779999605237748</v>
      </c>
      <c r="BU90" s="378">
        <f>$R90/(1+($V90*(('Traffic Data'!AF9*(0.67/14))/(($I90)*$S90))^$W90))</f>
        <v>71.779999521995265</v>
      </c>
      <c r="BV90" s="378">
        <f>$R90/(1+($V90*(('Traffic Data'!AG9*(0.67/14))/(($I90)*$S90))^$W90))</f>
        <v>71.779999423317946</v>
      </c>
      <c r="BW90" s="620">
        <f>$R90/(1+($V90*(('Traffic Data'!AH9*(0.67/14))/(($I90)*$S90))^$W90))</f>
        <v>71.779999306671286</v>
      </c>
    </row>
    <row r="91" spans="1:76" ht="21.9" customHeight="1" x14ac:dyDescent="0.25">
      <c r="A91" s="617"/>
      <c r="C91" s="1327" t="s">
        <v>274</v>
      </c>
      <c r="D91" s="114" t="s">
        <v>275</v>
      </c>
      <c r="E91" s="114" t="s">
        <v>318</v>
      </c>
      <c r="F91" s="550">
        <f>'Traffic Data'!CM10</f>
        <v>0.83333333333333337</v>
      </c>
      <c r="G91" s="550">
        <f>'Traffic Data'!CN10</f>
        <v>0.9</v>
      </c>
      <c r="H91" s="143">
        <f>'Traffic Data'!G10</f>
        <v>55</v>
      </c>
      <c r="I91" s="143">
        <v>2</v>
      </c>
      <c r="J91" s="143">
        <f>H91+7</f>
        <v>62</v>
      </c>
      <c r="K91" s="143">
        <v>0</v>
      </c>
      <c r="L91" s="143">
        <v>2.5</v>
      </c>
      <c r="M91" s="143">
        <v>0</v>
      </c>
      <c r="N91" s="143">
        <v>0</v>
      </c>
      <c r="O91" s="143">
        <v>0</v>
      </c>
      <c r="P91" s="143">
        <v>0</v>
      </c>
      <c r="Q91" s="143">
        <v>0</v>
      </c>
      <c r="R91" s="171">
        <f t="shared" si="4"/>
        <v>59.5</v>
      </c>
      <c r="S91" s="557">
        <f>N$21*F91*G91</f>
        <v>600.00000000000011</v>
      </c>
      <c r="T91" s="558">
        <v>0.12</v>
      </c>
      <c r="U91" s="559">
        <v>0.65</v>
      </c>
      <c r="V91" s="560">
        <f t="shared" si="5"/>
        <v>0.2</v>
      </c>
      <c r="W91" s="225">
        <v>10</v>
      </c>
      <c r="X91" s="377">
        <f>MAX(10,$R91/(1+($V91*(('Traffic Data'!J10*$T91*$U91)/(($I91/2)*$S91))^$W91)))</f>
        <v>59.482802914245177</v>
      </c>
      <c r="Y91" s="503">
        <f>MAX(10,$R91/(1+($V91*(('Traffic Data'!K10*$T91*$U91)/(($I91/2)*$S91))^$W91)))</f>
        <v>59.451584673323097</v>
      </c>
      <c r="Z91" s="503">
        <f>MAX(10,$R91/(1+($V91*(('Traffic Data'!L10*$T91*$U91)/(($I91/2)*$S91))^$W91)))</f>
        <v>59.370082037474731</v>
      </c>
      <c r="AA91" s="503">
        <f>MAX(10,$R91/(1+($V91*(('Traffic Data'!M10*$T91*$U91)/(($I91/2)*$S91))^$W91)))</f>
        <v>57.867356676127315</v>
      </c>
      <c r="AB91" s="503">
        <f>MAX(10,$R91/(1+($V91*(('Traffic Data'!N10*$T91*$U91)/(($I91/2)*$S91))^$W91)))</f>
        <v>48.932904278577311</v>
      </c>
      <c r="AC91" s="503">
        <f>MAX(10,$R91/(1+($V91*(('Traffic Data'!O10*$T91*$U91)/(($I91/2)*$S91))^$W91)))</f>
        <v>27.405198644518649</v>
      </c>
      <c r="AD91" s="503">
        <f>MAX(10,$R91/(1+($V91*(('Traffic Data'!P10*$T91*$U91)/(($I91/2)*$S91))^$W91)))</f>
        <v>10</v>
      </c>
      <c r="AE91" s="503">
        <f>MAX(10,$R91/(1+($V91*(('Traffic Data'!Q10*$T91*$U91)/(($I91/2)*$S91))^$W91)))</f>
        <v>10</v>
      </c>
      <c r="AF91" s="503">
        <f>MAX(10,$R91/(1+($V91*(('Traffic Data'!R10*$T91*$U91)/(($I91/2)*$S91))^$W91)))</f>
        <v>10</v>
      </c>
      <c r="AG91" s="503">
        <f>MAX(10,$R91/(1+($V91*(('Traffic Data'!S10*$T91*$U91)/(($I91/2)*$S91))^$W91)))</f>
        <v>10</v>
      </c>
      <c r="AH91" s="503">
        <f>MAX(10,$R91/(1+($V91*(('Traffic Data'!T10*$T91*$U91)/(($I91/2)*$S91))^$W91)))</f>
        <v>10</v>
      </c>
      <c r="AI91" s="503">
        <f>MAX(10,$R91/(1+($V91*(('Traffic Data'!U10*$T91*$U91)/(($I91/2)*$S91))^$W91)))</f>
        <v>10</v>
      </c>
      <c r="AJ91" s="503">
        <f>MAX(10,$R91/(1+($V91*(('Traffic Data'!V10*$T91*$U91)/(($I91/2)*$S91))^$W91)))</f>
        <v>10</v>
      </c>
      <c r="AK91" s="503">
        <f>MAX(10,$R91/(1+($V91*(('Traffic Data'!W10*$T91*$U91)/(($I91/2)*$S91))^$W91)))</f>
        <v>10</v>
      </c>
      <c r="AL91" s="503">
        <f>MAX(10,$R91/(1+($V91*(('Traffic Data'!X10*$T91*$U91)/(($I91/2)*$S91))^$W91)))</f>
        <v>10</v>
      </c>
      <c r="AM91" s="503">
        <f>MAX(10,$R91/(1+($V91*(('Traffic Data'!Y10*$T91*$U91)/(($I91/2)*$S91))^$W91)))</f>
        <v>10</v>
      </c>
      <c r="AN91" s="503">
        <f>MAX(10,$R91/(1+($V91*(('Traffic Data'!Z10*$T91*$U91)/(($I91/2)*$S91))^$W91)))</f>
        <v>10</v>
      </c>
      <c r="AO91" s="503">
        <f>MAX(10,$R91/(1+($V91*(('Traffic Data'!AA10*$T91*$U91)/(($I91/2)*$S91))^$W91)))</f>
        <v>10</v>
      </c>
      <c r="AP91" s="503">
        <f>MAX(10,$R91/(1+($V91*(('Traffic Data'!AB10*$T91*$U91)/(($I91/2)*$S91))^$W91)))</f>
        <v>10</v>
      </c>
      <c r="AQ91" s="503">
        <f>MAX(10,$R91/(1+($V91*(('Traffic Data'!AC10*$T91*$U91)/(($I91/2)*$S91))^$W91)))</f>
        <v>10</v>
      </c>
      <c r="AR91" s="503">
        <f>MAX(10,$R91/(1+($V91*(('Traffic Data'!AD10*$T91*$U91)/(($I91/2)*$S91))^$W91)))</f>
        <v>10</v>
      </c>
      <c r="AS91" s="503">
        <f>MAX(10,$R91/(1+($V91*(('Traffic Data'!AE10*$T91*$U91)/(($I91/2)*$S91))^$W91)))</f>
        <v>10</v>
      </c>
      <c r="AT91" s="503">
        <f>MAX(10,$R91/(1+($V91*(('Traffic Data'!AF10*$T91*$U91)/(($I91/2)*$S91))^$W91)))</f>
        <v>10</v>
      </c>
      <c r="AU91" s="503">
        <f>MAX(10,$R91/(1+($V91*(('Traffic Data'!AG10*$T91*$U91)/(($I91/2)*$S91))^$W91)))</f>
        <v>10</v>
      </c>
      <c r="AV91" s="503">
        <f>MAX(10,$R91/(1+($V91*(('Traffic Data'!AH10*$T91*$U91)/(($I91/2)*$S91))^$W91)))</f>
        <v>10</v>
      </c>
      <c r="AW91" s="502">
        <f>MAX(10,$R91/(1+($V91*(('Traffic Data'!AI10*$T91*$U91)/(($I91/2)*$S91))^$W91)))</f>
        <v>10</v>
      </c>
      <c r="AX91" s="355">
        <f>$R91/(1+($V91*(('Traffic Data'!J10*(0.67/14))/(($I91)*$S91))^$W91))</f>
        <v>59.499999873000476</v>
      </c>
      <c r="AY91" s="355">
        <f>$R91/(1+($V91*(('Traffic Data'!J10*(0.67/14))/(($I91)*$S91))^$W91))</f>
        <v>59.499999873000476</v>
      </c>
      <c r="AZ91" s="355">
        <f>$R91/(1+($V91*(('Traffic Data'!K10*(0.67/14))/(($I91)*$S91))^$W91))</f>
        <v>59.49999964226776</v>
      </c>
      <c r="BA91" s="355">
        <f>$R91/(1+($V91*(('Traffic Data'!L10*(0.67/14))/(($I91)*$S91))^$W91))</f>
        <v>59.499999038741485</v>
      </c>
      <c r="BB91" s="355">
        <f>$R91/(1+($V91*(('Traffic Data'!M10*(0.67/14))/(($I91)*$S91))^$W91))</f>
        <v>59.499987606435418</v>
      </c>
      <c r="BC91" s="355">
        <f>$R91/(1+($V91*(('Traffic Data'!N10*(0.67/14))/(($I91)*$S91))^$W91))</f>
        <v>59.49990513792752</v>
      </c>
      <c r="BD91" s="355">
        <f>$R91/(1+($V91*(('Traffic Data'!O10*(0.67/14))/(($I91)*$S91))^$W91))</f>
        <v>59.49948555774278</v>
      </c>
      <c r="BE91" s="355">
        <f>$R91/(1+($V91*(('Traffic Data'!P10*(0.67/14))/(($I91)*$S91))^$W91))</f>
        <v>59.497818518103678</v>
      </c>
      <c r="BF91" s="355">
        <f>$R91/(1+($V91*(('Traffic Data'!Q10*(0.67/14))/(($I91)*$S91))^$W91))</f>
        <v>59.492281341629493</v>
      </c>
      <c r="BG91" s="355">
        <f>$R91/(1+($V91*(('Traffic Data'!R10*(0.67/14))/(($I91)*$S91))^$W91))</f>
        <v>59.466168125491599</v>
      </c>
      <c r="BH91" s="355">
        <f>$R91/(1+($V91*(('Traffic Data'!S10*(0.67/14))/(($I91)*$S91))^$W91))</f>
        <v>59.377511414125067</v>
      </c>
      <c r="BI91" s="355">
        <f>$R91/(1+($V91*(('Traffic Data'!T10*(0.67/14))/(($I91)*$S91))^$W91))</f>
        <v>59.118493852078899</v>
      </c>
      <c r="BJ91" s="355">
        <f>$R91/(1+($V91*(('Traffic Data'!U10*(0.67/14))/(($I91)*$S91))^$W91))</f>
        <v>58.450170986783746</v>
      </c>
      <c r="BK91" s="355">
        <f>$R91/(1+($V91*(('Traffic Data'!V10*(0.67/14))/(($I91)*$S91))^$W91))</f>
        <v>56.910179693932385</v>
      </c>
      <c r="BL91" s="355">
        <f>$R91/(1+($V91*(('Traffic Data'!W10*(0.67/14))/(($I91)*$S91))^$W91))</f>
        <v>55.609704730983857</v>
      </c>
      <c r="BM91" s="355">
        <f>$R91/(1+($V91*(('Traffic Data'!X10*(0.67/14))/(($I91)*$S91))^$W91))</f>
        <v>54.852758976037464</v>
      </c>
      <c r="BN91" s="355">
        <f>$R91/(1+($V91*(('Traffic Data'!Y10*(0.67/14))/(($I91)*$S91))^$W91))</f>
        <v>53.981238415286349</v>
      </c>
      <c r="BO91" s="355">
        <f>$R91/(1+($V91*(('Traffic Data'!Z10*(0.67/14))/(($I91)*$S91))^$W91))</f>
        <v>52.985877041502413</v>
      </c>
      <c r="BP91" s="355">
        <f>$R91/(1+($V91*(('Traffic Data'!AA10*(0.67/14))/(($I91)*$S91))^$W91))</f>
        <v>51.856833281409628</v>
      </c>
      <c r="BQ91" s="355">
        <f>$R91/(1+($V91*(('Traffic Data'!AB10*(0.67/14))/(($I91)*$S91))^$W91))</f>
        <v>50.59174927342967</v>
      </c>
      <c r="BR91" s="355">
        <f>$R91/(1+($V91*(('Traffic Data'!AC10*(0.67/14))/(($I91)*$S91))^$W91))</f>
        <v>49.183187727463952</v>
      </c>
      <c r="BS91" s="355">
        <f>$R91/(1+($V91*(('Traffic Data'!AD10*(0.67/14))/(($I91)*$S91))^$W91))</f>
        <v>47.635500619307336</v>
      </c>
      <c r="BT91" s="355">
        <f>$R91/(1+($V91*(('Traffic Data'!AE10*(0.67/14))/(($I91)*$S91))^$W91))</f>
        <v>45.950114226766104</v>
      </c>
      <c r="BU91" s="355">
        <f>$R91/(1+($V91*(('Traffic Data'!AF10*(0.67/14))/(($I91)*$S91))^$W91))</f>
        <v>44.131666528992497</v>
      </c>
      <c r="BV91" s="355">
        <f>$R91/(1+($V91*(('Traffic Data'!AG10*(0.67/14))/(($I91)*$S91))^$W91))</f>
        <v>42.19785905879651</v>
      </c>
      <c r="BW91" s="621">
        <f>$R91/(1+($V91*(('Traffic Data'!AH10*(0.67/14))/(($I91)*$S91))^$W91))</f>
        <v>40.161812588670877</v>
      </c>
    </row>
    <row r="92" spans="1:76" ht="21.9" customHeight="1" x14ac:dyDescent="0.25">
      <c r="A92" s="617"/>
      <c r="C92" s="1327"/>
      <c r="D92" s="114" t="s">
        <v>318</v>
      </c>
      <c r="E92" s="114" t="s">
        <v>308</v>
      </c>
      <c r="F92" s="550">
        <f>'Traffic Data'!CM10</f>
        <v>0.83333333333333337</v>
      </c>
      <c r="G92" s="550">
        <f>'Traffic Data'!CN10</f>
        <v>0.9</v>
      </c>
      <c r="H92" s="143">
        <f>'Traffic Data'!G11</f>
        <v>45</v>
      </c>
      <c r="I92" s="143">
        <v>2</v>
      </c>
      <c r="J92" s="143">
        <f t="shared" ref="J92:J107" si="6">H92+7</f>
        <v>52</v>
      </c>
      <c r="K92" s="143">
        <v>0</v>
      </c>
      <c r="L92" s="143">
        <v>2.5</v>
      </c>
      <c r="M92" s="143">
        <v>0</v>
      </c>
      <c r="N92" s="143">
        <v>0</v>
      </c>
      <c r="O92" s="143">
        <v>0</v>
      </c>
      <c r="P92" s="143">
        <v>0</v>
      </c>
      <c r="Q92" s="143">
        <v>0</v>
      </c>
      <c r="R92" s="171">
        <f t="shared" si="4"/>
        <v>49.5</v>
      </c>
      <c r="S92" s="551">
        <f>N$24*F92*G92</f>
        <v>600.00000000000011</v>
      </c>
      <c r="T92" s="552">
        <v>0.12</v>
      </c>
      <c r="U92" s="553">
        <v>0.65</v>
      </c>
      <c r="V92" s="554">
        <f t="shared" si="5"/>
        <v>0.2</v>
      </c>
      <c r="W92" s="225">
        <v>10</v>
      </c>
      <c r="X92" s="504">
        <f>MAX(10,$R92/(1+($V92*(('Traffic Data'!J11*$T92*$U92)/(($I92/2)*$S92))^$W92)))</f>
        <v>49.499913467275938</v>
      </c>
      <c r="Y92" s="503">
        <f>MAX(10,$R92/(1+($V92*(('Traffic Data'!K11*$T92*$U92)/(($I92/2)*$S92))^$W92)))</f>
        <v>49.499698678328905</v>
      </c>
      <c r="Z92" s="503">
        <f>MAX(10,$R92/(1+($V92*(('Traffic Data'!L11*$T92*$U92)/(($I92/2)*$S92))^$W92)))</f>
        <v>49.499085896074206</v>
      </c>
      <c r="AA92" s="503">
        <f>MAX(10,$R92/(1+($V92*(('Traffic Data'!M11*$T92*$U92)/(($I92/2)*$S92))^$W92)))</f>
        <v>49.480878972327758</v>
      </c>
      <c r="AB92" s="503">
        <f>MAX(10,$R92/(1+($V92*(('Traffic Data'!N11*$T92*$U92)/(($I92/2)*$S92))^$W92)))</f>
        <v>49.304358526535687</v>
      </c>
      <c r="AC92" s="503">
        <f>MAX(10,$R92/(1+($V92*(('Traffic Data'!O11*$T92*$U92)/(($I92/2)*$S92))^$W92)))</f>
        <v>48.233928748720977</v>
      </c>
      <c r="AD92" s="503">
        <f>MAX(10,$R92/(1+($V92*(('Traffic Data'!P11*$T92*$U92)/(($I92/2)*$S92))^$W92)))</f>
        <v>43.870904494080158</v>
      </c>
      <c r="AE92" s="503">
        <f>MAX(10,$R92/(1+($V92*(('Traffic Data'!Q11*$T92*$U92)/(($I92/2)*$S92))^$W92)))</f>
        <v>32.887235062065436</v>
      </c>
      <c r="AF92" s="503">
        <f>MAX(10,$R92/(1+($V92*(('Traffic Data'!R11*$T92*$U92)/(($I92/2)*$S92))^$W92)))</f>
        <v>12.249107915850917</v>
      </c>
      <c r="AG92" s="503">
        <f>MAX(10,$R92/(1+($V92*(('Traffic Data'!S11*$T92*$U92)/(($I92/2)*$S92))^$W92)))</f>
        <v>10</v>
      </c>
      <c r="AH92" s="503">
        <f>MAX(10,$R92/(1+($V92*(('Traffic Data'!T11*$T92*$U92)/(($I92/2)*$S92))^$W92)))</f>
        <v>10</v>
      </c>
      <c r="AI92" s="503">
        <f>MAX(10,$R92/(1+($V92*(('Traffic Data'!U11*$T92*$U92)/(($I92/2)*$S92))^$W92)))</f>
        <v>10</v>
      </c>
      <c r="AJ92" s="503">
        <f>MAX(10,$R92/(1+($V92*(('Traffic Data'!V11*$T92*$U92)/(($I92/2)*$S92))^$W92)))</f>
        <v>10</v>
      </c>
      <c r="AK92" s="503">
        <f>MAX(10,$R92/(1+($V92*(('Traffic Data'!W11*$T92*$U92)/(($I92/2)*$S92))^$W92)))</f>
        <v>10</v>
      </c>
      <c r="AL92" s="503">
        <f>MAX(10,$R92/(1+($V92*(('Traffic Data'!X11*$T92*$U92)/(($I92/2)*$S92))^$W92)))</f>
        <v>10</v>
      </c>
      <c r="AM92" s="503">
        <f>MAX(10,$R92/(1+($V92*(('Traffic Data'!Y11*$T92*$U92)/(($I92/2)*$S92))^$W92)))</f>
        <v>10</v>
      </c>
      <c r="AN92" s="503">
        <f>MAX(10,$R92/(1+($V92*(('Traffic Data'!Z11*$T92*$U92)/(($I92/2)*$S92))^$W92)))</f>
        <v>10</v>
      </c>
      <c r="AO92" s="503">
        <f>MAX(10,$R92/(1+($V92*(('Traffic Data'!AA11*$T92*$U92)/(($I92/2)*$S92))^$W92)))</f>
        <v>10</v>
      </c>
      <c r="AP92" s="503">
        <f>MAX(10,$R92/(1+($V92*(('Traffic Data'!AB11*$T92*$U92)/(($I92/2)*$S92))^$W92)))</f>
        <v>10</v>
      </c>
      <c r="AQ92" s="503">
        <f>MAX(10,$R92/(1+($V92*(('Traffic Data'!AC11*$T92*$U92)/(($I92/2)*$S92))^$W92)))</f>
        <v>10</v>
      </c>
      <c r="AR92" s="503">
        <f>MAX(10,$R92/(1+($V92*(('Traffic Data'!AD11*$T92*$U92)/(($I92/2)*$S92))^$W92)))</f>
        <v>10</v>
      </c>
      <c r="AS92" s="503">
        <f>MAX(10,$R92/(1+($V92*(('Traffic Data'!AE11*$T92*$U92)/(($I92/2)*$S92))^$W92)))</f>
        <v>10</v>
      </c>
      <c r="AT92" s="503">
        <f>MAX(10,$R92/(1+($V92*(('Traffic Data'!AF11*$T92*$U92)/(($I92/2)*$S92))^$W92)))</f>
        <v>10</v>
      </c>
      <c r="AU92" s="503">
        <f>MAX(10,$R92/(1+($V92*(('Traffic Data'!AG11*$T92*$U92)/(($I92/2)*$S92))^$W92)))</f>
        <v>10</v>
      </c>
      <c r="AV92" s="503">
        <f>MAX(10,$R92/(1+($V92*(('Traffic Data'!AH11*$T92*$U92)/(($I92/2)*$S92))^$W92)))</f>
        <v>10</v>
      </c>
      <c r="AW92" s="502">
        <f>MAX(10,$R92/(1+($V92*(('Traffic Data'!AI11*$T92*$U92)/(($I92/2)*$S92))^$W92)))</f>
        <v>10</v>
      </c>
      <c r="AX92" s="503">
        <f>$R92/(1+($V92*(('Traffic Data'!J11*(0.67/14))/(($I92)*$S92))^$W92))</f>
        <v>49.499999999361144</v>
      </c>
      <c r="AY92" s="503">
        <f>$R92/(1+($V92*(('Traffic Data'!J11*(0.67/14))/(($I92)*$S92))^$W92))</f>
        <v>49.499999999361144</v>
      </c>
      <c r="AZ92" s="503">
        <f>$R92/(1+($V92*(('Traffic Data'!K11*(0.67/14))/(($I92)*$S92))^$W92))</f>
        <v>49.49999999777539</v>
      </c>
      <c r="BA92" s="503">
        <f>$R92/(1+($V92*(('Traffic Data'!L11*(0.67/14))/(($I92)*$S92))^$W92))</f>
        <v>49.499999993251222</v>
      </c>
      <c r="BB92" s="503">
        <f>$R92/(1+($V92*(('Traffic Data'!M11*(0.67/14))/(($I92)*$S92))^$W92))</f>
        <v>49.49999985877853</v>
      </c>
      <c r="BC92" s="503">
        <f>$R92/(1+($V92*(('Traffic Data'!N11*(0.67/14))/(($I92)*$S92))^$W92))</f>
        <v>49.499998549884872</v>
      </c>
      <c r="BD92" s="503">
        <f>$R92/(1+($V92*(('Traffic Data'!O11*(0.67/14))/(($I92)*$S92))^$W92))</f>
        <v>49.499990407488873</v>
      </c>
      <c r="BE92" s="503">
        <f>$R92/(1+($V92*(('Traffic Data'!P11*(0.67/14))/(($I92)*$S92))^$W92))</f>
        <v>49.499953109107075</v>
      </c>
      <c r="BF92" s="503">
        <f>$R92/(1+($V92*(('Traffic Data'!Q11*(0.67/14))/(($I92)*$S92))^$W92))</f>
        <v>49.499815396545571</v>
      </c>
      <c r="BG92" s="503">
        <f>$R92/(1+($V92*(('Traffic Data'!R11*(0.67/14))/(($I92)*$S92))^$W92))</f>
        <v>49.498888653843622</v>
      </c>
      <c r="BH92" s="503">
        <f>$R92/(1+($V92*(('Traffic Data'!S11*(0.67/14))/(($I92)*$S92))^$W92))</f>
        <v>49.494912735808761</v>
      </c>
      <c r="BI92" s="503">
        <f>$R92/(1+($V92*(('Traffic Data'!T11*(0.67/14))/(($I92)*$S92))^$W92))</f>
        <v>49.480957550393988</v>
      </c>
      <c r="BJ92" s="503">
        <f>$R92/(1+($V92*(('Traffic Data'!U11*(0.67/14))/(($I92)*$S92))^$W92))</f>
        <v>49.438937168999267</v>
      </c>
      <c r="BK92" s="503">
        <f>$R92/(1+($V92*(('Traffic Data'!V11*(0.67/14))/(($I92)*$S92))^$W92))</f>
        <v>49.326739540117337</v>
      </c>
      <c r="BL92" s="503">
        <f>$R92/(1+($V92*(('Traffic Data'!W11*(0.67/14))/(($I92)*$S92))^$W92))</f>
        <v>49.208507225056294</v>
      </c>
      <c r="BM92" s="503">
        <f>$R92/(1+($V92*(('Traffic Data'!X11*(0.67/14))/(($I92)*$S92))^$W92))</f>
        <v>49.151693417975473</v>
      </c>
      <c r="BN92" s="503">
        <f>$R92/(1+($V92*(('Traffic Data'!Y11*(0.67/14))/(($I92)*$S92))^$W92))</f>
        <v>49.08519986895972</v>
      </c>
      <c r="BO92" s="503">
        <f>$R92/(1+($V92*(('Traffic Data'!Z11*(0.67/14))/(($I92)*$S92))^$W92))</f>
        <v>49.007627169302346</v>
      </c>
      <c r="BP92" s="503">
        <f>$R92/(1+($V92*(('Traffic Data'!AA11*(0.67/14))/(($I92)*$S92))^$W92))</f>
        <v>48.91735589406246</v>
      </c>
      <c r="BQ92" s="503">
        <f>$R92/(1+($V92*(('Traffic Data'!AB11*(0.67/14))/(($I92)*$S92))^$W92))</f>
        <v>48.812770425268134</v>
      </c>
      <c r="BR92" s="503">
        <f>$R92/(1+($V92*(('Traffic Data'!AC11*(0.67/14))/(($I92)*$S92))^$W92))</f>
        <v>48.691830798739112</v>
      </c>
      <c r="BS92" s="503">
        <f>$R92/(1+($V92*(('Traffic Data'!AD11*(0.67/14))/(($I92)*$S92))^$W92))</f>
        <v>48.552595703074807</v>
      </c>
      <c r="BT92" s="503">
        <f>$R92/(1+($V92*(('Traffic Data'!AE11*(0.67/14))/(($I92)*$S92))^$W92))</f>
        <v>48.392712369543631</v>
      </c>
      <c r="BU92" s="503">
        <f>$R92/(1+($V92*(('Traffic Data'!AF11*(0.67/14))/(($I92)*$S92))^$W92))</f>
        <v>48.209583889994498</v>
      </c>
      <c r="BV92" s="503">
        <f>$R92/(1+($V92*(('Traffic Data'!AG11*(0.67/14))/(($I92)*$S92))^$W92))</f>
        <v>48.00077447414651</v>
      </c>
      <c r="BW92" s="622">
        <f>$R92/(1+($V92*(('Traffic Data'!AH11*(0.67/14))/(($I92)*$S92))^$W92))</f>
        <v>47.763331045094297</v>
      </c>
    </row>
    <row r="93" spans="1:76" ht="21.9" customHeight="1" x14ac:dyDescent="0.25">
      <c r="A93" s="617"/>
      <c r="C93" s="1339"/>
      <c r="D93" s="250" t="s">
        <v>308</v>
      </c>
      <c r="E93" s="250" t="s">
        <v>319</v>
      </c>
      <c r="F93" s="555">
        <f>'Traffic Data'!CM10</f>
        <v>0.83333333333333337</v>
      </c>
      <c r="G93" s="550">
        <f>'Traffic Data'!CN10</f>
        <v>0.9</v>
      </c>
      <c r="H93" s="556">
        <f>'Traffic Data'!G12</f>
        <v>45</v>
      </c>
      <c r="I93" s="143">
        <v>2</v>
      </c>
      <c r="J93" s="556">
        <f t="shared" si="6"/>
        <v>52</v>
      </c>
      <c r="K93" s="143">
        <v>0</v>
      </c>
      <c r="L93" s="143">
        <v>5</v>
      </c>
      <c r="M93" s="143">
        <v>0</v>
      </c>
      <c r="N93" s="143">
        <v>0</v>
      </c>
      <c r="O93" s="143">
        <v>0</v>
      </c>
      <c r="P93" s="143">
        <v>0</v>
      </c>
      <c r="Q93" s="143">
        <v>0</v>
      </c>
      <c r="R93" s="249">
        <f t="shared" si="4"/>
        <v>47</v>
      </c>
      <c r="S93" s="561">
        <f>N$24*F93*G93</f>
        <v>600.00000000000011</v>
      </c>
      <c r="T93" s="562">
        <v>0.12</v>
      </c>
      <c r="U93" s="563">
        <v>0.65</v>
      </c>
      <c r="V93" s="564">
        <f t="shared" si="5"/>
        <v>0.2</v>
      </c>
      <c r="W93" s="225">
        <v>10</v>
      </c>
      <c r="X93" s="504">
        <f>MAX(10,$R93/(1+($V93*(('Traffic Data'!J12*$T93*$U93)/(($I93/2)*$S93))^$W93)))</f>
        <v>46.22928606898175</v>
      </c>
      <c r="Y93" s="503">
        <f>MAX(10,$R93/(1+($V93*(('Traffic Data'!K12*$T93*$U93)/(($I93/2)*$S93))^$W93)))</f>
        <v>45.898630025140719</v>
      </c>
      <c r="Z93" s="503">
        <f>MAX(10,$R93/(1+($V93*(('Traffic Data'!L12*$T93*$U93)/(($I93/2)*$S93))^$W93)))</f>
        <v>45.449897519349484</v>
      </c>
      <c r="AA93" s="503">
        <f>MAX(10,$R93/(1+($V93*(('Traffic Data'!M12*$T93*$U93)/(($I93/2)*$S93))^$W93)))</f>
        <v>44.119410951142108</v>
      </c>
      <c r="AB93" s="503">
        <f>MAX(10,$R93/(1+($V93*(('Traffic Data'!N12*$T93*$U93)/(($I93/2)*$S93))^$W93)))</f>
        <v>41.957653868858038</v>
      </c>
      <c r="AC93" s="503">
        <f>MAX(10,$R93/(1+($V93*(('Traffic Data'!O12*$T93*$U93)/(($I93/2)*$S93))^$W93)))</f>
        <v>38.729516810869946</v>
      </c>
      <c r="AD93" s="503">
        <f>MAX(10,$R93/(1+($V93*(('Traffic Data'!P12*$T93*$U93)/(($I93/2)*$S93))^$W93)))</f>
        <v>34.364001943170187</v>
      </c>
      <c r="AE93" s="503">
        <f>MAX(10,$R93/(1+($V93*(('Traffic Data'!Q12*$T93*$U93)/(($I93/2)*$S93))^$W93)))</f>
        <v>29.083997757787802</v>
      </c>
      <c r="AF93" s="503">
        <f>MAX(10,$R93/(1+($V93*(('Traffic Data'!R12*$T93*$U93)/(($I93/2)*$S93))^$W93)))</f>
        <v>21.27313861925975</v>
      </c>
      <c r="AG93" s="503">
        <f>MAX(10,$R93/(1+($V93*(('Traffic Data'!S12*$T93*$U93)/(($I93/2)*$S93))^$W93)))</f>
        <v>14.347395945200246</v>
      </c>
      <c r="AH93" s="503">
        <f>MAX(10,$R93/(1+($V93*(('Traffic Data'!T12*$T93*$U93)/(($I93/2)*$S93))^$W93)))</f>
        <v>10</v>
      </c>
      <c r="AI93" s="503">
        <f>MAX(10,$R93/(1+($V93*(('Traffic Data'!U12*$T93*$U93)/(($I93/2)*$S93))^$W93)))</f>
        <v>10</v>
      </c>
      <c r="AJ93" s="503">
        <f>MAX(10,$R93/(1+($V93*(('Traffic Data'!V12*$T93*$U93)/(($I93/2)*$S93))^$W93)))</f>
        <v>10</v>
      </c>
      <c r="AK93" s="503">
        <f>MAX(10,$R93/(1+($V93*(('Traffic Data'!W12*$T93*$U93)/(($I93/2)*$S93))^$W93)))</f>
        <v>10</v>
      </c>
      <c r="AL93" s="503">
        <f>MAX(10,$R93/(1+($V93*(('Traffic Data'!X12*$T93*$U93)/(($I93/2)*$S93))^$W93)))</f>
        <v>10</v>
      </c>
      <c r="AM93" s="503">
        <f>MAX(10,$R93/(1+($V93*(('Traffic Data'!Y12*$T93*$U93)/(($I93/2)*$S93))^$W93)))</f>
        <v>10</v>
      </c>
      <c r="AN93" s="503">
        <f>MAX(10,$R93/(1+($V93*(('Traffic Data'!Z12*$T93*$U93)/(($I93/2)*$S93))^$W93)))</f>
        <v>10</v>
      </c>
      <c r="AO93" s="503">
        <f>MAX(10,$R93/(1+($V93*(('Traffic Data'!AA12*$T93*$U93)/(($I93/2)*$S93))^$W93)))</f>
        <v>10</v>
      </c>
      <c r="AP93" s="503">
        <f>MAX(10,$R93/(1+($V93*(('Traffic Data'!AB12*$T93*$U93)/(($I93/2)*$S93))^$W93)))</f>
        <v>10</v>
      </c>
      <c r="AQ93" s="503">
        <f>MAX(10,$R93/(1+($V93*(('Traffic Data'!AC12*$T93*$U93)/(($I93/2)*$S93))^$W93)))</f>
        <v>10</v>
      </c>
      <c r="AR93" s="503">
        <f>MAX(10,$R93/(1+($V93*(('Traffic Data'!AD12*$T93*$U93)/(($I93/2)*$S93))^$W93)))</f>
        <v>10</v>
      </c>
      <c r="AS93" s="503">
        <f>MAX(10,$R93/(1+($V93*(('Traffic Data'!AE12*$T93*$U93)/(($I93/2)*$S93))^$W93)))</f>
        <v>10</v>
      </c>
      <c r="AT93" s="503">
        <f>MAX(10,$R93/(1+($V93*(('Traffic Data'!AF12*$T93*$U93)/(($I93/2)*$S93))^$W93)))</f>
        <v>10</v>
      </c>
      <c r="AU93" s="503">
        <f>MAX(10,$R93/(1+($V93*(('Traffic Data'!AG12*$T93*$U93)/(($I93/2)*$S93))^$W93)))</f>
        <v>10</v>
      </c>
      <c r="AV93" s="503">
        <f>MAX(10,$R93/(1+($V93*(('Traffic Data'!AH12*$T93*$U93)/(($I93/2)*$S93))^$W93)))</f>
        <v>10</v>
      </c>
      <c r="AW93" s="502">
        <f>MAX(10,$R93/(1+($V93*(('Traffic Data'!AI12*$T93*$U93)/(($I93/2)*$S93))^$W93)))</f>
        <v>10</v>
      </c>
      <c r="AX93" s="351">
        <f>$R93/(1+($V93*(('Traffic Data'!J12*(0.67/14))/(($I93)*$S93))^$W93))</f>
        <v>46.99999421510455</v>
      </c>
      <c r="AY93" s="351">
        <f>$R93/(1+($V93*(('Traffic Data'!J12*(0.67/14))/(($I93)*$S93))^$W93))</f>
        <v>46.99999421510455</v>
      </c>
      <c r="AZ93" s="351">
        <f>$R93/(1+($V93*(('Traffic Data'!K12*(0.67/14))/(($I93)*$S93))^$W93))</f>
        <v>46.99999167368231</v>
      </c>
      <c r="BA93" s="351">
        <f>$R93/(1+($V93*(('Traffic Data'!L12*(0.67/14))/(($I93)*$S93))^$W93))</f>
        <v>46.999988165581087</v>
      </c>
      <c r="BB93" s="351">
        <f>$R93/(1+($V93*(('Traffic Data'!M12*(0.67/14))/(($I93)*$S93))^$W93))</f>
        <v>46.9999773446417</v>
      </c>
      <c r="BC93" s="351">
        <f>$R93/(1+($V93*(('Traffic Data'!N12*(0.67/14))/(($I93)*$S93))^$W93))</f>
        <v>46.999958299561882</v>
      </c>
      <c r="BD93" s="351">
        <f>$R93/(1+($V93*(('Traffic Data'!O12*(0.67/14))/(($I93)*$S93))^$W93))</f>
        <v>46.999925901798946</v>
      </c>
      <c r="BE93" s="351">
        <f>$R93/(1+($V93*(('Traffic Data'!P12*(0.67/14))/(($I93)*$S93))^$W93))</f>
        <v>46.999872407783734</v>
      </c>
      <c r="BF93" s="351">
        <f>$R93/(1+($V93*(('Traffic Data'!Q12*(0.67/14))/(($I93)*$S93))^$W93))</f>
        <v>46.999786250762021</v>
      </c>
      <c r="BG93" s="351">
        <f>$R93/(1+($V93*(('Traffic Data'!R12*(0.67/14))/(($I93)*$S93))^$W93))</f>
        <v>46.999580365773198</v>
      </c>
      <c r="BH93" s="351">
        <f>$R93/(1+($V93*(('Traffic Data'!S12*(0.67/14))/(($I93)*$S93))^$W93))</f>
        <v>46.999210309368159</v>
      </c>
      <c r="BI93" s="351">
        <f>$R93/(1+($V93*(('Traffic Data'!T12*(0.67/14))/(($I93)*$S93))^$W93))</f>
        <v>46.998569369612831</v>
      </c>
      <c r="BJ93" s="351">
        <f>$R93/(1+($V93*(('Traffic Data'!U12*(0.67/14))/(($I93)*$S93))^$W93))</f>
        <v>46.997492980686296</v>
      </c>
      <c r="BK93" s="351">
        <f>$R93/(1+($V93*(('Traffic Data'!V12*(0.67/14))/(($I93)*$S93))^$W93))</f>
        <v>46.995733865239238</v>
      </c>
      <c r="BL93" s="351">
        <f>$R93/(1+($V93*(('Traffic Data'!W12*(0.67/14))/(($I93)*$S93))^$W93))</f>
        <v>46.994061003367463</v>
      </c>
      <c r="BM93" s="351">
        <f>$R93/(1+($V93*(('Traffic Data'!X12*(0.67/14))/(($I93)*$S93))^$W93))</f>
        <v>46.99286359763483</v>
      </c>
      <c r="BN93" s="351">
        <f>$R93/(1+($V93*(('Traffic Data'!Y12*(0.67/14))/(($I93)*$S93))^$W93))</f>
        <v>46.99145318030326</v>
      </c>
      <c r="BO93" s="351">
        <f>$R93/(1+($V93*(('Traffic Data'!Z12*(0.67/14))/(($I93)*$S93))^$W93))</f>
        <v>46.989796729191383</v>
      </c>
      <c r="BP93" s="351">
        <f>$R93/(1+($V93*(('Traffic Data'!AA12*(0.67/14))/(($I93)*$S93))^$W93))</f>
        <v>46.987855515748649</v>
      </c>
      <c r="BQ93" s="351">
        <f>$R93/(1+($V93*(('Traffic Data'!AB12*(0.67/14))/(($I93)*$S93))^$W93))</f>
        <v>46.985589670856733</v>
      </c>
      <c r="BR93" s="351">
        <f>$R93/(1+($V93*(('Traffic Data'!AC12*(0.67/14))/(($I93)*$S93))^$W93))</f>
        <v>46.982948581088799</v>
      </c>
      <c r="BS93" s="351">
        <f>$R93/(1+($V93*(('Traffic Data'!AD12*(0.67/14))/(($I93)*$S93))^$W93))</f>
        <v>46.979881854590012</v>
      </c>
      <c r="BT93" s="351">
        <f>$R93/(1+($V93*(('Traffic Data'!AE12*(0.67/14))/(($I93)*$S93))^$W93))</f>
        <v>46.976327654265354</v>
      </c>
      <c r="BU93" s="351">
        <f>$R93/(1+($V93*(('Traffic Data'!AF12*(0.67/14))/(($I93)*$S93))^$W93))</f>
        <v>46.972215614085755</v>
      </c>
      <c r="BV93" s="351">
        <f>$R93/(1+($V93*(('Traffic Data'!AG12*(0.67/14))/(($I93)*$S93))^$W93))</f>
        <v>46.967475247116958</v>
      </c>
      <c r="BW93" s="623">
        <f>$R93/(1+($V93*(('Traffic Data'!AH12*(0.67/14))/(($I93)*$S93))^$W93))</f>
        <v>46.962019713279702</v>
      </c>
    </row>
    <row r="94" spans="1:76" ht="21.9" customHeight="1" x14ac:dyDescent="0.25">
      <c r="A94" s="617"/>
      <c r="C94" s="114" t="s">
        <v>320</v>
      </c>
      <c r="D94" s="114" t="s">
        <v>318</v>
      </c>
      <c r="E94" s="114" t="s">
        <v>308</v>
      </c>
      <c r="F94" s="555">
        <f>'Traffic Data'!CM13</f>
        <v>0.83333333333333337</v>
      </c>
      <c r="G94" s="565">
        <f>'Traffic Data'!CN13</f>
        <v>0.88</v>
      </c>
      <c r="H94" s="566">
        <v>20</v>
      </c>
      <c r="I94" s="566">
        <v>2</v>
      </c>
      <c r="J94" s="566">
        <f t="shared" si="6"/>
        <v>27</v>
      </c>
      <c r="K94" s="566">
        <v>4.2</v>
      </c>
      <c r="L94" s="566">
        <v>2.5</v>
      </c>
      <c r="M94" s="566">
        <v>0</v>
      </c>
      <c r="N94" s="566">
        <v>0</v>
      </c>
      <c r="O94" s="566">
        <v>0</v>
      </c>
      <c r="P94" s="566">
        <v>0</v>
      </c>
      <c r="Q94" s="566">
        <v>0</v>
      </c>
      <c r="R94" s="251">
        <f t="shared" si="4"/>
        <v>20.3</v>
      </c>
      <c r="S94" s="567">
        <f>N29*F94*G94</f>
        <v>586.66666666666674</v>
      </c>
      <c r="T94" s="568">
        <v>0.12</v>
      </c>
      <c r="U94" s="569">
        <v>0.65</v>
      </c>
      <c r="V94" s="554">
        <f t="shared" si="5"/>
        <v>0.2</v>
      </c>
      <c r="W94" s="570">
        <v>10</v>
      </c>
      <c r="X94" s="382">
        <f>$R94/(1+($V94*(('Traffic Data'!J13*$T94*$U94)/(($I94/2)*$S94))^$W94))</f>
        <v>20.3</v>
      </c>
      <c r="Y94" s="353">
        <f>$R94/(1+($V94*(('Traffic Data'!K13*$T94*$U94)/(($I94/2)*$S94))^$W94))</f>
        <v>20.3</v>
      </c>
      <c r="Z94" s="353">
        <f>$R94/(1+($V94*(('Traffic Data'!L13*$T94*$U94)/(($I94/2)*$S94))^$W94))</f>
        <v>20.3</v>
      </c>
      <c r="AA94" s="353">
        <f>$R94/(1+($V94*(('Traffic Data'!M13*$T94*$U94)/(($I94/2)*$S94))^$W94))</f>
        <v>20.3</v>
      </c>
      <c r="AB94" s="353">
        <f>$R94/(1+($V94*(('Traffic Data'!N13*$T94*$U94)/(($I94/2)*$S94))^$W94))</f>
        <v>20.299999999999962</v>
      </c>
      <c r="AC94" s="353">
        <f>$R94/(1+($V94*(('Traffic Data'!O13*$T94*$U94)/(($I94/2)*$S94))^$W94))</f>
        <v>20.299999999999244</v>
      </c>
      <c r="AD94" s="353">
        <f>$R94/(1+($V94*(('Traffic Data'!P13*$T94*$U94)/(($I94/2)*$S94))^$W94))</f>
        <v>20.299999999992551</v>
      </c>
      <c r="AE94" s="353">
        <f>$R94/(1+($V94*(('Traffic Data'!Q13*$T94*$U94)/(($I94/2)*$S94))^$W94))</f>
        <v>20.299999999952135</v>
      </c>
      <c r="AF94" s="353">
        <f>$R94/(1+($V94*(('Traffic Data'!R13*$T94*$U94)/(($I94/2)*$S94))^$W94))</f>
        <v>20.299999999885451</v>
      </c>
      <c r="AG94" s="353">
        <f>$R94/(1+($V94*(('Traffic Data'!S13*$T94*$U94)/(($I94/2)*$S94))^$W94))</f>
        <v>20.299999999744138</v>
      </c>
      <c r="AH94" s="353">
        <f>$R94/(1+($V94*(('Traffic Data'!T13*$T94*$U94)/(($I94/2)*$S94))^$W94))</f>
        <v>20.299999999462074</v>
      </c>
      <c r="AI94" s="353">
        <f>$R94/(1+($V94*(('Traffic Data'!U13*$T94*$U94)/(($I94/2)*$S94))^$W94))</f>
        <v>20.299999998926015</v>
      </c>
      <c r="AJ94" s="353">
        <f>$R94/(1+($V94*(('Traffic Data'!V13*$T94*$U94)/(($I94/2)*$S94))^$W94))</f>
        <v>20.299999997946305</v>
      </c>
      <c r="AK94" s="353">
        <f>$R94/(1+($V94*(('Traffic Data'!W13*$T94*$U94)/(($I94/2)*$S94))^$W94))</f>
        <v>20.299999997640061</v>
      </c>
      <c r="AL94" s="353">
        <f>$R94/(1+($V94*(('Traffic Data'!X13*$T94*$U94)/(($I94/2)*$S94))^$W94))</f>
        <v>20.299999997293305</v>
      </c>
      <c r="AM94" s="353">
        <f>$R94/(1+($V94*(('Traffic Data'!Y13*$T94*$U94)/(($I94/2)*$S94))^$W94))</f>
        <v>20.299999996901363</v>
      </c>
      <c r="AN94" s="353">
        <f>$R94/(1+($V94*(('Traffic Data'!Z13*$T94*$U94)/(($I94/2)*$S94))^$W94))</f>
        <v>20.299999996459054</v>
      </c>
      <c r="AO94" s="353">
        <f>$R94/(1+($V94*(('Traffic Data'!AA13*$T94*$U94)/(($I94/2)*$S94))^$W94))</f>
        <v>20.299999995958146</v>
      </c>
      <c r="AP94" s="353">
        <f>$R94/(1+($V94*(('Traffic Data'!AB13*$T94*$U94)/(($I94/2)*$S94))^$W94))</f>
        <v>20.299999995397229</v>
      </c>
      <c r="AQ94" s="353">
        <f>$R94/(1+($V94*(('Traffic Data'!AC13*$T94*$U94)/(($I94/2)*$S94))^$W94))</f>
        <v>20.299999994763969</v>
      </c>
      <c r="AR94" s="353">
        <f>$R94/(1+($V94*(('Traffic Data'!AD13*$T94*$U94)/(($I94/2)*$S94))^$W94))</f>
        <v>20.299999994056968</v>
      </c>
      <c r="AS94" s="353">
        <f>$R94/(1+($V94*(('Traffic Data'!AE13*$T94*$U94)/(($I94/2)*$S94))^$W94))</f>
        <v>20.299999993265182</v>
      </c>
      <c r="AT94" s="353">
        <f>$R94/(1+($V94*(('Traffic Data'!AF13*$T94*$U94)/(($I94/2)*$S94))^$W94))</f>
        <v>20.29999999237516</v>
      </c>
      <c r="AU94" s="353">
        <f>$R94/(1+($V94*(('Traffic Data'!AG13*$T94*$U94)/(($I94/2)*$S94))^$W94))</f>
        <v>20.299999991385704</v>
      </c>
      <c r="AV94" s="353">
        <f>$R94/(1+($V94*(('Traffic Data'!AH13*$T94*$U94)/(($I94/2)*$S94))^$W94))</f>
        <v>20.299999990282153</v>
      </c>
      <c r="AW94" s="354">
        <f>$R94/(1+($V94*(('Traffic Data'!AI13*$T94*$U94)/(($I94/2)*$S94))^$W94))</f>
        <v>20.299999989046675</v>
      </c>
      <c r="AX94" s="378">
        <f>$R94/(1+($V94*(('Traffic Data'!J13*(0.67/14))/(($I94)*$S94))^$W94))</f>
        <v>20.3</v>
      </c>
      <c r="AY94" s="378">
        <f>$R94/(1+($V94*(('Traffic Data'!J13*(0.67/14))/(($I94)*$S94))^$W94))</f>
        <v>20.3</v>
      </c>
      <c r="AZ94" s="378">
        <f>$R94/(1+($V94*(('Traffic Data'!K13*(0.67/14))/(($I94)*$S94))^$W94))</f>
        <v>20.3</v>
      </c>
      <c r="BA94" s="378">
        <f>$R94/(1+($V94*(('Traffic Data'!L13*(0.67/14))/(($I94)*$S94))^$W94))</f>
        <v>20.3</v>
      </c>
      <c r="BB94" s="378">
        <f>$R94/(1+($V94*(('Traffic Data'!M13*(0.67/14))/(($I94)*$S94))^$W94))</f>
        <v>20.3</v>
      </c>
      <c r="BC94" s="378">
        <f>$R94/(1+($V94*(('Traffic Data'!N13*(0.67/14))/(($I94)*$S94))^$W94))</f>
        <v>20.3</v>
      </c>
      <c r="BD94" s="378">
        <f>$R94/(1+($V94*(('Traffic Data'!O13*(0.67/14))/(($I94)*$S94))^$W94))</f>
        <v>20.3</v>
      </c>
      <c r="BE94" s="378">
        <f>$R94/(1+($V94*(('Traffic Data'!P13*(0.67/14))/(($I94)*$S94))^$W94))</f>
        <v>20.3</v>
      </c>
      <c r="BF94" s="378">
        <f>$R94/(1+($V94*(('Traffic Data'!Q13*(0.67/14))/(($I94)*$S94))^$W94))</f>
        <v>20.3</v>
      </c>
      <c r="BG94" s="378">
        <f>$R94/(1+($V94*(('Traffic Data'!R13*(0.67/14))/(($I94)*$S94))^$W94))</f>
        <v>20.3</v>
      </c>
      <c r="BH94" s="378">
        <f>$R94/(1+($V94*(('Traffic Data'!S13*(0.67/14))/(($I94)*$S94))^$W94))</f>
        <v>20.3</v>
      </c>
      <c r="BI94" s="378">
        <f>$R94/(1+($V94*(('Traffic Data'!T13*(0.67/14))/(($I94)*$S94))^$W94))</f>
        <v>20.299999999999997</v>
      </c>
      <c r="BJ94" s="378">
        <f>$R94/(1+($V94*(('Traffic Data'!U13*(0.67/14))/(($I94)*$S94))^$W94))</f>
        <v>20.29999999999999</v>
      </c>
      <c r="BK94" s="378">
        <f>$R94/(1+($V94*(('Traffic Data'!V13*(0.67/14))/(($I94)*$S94))^$W94))</f>
        <v>20.299999999999986</v>
      </c>
      <c r="BL94" s="378">
        <f>$R94/(1+($V94*(('Traffic Data'!W13*(0.67/14))/(($I94)*$S94))^$W94))</f>
        <v>20.299999999999983</v>
      </c>
      <c r="BM94" s="378">
        <f>$R94/(1+($V94*(('Traffic Data'!X13*(0.67/14))/(($I94)*$S94))^$W94))</f>
        <v>20.299999999999983</v>
      </c>
      <c r="BN94" s="378">
        <f>$R94/(1+($V94*(('Traffic Data'!Y13*(0.67/14))/(($I94)*$S94))^$W94))</f>
        <v>20.299999999999979</v>
      </c>
      <c r="BO94" s="378">
        <f>$R94/(1+($V94*(('Traffic Data'!Z13*(0.67/14))/(($I94)*$S94))^$W94))</f>
        <v>20.299999999999972</v>
      </c>
      <c r="BP94" s="378">
        <f>$R94/(1+($V94*(('Traffic Data'!AA13*(0.67/14))/(($I94)*$S94))^$W94))</f>
        <v>20.299999999999969</v>
      </c>
      <c r="BQ94" s="378">
        <f>$R94/(1+($V94*(('Traffic Data'!AB13*(0.67/14))/(($I94)*$S94))^$W94))</f>
        <v>20.299999999999965</v>
      </c>
      <c r="BR94" s="378">
        <f>$R94/(1+($V94*(('Traffic Data'!AC13*(0.67/14))/(($I94)*$S94))^$W94))</f>
        <v>20.299999999999962</v>
      </c>
      <c r="BS94" s="378">
        <f>$R94/(1+($V94*(('Traffic Data'!AD13*(0.67/14))/(($I94)*$S94))^$W94))</f>
        <v>20.299999999999955</v>
      </c>
      <c r="BT94" s="378">
        <f>$R94/(1+($V94*(('Traffic Data'!AE13*(0.67/14))/(($I94)*$S94))^$W94))</f>
        <v>20.299999999999951</v>
      </c>
      <c r="BU94" s="378">
        <f>$R94/(1+($V94*(('Traffic Data'!AF13*(0.67/14))/(($I94)*$S94))^$W94))</f>
        <v>20.299999999999947</v>
      </c>
      <c r="BV94" s="378">
        <f>$R94/(1+($V94*(('Traffic Data'!AG13*(0.67/14))/(($I94)*$S94))^$W94))</f>
        <v>20.299999999999937</v>
      </c>
      <c r="BW94" s="620">
        <f>$R94/(1+($V94*(('Traffic Data'!AH13*(0.67/14))/(($I94)*$S94))^$W94))</f>
        <v>20.29999999999993</v>
      </c>
    </row>
    <row r="95" spans="1:76" ht="21.9" customHeight="1" x14ac:dyDescent="0.25">
      <c r="A95" s="617"/>
      <c r="C95" s="1325" t="s">
        <v>308</v>
      </c>
      <c r="D95" s="217" t="s">
        <v>276</v>
      </c>
      <c r="E95" s="217" t="s">
        <v>320</v>
      </c>
      <c r="F95" s="550">
        <f>'Traffic Data'!CM14</f>
        <v>0.83333333333333337</v>
      </c>
      <c r="G95" s="550">
        <f>'Traffic Data'!CN14</f>
        <v>0.88</v>
      </c>
      <c r="H95" s="143">
        <v>20</v>
      </c>
      <c r="I95" s="143">
        <v>2</v>
      </c>
      <c r="J95" s="143">
        <f t="shared" si="6"/>
        <v>27</v>
      </c>
      <c r="K95" s="143">
        <v>4.2</v>
      </c>
      <c r="L95" s="143">
        <v>2.5</v>
      </c>
      <c r="M95" s="143">
        <v>0</v>
      </c>
      <c r="N95" s="143">
        <v>0</v>
      </c>
      <c r="O95" s="143">
        <v>0</v>
      </c>
      <c r="P95" s="143">
        <v>0</v>
      </c>
      <c r="Q95" s="143">
        <v>0</v>
      </c>
      <c r="R95" s="171">
        <f t="shared" si="4"/>
        <v>20.3</v>
      </c>
      <c r="S95" s="551">
        <f>N29*F95*G95</f>
        <v>586.66666666666674</v>
      </c>
      <c r="T95" s="552">
        <v>0.12</v>
      </c>
      <c r="U95" s="553">
        <v>0.65</v>
      </c>
      <c r="V95" s="560">
        <f t="shared" si="5"/>
        <v>0.2</v>
      </c>
      <c r="W95" s="225">
        <v>10</v>
      </c>
      <c r="X95" s="377">
        <f>MAX(5,$R95/(1+($V95*(('Traffic Data'!J14*$T95*$U95)/(($I95/2)*$S95))^$W95)))</f>
        <v>20.3</v>
      </c>
      <c r="Y95" s="503">
        <f>MAX(5,$R95/(1+($V95*(('Traffic Data'!K14*$T95*$U95)/(($I95/2)*$S95))^$W95)))</f>
        <v>20.3</v>
      </c>
      <c r="Z95" s="503">
        <f>MAX(5,$R95/(1+($V95*(('Traffic Data'!L14*$T95*$U95)/(($I95/2)*$S95))^$W95)))</f>
        <v>20.29999996628775</v>
      </c>
      <c r="AA95" s="503">
        <f>MAX(5,$R95/(1+($V95*(('Traffic Data'!M14*$T95*$U95)/(($I95/2)*$S95))^$W95)))</f>
        <v>20.299977693810813</v>
      </c>
      <c r="AB95" s="503">
        <f>MAX(5,$R95/(1+($V95*(('Traffic Data'!N14*$T95*$U95)/(($I95/2)*$S95))^$W95)))</f>
        <v>20.298889833004008</v>
      </c>
      <c r="AC95" s="503">
        <f>MAX(5,$R95/(1+($V95*(('Traffic Data'!O14*$T95*$U95)/(($I95/2)*$S95))^$W95)))</f>
        <v>20.28175275549475</v>
      </c>
      <c r="AD95" s="503">
        <f>MAX(5,$R95/(1+($V95*(('Traffic Data'!P14*$T95*$U95)/(($I95/2)*$S95))^$W95)))</f>
        <v>20.13886960198743</v>
      </c>
      <c r="AE95" s="503">
        <f>MAX(5,$R95/(1+($V95*(('Traffic Data'!Q14*$T95*$U95)/(($I95/2)*$S95))^$W95)))</f>
        <v>19.368399077816957</v>
      </c>
      <c r="AF95" s="503">
        <f>MAX(5,$R95/(1+($V95*(('Traffic Data'!R14*$T95*$U95)/(($I95/2)*$S95))^$W95)))</f>
        <v>19.368399077816957</v>
      </c>
      <c r="AG95" s="503">
        <f>MAX(5,$R95/(1+($V95*(('Traffic Data'!S14*$T95*$U95)/(($I95/2)*$S95))^$W95)))</f>
        <v>19.368399077816957</v>
      </c>
      <c r="AH95" s="503">
        <f>MAX(5,$R95/(1+($V95*(('Traffic Data'!T14*$T95*$U95)/(($I95/2)*$S95))^$W95)))</f>
        <v>19.368399077816957</v>
      </c>
      <c r="AI95" s="503">
        <f>MAX(5,$R95/(1+($V95*(('Traffic Data'!U14*$T95*$U95)/(($I95/2)*$S95))^$W95)))</f>
        <v>19.368399077816957</v>
      </c>
      <c r="AJ95" s="503">
        <f>MAX(5,$R95/(1+($V95*(('Traffic Data'!V14*$T95*$U95)/(($I95/2)*$S95))^$W95)))</f>
        <v>19.368399077816957</v>
      </c>
      <c r="AK95" s="503">
        <f>MAX(5,$R95/(1+($V95*(('Traffic Data'!W14*$T95*$U95)/(($I95/2)*$S95))^$W95)))</f>
        <v>19.368399077816957</v>
      </c>
      <c r="AL95" s="503">
        <f>MAX(5,$R95/(1+($V95*(('Traffic Data'!X14*$T95*$U95)/(($I95/2)*$S95))^$W95)))</f>
        <v>19.368399077816957</v>
      </c>
      <c r="AM95" s="503">
        <f>MAX(5,$R95/(1+($V95*(('Traffic Data'!Y14*$T95*$U95)/(($I95/2)*$S95))^$W95)))</f>
        <v>19.368399077816957</v>
      </c>
      <c r="AN95" s="503">
        <f>MAX(5,$R95/(1+($V95*(('Traffic Data'!Z14*$T95*$U95)/(($I95/2)*$S95))^$W95)))</f>
        <v>19.368399077816957</v>
      </c>
      <c r="AO95" s="503">
        <f>MAX(5,$R95/(1+($V95*(('Traffic Data'!AA14*$T95*$U95)/(($I95/2)*$S95))^$W95)))</f>
        <v>19.368399077816957</v>
      </c>
      <c r="AP95" s="503">
        <f>MAX(5,$R95/(1+($V95*(('Traffic Data'!AB14*$T95*$U95)/(($I95/2)*$S95))^$W95)))</f>
        <v>19.368399077816957</v>
      </c>
      <c r="AQ95" s="503">
        <f>MAX(5,$R95/(1+($V95*(('Traffic Data'!AC14*$T95*$U95)/(($I95/2)*$S95))^$W95)))</f>
        <v>19.368399077816957</v>
      </c>
      <c r="AR95" s="503">
        <f>MAX(5,$R95/(1+($V95*(('Traffic Data'!AD14*$T95*$U95)/(($I95/2)*$S95))^$W95)))</f>
        <v>19.368399077816957</v>
      </c>
      <c r="AS95" s="503">
        <f>MAX(5,$R95/(1+($V95*(('Traffic Data'!AE14*$T95*$U95)/(($I95/2)*$S95))^$W95)))</f>
        <v>19.368399077816957</v>
      </c>
      <c r="AT95" s="503">
        <f>MAX(5,$R95/(1+($V95*(('Traffic Data'!AF14*$T95*$U95)/(($I95/2)*$S95))^$W95)))</f>
        <v>19.368399077816957</v>
      </c>
      <c r="AU95" s="503">
        <f>MAX(5,$R95/(1+($V95*(('Traffic Data'!AG14*$T95*$U95)/(($I95/2)*$S95))^$W95)))</f>
        <v>19.368399077816957</v>
      </c>
      <c r="AV95" s="503">
        <f>MAX(5,$R95/(1+($V95*(('Traffic Data'!AH14*$T95*$U95)/(($I95/2)*$S95))^$W95)))</f>
        <v>19.368399077816957</v>
      </c>
      <c r="AW95" s="502">
        <f>MAX(5,$R95/(1+($V95*(('Traffic Data'!AI14*$T95*$U95)/(($I95/2)*$S95))^$W95)))</f>
        <v>19.368399077816957</v>
      </c>
      <c r="AX95" s="355">
        <f>$R95/(1+($V95*(('Traffic Data'!J14*(0.67/14))/(($I95)*$S95))^$W95))</f>
        <v>20.3</v>
      </c>
      <c r="AY95" s="355">
        <f>$R95/(1+($V95*(('Traffic Data'!J14*(0.67/14))/(($I95)*$S95))^$W95))</f>
        <v>20.3</v>
      </c>
      <c r="AZ95" s="355">
        <f>$R95/(1+($V95*(('Traffic Data'!K14*(0.67/14))/(($I95)*$S95))^$W95))</f>
        <v>20.3</v>
      </c>
      <c r="BA95" s="355">
        <f>$R95/(1+($V95*(('Traffic Data'!L14*(0.67/14))/(($I95)*$S95))^$W95))</f>
        <v>20.299999999999752</v>
      </c>
      <c r="BB95" s="355">
        <f>$R95/(1+($V95*(('Traffic Data'!M14*(0.67/14))/(($I95)*$S95))^$W95))</f>
        <v>20.299999999835318</v>
      </c>
      <c r="BC95" s="355">
        <f>$R95/(1+($V95*(('Traffic Data'!N14*(0.67/14))/(($I95)*$S95))^$W95))</f>
        <v>20.2999999918034</v>
      </c>
      <c r="BD95" s="355">
        <f>$R95/(1+($V95*(('Traffic Data'!O14*(0.67/14))/(($I95)*$S95))^$W95))</f>
        <v>20.29999986516286</v>
      </c>
      <c r="BE95" s="355">
        <f>$R95/(1+($V95*(('Traffic Data'!P14*(0.67/14))/(($I95)*$S95))^$W95))</f>
        <v>20.299998800887064</v>
      </c>
      <c r="BF95" s="355">
        <f>$R95/(1+($V95*(('Traffic Data'!Q14*(0.67/14))/(($I95)*$S95))^$W95))</f>
        <v>20.299992791353066</v>
      </c>
      <c r="BG95" s="355">
        <f>$R95/(1+($V95*(('Traffic Data'!R14*(0.67/14))/(($I95)*$S95))^$W95))</f>
        <v>20.299992791353066</v>
      </c>
      <c r="BH95" s="355">
        <f>$R95/(1+($V95*(('Traffic Data'!S14*(0.67/14))/(($I95)*$S95))^$W95))</f>
        <v>20.299992791353066</v>
      </c>
      <c r="BI95" s="355">
        <f>$R95/(1+($V95*(('Traffic Data'!T14*(0.67/14))/(($I95)*$S95))^$W95))</f>
        <v>20.299992791353066</v>
      </c>
      <c r="BJ95" s="355">
        <f>$R95/(1+($V95*(('Traffic Data'!U14*(0.67/14))/(($I95)*$S95))^$W95))</f>
        <v>20.299992791353066</v>
      </c>
      <c r="BK95" s="355">
        <f>$R95/(1+($V95*(('Traffic Data'!V14*(0.67/14))/(($I95)*$S95))^$W95))</f>
        <v>20.299992791353066</v>
      </c>
      <c r="BL95" s="355">
        <f>$R95/(1+($V95*(('Traffic Data'!W14*(0.67/14))/(($I95)*$S95))^$W95))</f>
        <v>20.299992791353066</v>
      </c>
      <c r="BM95" s="355">
        <f>$R95/(1+($V95*(('Traffic Data'!X14*(0.67/14))/(($I95)*$S95))^$W95))</f>
        <v>20.299992791353066</v>
      </c>
      <c r="BN95" s="355">
        <f>$R95/(1+($V95*(('Traffic Data'!Y14*(0.67/14))/(($I95)*$S95))^$W95))</f>
        <v>20.299992791353066</v>
      </c>
      <c r="BO95" s="355">
        <f>$R95/(1+($V95*(('Traffic Data'!Z14*(0.67/14))/(($I95)*$S95))^$W95))</f>
        <v>20.299992791353066</v>
      </c>
      <c r="BP95" s="355">
        <f>$R95/(1+($V95*(('Traffic Data'!AA14*(0.67/14))/(($I95)*$S95))^$W95))</f>
        <v>20.299992791353066</v>
      </c>
      <c r="BQ95" s="355">
        <f>$R95/(1+($V95*(('Traffic Data'!AB14*(0.67/14))/(($I95)*$S95))^$W95))</f>
        <v>20.299992791353066</v>
      </c>
      <c r="BR95" s="355">
        <f>$R95/(1+($V95*(('Traffic Data'!AC14*(0.67/14))/(($I95)*$S95))^$W95))</f>
        <v>20.299992791353066</v>
      </c>
      <c r="BS95" s="355">
        <f>$R95/(1+($V95*(('Traffic Data'!AD14*(0.67/14))/(($I95)*$S95))^$W95))</f>
        <v>20.299992791353066</v>
      </c>
      <c r="BT95" s="355">
        <f>$R95/(1+($V95*(('Traffic Data'!AE14*(0.67/14))/(($I95)*$S95))^$W95))</f>
        <v>20.299992791353066</v>
      </c>
      <c r="BU95" s="355">
        <f>$R95/(1+($V95*(('Traffic Data'!AF14*(0.67/14))/(($I95)*$S95))^$W95))</f>
        <v>20.299992791353066</v>
      </c>
      <c r="BV95" s="355">
        <f>$R95/(1+($V95*(('Traffic Data'!AG14*(0.67/14))/(($I95)*$S95))^$W95))</f>
        <v>20.299992791353066</v>
      </c>
      <c r="BW95" s="621">
        <f>$R95/(1+($V95*(('Traffic Data'!AH14*(0.67/14))/(($I95)*$S95))^$W95))</f>
        <v>20.299992791353066</v>
      </c>
    </row>
    <row r="96" spans="1:76" ht="21.9" customHeight="1" x14ac:dyDescent="0.25">
      <c r="A96" s="617"/>
      <c r="C96" s="1327"/>
      <c r="D96" s="114" t="s">
        <v>320</v>
      </c>
      <c r="E96" s="114" t="s">
        <v>282</v>
      </c>
      <c r="F96" s="550">
        <f>'Traffic Data'!CM14</f>
        <v>0.83333333333333337</v>
      </c>
      <c r="G96" s="550">
        <f>'Traffic Data'!CN14</f>
        <v>0.88</v>
      </c>
      <c r="H96" s="143">
        <v>35</v>
      </c>
      <c r="I96" s="143">
        <v>2</v>
      </c>
      <c r="J96" s="143">
        <f t="shared" si="6"/>
        <v>42</v>
      </c>
      <c r="K96" s="143">
        <v>2.6</v>
      </c>
      <c r="L96" s="143">
        <v>2.5</v>
      </c>
      <c r="M96" s="143">
        <v>0</v>
      </c>
      <c r="N96" s="143">
        <v>0</v>
      </c>
      <c r="O96" s="143">
        <v>0</v>
      </c>
      <c r="P96" s="143">
        <v>0</v>
      </c>
      <c r="Q96" s="143">
        <v>0</v>
      </c>
      <c r="R96" s="171">
        <f t="shared" si="4"/>
        <v>36.9</v>
      </c>
      <c r="S96" s="551">
        <f>N26*F96*G96</f>
        <v>586.66666666666674</v>
      </c>
      <c r="T96" s="552">
        <v>0.12</v>
      </c>
      <c r="U96" s="553">
        <v>0.65</v>
      </c>
      <c r="V96" s="554">
        <f t="shared" si="5"/>
        <v>0.2</v>
      </c>
      <c r="W96" s="225">
        <v>10</v>
      </c>
      <c r="X96" s="504">
        <f>MAX(5,$R96/(1+($V96*(('Traffic Data'!J15*$T96*$U96)/(($I96/2)*$S96))^$W96)))</f>
        <v>36.9</v>
      </c>
      <c r="Y96" s="503">
        <f>MAX(5,$R96/(1+($V96*(('Traffic Data'!K15*$T96*$U96)/(($I96/2)*$S96))^$W96)))</f>
        <v>36.899999999997924</v>
      </c>
      <c r="Z96" s="503">
        <f>MAX(5,$R96/(1+($V96*(('Traffic Data'!L15*$T96*$U96)/(($I96/2)*$S96))^$W96)))</f>
        <v>36.899999999899791</v>
      </c>
      <c r="AA96" s="503">
        <f>MAX(5,$R96/(1+($V96*(('Traffic Data'!M15*$T96*$U96)/(($I96/2)*$S96))^$W96)))</f>
        <v>36.8999997622414</v>
      </c>
      <c r="AB96" s="503">
        <f>MAX(5,$R96/(1+($V96*(('Traffic Data'!N15*$T96*$U96)/(($I96/2)*$S96))^$W96)))</f>
        <v>36.899982213916445</v>
      </c>
      <c r="AC96" s="503">
        <f>MAX(5,$R96/(1+($V96*(('Traffic Data'!O15*$T96*$U96)/(($I96/2)*$S96))^$W96)))</f>
        <v>36.899638580402183</v>
      </c>
      <c r="AD96" s="503">
        <f>MAX(5,$R96/(1+($V96*(('Traffic Data'!P15*$T96*$U96)/(($I96/2)*$S96))^$W96)))</f>
        <v>36.896364279094513</v>
      </c>
      <c r="AE96" s="503">
        <f>MAX(5,$R96/(1+($V96*(('Traffic Data'!Q15*$T96*$U96)/(($I96/2)*$S96))^$W96)))</f>
        <v>36.876320692947189</v>
      </c>
      <c r="AF96" s="503">
        <f>MAX(5,$R96/(1+($V96*(('Traffic Data'!R15*$T96*$U96)/(($I96/2)*$S96))^$W96)))</f>
        <v>36.583029730418161</v>
      </c>
      <c r="AG96" s="503">
        <f>MAX(5,$R96/(1+($V96*(('Traffic Data'!S15*$T96*$U96)/(($I96/2)*$S96))^$W96)))</f>
        <v>34.547924031080704</v>
      </c>
      <c r="AH96" s="503">
        <f>MAX(5,$R96/(1+($V96*(('Traffic Data'!T15*$T96*$U96)/(($I96/2)*$S96))^$W96)))</f>
        <v>26.821223847269618</v>
      </c>
      <c r="AI96" s="503">
        <f>MAX(5,$R96/(1+($V96*(('Traffic Data'!U15*$T96*$U96)/(($I96/2)*$S96))^$W96)))</f>
        <v>14.097121445868714</v>
      </c>
      <c r="AJ96" s="503">
        <f>MAX(5,$R96/(1+($V96*(('Traffic Data'!V15*$T96*$U96)/(($I96/2)*$S96))^$W96)))</f>
        <v>5.4424211466399983</v>
      </c>
      <c r="AK96" s="503">
        <f>MAX(5,$R96/(1+($V96*(('Traffic Data'!W15*$T96*$U96)/(($I96/2)*$S96))^$W96)))</f>
        <v>5</v>
      </c>
      <c r="AL96" s="503">
        <f>MAX(5,$R96/(1+($V96*(('Traffic Data'!X15*$T96*$U96)/(($I96/2)*$S96))^$W96)))</f>
        <v>5</v>
      </c>
      <c r="AM96" s="503">
        <f>MAX(5,$R96/(1+($V96*(('Traffic Data'!Y15*$T96*$U96)/(($I96/2)*$S96))^$W96)))</f>
        <v>5</v>
      </c>
      <c r="AN96" s="503">
        <f>MAX(5,$R96/(1+($V96*(('Traffic Data'!Z15*$T96*$U96)/(($I96/2)*$S96))^$W96)))</f>
        <v>5</v>
      </c>
      <c r="AO96" s="503">
        <f>MAX(5,$R96/(1+($V96*(('Traffic Data'!AA15*$T96*$U96)/(($I96/2)*$S96))^$W96)))</f>
        <v>5</v>
      </c>
      <c r="AP96" s="503">
        <f>MAX(5,$R96/(1+($V96*(('Traffic Data'!AB15*$T96*$U96)/(($I96/2)*$S96))^$W96)))</f>
        <v>5</v>
      </c>
      <c r="AQ96" s="503">
        <f>MAX(5,$R96/(1+($V96*(('Traffic Data'!AC15*$T96*$U96)/(($I96/2)*$S96))^$W96)))</f>
        <v>5</v>
      </c>
      <c r="AR96" s="503">
        <f>MAX(5,$R96/(1+($V96*(('Traffic Data'!AD15*$T96*$U96)/(($I96/2)*$S96))^$W96)))</f>
        <v>5</v>
      </c>
      <c r="AS96" s="503">
        <f>MAX(5,$R96/(1+($V96*(('Traffic Data'!AE15*$T96*$U96)/(($I96/2)*$S96))^$W96)))</f>
        <v>5</v>
      </c>
      <c r="AT96" s="503">
        <f>MAX(5,$R96/(1+($V96*(('Traffic Data'!AF15*$T96*$U96)/(($I96/2)*$S96))^$W96)))</f>
        <v>5</v>
      </c>
      <c r="AU96" s="503">
        <f>MAX(5,$R96/(1+($V96*(('Traffic Data'!AG15*$T96*$U96)/(($I96/2)*$S96))^$W96)))</f>
        <v>5</v>
      </c>
      <c r="AV96" s="503">
        <f>MAX(5,$R96/(1+($V96*(('Traffic Data'!AH15*$T96*$U96)/(($I96/2)*$S96))^$W96)))</f>
        <v>5</v>
      </c>
      <c r="AW96" s="502">
        <f>MAX(5,$R96/(1+($V96*(('Traffic Data'!AI15*$T96*$U96)/(($I96/2)*$S96))^$W96)))</f>
        <v>5</v>
      </c>
      <c r="AX96" s="378">
        <f>$R96/(1+($V96*(('Traffic Data'!J15*(0.67/14))/(($I96)*$S96))^$W96))</f>
        <v>36.9</v>
      </c>
      <c r="AY96" s="378">
        <f>$R96/(1+($V96*(('Traffic Data'!J15*(0.67/14))/(($I96)*$S96))^$W96))</f>
        <v>36.9</v>
      </c>
      <c r="AZ96" s="378">
        <f>$R96/(1+($V96*(('Traffic Data'!K15*(0.67/14))/(($I96)*$S96))^$W96))</f>
        <v>36.9</v>
      </c>
      <c r="BA96" s="378">
        <f>$R96/(1+($V96*(('Traffic Data'!L15*(0.67/14))/(($I96)*$S96))^$W96))</f>
        <v>36.9</v>
      </c>
      <c r="BB96" s="378">
        <f>$R96/(1+($V96*(('Traffic Data'!M15*(0.67/14))/(($I96)*$S96))^$W96))</f>
        <v>36.899999999998244</v>
      </c>
      <c r="BC96" s="378">
        <f>$R96/(1+($V96*(('Traffic Data'!N15*(0.67/14))/(($I96)*$S96))^$W96))</f>
        <v>36.89999999986869</v>
      </c>
      <c r="BD96" s="378">
        <f>$R96/(1+($V96*(('Traffic Data'!O15*(0.67/14))/(($I96)*$S96))^$W96))</f>
        <v>36.899999997331683</v>
      </c>
      <c r="BE96" s="378">
        <f>$R96/(1+($V96*(('Traffic Data'!P15*(0.67/14))/(($I96)*$S96))^$W96))</f>
        <v>36.899999973155516</v>
      </c>
      <c r="BF96" s="378">
        <f>$R96/(1+($V96*(('Traffic Data'!Q15*(0.67/14))/(($I96)*$S96))^$W96))</f>
        <v>36.899999825067923</v>
      </c>
      <c r="BG96" s="378">
        <f>$R96/(1+($V96*(('Traffic Data'!R15*(0.67/14))/(($I96)*$S96))^$W96))</f>
        <v>36.899997639593053</v>
      </c>
      <c r="BH96" s="378">
        <f>$R96/(1+($V96*(('Traffic Data'!S15*(0.67/14))/(($I96)*$S96))^$W96))</f>
        <v>36.89998145284833</v>
      </c>
      <c r="BI96" s="378">
        <f>$R96/(1+($V96*(('Traffic Data'!T15*(0.67/14))/(($I96)*$S96))^$W96))</f>
        <v>36.899897629209484</v>
      </c>
      <c r="BJ96" s="378">
        <f>$R96/(1+($V96*(('Traffic Data'!U15*(0.67/14))/(($I96)*$S96))^$W96))</f>
        <v>36.899559341552994</v>
      </c>
      <c r="BK96" s="378">
        <f>$R96/(1+($V96*(('Traffic Data'!V15*(0.67/14))/(($I96)*$S96))^$W96))</f>
        <v>36.898425427475303</v>
      </c>
      <c r="BL96" s="378">
        <f>$R96/(1+($V96*(('Traffic Data'!W15*(0.67/14))/(($I96)*$S96))^$W96))</f>
        <v>36.896913766013206</v>
      </c>
      <c r="BM96" s="378">
        <f>$R96/(1+($V96*(('Traffic Data'!X15*(0.67/14))/(($I96)*$S96))^$W96))</f>
        <v>36.896329426407796</v>
      </c>
      <c r="BN96" s="378">
        <f>$R96/(1+($V96*(('Traffic Data'!Y15*(0.67/14))/(($I96)*$S96))^$W96))</f>
        <v>36.895643611191915</v>
      </c>
      <c r="BO96" s="378">
        <f>$R96/(1+($V96*(('Traffic Data'!Z15*(0.67/14))/(($I96)*$S96))^$W96))</f>
        <v>36.894844570568239</v>
      </c>
      <c r="BP96" s="378">
        <f>$R96/(1+($V96*(('Traffic Data'!AA15*(0.67/14))/(($I96)*$S96))^$W96))</f>
        <v>36.893915990291077</v>
      </c>
      <c r="BQ96" s="378">
        <f>$R96/(1+($V96*(('Traffic Data'!AB15*(0.67/14))/(($I96)*$S96))^$W96))</f>
        <v>36.892839537743342</v>
      </c>
      <c r="BR96" s="378">
        <f>$R96/(1+($V96*(('Traffic Data'!AC15*(0.67/14))/(($I96)*$S96))^$W96))</f>
        <v>36.89159465244569</v>
      </c>
      <c r="BS96" s="378">
        <f>$R96/(1+($V96*(('Traffic Data'!AD15*(0.67/14))/(($I96)*$S96))^$W96))</f>
        <v>36.890158319025318</v>
      </c>
      <c r="BT96" s="378">
        <f>$R96/(1+($V96*(('Traffic Data'!AE15*(0.67/14))/(($I96)*$S96))^$W96))</f>
        <v>36.888504821567807</v>
      </c>
      <c r="BU96" s="378">
        <f>$R96/(1+($V96*(('Traffic Data'!AF15*(0.67/14))/(($I96)*$S96))^$W96))</f>
        <v>36.886615740492161</v>
      </c>
      <c r="BV96" s="378">
        <f>$R96/(1+($V96*(('Traffic Data'!AG15*(0.67/14))/(($I96)*$S96))^$W96))</f>
        <v>36.884440106334743</v>
      </c>
      <c r="BW96" s="620">
        <f>$R96/(1+($V96*(('Traffic Data'!AH15*(0.67/14))/(($I96)*$S96))^$W96))</f>
        <v>36.881951386831375</v>
      </c>
    </row>
    <row r="97" spans="1:75" ht="21.9" customHeight="1" x14ac:dyDescent="0.25">
      <c r="A97" s="617"/>
      <c r="C97" s="1327"/>
      <c r="D97" s="114" t="s">
        <v>282</v>
      </c>
      <c r="E97" s="114" t="s">
        <v>321</v>
      </c>
      <c r="F97" s="550">
        <f>'Traffic Data'!CM14</f>
        <v>0.83333333333333337</v>
      </c>
      <c r="G97" s="550">
        <f>'Traffic Data'!CN14</f>
        <v>0.88</v>
      </c>
      <c r="H97" s="143">
        <f>'Traffic Data'!G16</f>
        <v>40</v>
      </c>
      <c r="I97" s="143">
        <v>4</v>
      </c>
      <c r="J97" s="143">
        <f t="shared" si="6"/>
        <v>47</v>
      </c>
      <c r="K97" s="143">
        <v>0</v>
      </c>
      <c r="L97" s="143">
        <v>2.5</v>
      </c>
      <c r="M97" s="143">
        <v>0</v>
      </c>
      <c r="N97" s="143">
        <v>1.8</v>
      </c>
      <c r="O97" s="143">
        <v>1.6</v>
      </c>
      <c r="P97" s="143">
        <v>0</v>
      </c>
      <c r="Q97" s="143">
        <v>0</v>
      </c>
      <c r="R97" s="171">
        <f t="shared" si="4"/>
        <v>41.1</v>
      </c>
      <c r="S97" s="551">
        <f>M25*F97*G97</f>
        <v>1356.6666666666667</v>
      </c>
      <c r="T97" s="552">
        <v>0.12</v>
      </c>
      <c r="U97" s="553">
        <v>0.65</v>
      </c>
      <c r="V97" s="554">
        <f t="shared" si="5"/>
        <v>0.2</v>
      </c>
      <c r="W97" s="225">
        <v>10</v>
      </c>
      <c r="X97" s="504">
        <f>MAX(5,$R97/(1+($V97*(('Traffic Data'!J16*$T97*$U97)/(($I97/2)*$S97))^$W97)))</f>
        <v>41.1</v>
      </c>
      <c r="Y97" s="503">
        <f>MAX(5,$R97/(1+($V97*(('Traffic Data'!K16*$T97*$U97)/(($I97/2)*$S97))^$W97)))</f>
        <v>41.1</v>
      </c>
      <c r="Z97" s="503">
        <f>MAX(5,$R97/(1+($V97*(('Traffic Data'!L16*$T97*$U97)/(($I97/2)*$S97))^$W97)))</f>
        <v>41.1</v>
      </c>
      <c r="AA97" s="503">
        <f>MAX(5,$R97/(1+($V97*(('Traffic Data'!M16*$T97*$U97)/(($I97/2)*$S97))^$W97)))</f>
        <v>41.099999999998687</v>
      </c>
      <c r="AB97" s="503">
        <f>MAX(5,$R97/(1+($V97*(('Traffic Data'!N16*$T97*$U97)/(($I97/2)*$S97))^$W97)))</f>
        <v>41.099999999901492</v>
      </c>
      <c r="AC97" s="503">
        <f>MAX(5,$R97/(1+($V97*(('Traffic Data'!O16*$T97*$U97)/(($I97/2)*$S97))^$W97)))</f>
        <v>41.099999998001088</v>
      </c>
      <c r="AD97" s="503">
        <f>MAX(5,$R97/(1+($V97*(('Traffic Data'!P16*$T97*$U97)/(($I97/2)*$S97))^$W97)))</f>
        <v>41.099999979903664</v>
      </c>
      <c r="AE97" s="503">
        <f>MAX(5,$R97/(1+($V97*(('Traffic Data'!Q16*$T97*$U97)/(($I97/2)*$S97))^$W97)))</f>
        <v>41.099999868964495</v>
      </c>
      <c r="AF97" s="503">
        <f>MAX(5,$R97/(1+($V97*(('Traffic Data'!R16*$T97*$U97)/(($I97/2)*$S97))^$W97)))</f>
        <v>41.099998233248122</v>
      </c>
      <c r="AG97" s="503">
        <f>MAX(5,$R97/(1+($V97*(('Traffic Data'!S16*$T97*$U97)/(($I97/2)*$S97))^$W97)))</f>
        <v>41.099986114185413</v>
      </c>
      <c r="AH97" s="503">
        <f>MAX(5,$R97/(1+($V97*(('Traffic Data'!T16*$T97*$U97)/(($I97/2)*$S97))^$W97)))</f>
        <v>41.099923304581964</v>
      </c>
      <c r="AI97" s="503">
        <f>MAX(5,$R97/(1+($V97*(('Traffic Data'!U16*$T97*$U97)/(($I97/2)*$S97))^$W97)))</f>
        <v>41.099670017685632</v>
      </c>
      <c r="AJ97" s="503">
        <f>MAX(5,$R97/(1+($V97*(('Traffic Data'!V16*$T97*$U97)/(($I97/2)*$S97))^$W97)))</f>
        <v>41.098820285584843</v>
      </c>
      <c r="AK97" s="503">
        <f>MAX(5,$R97/(1+($V97*(('Traffic Data'!W16*$T97*$U97)/(($I97/2)*$S97))^$W97)))</f>
        <v>41.097689464483068</v>
      </c>
      <c r="AL97" s="503">
        <f>MAX(5,$R97/(1+($V97*(('Traffic Data'!X16*$T97*$U97)/(($I97/2)*$S97))^$W97)))</f>
        <v>41.097249788421735</v>
      </c>
      <c r="AM97" s="503">
        <f>MAX(5,$R97/(1+($V97*(('Traffic Data'!Y16*$T97*$U97)/(($I97/2)*$S97))^$W97)))</f>
        <v>41.096736201902331</v>
      </c>
      <c r="AN97" s="503">
        <f>MAX(5,$R97/(1+($V97*(('Traffic Data'!Z16*$T97*$U97)/(($I97/2)*$S97))^$W97)))</f>
        <v>41.096137862863728</v>
      </c>
      <c r="AO97" s="503">
        <f>MAX(5,$R97/(1+($V97*(('Traffic Data'!AA16*$T97*$U97)/(($I97/2)*$S97))^$W97)))</f>
        <v>41.095442812800208</v>
      </c>
      <c r="AP97" s="503">
        <f>MAX(5,$R97/(1+($V97*(('Traffic Data'!AB16*$T97*$U97)/(($I97/2)*$S97))^$W97)))</f>
        <v>41.094636873462768</v>
      </c>
      <c r="AQ97" s="503">
        <f>MAX(5,$R97/(1+($V97*(('Traffic Data'!AC16*$T97*$U97)/(($I97/2)*$S97))^$W97)))</f>
        <v>41.093705207940218</v>
      </c>
      <c r="AR97" s="503">
        <f>MAX(5,$R97/(1+($V97*(('Traffic Data'!AD16*$T97*$U97)/(($I97/2)*$S97))^$W97)))</f>
        <v>41.092629976360833</v>
      </c>
      <c r="AS97" s="503">
        <f>MAX(5,$R97/(1+($V97*(('Traffic Data'!AE16*$T97*$U97)/(($I97/2)*$S97))^$W97)))</f>
        <v>41.09139222283779</v>
      </c>
      <c r="AT97" s="503">
        <f>MAX(5,$R97/(1+($V97*(('Traffic Data'!AF16*$T97*$U97)/(($I97/2)*$S97))^$W97)))</f>
        <v>41.08997098868771</v>
      </c>
      <c r="AU97" s="503">
        <f>MAX(5,$R97/(1+($V97*(('Traffic Data'!AG16*$T97*$U97)/(($I97/2)*$S97))^$W97)))</f>
        <v>41.088341430242401</v>
      </c>
      <c r="AV97" s="503">
        <f>MAX(5,$R97/(1+($V97*(('Traffic Data'!AH16*$T97*$U97)/(($I97/2)*$S97))^$W97)))</f>
        <v>41.086477419898806</v>
      </c>
      <c r="AW97" s="502">
        <f>MAX(5,$R97/(1+($V97*(('Traffic Data'!AI16*$T97*$U97)/(($I97/2)*$S97))^$W97)))</f>
        <v>41.084350227359607</v>
      </c>
      <c r="AX97" s="378">
        <f>$R97/(1+($V97*(('Traffic Data'!J16*(0.67/14))/(($I97)*$S97))^$W97))</f>
        <v>41.1</v>
      </c>
      <c r="AY97" s="378">
        <f>$R97/(1+($V97*(('Traffic Data'!J16*(0.67/14))/(($I97)*$S97))^$W97))</f>
        <v>41.1</v>
      </c>
      <c r="AZ97" s="378">
        <f>$R97/(1+($V97*(('Traffic Data'!K16*(0.67/14))/(($I97)*$S97))^$W97))</f>
        <v>41.1</v>
      </c>
      <c r="BA97" s="378">
        <f>$R97/(1+($V97*(('Traffic Data'!L16*(0.67/14))/(($I97)*$S97))^$W97))</f>
        <v>41.1</v>
      </c>
      <c r="BB97" s="378">
        <f>$R97/(1+($V97*(('Traffic Data'!M16*(0.67/14))/(($I97)*$S97))^$W97))</f>
        <v>41.1</v>
      </c>
      <c r="BC97" s="378">
        <f>$R97/(1+($V97*(('Traffic Data'!N16*(0.67/14))/(($I97)*$S97))^$W97))</f>
        <v>41.1</v>
      </c>
      <c r="BD97" s="378">
        <f>$R97/(1+($V97*(('Traffic Data'!O16*(0.67/14))/(($I97)*$S97))^$W97))</f>
        <v>41.09999999999998</v>
      </c>
      <c r="BE97" s="378">
        <f>$R97/(1+($V97*(('Traffic Data'!P16*(0.67/14))/(($I97)*$S97))^$W97))</f>
        <v>41.099999999999852</v>
      </c>
      <c r="BF97" s="378">
        <f>$R97/(1+($V97*(('Traffic Data'!Q16*(0.67/14))/(($I97)*$S97))^$W97))</f>
        <v>41.099999999999035</v>
      </c>
      <c r="BG97" s="378">
        <f>$R97/(1+($V97*(('Traffic Data'!R16*(0.67/14))/(($I97)*$S97))^$W97))</f>
        <v>41.099999999986963</v>
      </c>
      <c r="BH97" s="378">
        <f>$R97/(1+($V97*(('Traffic Data'!S16*(0.67/14))/(($I97)*$S97))^$W97))</f>
        <v>41.099999999897491</v>
      </c>
      <c r="BI97" s="378">
        <f>$R97/(1+($V97*(('Traffic Data'!T16*(0.67/14))/(($I97)*$S97))^$W97))</f>
        <v>41.099999999433777</v>
      </c>
      <c r="BJ97" s="378">
        <f>$R97/(1+($V97*(('Traffic Data'!U16*(0.67/14))/(($I97)*$S97))^$W97))</f>
        <v>41.099999997563792</v>
      </c>
      <c r="BK97" s="378">
        <f>$R97/(1+($V97*(('Traffic Data'!V16*(0.67/14))/(($I97)*$S97))^$W97))</f>
        <v>41.09999999129014</v>
      </c>
      <c r="BL97" s="378">
        <f>$R97/(1+($V97*(('Traffic Data'!W16*(0.67/14))/(($I97)*$S97))^$W97))</f>
        <v>41.099999982940801</v>
      </c>
      <c r="BM97" s="378">
        <f>$R97/(1+($V97*(('Traffic Data'!X16*(0.67/14))/(($I97)*$S97))^$W97))</f>
        <v>41.099999979694353</v>
      </c>
      <c r="BN97" s="378">
        <f>$R97/(1+($V97*(('Traffic Data'!Y16*(0.67/14))/(($I97)*$S97))^$W97))</f>
        <v>41.099999975902087</v>
      </c>
      <c r="BO97" s="378">
        <f>$R97/(1+($V97*(('Traffic Data'!Z16*(0.67/14))/(($I97)*$S97))^$W97))</f>
        <v>41.099999971483896</v>
      </c>
      <c r="BP97" s="378">
        <f>$R97/(1+($V97*(('Traffic Data'!AA16*(0.67/14))/(($I97)*$S97))^$W97))</f>
        <v>41.099999966351426</v>
      </c>
      <c r="BQ97" s="378">
        <f>$R97/(1+($V97*(('Traffic Data'!AB16*(0.67/14))/(($I97)*$S97))^$W97))</f>
        <v>41.099999960399892</v>
      </c>
      <c r="BR97" s="378">
        <f>$R97/(1+($V97*(('Traffic Data'!AC16*(0.67/14))/(($I97)*$S97))^$W97))</f>
        <v>41.099999953519628</v>
      </c>
      <c r="BS97" s="378">
        <f>$R97/(1+($V97*(('Traffic Data'!AD16*(0.67/14))/(($I97)*$S97))^$W97))</f>
        <v>41.099999945578752</v>
      </c>
      <c r="BT97" s="378">
        <f>$R97/(1+($V97*(('Traffic Data'!AE16*(0.67/14))/(($I97)*$S97))^$W97))</f>
        <v>41.099999936437108</v>
      </c>
      <c r="BU97" s="378">
        <f>$R97/(1+($V97*(('Traffic Data'!AF16*(0.67/14))/(($I97)*$S97))^$W97))</f>
        <v>41.099999925939649</v>
      </c>
      <c r="BV97" s="378">
        <f>$R97/(1+($V97*(('Traffic Data'!AG16*(0.67/14))/(($I97)*$S97))^$W97))</f>
        <v>41.099999913902579</v>
      </c>
      <c r="BW97" s="620">
        <f>$R97/(1+($V97*(('Traffic Data'!AH16*(0.67/14))/(($I97)*$S97))^$W97))</f>
        <v>41.099999900132502</v>
      </c>
    </row>
    <row r="98" spans="1:75" ht="21.9" customHeight="1" x14ac:dyDescent="0.25">
      <c r="A98" s="617"/>
      <c r="C98" s="1327"/>
      <c r="D98" s="114" t="s">
        <v>321</v>
      </c>
      <c r="E98" s="114" t="s">
        <v>274</v>
      </c>
      <c r="F98" s="550">
        <f>'Traffic Data'!CM14</f>
        <v>0.83333333333333337</v>
      </c>
      <c r="G98" s="550">
        <f>'Traffic Data'!CN14</f>
        <v>0.88</v>
      </c>
      <c r="H98" s="556">
        <f>'Traffic Data'!G17</f>
        <v>40</v>
      </c>
      <c r="I98" s="556">
        <v>4</v>
      </c>
      <c r="J98" s="556">
        <f t="shared" si="6"/>
        <v>47</v>
      </c>
      <c r="K98" s="143">
        <v>0</v>
      </c>
      <c r="L98" s="143">
        <v>2.5</v>
      </c>
      <c r="M98" s="143">
        <v>0</v>
      </c>
      <c r="N98" s="143">
        <v>1.8</v>
      </c>
      <c r="O98" s="143">
        <v>1.6</v>
      </c>
      <c r="P98" s="143">
        <v>0</v>
      </c>
      <c r="Q98" s="143">
        <v>0</v>
      </c>
      <c r="R98" s="249">
        <f t="shared" si="4"/>
        <v>41.1</v>
      </c>
      <c r="S98" s="561">
        <f>M25*F98*G98</f>
        <v>1356.6666666666667</v>
      </c>
      <c r="T98" s="562">
        <v>0.12</v>
      </c>
      <c r="U98" s="563">
        <v>0.65</v>
      </c>
      <c r="V98" s="564">
        <f t="shared" si="5"/>
        <v>0.2</v>
      </c>
      <c r="W98" s="225">
        <v>10</v>
      </c>
      <c r="X98" s="505">
        <f>MAX(5,$R98/(1+($V98*(('Traffic Data'!J17*$T98*$U98)/(($I98/2)*$S98))^$W98)))</f>
        <v>41.1</v>
      </c>
      <c r="Y98" s="506">
        <f>MAX(5,$R98/(1+($V98*(('Traffic Data'!K17*$T98*$U98)/(($I98/2)*$S98))^$W98)))</f>
        <v>41.1</v>
      </c>
      <c r="Z98" s="506">
        <f>MAX(5,$R98/(1+($V98*(('Traffic Data'!L17*$T98*$U98)/(($I98/2)*$S98))^$W98)))</f>
        <v>41.1</v>
      </c>
      <c r="AA98" s="506">
        <f>MAX(5,$R98/(1+($V98*(('Traffic Data'!M17*$T98*$U98)/(($I98/2)*$S98))^$W98)))</f>
        <v>41.099999999998687</v>
      </c>
      <c r="AB98" s="506">
        <f>MAX(5,$R98/(1+($V98*(('Traffic Data'!N17*$T98*$U98)/(($I98/2)*$S98))^$W98)))</f>
        <v>41.099999999901492</v>
      </c>
      <c r="AC98" s="506">
        <f>MAX(5,$R98/(1+($V98*(('Traffic Data'!O17*$T98*$U98)/(($I98/2)*$S98))^$W98)))</f>
        <v>41.099999998001088</v>
      </c>
      <c r="AD98" s="506">
        <f>MAX(5,$R98/(1+($V98*(('Traffic Data'!P17*$T98*$U98)/(($I98/2)*$S98))^$W98)))</f>
        <v>41.099999979903664</v>
      </c>
      <c r="AE98" s="506">
        <f>MAX(5,$R98/(1+($V98*(('Traffic Data'!Q17*$T98*$U98)/(($I98/2)*$S98))^$W98)))</f>
        <v>41.099999868964495</v>
      </c>
      <c r="AF98" s="506">
        <f>MAX(5,$R98/(1+($V98*(('Traffic Data'!R17*$T98*$U98)/(($I98/2)*$S98))^$W98)))</f>
        <v>41.099998233248122</v>
      </c>
      <c r="AG98" s="506">
        <f>MAX(5,$R98/(1+($V98*(('Traffic Data'!S17*$T98*$U98)/(($I98/2)*$S98))^$W98)))</f>
        <v>41.099986114185413</v>
      </c>
      <c r="AH98" s="506">
        <f>MAX(5,$R98/(1+($V98*(('Traffic Data'!T17*$T98*$U98)/(($I98/2)*$S98))^$W98)))</f>
        <v>41.099923304581964</v>
      </c>
      <c r="AI98" s="506">
        <f>MAX(5,$R98/(1+($V98*(('Traffic Data'!U17*$T98*$U98)/(($I98/2)*$S98))^$W98)))</f>
        <v>41.099670017685632</v>
      </c>
      <c r="AJ98" s="506">
        <f>MAX(5,$R98/(1+($V98*(('Traffic Data'!V17*$T98*$U98)/(($I98/2)*$S98))^$W98)))</f>
        <v>41.098820285584843</v>
      </c>
      <c r="AK98" s="506">
        <f>MAX(5,$R98/(1+($V98*(('Traffic Data'!W17*$T98*$U98)/(($I98/2)*$S98))^$W98)))</f>
        <v>41.097689464483068</v>
      </c>
      <c r="AL98" s="506">
        <f>MAX(5,$R98/(1+($V98*(('Traffic Data'!X17*$T98*$U98)/(($I98/2)*$S98))^$W98)))</f>
        <v>41.097249788421735</v>
      </c>
      <c r="AM98" s="506">
        <f>MAX(5,$R98/(1+($V98*(('Traffic Data'!Y17*$T98*$U98)/(($I98/2)*$S98))^$W98)))</f>
        <v>41.096736201902331</v>
      </c>
      <c r="AN98" s="506">
        <f>MAX(5,$R98/(1+($V98*(('Traffic Data'!Z17*$T98*$U98)/(($I98/2)*$S98))^$W98)))</f>
        <v>41.096137862863728</v>
      </c>
      <c r="AO98" s="506">
        <f>MAX(5,$R98/(1+($V98*(('Traffic Data'!AA17*$T98*$U98)/(($I98/2)*$S98))^$W98)))</f>
        <v>41.095442812800208</v>
      </c>
      <c r="AP98" s="506">
        <f>MAX(5,$R98/(1+($V98*(('Traffic Data'!AB17*$T98*$U98)/(($I98/2)*$S98))^$W98)))</f>
        <v>41.094636873462768</v>
      </c>
      <c r="AQ98" s="506">
        <f>MAX(5,$R98/(1+($V98*(('Traffic Data'!AC17*$T98*$U98)/(($I98/2)*$S98))^$W98)))</f>
        <v>41.093705207940218</v>
      </c>
      <c r="AR98" s="506">
        <f>MAX(5,$R98/(1+($V98*(('Traffic Data'!AD17*$T98*$U98)/(($I98/2)*$S98))^$W98)))</f>
        <v>41.092629976360833</v>
      </c>
      <c r="AS98" s="506">
        <f>MAX(5,$R98/(1+($V98*(('Traffic Data'!AE17*$T98*$U98)/(($I98/2)*$S98))^$W98)))</f>
        <v>41.09139222283779</v>
      </c>
      <c r="AT98" s="506">
        <f>MAX(5,$R98/(1+($V98*(('Traffic Data'!AF17*$T98*$U98)/(($I98/2)*$S98))^$W98)))</f>
        <v>41.08997098868771</v>
      </c>
      <c r="AU98" s="506">
        <f>MAX(5,$R98/(1+($V98*(('Traffic Data'!AG17*$T98*$U98)/(($I98/2)*$S98))^$W98)))</f>
        <v>41.088341430242401</v>
      </c>
      <c r="AV98" s="506">
        <f>MAX(5,$R98/(1+($V98*(('Traffic Data'!AH17*$T98*$U98)/(($I98/2)*$S98))^$W98)))</f>
        <v>41.086477419898806</v>
      </c>
      <c r="AW98" s="507">
        <f>MAX(5,$R98/(1+($V98*(('Traffic Data'!AI17*$T98*$U98)/(($I98/2)*$S98))^$W98)))</f>
        <v>41.084350227359607</v>
      </c>
      <c r="AX98" s="351">
        <f>$R98/(1+($V98*(('Traffic Data'!J17*(0.67/14))/(($I98)*$S98))^$W98))</f>
        <v>41.1</v>
      </c>
      <c r="AY98" s="351">
        <f>$R98/(1+($V98*(('Traffic Data'!J17*(0.67/14))/(($I98)*$S98))^$W98))</f>
        <v>41.1</v>
      </c>
      <c r="AZ98" s="351">
        <f>$R98/(1+($V98*(('Traffic Data'!K17*(0.67/14))/(($I98)*$S98))^$W98))</f>
        <v>41.1</v>
      </c>
      <c r="BA98" s="351">
        <f>$R98/(1+($V98*(('Traffic Data'!L17*(0.67/14))/(($I98)*$S98))^$W98))</f>
        <v>41.1</v>
      </c>
      <c r="BB98" s="351">
        <f>$R98/(1+($V98*(('Traffic Data'!M17*(0.67/14))/(($I98)*$S98))^$W98))</f>
        <v>41.1</v>
      </c>
      <c r="BC98" s="351">
        <f>$R98/(1+($V98*(('Traffic Data'!N17*(0.67/14))/(($I98)*$S98))^$W98))</f>
        <v>41.1</v>
      </c>
      <c r="BD98" s="351">
        <f>$R98/(1+($V98*(('Traffic Data'!O17*(0.67/14))/(($I98)*$S98))^$W98))</f>
        <v>41.09999999999998</v>
      </c>
      <c r="BE98" s="351">
        <f>$R98/(1+($V98*(('Traffic Data'!P17*(0.67/14))/(($I98)*$S98))^$W98))</f>
        <v>41.099999999999852</v>
      </c>
      <c r="BF98" s="351">
        <f>$R98/(1+($V98*(('Traffic Data'!Q17*(0.67/14))/(($I98)*$S98))^$W98))</f>
        <v>41.099999999999035</v>
      </c>
      <c r="BG98" s="351">
        <f>$R98/(1+($V98*(('Traffic Data'!R17*(0.67/14))/(($I98)*$S98))^$W98))</f>
        <v>41.099999999986963</v>
      </c>
      <c r="BH98" s="351">
        <f>$R98/(1+($V98*(('Traffic Data'!S17*(0.67/14))/(($I98)*$S98))^$W98))</f>
        <v>41.099999999897491</v>
      </c>
      <c r="BI98" s="351">
        <f>$R98/(1+($V98*(('Traffic Data'!T17*(0.67/14))/(($I98)*$S98))^$W98))</f>
        <v>41.099999999433777</v>
      </c>
      <c r="BJ98" s="351">
        <f>$R98/(1+($V98*(('Traffic Data'!U17*(0.67/14))/(($I98)*$S98))^$W98))</f>
        <v>41.099999997563792</v>
      </c>
      <c r="BK98" s="351">
        <f>$R98/(1+($V98*(('Traffic Data'!V17*(0.67/14))/(($I98)*$S98))^$W98))</f>
        <v>41.09999999129014</v>
      </c>
      <c r="BL98" s="351">
        <f>$R98/(1+($V98*(('Traffic Data'!W17*(0.67/14))/(($I98)*$S98))^$W98))</f>
        <v>41.099999982940801</v>
      </c>
      <c r="BM98" s="351">
        <f>$R98/(1+($V98*(('Traffic Data'!X17*(0.67/14))/(($I98)*$S98))^$W98))</f>
        <v>41.099999979694353</v>
      </c>
      <c r="BN98" s="351">
        <f>$R98/(1+($V98*(('Traffic Data'!Y17*(0.67/14))/(($I98)*$S98))^$W98))</f>
        <v>41.099999975902087</v>
      </c>
      <c r="BO98" s="351">
        <f>$R98/(1+($V98*(('Traffic Data'!Z17*(0.67/14))/(($I98)*$S98))^$W98))</f>
        <v>41.099999971483896</v>
      </c>
      <c r="BP98" s="351">
        <f>$R98/(1+($V98*(('Traffic Data'!AA17*(0.67/14))/(($I98)*$S98))^$W98))</f>
        <v>41.099999966351426</v>
      </c>
      <c r="BQ98" s="351">
        <f>$R98/(1+($V98*(('Traffic Data'!AB17*(0.67/14))/(($I98)*$S98))^$W98))</f>
        <v>41.099999960399892</v>
      </c>
      <c r="BR98" s="351">
        <f>$R98/(1+($V98*(('Traffic Data'!AC17*(0.67/14))/(($I98)*$S98))^$W98))</f>
        <v>41.099999953519628</v>
      </c>
      <c r="BS98" s="351">
        <f>$R98/(1+($V98*(('Traffic Data'!AD17*(0.67/14))/(($I98)*$S98))^$W98))</f>
        <v>41.099999945578752</v>
      </c>
      <c r="BT98" s="351">
        <f>$R98/(1+($V98*(('Traffic Data'!AE17*(0.67/14))/(($I98)*$S98))^$W98))</f>
        <v>41.099999936437108</v>
      </c>
      <c r="BU98" s="351">
        <f>$R98/(1+($V98*(('Traffic Data'!AF17*(0.67/14))/(($I98)*$S98))^$W98))</f>
        <v>41.099999925939649</v>
      </c>
      <c r="BV98" s="351">
        <f>$R98/(1+($V98*(('Traffic Data'!AG17*(0.67/14))/(($I98)*$S98))^$W98))</f>
        <v>41.099999913902579</v>
      </c>
      <c r="BW98" s="623">
        <f>$R98/(1+($V98*(('Traffic Data'!AH17*(0.67/14))/(($I98)*$S98))^$W98))</f>
        <v>41.099999900132502</v>
      </c>
    </row>
    <row r="99" spans="1:75" ht="21.9" customHeight="1" x14ac:dyDescent="0.25">
      <c r="A99" s="617"/>
      <c r="C99" s="250" t="s">
        <v>282</v>
      </c>
      <c r="D99" s="250" t="s">
        <v>308</v>
      </c>
      <c r="E99" s="250" t="s">
        <v>324</v>
      </c>
      <c r="F99" s="555">
        <f>'Traffic Data'!CM18</f>
        <v>0.83333333333333337</v>
      </c>
      <c r="G99" s="555">
        <f>'Traffic Data'!CN18</f>
        <v>0.88</v>
      </c>
      <c r="H99" s="566">
        <f>'Traffic Data'!G18</f>
        <v>30</v>
      </c>
      <c r="I99" s="556">
        <v>2</v>
      </c>
      <c r="J99" s="566">
        <f t="shared" si="6"/>
        <v>37</v>
      </c>
      <c r="K99" s="556">
        <v>4.2</v>
      </c>
      <c r="L99" s="556">
        <v>5</v>
      </c>
      <c r="M99" s="556">
        <v>0</v>
      </c>
      <c r="N99" s="556">
        <v>0</v>
      </c>
      <c r="O99" s="556">
        <v>0</v>
      </c>
      <c r="P99" s="556">
        <v>0</v>
      </c>
      <c r="Q99" s="556">
        <v>0</v>
      </c>
      <c r="R99" s="251">
        <f t="shared" si="4"/>
        <v>27.799999999999997</v>
      </c>
      <c r="S99" s="557">
        <f>F99*G99*N28</f>
        <v>586.66666666666674</v>
      </c>
      <c r="T99" s="558">
        <v>0.12</v>
      </c>
      <c r="U99" s="559">
        <v>0.65</v>
      </c>
      <c r="V99" s="573">
        <f t="shared" ref="V99:V118" si="7">$E$31</f>
        <v>0.2</v>
      </c>
      <c r="W99" s="227">
        <v>10</v>
      </c>
      <c r="X99" s="382">
        <f>$R99/(1+($V99*(('Traffic Data'!J18*$T99*$U99)/(($I99/2)*$S99))^$W99))</f>
        <v>27.799996573650304</v>
      </c>
      <c r="Y99" s="353">
        <f>$R99/(1+($V99*(('Traffic Data'!K18*$T99*$U99)/(($I99/2)*$S99))^$W99))</f>
        <v>27.799995049304624</v>
      </c>
      <c r="Z99" s="353">
        <f>$R99/(1+($V99*(('Traffic Data'!L18*$T99*$U99)/(($I99/2)*$S99))^$W99))</f>
        <v>27.799991521642578</v>
      </c>
      <c r="AA99" s="353">
        <f>$R99/(1+($V99*(('Traffic Data'!M18*$T99*$U99)/(($I99/2)*$S99))^$W99))</f>
        <v>27.799960478396013</v>
      </c>
      <c r="AB99" s="353">
        <f>$R99/(1+($V99*(('Traffic Data'!N18*$T99*$U99)/(($I99/2)*$S99))^$W99))</f>
        <v>27.799849987857112</v>
      </c>
      <c r="AC99" s="353">
        <f>$R99/(1+($V99*(('Traffic Data'!O18*$T99*$U99)/(($I99/2)*$S99))^$W99))</f>
        <v>27.799512837411783</v>
      </c>
      <c r="AD99" s="353">
        <f>$R99/(1+($V99*(('Traffic Data'!P18*$T99*$U99)/(($I99/2)*$S99))^$W99))</f>
        <v>27.798604507295686</v>
      </c>
      <c r="AE99" s="353">
        <f>$R99/(1+($V99*(('Traffic Data'!Q18*$T99*$U99)/(($I99/2)*$S99))^$W99))</f>
        <v>27.79638099138247</v>
      </c>
      <c r="AF99" s="353">
        <f>$R99/(1+($V99*(('Traffic Data'!R18*$T99*$U99)/(($I99/2)*$S99))^$W99))</f>
        <v>27.788785641371796</v>
      </c>
      <c r="AG99" s="353">
        <f>$R99/(1+($V99*(('Traffic Data'!S18*$T99*$U99)/(($I99/2)*$S99))^$W99))</f>
        <v>27.76904800797</v>
      </c>
      <c r="AH99" s="353">
        <f>$R99/(1+($V99*(('Traffic Data'!T18*$T99*$U99)/(($I99/2)*$S99))^$W99))</f>
        <v>27.722268008909683</v>
      </c>
      <c r="AI99" s="353">
        <f>$R99/(1+($V99*(('Traffic Data'!U18*$T99*$U99)/(($I99/2)*$S99))^$W99))</f>
        <v>27.619807797087887</v>
      </c>
      <c r="AJ99" s="353">
        <f>$R99/(1+($V99*(('Traffic Data'!V18*$T99*$U99)/(($I99/2)*$S99))^$W99))</f>
        <v>27.41008874682602</v>
      </c>
      <c r="AK99" s="353">
        <f>$R99/(1+($V99*(('Traffic Data'!W18*$T99*$U99)/(($I99/2)*$S99))^$W99))</f>
        <v>27.248206252073437</v>
      </c>
      <c r="AL99" s="353">
        <f>$R99/(1+($V99*(('Traffic Data'!X18*$T99*$U99)/(($I99/2)*$S99))^$W99))</f>
        <v>27.184154150089018</v>
      </c>
      <c r="AM99" s="353">
        <f>$R99/(1+($V99*(('Traffic Data'!Y18*$T99*$U99)/(($I99/2)*$S99))^$W99))</f>
        <v>27.113687845608009</v>
      </c>
      <c r="AN99" s="353">
        <f>$R99/(1+($V99*(('Traffic Data'!Z18*$T99*$U99)/(($I99/2)*$S99))^$W99))</f>
        <v>27.0362899217501</v>
      </c>
      <c r="AO99" s="353">
        <f>$R99/(1+($V99*(('Traffic Data'!AA18*$T99*$U99)/(($I99/2)*$S99))^$W99))</f>
        <v>26.951325015374376</v>
      </c>
      <c r="AP99" s="353">
        <f>$R99/(1+($V99*(('Traffic Data'!AB18*$T99*$U99)/(($I99/2)*$S99))^$W99))</f>
        <v>26.858400679797352</v>
      </c>
      <c r="AQ99" s="353">
        <f>$R99/(1+($V99*(('Traffic Data'!AC18*$T99*$U99)/(($I99/2)*$S99))^$W99))</f>
        <v>26.756731449264507</v>
      </c>
      <c r="AR99" s="353">
        <f>$R99/(1+($V99*(('Traffic Data'!AD18*$T99*$U99)/(($I99/2)*$S99))^$W99))</f>
        <v>26.645914894605589</v>
      </c>
      <c r="AS99" s="353">
        <f>$R99/(1+($V99*(('Traffic Data'!AE18*$T99*$U99)/(($I99/2)*$S99))^$W99))</f>
        <v>26.525218980800844</v>
      </c>
      <c r="AT99" s="353">
        <f>$R99/(1+($V99*(('Traffic Data'!AF18*$T99*$U99)/(($I99/2)*$S99))^$W99))</f>
        <v>26.393855253156566</v>
      </c>
      <c r="AU99" s="353">
        <f>$R99/(1+($V99*(('Traffic Data'!AG18*$T99*$U99)/(($I99/2)*$S99))^$W99))</f>
        <v>26.251437332961135</v>
      </c>
      <c r="AV99" s="353">
        <f>$R99/(1+($V99*(('Traffic Data'!AH18*$T99*$U99)/(($I99/2)*$S99))^$W99))</f>
        <v>26.097169879604184</v>
      </c>
      <c r="AW99" s="354">
        <f>$R99/(1+($V99*(('Traffic Data'!AI18*$T99*$U99)/(($I99/2)*$S99))^$W99))</f>
        <v>25.930207143733867</v>
      </c>
      <c r="AX99" s="353">
        <f>$R99/(1+($V99*(('Traffic Data'!J18*(0.67/14))/(($I99)*$S99))^$W99))</f>
        <v>27.799999999974702</v>
      </c>
      <c r="AY99" s="353">
        <f>$R99/(1+($V99*(('Traffic Data'!J18*(0.67/14))/(($I99)*$S99))^$W99))</f>
        <v>27.799999999974702</v>
      </c>
      <c r="AZ99" s="353">
        <f>$R99/(1+($V99*(('Traffic Data'!K18*(0.67/14))/(($I99)*$S99))^$W99))</f>
        <v>27.799999999963447</v>
      </c>
      <c r="BA99" s="353">
        <f>$R99/(1+($V99*(('Traffic Data'!L18*(0.67/14))/(($I99)*$S99))^$W99))</f>
        <v>27.799999999937405</v>
      </c>
      <c r="BB99" s="353">
        <f>$R99/(1+($V99*(('Traffic Data'!M18*(0.67/14))/(($I99)*$S99))^$W99))</f>
        <v>27.799999999708213</v>
      </c>
      <c r="BC99" s="353">
        <f>$R99/(1+($V99*(('Traffic Data'!N18*(0.67/14))/(($I99)*$S99))^$W99))</f>
        <v>27.799999998892478</v>
      </c>
      <c r="BD99" s="353">
        <f>$R99/(1+($V99*(('Traffic Data'!O18*(0.67/14))/(($I99)*$S99))^$W99))</f>
        <v>27.799999996403304</v>
      </c>
      <c r="BE99" s="353">
        <f>$R99/(1+($V99*(('Traffic Data'!P18*(0.67/14))/(($I99)*$S99))^$W99))</f>
        <v>27.799999989696822</v>
      </c>
      <c r="BF99" s="353">
        <f>$R99/(1+($V99*(('Traffic Data'!Q18*(0.67/14))/(($I99)*$S99))^$W99))</f>
        <v>27.799999973278062</v>
      </c>
      <c r="BG99" s="353">
        <f>$R99/(1+($V99*(('Traffic Data'!R18*(0.67/14))/(($I99)*$S99))^$W99))</f>
        <v>27.799999917173107</v>
      </c>
      <c r="BH99" s="353">
        <f>$R99/(1+($V99*(('Traffic Data'!S18*(0.67/14))/(($I99)*$S99))^$W99))</f>
        <v>27.799999771232621</v>
      </c>
      <c r="BI99" s="353">
        <f>$R99/(1+($V99*(('Traffic Data'!T18*(0.67/14))/(($I99)*$S99))^$W99))</f>
        <v>27.799999424510357</v>
      </c>
      <c r="BJ99" s="353">
        <f>$R99/(1+($V99*(('Traffic Data'!U18*(0.67/14))/(($I99)*$S99))^$W99))</f>
        <v>27.799998660996209</v>
      </c>
      <c r="BK99" s="353">
        <f>$R99/(1+($V99*(('Traffic Data'!V18*(0.67/14))/(($I99)*$S99))^$W99))</f>
        <v>27.799997080410687</v>
      </c>
      <c r="BL99" s="353">
        <f>$R99/(1+($V99*(('Traffic Data'!W18*(0.67/14))/(($I99)*$S99))^$W99))</f>
        <v>27.799995843715422</v>
      </c>
      <c r="BM99" s="353">
        <f>$R99/(1+($V99*(('Traffic Data'!X18*(0.67/14))/(($I99)*$S99))^$W99))</f>
        <v>27.79999535032492</v>
      </c>
      <c r="BN99" s="353">
        <f>$R99/(1+($V99*(('Traffic Data'!Y18*(0.67/14))/(($I99)*$S99))^$W99))</f>
        <v>27.799994804833148</v>
      </c>
      <c r="BO99" s="353">
        <f>$R99/(1+($V99*(('Traffic Data'!Z18*(0.67/14))/(($I99)*$S99))^$W99))</f>
        <v>27.799994202405731</v>
      </c>
      <c r="BP99" s="353">
        <f>$R99/(1+($V99*(('Traffic Data'!AA18*(0.67/14))/(($I99)*$S99))^$W99))</f>
        <v>27.799993537096643</v>
      </c>
      <c r="BQ99" s="353">
        <f>$R99/(1+($V99*(('Traffic Data'!AB18*(0.67/14))/(($I99)*$S99))^$W99))</f>
        <v>27.799992804642809</v>
      </c>
      <c r="BR99" s="353">
        <f>$R99/(1+($V99*(('Traffic Data'!AC18*(0.67/14))/(($I99)*$S99))^$W99))</f>
        <v>27.799991997431249</v>
      </c>
      <c r="BS99" s="353">
        <f>$R99/(1+($V99*(('Traffic Data'!AD18*(0.67/14))/(($I99)*$S99))^$W99))</f>
        <v>27.79999111057759</v>
      </c>
      <c r="BT99" s="353">
        <f>$R99/(1+($V99*(('Traffic Data'!AE18*(0.67/14))/(($I99)*$S99))^$W99))</f>
        <v>27.799990136229951</v>
      </c>
      <c r="BU99" s="353">
        <f>$R99/(1+($V99*(('Traffic Data'!AF18*(0.67/14))/(($I99)*$S99))^$W99))</f>
        <v>27.799989065636435</v>
      </c>
      <c r="BV99" s="353">
        <f>$R99/(1+($V99*(('Traffic Data'!AG18*(0.67/14))/(($I99)*$S99))^$W99))</f>
        <v>27.799987892848094</v>
      </c>
      <c r="BW99" s="624">
        <f>$R99/(1+($V99*(('Traffic Data'!AH18*(0.67/14))/(($I99)*$S99))^$W99))</f>
        <v>27.799986608038736</v>
      </c>
    </row>
    <row r="100" spans="1:75" ht="21.9" customHeight="1" x14ac:dyDescent="0.25">
      <c r="A100" s="617"/>
      <c r="C100" s="217" t="s">
        <v>321</v>
      </c>
      <c r="D100" s="217" t="s">
        <v>318</v>
      </c>
      <c r="E100" s="217" t="s">
        <v>308</v>
      </c>
      <c r="F100" s="571">
        <f>'Traffic Data'!CM19</f>
        <v>0.83333333333333337</v>
      </c>
      <c r="G100" s="571">
        <f>'Traffic Data'!CN19</f>
        <v>0.88</v>
      </c>
      <c r="H100" s="566">
        <f>'Traffic Data'!G19</f>
        <v>40</v>
      </c>
      <c r="I100" s="566">
        <v>0</v>
      </c>
      <c r="J100" s="566">
        <f t="shared" si="6"/>
        <v>47</v>
      </c>
      <c r="K100" s="566">
        <v>1.3</v>
      </c>
      <c r="L100" s="566">
        <v>2.5</v>
      </c>
      <c r="M100" s="556">
        <v>0</v>
      </c>
      <c r="N100" s="556">
        <v>0</v>
      </c>
      <c r="O100" s="556">
        <v>0</v>
      </c>
      <c r="P100" s="556">
        <v>0</v>
      </c>
      <c r="Q100" s="556">
        <v>0</v>
      </c>
      <c r="R100" s="251">
        <f t="shared" si="4"/>
        <v>43.2</v>
      </c>
      <c r="S100" s="557">
        <v>0</v>
      </c>
      <c r="T100" s="558">
        <v>0.12</v>
      </c>
      <c r="U100" s="559">
        <v>0.65</v>
      </c>
      <c r="V100" s="554">
        <f t="shared" si="7"/>
        <v>0.2</v>
      </c>
      <c r="W100" s="226">
        <v>10</v>
      </c>
      <c r="X100" s="377" t="e">
        <f>$R100/(1+($V100*(('Traffic Data'!J19*$T100*$U100)/(($I100/2)*$S100))^$W100))</f>
        <v>#DIV/0!</v>
      </c>
      <c r="Y100" s="378" t="e">
        <f>$R100/(1+($V100*(('Traffic Data'!K19*$T100*$U100)/(($I100/2)*$S100))^$W100))</f>
        <v>#DIV/0!</v>
      </c>
      <c r="Z100" s="378" t="e">
        <f>$R100/(1+($V100*(('Traffic Data'!L19*$T100*$U100)/(($I100/2)*$S100))^$W100))</f>
        <v>#DIV/0!</v>
      </c>
      <c r="AA100" s="378" t="e">
        <f>$R100/(1+($V100*(('Traffic Data'!M19*$T100*$U100)/(($I100/2)*$S100))^$W100))</f>
        <v>#DIV/0!</v>
      </c>
      <c r="AB100" s="378" t="e">
        <f>$R100/(1+($V100*(('Traffic Data'!N19*$T100*$U100)/(($I100/2)*$S100))^$W100))</f>
        <v>#DIV/0!</v>
      </c>
      <c r="AC100" s="378" t="e">
        <f>$R100/(1+($V100*(('Traffic Data'!O19*$T100*$U100)/(($I100/2)*$S100))^$W100))</f>
        <v>#DIV/0!</v>
      </c>
      <c r="AD100" s="378" t="e">
        <f>$R100/(1+($V100*(('Traffic Data'!P19*$T100*$U100)/(($I100/2)*$S100))^$W100))</f>
        <v>#DIV/0!</v>
      </c>
      <c r="AE100" s="378" t="e">
        <f>$R100/(1+($V100*(('Traffic Data'!Q19*$T100*$U100)/(($I100/2)*$S100))^$W100))</f>
        <v>#DIV/0!</v>
      </c>
      <c r="AF100" s="378" t="e">
        <f>$R100/(1+($V100*(('Traffic Data'!R19*$T100*$U100)/(($I100/2)*$S100))^$W100))</f>
        <v>#DIV/0!</v>
      </c>
      <c r="AG100" s="378" t="e">
        <f>$R100/(1+($V100*(('Traffic Data'!S19*$T100*$U100)/(($I100/2)*$S100))^$W100))</f>
        <v>#DIV/0!</v>
      </c>
      <c r="AH100" s="378" t="e">
        <f>$R100/(1+($V100*(('Traffic Data'!T19*$T100*$U100)/(($I100/2)*$S100))^$W100))</f>
        <v>#DIV/0!</v>
      </c>
      <c r="AI100" s="378" t="e">
        <f>$R100/(1+($V100*(('Traffic Data'!U19*$T100*$U100)/(($I100/2)*$S100))^$W100))</f>
        <v>#DIV/0!</v>
      </c>
      <c r="AJ100" s="378" t="e">
        <f>$R100/(1+($V100*(('Traffic Data'!V19*$T100*$U100)/(($I100/2)*$S100))^$W100))</f>
        <v>#DIV/0!</v>
      </c>
      <c r="AK100" s="378" t="e">
        <f>$R100/(1+($V100*(('Traffic Data'!W19*$T100*$U100)/(($I100/2)*$S100))^$W100))</f>
        <v>#DIV/0!</v>
      </c>
      <c r="AL100" s="378" t="e">
        <f>$R100/(1+($V100*(('Traffic Data'!X19*$T100*$U100)/(($I100/2)*$S100))^$W100))</f>
        <v>#DIV/0!</v>
      </c>
      <c r="AM100" s="378" t="e">
        <f>$R100/(1+($V100*(('Traffic Data'!Y19*$T100*$U100)/(($I100/2)*$S100))^$W100))</f>
        <v>#DIV/0!</v>
      </c>
      <c r="AN100" s="378" t="e">
        <f>$R100/(1+($V100*(('Traffic Data'!Z19*$T100*$U100)/(($I100/2)*$S100))^$W100))</f>
        <v>#DIV/0!</v>
      </c>
      <c r="AO100" s="378" t="e">
        <f>$R100/(1+($V100*(('Traffic Data'!AA19*$T100*$U100)/(($I100/2)*$S100))^$W100))</f>
        <v>#DIV/0!</v>
      </c>
      <c r="AP100" s="378" t="e">
        <f>$R100/(1+($V100*(('Traffic Data'!AB19*$T100*$U100)/(($I100/2)*$S100))^$W100))</f>
        <v>#DIV/0!</v>
      </c>
      <c r="AQ100" s="378" t="e">
        <f>$R100/(1+($V100*(('Traffic Data'!AC19*$T100*$U100)/(($I100/2)*$S100))^$W100))</f>
        <v>#DIV/0!</v>
      </c>
      <c r="AR100" s="378" t="e">
        <f>$R100/(1+($V100*(('Traffic Data'!AD19*$T100*$U100)/(($I100/2)*$S100))^$W100))</f>
        <v>#DIV/0!</v>
      </c>
      <c r="AS100" s="378" t="e">
        <f>$R100/(1+($V100*(('Traffic Data'!AE19*$T100*$U100)/(($I100/2)*$S100))^$W100))</f>
        <v>#DIV/0!</v>
      </c>
      <c r="AT100" s="378" t="e">
        <f>$R100/(1+($V100*(('Traffic Data'!AF19*$T100*$U100)/(($I100/2)*$S100))^$W100))</f>
        <v>#DIV/0!</v>
      </c>
      <c r="AU100" s="378" t="e">
        <f>$R100/(1+($V100*(('Traffic Data'!AG19*$T100*$U100)/(($I100/2)*$S100))^$W100))</f>
        <v>#DIV/0!</v>
      </c>
      <c r="AV100" s="378" t="e">
        <f>$R100/(1+($V100*(('Traffic Data'!AH19*$T100*$U100)/(($I100/2)*$S100))^$W100))</f>
        <v>#DIV/0!</v>
      </c>
      <c r="AW100" s="350" t="e">
        <f>$R100/(1+($V100*(('Traffic Data'!AI19*$T100*$U100)/(($I100/2)*$S100))^$W100))</f>
        <v>#DIV/0!</v>
      </c>
      <c r="AX100" s="378" t="e">
        <f>$R100/(1+($V100*(('Traffic Data'!J19*(0.67/14))/(($I100)*$S100))^$W100))</f>
        <v>#DIV/0!</v>
      </c>
      <c r="AY100" s="378" t="e">
        <f>$R100/(1+($V100*(('Traffic Data'!J19*(0.67/14))/(($I100)*$S100))^$W100))</f>
        <v>#DIV/0!</v>
      </c>
      <c r="AZ100" s="378" t="e">
        <f>$R100/(1+($V100*(('Traffic Data'!K19*(0.67/14))/(($I100)*$S100))^$W100))</f>
        <v>#DIV/0!</v>
      </c>
      <c r="BA100" s="378" t="e">
        <f>$R100/(1+($V100*(('Traffic Data'!L19*(0.67/14))/(($I100)*$S100))^$W100))</f>
        <v>#DIV/0!</v>
      </c>
      <c r="BB100" s="378" t="e">
        <f>$R100/(1+($V100*(('Traffic Data'!M19*(0.67/14))/(($I100)*$S100))^$W100))</f>
        <v>#DIV/0!</v>
      </c>
      <c r="BC100" s="378" t="e">
        <f>$R100/(1+($V100*(('Traffic Data'!N19*(0.67/14))/(($I100)*$S100))^$W100))</f>
        <v>#DIV/0!</v>
      </c>
      <c r="BD100" s="378" t="e">
        <f>$R100/(1+($V100*(('Traffic Data'!O19*(0.67/14))/(($I100)*$S100))^$W100))</f>
        <v>#DIV/0!</v>
      </c>
      <c r="BE100" s="378" t="e">
        <f>$R100/(1+($V100*(('Traffic Data'!P19*(0.67/14))/(($I100)*$S100))^$W100))</f>
        <v>#DIV/0!</v>
      </c>
      <c r="BF100" s="378" t="e">
        <f>$R100/(1+($V100*(('Traffic Data'!Q19*(0.67/14))/(($I100)*$S100))^$W100))</f>
        <v>#DIV/0!</v>
      </c>
      <c r="BG100" s="378" t="e">
        <f>$R100/(1+($V100*(('Traffic Data'!R19*(0.67/14))/(($I100)*$S100))^$W100))</f>
        <v>#DIV/0!</v>
      </c>
      <c r="BH100" s="378" t="e">
        <f>$R100/(1+($V100*(('Traffic Data'!S19*(0.67/14))/(($I100)*$S100))^$W100))</f>
        <v>#DIV/0!</v>
      </c>
      <c r="BI100" s="378" t="e">
        <f>$R100/(1+($V100*(('Traffic Data'!T19*(0.67/14))/(($I100)*$S100))^$W100))</f>
        <v>#DIV/0!</v>
      </c>
      <c r="BJ100" s="378" t="e">
        <f>$R100/(1+($V100*(('Traffic Data'!U19*(0.67/14))/(($I100)*$S100))^$W100))</f>
        <v>#DIV/0!</v>
      </c>
      <c r="BK100" s="378" t="e">
        <f>$R100/(1+($V100*(('Traffic Data'!V19*(0.67/14))/(($I100)*$S100))^$W100))</f>
        <v>#DIV/0!</v>
      </c>
      <c r="BL100" s="378" t="e">
        <f>$R100/(1+($V100*(('Traffic Data'!W19*(0.67/14))/(($I100)*$S100))^$W100))</f>
        <v>#DIV/0!</v>
      </c>
      <c r="BM100" s="378" t="e">
        <f>$R100/(1+($V100*(('Traffic Data'!X19*(0.67/14))/(($I100)*$S100))^$W100))</f>
        <v>#DIV/0!</v>
      </c>
      <c r="BN100" s="378" t="e">
        <f>$R100/(1+($V100*(('Traffic Data'!Y19*(0.67/14))/(($I100)*$S100))^$W100))</f>
        <v>#DIV/0!</v>
      </c>
      <c r="BO100" s="378" t="e">
        <f>$R100/(1+($V100*(('Traffic Data'!Z19*(0.67/14))/(($I100)*$S100))^$W100))</f>
        <v>#DIV/0!</v>
      </c>
      <c r="BP100" s="378" t="e">
        <f>$R100/(1+($V100*(('Traffic Data'!AA19*(0.67/14))/(($I100)*$S100))^$W100))</f>
        <v>#DIV/0!</v>
      </c>
      <c r="BQ100" s="378" t="e">
        <f>$R100/(1+($V100*(('Traffic Data'!AB19*(0.67/14))/(($I100)*$S100))^$W100))</f>
        <v>#DIV/0!</v>
      </c>
      <c r="BR100" s="378" t="e">
        <f>$R100/(1+($V100*(('Traffic Data'!AC19*(0.67/14))/(($I100)*$S100))^$W100))</f>
        <v>#DIV/0!</v>
      </c>
      <c r="BS100" s="378" t="e">
        <f>$R100/(1+($V100*(('Traffic Data'!AD19*(0.67/14))/(($I100)*$S100))^$W100))</f>
        <v>#DIV/0!</v>
      </c>
      <c r="BT100" s="378" t="e">
        <f>$R100/(1+($V100*(('Traffic Data'!AE19*(0.67/14))/(($I100)*$S100))^$W100))</f>
        <v>#DIV/0!</v>
      </c>
      <c r="BU100" s="378" t="e">
        <f>$R100/(1+($V100*(('Traffic Data'!AF19*(0.67/14))/(($I100)*$S100))^$W100))</f>
        <v>#DIV/0!</v>
      </c>
      <c r="BV100" s="378" t="e">
        <f>$R100/(1+($V100*(('Traffic Data'!AG19*(0.67/14))/(($I100)*$S100))^$W100))</f>
        <v>#DIV/0!</v>
      </c>
      <c r="BW100" s="620" t="e">
        <f>$R100/(1+($V100*(('Traffic Data'!AH19*(0.67/14))/(($I100)*$S100))^$W100))</f>
        <v>#DIV/0!</v>
      </c>
    </row>
    <row r="101" spans="1:75" ht="21.9" customHeight="1" x14ac:dyDescent="0.25">
      <c r="A101" s="617"/>
      <c r="C101" s="273" t="s">
        <v>333</v>
      </c>
      <c r="D101" s="273" t="s">
        <v>319</v>
      </c>
      <c r="E101" s="273" t="s">
        <v>308</v>
      </c>
      <c r="F101" s="565">
        <f>'Traffic Data'!CM20</f>
        <v>0.83333333333333337</v>
      </c>
      <c r="G101" s="565">
        <f>'Traffic Data'!CN20</f>
        <v>0.88</v>
      </c>
      <c r="H101" s="566">
        <f>'Traffic Data'!G20</f>
        <v>30</v>
      </c>
      <c r="I101" s="556">
        <v>2</v>
      </c>
      <c r="J101" s="566">
        <f t="shared" si="6"/>
        <v>37</v>
      </c>
      <c r="K101" s="556">
        <v>2.6</v>
      </c>
      <c r="L101" s="556">
        <v>2.5</v>
      </c>
      <c r="M101" s="556">
        <v>0</v>
      </c>
      <c r="N101" s="556">
        <v>0</v>
      </c>
      <c r="O101" s="556">
        <v>0</v>
      </c>
      <c r="P101" s="556">
        <v>0</v>
      </c>
      <c r="Q101" s="556">
        <v>0</v>
      </c>
      <c r="R101" s="251">
        <f t="shared" si="4"/>
        <v>31.9</v>
      </c>
      <c r="S101" s="567">
        <f>F101*G101*N27</f>
        <v>586.66666666666674</v>
      </c>
      <c r="T101" s="568">
        <v>0.12</v>
      </c>
      <c r="U101" s="569">
        <v>0.65</v>
      </c>
      <c r="V101" s="573">
        <f t="shared" si="7"/>
        <v>0.2</v>
      </c>
      <c r="W101" s="570">
        <v>10</v>
      </c>
      <c r="X101" s="382">
        <f>$R101/(1+($V101*(('Traffic Data'!J20*$T101*$U101)/(($I101/2)*$S101))^$W101))</f>
        <v>31.89597447271742</v>
      </c>
      <c r="Y101" s="353">
        <f>$R101/(1+($V101*(('Traffic Data'!K20*$T101*$U101)/(($I101/2)*$S101))^$W101))</f>
        <v>31.895307298934267</v>
      </c>
      <c r="Z101" s="353">
        <f>$R101/(1+($V101*(('Traffic Data'!L20*$T101*$U101)/(($I101/2)*$S101))^$W101))</f>
        <v>31.893992728566314</v>
      </c>
      <c r="AA101" s="353">
        <f>$R101/(1+($V101*(('Traffic Data'!M20*$T101*$U101)/(($I101/2)*$S101))^$W101))</f>
        <v>31.886678735617878</v>
      </c>
      <c r="AB101" s="353">
        <f>$R101/(1+($V101*(('Traffic Data'!N20*$T101*$U101)/(($I101/2)*$S101))^$W101))</f>
        <v>31.872150555091675</v>
      </c>
      <c r="AC101" s="353">
        <f>$R101/(1+($V101*(('Traffic Data'!O20*$T101*$U101)/(($I101/2)*$S101))^$W101))</f>
        <v>31.844637796182958</v>
      </c>
      <c r="AD101" s="353">
        <f>$R101/(1+($V101*(('Traffic Data'!P20*$T101*$U101)/(($I101/2)*$S101))^$W101))</f>
        <v>31.794871534713295</v>
      </c>
      <c r="AE101" s="353">
        <f>$R101/(1+($V101*(('Traffic Data'!Q20*$T101*$U101)/(($I101/2)*$S101))^$W101))</f>
        <v>31.708072383454706</v>
      </c>
      <c r="AF101" s="353">
        <f>$R101/(1+($V101*(('Traffic Data'!R20*$T101*$U101)/(($I101/2)*$S101))^$W101))</f>
        <v>31.526303036497104</v>
      </c>
      <c r="AG101" s="353">
        <f>$R101/(1+($V101*(('Traffic Data'!S20*$T101*$U101)/(($I101/2)*$S101))^$W101))</f>
        <v>31.205750918031992</v>
      </c>
      <c r="AH101" s="353">
        <f>$R101/(1+($V101*(('Traffic Data'!T20*$T101*$U101)/(($I101/2)*$S101))^$W101))</f>
        <v>30.666059498764817</v>
      </c>
      <c r="AI101" s="353">
        <f>$R101/(1+($V101*(('Traffic Data'!U20*$T101*$U101)/(($I101/2)*$S101))^$W101))</f>
        <v>29.802150767879407</v>
      </c>
      <c r="AJ101" s="353">
        <f>$R101/(1+($V101*(('Traffic Data'!V20*$T101*$U101)/(($I101/2)*$S101))^$W101))</f>
        <v>28.491377926210241</v>
      </c>
      <c r="AK101" s="353">
        <f>$R101/(1+($V101*(('Traffic Data'!W20*$T101*$U101)/(($I101/2)*$S101))^$W101))</f>
        <v>27.809945600992162</v>
      </c>
      <c r="AL101" s="353">
        <f>$R101/(1+($V101*(('Traffic Data'!X20*$T101*$U101)/(($I101/2)*$S101))^$W101))</f>
        <v>27.531230859921973</v>
      </c>
      <c r="AM101" s="353">
        <f>$R101/(1+($V101*(('Traffic Data'!Y20*$T101*$U101)/(($I101/2)*$S101))^$W101))</f>
        <v>27.238989760272183</v>
      </c>
      <c r="AN101" s="353">
        <f>$R101/(1+($V101*(('Traffic Data'!Z20*$T101*$U101)/(($I101/2)*$S101))^$W101))</f>
        <v>26.933096349146528</v>
      </c>
      <c r="AO101" s="353">
        <f>$R101/(1+($V101*(('Traffic Data'!AA20*$T101*$U101)/(($I101/2)*$S101))^$W101))</f>
        <v>26.612833802275066</v>
      </c>
      <c r="AP101" s="353">
        <f>$R101/(1+($V101*(('Traffic Data'!AB20*$T101*$U101)/(($I101/2)*$S101))^$W101))</f>
        <v>26.279453570933779</v>
      </c>
      <c r="AQ101" s="353">
        <f>$R101/(1+($V101*(('Traffic Data'!AC20*$T101*$U101)/(($I101/2)*$S101))^$W101))</f>
        <v>25.931688299300308</v>
      </c>
      <c r="AR101" s="353">
        <f>$R101/(1+($V101*(('Traffic Data'!AD20*$T101*$U101)/(($I101/2)*$S101))^$W101))</f>
        <v>25.57102761410637</v>
      </c>
      <c r="AS101" s="353">
        <f>$R101/(1+($V101*(('Traffic Data'!AE20*$T101*$U101)/(($I101/2)*$S101))^$W101))</f>
        <v>25.196985391117437</v>
      </c>
      <c r="AT101" s="353">
        <f>$R101/(1+($V101*(('Traffic Data'!AF20*$T101*$U101)/(($I101/2)*$S101))^$W101))</f>
        <v>24.80904170870507</v>
      </c>
      <c r="AU101" s="353">
        <f>$R101/(1+($V101*(('Traffic Data'!AG20*$T101*$U101)/(($I101/2)*$S101))^$W101))</f>
        <v>24.40905975552349</v>
      </c>
      <c r="AV101" s="353">
        <f>$R101/(1+($V101*(('Traffic Data'!AH20*$T101*$U101)/(($I101/2)*$S101))^$W101))</f>
        <v>23.996692987019557</v>
      </c>
      <c r="AW101" s="354">
        <f>$R101/(1+($V101*(('Traffic Data'!AI20*$T101*$U101)/(($I101/2)*$S101))^$W101))</f>
        <v>23.571571402618002</v>
      </c>
      <c r="AX101" s="353">
        <f>$R101/(1+($V101*(('Traffic Data'!J20*(0.67/14))/(($I101)*$S101))^$W101))</f>
        <v>31.899999970276543</v>
      </c>
      <c r="AY101" s="353">
        <f>$R101/(1+($V101*(('Traffic Data'!J20*(0.67/14))/(($I101)*$S101))^$W101))</f>
        <v>31.899999970276543</v>
      </c>
      <c r="AZ101" s="353">
        <f>$R101/(1+($V101*(('Traffic Data'!K20*(0.67/14))/(($I101)*$S101))^$W101))</f>
        <v>31.899999965349579</v>
      </c>
      <c r="BA101" s="353">
        <f>$R101/(1+($V101*(('Traffic Data'!L20*(0.67/14))/(($I101)*$S101))^$W101))</f>
        <v>31.899999955641103</v>
      </c>
      <c r="BB101" s="353">
        <f>$R101/(1+($V101*(('Traffic Data'!M20*(0.67/14))/(($I101)*$S101))^$W101))</f>
        <v>31.899999901610549</v>
      </c>
      <c r="BC101" s="353">
        <f>$R101/(1+($V101*(('Traffic Data'!N20*(0.67/14))/(($I101)*$S101))^$W101))</f>
        <v>31.899999794213187</v>
      </c>
      <c r="BD101" s="353">
        <f>$R101/(1+($V101*(('Traffic Data'!O20*(0.67/14))/(($I101)*$S101))^$W101))</f>
        <v>31.8999995905608</v>
      </c>
      <c r="BE101" s="353">
        <f>$R101/(1+($V101*(('Traffic Data'!P20*(0.67/14))/(($I101)*$S101))^$W101))</f>
        <v>31.899999221290255</v>
      </c>
      <c r="BF101" s="353">
        <f>$R101/(1+($V101*(('Traffic Data'!Q20*(0.67/14))/(($I101)*$S101))^$W101))</f>
        <v>31.89999857445812</v>
      </c>
      <c r="BG101" s="353">
        <f>$R101/(1+($V101*(('Traffic Data'!R20*(0.67/14))/(($I101)*$S101))^$W101))</f>
        <v>31.89999720836358</v>
      </c>
      <c r="BH101" s="353">
        <f>$R101/(1+($V101*(('Traffic Data'!S20*(0.67/14))/(($I101)*$S101))^$W101))</f>
        <v>31.899994760462238</v>
      </c>
      <c r="BI101" s="353">
        <f>$R101/(1+($V101*(('Traffic Data'!T20*(0.67/14))/(($I101)*$S101))^$W101))</f>
        <v>31.899990523488672</v>
      </c>
      <c r="BJ101" s="353">
        <f>$R101/(1+($V101*(('Traffic Data'!U20*(0.67/14))/(($I101)*$S101))^$W101))</f>
        <v>31.899983421745223</v>
      </c>
      <c r="BK101" s="353">
        <f>$R101/(1+($V101*(('Traffic Data'!V20*(0.67/14))/(($I101)*$S101))^$W101))</f>
        <v>31.899971824126762</v>
      </c>
      <c r="BL101" s="353">
        <f>$R101/(1+($V101*(('Traffic Data'!W20*(0.67/14))/(($I101)*$S101))^$W101))</f>
        <v>31.899965362954259</v>
      </c>
      <c r="BM101" s="353">
        <f>$R101/(1+($V101*(('Traffic Data'!X20*(0.67/14))/(($I101)*$S101))^$W101))</f>
        <v>31.899962628087053</v>
      </c>
      <c r="BN101" s="353">
        <f>$R101/(1+($V101*(('Traffic Data'!Y20*(0.67/14))/(($I101)*$S101))^$W101))</f>
        <v>31.899959700386432</v>
      </c>
      <c r="BO101" s="353">
        <f>$R101/(1+($V101*(('Traffic Data'!Z20*(0.67/14))/(($I101)*$S101))^$W101))</f>
        <v>31.899956567859928</v>
      </c>
      <c r="BP101" s="353">
        <f>$R101/(1+($V101*(('Traffic Data'!AA20*(0.67/14))/(($I101)*$S101))^$W101))</f>
        <v>31.899953211020478</v>
      </c>
      <c r="BQ101" s="353">
        <f>$R101/(1+($V101*(('Traffic Data'!AB20*(0.67/14))/(($I101)*$S101))^$W101))</f>
        <v>31.899949629774749</v>
      </c>
      <c r="BR101" s="353">
        <f>$R101/(1+($V101*(('Traffic Data'!AC20*(0.67/14))/(($I101)*$S101))^$W101))</f>
        <v>31.899945795875322</v>
      </c>
      <c r="BS101" s="353">
        <f>$R101/(1+($V101*(('Traffic Data'!AD20*(0.67/14))/(($I101)*$S101))^$W101))</f>
        <v>31.899941709659025</v>
      </c>
      <c r="BT101" s="353">
        <f>$R101/(1+($V101*(('Traffic Data'!AE20*(0.67/14))/(($I101)*$S101))^$W101))</f>
        <v>31.899937348265546</v>
      </c>
      <c r="BU101" s="353">
        <f>$R101/(1+($V101*(('Traffic Data'!AF20*(0.67/14))/(($I101)*$S101))^$W101))</f>
        <v>31.899932685845538</v>
      </c>
      <c r="BV101" s="353">
        <f>$R101/(1+($V101*(('Traffic Data'!AG20*(0.67/14))/(($I101)*$S101))^$W101))</f>
        <v>31.899927723574187</v>
      </c>
      <c r="BW101" s="624">
        <f>$R101/(1+($V101*(('Traffic Data'!AH20*(0.67/14))/(($I101)*$S101))^$W101))</f>
        <v>31.899922434468724</v>
      </c>
    </row>
    <row r="102" spans="1:75" ht="21.9" customHeight="1" x14ac:dyDescent="0.25">
      <c r="A102" s="617"/>
      <c r="C102" s="114" t="s">
        <v>319</v>
      </c>
      <c r="D102" s="114" t="s">
        <v>276</v>
      </c>
      <c r="E102" s="114" t="s">
        <v>333</v>
      </c>
      <c r="F102" s="550">
        <f>'Traffic Data'!CM21</f>
        <v>0.83333333333333337</v>
      </c>
      <c r="G102" s="550">
        <f>'Traffic Data'!CN21</f>
        <v>0.9</v>
      </c>
      <c r="H102" s="143">
        <f>'Traffic Data'!G21</f>
        <v>55</v>
      </c>
      <c r="I102" s="143">
        <v>4</v>
      </c>
      <c r="J102" s="143">
        <f t="shared" si="6"/>
        <v>62</v>
      </c>
      <c r="K102" s="143">
        <v>0</v>
      </c>
      <c r="L102" s="143">
        <v>2.5</v>
      </c>
      <c r="M102" s="143">
        <v>0</v>
      </c>
      <c r="N102" s="143">
        <v>3.6</v>
      </c>
      <c r="O102" s="143">
        <v>0</v>
      </c>
      <c r="P102" s="143">
        <v>0</v>
      </c>
      <c r="Q102" s="143">
        <v>0</v>
      </c>
      <c r="R102" s="171">
        <f t="shared" si="4"/>
        <v>55.9</v>
      </c>
      <c r="S102" s="551">
        <f>F102*G102*M22</f>
        <v>1575</v>
      </c>
      <c r="T102" s="552">
        <v>0.12</v>
      </c>
      <c r="U102" s="553">
        <v>0.65</v>
      </c>
      <c r="V102" s="554">
        <f t="shared" si="7"/>
        <v>0.2</v>
      </c>
      <c r="W102" s="225">
        <v>10</v>
      </c>
      <c r="X102" s="377">
        <f>$R102/(1+($V102*(('Traffic Data'!J21*$T102*$U102)/(($I102/2)*$S102))^$W102))</f>
        <v>55.89999031092723</v>
      </c>
      <c r="Y102" s="378">
        <f>$R102/(1+($V102*(('Traffic Data'!K21*$T102*$U102)/(($I102/2)*$S102))^$W102))</f>
        <v>55.899986041316602</v>
      </c>
      <c r="Z102" s="378">
        <f>$R102/(1+($V102*(('Traffic Data'!L21*$T102*$U102)/(($I102/2)*$S102))^$W102))</f>
        <v>55.899979699649357</v>
      </c>
      <c r="AA102" s="378">
        <f>$R102/(1+($V102*(('Traffic Data'!M21*$T102*$U102)/(($I102/2)*$S102))^$W102))</f>
        <v>55.899955539028213</v>
      </c>
      <c r="AB102" s="378">
        <f>$R102/(1+($V102*(('Traffic Data'!N21*$T102*$U102)/(($I102/2)*$S102))^$W102))</f>
        <v>55.899908004274209</v>
      </c>
      <c r="AC102" s="378">
        <f>$R102/(1+($V102*(('Traffic Data'!O21*$T102*$U102)/(($I102/2)*$S102))^$W102))</f>
        <v>55.899818741734435</v>
      </c>
      <c r="AD102" s="378">
        <f>$R102/(1+($V102*(('Traffic Data'!P21*$T102*$U102)/(($I102/2)*$S102))^$W102))</f>
        <v>55.89965809746532</v>
      </c>
      <c r="AE102" s="378">
        <f>$R102/(1+($V102*(('Traffic Data'!Q21*$T102*$U102)/(($I102/2)*$S102))^$W102))</f>
        <v>55.899378737402259</v>
      </c>
      <c r="AF102" s="378">
        <f>$R102/(1+($V102*(('Traffic Data'!R21*$T102*$U102)/(($I102/2)*$S102))^$W102))</f>
        <v>55.898684099223694</v>
      </c>
      <c r="AG102" s="378">
        <f>$R102/(1+($V102*(('Traffic Data'!S21*$T102*$U102)/(($I102/2)*$S102))^$W102))</f>
        <v>55.8973550755587</v>
      </c>
      <c r="AH102" s="378">
        <f>$R102/(1+($V102*(('Traffic Data'!T21*$T102*$U102)/(($I102/2)*$S102))^$W102))</f>
        <v>55.894920864815575</v>
      </c>
      <c r="AI102" s="378">
        <f>$R102/(1+($V102*(('Traffic Data'!U21*$T102*$U102)/(($I102/2)*$S102))^$W102))</f>
        <v>55.890628988395591</v>
      </c>
      <c r="AJ102" s="378">
        <f>$R102/(1+($V102*(('Traffic Data'!V21*$T102*$U102)/(($I102/2)*$S102))^$W102))</f>
        <v>55.883303446680344</v>
      </c>
      <c r="AK102" s="378">
        <f>$R102/(1+($V102*(('Traffic Data'!W21*$T102*$U102)/(($I102/2)*$S102))^$W102))</f>
        <v>55.876864875425575</v>
      </c>
      <c r="AL102" s="378">
        <f>$R102/(1+($V102*(('Traffic Data'!X21*$T102*$U102)/(($I102/2)*$S102))^$W102))</f>
        <v>55.872596856149997</v>
      </c>
      <c r="AM102" s="378">
        <f>$R102/(1+($V102*(('Traffic Data'!Y21*$T102*$U102)/(($I102/2)*$S102))^$W102))</f>
        <v>55.86763331281233</v>
      </c>
      <c r="AN102" s="378">
        <f>$R102/(1+($V102*(('Traffic Data'!Z21*$T102*$U102)/(($I102/2)*$S102))^$W102))</f>
        <v>55.861875443285157</v>
      </c>
      <c r="AO102" s="378">
        <f>$R102/(1+($V102*(('Traffic Data'!AA21*$T102*$U102)/(($I102/2)*$S102))^$W102))</f>
        <v>55.855208592288065</v>
      </c>
      <c r="AP102" s="378">
        <f>$R102/(1+($V102*(('Traffic Data'!AB21*$T102*$U102)/(($I102/2)*$S102))^$W102))</f>
        <v>55.84751585001861</v>
      </c>
      <c r="AQ102" s="378">
        <f>$R102/(1+($V102*(('Traffic Data'!AC21*$T102*$U102)/(($I102/2)*$S102))^$W102))</f>
        <v>55.838650241457721</v>
      </c>
      <c r="AR102" s="378">
        <f>$R102/(1+($V102*(('Traffic Data'!AD21*$T102*$U102)/(($I102/2)*$S102))^$W102))</f>
        <v>55.828466776424733</v>
      </c>
      <c r="AS102" s="378">
        <f>$R102/(1+($V102*(('Traffic Data'!AE21*$T102*$U102)/(($I102/2)*$S102))^$W102))</f>
        <v>55.816789151831529</v>
      </c>
      <c r="AT102" s="378">
        <f>$R102/(1+($V102*(('Traffic Data'!AF21*$T102*$U102)/(($I102/2)*$S102))^$W102))</f>
        <v>55.803418818637169</v>
      </c>
      <c r="AU102" s="378">
        <f>$R102/(1+($V102*(('Traffic Data'!AG21*$T102*$U102)/(($I102/2)*$S102))^$W102))</f>
        <v>55.788158467847339</v>
      </c>
      <c r="AV102" s="378">
        <f>$R102/(1+($V102*(('Traffic Data'!AH21*$T102*$U102)/(($I102/2)*$S102))^$W102))</f>
        <v>55.770767265942659</v>
      </c>
      <c r="AW102" s="350">
        <f>$R102/(1+($V102*(('Traffic Data'!AI21*$T102*$U102)/(($I102/2)*$S102))^$W102))</f>
        <v>55.750975325021969</v>
      </c>
      <c r="AX102" s="378">
        <f>$R102/(1+($V102*(('Traffic Data'!J21*(0.67/14))/(($I102)*$S102))^$W102))</f>
        <v>55.899999999928468</v>
      </c>
      <c r="AY102" s="378">
        <f>$R102/(1+($V102*(('Traffic Data'!J21*(0.67/14))/(($I102)*$S102))^$W102))</f>
        <v>55.899999999928468</v>
      </c>
      <c r="AZ102" s="378">
        <f>$R102/(1+($V102*(('Traffic Data'!K21*(0.67/14))/(($I102)*$S102))^$W102))</f>
        <v>55.899999999896941</v>
      </c>
      <c r="BA102" s="378">
        <f>$R102/(1+($V102*(('Traffic Data'!L21*(0.67/14))/(($I102)*$S102))^$W102))</f>
        <v>55.899999999850117</v>
      </c>
      <c r="BB102" s="378">
        <f>$R102/(1+($V102*(('Traffic Data'!M21*(0.67/14))/(($I102)*$S102))^$W102))</f>
        <v>55.899999999671756</v>
      </c>
      <c r="BC102" s="378">
        <f>$R102/(1+($V102*(('Traffic Data'!N21*(0.67/14))/(($I102)*$S102))^$W102))</f>
        <v>55.899999999320812</v>
      </c>
      <c r="BD102" s="378">
        <f>$R102/(1+($V102*(('Traffic Data'!O21*(0.67/14))/(($I102)*$S102))^$W102))</f>
        <v>55.899999998661805</v>
      </c>
      <c r="BE102" s="378">
        <f>$R102/(1+($V102*(('Traffic Data'!P21*(0.67/14))/(($I102)*$S102))^$W102))</f>
        <v>55.899999997475788</v>
      </c>
      <c r="BF102" s="378">
        <f>$R102/(1+($V102*(('Traffic Data'!Q21*(0.67/14))/(($I102)*$S102))^$W102))</f>
        <v>55.899999995413282</v>
      </c>
      <c r="BG102" s="378">
        <f>$R102/(1+($V102*(('Traffic Data'!R21*(0.67/14))/(($I102)*$S102))^$W102))</f>
        <v>55.899999990284719</v>
      </c>
      <c r="BH102" s="378">
        <f>$R102/(1+($V102*(('Traffic Data'!S21*(0.67/14))/(($I102)*$S102))^$W102))</f>
        <v>55.899999980472096</v>
      </c>
      <c r="BI102" s="378">
        <f>$R102/(1+($V102*(('Traffic Data'!T21*(0.67/14))/(($I102)*$S102))^$W102))</f>
        <v>55.899999962498299</v>
      </c>
      <c r="BJ102" s="378">
        <f>$R102/(1+($V102*(('Traffic Data'!U21*(0.67/14))/(($I102)*$S102))^$W102))</f>
        <v>55.899999930804007</v>
      </c>
      <c r="BK102" s="378">
        <f>$R102/(1+($V102*(('Traffic Data'!V21*(0.67/14))/(($I102)*$S102))^$W102))</f>
        <v>55.899999876695695</v>
      </c>
      <c r="BL102" s="378">
        <f>$R102/(1+($V102*(('Traffic Data'!W21*(0.67/14))/(($I102)*$S102))^$W102))</f>
        <v>55.899999829127054</v>
      </c>
      <c r="BM102" s="378">
        <f>$R102/(1+($V102*(('Traffic Data'!X21*(0.67/14))/(($I102)*$S102))^$W102))</f>
        <v>55.899999797588571</v>
      </c>
      <c r="BN102" s="378">
        <f>$R102/(1+($V102*(('Traffic Data'!Y21*(0.67/14))/(($I102)*$S102))^$W102))</f>
        <v>55.899999760904464</v>
      </c>
      <c r="BO102" s="378">
        <f>$R102/(1+($V102*(('Traffic Data'!Z21*(0.67/14))/(($I102)*$S102))^$W102))</f>
        <v>55.899999718341554</v>
      </c>
      <c r="BP102" s="378">
        <f>$R102/(1+($V102*(('Traffic Data'!AA21*(0.67/14))/(($I102)*$S102))^$W102))</f>
        <v>55.899999669048363</v>
      </c>
      <c r="BQ102" s="378">
        <f>$R102/(1+($V102*(('Traffic Data'!AB21*(0.67/14))/(($I102)*$S102))^$W102))</f>
        <v>55.899999612155355</v>
      </c>
      <c r="BR102" s="378">
        <f>$R102/(1+($V102*(('Traffic Data'!AC21*(0.67/14))/(($I102)*$S102))^$W102))</f>
        <v>55.899999546568758</v>
      </c>
      <c r="BS102" s="378">
        <f>$R102/(1+($V102*(('Traffic Data'!AD21*(0.67/14))/(($I102)*$S102))^$W102))</f>
        <v>55.899999471207138</v>
      </c>
      <c r="BT102" s="378">
        <f>$R102/(1+($V102*(('Traffic Data'!AE21*(0.67/14))/(($I102)*$S102))^$W102))</f>
        <v>55.899999384754295</v>
      </c>
      <c r="BU102" s="378">
        <f>$R102/(1+($V102*(('Traffic Data'!AF21*(0.67/14))/(($I102)*$S102))^$W102))</f>
        <v>55.899999285725421</v>
      </c>
      <c r="BV102" s="378">
        <f>$R102/(1+($V102*(('Traffic Data'!AG21*(0.67/14))/(($I102)*$S102))^$W102))</f>
        <v>55.899999172639902</v>
      </c>
      <c r="BW102" s="620">
        <f>$R102/(1+($V102*(('Traffic Data'!AH21*(0.67/14))/(($I102)*$S102))^$W102))</f>
        <v>55.899999043688453</v>
      </c>
    </row>
    <row r="103" spans="1:75" ht="21.9" customHeight="1" x14ac:dyDescent="0.25">
      <c r="A103" s="617"/>
      <c r="C103" s="114"/>
      <c r="D103" s="114" t="s">
        <v>333</v>
      </c>
      <c r="E103" s="114" t="s">
        <v>323</v>
      </c>
      <c r="F103" s="550">
        <f>'Traffic Data'!CM21</f>
        <v>0.83333333333333337</v>
      </c>
      <c r="G103" s="550">
        <f>'Traffic Data'!CN21</f>
        <v>0.9</v>
      </c>
      <c r="H103" s="143">
        <f>'Traffic Data'!G22</f>
        <v>55</v>
      </c>
      <c r="I103" s="143">
        <v>4</v>
      </c>
      <c r="J103" s="143">
        <f t="shared" si="6"/>
        <v>62</v>
      </c>
      <c r="K103" s="143">
        <v>0</v>
      </c>
      <c r="L103" s="143">
        <v>2.5</v>
      </c>
      <c r="M103" s="143">
        <v>0</v>
      </c>
      <c r="N103" s="143">
        <v>3.6</v>
      </c>
      <c r="O103" s="143">
        <v>0</v>
      </c>
      <c r="P103" s="143">
        <v>0</v>
      </c>
      <c r="Q103" s="143">
        <v>0</v>
      </c>
      <c r="R103" s="171">
        <f t="shared" si="4"/>
        <v>55.9</v>
      </c>
      <c r="S103" s="551">
        <f>F103*G103*M22</f>
        <v>1575</v>
      </c>
      <c r="T103" s="552">
        <v>0.12</v>
      </c>
      <c r="U103" s="553">
        <v>0.65</v>
      </c>
      <c r="V103" s="554">
        <f t="shared" si="7"/>
        <v>0.2</v>
      </c>
      <c r="W103" s="225">
        <v>10</v>
      </c>
      <c r="X103" s="377">
        <f>$R103/(1+($V103*(('Traffic Data'!J22*$T103*$U103)/(($I103/2)*$S103))^$W103))</f>
        <v>55.899999377100173</v>
      </c>
      <c r="Y103" s="378">
        <f>$R103/(1+($V103*(('Traffic Data'!K22*$T103*$U103)/(($I103/2)*$S103))^$W103))</f>
        <v>55.899999116354792</v>
      </c>
      <c r="Z103" s="378">
        <f>$R103/(1+($V103*(('Traffic Data'!L22*$T103*$U103)/(($I103/2)*$S103))^$W103))</f>
        <v>55.899998724362867</v>
      </c>
      <c r="AA103" s="378">
        <f>$R103/(1+($V103*(('Traffic Data'!M22*$T103*$U103)/(($I103/2)*$S103))^$W103))</f>
        <v>55.899997515804188</v>
      </c>
      <c r="AB103" s="378">
        <f>$R103/(1+($V103*(('Traffic Data'!N22*$T103*$U103)/(($I103/2)*$S103))^$W103))</f>
        <v>55.899995358541901</v>
      </c>
      <c r="AC103" s="378">
        <f>$R103/(1+($V103*(('Traffic Data'!O22*$T103*$U103)/(($I103/2)*$S103))^$W103))</f>
        <v>55.899991640447503</v>
      </c>
      <c r="AD103" s="378">
        <f>$R103/(1+($V103*(('Traffic Data'!P22*$T103*$U103)/(($I103/2)*$S103))^$W103))</f>
        <v>55.899985432547204</v>
      </c>
      <c r="AE103" s="378">
        <f>$R103/(1+($V103*(('Traffic Data'!Q22*$T103*$U103)/(($I103/2)*$S103))^$W103))</f>
        <v>55.899975335285816</v>
      </c>
      <c r="AF103" s="378">
        <f>$R103/(1+($V103*(('Traffic Data'!R22*$T103*$U103)/(($I103/2)*$S103))^$W103))</f>
        <v>55.899951309516432</v>
      </c>
      <c r="AG103" s="378">
        <f>$R103/(1+($V103*(('Traffic Data'!S22*$T103*$U103)/(($I103/2)*$S103))^$W103))</f>
        <v>55.899907944758745</v>
      </c>
      <c r="AH103" s="378">
        <f>$R103/(1+($V103*(('Traffic Data'!T22*$T103*$U103)/(($I103/2)*$S103))^$W103))</f>
        <v>55.899832504230247</v>
      </c>
      <c r="AI103" s="378">
        <f>$R103/(1+($V103*(('Traffic Data'!U22*$T103*$U103)/(($I103/2)*$S103))^$W103))</f>
        <v>55.899705351444027</v>
      </c>
      <c r="AJ103" s="378">
        <f>$R103/(1+($V103*(('Traffic Data'!V22*$T103*$U103)/(($I103/2)*$S103))^$W103))</f>
        <v>55.89949689106227</v>
      </c>
      <c r="AK103" s="378">
        <f>$R103/(1+($V103*(('Traffic Data'!W22*$T103*$U103)/(($I103/2)*$S103))^$W103))</f>
        <v>55.899297479641056</v>
      </c>
      <c r="AL103" s="378">
        <f>$R103/(1+($V103*(('Traffic Data'!X22*$T103*$U103)/(($I103/2)*$S103))^$W103))</f>
        <v>55.899163392727473</v>
      </c>
      <c r="AM103" s="378">
        <f>$R103/(1+($V103*(('Traffic Data'!Y22*$T103*$U103)/(($I103/2)*$S103))^$W103))</f>
        <v>55.89900669712766</v>
      </c>
      <c r="AN103" s="378">
        <f>$R103/(1+($V103*(('Traffic Data'!Z22*$T103*$U103)/(($I103/2)*$S103))^$W103))</f>
        <v>55.898824065785504</v>
      </c>
      <c r="AO103" s="378">
        <f>$R103/(1+($V103*(('Traffic Data'!AA22*$T103*$U103)/(($I103/2)*$S103))^$W103))</f>
        <v>55.898611666425637</v>
      </c>
      <c r="AP103" s="378">
        <f>$R103/(1+($V103*(('Traffic Data'!AB22*$T103*$U103)/(($I103/2)*$S103))^$W103))</f>
        <v>55.898365441391256</v>
      </c>
      <c r="AQ103" s="378">
        <f>$R103/(1+($V103*(('Traffic Data'!AC22*$T103*$U103)/(($I103/2)*$S103))^$W103))</f>
        <v>55.898080477146628</v>
      </c>
      <c r="AR103" s="378">
        <f>$R103/(1+($V103*(('Traffic Data'!AD22*$T103*$U103)/(($I103/2)*$S103))^$W103))</f>
        <v>55.897751687905789</v>
      </c>
      <c r="AS103" s="378">
        <f>$R103/(1+($V103*(('Traffic Data'!AE22*$T103*$U103)/(($I103/2)*$S103))^$W103))</f>
        <v>55.897373056533787</v>
      </c>
      <c r="AT103" s="378">
        <f>$R103/(1+($V103*(('Traffic Data'!AF22*$T103*$U103)/(($I103/2)*$S103))^$W103))</f>
        <v>55.896937805232575</v>
      </c>
      <c r="AU103" s="378">
        <f>$R103/(1+($V103*(('Traffic Data'!AG22*$T103*$U103)/(($I103/2)*$S103))^$W103))</f>
        <v>55.896438894351022</v>
      </c>
      <c r="AV103" s="378">
        <f>$R103/(1+($V103*(('Traffic Data'!AH22*$T103*$U103)/(($I103/2)*$S103))^$W103))</f>
        <v>55.895867988800596</v>
      </c>
      <c r="AW103" s="350">
        <f>$R103/(1+($V103*(('Traffic Data'!AI22*$T103*$U103)/(($I103/2)*$S103))^$W103))</f>
        <v>55.895215742358523</v>
      </c>
      <c r="AX103" s="378">
        <f>$R103/(1+($V103*(('Traffic Data'!J22*(0.67/14))/(($I103)*$S103))^$W103))</f>
        <v>55.899999999995408</v>
      </c>
      <c r="AY103" s="378">
        <f>$R103/(1+($V103*(('Traffic Data'!J22*(0.67/14))/(($I103)*$S103))^$W103))</f>
        <v>55.899999999995408</v>
      </c>
      <c r="AZ103" s="378">
        <f>$R103/(1+($V103*(('Traffic Data'!K22*(0.67/14))/(($I103)*$S103))^$W103))</f>
        <v>55.899999999993469</v>
      </c>
      <c r="BA103" s="378">
        <f>$R103/(1+($V103*(('Traffic Data'!L22*(0.67/14))/(($I103)*$S103))^$W103))</f>
        <v>55.899999999990577</v>
      </c>
      <c r="BB103" s="378">
        <f>$R103/(1+($V103*(('Traffic Data'!M22*(0.67/14))/(($I103)*$S103))^$W103))</f>
        <v>55.899999999981652</v>
      </c>
      <c r="BC103" s="378">
        <f>$R103/(1+($V103*(('Traffic Data'!N22*(0.67/14))/(($I103)*$S103))^$W103))</f>
        <v>55.899999999965729</v>
      </c>
      <c r="BD103" s="378">
        <f>$R103/(1+($V103*(('Traffic Data'!O22*(0.67/14))/(($I103)*$S103))^$W103))</f>
        <v>55.899999999938288</v>
      </c>
      <c r="BE103" s="378">
        <f>$R103/(1+($V103*(('Traffic Data'!P22*(0.67/14))/(($I103)*$S103))^$W103))</f>
        <v>55.899999999892444</v>
      </c>
      <c r="BF103" s="378">
        <f>$R103/(1+($V103*(('Traffic Data'!Q22*(0.67/14))/(($I103)*$S103))^$W103))</f>
        <v>55.899999999817901</v>
      </c>
      <c r="BG103" s="378">
        <f>$R103/(1+($V103*(('Traffic Data'!R22*(0.67/14))/(($I103)*$S103))^$W103))</f>
        <v>55.899999999640528</v>
      </c>
      <c r="BH103" s="378">
        <f>$R103/(1+($V103*(('Traffic Data'!S22*(0.67/14))/(($I103)*$S103))^$W103))</f>
        <v>55.899999999320379</v>
      </c>
      <c r="BI103" s="378">
        <f>$R103/(1+($V103*(('Traffic Data'!T22*(0.67/14))/(($I103)*$S103))^$W103))</f>
        <v>55.899999998763413</v>
      </c>
      <c r="BJ103" s="378">
        <f>$R103/(1+($V103*(('Traffic Data'!U22*(0.67/14))/(($I103)*$S103))^$W103))</f>
        <v>55.899999997824658</v>
      </c>
      <c r="BK103" s="378">
        <f>$R103/(1+($V103*(('Traffic Data'!V22*(0.67/14))/(($I103)*$S103))^$W103))</f>
        <v>55.899999996285608</v>
      </c>
      <c r="BL103" s="378">
        <f>$R103/(1+($V103*(('Traffic Data'!W22*(0.67/14))/(($I103)*$S103))^$W103))</f>
        <v>55.899999994813363</v>
      </c>
      <c r="BM103" s="378">
        <f>$R103/(1+($V103*(('Traffic Data'!X22*(0.67/14))/(($I103)*$S103))^$W103))</f>
        <v>55.899999993823393</v>
      </c>
      <c r="BN103" s="378">
        <f>$R103/(1+($V103*(('Traffic Data'!Y22*(0.67/14))/(($I103)*$S103))^$W103))</f>
        <v>55.899999992666508</v>
      </c>
      <c r="BO103" s="378">
        <f>$R103/(1+($V103*(('Traffic Data'!Z22*(0.67/14))/(($I103)*$S103))^$W103))</f>
        <v>55.899999991318118</v>
      </c>
      <c r="BP103" s="378">
        <f>$R103/(1+($V103*(('Traffic Data'!AA22*(0.67/14))/(($I103)*$S103))^$W103))</f>
        <v>55.899999989749936</v>
      </c>
      <c r="BQ103" s="378">
        <f>$R103/(1+($V103*(('Traffic Data'!AB22*(0.67/14))/(($I103)*$S103))^$W103))</f>
        <v>55.899999987932013</v>
      </c>
      <c r="BR103" s="378">
        <f>$R103/(1+($V103*(('Traffic Data'!AC22*(0.67/14))/(($I103)*$S103))^$W103))</f>
        <v>55.899999985828039</v>
      </c>
      <c r="BS103" s="378">
        <f>$R103/(1+($V103*(('Traffic Data'!AD22*(0.67/14))/(($I103)*$S103))^$W103))</f>
        <v>55.89999998340047</v>
      </c>
      <c r="BT103" s="378">
        <f>$R103/(1+($V103*(('Traffic Data'!AE22*(0.67/14))/(($I103)*$S103))^$W103))</f>
        <v>55.899999980604861</v>
      </c>
      <c r="BU103" s="378">
        <f>$R103/(1+($V103*(('Traffic Data'!AF22*(0.67/14))/(($I103)*$S103))^$W103))</f>
        <v>55.899999977391154</v>
      </c>
      <c r="BV103" s="378">
        <f>$R103/(1+($V103*(('Traffic Data'!AG22*(0.67/14))/(($I103)*$S103))^$W103))</f>
        <v>55.899999973707359</v>
      </c>
      <c r="BW103" s="620">
        <f>$R103/(1+($V103*(('Traffic Data'!AH22*(0.67/14))/(($I103)*$S103))^$W103))</f>
        <v>55.899999969491887</v>
      </c>
    </row>
    <row r="104" spans="1:75" ht="21.9" customHeight="1" x14ac:dyDescent="0.25">
      <c r="A104" s="617"/>
      <c r="C104" s="114"/>
      <c r="D104" s="114" t="s">
        <v>323</v>
      </c>
      <c r="E104" s="114" t="s">
        <v>322</v>
      </c>
      <c r="F104" s="550">
        <f>'Traffic Data'!CM21</f>
        <v>0.83333333333333337</v>
      </c>
      <c r="G104" s="550">
        <f>'Traffic Data'!CN21</f>
        <v>0.9</v>
      </c>
      <c r="H104" s="143">
        <f>'Traffic Data'!G23</f>
        <v>45</v>
      </c>
      <c r="I104" s="143">
        <v>4</v>
      </c>
      <c r="J104" s="143">
        <f t="shared" si="6"/>
        <v>52</v>
      </c>
      <c r="K104" s="143">
        <v>0</v>
      </c>
      <c r="L104" s="143">
        <v>2.5</v>
      </c>
      <c r="M104" s="143">
        <v>0</v>
      </c>
      <c r="N104" s="143">
        <v>3.6</v>
      </c>
      <c r="O104" s="143">
        <v>0</v>
      </c>
      <c r="P104" s="143">
        <v>0</v>
      </c>
      <c r="Q104" s="143">
        <v>0</v>
      </c>
      <c r="R104" s="171">
        <f t="shared" si="4"/>
        <v>45.9</v>
      </c>
      <c r="S104" s="551">
        <f>F104*G104*M24</f>
        <v>1425</v>
      </c>
      <c r="T104" s="552">
        <v>0.12</v>
      </c>
      <c r="U104" s="553">
        <v>0.65</v>
      </c>
      <c r="V104" s="554">
        <f t="shared" si="7"/>
        <v>0.2</v>
      </c>
      <c r="W104" s="225">
        <v>10</v>
      </c>
      <c r="X104" s="377">
        <f>$R104/(1+($V104*(('Traffic Data'!J23*$T104*$U104)/(($I104/2)*$S104))^$W104))</f>
        <v>45.899998608523049</v>
      </c>
      <c r="Y104" s="378">
        <f>$R104/(1+($V104*(('Traffic Data'!K23*$T104*$U104)/(($I104/2)*$S104))^$W104))</f>
        <v>45.89999802605189</v>
      </c>
      <c r="Z104" s="378">
        <f>$R104/(1+($V104*(('Traffic Data'!L23*$T104*$U104)/(($I104/2)*$S104))^$W104))</f>
        <v>45.899997150393105</v>
      </c>
      <c r="AA104" s="378">
        <f>$R104/(1+($V104*(('Traffic Data'!M23*$T104*$U104)/(($I104/2)*$S104))^$W104))</f>
        <v>45.899994450630963</v>
      </c>
      <c r="AB104" s="378">
        <f>$R104/(1+($V104*(('Traffic Data'!N23*$T104*$U104)/(($I104/2)*$S104))^$W104))</f>
        <v>45.899989631589385</v>
      </c>
      <c r="AC104" s="378">
        <f>$R104/(1+($V104*(('Traffic Data'!O23*$T104*$U104)/(($I104/2)*$S104))^$W104))</f>
        <v>45.899981325854725</v>
      </c>
      <c r="AD104" s="378">
        <f>$R104/(1+($V104*(('Traffic Data'!P23*$T104*$U104)/(($I104/2)*$S104))^$W104))</f>
        <v>45.899967458224822</v>
      </c>
      <c r="AE104" s="378">
        <f>$R104/(1+($V104*(('Traffic Data'!Q23*$T104*$U104)/(($I104/2)*$S104))^$W104))</f>
        <v>45.899944902286926</v>
      </c>
      <c r="AF104" s="378">
        <f>$R104/(1+($V104*(('Traffic Data'!R23*$T104*$U104)/(($I104/2)*$S104))^$W104))</f>
        <v>45.899891231972568</v>
      </c>
      <c r="AG104" s="378">
        <f>$R104/(1+($V104*(('Traffic Data'!S23*$T104*$U104)/(($I104/2)*$S104))^$W104))</f>
        <v>45.899794361178913</v>
      </c>
      <c r="AH104" s="378">
        <f>$R104/(1+($V104*(('Traffic Data'!T23*$T104*$U104)/(($I104/2)*$S104))^$W104))</f>
        <v>45.899625838222953</v>
      </c>
      <c r="AI104" s="378">
        <f>$R104/(1+($V104*(('Traffic Data'!U23*$T104*$U104)/(($I104/2)*$S104))^$W104))</f>
        <v>45.899341799521196</v>
      </c>
      <c r="AJ104" s="378">
        <f>$R104/(1+($V104*(('Traffic Data'!V23*$T104*$U104)/(($I104/2)*$S104))^$W104))</f>
        <v>45.898876137648358</v>
      </c>
      <c r="AK104" s="378">
        <f>$R104/(1+($V104*(('Traffic Data'!W23*$T104*$U104)/(($I104/2)*$S104))^$W104))</f>
        <v>45.898430695068917</v>
      </c>
      <c r="AL104" s="378">
        <f>$R104/(1+($V104*(('Traffic Data'!X23*$T104*$U104)/(($I104/2)*$S104))^$W104))</f>
        <v>45.898131176579909</v>
      </c>
      <c r="AM104" s="378">
        <f>$R104/(1+($V104*(('Traffic Data'!Y23*$T104*$U104)/(($I104/2)*$S104))^$W104))</f>
        <v>45.897781158759372</v>
      </c>
      <c r="AN104" s="378">
        <f>$R104/(1+($V104*(('Traffic Data'!Z23*$T104*$U104)/(($I104/2)*$S104))^$W104))</f>
        <v>45.897373211396463</v>
      </c>
      <c r="AO104" s="378">
        <f>$R104/(1+($V104*(('Traffic Data'!AA23*$T104*$U104)/(($I104/2)*$S104))^$W104))</f>
        <v>45.896898776372069</v>
      </c>
      <c r="AP104" s="378">
        <f>$R104/(1+($V104*(('Traffic Data'!AB23*$T104*$U104)/(($I104/2)*$S104))^$W104))</f>
        <v>45.896348792928883</v>
      </c>
      <c r="AQ104" s="378">
        <f>$R104/(1+($V104*(('Traffic Data'!AC23*$T104*$U104)/(($I104/2)*$S104))^$W104))</f>
        <v>45.895712289599331</v>
      </c>
      <c r="AR104" s="378">
        <f>$R104/(1+($V104*(('Traffic Data'!AD23*$T104*$U104)/(($I104/2)*$S104))^$W104))</f>
        <v>45.894977911524315</v>
      </c>
      <c r="AS104" s="378">
        <f>$R104/(1+($V104*(('Traffic Data'!AE23*$T104*$U104)/(($I104/2)*$S104))^$W104))</f>
        <v>45.894132225322728</v>
      </c>
      <c r="AT104" s="378">
        <f>$R104/(1+($V104*(('Traffic Data'!AF23*$T104*$U104)/(($I104/2)*$S104))^$W104))</f>
        <v>45.893160100911004</v>
      </c>
      <c r="AU104" s="378">
        <f>$R104/(1+($V104*(('Traffic Data'!AG23*$T104*$U104)/(($I104/2)*$S104))^$W104))</f>
        <v>45.892045826232724</v>
      </c>
      <c r="AV104" s="378">
        <f>$R104/(1+($V104*(('Traffic Data'!AH23*$T104*$U104)/(($I104/2)*$S104))^$W104))</f>
        <v>45.890770799614316</v>
      </c>
      <c r="AW104" s="350">
        <f>$R104/(1+($V104*(('Traffic Data'!AI23*$T104*$U104)/(($I104/2)*$S104))^$W104))</f>
        <v>45.889314165902256</v>
      </c>
      <c r="AX104" s="378">
        <f>$R104/(1+($V104*(('Traffic Data'!J23*(0.67/14))/(($I104)*$S104))^$W104))</f>
        <v>45.899999999989724</v>
      </c>
      <c r="AY104" s="378">
        <f>$R104/(1+($V104*(('Traffic Data'!J23*(0.67/14))/(($I104)*$S104))^$W104))</f>
        <v>45.899999999989724</v>
      </c>
      <c r="AZ104" s="378">
        <f>$R104/(1+($V104*(('Traffic Data'!K23*(0.67/14))/(($I104)*$S104))^$W104))</f>
        <v>45.899999999985425</v>
      </c>
      <c r="BA104" s="378">
        <f>$R104/(1+($V104*(('Traffic Data'!L23*(0.67/14))/(($I104)*$S104))^$W104))</f>
        <v>45.899999999978959</v>
      </c>
      <c r="BB104" s="378">
        <f>$R104/(1+($V104*(('Traffic Data'!M23*(0.67/14))/(($I104)*$S104))^$W104))</f>
        <v>45.899999999959029</v>
      </c>
      <c r="BC104" s="378">
        <f>$R104/(1+($V104*(('Traffic Data'!N23*(0.67/14))/(($I104)*$S104))^$W104))</f>
        <v>45.899999999923445</v>
      </c>
      <c r="BD104" s="378">
        <f>$R104/(1+($V104*(('Traffic Data'!O23*(0.67/14))/(($I104)*$S104))^$W104))</f>
        <v>45.899999999862132</v>
      </c>
      <c r="BE104" s="378">
        <f>$R104/(1+($V104*(('Traffic Data'!P23*(0.67/14))/(($I104)*$S104))^$W104))</f>
        <v>45.899999999759743</v>
      </c>
      <c r="BF104" s="378">
        <f>$R104/(1+($V104*(('Traffic Data'!Q23*(0.67/14))/(($I104)*$S104))^$W104))</f>
        <v>45.89999999959322</v>
      </c>
      <c r="BG104" s="378">
        <f>$R104/(1+($V104*(('Traffic Data'!R23*(0.67/14))/(($I104)*$S104))^$W104))</f>
        <v>45.899999999196986</v>
      </c>
      <c r="BH104" s="378">
        <f>$R104/(1+($V104*(('Traffic Data'!S23*(0.67/14))/(($I104)*$S104))^$W104))</f>
        <v>45.899999998481803</v>
      </c>
      <c r="BI104" s="378">
        <f>$R104/(1+($V104*(('Traffic Data'!T23*(0.67/14))/(($I104)*$S104))^$W104))</f>
        <v>45.899999997237607</v>
      </c>
      <c r="BJ104" s="378">
        <f>$R104/(1+($V104*(('Traffic Data'!U23*(0.67/14))/(($I104)*$S104))^$W104))</f>
        <v>45.899999995140554</v>
      </c>
      <c r="BK104" s="378">
        <f>$R104/(1+($V104*(('Traffic Data'!V23*(0.67/14))/(($I104)*$S104))^$W104))</f>
        <v>45.899999991702529</v>
      </c>
      <c r="BL104" s="378">
        <f>$R104/(1+($V104*(('Traffic Data'!W23*(0.67/14))/(($I104)*$S104))^$W104))</f>
        <v>45.899999988413725</v>
      </c>
      <c r="BM104" s="378">
        <f>$R104/(1+($V104*(('Traffic Data'!X23*(0.67/14))/(($I104)*$S104))^$W104))</f>
        <v>45.899999986202268</v>
      </c>
      <c r="BN104" s="378">
        <f>$R104/(1+($V104*(('Traffic Data'!Y23*(0.67/14))/(($I104)*$S104))^$W104))</f>
        <v>45.899999983617917</v>
      </c>
      <c r="BO104" s="378">
        <f>$R104/(1+($V104*(('Traffic Data'!Z23*(0.67/14))/(($I104)*$S104))^$W104))</f>
        <v>45.899999980605813</v>
      </c>
      <c r="BP104" s="378">
        <f>$R104/(1+($V104*(('Traffic Data'!AA23*(0.67/14))/(($I104)*$S104))^$W104))</f>
        <v>45.899999977102709</v>
      </c>
      <c r="BQ104" s="378">
        <f>$R104/(1+($V104*(('Traffic Data'!AB23*(0.67/14))/(($I104)*$S104))^$W104))</f>
        <v>45.899999973041687</v>
      </c>
      <c r="BR104" s="378">
        <f>$R104/(1+($V104*(('Traffic Data'!AC23*(0.67/14))/(($I104)*$S104))^$W104))</f>
        <v>45.899999968341696</v>
      </c>
      <c r="BS104" s="378">
        <f>$R104/(1+($V104*(('Traffic Data'!AD23*(0.67/14))/(($I104)*$S104))^$W104))</f>
        <v>45.89999996291882</v>
      </c>
      <c r="BT104" s="378">
        <f>$R104/(1+($V104*(('Traffic Data'!AE23*(0.67/14))/(($I104)*$S104))^$W104))</f>
        <v>45.899999956673796</v>
      </c>
      <c r="BU104" s="378">
        <f>$R104/(1+($V104*(('Traffic Data'!AF23*(0.67/14))/(($I104)*$S104))^$W104))</f>
        <v>45.899999949494799</v>
      </c>
      <c r="BV104" s="378">
        <f>$R104/(1+($V104*(('Traffic Data'!AG23*(0.67/14))/(($I104)*$S104))^$W104))</f>
        <v>45.899999941265669</v>
      </c>
      <c r="BW104" s="620">
        <f>$R104/(1+($V104*(('Traffic Data'!AH23*(0.67/14))/(($I104)*$S104))^$W104))</f>
        <v>45.899999931848868</v>
      </c>
    </row>
    <row r="105" spans="1:75" ht="21.9" customHeight="1" x14ac:dyDescent="0.25">
      <c r="A105" s="617"/>
      <c r="C105" s="114"/>
      <c r="D105" s="114" t="s">
        <v>322</v>
      </c>
      <c r="E105" s="114" t="s">
        <v>326</v>
      </c>
      <c r="F105" s="550">
        <f>'Traffic Data'!CM21</f>
        <v>0.83333333333333337</v>
      </c>
      <c r="G105" s="550">
        <f>'Traffic Data'!CN21</f>
        <v>0.9</v>
      </c>
      <c r="H105" s="143">
        <f>'Traffic Data'!G24</f>
        <v>45</v>
      </c>
      <c r="I105" s="143">
        <v>4</v>
      </c>
      <c r="J105" s="143">
        <f t="shared" si="6"/>
        <v>52</v>
      </c>
      <c r="K105" s="143">
        <v>0</v>
      </c>
      <c r="L105" s="143">
        <v>2.5</v>
      </c>
      <c r="M105" s="143">
        <v>0</v>
      </c>
      <c r="N105" s="143">
        <v>3.6</v>
      </c>
      <c r="O105" s="143">
        <v>0</v>
      </c>
      <c r="P105" s="143">
        <v>0</v>
      </c>
      <c r="Q105" s="143">
        <v>0</v>
      </c>
      <c r="R105" s="171">
        <f t="shared" si="4"/>
        <v>45.9</v>
      </c>
      <c r="S105" s="551">
        <f>F105*G105*M24</f>
        <v>1425</v>
      </c>
      <c r="T105" s="552">
        <v>0.12</v>
      </c>
      <c r="U105" s="553">
        <v>0.65</v>
      </c>
      <c r="V105" s="554">
        <f t="shared" si="7"/>
        <v>0.2</v>
      </c>
      <c r="W105" s="225">
        <v>10</v>
      </c>
      <c r="X105" s="377">
        <f>$R105/(1+($V105*(('Traffic Data'!J24*$T105*$U105)/(($I105/2)*$S105))^$W105))</f>
        <v>45.899999869126233</v>
      </c>
      <c r="Y105" s="378">
        <f>$R105/(1+($V105*(('Traffic Data'!K24*$T105*$U105)/(($I105/2)*$S105))^$W105))</f>
        <v>45.899999816389006</v>
      </c>
      <c r="Z105" s="378">
        <f>$R105/(1+($V105*(('Traffic Data'!L24*$T105*$U105)/(($I105/2)*$S105))^$W105))</f>
        <v>45.899999735586789</v>
      </c>
      <c r="AA105" s="378">
        <f>$R105/(1+($V105*(('Traffic Data'!M24*$T105*$U105)/(($I105/2)*$S105))^$W105))</f>
        <v>45.899999514914178</v>
      </c>
      <c r="AB105" s="378">
        <f>$R105/(1+($V105*(('Traffic Data'!N24*$T105*$U105)/(($I105/2)*$S105))^$W105))</f>
        <v>45.899999140161235</v>
      </c>
      <c r="AC105" s="378">
        <f>$R105/(1+($V105*(('Traffic Data'!O24*$T105*$U105)/(($I105/2)*$S105))^$W105))</f>
        <v>45.899998522685827</v>
      </c>
      <c r="AD105" s="378">
        <f>$R105/(1+($V105*(('Traffic Data'!P24*$T105*$U105)/(($I105/2)*$S105))^$W105))</f>
        <v>45.899997531669932</v>
      </c>
      <c r="AE105" s="378">
        <f>$R105/(1+($V105*(('Traffic Data'!Q24*$T105*$U105)/(($I105/2)*$S105))^$W105))</f>
        <v>45.899995976004625</v>
      </c>
      <c r="AF105" s="378">
        <f>$R105/(1+($V105*(('Traffic Data'!R24*$T105*$U105)/(($I105/2)*$S105))^$W105))</f>
        <v>45.899992695771978</v>
      </c>
      <c r="AG105" s="378">
        <f>$R105/(1+($V105*(('Traffic Data'!S24*$T105*$U105)/(($I105/2)*$S105))^$W105))</f>
        <v>45.899987175145384</v>
      </c>
      <c r="AH105" s="378">
        <f>$R105/(1+($V105*(('Traffic Data'!T24*$T105*$U105)/(($I105/2)*$S105))^$W105))</f>
        <v>45.899978156147526</v>
      </c>
      <c r="AI105" s="378">
        <f>$R105/(1+($V105*(('Traffic Data'!U24*$T105*$U105)/(($I105/2)*$S105))^$W105))</f>
        <v>45.899963779774033</v>
      </c>
      <c r="AJ105" s="378">
        <f>$R105/(1+($V105*(('Traffic Data'!V24*$T105*$U105)/(($I105/2)*$S105))^$W105))</f>
        <v>45.899941362927734</v>
      </c>
      <c r="AK105" s="378">
        <f>$R105/(1+($V105*(('Traffic Data'!W24*$T105*$U105)/(($I105/2)*$S105))^$W105))</f>
        <v>45.899920131425979</v>
      </c>
      <c r="AL105" s="378">
        <f>$R105/(1+($V105*(('Traffic Data'!X24*$T105*$U105)/(($I105/2)*$S105))^$W105))</f>
        <v>45.899904407351293</v>
      </c>
      <c r="AM105" s="378">
        <f>$R105/(1+($V105*(('Traffic Data'!Y24*$T105*$U105)/(($I105/2)*$S105))^$W105))</f>
        <v>45.899885950045132</v>
      </c>
      <c r="AN105" s="378">
        <f>$R105/(1+($V105*(('Traffic Data'!Z24*$T105*$U105)/(($I105/2)*$S105))^$W105))</f>
        <v>45.899864345062973</v>
      </c>
      <c r="AO105" s="378">
        <f>$R105/(1+($V105*(('Traffic Data'!AA24*$T105*$U105)/(($I105/2)*$S105))^$W105))</f>
        <v>45.899839108182725</v>
      </c>
      <c r="AP105" s="378">
        <f>$R105/(1+($V105*(('Traffic Data'!AB24*$T105*$U105)/(($I105/2)*$S105))^$W105))</f>
        <v>45.899809740102185</v>
      </c>
      <c r="AQ105" s="378">
        <f>$R105/(1+($V105*(('Traffic Data'!AC24*$T105*$U105)/(($I105/2)*$S105))^$W105))</f>
        <v>45.899775611250405</v>
      </c>
      <c r="AR105" s="378">
        <f>$R105/(1+($V105*(('Traffic Data'!AD24*$T105*$U105)/(($I105/2)*$S105))^$W105))</f>
        <v>45.899736092819808</v>
      </c>
      <c r="AS105" s="378">
        <f>$R105/(1+($V105*(('Traffic Data'!AE24*$T105*$U105)/(($I105/2)*$S105))^$W105))</f>
        <v>45.899690417317423</v>
      </c>
      <c r="AT105" s="378">
        <f>$R105/(1+($V105*(('Traffic Data'!AF24*$T105*$U105)/(($I105/2)*$S105))^$W105))</f>
        <v>45.899637713552103</v>
      </c>
      <c r="AU105" s="378">
        <f>$R105/(1+($V105*(('Traffic Data'!AG24*$T105*$U105)/(($I105/2)*$S105))^$W105))</f>
        <v>45.899577105587056</v>
      </c>
      <c r="AV105" s="378">
        <f>$R105/(1+($V105*(('Traffic Data'!AH24*$T105*$U105)/(($I105/2)*$S105))^$W105))</f>
        <v>45.899507520307488</v>
      </c>
      <c r="AW105" s="350">
        <f>$R105/(1+($V105*(('Traffic Data'!AI24*$T105*$U105)/(($I105/2)*$S105))^$W105))</f>
        <v>45.899427745140208</v>
      </c>
      <c r="AX105" s="378">
        <f>$R105/(1+($V105*(('Traffic Data'!J24*(0.67/14))/(($I105)*$S105))^$W105))</f>
        <v>45.899999999999032</v>
      </c>
      <c r="AY105" s="378">
        <f>$R105/(1+($V105*(('Traffic Data'!J24*(0.67/14))/(($I105)*$S105))^$W105))</f>
        <v>45.899999999999032</v>
      </c>
      <c r="AZ105" s="378">
        <f>$R105/(1+($V105*(('Traffic Data'!K24*(0.67/14))/(($I105)*$S105))^$W105))</f>
        <v>45.899999999998641</v>
      </c>
      <c r="BA105" s="378">
        <f>$R105/(1+($V105*(('Traffic Data'!L24*(0.67/14))/(($I105)*$S105))^$W105))</f>
        <v>45.899999999998045</v>
      </c>
      <c r="BB105" s="378">
        <f>$R105/(1+($V105*(('Traffic Data'!M24*(0.67/14))/(($I105)*$S105))^$W105))</f>
        <v>45.899999999996425</v>
      </c>
      <c r="BC105" s="378">
        <f>$R105/(1+($V105*(('Traffic Data'!N24*(0.67/14))/(($I105)*$S105))^$W105))</f>
        <v>45.899999999993646</v>
      </c>
      <c r="BD105" s="378">
        <f>$R105/(1+($V105*(('Traffic Data'!O24*(0.67/14))/(($I105)*$S105))^$W105))</f>
        <v>45.899999999989092</v>
      </c>
      <c r="BE105" s="378">
        <f>$R105/(1+($V105*(('Traffic Data'!P24*(0.67/14))/(($I105)*$S105))^$W105))</f>
        <v>45.899999999981773</v>
      </c>
      <c r="BF105" s="378">
        <f>$R105/(1+($V105*(('Traffic Data'!Q24*(0.67/14))/(($I105)*$S105))^$W105))</f>
        <v>45.899999999970291</v>
      </c>
      <c r="BG105" s="378">
        <f>$R105/(1+($V105*(('Traffic Data'!R24*(0.67/14))/(($I105)*$S105))^$W105))</f>
        <v>45.899999999946075</v>
      </c>
      <c r="BH105" s="378">
        <f>$R105/(1+($V105*(('Traffic Data'!S24*(0.67/14))/(($I105)*$S105))^$W105))</f>
        <v>45.899999999905319</v>
      </c>
      <c r="BI105" s="378">
        <f>$R105/(1+($V105*(('Traffic Data'!T24*(0.67/14))/(($I105)*$S105))^$W105))</f>
        <v>45.899999999838734</v>
      </c>
      <c r="BJ105" s="378">
        <f>$R105/(1+($V105*(('Traffic Data'!U24*(0.67/14))/(($I105)*$S105))^$W105))</f>
        <v>45.899999999732593</v>
      </c>
      <c r="BK105" s="378">
        <f>$R105/(1+($V105*(('Traffic Data'!V24*(0.67/14))/(($I105)*$S105))^$W105))</f>
        <v>45.899999999567086</v>
      </c>
      <c r="BL105" s="378">
        <f>$R105/(1+($V105*(('Traffic Data'!W24*(0.67/14))/(($I105)*$S105))^$W105))</f>
        <v>45.89999999941034</v>
      </c>
      <c r="BM105" s="378">
        <f>$R105/(1+($V105*(('Traffic Data'!X24*(0.67/14))/(($I105)*$S105))^$W105))</f>
        <v>45.899999999294252</v>
      </c>
      <c r="BN105" s="378">
        <f>$R105/(1+($V105*(('Traffic Data'!Y24*(0.67/14))/(($I105)*$S105))^$W105))</f>
        <v>45.899999999157991</v>
      </c>
      <c r="BO105" s="378">
        <f>$R105/(1+($V105*(('Traffic Data'!Z24*(0.67/14))/(($I105)*$S105))^$W105))</f>
        <v>45.899999998998474</v>
      </c>
      <c r="BP105" s="378">
        <f>$R105/(1+($V105*(('Traffic Data'!AA24*(0.67/14))/(($I105)*$S105))^$W105))</f>
        <v>45.899999998812156</v>
      </c>
      <c r="BQ105" s="378">
        <f>$R105/(1+($V105*(('Traffic Data'!AB24*(0.67/14))/(($I105)*$S105))^$W105))</f>
        <v>45.899999998595341</v>
      </c>
      <c r="BR105" s="378">
        <f>$R105/(1+($V105*(('Traffic Data'!AC24*(0.67/14))/(($I105)*$S105))^$W105))</f>
        <v>45.899999998343375</v>
      </c>
      <c r="BS105" s="378">
        <f>$R105/(1+($V105*(('Traffic Data'!AD24*(0.67/14))/(($I105)*$S105))^$W105))</f>
        <v>45.899999998051612</v>
      </c>
      <c r="BT105" s="378">
        <f>$R105/(1+($V105*(('Traffic Data'!AE24*(0.67/14))/(($I105)*$S105))^$W105))</f>
        <v>45.899999997714396</v>
      </c>
      <c r="BU105" s="378">
        <f>$R105/(1+($V105*(('Traffic Data'!AF24*(0.67/14))/(($I105)*$S105))^$W105))</f>
        <v>45.899999997325281</v>
      </c>
      <c r="BV105" s="378">
        <f>$R105/(1+($V105*(('Traffic Data'!AG24*(0.67/14))/(($I105)*$S105))^$W105))</f>
        <v>45.899999996877817</v>
      </c>
      <c r="BW105" s="620">
        <f>$R105/(1+($V105*(('Traffic Data'!AH24*(0.67/14))/(($I105)*$S105))^$W105))</f>
        <v>45.89999999636408</v>
      </c>
    </row>
    <row r="106" spans="1:75" ht="21.9" customHeight="1" x14ac:dyDescent="0.25">
      <c r="A106" s="617"/>
      <c r="C106" s="114"/>
      <c r="D106" s="114" t="s">
        <v>326</v>
      </c>
      <c r="E106" s="114" t="s">
        <v>274</v>
      </c>
      <c r="F106" s="550">
        <f>'Traffic Data'!CM21</f>
        <v>0.83333333333333337</v>
      </c>
      <c r="G106" s="550">
        <f>'Traffic Data'!CN21</f>
        <v>0.9</v>
      </c>
      <c r="H106" s="143">
        <f>'Traffic Data'!G25</f>
        <v>55</v>
      </c>
      <c r="I106" s="143">
        <v>4</v>
      </c>
      <c r="J106" s="143">
        <f t="shared" si="6"/>
        <v>62</v>
      </c>
      <c r="K106" s="143">
        <v>0</v>
      </c>
      <c r="L106" s="143">
        <v>2.5</v>
      </c>
      <c r="M106" s="143">
        <v>0</v>
      </c>
      <c r="N106" s="143">
        <v>3.6</v>
      </c>
      <c r="O106" s="143">
        <v>0</v>
      </c>
      <c r="P106" s="143">
        <v>0</v>
      </c>
      <c r="Q106" s="143">
        <v>0</v>
      </c>
      <c r="R106" s="171">
        <f t="shared" si="4"/>
        <v>55.9</v>
      </c>
      <c r="S106" s="551">
        <f>F106*G106*M22</f>
        <v>1575</v>
      </c>
      <c r="T106" s="552">
        <v>0.12</v>
      </c>
      <c r="U106" s="553">
        <v>0.65</v>
      </c>
      <c r="V106" s="554">
        <f t="shared" si="7"/>
        <v>0.2</v>
      </c>
      <c r="W106" s="225">
        <v>10</v>
      </c>
      <c r="X106" s="377">
        <f>$R106/(1+($V106*(('Traffic Data'!J25*$T106*$U106)/(($I106/2)*$S106))^$W106))</f>
        <v>55.899999941413874</v>
      </c>
      <c r="Y106" s="378">
        <f>$R106/(1+($V106*(('Traffic Data'!K25*$T106*$U106)/(($I106/2)*$S106))^$W106))</f>
        <v>55.899999917805857</v>
      </c>
      <c r="Z106" s="378">
        <f>$R106/(1+($V106*(('Traffic Data'!L25*$T106*$U106)/(($I106/2)*$S106))^$W106))</f>
        <v>55.899999881634443</v>
      </c>
      <c r="AA106" s="378">
        <f>$R106/(1+($V106*(('Traffic Data'!M25*$T106*$U106)/(($I106/2)*$S106))^$W106))</f>
        <v>55.899999782849534</v>
      </c>
      <c r="AB106" s="378">
        <f>$R106/(1+($V106*(('Traffic Data'!N25*$T106*$U106)/(($I106/2)*$S106))^$W106))</f>
        <v>55.899999615089982</v>
      </c>
      <c r="AC106" s="378">
        <f>$R106/(1+($V106*(('Traffic Data'!O25*$T106*$U106)/(($I106/2)*$S106))^$W106))</f>
        <v>55.899999338674824</v>
      </c>
      <c r="AD106" s="378">
        <f>$R106/(1+($V106*(('Traffic Data'!P25*$T106*$U106)/(($I106/2)*$S106))^$W106))</f>
        <v>55.899998895042863</v>
      </c>
      <c r="AE106" s="378">
        <f>$R106/(1+($V106*(('Traffic Data'!Q25*$T106*$U106)/(($I106/2)*$S106))^$W106))</f>
        <v>55.899998198643459</v>
      </c>
      <c r="AF106" s="378">
        <f>$R106/(1+($V106*(('Traffic Data'!R25*$T106*$U106)/(($I106/2)*$S106))^$W106))</f>
        <v>55.899996730234925</v>
      </c>
      <c r="AG106" s="378">
        <f>$R106/(1+($V106*(('Traffic Data'!S25*$T106*$U106)/(($I106/2)*$S106))^$W106))</f>
        <v>55.899994258905288</v>
      </c>
      <c r="AH106" s="378">
        <f>$R106/(1+($V106*(('Traffic Data'!T25*$T106*$U106)/(($I106/2)*$S106))^$W106))</f>
        <v>55.89999022151553</v>
      </c>
      <c r="AI106" s="378">
        <f>$R106/(1+($V106*(('Traffic Data'!U25*$T106*$U106)/(($I106/2)*$S106))^$W106))</f>
        <v>55.899983785873516</v>
      </c>
      <c r="AJ106" s="378">
        <f>$R106/(1+($V106*(('Traffic Data'!V25*$T106*$U106)/(($I106/2)*$S106))^$W106))</f>
        <v>55.899973750876065</v>
      </c>
      <c r="AK106" s="378">
        <f>$R106/(1+($V106*(('Traffic Data'!W25*$T106*$U106)/(($I106/2)*$S106))^$W106))</f>
        <v>55.899964246497476</v>
      </c>
      <c r="AL106" s="378">
        <f>$R106/(1+($V106*(('Traffic Data'!X25*$T106*$U106)/(($I106/2)*$S106))^$W106))</f>
        <v>55.899957207540147</v>
      </c>
      <c r="AM106" s="378">
        <f>$R106/(1+($V106*(('Traffic Data'!Y25*$T106*$U106)/(($I106/2)*$S106))^$W106))</f>
        <v>55.899948945034772</v>
      </c>
      <c r="AN106" s="378">
        <f>$R106/(1+($V106*(('Traffic Data'!Z25*$T106*$U106)/(($I106/2)*$S106))^$W106))</f>
        <v>55.89993927345116</v>
      </c>
      <c r="AO106" s="378">
        <f>$R106/(1+($V106*(('Traffic Data'!AA25*$T106*$U106)/(($I106/2)*$S106))^$W106))</f>
        <v>55.899927976022013</v>
      </c>
      <c r="AP106" s="378">
        <f>$R106/(1+($V106*(('Traffic Data'!AB25*$T106*$U106)/(($I106/2)*$S106))^$W106))</f>
        <v>55.899914829228308</v>
      </c>
      <c r="AQ106" s="378">
        <f>$R106/(1+($V106*(('Traffic Data'!AC25*$T106*$U106)/(($I106/2)*$S106))^$W106))</f>
        <v>55.899899551234036</v>
      </c>
      <c r="AR106" s="378">
        <f>$R106/(1+($V106*(('Traffic Data'!AD25*$T106*$U106)/(($I106/2)*$S106))^$W106))</f>
        <v>55.89988186054309</v>
      </c>
      <c r="AS106" s="378">
        <f>$R106/(1+($V106*(('Traffic Data'!AE25*$T106*$U106)/(($I106/2)*$S106))^$W106))</f>
        <v>55.899861413573589</v>
      </c>
      <c r="AT106" s="378">
        <f>$R106/(1+($V106*(('Traffic Data'!AF25*$T106*$U106)/(($I106/2)*$S106))^$W106))</f>
        <v>55.899837820319298</v>
      </c>
      <c r="AU106" s="378">
        <f>$R106/(1+($V106*(('Traffic Data'!AG25*$T106*$U106)/(($I106/2)*$S106))^$W106))</f>
        <v>55.899810688645594</v>
      </c>
      <c r="AV106" s="378">
        <f>$R106/(1+($V106*(('Traffic Data'!AH25*$T106*$U106)/(($I106/2)*$S106))^$W106))</f>
        <v>55.899779538144408</v>
      </c>
      <c r="AW106" s="350">
        <f>$R106/(1+($V106*(('Traffic Data'!AI25*$T106*$U106)/(($I106/2)*$S106))^$W106))</f>
        <v>55.899743825971207</v>
      </c>
      <c r="AX106" s="378">
        <f>$R106/(1+($V106*(('Traffic Data'!J25*(0.67/14))/(($I106)*$S106))^$W106))</f>
        <v>55.899999999999565</v>
      </c>
      <c r="AY106" s="378">
        <f>$R106/(1+($V106*(('Traffic Data'!J25*(0.67/14))/(($I106)*$S106))^$W106))</f>
        <v>55.899999999999565</v>
      </c>
      <c r="AZ106" s="378">
        <f>$R106/(1+($V106*(('Traffic Data'!K25*(0.67/14))/(($I106)*$S106))^$W106))</f>
        <v>55.899999999999388</v>
      </c>
      <c r="BA106" s="378">
        <f>$R106/(1+($V106*(('Traffic Data'!L25*(0.67/14))/(($I106)*$S106))^$W106))</f>
        <v>55.899999999999132</v>
      </c>
      <c r="BB106" s="378">
        <f>$R106/(1+($V106*(('Traffic Data'!M25*(0.67/14))/(($I106)*$S106))^$W106))</f>
        <v>55.8999999999984</v>
      </c>
      <c r="BC106" s="378">
        <f>$R106/(1+($V106*(('Traffic Data'!N25*(0.67/14))/(($I106)*$S106))^$W106))</f>
        <v>55.899999999997156</v>
      </c>
      <c r="BD106" s="378">
        <f>$R106/(1+($V106*(('Traffic Data'!O25*(0.67/14))/(($I106)*$S106))^$W106))</f>
        <v>55.899999999995117</v>
      </c>
      <c r="BE106" s="378">
        <f>$R106/(1+($V106*(('Traffic Data'!P25*(0.67/14))/(($I106)*$S106))^$W106))</f>
        <v>55.899999999991842</v>
      </c>
      <c r="BF106" s="378">
        <f>$R106/(1+($V106*(('Traffic Data'!Q25*(0.67/14))/(($I106)*$S106))^$W106))</f>
        <v>55.899999999986704</v>
      </c>
      <c r="BG106" s="378">
        <f>$R106/(1+($V106*(('Traffic Data'!R25*(0.67/14))/(($I106)*$S106))^$W106))</f>
        <v>55.899999999975854</v>
      </c>
      <c r="BH106" s="378">
        <f>$R106/(1+($V106*(('Traffic Data'!S25*(0.67/14))/(($I106)*$S106))^$W106))</f>
        <v>55.899999999957608</v>
      </c>
      <c r="BI106" s="378">
        <f>$R106/(1+($V106*(('Traffic Data'!T25*(0.67/14))/(($I106)*$S106))^$W106))</f>
        <v>55.899999999927807</v>
      </c>
      <c r="BJ106" s="378">
        <f>$R106/(1+($V106*(('Traffic Data'!U25*(0.67/14))/(($I106)*$S106))^$W106))</f>
        <v>55.899999999880293</v>
      </c>
      <c r="BK106" s="378">
        <f>$R106/(1+($V106*(('Traffic Data'!V25*(0.67/14))/(($I106)*$S106))^$W106))</f>
        <v>55.899999999806205</v>
      </c>
      <c r="BL106" s="378">
        <f>$R106/(1+($V106*(('Traffic Data'!W25*(0.67/14))/(($I106)*$S106))^$W106))</f>
        <v>55.899999999736039</v>
      </c>
      <c r="BM106" s="378">
        <f>$R106/(1+($V106*(('Traffic Data'!X25*(0.67/14))/(($I106)*$S106))^$W106))</f>
        <v>55.89999999968407</v>
      </c>
      <c r="BN106" s="378">
        <f>$R106/(1+($V106*(('Traffic Data'!Y25*(0.67/14))/(($I106)*$S106))^$W106))</f>
        <v>55.899999999623077</v>
      </c>
      <c r="BO106" s="378">
        <f>$R106/(1+($V106*(('Traffic Data'!Z25*(0.67/14))/(($I106)*$S106))^$W106))</f>
        <v>55.899999999551667</v>
      </c>
      <c r="BP106" s="378">
        <f>$R106/(1+($V106*(('Traffic Data'!AA25*(0.67/14))/(($I106)*$S106))^$W106))</f>
        <v>55.899999999468257</v>
      </c>
      <c r="BQ106" s="378">
        <f>$R106/(1+($V106*(('Traffic Data'!AB25*(0.67/14))/(($I106)*$S106))^$W106))</f>
        <v>55.89999999937119</v>
      </c>
      <c r="BR106" s="378">
        <f>$R106/(1+($V106*(('Traffic Data'!AC25*(0.67/14))/(($I106)*$S106))^$W106))</f>
        <v>55.899999999258398</v>
      </c>
      <c r="BS106" s="378">
        <f>$R106/(1+($V106*(('Traffic Data'!AD25*(0.67/14))/(($I106)*$S106))^$W106))</f>
        <v>55.8999999991278</v>
      </c>
      <c r="BT106" s="378">
        <f>$R106/(1+($V106*(('Traffic Data'!AE25*(0.67/14))/(($I106)*$S106))^$W106))</f>
        <v>55.899999998976838</v>
      </c>
      <c r="BU106" s="378">
        <f>$R106/(1+($V106*(('Traffic Data'!AF25*(0.67/14))/(($I106)*$S106))^$W106))</f>
        <v>55.899999998802656</v>
      </c>
      <c r="BV106" s="378">
        <f>$R106/(1+($V106*(('Traffic Data'!AG25*(0.67/14))/(($I106)*$S106))^$W106))</f>
        <v>55.899999998602347</v>
      </c>
      <c r="BW106" s="620">
        <f>$R106/(1+($V106*(('Traffic Data'!AH25*(0.67/14))/(($I106)*$S106))^$W106))</f>
        <v>55.899999998372365</v>
      </c>
    </row>
    <row r="107" spans="1:75" ht="21.9" customHeight="1" thickBot="1" x14ac:dyDescent="0.3">
      <c r="A107" s="617"/>
      <c r="B107" s="546"/>
      <c r="C107" s="274"/>
      <c r="D107" s="274" t="s">
        <v>274</v>
      </c>
      <c r="E107" s="274" t="s">
        <v>317</v>
      </c>
      <c r="F107" s="574">
        <f>'Traffic Data'!CM21</f>
        <v>0.83333333333333337</v>
      </c>
      <c r="G107" s="574">
        <f>'Traffic Data'!CN21</f>
        <v>0.9</v>
      </c>
      <c r="H107" s="143">
        <f>'Traffic Data'!G26</f>
        <v>55</v>
      </c>
      <c r="I107" s="143">
        <v>2</v>
      </c>
      <c r="J107" s="143">
        <f t="shared" si="6"/>
        <v>62</v>
      </c>
      <c r="K107" s="143">
        <v>4.2</v>
      </c>
      <c r="L107" s="143">
        <v>2.5</v>
      </c>
      <c r="M107" s="143">
        <v>0</v>
      </c>
      <c r="N107" s="143">
        <v>0</v>
      </c>
      <c r="O107" s="143">
        <v>0</v>
      </c>
      <c r="P107" s="143">
        <v>0</v>
      </c>
      <c r="Q107" s="143">
        <v>0</v>
      </c>
      <c r="R107" s="171">
        <f t="shared" si="4"/>
        <v>55.3</v>
      </c>
      <c r="S107" s="551">
        <f>F107*G107*N22</f>
        <v>600</v>
      </c>
      <c r="T107" s="552">
        <v>0.12</v>
      </c>
      <c r="U107" s="553">
        <v>0.65</v>
      </c>
      <c r="V107" s="554">
        <f t="shared" si="7"/>
        <v>0.2</v>
      </c>
      <c r="W107" s="225">
        <v>10</v>
      </c>
      <c r="X107" s="379">
        <f>$R107/(1+($V107*(('Traffic Data'!J26*$T107*$U107)/(($I107/2)*$S107))^$W107))</f>
        <v>55.299903328088064</v>
      </c>
      <c r="Y107" s="357">
        <f>$R107/(1+($V107*(('Traffic Data'!K26*$T107*$U107)/(($I107/2)*$S107))^$W107))</f>
        <v>55.29986437302955</v>
      </c>
      <c r="Z107" s="357">
        <f>$R107/(1+($V107*(('Traffic Data'!L26*$T107*$U107)/(($I107/2)*$S107))^$W107))</f>
        <v>55.299804687486549</v>
      </c>
      <c r="AA107" s="357">
        <f>$R107/(1+($V107*(('Traffic Data'!M26*$T107*$U107)/(($I107/2)*$S107))^$W107))</f>
        <v>55.299641685631045</v>
      </c>
      <c r="AB107" s="357">
        <f>$R107/(1+($V107*(('Traffic Data'!N26*$T107*$U107)/(($I107/2)*$S107))^$W107))</f>
        <v>55.299364873114826</v>
      </c>
      <c r="AC107" s="357">
        <f>$R107/(1+($V107*(('Traffic Data'!O26*$T107*$U107)/(($I107/2)*$S107))^$W107))</f>
        <v>55.298908778876452</v>
      </c>
      <c r="AD107" s="357">
        <f>$R107/(1+($V107*(('Traffic Data'!P26*$T107*$U107)/(($I107/2)*$S107))^$W107))</f>
        <v>55.29817678706992</v>
      </c>
      <c r="AE107" s="357">
        <f>$R107/(1+($V107*(('Traffic Data'!Q26*$T107*$U107)/(($I107/2)*$S107))^$W107))</f>
        <v>55.297027768559985</v>
      </c>
      <c r="AF107" s="357">
        <f>$R107/(1+($V107*(('Traffic Data'!R26*$T107*$U107)/(($I107/2)*$S107))^$W107))</f>
        <v>55.294605136297783</v>
      </c>
      <c r="AG107" s="357">
        <f>$R107/(1+($V107*(('Traffic Data'!S26*$T107*$U107)/(($I107/2)*$S107))^$W107))</f>
        <v>55.290528328319198</v>
      </c>
      <c r="AH107" s="357">
        <f>$R107/(1+($V107*(('Traffic Data'!T26*$T107*$U107)/(($I107/2)*$S107))^$W107))</f>
        <v>55.283869374900981</v>
      </c>
      <c r="AI107" s="357">
        <f>$R107/(1+($V107*(('Traffic Data'!U26*$T107*$U107)/(($I107/2)*$S107))^$W107))</f>
        <v>55.273258246070228</v>
      </c>
      <c r="AJ107" s="357">
        <f>$R107/(1+($V107*(('Traffic Data'!V26*$T107*$U107)/(($I107/2)*$S107))^$W107))</f>
        <v>55.256720596808989</v>
      </c>
      <c r="AK107" s="357">
        <f>$R107/(1+($V107*(('Traffic Data'!W26*$T107*$U107)/(($I107/2)*$S107))^$W107))</f>
        <v>55.241066522952416</v>
      </c>
      <c r="AL107" s="357">
        <f>$R107/(1+($V107*(('Traffic Data'!X26*$T107*$U107)/(($I107/2)*$S107))^$W107))</f>
        <v>55.229478804071881</v>
      </c>
      <c r="AM107" s="357">
        <f>$R107/(1+($V107*(('Traffic Data'!Y26*$T107*$U107)/(($I107/2)*$S107))^$W107))</f>
        <v>55.215883045019773</v>
      </c>
      <c r="AN107" s="357">
        <f>$R107/(1+($V107*(('Traffic Data'!Z26*$T107*$U107)/(($I107/2)*$S107))^$W107))</f>
        <v>55.199977176523241</v>
      </c>
      <c r="AO107" s="357">
        <f>$R107/(1+($V107*(('Traffic Data'!AA26*$T107*$U107)/(($I107/2)*$S107))^$W107))</f>
        <v>55.181409038767711</v>
      </c>
      <c r="AP107" s="357">
        <f>$R107/(1+($V107*(('Traffic Data'!AB26*$T107*$U107)/(($I107/2)*$S107))^$W107))</f>
        <v>55.159817048254801</v>
      </c>
      <c r="AQ107" s="357">
        <f>$R107/(1+($V107*(('Traffic Data'!AC26*$T107*$U107)/(($I107/2)*$S107))^$W107))</f>
        <v>55.134746029102963</v>
      </c>
      <c r="AR107" s="357">
        <f>$R107/(1+($V107*(('Traffic Data'!AD26*$T107*$U107)/(($I107/2)*$S107))^$W107))</f>
        <v>55.105744242512358</v>
      </c>
      <c r="AS107" s="357">
        <f>$R107/(1+($V107*(('Traffic Data'!AE26*$T107*$U107)/(($I107/2)*$S107))^$W107))</f>
        <v>55.072261830409062</v>
      </c>
      <c r="AT107" s="357">
        <f>$R107/(1+($V107*(('Traffic Data'!AF26*$T107*$U107)/(($I107/2)*$S107))^$W107))</f>
        <v>55.03367779533442</v>
      </c>
      <c r="AU107" s="357">
        <f>$R107/(1+($V107*(('Traffic Data'!AG26*$T107*$U107)/(($I107/2)*$S107))^$W107))</f>
        <v>54.989373826227258</v>
      </c>
      <c r="AV107" s="357">
        <f>$R107/(1+($V107*(('Traffic Data'!AH26*$T107*$U107)/(($I107/2)*$S107))^$W107))</f>
        <v>54.938595245848475</v>
      </c>
      <c r="AW107" s="358">
        <f>$R107/(1+($V107*(('Traffic Data'!AI26*$T107*$U107)/(($I107/2)*$S107))^$W107))</f>
        <v>54.880495856513917</v>
      </c>
      <c r="AX107" s="378">
        <f>$R107/(1+($V107*(('Traffic Data'!J26*(0.67/14))/(($I107)*$S107))^$W107))</f>
        <v>55.299999999286285</v>
      </c>
      <c r="AY107" s="378">
        <f>$R107/(1+($V107*(('Traffic Data'!J26*(0.67/14))/(($I107)*$S107))^$W107))</f>
        <v>55.299999999286285</v>
      </c>
      <c r="AZ107" s="378">
        <f>$R107/(1+($V107*(('Traffic Data'!K26*(0.67/14))/(($I107)*$S107))^$W107))</f>
        <v>55.299999998998686</v>
      </c>
      <c r="BA107" s="378">
        <f>$R107/(1+($V107*(('Traffic Data'!L26*(0.67/14))/(($I107)*$S107))^$W107))</f>
        <v>55.299999998558043</v>
      </c>
      <c r="BB107" s="378">
        <f>$R107/(1+($V107*(('Traffic Data'!M26*(0.67/14))/(($I107)*$S107))^$W107))</f>
        <v>55.299999997354604</v>
      </c>
      <c r="BC107" s="378">
        <f>$R107/(1+($V107*(('Traffic Data'!N26*(0.67/14))/(($I107)*$S107))^$W107))</f>
        <v>55.29999999531092</v>
      </c>
      <c r="BD107" s="378">
        <f>$R107/(1+($V107*(('Traffic Data'!O26*(0.67/14))/(($I107)*$S107))^$W107))</f>
        <v>55.299999991943551</v>
      </c>
      <c r="BE107" s="378">
        <f>$R107/(1+($V107*(('Traffic Data'!P26*(0.67/14))/(($I107)*$S107))^$W107))</f>
        <v>55.29999998653912</v>
      </c>
      <c r="BF107" s="378">
        <f>$R107/(1+($V107*(('Traffic Data'!Q26*(0.67/14))/(($I107)*$S107))^$W107))</f>
        <v>55.299999978055403</v>
      </c>
      <c r="BG107" s="378">
        <f>$R107/(1+($V107*(('Traffic Data'!R26*(0.67/14))/(($I107)*$S107))^$W107))</f>
        <v>55.299999960166851</v>
      </c>
      <c r="BH107" s="378">
        <f>$R107/(1+($V107*(('Traffic Data'!S26*(0.67/14))/(($I107)*$S107))^$W107))</f>
        <v>55.299999930060473</v>
      </c>
      <c r="BI107" s="378">
        <f>$R107/(1+($V107*(('Traffic Data'!T26*(0.67/14))/(($I107)*$S107))^$W107))</f>
        <v>55.299999880875909</v>
      </c>
      <c r="BJ107" s="378">
        <f>$R107/(1+($V107*(('Traffic Data'!U26*(0.67/14))/(($I107)*$S107))^$W107))</f>
        <v>55.299999802475199</v>
      </c>
      <c r="BK107" s="378">
        <f>$R107/(1+($V107*(('Traffic Data'!V26*(0.67/14))/(($I107)*$S107))^$W107))</f>
        <v>55.299999680226129</v>
      </c>
      <c r="BL107" s="378">
        <f>$R107/(1+($V107*(('Traffic Data'!W26*(0.67/14))/(($I107)*$S107))^$W107))</f>
        <v>55.299999564441158</v>
      </c>
      <c r="BM107" s="378">
        <f>$R107/(1+($V107*(('Traffic Data'!X26*(0.67/14))/(($I107)*$S107))^$W107))</f>
        <v>55.299999478690616</v>
      </c>
      <c r="BN107" s="378">
        <f>$R107/(1+($V107*(('Traffic Data'!Y26*(0.67/14))/(($I107)*$S107))^$W107))</f>
        <v>55.299999378034443</v>
      </c>
      <c r="BO107" s="378">
        <f>$R107/(1+($V107*(('Traffic Data'!Z26*(0.67/14))/(($I107)*$S107))^$W107))</f>
        <v>55.299999260212431</v>
      </c>
      <c r="BP107" s="378">
        <f>$R107/(1+($V107*(('Traffic Data'!AA26*(0.67/14))/(($I107)*$S107))^$W107))</f>
        <v>55.29999912258387</v>
      </c>
      <c r="BQ107" s="378">
        <f>$R107/(1+($V107*(('Traffic Data'!AB26*(0.67/14))/(($I107)*$S107))^$W107))</f>
        <v>55.299998962425725</v>
      </c>
      <c r="BR107" s="378">
        <f>$R107/(1+($V107*(('Traffic Data'!AC26*(0.67/14))/(($I107)*$S107))^$W107))</f>
        <v>55.299998776304577</v>
      </c>
      <c r="BS107" s="378">
        <f>$R107/(1+($V107*(('Traffic Data'!AD26*(0.67/14))/(($I107)*$S107))^$W107))</f>
        <v>55.299998560791103</v>
      </c>
      <c r="BT107" s="378">
        <f>$R107/(1+($V107*(('Traffic Data'!AE26*(0.67/14))/(($I107)*$S107))^$W107))</f>
        <v>55.299998311699625</v>
      </c>
      <c r="BU107" s="378">
        <f>$R107/(1+($V107*(('Traffic Data'!AF26*(0.67/14))/(($I107)*$S107))^$W107))</f>
        <v>55.299998024278878</v>
      </c>
      <c r="BV107" s="378">
        <f>$R107/(1+($V107*(('Traffic Data'!AG26*(0.67/14))/(($I107)*$S107))^$W107))</f>
        <v>55.299997693751649</v>
      </c>
      <c r="BW107" s="620">
        <f>$R107/(1+($V107*(('Traffic Data'!AH26*(0.67/14))/(($I107)*$S107))^$W107))</f>
        <v>55.299997314265312</v>
      </c>
    </row>
    <row r="108" spans="1:75" ht="21.9" customHeight="1" x14ac:dyDescent="0.25">
      <c r="A108" s="617"/>
      <c r="B108" s="549" t="s">
        <v>335</v>
      </c>
      <c r="C108" s="1407" t="s">
        <v>315</v>
      </c>
      <c r="D108" s="549" t="s">
        <v>316</v>
      </c>
      <c r="E108" s="549" t="s">
        <v>276</v>
      </c>
      <c r="F108" s="575">
        <f>'Traffic Data'!CM27</f>
        <v>0.81967213114754101</v>
      </c>
      <c r="G108" s="575">
        <f>'Traffic Data'!CN27</f>
        <v>0.9</v>
      </c>
      <c r="H108" s="576">
        <f>'Traffic Data'!G27</f>
        <v>70</v>
      </c>
      <c r="I108" s="576">
        <v>4</v>
      </c>
      <c r="J108" s="576">
        <f>H108+5</f>
        <v>75</v>
      </c>
      <c r="K108" s="576">
        <v>0</v>
      </c>
      <c r="L108" s="576">
        <v>0</v>
      </c>
      <c r="M108" s="576">
        <v>0</v>
      </c>
      <c r="N108" s="576">
        <v>0</v>
      </c>
      <c r="O108" s="576">
        <v>0</v>
      </c>
      <c r="P108" s="576">
        <v>0</v>
      </c>
      <c r="Q108" s="576">
        <f>3.22*(1)^(0.84)</f>
        <v>3.22</v>
      </c>
      <c r="R108" s="277">
        <f>J108-K108-L108-M108-N108-O108-P108-Q108</f>
        <v>71.78</v>
      </c>
      <c r="S108" s="577">
        <f>L$19*F108*G108</f>
        <v>1770.4918032786886</v>
      </c>
      <c r="T108" s="578">
        <v>0.12</v>
      </c>
      <c r="U108" s="579">
        <v>0.65</v>
      </c>
      <c r="V108" s="580">
        <f t="shared" si="7"/>
        <v>0.2</v>
      </c>
      <c r="W108" s="581">
        <v>10</v>
      </c>
      <c r="X108" s="384">
        <f>$R108/(1+($V108*(('Traffic Data'!J27*$T108*$U108)/(($I108/2)*$S108))^$W108))</f>
        <v>71.779575441467983</v>
      </c>
      <c r="Y108" s="373">
        <f>$R108/(1+($V108*(('Traffic Data'!K27*$T108*$U108)/(($I108/2)*$S108))^$W108))</f>
        <v>71.779337692497165</v>
      </c>
      <c r="Z108" s="373">
        <f>$R108/(1+($V108*(('Traffic Data'!L27*$T108*$U108)/(($I108/2)*$S108))^$W108))</f>
        <v>71.778799526082096</v>
      </c>
      <c r="AA108" s="373">
        <f>$R108/(1+($V108*(('Traffic Data'!M27*$T108*$U108)/(($I108/2)*$S108))^$W108))</f>
        <v>71.777287455159794</v>
      </c>
      <c r="AB108" s="373">
        <f>$R108/(1+($V108*(('Traffic Data'!N27*$T108*$U108)/(($I108/2)*$S108))^$W108))</f>
        <v>71.774234871140152</v>
      </c>
      <c r="AC108" s="373">
        <f>$R108/(1+($V108*(('Traffic Data'!O27*$T108*$U108)/(($I108/2)*$S108))^$W108))</f>
        <v>71.768378651101727</v>
      </c>
      <c r="AD108" s="373">
        <f>$R108/(1+($V108*(('Traffic Data'!P27*$T108*$U108)/(($I108/2)*$S108))^$W108))</f>
        <v>71.757632458033441</v>
      </c>
      <c r="AE108" s="373">
        <f>$R108/(1+($V108*(('Traffic Data'!Q27*$T108*$U108)/(($I108/2)*$S108))^$W108))</f>
        <v>71.73863521477162</v>
      </c>
      <c r="AF108" s="373">
        <f>$R108/(1+($V108*(('Traffic Data'!R27*$T108*$U108)/(($I108/2)*$S108))^$W108))</f>
        <v>71.706685699239998</v>
      </c>
      <c r="AG108" s="373">
        <f>$R108/(1+($V108*(('Traffic Data'!S27*$T108*$U108)/(($I108/2)*$S108))^$W108))</f>
        <v>71.65405292978302</v>
      </c>
      <c r="AH108" s="373">
        <f>$R108/(1+($V108*(('Traffic Data'!T27*$T108*$U108)/(($I108/2)*$S108))^$W108))</f>
        <v>71.56969327224563</v>
      </c>
      <c r="AI108" s="373">
        <f>$R108/(1+($V108*(('Traffic Data'!U27*$T108*$U108)/(($I108/2)*$S108))^$W108))</f>
        <v>71.437769825234398</v>
      </c>
      <c r="AJ108" s="373">
        <f>$R108/(1+($V108*(('Traffic Data'!V27*$T108*$U108)/(($I108/2)*$S108))^$W108))</f>
        <v>71.235987315589725</v>
      </c>
      <c r="AK108" s="373">
        <f>$R108/(1+($V108*(('Traffic Data'!W27*$T108*$U108)/(($I108/2)*$S108))^$W108))</f>
        <v>71.045375357220195</v>
      </c>
      <c r="AL108" s="373">
        <f>$R108/(1+($V108*(('Traffic Data'!X27*$T108*$U108)/(($I108/2)*$S108))^$W108))</f>
        <v>70.872985264960491</v>
      </c>
      <c r="AM108" s="373">
        <f>$R108/(1+($V108*(('Traffic Data'!Y27*$T108*$U108)/(($I108/2)*$S108))^$W108))</f>
        <v>70.665673065412804</v>
      </c>
      <c r="AN108" s="373">
        <f>$R108/(1+($V108*(('Traffic Data'!Z27*$T108*$U108)/(($I108/2)*$S108))^$W108))</f>
        <v>70.417609586805895</v>
      </c>
      <c r="AO108" s="373">
        <f>$R108/(1+($V108*(('Traffic Data'!AA27*$T108*$U108)/(($I108/2)*$S108))^$W108))</f>
        <v>70.122164682268675</v>
      </c>
      <c r="AP108" s="373">
        <f>$R108/(1+($V108*(('Traffic Data'!AB27*$T108*$U108)/(($I108/2)*$S108))^$W108))</f>
        <v>69.772318785628528</v>
      </c>
      <c r="AQ108" s="373">
        <f>$R108/(1+($V108*(('Traffic Data'!AC27*$T108*$U108)/(($I108/2)*$S108))^$W108))</f>
        <v>69.359918218350188</v>
      </c>
      <c r="AR108" s="373">
        <f>$R108/(1+($V108*(('Traffic Data'!AD27*$T108*$U108)/(($I108/2)*$S108))^$W108))</f>
        <v>68.876695017192887</v>
      </c>
      <c r="AS108" s="373">
        <f>$R108/(1+($V108*(('Traffic Data'!AE27*$T108*$U108)/(($I108/2)*$S108))^$W108))</f>
        <v>68.313413872388836</v>
      </c>
      <c r="AT108" s="373">
        <f>$R108/(1+($V108*(('Traffic Data'!AF27*$T108*$U108)/(($I108/2)*$S108))^$W108))</f>
        <v>67.660307442602388</v>
      </c>
      <c r="AU108" s="373">
        <f>$R108/(1+($V108*(('Traffic Data'!AG27*$T108*$U108)/(($I108/2)*$S108))^$W108))</f>
        <v>66.908064856115161</v>
      </c>
      <c r="AV108" s="373">
        <f>$R108/(1+($V108*(('Traffic Data'!AH27*$T108*$U108)/(($I108/2)*$S108))^$W108))</f>
        <v>66.046746067464582</v>
      </c>
      <c r="AW108" s="362">
        <f>$R108/(1+($V108*(('Traffic Data'!AI27*$T108*$U108)/(($I108/2)*$S108))^$W108))</f>
        <v>65.066609539338799</v>
      </c>
      <c r="AX108" s="383">
        <f>$R108/(1+($V108*(('Traffic Data'!J27*(0.67/14))/(($I108)*$S108))^$W108))</f>
        <v>71.779999996865541</v>
      </c>
      <c r="AY108" s="361">
        <f>$R108/(1+($V108*(('Traffic Data'!J27*(0.67/14))/(($I108)*$S108))^$W108))</f>
        <v>71.779999996865541</v>
      </c>
      <c r="AZ108" s="361">
        <f>$R108/(1+($V108*(('Traffic Data'!K27*(0.67/14))/(($I108)*$S108))^$W108))</f>
        <v>71.779999995110273</v>
      </c>
      <c r="BA108" s="361">
        <f>$R108/(1+($V108*(('Traffic Data'!L27*(0.67/14))/(($I108)*$S108))^$W108))</f>
        <v>71.779999991136975</v>
      </c>
      <c r="BB108" s="361">
        <f>$R108/(1+($V108*(('Traffic Data'!M27*(0.67/14))/(($I108)*$S108))^$W108))</f>
        <v>71.779999979973041</v>
      </c>
      <c r="BC108" s="361">
        <f>$R108/(1+($V108*(('Traffic Data'!N27*(0.67/14))/(($I108)*$S108))^$W108))</f>
        <v>71.779999957433731</v>
      </c>
      <c r="BD108" s="361">
        <f>$R108/(1+($V108*(('Traffic Data'!O27*(0.67/14))/(($I108)*$S108))^$W108))</f>
        <v>71.779999914187897</v>
      </c>
      <c r="BE108" s="361">
        <f>$R108/(1+($V108*(('Traffic Data'!P27*(0.67/14))/(($I108)*$S108))^$W108))</f>
        <v>71.779999834813211</v>
      </c>
      <c r="BF108" s="361">
        <f>$R108/(1+($V108*(('Traffic Data'!Q27*(0.67/14))/(($I108)*$S108))^$W108))</f>
        <v>71.77999969443556</v>
      </c>
      <c r="BG108" s="361">
        <f>$R108/(1+($V108*(('Traffic Data'!R27*(0.67/14))/(($I108)*$S108))^$W108))</f>
        <v>71.779999458181052</v>
      </c>
      <c r="BH108" s="361">
        <f>$R108/(1+($V108*(('Traffic Data'!S27*(0.67/14))/(($I108)*$S108))^$W108))</f>
        <v>71.779999068522343</v>
      </c>
      <c r="BI108" s="361">
        <f>$R108/(1+($V108*(('Traffic Data'!T27*(0.67/14))/(($I108)*$S108))^$W108))</f>
        <v>71.779998442782983</v>
      </c>
      <c r="BJ108" s="361">
        <f>$R108/(1+($V108*(('Traffic Data'!U27*(0.67/14))/(($I108)*$S108))^$W108))</f>
        <v>71.779997461275727</v>
      </c>
      <c r="BK108" s="361">
        <f>$R108/(1+($V108*(('Traffic Data'!V27*(0.67/14))/(($I108)*$S108))^$W108))</f>
        <v>71.779995952986113</v>
      </c>
      <c r="BL108" s="361">
        <f>$R108/(1+($V108*(('Traffic Data'!W27*(0.67/14))/(($I108)*$S108))^$W108))</f>
        <v>71.779994520325175</v>
      </c>
      <c r="BM108" s="361">
        <f>$R108/(1+($V108*(('Traffic Data'!X27*(0.67/14))/(($I108)*$S108))^$W108))</f>
        <v>71.779993217985478</v>
      </c>
      <c r="BN108" s="361">
        <f>$R108/(1+($V108*(('Traffic Data'!Y27*(0.67/14))/(($I108)*$S108))^$W108))</f>
        <v>71.779991643407612</v>
      </c>
      <c r="BO108" s="361">
        <f>$R108/(1+($V108*(('Traffic Data'!Z27*(0.67/14))/(($I108)*$S108))^$W108))</f>
        <v>71.779989747131694</v>
      </c>
      <c r="BP108" s="361">
        <f>$R108/(1+($V108*(('Traffic Data'!AA27*(0.67/14))/(($I108)*$S108))^$W108))</f>
        <v>71.779987471152083</v>
      </c>
      <c r="BQ108" s="361">
        <f>$R108/(1+($V108*(('Traffic Data'!AB27*(0.67/14))/(($I108)*$S108))^$W108))</f>
        <v>71.779984751165628</v>
      </c>
      <c r="BR108" s="361">
        <f>$R108/(1+($V108*(('Traffic Data'!AC27*(0.67/14))/(($I108)*$S108))^$W108))</f>
        <v>71.779981509591806</v>
      </c>
      <c r="BS108" s="361">
        <f>$R108/(1+($V108*(('Traffic Data'!AD27*(0.67/14))/(($I108)*$S108))^$W108))</f>
        <v>71.779977661944514</v>
      </c>
      <c r="BT108" s="361">
        <f>$R108/(1+($V108*(('Traffic Data'!AE27*(0.67/14))/(($I108)*$S108))^$W108))</f>
        <v>71.779973108131216</v>
      </c>
      <c r="BU108" s="361">
        <f>$R108/(1+($V108*(('Traffic Data'!AF27*(0.67/14))/(($I108)*$S108))^$W108))</f>
        <v>71.779967733208309</v>
      </c>
      <c r="BV108" s="361">
        <f>$R108/(1+($V108*(('Traffic Data'!AG27*(0.67/14))/(($I108)*$S108))^$W108))</f>
        <v>71.779961412385049</v>
      </c>
      <c r="BW108" s="625">
        <f>$R108/(1+($V108*(('Traffic Data'!AH27*(0.67/14))/(($I108)*$S108))^$W108))</f>
        <v>71.77995399822241</v>
      </c>
    </row>
    <row r="109" spans="1:75" ht="21.9" customHeight="1" x14ac:dyDescent="0.25">
      <c r="A109" s="617"/>
      <c r="B109" s="283"/>
      <c r="C109" s="1369"/>
      <c r="D109" s="284" t="s">
        <v>276</v>
      </c>
      <c r="E109" s="284" t="s">
        <v>274</v>
      </c>
      <c r="F109" s="582">
        <f>'Traffic Data'!CM27</f>
        <v>0.81967213114754101</v>
      </c>
      <c r="G109" s="582">
        <f>'Traffic Data'!CN27</f>
        <v>0.9</v>
      </c>
      <c r="H109" s="583">
        <f>'Traffic Data'!G28</f>
        <v>70</v>
      </c>
      <c r="I109" s="583">
        <v>4</v>
      </c>
      <c r="J109" s="583">
        <f t="shared" ref="J109:J110" si="8">H109+5</f>
        <v>75</v>
      </c>
      <c r="K109" s="583">
        <v>0</v>
      </c>
      <c r="L109" s="583">
        <v>0</v>
      </c>
      <c r="M109" s="583">
        <v>0</v>
      </c>
      <c r="N109" s="583">
        <v>0</v>
      </c>
      <c r="O109" s="583">
        <v>0</v>
      </c>
      <c r="P109" s="583">
        <v>0</v>
      </c>
      <c r="Q109" s="583">
        <f>3.22*(1)^(0.84)</f>
        <v>3.22</v>
      </c>
      <c r="R109" s="285">
        <f t="shared" si="4"/>
        <v>71.78</v>
      </c>
      <c r="S109" s="584">
        <f>L$19*F109*G109</f>
        <v>1770.4918032786886</v>
      </c>
      <c r="T109" s="585">
        <v>0.12</v>
      </c>
      <c r="U109" s="586">
        <v>0.65</v>
      </c>
      <c r="V109" s="587">
        <f t="shared" si="7"/>
        <v>0.2</v>
      </c>
      <c r="W109" s="588">
        <v>10</v>
      </c>
      <c r="X109" s="384">
        <f>$R109/(1+($V109*(('Traffic Data'!J28*$T109*$U109)/(($I109/2)*$S109))^$W109))</f>
        <v>71.779922361429513</v>
      </c>
      <c r="Y109" s="373">
        <f>$R109/(1+($V109*(('Traffic Data'!K28*$T109*$U109)/(($I109/2)*$S109))^$W109))</f>
        <v>71.779870140159986</v>
      </c>
      <c r="Z109" s="373">
        <f>$R109/(1+($V109*(('Traffic Data'!L28*$T109*$U109)/(($I109/2)*$S109))^$W109))</f>
        <v>71.779731696770284</v>
      </c>
      <c r="AA109" s="373">
        <f>$R109/(1+($V109*(('Traffic Data'!M28*$T109*$U109)/(($I109/2)*$S109))^$W109))</f>
        <v>71.779198548195836</v>
      </c>
      <c r="AB109" s="373">
        <f>$R109/(1+($V109*(('Traffic Data'!N28*$T109*$U109)/(($I109/2)*$S109))^$W109))</f>
        <v>71.777850226458511</v>
      </c>
      <c r="AC109" s="373">
        <f>$R109/(1+($V109*(('Traffic Data'!O28*$T109*$U109)/(($I109/2)*$S109))^$W109))</f>
        <v>71.774723271101763</v>
      </c>
      <c r="AD109" s="373">
        <f>$R109/(1+($V109*(('Traffic Data'!P28*$T109*$U109)/(($I109/2)*$S109))^$W109))</f>
        <v>71.767976642938976</v>
      </c>
      <c r="AE109" s="373">
        <f>$R109/(1+($V109*(('Traffic Data'!Q28*$T109*$U109)/(($I109/2)*$S109))^$W109))</f>
        <v>71.754254599892576</v>
      </c>
      <c r="AF109" s="373">
        <f>$R109/(1+($V109*(('Traffic Data'!R28*$T109*$U109)/(($I109/2)*$S109))^$W109))</f>
        <v>71.727457621211542</v>
      </c>
      <c r="AG109" s="373">
        <f>$R109/(1+($V109*(('Traffic Data'!S28*$T109*$U109)/(($I109/2)*$S109))^$W109))</f>
        <v>71.677760793362395</v>
      </c>
      <c r="AH109" s="373">
        <f>$R109/(1+($V109*(('Traffic Data'!T28*$T109*$U109)/(($I109/2)*$S109))^$W109))</f>
        <v>71.58931578090673</v>
      </c>
      <c r="AI109" s="373">
        <f>$R109/(1+($V109*(('Traffic Data'!U28*$T109*$U109)/(($I109/2)*$S109))^$W109))</f>
        <v>71.437486417586626</v>
      </c>
      <c r="AJ109" s="373">
        <f>$R109/(1+($V109*(('Traffic Data'!V28*$T109*$U109)/(($I109/2)*$S109))^$W109))</f>
        <v>71.185078892135678</v>
      </c>
      <c r="AK109" s="373">
        <f>$R109/(1+($V109*(('Traffic Data'!W28*$T109*$U109)/(($I109/2)*$S109))^$W109))</f>
        <v>70.960523600555177</v>
      </c>
      <c r="AL109" s="373">
        <f>$R109/(1+($V109*(('Traffic Data'!X28*$T109*$U109)/(($I109/2)*$S109))^$W109))</f>
        <v>70.775074067968333</v>
      </c>
      <c r="AM109" s="373">
        <f>$R109/(1+($V109*(('Traffic Data'!Y28*$T109*$U109)/(($I109/2)*$S109))^$W109))</f>
        <v>70.553438386344823</v>
      </c>
      <c r="AN109" s="373">
        <f>$R109/(1+($V109*(('Traffic Data'!Z28*$T109*$U109)/(($I109/2)*$S109))^$W109))</f>
        <v>70.289827294499659</v>
      </c>
      <c r="AO109" s="373">
        <f>$R109/(1+($V109*(('Traffic Data'!AA28*$T109*$U109)/(($I109/2)*$S109))^$W109))</f>
        <v>69.977619125023239</v>
      </c>
      <c r="AP109" s="373">
        <f>$R109/(1+($V109*(('Traffic Data'!AB28*$T109*$U109)/(($I109/2)*$S109))^$W109))</f>
        <v>69.610086758821055</v>
      </c>
      <c r="AQ109" s="373">
        <f>$R109/(1+($V109*(('Traffic Data'!AC28*$T109*$U109)/(($I109/2)*$S109))^$W109))</f>
        <v>69.179115784248154</v>
      </c>
      <c r="AR109" s="373">
        <f>$R109/(1+($V109*(('Traffic Data'!AD28*$T109*$U109)/(($I109/2)*$S109))^$W109))</f>
        <v>68.676930328298084</v>
      </c>
      <c r="AS109" s="373">
        <f>$R109/(1+($V109*(('Traffic Data'!AE28*$T109*$U109)/(($I109/2)*$S109))^$W109))</f>
        <v>68.09458216520747</v>
      </c>
      <c r="AT109" s="373">
        <f>$R109/(1+($V109*(('Traffic Data'!AF28*$T109*$U109)/(($I109/2)*$S109))^$W109))</f>
        <v>67.422613233705889</v>
      </c>
      <c r="AU109" s="373">
        <f>$R109/(1+($V109*(('Traffic Data'!AG28*$T109*$U109)/(($I109/2)*$S109))^$W109))</f>
        <v>66.652582214756762</v>
      </c>
      <c r="AV109" s="373">
        <f>$R109/(1+($V109*(('Traffic Data'!AH28*$T109*$U109)/(($I109/2)*$S109))^$W109))</f>
        <v>65.775061244386137</v>
      </c>
      <c r="AW109" s="363">
        <f>$R109/(1+($V109*(('Traffic Data'!AI28*$T109*$U109)/(($I109/2)*$S109))^$W109))</f>
        <v>64.780806702343909</v>
      </c>
      <c r="AX109" s="384">
        <f>$R109/(1+($V109*(('Traffic Data'!J28*(0.67/14))/(($I109)*$S109))^$W109))</f>
        <v>71.779999999426806</v>
      </c>
      <c r="AY109" s="373">
        <f>$R109/(1+($V109*(('Traffic Data'!J28*(0.67/14))/(($I109)*$S109))^$W109))</f>
        <v>71.779999999426806</v>
      </c>
      <c r="AZ109" s="373">
        <f>$R109/(1+($V109*(('Traffic Data'!K28*(0.67/14))/(($I109)*$S109))^$W109))</f>
        <v>71.77999999904128</v>
      </c>
      <c r="BA109" s="373">
        <f>$R109/(1+($V109*(('Traffic Data'!L28*(0.67/14))/(($I109)*$S109))^$W109))</f>
        <v>71.779999998019164</v>
      </c>
      <c r="BB109" s="373">
        <f>$R109/(1+($V109*(('Traffic Data'!M28*(0.67/14))/(($I109)*$S109))^$W109))</f>
        <v>71.779999994082971</v>
      </c>
      <c r="BC109" s="373">
        <f>$R109/(1+($V109*(('Traffic Data'!N28*(0.67/14))/(($I109)*$S109))^$W109))</f>
        <v>71.779999984128153</v>
      </c>
      <c r="BD109" s="373">
        <f>$R109/(1+($V109*(('Traffic Data'!O28*(0.67/14))/(($I109)*$S109))^$W109))</f>
        <v>71.779999961040048</v>
      </c>
      <c r="BE109" s="373">
        <f>$R109/(1+($V109*(('Traffic Data'!P28*(0.67/14))/(($I109)*$S109))^$W109))</f>
        <v>71.779999911218979</v>
      </c>
      <c r="BF109" s="373">
        <f>$R109/(1+($V109*(('Traffic Data'!Q28*(0.67/14))/(($I109)*$S109))^$W109))</f>
        <v>71.77999980985841</v>
      </c>
      <c r="BG109" s="373">
        <f>$R109/(1+($V109*(('Traffic Data'!R28*(0.67/14))/(($I109)*$S109))^$W109))</f>
        <v>71.779999611805451</v>
      </c>
      <c r="BH109" s="373">
        <f>$R109/(1+($V109*(('Traffic Data'!S28*(0.67/14))/(($I109)*$S109))^$W109))</f>
        <v>71.779999244110741</v>
      </c>
      <c r="BI109" s="373">
        <f>$R109/(1+($V109*(('Traffic Data'!T28*(0.67/14))/(($I109)*$S109))^$W109))</f>
        <v>71.77999858846492</v>
      </c>
      <c r="BJ109" s="373">
        <f>$R109/(1+($V109*(('Traffic Data'!U28*(0.67/14))/(($I109)*$S109))^$W109))</f>
        <v>71.779997459163283</v>
      </c>
      <c r="BK109" s="373">
        <f>$R109/(1+($V109*(('Traffic Data'!V28*(0.67/14))/(($I109)*$S109))^$W109))</f>
        <v>71.779995571103598</v>
      </c>
      <c r="BL109" s="373">
        <f>$R109/(1+($V109*(('Traffic Data'!W28*(0.67/14))/(($I109)*$S109))^$W109))</f>
        <v>71.779993880094111</v>
      </c>
      <c r="BM109" s="373">
        <f>$R109/(1+($V109*(('Traffic Data'!X28*(0.67/14))/(($I109)*$S109))^$W109))</f>
        <v>71.779992475479744</v>
      </c>
      <c r="BN109" s="373">
        <f>$R109/(1+($V109*(('Traffic Data'!Y28*(0.67/14))/(($I109)*$S109))^$W109))</f>
        <v>71.779990787101838</v>
      </c>
      <c r="BO109" s="373">
        <f>$R109/(1+($V109*(('Traffic Data'!Z28*(0.67/14))/(($I109)*$S109))^$W109))</f>
        <v>71.779988765100271</v>
      </c>
      <c r="BP109" s="373">
        <f>$R109/(1+($V109*(('Traffic Data'!AA28*(0.67/14))/(($I109)*$S109))^$W109))</f>
        <v>71.779986350634417</v>
      </c>
      <c r="BQ109" s="373">
        <f>$R109/(1+($V109*(('Traffic Data'!AB28*(0.67/14))/(($I109)*$S109))^$W109))</f>
        <v>71.779983480563246</v>
      </c>
      <c r="BR109" s="373">
        <f>$R109/(1+($V109*(('Traffic Data'!AC28*(0.67/14))/(($I109)*$S109))^$W109))</f>
        <v>71.779980076252357</v>
      </c>
      <c r="BS109" s="373">
        <f>$R109/(1+($V109*(('Traffic Data'!AD28*(0.67/14))/(($I109)*$S109))^$W109))</f>
        <v>71.779976055506907</v>
      </c>
      <c r="BT109" s="373">
        <f>$R109/(1+($V109*(('Traffic Data'!AE28*(0.67/14))/(($I109)*$S109))^$W109))</f>
        <v>71.779971318679614</v>
      </c>
      <c r="BU109" s="373">
        <f>$R109/(1+($V109*(('Traffic Data'!AF28*(0.67/14))/(($I109)*$S109))^$W109))</f>
        <v>71.779965751191895</v>
      </c>
      <c r="BV109" s="373">
        <f>$R109/(1+($V109*(('Traffic Data'!AG28*(0.67/14))/(($I109)*$S109))^$W109))</f>
        <v>71.779959233200245</v>
      </c>
      <c r="BW109" s="626">
        <f>$R109/(1+($V109*(('Traffic Data'!AH28*(0.67/14))/(($I109)*$S109))^$W109))</f>
        <v>71.779951619297606</v>
      </c>
    </row>
    <row r="110" spans="1:75" ht="21.9" customHeight="1" x14ac:dyDescent="0.25">
      <c r="A110" s="617"/>
      <c r="B110" s="283"/>
      <c r="C110" s="1370"/>
      <c r="D110" s="297" t="s">
        <v>274</v>
      </c>
      <c r="E110" s="297" t="s">
        <v>317</v>
      </c>
      <c r="F110" s="589">
        <f>'Traffic Data'!CM27</f>
        <v>0.81967213114754101</v>
      </c>
      <c r="G110" s="589">
        <f>'Traffic Data'!CN27</f>
        <v>0.9</v>
      </c>
      <c r="H110" s="590">
        <f>'Traffic Data'!G29</f>
        <v>70</v>
      </c>
      <c r="I110" s="590">
        <v>4</v>
      </c>
      <c r="J110" s="590">
        <f t="shared" si="8"/>
        <v>75</v>
      </c>
      <c r="K110" s="590">
        <v>0</v>
      </c>
      <c r="L110" s="590">
        <v>0</v>
      </c>
      <c r="M110" s="590">
        <v>0</v>
      </c>
      <c r="N110" s="590">
        <v>0</v>
      </c>
      <c r="O110" s="590">
        <v>0</v>
      </c>
      <c r="P110" s="590">
        <v>0</v>
      </c>
      <c r="Q110" s="590">
        <f>3.22*(1)^(0.84)</f>
        <v>3.22</v>
      </c>
      <c r="R110" s="298">
        <f t="shared" si="4"/>
        <v>71.78</v>
      </c>
      <c r="S110" s="584">
        <f>L$19*F110*G110</f>
        <v>1770.4918032786886</v>
      </c>
      <c r="T110" s="585">
        <v>0.12</v>
      </c>
      <c r="U110" s="586">
        <v>0.65</v>
      </c>
      <c r="V110" s="591">
        <f t="shared" si="7"/>
        <v>0.2</v>
      </c>
      <c r="W110" s="588">
        <v>10</v>
      </c>
      <c r="X110" s="384">
        <f>$R110/(1+($V110*(('Traffic Data'!J29*$T110*$U110)/(($I110/2)*$S110))^$W110))</f>
        <v>71.77997609148342</v>
      </c>
      <c r="Y110" s="373">
        <f>$R110/(1+($V110*(('Traffic Data'!K29*$T110*$U110)/(($I110/2)*$S110))^$W110))</f>
        <v>71.779964006640029</v>
      </c>
      <c r="Z110" s="373">
        <f>$R110/(1+($V110*(('Traffic Data'!L29*$T110*$U110)/(($I110/2)*$S110))^$W110))</f>
        <v>71.779941587120831</v>
      </c>
      <c r="AA110" s="373">
        <f>$R110/(1+($V110*(('Traffic Data'!M29*$T110*$U110)/(($I110/2)*$S110))^$W110))</f>
        <v>71.779891746331302</v>
      </c>
      <c r="AB110" s="373">
        <f>$R110/(1+($V110*(('Traffic Data'!N29*$T110*$U110)/(($I110/2)*$S110))^$W110))</f>
        <v>71.779806406539308</v>
      </c>
      <c r="AC110" s="373">
        <f>$R110/(1+($V110*(('Traffic Data'!O29*$T110*$U110)/(($I110/2)*$S110))^$W110))</f>
        <v>71.779664695929995</v>
      </c>
      <c r="AD110" s="373">
        <f>$R110/(1+($V110*(('Traffic Data'!P29*$T110*$U110)/(($I110/2)*$S110))^$W110))</f>
        <v>71.779435699921265</v>
      </c>
      <c r="AE110" s="373">
        <f>$R110/(1+($V110*(('Traffic Data'!Q29*$T110*$U110)/(($I110/2)*$S110))^$W110))</f>
        <v>71.779074144952205</v>
      </c>
      <c r="AF110" s="373">
        <f>$R110/(1+($V110*(('Traffic Data'!R29*$T110*$U110)/(($I110/2)*$S110))^$W110))</f>
        <v>71.778537161168515</v>
      </c>
      <c r="AG110" s="373">
        <f>$R110/(1+($V110*(('Traffic Data'!S29*$T110*$U110)/(($I110/2)*$S110))^$W110))</f>
        <v>71.777734175406351</v>
      </c>
      <c r="AH110" s="373">
        <f>$R110/(1+($V110*(('Traffic Data'!T29*$T110*$U110)/(($I110/2)*$S110))^$W110))</f>
        <v>71.776554757167034</v>
      </c>
      <c r="AI110" s="373">
        <f>$R110/(1+($V110*(('Traffic Data'!U29*$T110*$U110)/(($I110/2)*$S110))^$W110))</f>
        <v>71.774849031981802</v>
      </c>
      <c r="AJ110" s="373">
        <f>$R110/(1+($V110*(('Traffic Data'!V29*$T110*$U110)/(($I110/2)*$S110))^$W110))</f>
        <v>71.772415612541664</v>
      </c>
      <c r="AK110" s="373">
        <f>$R110/(1+($V110*(('Traffic Data'!W29*$T110*$U110)/(($I110/2)*$S110))^$W110))</f>
        <v>71.770018300188895</v>
      </c>
      <c r="AL110" s="373">
        <f>$R110/(1+($V110*(('Traffic Data'!X29*$T110*$U110)/(($I110/2)*$S110))^$W110))</f>
        <v>71.767489898122705</v>
      </c>
      <c r="AM110" s="373">
        <f>$R110/(1+($V110*(('Traffic Data'!Y29*$T110*$U110)/(($I110/2)*$S110))^$W110))</f>
        <v>71.764399160622403</v>
      </c>
      <c r="AN110" s="373">
        <f>$R110/(1+($V110*(('Traffic Data'!Z29*$T110*$U110)/(($I110/2)*$S110))^$W110))</f>
        <v>71.760637617205063</v>
      </c>
      <c r="AO110" s="373">
        <f>$R110/(1+($V110*(('Traffic Data'!AA29*$T110*$U110)/(($I110/2)*$S110))^$W110))</f>
        <v>71.756076952093565</v>
      </c>
      <c r="AP110" s="373">
        <f>$R110/(1+($V110*(('Traffic Data'!AB29*$T110*$U110)/(($I110/2)*$S110))^$W110))</f>
        <v>71.750574141488244</v>
      </c>
      <c r="AQ110" s="373">
        <f>$R110/(1+($V110*(('Traffic Data'!AC29*$T110*$U110)/(($I110/2)*$S110))^$W110))</f>
        <v>71.743955026283516</v>
      </c>
      <c r="AR110" s="373">
        <f>$R110/(1+($V110*(('Traffic Data'!AD29*$T110*$U110)/(($I110/2)*$S110))^$W110))</f>
        <v>71.736029202085291</v>
      </c>
      <c r="AS110" s="373">
        <f>$R110/(1+($V110*(('Traffic Data'!AE29*$T110*$U110)/(($I110/2)*$S110))^$W110))</f>
        <v>71.726569339588096</v>
      </c>
      <c r="AT110" s="373">
        <f>$R110/(1+($V110*(('Traffic Data'!AF29*$T110*$U110)/(($I110/2)*$S110))^$W110))</f>
        <v>71.715312708256533</v>
      </c>
      <c r="AU110" s="373">
        <f>$R110/(1+($V110*(('Traffic Data'!AG29*$T110*$U110)/(($I110/2)*$S110))^$W110))</f>
        <v>71.70197345015616</v>
      </c>
      <c r="AV110" s="373">
        <f>$R110/(1+($V110*(('Traffic Data'!AH29*$T110*$U110)/(($I110/2)*$S110))^$W110))</f>
        <v>71.686211478832135</v>
      </c>
      <c r="AW110" s="363">
        <f>$R110/(1+($V110*(('Traffic Data'!AI29*$T110*$U110)/(($I110/2)*$S110))^$W110))</f>
        <v>71.667636866876236</v>
      </c>
      <c r="AX110" s="384">
        <f>$R110/(1+($V110*(('Traffic Data'!J29*(0.67/14))/(($I110)*$S110))^$W110))</f>
        <v>71.779999999823488</v>
      </c>
      <c r="AY110" s="373">
        <f>$R110/(1+($V110*(('Traffic Data'!J29*(0.67/14))/(($I110)*$S110))^$W110))</f>
        <v>71.779999999823488</v>
      </c>
      <c r="AZ110" s="373">
        <f>$R110/(1+($V110*(('Traffic Data'!K29*(0.67/14))/(($I110)*$S110))^$W110))</f>
        <v>71.779999999734272</v>
      </c>
      <c r="BA110" s="373">
        <f>$R110/(1+($V110*(('Traffic Data'!L29*(0.67/14))/(($I110)*$S110))^$W110))</f>
        <v>71.779999999568759</v>
      </c>
      <c r="BB110" s="373">
        <f>$R110/(1+($V110*(('Traffic Data'!M29*(0.67/14))/(($I110)*$S110))^$W110))</f>
        <v>71.779999999200783</v>
      </c>
      <c r="BC110" s="373">
        <f>$R110/(1+($V110*(('Traffic Data'!N29*(0.67/14))/(($I110)*$S110))^$W110))</f>
        <v>71.77999999857073</v>
      </c>
      <c r="BD110" s="373">
        <f>$R110/(1+($V110*(('Traffic Data'!O29*(0.67/14))/(($I110)*$S110))^$W110))</f>
        <v>71.779999997524499</v>
      </c>
      <c r="BE110" s="373">
        <f>$R110/(1+($V110*(('Traffic Data'!P29*(0.67/14))/(($I110)*$S110))^$W110))</f>
        <v>71.779999995833847</v>
      </c>
      <c r="BF110" s="373">
        <f>$R110/(1+($V110*(('Traffic Data'!Q29*(0.67/14))/(($I110)*$S110))^$W110))</f>
        <v>71.779999993164495</v>
      </c>
      <c r="BG110" s="373">
        <f>$R110/(1+($V110*(('Traffic Data'!R29*(0.67/14))/(($I110)*$S110))^$W110))</f>
        <v>71.779999989199908</v>
      </c>
      <c r="BH110" s="373">
        <f>$R110/(1+($V110*(('Traffic Data'!S29*(0.67/14))/(($I110)*$S110))^$W110))</f>
        <v>71.779999983271324</v>
      </c>
      <c r="BI110" s="373">
        <f>$R110/(1+($V110*(('Traffic Data'!T29*(0.67/14))/(($I110)*$S110))^$W110))</f>
        <v>71.779999974563211</v>
      </c>
      <c r="BJ110" s="373">
        <f>$R110/(1+($V110*(('Traffic Data'!U29*(0.67/14))/(($I110)*$S110))^$W110))</f>
        <v>71.779999961968642</v>
      </c>
      <c r="BK110" s="373">
        <f>$R110/(1+($V110*(('Traffic Data'!V29*(0.67/14))/(($I110)*$S110))^$W110))</f>
        <v>71.779999943999997</v>
      </c>
      <c r="BL110" s="373">
        <f>$R110/(1+($V110*(('Traffic Data'!W29*(0.67/14))/(($I110)*$S110))^$W110))</f>
        <v>71.779999926296767</v>
      </c>
      <c r="BM110" s="373">
        <f>$R110/(1+($V110*(('Traffic Data'!X29*(0.67/14))/(($I110)*$S110))^$W110))</f>
        <v>71.779999907624202</v>
      </c>
      <c r="BN110" s="373">
        <f>$R110/(1+($V110*(('Traffic Data'!Y29*(0.67/14))/(($I110)*$S110))^$W110))</f>
        <v>71.779999884796936</v>
      </c>
      <c r="BO110" s="373">
        <f>$R110/(1+($V110*(('Traffic Data'!Z29*(0.67/14))/(($I110)*$S110))^$W110))</f>
        <v>71.779999857012641</v>
      </c>
      <c r="BP110" s="373">
        <f>$R110/(1+($V110*(('Traffic Data'!AA29*(0.67/14))/(($I110)*$S110))^$W110))</f>
        <v>71.779999823321802</v>
      </c>
      <c r="BQ110" s="373">
        <f>$R110/(1+($V110*(('Traffic Data'!AB29*(0.67/14))/(($I110)*$S110))^$W110))</f>
        <v>71.779999782665399</v>
      </c>
      <c r="BR110" s="373">
        <f>$R110/(1+($V110*(('Traffic Data'!AC29*(0.67/14))/(($I110)*$S110))^$W110))</f>
        <v>71.779999733753115</v>
      </c>
      <c r="BS110" s="373">
        <f>$R110/(1+($V110*(('Traffic Data'!AD29*(0.67/14))/(($I110)*$S110))^$W110))</f>
        <v>71.779999675172974</v>
      </c>
      <c r="BT110" s="373">
        <f>$R110/(1+($V110*(('Traffic Data'!AE29*(0.67/14))/(($I110)*$S110))^$W110))</f>
        <v>71.779999605237748</v>
      </c>
      <c r="BU110" s="373">
        <f>$R110/(1+($V110*(('Traffic Data'!AF29*(0.67/14))/(($I110)*$S110))^$W110))</f>
        <v>71.779999521995265</v>
      </c>
      <c r="BV110" s="373">
        <f>$R110/(1+($V110*(('Traffic Data'!AG29*(0.67/14))/(($I110)*$S110))^$W110))</f>
        <v>71.779999423317946</v>
      </c>
      <c r="BW110" s="626">
        <f>$R110/(1+($V110*(('Traffic Data'!AH29*(0.67/14))/(($I110)*$S110))^$W110))</f>
        <v>71.779999306671286</v>
      </c>
    </row>
    <row r="111" spans="1:75" ht="21.9" customHeight="1" x14ac:dyDescent="0.25">
      <c r="A111" s="617"/>
      <c r="B111" s="283"/>
      <c r="C111" s="1368" t="s">
        <v>274</v>
      </c>
      <c r="D111" s="276" t="s">
        <v>275</v>
      </c>
      <c r="E111" s="276" t="s">
        <v>318</v>
      </c>
      <c r="F111" s="593">
        <f>'Traffic Data'!CM30</f>
        <v>0.83333333333333337</v>
      </c>
      <c r="G111" s="593">
        <f>'Traffic Data'!CN30</f>
        <v>0.9</v>
      </c>
      <c r="H111" s="583">
        <f>'Traffic Data'!G30</f>
        <v>55</v>
      </c>
      <c r="I111" s="583">
        <v>4</v>
      </c>
      <c r="J111" s="583">
        <f>H111+7</f>
        <v>62</v>
      </c>
      <c r="K111" s="583">
        <v>0</v>
      </c>
      <c r="L111" s="583">
        <v>2.5</v>
      </c>
      <c r="M111" s="594">
        <v>0</v>
      </c>
      <c r="N111" s="583">
        <v>0.4</v>
      </c>
      <c r="O111" s="583">
        <v>1.6</v>
      </c>
      <c r="P111" s="583">
        <v>0</v>
      </c>
      <c r="Q111" s="583">
        <v>0</v>
      </c>
      <c r="R111" s="285">
        <f>J111-K111-L111-M111-N111-O111-P111-Q111</f>
        <v>57.5</v>
      </c>
      <c r="S111" s="595">
        <f>M$21*F111*G111</f>
        <v>1650.0000000000002</v>
      </c>
      <c r="T111" s="596">
        <v>0.12</v>
      </c>
      <c r="U111" s="597">
        <v>0.65</v>
      </c>
      <c r="V111" s="587">
        <f t="shared" si="7"/>
        <v>0.2</v>
      </c>
      <c r="W111" s="650">
        <v>10</v>
      </c>
      <c r="X111" s="373">
        <f>MAX(10,$R111/(1+($V111*(('Traffic Data'!J30*$T111*$U111)/(($I111/2)*$S111))^$W111)))</f>
        <v>57.499999999343693</v>
      </c>
      <c r="Y111" s="508">
        <f>MAX(10,$R111/(1+($V111*(('Traffic Data'!K30*$T111*$U111)/(($I111/2)*$S111))^$W111)))</f>
        <v>57.499999998279762</v>
      </c>
      <c r="Z111" s="508">
        <f>MAX(10,$R111/(1+($V111*(('Traffic Data'!L30*$T111*$U111)/(($I111/2)*$S111))^$W111)))</f>
        <v>57.499999988861461</v>
      </c>
      <c r="AA111" s="508">
        <f>MAX(10,$R111/(1+($V111*(('Traffic Data'!M30*$T111*$U111)/(($I111/2)*$S111))^$W111)))</f>
        <v>57.499999788598082</v>
      </c>
      <c r="AB111" s="508">
        <f>MAX(10,$R111/(1+($V111*(('Traffic Data'!N30*$T111*$U111)/(($I111/2)*$S111))^$W111)))</f>
        <v>57.499997948851238</v>
      </c>
      <c r="AC111" s="508">
        <f>MAX(10,$R111/(1+($V111*(('Traffic Data'!O30*$T111*$U111)/(($I111/2)*$S111))^$W111)))</f>
        <v>57.49998695190115</v>
      </c>
      <c r="AD111" s="508">
        <f>MAX(10,$R111/(1+($V111*(('Traffic Data'!P30*$T111*$U111)/(($I111/2)*$S111))^$W111)))</f>
        <v>57.499937904255184</v>
      </c>
      <c r="AE111" s="508">
        <f>MAX(10,$R111/(1+($V111*(('Traffic Data'!Q30*$T111*$U111)/(($I111/2)*$S111))^$W111)))</f>
        <v>57.499760292734429</v>
      </c>
      <c r="AF111" s="508">
        <f>MAX(10,$R111/(1+($V111*(('Traffic Data'!R30*$T111*$U111)/(($I111/2)*$S111))^$W111)))</f>
        <v>57.499228633571356</v>
      </c>
      <c r="AG111" s="508">
        <f>MAX(10,$R111/(1+($V111*(('Traffic Data'!S30*$T111*$U111)/(($I111/2)*$S111))^$W111)))</f>
        <v>57.497802714589298</v>
      </c>
      <c r="AH111" s="508">
        <f>MAX(10,$R111/(1+($V111*(('Traffic Data'!T30*$T111*$U111)/(($I111/2)*$S111))^$W111)))</f>
        <v>57.49433521207596</v>
      </c>
      <c r="AI111" s="508">
        <f>MAX(10,$R111/(1+($V111*(('Traffic Data'!U30*$T111*$U111)/(($I111/2)*$S111))^$W111)))</f>
        <v>57.486546364122681</v>
      </c>
      <c r="AJ111" s="508">
        <f>MAX(10,$R111/(1+($V111*(('Traffic Data'!V30*$T111*$U111)/(($I111/2)*$S111))^$W111)))</f>
        <v>57.47015192905161</v>
      </c>
      <c r="AK111" s="508">
        <f>MAX(10,$R111/(1+($V111*(('Traffic Data'!W30*$T111*$U111)/(($I111/2)*$S111))^$W111)))</f>
        <v>57.456934277976345</v>
      </c>
      <c r="AL111" s="508">
        <f>MAX(10,$R111/(1+($V111*(('Traffic Data'!X30*$T111*$U111)/(($I111/2)*$S111))^$W111)))</f>
        <v>57.449173601717405</v>
      </c>
      <c r="AM111" s="508">
        <f>MAX(10,$R111/(1+($V111*(('Traffic Data'!Y30*$T111*$U111)/(($I111/2)*$S111))^$W111)))</f>
        <v>57.440177736006902</v>
      </c>
      <c r="AN111" s="508">
        <f>MAX(10,$R111/(1+($V111*(('Traffic Data'!Z30*$T111*$U111)/(($I111/2)*$S111))^$W111)))</f>
        <v>57.429775497020707</v>
      </c>
      <c r="AO111" s="508">
        <f>MAX(10,$R111/(1+($V111*(('Traffic Data'!AA30*$T111*$U111)/(($I111/2)*$S111))^$W111)))</f>
        <v>57.417755770208458</v>
      </c>
      <c r="AP111" s="508">
        <f>MAX(10,$R111/(1+($V111*(('Traffic Data'!AB30*$T111*$U111)/(($I111/2)*$S111))^$W111)))</f>
        <v>57.40394149137952</v>
      </c>
      <c r="AQ111" s="508">
        <f>MAX(10,$R111/(1+($V111*(('Traffic Data'!AC30*$T111*$U111)/(($I111/2)*$S111))^$W111)))</f>
        <v>57.388051702847108</v>
      </c>
      <c r="AR111" s="508">
        <f>MAX(10,$R111/(1+($V111*(('Traffic Data'!AD30*$T111*$U111)/(($I111/2)*$S111))^$W111)))</f>
        <v>57.369870373654464</v>
      </c>
      <c r="AS111" s="508">
        <f>MAX(10,$R111/(1+($V111*(('Traffic Data'!AE30*$T111*$U111)/(($I111/2)*$S111))^$W111)))</f>
        <v>57.349081671195407</v>
      </c>
      <c r="AT111" s="508">
        <f>MAX(10,$R111/(1+($V111*(('Traffic Data'!AF30*$T111*$U111)/(($I111/2)*$S111))^$W111)))</f>
        <v>57.32532235195962</v>
      </c>
      <c r="AU111" s="508">
        <f>MAX(10,$R111/(1+($V111*(('Traffic Data'!AG30*$T111*$U111)/(($I111/2)*$S111))^$W111)))</f>
        <v>57.298306230626139</v>
      </c>
      <c r="AV111" s="508">
        <f>MAX(10,$R111/(1+($V111*(('Traffic Data'!AH30*$T111*$U111)/(($I111/2)*$S111))^$W111)))</f>
        <v>57.267604149569159</v>
      </c>
      <c r="AW111" s="644">
        <f>MAX(10,$R111/(1+($V111*(('Traffic Data'!AI30*$T111*$U111)/(($I111/2)*$S111))^$W111)))</f>
        <v>57.232724662412764</v>
      </c>
      <c r="AX111" s="366">
        <f>$R111/(1+($V111*(('Traffic Data'!J30*(0.67/14))/(($I111)*$S111))^$W111))</f>
        <v>57.5</v>
      </c>
      <c r="AY111" s="366">
        <f>$R111/(1+($V111*(('Traffic Data'!J30*(0.67/14))/(($I111)*$S111))^$W111))</f>
        <v>57.5</v>
      </c>
      <c r="AZ111" s="366">
        <f>$R111/(1+($V111*(('Traffic Data'!K30*(0.67/14))/(($I111)*$S111))^$W111))</f>
        <v>57.499999999999986</v>
      </c>
      <c r="BA111" s="366">
        <f>$R111/(1+($V111*(('Traffic Data'!L30*(0.67/14))/(($I111)*$S111))^$W111))</f>
        <v>57.499999999999922</v>
      </c>
      <c r="BB111" s="366">
        <f>$R111/(1+($V111*(('Traffic Data'!M30*(0.67/14))/(($I111)*$S111))^$W111))</f>
        <v>57.499999999998444</v>
      </c>
      <c r="BC111" s="366">
        <f>$R111/(1+($V111*(('Traffic Data'!N30*(0.67/14))/(($I111)*$S111))^$W111))</f>
        <v>57.499999999984858</v>
      </c>
      <c r="BD111" s="366">
        <f>$R111/(1+($V111*(('Traffic Data'!O30*(0.67/14))/(($I111)*$S111))^$W111))</f>
        <v>57.499999999903672</v>
      </c>
      <c r="BE111" s="366">
        <f>$R111/(1+($V111*(('Traffic Data'!P30*(0.67/14))/(($I111)*$S111))^$W111))</f>
        <v>57.499999999541558</v>
      </c>
      <c r="BF111" s="366">
        <f>$R111/(1+($V111*(('Traffic Data'!Q30*(0.67/14))/(($I111)*$S111))^$W111))</f>
        <v>57.499999998230273</v>
      </c>
      <c r="BG111" s="366">
        <f>$R111/(1+($V111*(('Traffic Data'!R30*(0.67/14))/(($I111)*$S111))^$W111))</f>
        <v>57.499999994305064</v>
      </c>
      <c r="BH111" s="366">
        <f>$R111/(1+($V111*(('Traffic Data'!S30*(0.67/14))/(($I111)*$S111))^$W111))</f>
        <v>57.499999983777236</v>
      </c>
      <c r="BI111" s="366">
        <f>$R111/(1+($V111*(('Traffic Data'!T30*(0.67/14))/(($I111)*$S111))^$W111))</f>
        <v>57.499999958173831</v>
      </c>
      <c r="BJ111" s="366">
        <f>$R111/(1+($V111*(('Traffic Data'!U30*(0.67/14))/(($I111)*$S111))^$W111))</f>
        <v>57.499999900651126</v>
      </c>
      <c r="BK111" s="366">
        <f>$R111/(1+($V111*(('Traffic Data'!V30*(0.67/14))/(($I111)*$S111))^$W111))</f>
        <v>57.499999779522909</v>
      </c>
      <c r="BL111" s="366">
        <f>$R111/(1+($V111*(('Traffic Data'!W30*(0.67/14))/(($I111)*$S111))^$W111))</f>
        <v>57.499999681815652</v>
      </c>
      <c r="BM111" s="366">
        <f>$R111/(1+($V111*(('Traffic Data'!X30*(0.67/14))/(($I111)*$S111))^$W111))</f>
        <v>57.49999962442638</v>
      </c>
      <c r="BN111" s="366">
        <f>$R111/(1+($V111*(('Traffic Data'!Y30*(0.67/14))/(($I111)*$S111))^$W111))</f>
        <v>57.499999557883633</v>
      </c>
      <c r="BO111" s="366">
        <f>$R111/(1+($V111*(('Traffic Data'!Z30*(0.67/14))/(($I111)*$S111))^$W111))</f>
        <v>57.499999480911896</v>
      </c>
      <c r="BP111" s="366">
        <f>$R111/(1+($V111*(('Traffic Data'!AA30*(0.67/14))/(($I111)*$S111))^$W111))</f>
        <v>57.499999391936754</v>
      </c>
      <c r="BQ111" s="366">
        <f>$R111/(1+($V111*(('Traffic Data'!AB30*(0.67/14))/(($I111)*$S111))^$W111))</f>
        <v>57.499999289631575</v>
      </c>
      <c r="BR111" s="366">
        <f>$R111/(1+($V111*(('Traffic Data'!AC30*(0.67/14))/(($I111)*$S111))^$W111))</f>
        <v>57.49999917189475</v>
      </c>
      <c r="BS111" s="366">
        <f>$R111/(1+($V111*(('Traffic Data'!AD30*(0.67/14))/(($I111)*$S111))^$W111))</f>
        <v>57.499999037098561</v>
      </c>
      <c r="BT111" s="366">
        <f>$R111/(1+($V111*(('Traffic Data'!AE30*(0.67/14))/(($I111)*$S111))^$W111))</f>
        <v>57.499998882866585</v>
      </c>
      <c r="BU111" s="366">
        <f>$R111/(1+($V111*(('Traffic Data'!AF30*(0.67/14))/(($I111)*$S111))^$W111))</f>
        <v>57.499998706458541</v>
      </c>
      <c r="BV111" s="366">
        <f>$R111/(1+($V111*(('Traffic Data'!AG30*(0.67/14))/(($I111)*$S111))^$W111))</f>
        <v>57.499998505691664</v>
      </c>
      <c r="BW111" s="627">
        <f>$R111/(1+($V111*(('Traffic Data'!AH30*(0.67/14))/(($I111)*$S111))^$W111))</f>
        <v>57.499998277303099</v>
      </c>
    </row>
    <row r="112" spans="1:75" ht="21.9" customHeight="1" x14ac:dyDescent="0.25">
      <c r="A112" s="617"/>
      <c r="B112" s="283"/>
      <c r="C112" s="1369"/>
      <c r="D112" s="284" t="s">
        <v>318</v>
      </c>
      <c r="E112" s="284" t="s">
        <v>308</v>
      </c>
      <c r="F112" s="582">
        <f>'Traffic Data'!CM30</f>
        <v>0.83333333333333337</v>
      </c>
      <c r="G112" s="582">
        <f>'Traffic Data'!CN30</f>
        <v>0.9</v>
      </c>
      <c r="H112" s="583">
        <f>'Traffic Data'!G31</f>
        <v>45</v>
      </c>
      <c r="I112" s="583">
        <v>2</v>
      </c>
      <c r="J112" s="583">
        <f t="shared" ref="J112:J127" si="9">H112+7</f>
        <v>52</v>
      </c>
      <c r="K112" s="583">
        <v>0</v>
      </c>
      <c r="L112" s="583">
        <v>2.5</v>
      </c>
      <c r="M112" s="583">
        <v>0</v>
      </c>
      <c r="N112" s="583">
        <v>0</v>
      </c>
      <c r="O112" s="583">
        <v>0</v>
      </c>
      <c r="P112" s="583">
        <v>0</v>
      </c>
      <c r="Q112" s="583">
        <v>0</v>
      </c>
      <c r="R112" s="285">
        <f t="shared" si="4"/>
        <v>49.5</v>
      </c>
      <c r="S112" s="584">
        <f>N$24*F112*G112</f>
        <v>600.00000000000011</v>
      </c>
      <c r="T112" s="585">
        <v>0.12</v>
      </c>
      <c r="U112" s="586">
        <v>0.65</v>
      </c>
      <c r="V112" s="587">
        <f t="shared" si="7"/>
        <v>0.2</v>
      </c>
      <c r="W112" s="651">
        <v>10</v>
      </c>
      <c r="X112" s="508">
        <f>MAX(10,$R112/(1+($V112*(('Traffic Data'!J31*$T112*$U112)/(($I112/2)*$S112))^$W112)))</f>
        <v>49.499913467275938</v>
      </c>
      <c r="Y112" s="508">
        <f>MAX(10,$R112/(1+($V112*(('Traffic Data'!K31*$T112*$U112)/(($I112/2)*$S112))^$W112)))</f>
        <v>49.499766486505173</v>
      </c>
      <c r="Z112" s="508">
        <f>MAX(10,$R112/(1+($V112*(('Traffic Data'!L31*$T112*$U112)/(($I112/2)*$S112))^$W112)))</f>
        <v>49.499204103307889</v>
      </c>
      <c r="AA112" s="508">
        <f>MAX(10,$R112/(1+($V112*(('Traffic Data'!M31*$T112*$U112)/(($I112/2)*$S112))^$W112)))</f>
        <v>49.494560055808904</v>
      </c>
      <c r="AB112" s="508">
        <f>MAX(10,$R112/(1+($V112*(('Traffic Data'!N31*$T112*$U112)/(($I112/2)*$S112))^$W112)))</f>
        <v>49.472742505762085</v>
      </c>
      <c r="AC112" s="508">
        <f>MAX(10,$R112/(1+($V112*(('Traffic Data'!O31*$T112*$U112)/(($I112/2)*$S112))^$W112)))</f>
        <v>49.390953020636744</v>
      </c>
      <c r="AD112" s="508">
        <f>MAX(10,$R112/(1+($V112*(('Traffic Data'!P31*$T112*$U112)/(($I112/2)*$S112))^$W112)))</f>
        <v>49.133241460310884</v>
      </c>
      <c r="AE112" s="508">
        <f>MAX(10,$R112/(1+($V112*(('Traffic Data'!Q31*$T112*$U112)/(($I112/2)*$S112))^$W112)))</f>
        <v>48.42836313319205</v>
      </c>
      <c r="AF112" s="508">
        <f>MAX(10,$R112/(1+($V112*(('Traffic Data'!R31*$T112*$U112)/(($I112/2)*$S112))^$W112)))</f>
        <v>45.49534982912197</v>
      </c>
      <c r="AG112" s="508">
        <f>MAX(10,$R112/(1+($V112*(('Traffic Data'!S31*$T112*$U112)/(($I112/2)*$S112))^$W112)))</f>
        <v>38.189950925094934</v>
      </c>
      <c r="AH112" s="508">
        <f>MAX(10,$R112/(1+($V112*(('Traffic Data'!T31*$T112*$U112)/(($I112/2)*$S112))^$W112)))</f>
        <v>26.423486536869405</v>
      </c>
      <c r="AI112" s="508">
        <f>MAX(10,$R112/(1+($V112*(('Traffic Data'!U31*$T112*$U112)/(($I112/2)*$S112))^$W112)))</f>
        <v>14.920072832695437</v>
      </c>
      <c r="AJ112" s="508">
        <f>MAX(10,$R112/(1+($V112*(('Traffic Data'!V31*$T112*$U112)/(($I112/2)*$S112))^$W112)))</f>
        <v>10</v>
      </c>
      <c r="AK112" s="508">
        <f>MAX(10,$R112/(1+($V112*(('Traffic Data'!W31*$T112*$U112)/(($I112/2)*$S112))^$W112)))</f>
        <v>10</v>
      </c>
      <c r="AL112" s="508">
        <f>MAX(10,$R112/(1+($V112*(('Traffic Data'!X31*$T112*$U112)/(($I112/2)*$S112))^$W112)))</f>
        <v>10</v>
      </c>
      <c r="AM112" s="508">
        <f>MAX(10,$R112/(1+($V112*(('Traffic Data'!Y31*$T112*$U112)/(($I112/2)*$S112))^$W112)))</f>
        <v>10</v>
      </c>
      <c r="AN112" s="508">
        <f>MAX(10,$R112/(1+($V112*(('Traffic Data'!Z31*$T112*$U112)/(($I112/2)*$S112))^$W112)))</f>
        <v>10</v>
      </c>
      <c r="AO112" s="508">
        <f>MAX(10,$R112/(1+($V112*(('Traffic Data'!AA31*$T112*$U112)/(($I112/2)*$S112))^$W112)))</f>
        <v>10</v>
      </c>
      <c r="AP112" s="508">
        <f>MAX(10,$R112/(1+($V112*(('Traffic Data'!AB31*$T112*$U112)/(($I112/2)*$S112))^$W112)))</f>
        <v>10</v>
      </c>
      <c r="AQ112" s="508">
        <f>MAX(10,$R112/(1+($V112*(('Traffic Data'!AC31*$T112*$U112)/(($I112/2)*$S112))^$W112)))</f>
        <v>10</v>
      </c>
      <c r="AR112" s="508">
        <f>MAX(10,$R112/(1+($V112*(('Traffic Data'!AD31*$T112*$U112)/(($I112/2)*$S112))^$W112)))</f>
        <v>10</v>
      </c>
      <c r="AS112" s="508">
        <f>MAX(10,$R112/(1+($V112*(('Traffic Data'!AE31*$T112*$U112)/(($I112/2)*$S112))^$W112)))</f>
        <v>10</v>
      </c>
      <c r="AT112" s="508">
        <f>MAX(10,$R112/(1+($V112*(('Traffic Data'!AF31*$T112*$U112)/(($I112/2)*$S112))^$W112)))</f>
        <v>10</v>
      </c>
      <c r="AU112" s="508">
        <f>MAX(10,$R112/(1+($V112*(('Traffic Data'!AG31*$T112*$U112)/(($I112/2)*$S112))^$W112)))</f>
        <v>10</v>
      </c>
      <c r="AV112" s="508">
        <f>MAX(10,$R112/(1+($V112*(('Traffic Data'!AH31*$T112*$U112)/(($I112/2)*$S112))^$W112)))</f>
        <v>10</v>
      </c>
      <c r="AW112" s="644">
        <f>MAX(10,$R112/(1+($V112*(('Traffic Data'!AI31*$T112*$U112)/(($I112/2)*$S112))^$W112)))</f>
        <v>10</v>
      </c>
      <c r="AX112" s="373">
        <f>$R112/(1+($V112*(('Traffic Data'!J31*(0.67/14))/(($I112)*$S112))^$W112))</f>
        <v>49.499999999361144</v>
      </c>
      <c r="AY112" s="373">
        <f>$R112/(1+($V112*(('Traffic Data'!J31*(0.67/14))/(($I112)*$S112))^$W112))</f>
        <v>49.499999999361144</v>
      </c>
      <c r="AZ112" s="373">
        <f>$R112/(1+($V112*(('Traffic Data'!K31*(0.67/14))/(($I112)*$S112))^$W112))</f>
        <v>49.49999999827601</v>
      </c>
      <c r="BA112" s="373">
        <f>$R112/(1+($V112*(('Traffic Data'!L31*(0.67/14))/(($I112)*$S112))^$W112))</f>
        <v>49.499999994123947</v>
      </c>
      <c r="BB112" s="373">
        <f>$R112/(1+($V112*(('Traffic Data'!M31*(0.67/14))/(($I112)*$S112))^$W112))</f>
        <v>49.499999959833509</v>
      </c>
      <c r="BC112" s="373">
        <f>$R112/(1+($V112*(('Traffic Data'!N31*(0.67/14))/(($I112)*$S112))^$W112))</f>
        <v>49.499999798652226</v>
      </c>
      <c r="BD112" s="373">
        <f>$R112/(1+($V112*(('Traffic Data'!O31*(0.67/14))/(($I112)*$S112))^$W112))</f>
        <v>49.499999193149428</v>
      </c>
      <c r="BE112" s="373">
        <f>$R112/(1+($V112*(('Traffic Data'!P31*(0.67/14))/(($I112)*$S112))^$W112))</f>
        <v>49.499997272079689</v>
      </c>
      <c r="BF112" s="373">
        <f>$R112/(1+($V112*(('Traffic Data'!Q31*(0.67/14))/(($I112)*$S112))^$W112))</f>
        <v>49.499991913237835</v>
      </c>
      <c r="BG112" s="373">
        <f>$R112/(1+($V112*(('Traffic Data'!R31*(0.67/14))/(($I112)*$S112))^$W112))</f>
        <v>49.499967831991228</v>
      </c>
      <c r="BH112" s="373">
        <f>$R112/(1+($V112*(('Traffic Data'!S31*(0.67/14))/(($I112)*$S112))^$W112))</f>
        <v>49.499891771578312</v>
      </c>
      <c r="BI112" s="373">
        <f>$R112/(1+($V112*(('Traffic Data'!T31*(0.67/14))/(($I112)*$S112))^$W112))</f>
        <v>49.499680843159169</v>
      </c>
      <c r="BJ112" s="373">
        <f>$R112/(1+($V112*(('Traffic Data'!U31*(0.67/14))/(($I112)*$S112))^$W112))</f>
        <v>49.499153021111219</v>
      </c>
      <c r="BK112" s="373">
        <f>$R112/(1+($V112*(('Traffic Data'!V31*(0.67/14))/(($I112)*$S112))^$W112))</f>
        <v>49.497938168514317</v>
      </c>
      <c r="BL112" s="373">
        <f>$R112/(1+($V112*(('Traffic Data'!W31*(0.67/14))/(($I112)*$S112))^$W112))</f>
        <v>49.496373497844985</v>
      </c>
      <c r="BM112" s="373">
        <f>$R112/(1+($V112*(('Traffic Data'!X31*(0.67/14))/(($I112)*$S112))^$W112))</f>
        <v>49.495490318522812</v>
      </c>
      <c r="BN112" s="373">
        <f>$R112/(1+($V112*(('Traffic Data'!Y31*(0.67/14))/(($I112)*$S112))^$W112))</f>
        <v>49.494418092977028</v>
      </c>
      <c r="BO112" s="373">
        <f>$R112/(1+($V112*(('Traffic Data'!Z31*(0.67/14))/(($I112)*$S112))^$W112))</f>
        <v>49.493121682931609</v>
      </c>
      <c r="BP112" s="373">
        <f>$R112/(1+($V112*(('Traffic Data'!AA31*(0.67/14))/(($I112)*$S112))^$W112))</f>
        <v>49.491559140427853</v>
      </c>
      <c r="BQ112" s="373">
        <f>$R112/(1+($V112*(('Traffic Data'!AB31*(0.67/14))/(($I112)*$S112))^$W112))</f>
        <v>49.489685636782767</v>
      </c>
      <c r="BR112" s="373">
        <f>$R112/(1+($V112*(('Traffic Data'!AC31*(0.67/14))/(($I112)*$S112))^$W112))</f>
        <v>49.487444204982957</v>
      </c>
      <c r="BS112" s="373">
        <f>$R112/(1+($V112*(('Traffic Data'!AD31*(0.67/14))/(($I112)*$S112))^$W112))</f>
        <v>49.484775785841983</v>
      </c>
      <c r="BT112" s="373">
        <f>$R112/(1+($V112*(('Traffic Data'!AE31*(0.67/14))/(($I112)*$S112))^$W112))</f>
        <v>49.481607618302299</v>
      </c>
      <c r="BU112" s="373">
        <f>$R112/(1+($V112*(('Traffic Data'!AF31*(0.67/14))/(($I112)*$S112))^$W112))</f>
        <v>49.477855345982036</v>
      </c>
      <c r="BV112" s="373">
        <f>$R112/(1+($V112*(('Traffic Data'!AG31*(0.67/14))/(($I112)*$S112))^$W112))</f>
        <v>49.473431524117252</v>
      </c>
      <c r="BW112" s="626">
        <f>$R112/(1+($V112*(('Traffic Data'!AH31*(0.67/14))/(($I112)*$S112))^$W112))</f>
        <v>49.468228238845782</v>
      </c>
    </row>
    <row r="113" spans="1:75" ht="21.9" customHeight="1" x14ac:dyDescent="0.25">
      <c r="A113" s="617"/>
      <c r="B113" s="283"/>
      <c r="C113" s="1370"/>
      <c r="D113" s="297" t="s">
        <v>308</v>
      </c>
      <c r="E113" s="297" t="s">
        <v>319</v>
      </c>
      <c r="F113" s="589">
        <f>'Traffic Data'!CM30</f>
        <v>0.83333333333333337</v>
      </c>
      <c r="G113" s="589">
        <f>'Traffic Data'!CN30</f>
        <v>0.9</v>
      </c>
      <c r="H113" s="590">
        <f>'Traffic Data'!G32</f>
        <v>45</v>
      </c>
      <c r="I113" s="590">
        <v>2</v>
      </c>
      <c r="J113" s="590">
        <f t="shared" si="9"/>
        <v>52</v>
      </c>
      <c r="K113" s="583">
        <v>0</v>
      </c>
      <c r="L113" s="583">
        <v>5</v>
      </c>
      <c r="M113" s="590">
        <v>0</v>
      </c>
      <c r="N113" s="583">
        <v>0</v>
      </c>
      <c r="O113" s="583">
        <v>0</v>
      </c>
      <c r="P113" s="583">
        <v>0</v>
      </c>
      <c r="Q113" s="583">
        <v>0</v>
      </c>
      <c r="R113" s="298">
        <f t="shared" si="4"/>
        <v>47</v>
      </c>
      <c r="S113" s="598">
        <f>N$24*F113*G113</f>
        <v>600.00000000000011</v>
      </c>
      <c r="T113" s="599">
        <v>0.12</v>
      </c>
      <c r="U113" s="600">
        <v>0.65</v>
      </c>
      <c r="V113" s="587">
        <f t="shared" si="7"/>
        <v>0.2</v>
      </c>
      <c r="W113" s="651">
        <v>10</v>
      </c>
      <c r="X113" s="508">
        <f>MAX(10,$R113/(1+($V113*(('Traffic Data'!J32*$T113*$U113)/(($I113/2)*$S113))^$W113)))</f>
        <v>46.22928606898175</v>
      </c>
      <c r="Y113" s="508">
        <f>MAX(10,$R113/(1+($V113*(('Traffic Data'!K32*$T113*$U113)/(($I113/2)*$S113))^$W113)))</f>
        <v>45.989400680781124</v>
      </c>
      <c r="Z113" s="508">
        <f>MAX(10,$R113/(1+($V113*(('Traffic Data'!L32*$T113*$U113)/(($I113/2)*$S113))^$W113)))</f>
        <v>45.535554594085283</v>
      </c>
      <c r="AA113" s="508">
        <f>MAX(10,$R113/(1+($V113*(('Traffic Data'!M32*$T113*$U113)/(($I113/2)*$S113))^$W113)))</f>
        <v>44.608096213610324</v>
      </c>
      <c r="AB113" s="508">
        <f>MAX(10,$R113/(1+($V113*(('Traffic Data'!N32*$T113*$U113)/(($I113/2)*$S113))^$W113)))</f>
        <v>43.229455244226074</v>
      </c>
      <c r="AC113" s="508">
        <f>MAX(10,$R113/(1+($V113*(('Traffic Data'!O32*$T113*$U113)/(($I113/2)*$S113))^$W113)))</f>
        <v>41.274908515000931</v>
      </c>
      <c r="AD113" s="508">
        <f>MAX(10,$R113/(1+($V113*(('Traffic Data'!P32*$T113*$U113)/(($I113/2)*$S113))^$W113)))</f>
        <v>38.649428106960258</v>
      </c>
      <c r="AE113" s="508">
        <f>MAX(10,$R113/(1+($V113*(('Traffic Data'!Q32*$T113*$U113)/(($I113/2)*$S113))^$W113)))</f>
        <v>35.328018908242882</v>
      </c>
      <c r="AF113" s="508">
        <f>MAX(10,$R113/(1+($V113*(('Traffic Data'!R32*$T113*$U113)/(($I113/2)*$S113))^$W113)))</f>
        <v>31.366125947155084</v>
      </c>
      <c r="AG113" s="508">
        <f>MAX(10,$R113/(1+($V113*(('Traffic Data'!S32*$T113*$U113)/(($I113/2)*$S113))^$W113)))</f>
        <v>27.012819009421765</v>
      </c>
      <c r="AH113" s="508">
        <f>MAX(10,$R113/(1+($V113*(('Traffic Data'!T32*$T113*$U113)/(($I113/2)*$S113))^$W113)))</f>
        <v>22.575887347812159</v>
      </c>
      <c r="AI113" s="508">
        <f>MAX(10,$R113/(1+($V113*(('Traffic Data'!U32*$T113*$U113)/(($I113/2)*$S113))^$W113)))</f>
        <v>18.358962122918228</v>
      </c>
      <c r="AJ113" s="508">
        <f>MAX(10,$R113/(1+($V113*(('Traffic Data'!V32*$T113*$U113)/(($I113/2)*$S113))^$W113)))</f>
        <v>14.590242621737195</v>
      </c>
      <c r="AK113" s="508">
        <f>MAX(10,$R113/(1+($V113*(('Traffic Data'!W32*$T113*$U113)/(($I113/2)*$S113))^$W113)))</f>
        <v>12.245750450281898</v>
      </c>
      <c r="AL113" s="508">
        <f>MAX(10,$R113/(1+($V113*(('Traffic Data'!X32*$T113*$U113)/(($I113/2)*$S113))^$W113)))</f>
        <v>10.802023161382403</v>
      </c>
      <c r="AM113" s="508">
        <f>MAX(10,$R113/(1+($V113*(('Traffic Data'!Y32*$T113*$U113)/(($I113/2)*$S113))^$W113)))</f>
        <v>10</v>
      </c>
      <c r="AN113" s="508">
        <f>MAX(10,$R113/(1+($V113*(('Traffic Data'!Z32*$T113*$U113)/(($I113/2)*$S113))^$W113)))</f>
        <v>10</v>
      </c>
      <c r="AO113" s="508">
        <f>MAX(10,$R113/(1+($V113*(('Traffic Data'!AA32*$T113*$U113)/(($I113/2)*$S113))^$W113)))</f>
        <v>10</v>
      </c>
      <c r="AP113" s="508">
        <f>MAX(10,$R113/(1+($V113*(('Traffic Data'!AB32*$T113*$U113)/(($I113/2)*$S113))^$W113)))</f>
        <v>10</v>
      </c>
      <c r="AQ113" s="508">
        <f>MAX(10,$R113/(1+($V113*(('Traffic Data'!AC32*$T113*$U113)/(($I113/2)*$S113))^$W113)))</f>
        <v>10</v>
      </c>
      <c r="AR113" s="508">
        <f>MAX(10,$R113/(1+($V113*(('Traffic Data'!AD32*$T113*$U113)/(($I113/2)*$S113))^$W113)))</f>
        <v>10</v>
      </c>
      <c r="AS113" s="508">
        <f>MAX(10,$R113/(1+($V113*(('Traffic Data'!AE32*$T113*$U113)/(($I113/2)*$S113))^$W113)))</f>
        <v>10</v>
      </c>
      <c r="AT113" s="508">
        <f>MAX(10,$R113/(1+($V113*(('Traffic Data'!AF32*$T113*$U113)/(($I113/2)*$S113))^$W113)))</f>
        <v>10</v>
      </c>
      <c r="AU113" s="508">
        <f>MAX(10,$R113/(1+($V113*(('Traffic Data'!AG32*$T113*$U113)/(($I113/2)*$S113))^$W113)))</f>
        <v>10</v>
      </c>
      <c r="AV113" s="508">
        <f>MAX(10,$R113/(1+($V113*(('Traffic Data'!AH32*$T113*$U113)/(($I113/2)*$S113))^$W113)))</f>
        <v>10</v>
      </c>
      <c r="AW113" s="644">
        <f>MAX(10,$R113/(1+($V113*(('Traffic Data'!AI32*$T113*$U113)/(($I113/2)*$S113))^$W113)))</f>
        <v>10</v>
      </c>
      <c r="AX113" s="364">
        <f>$R113/(1+($V113*(('Traffic Data'!J32*(0.67/14))/(($I113)*$S113))^$W113))</f>
        <v>46.99999421510455</v>
      </c>
      <c r="AY113" s="364">
        <f>$R113/(1+($V113*(('Traffic Data'!J32*(0.67/14))/(($I113)*$S113))^$W113))</f>
        <v>46.99999421510455</v>
      </c>
      <c r="AZ113" s="364">
        <f>$R113/(1+($V113*(('Traffic Data'!K32*(0.67/14))/(($I113)*$S113))^$W113))</f>
        <v>46.9999923749846</v>
      </c>
      <c r="BA113" s="364">
        <f>$R113/(1+($V113*(('Traffic Data'!L32*(0.67/14))/(($I113)*$S113))^$W113))</f>
        <v>46.999988840570389</v>
      </c>
      <c r="BB113" s="364">
        <f>$R113/(1+($V113*(('Traffic Data'!M32*(0.67/14))/(($I113)*$S113))^$W113))</f>
        <v>46.999981394155355</v>
      </c>
      <c r="BC113" s="364">
        <f>$R113/(1+($V113*(('Traffic Data'!N32*(0.67/14))/(($I113)*$S113))^$W113))</f>
        <v>46.999969734796231</v>
      </c>
      <c r="BD113" s="364">
        <f>$R113/(1+($V113*(('Traffic Data'!O32*(0.67/14))/(($I113)*$S113))^$W113))</f>
        <v>46.999951870049891</v>
      </c>
      <c r="BE113" s="364">
        <f>$R113/(1+($V113*(('Traffic Data'!P32*(0.67/14))/(($I113)*$S113))^$W113))</f>
        <v>46.999925029225203</v>
      </c>
      <c r="BF113" s="364">
        <f>$R113/(1+($V113*(('Traffic Data'!Q32*(0.67/14))/(($I113)*$S113))^$W113))</f>
        <v>46.999885357994067</v>
      </c>
      <c r="BG113" s="364">
        <f>$R113/(1+($V113*(('Traffic Data'!R32*(0.67/14))/(($I113)*$S113))^$W113))</f>
        <v>46.999827048762654</v>
      </c>
      <c r="BH113" s="364">
        <f>$R113/(1+($V113*(('Traffic Data'!S32*(0.67/14))/(($I113)*$S113))^$W113))</f>
        <v>46.999743256883484</v>
      </c>
      <c r="BI113" s="364">
        <f>$R113/(1+($V113*(('Traffic Data'!T32*(0.67/14))/(($I113)*$S113))^$W113))</f>
        <v>46.999624603654084</v>
      </c>
      <c r="BJ113" s="364">
        <f>$R113/(1+($V113*(('Traffic Data'!U32*(0.67/14))/(($I113)*$S113))^$W113))</f>
        <v>46.999458678634817</v>
      </c>
      <c r="BK113" s="364">
        <f>$R113/(1+($V113*(('Traffic Data'!V32*(0.67/14))/(($I113)*$S113))^$W113))</f>
        <v>46.999229228427964</v>
      </c>
      <c r="BL113" s="364">
        <f>$R113/(1+($V113*(('Traffic Data'!W32*(0.67/14))/(($I113)*$S113))^$W113))</f>
        <v>46.999015234205181</v>
      </c>
      <c r="BM113" s="364">
        <f>$R113/(1+($V113*(('Traffic Data'!X32*(0.67/14))/(($I113)*$S113))^$W113))</f>
        <v>46.998837245593748</v>
      </c>
      <c r="BN113" s="364">
        <f>$R113/(1+($V113*(('Traffic Data'!Y32*(0.67/14))/(($I113)*$S113))^$W113))</f>
        <v>46.998630810765583</v>
      </c>
      <c r="BO113" s="364">
        <f>$R113/(1+($V113*(('Traffic Data'!Z32*(0.67/14))/(($I113)*$S113))^$W113))</f>
        <v>46.998391958352798</v>
      </c>
      <c r="BP113" s="364">
        <f>$R113/(1+($V113*(('Traffic Data'!AA32*(0.67/14))/(($I113)*$S113))^$W113))</f>
        <v>46.998116099346127</v>
      </c>
      <c r="BQ113" s="364">
        <f>$R113/(1+($V113*(('Traffic Data'!AB32*(0.67/14))/(($I113)*$S113))^$W113))</f>
        <v>46.997798520996518</v>
      </c>
      <c r="BR113" s="364">
        <f>$R113/(1+($V113*(('Traffic Data'!AC32*(0.67/14))/(($I113)*$S113))^$W113))</f>
        <v>46.997433364432972</v>
      </c>
      <c r="BS113" s="364">
        <f>$R113/(1+($V113*(('Traffic Data'!AD32*(0.67/14))/(($I113)*$S113))^$W113))</f>
        <v>46.997014790196872</v>
      </c>
      <c r="BT113" s="364">
        <f>$R113/(1+($V113*(('Traffic Data'!AE32*(0.67/14))/(($I113)*$S113))^$W113))</f>
        <v>46.99653575687546</v>
      </c>
      <c r="BU113" s="364">
        <f>$R113/(1+($V113*(('Traffic Data'!AF32*(0.67/14))/(($I113)*$S113))^$W113))</f>
        <v>46.99598834666201</v>
      </c>
      <c r="BV113" s="364">
        <f>$R113/(1+($V113*(('Traffic Data'!AG32*(0.67/14))/(($I113)*$S113))^$W113))</f>
        <v>46.995364606057848</v>
      </c>
      <c r="BW113" s="628">
        <f>$R113/(1+($V113*(('Traffic Data'!AH32*(0.67/14))/(($I113)*$S113))^$W113))</f>
        <v>46.99465491261757</v>
      </c>
    </row>
    <row r="114" spans="1:75" ht="21.9" customHeight="1" x14ac:dyDescent="0.25">
      <c r="A114" s="617"/>
      <c r="B114" s="283"/>
      <c r="C114" s="304" t="s">
        <v>320</v>
      </c>
      <c r="D114" s="304" t="s">
        <v>318</v>
      </c>
      <c r="E114" s="304" t="s">
        <v>308</v>
      </c>
      <c r="F114" s="601">
        <f>'Traffic Data'!CM33</f>
        <v>0.83333333333333337</v>
      </c>
      <c r="G114" s="601">
        <f>'Traffic Data'!CN33</f>
        <v>0.88</v>
      </c>
      <c r="H114" s="602">
        <f>'Traffic Data'!G33</f>
        <v>40</v>
      </c>
      <c r="I114" s="602">
        <v>2</v>
      </c>
      <c r="J114" s="602">
        <f t="shared" si="9"/>
        <v>47</v>
      </c>
      <c r="K114" s="602">
        <v>1.3</v>
      </c>
      <c r="L114" s="602">
        <v>2.5</v>
      </c>
      <c r="M114" s="602">
        <v>0</v>
      </c>
      <c r="N114" s="602">
        <v>0</v>
      </c>
      <c r="O114" s="602">
        <v>0</v>
      </c>
      <c r="P114" s="602">
        <v>0</v>
      </c>
      <c r="Q114" s="602">
        <v>0</v>
      </c>
      <c r="R114" s="305">
        <f t="shared" si="4"/>
        <v>43.2</v>
      </c>
      <c r="S114" s="603">
        <f>N$25*F114*G114</f>
        <v>586.66666666666674</v>
      </c>
      <c r="T114" s="604">
        <v>0.12</v>
      </c>
      <c r="U114" s="605">
        <v>0.65</v>
      </c>
      <c r="V114" s="606">
        <f t="shared" si="7"/>
        <v>0.2</v>
      </c>
      <c r="W114" s="652">
        <v>10</v>
      </c>
      <c r="X114" s="367">
        <f>MAX(10,$R114/(1+($V114*(('Traffic Data'!J33*$T114*$U114)/(($I114/2)*$S114))^$W114)))</f>
        <v>43.2</v>
      </c>
      <c r="Y114" s="509">
        <f>MAX(10,$R114/(1+($V114*(('Traffic Data'!K33*$T114*$U114)/(($I114/2)*$S114))^$W114)))</f>
        <v>43.2</v>
      </c>
      <c r="Z114" s="509">
        <f>MAX(10,$R114/(1+($V114*(('Traffic Data'!L33*$T114*$U114)/(($I114/2)*$S114))^$W114)))</f>
        <v>43.199999995932004</v>
      </c>
      <c r="AA114" s="509">
        <f>MAX(10,$R114/(1+($V114*(('Traffic Data'!M33*$T114*$U114)/(($I114/2)*$S114))^$W114)))</f>
        <v>43.199982908730348</v>
      </c>
      <c r="AB114" s="509">
        <f>MAX(10,$R114/(1+($V114*(('Traffic Data'!N33*$T114*$U114)/(($I114/2)*$S114))^$W114)))</f>
        <v>43.198482285154206</v>
      </c>
      <c r="AC114" s="509">
        <f>MAX(10,$R114/(1+($V114*(('Traffic Data'!O33*$T114*$U114)/(($I114/2)*$S114))^$W114)))</f>
        <v>43.166800834442341</v>
      </c>
      <c r="AD114" s="509">
        <f>MAX(10,$R114/(1+($V114*(('Traffic Data'!P33*$T114*$U114)/(($I114/2)*$S114))^$W114)))</f>
        <v>42.853213401542973</v>
      </c>
      <c r="AE114" s="509">
        <f>MAX(10,$R114/(1+($V114*(('Traffic Data'!Q33*$T114*$U114)/(($I114/2)*$S114))^$W114)))</f>
        <v>40.96985107424139</v>
      </c>
      <c r="AF114" s="509">
        <f>MAX(10,$R114/(1+($V114*(('Traffic Data'!R33*$T114*$U114)/(($I114/2)*$S114))^$W114)))</f>
        <v>37.963313683225586</v>
      </c>
      <c r="AG114" s="509">
        <f>MAX(10,$R114/(1+($V114*(('Traffic Data'!S33*$T114*$U114)/(($I114/2)*$S114))^$W114)))</f>
        <v>32.651781225904607</v>
      </c>
      <c r="AH114" s="509">
        <f>MAX(10,$R114/(1+($V114*(('Traffic Data'!T33*$T114*$U114)/(($I114/2)*$S114))^$W114)))</f>
        <v>25.297831036856934</v>
      </c>
      <c r="AI114" s="509">
        <f>MAX(10,$R114/(1+($V114*(('Traffic Data'!U33*$T114*$U114)/(($I114/2)*$S114))^$W114)))</f>
        <v>17.533116192788139</v>
      </c>
      <c r="AJ114" s="509">
        <f>MAX(10,$R114/(1+($V114*(('Traffic Data'!V33*$T114*$U114)/(($I114/2)*$S114))^$W114)))</f>
        <v>11.113399039482667</v>
      </c>
      <c r="AK114" s="509">
        <f>MAX(10,$R114/(1+($V114*(('Traffic Data'!W33*$T114*$U114)/(($I114/2)*$S114))^$W114)))</f>
        <v>10</v>
      </c>
      <c r="AL114" s="509">
        <f>MAX(10,$R114/(1+($V114*(('Traffic Data'!X33*$T114*$U114)/(($I114/2)*$S114))^$W114)))</f>
        <v>10</v>
      </c>
      <c r="AM114" s="509">
        <f>MAX(10,$R114/(1+($V114*(('Traffic Data'!Y33*$T114*$U114)/(($I114/2)*$S114))^$W114)))</f>
        <v>10</v>
      </c>
      <c r="AN114" s="509">
        <f>MAX(10,$R114/(1+($V114*(('Traffic Data'!Z33*$T114*$U114)/(($I114/2)*$S114))^$W114)))</f>
        <v>10</v>
      </c>
      <c r="AO114" s="509">
        <f>MAX(10,$R114/(1+($V114*(('Traffic Data'!AA33*$T114*$U114)/(($I114/2)*$S114))^$W114)))</f>
        <v>10</v>
      </c>
      <c r="AP114" s="509">
        <f>MAX(10,$R114/(1+($V114*(('Traffic Data'!AB33*$T114*$U114)/(($I114/2)*$S114))^$W114)))</f>
        <v>10</v>
      </c>
      <c r="AQ114" s="509">
        <f>MAX(10,$R114/(1+($V114*(('Traffic Data'!AC33*$T114*$U114)/(($I114/2)*$S114))^$W114)))</f>
        <v>10</v>
      </c>
      <c r="AR114" s="509">
        <f>MAX(10,$R114/(1+($V114*(('Traffic Data'!AD33*$T114*$U114)/(($I114/2)*$S114))^$W114)))</f>
        <v>10</v>
      </c>
      <c r="AS114" s="509">
        <f>MAX(10,$R114/(1+($V114*(('Traffic Data'!AE33*$T114*$U114)/(($I114/2)*$S114))^$W114)))</f>
        <v>10</v>
      </c>
      <c r="AT114" s="509">
        <f>MAX(10,$R114/(1+($V114*(('Traffic Data'!AF33*$T114*$U114)/(($I114/2)*$S114))^$W114)))</f>
        <v>10</v>
      </c>
      <c r="AU114" s="509">
        <f>MAX(10,$R114/(1+($V114*(('Traffic Data'!AG33*$T114*$U114)/(($I114/2)*$S114))^$W114)))</f>
        <v>10</v>
      </c>
      <c r="AV114" s="509">
        <f>MAX(10,$R114/(1+($V114*(('Traffic Data'!AH33*$T114*$U114)/(($I114/2)*$S114))^$W114)))</f>
        <v>10</v>
      </c>
      <c r="AW114" s="645">
        <f>MAX(10,$R114/(1+($V114*(('Traffic Data'!AI33*$T114*$U114)/(($I114/2)*$S114))^$W114)))</f>
        <v>10</v>
      </c>
      <c r="AX114" s="373">
        <f>$R114/(1+($V114*(('Traffic Data'!J33*(0.67/14))/(($I114)*$S114))^$W114))</f>
        <v>43.2</v>
      </c>
      <c r="AY114" s="373">
        <f>$R114/(1+($V114*(('Traffic Data'!J33*(0.67/14))/(($I114)*$S114))^$W114))</f>
        <v>43.2</v>
      </c>
      <c r="AZ114" s="373">
        <f>$R114/(1+($V114*(('Traffic Data'!K33*(0.67/14))/(($I114)*$S114))^$W114))</f>
        <v>43.2</v>
      </c>
      <c r="BA114" s="373">
        <f>$R114/(1+($V114*(('Traffic Data'!L33*(0.67/14))/(($I114)*$S114))^$W114))</f>
        <v>43.199999999999974</v>
      </c>
      <c r="BB114" s="373">
        <f>$R114/(1+($V114*(('Traffic Data'!M33*(0.67/14))/(($I114)*$S114))^$W114))</f>
        <v>43.199999999873825</v>
      </c>
      <c r="BC114" s="373">
        <f>$R114/(1+($V114*(('Traffic Data'!N33*(0.67/14))/(($I114)*$S114))^$W114))</f>
        <v>43.199999988794609</v>
      </c>
      <c r="BD114" s="373">
        <f>$R114/(1+($V114*(('Traffic Data'!O33*(0.67/14))/(($I114)*$S114))^$W114))</f>
        <v>43.199999754708365</v>
      </c>
      <c r="BE114" s="373">
        <f>$R114/(1+($V114*(('Traffic Data'!P33*(0.67/14))/(($I114)*$S114))^$W114))</f>
        <v>43.199997419021898</v>
      </c>
      <c r="BF114" s="373">
        <f>$R114/(1+($V114*(('Traffic Data'!Q33*(0.67/14))/(($I114)*$S114))^$W114))</f>
        <v>43.19998263899992</v>
      </c>
      <c r="BG114" s="373">
        <f>$R114/(1+($V114*(('Traffic Data'!R33*(0.67/14))/(($I114)*$S114))^$W114))</f>
        <v>43.199956005596093</v>
      </c>
      <c r="BH114" s="373">
        <f>$R114/(1+($V114*(('Traffic Data'!S33*(0.67/14))/(($I114)*$S114))^$W114))</f>
        <v>43.199896966928101</v>
      </c>
      <c r="BI114" s="373">
        <f>$R114/(1+($V114*(('Traffic Data'!T33*(0.67/14))/(($I114)*$S114))^$W114))</f>
        <v>43.19977430313395</v>
      </c>
      <c r="BJ114" s="373">
        <f>$R114/(1+($V114*(('Traffic Data'!U33*(0.67/14))/(($I114)*$S114))^$W114))</f>
        <v>43.19953310978363</v>
      </c>
      <c r="BK114" s="373">
        <f>$R114/(1+($V114*(('Traffic Data'!V33*(0.67/14))/(($I114)*$S114))^$W114))</f>
        <v>43.199079183736671</v>
      </c>
      <c r="BL114" s="373">
        <f>$R114/(1+($V114*(('Traffic Data'!W33*(0.67/14))/(($I114)*$S114))^$W114))</f>
        <v>43.198845171743933</v>
      </c>
      <c r="BM114" s="373">
        <f>$R114/(1+($V114*(('Traffic Data'!X33*(0.67/14))/(($I114)*$S114))^$W114))</f>
        <v>43.198684718930977</v>
      </c>
      <c r="BN114" s="373">
        <f>$R114/(1+($V114*(('Traffic Data'!Y33*(0.67/14))/(($I114)*$S114))^$W114))</f>
        <v>43.198504474390809</v>
      </c>
      <c r="BO114" s="373">
        <f>$R114/(1+($V114*(('Traffic Data'!Z33*(0.67/14))/(($I114)*$S114))^$W114))</f>
        <v>43.198302297301147</v>
      </c>
      <c r="BP114" s="373">
        <f>$R114/(1+($V114*(('Traffic Data'!AA33*(0.67/14))/(($I114)*$S114))^$W114))</f>
        <v>43.198074900560734</v>
      </c>
      <c r="BQ114" s="373">
        <f>$R114/(1+($V114*(('Traffic Data'!AB33*(0.67/14))/(($I114)*$S114))^$W114))</f>
        <v>43.197821509175874</v>
      </c>
      <c r="BR114" s="373">
        <f>$R114/(1+($V114*(('Traffic Data'!AC33*(0.67/14))/(($I114)*$S114))^$W114))</f>
        <v>43.197537306612446</v>
      </c>
      <c r="BS114" s="373">
        <f>$R114/(1+($V114*(('Traffic Data'!AD33*(0.67/14))/(($I114)*$S114))^$W114))</f>
        <v>43.197221479630073</v>
      </c>
      <c r="BT114" s="373">
        <f>$R114/(1+($V114*(('Traffic Data'!AE33*(0.67/14))/(($I114)*$S114))^$W114))</f>
        <v>43.196869659305271</v>
      </c>
      <c r="BU114" s="373">
        <f>$R114/(1+($V114*(('Traffic Data'!AF33*(0.67/14))/(($I114)*$S114))^$W114))</f>
        <v>43.196476614848827</v>
      </c>
      <c r="BV114" s="373">
        <f>$R114/(1+($V114*(('Traffic Data'!AG33*(0.67/14))/(($I114)*$S114))^$W114))</f>
        <v>43.196041515718015</v>
      </c>
      <c r="BW114" s="626">
        <f>$R114/(1+($V114*(('Traffic Data'!AH33*(0.67/14))/(($I114)*$S114))^$W114))</f>
        <v>43.195558648944235</v>
      </c>
    </row>
    <row r="115" spans="1:75" ht="21.9" customHeight="1" x14ac:dyDescent="0.25">
      <c r="A115" s="617"/>
      <c r="B115" s="283"/>
      <c r="C115" s="1368" t="s">
        <v>308</v>
      </c>
      <c r="D115" s="276" t="s">
        <v>276</v>
      </c>
      <c r="E115" s="276" t="s">
        <v>320</v>
      </c>
      <c r="F115" s="593">
        <f>'Traffic Data'!CM34</f>
        <v>0.83333333333333337</v>
      </c>
      <c r="G115" s="593">
        <f>'Traffic Data'!CN34</f>
        <v>0.88</v>
      </c>
      <c r="H115" s="583">
        <f>'Traffic Data'!G34</f>
        <v>40</v>
      </c>
      <c r="I115" s="583">
        <v>4</v>
      </c>
      <c r="J115" s="583">
        <f t="shared" si="9"/>
        <v>47</v>
      </c>
      <c r="K115" s="583">
        <v>0</v>
      </c>
      <c r="L115" s="583">
        <v>2.5</v>
      </c>
      <c r="M115" s="594">
        <v>0</v>
      </c>
      <c r="N115" s="583">
        <v>1.8</v>
      </c>
      <c r="O115" s="583">
        <v>1.6</v>
      </c>
      <c r="P115" s="583">
        <v>0</v>
      </c>
      <c r="Q115" s="583">
        <v>0</v>
      </c>
      <c r="R115" s="285">
        <f t="shared" si="4"/>
        <v>41.1</v>
      </c>
      <c r="S115" s="584">
        <f>M$25*F115*G115</f>
        <v>1356.6666666666667</v>
      </c>
      <c r="T115" s="585">
        <v>0.12</v>
      </c>
      <c r="U115" s="597">
        <v>0.65</v>
      </c>
      <c r="V115" s="587">
        <f t="shared" si="7"/>
        <v>0.2</v>
      </c>
      <c r="W115" s="651">
        <v>10</v>
      </c>
      <c r="X115" s="373">
        <f>MAX(5,$R115/(1+($V115*(('Traffic Data'!J34*$T115*$U115)/(($I115/2)*$S115))^$W115)))</f>
        <v>41.1</v>
      </c>
      <c r="Y115" s="373">
        <f>$R115/(1+($V115*(('Traffic Data'!K34*$T115*$U115)/(($I115/2)*$S115))^$W115))</f>
        <v>41.1</v>
      </c>
      <c r="Z115" s="373">
        <f>$R115/(1+($V115*(('Traffic Data'!L34*$T115*$U115)/(($I115/2)*$S115))^$W115))</f>
        <v>41.1</v>
      </c>
      <c r="AA115" s="373">
        <f>$R115/(1+($V115*(('Traffic Data'!M34*$T115*$U115)/(($I115/2)*$S115))^$W115))</f>
        <v>41.099999999994417</v>
      </c>
      <c r="AB115" s="373">
        <f>$R115/(1+($V115*(('Traffic Data'!N34*$T115*$U115)/(($I115/2)*$S115))^$W115))</f>
        <v>41.099999999537111</v>
      </c>
      <c r="AC115" s="373">
        <f>$R115/(1+($V115*(('Traffic Data'!O34*$T115*$U115)/(($I115/2)*$S115))^$W115))</f>
        <v>41.099999990190398</v>
      </c>
      <c r="AD115" s="373">
        <f>$R115/(1+($V115*(('Traffic Data'!P34*$T115*$U115)/(($I115/2)*$S115))^$W115))</f>
        <v>41.099999898693142</v>
      </c>
      <c r="AE115" s="373">
        <f>$R115/(1+($V115*(('Traffic Data'!Q34*$T115*$U115)/(($I115/2)*$S115))^$W115))</f>
        <v>41.099999327050369</v>
      </c>
      <c r="AF115" s="373">
        <f>$R115/(1+($V115*(('Traffic Data'!R34*$T115*$U115)/(($I115/2)*$S115))^$W115))</f>
        <v>41.099997653760163</v>
      </c>
      <c r="AG115" s="373">
        <f>$R115/(1+($V115*(('Traffic Data'!S34*$T115*$U115)/(($I115/2)*$S115))^$W115))</f>
        <v>41.099992878726958</v>
      </c>
      <c r="AH115" s="373">
        <f>$R115/(1+($V115*(('Traffic Data'!T34*$T115*$U115)/(($I115/2)*$S115))^$W115))</f>
        <v>41.099980660356351</v>
      </c>
      <c r="AI115" s="373">
        <f>$R115/(1+($V115*(('Traffic Data'!U34*$T115*$U115)/(($I115/2)*$S115))^$W115))</f>
        <v>41.099952037621648</v>
      </c>
      <c r="AJ115" s="373">
        <f>$R115/(1+($V115*(('Traffic Data'!V34*$T115*$U115)/(($I115/2)*$S115))^$W115))</f>
        <v>41.099889604819737</v>
      </c>
      <c r="AK115" s="373">
        <f>$R115/(1+($V115*(('Traffic Data'!W34*$T115*$U115)/(($I115/2)*$S115))^$W115))</f>
        <v>41.099837147249247</v>
      </c>
      <c r="AL115" s="373">
        <f>$R115/(1+($V115*(('Traffic Data'!X34*$T115*$U115)/(($I115/2)*$S115))^$W115))</f>
        <v>41.099819433478061</v>
      </c>
      <c r="AM115" s="373">
        <f>$R115/(1+($V115*(('Traffic Data'!Y34*$T115*$U115)/(($I115/2)*$S115))^$W115))</f>
        <v>41.099800004112645</v>
      </c>
      <c r="AN115" s="373">
        <f>$R115/(1+($V115*(('Traffic Data'!Z34*$T115*$U115)/(($I115/2)*$S115))^$W115))</f>
        <v>41.099778713017592</v>
      </c>
      <c r="AO115" s="373">
        <f>$R115/(1+($V115*(('Traffic Data'!AA34*$T115*$U115)/(($I115/2)*$S115))^$W115))</f>
        <v>41.099755333487764</v>
      </c>
      <c r="AP115" s="373">
        <f>$R115/(1+($V115*(('Traffic Data'!AB34*$T115*$U115)/(($I115/2)*$S115))^$W115))</f>
        <v>41.099729830227254</v>
      </c>
      <c r="AQ115" s="373">
        <f>$R115/(1+($V115*(('Traffic Data'!AC34*$T115*$U115)/(($I115/2)*$S115))^$W115))</f>
        <v>41.099701875520481</v>
      </c>
      <c r="AR115" s="373">
        <f>$R115/(1+($V115*(('Traffic Data'!AD34*$T115*$U115)/(($I115/2)*$S115))^$W115))</f>
        <v>41.099671435026814</v>
      </c>
      <c r="AS115" s="373">
        <f>$R115/(1+($V115*(('Traffic Data'!AE34*$T115*$U115)/(($I115/2)*$S115))^$W115))</f>
        <v>41.099638225218428</v>
      </c>
      <c r="AT115" s="373">
        <f>$R115/(1+($V115*(('Traffic Data'!AF34*$T115*$U115)/(($I115/2)*$S115))^$W115))</f>
        <v>41.099601916217836</v>
      </c>
      <c r="AU115" s="373">
        <f>$R115/(1+($V115*(('Traffic Data'!AG34*$T115*$U115)/(($I115/2)*$S115))^$W115))</f>
        <v>41.099562477650608</v>
      </c>
      <c r="AV115" s="373">
        <f>$R115/(1+($V115*(('Traffic Data'!AH34*$T115*$U115)/(($I115/2)*$S115))^$W115))</f>
        <v>41.099519556825001</v>
      </c>
      <c r="AW115" s="363">
        <f>$R115/(1+($V115*(('Traffic Data'!AI34*$T115*$U115)/(($I115/2)*$S115))^$W115))</f>
        <v>41.099472743791047</v>
      </c>
      <c r="AX115" s="385">
        <f>$R115/(1+($V115*(('Traffic Data'!J34*(0.67/14))/(($I115)*$S115))^$W115))</f>
        <v>41.1</v>
      </c>
      <c r="AY115" s="366">
        <f>$R115/(1+($V115*(('Traffic Data'!J34*(0.67/14))/(($I115)*$S115))^$W115))</f>
        <v>41.1</v>
      </c>
      <c r="AZ115" s="366">
        <f>$R115/(1+($V115*(('Traffic Data'!K34*(0.67/14))/(($I115)*$S115))^$W115))</f>
        <v>41.1</v>
      </c>
      <c r="BA115" s="366">
        <f>$R115/(1+($V115*(('Traffic Data'!L34*(0.67/14))/(($I115)*$S115))^$W115))</f>
        <v>41.1</v>
      </c>
      <c r="BB115" s="366">
        <f>$R115/(1+($V115*(('Traffic Data'!M34*(0.67/14))/(($I115)*$S115))^$W115))</f>
        <v>41.1</v>
      </c>
      <c r="BC115" s="366">
        <f>$R115/(1+($V115*(('Traffic Data'!N34*(0.67/14))/(($I115)*$S115))^$W115))</f>
        <v>41.1</v>
      </c>
      <c r="BD115" s="366">
        <f>$R115/(1+($V115*(('Traffic Data'!O34*(0.67/14))/(($I115)*$S115))^$W115))</f>
        <v>41.09999999999993</v>
      </c>
      <c r="BE115" s="366">
        <f>$R115/(1+($V115*(('Traffic Data'!P34*(0.67/14))/(($I115)*$S115))^$W115))</f>
        <v>41.099999999999255</v>
      </c>
      <c r="BF115" s="366">
        <f>$R115/(1+($V115*(('Traffic Data'!Q34*(0.67/14))/(($I115)*$S115))^$W115))</f>
        <v>41.099999999995035</v>
      </c>
      <c r="BG115" s="366">
        <f>$R115/(1+($V115*(('Traffic Data'!R34*(0.67/14))/(($I115)*$S115))^$W115))</f>
        <v>41.099999999982678</v>
      </c>
      <c r="BH115" s="366">
        <f>$R115/(1+($V115*(('Traffic Data'!S34*(0.67/14))/(($I115)*$S115))^$W115))</f>
        <v>41.099999999947428</v>
      </c>
      <c r="BI115" s="366">
        <f>$R115/(1+($V115*(('Traffic Data'!T34*(0.67/14))/(($I115)*$S115))^$W115))</f>
        <v>41.099999999857225</v>
      </c>
      <c r="BJ115" s="366">
        <f>$R115/(1+($V115*(('Traffic Data'!U34*(0.67/14))/(($I115)*$S115))^$W115))</f>
        <v>41.099999999645902</v>
      </c>
      <c r="BK115" s="366">
        <f>$R115/(1+($V115*(('Traffic Data'!V34*(0.67/14))/(($I115)*$S115))^$W115))</f>
        <v>41.099999999184973</v>
      </c>
      <c r="BL115" s="366">
        <f>$R115/(1+($V115*(('Traffic Data'!W34*(0.67/14))/(($I115)*$S115))^$W115))</f>
        <v>41.099999998797685</v>
      </c>
      <c r="BM115" s="366">
        <f>$R115/(1+($V115*(('Traffic Data'!X34*(0.67/14))/(($I115)*$S115))^$W115))</f>
        <v>41.09999999866691</v>
      </c>
      <c r="BN115" s="366">
        <f>$R115/(1+($V115*(('Traffic Data'!Y34*(0.67/14))/(($I115)*$S115))^$W115))</f>
        <v>41.099999998523465</v>
      </c>
      <c r="BO115" s="366">
        <f>$R115/(1+($V115*(('Traffic Data'!Z34*(0.67/14))/(($I115)*$S115))^$W115))</f>
        <v>41.099999998366279</v>
      </c>
      <c r="BP115" s="366">
        <f>$R115/(1+($V115*(('Traffic Data'!AA34*(0.67/14))/(($I115)*$S115))^$W115))</f>
        <v>41.099999998193667</v>
      </c>
      <c r="BQ115" s="366">
        <f>$R115/(1+($V115*(('Traffic Data'!AB34*(0.67/14))/(($I115)*$S115))^$W115))</f>
        <v>41.09999999800538</v>
      </c>
      <c r="BR115" s="366">
        <f>$R115/(1+($V115*(('Traffic Data'!AC34*(0.67/14))/(($I115)*$S115))^$W115))</f>
        <v>41.099999997798982</v>
      </c>
      <c r="BS115" s="366">
        <f>$R115/(1+($V115*(('Traffic Data'!AD34*(0.67/14))/(($I115)*$S115))^$W115))</f>
        <v>41.099999997574244</v>
      </c>
      <c r="BT115" s="366">
        <f>$R115/(1+($V115*(('Traffic Data'!AE34*(0.67/14))/(($I115)*$S115))^$W115))</f>
        <v>41.099999997329064</v>
      </c>
      <c r="BU115" s="366">
        <f>$R115/(1+($V115*(('Traffic Data'!AF34*(0.67/14))/(($I115)*$S115))^$W115))</f>
        <v>41.099999997060998</v>
      </c>
      <c r="BV115" s="366">
        <f>$R115/(1+($V115*(('Traffic Data'!AG34*(0.67/14))/(($I115)*$S115))^$W115))</f>
        <v>41.099999996769824</v>
      </c>
      <c r="BW115" s="627">
        <f>$R115/(1+($V115*(('Traffic Data'!AH34*(0.67/14))/(($I115)*$S115))^$W115))</f>
        <v>41.099999996452944</v>
      </c>
    </row>
    <row r="116" spans="1:75" ht="21.9" customHeight="1" x14ac:dyDescent="0.25">
      <c r="A116" s="617"/>
      <c r="B116" s="283"/>
      <c r="C116" s="1369"/>
      <c r="D116" s="284" t="s">
        <v>320</v>
      </c>
      <c r="E116" s="284" t="s">
        <v>282</v>
      </c>
      <c r="F116" s="582">
        <f>'Traffic Data'!CM34</f>
        <v>0.83333333333333337</v>
      </c>
      <c r="G116" s="582">
        <f>'Traffic Data'!CN34</f>
        <v>0.88</v>
      </c>
      <c r="H116" s="583">
        <f>'Traffic Data'!G35</f>
        <v>40</v>
      </c>
      <c r="I116" s="583">
        <v>4</v>
      </c>
      <c r="J116" s="583">
        <f t="shared" si="9"/>
        <v>47</v>
      </c>
      <c r="K116" s="583">
        <v>0</v>
      </c>
      <c r="L116" s="583">
        <v>2.5</v>
      </c>
      <c r="M116" s="583">
        <v>0</v>
      </c>
      <c r="N116" s="583">
        <v>1.8</v>
      </c>
      <c r="O116" s="583">
        <v>1.6</v>
      </c>
      <c r="P116" s="583">
        <v>0</v>
      </c>
      <c r="Q116" s="583">
        <v>0</v>
      </c>
      <c r="R116" s="285">
        <f t="shared" si="4"/>
        <v>41.1</v>
      </c>
      <c r="S116" s="584">
        <f>M$25*F116*G116</f>
        <v>1356.6666666666667</v>
      </c>
      <c r="T116" s="585">
        <v>0.12</v>
      </c>
      <c r="U116" s="586">
        <v>0.65</v>
      </c>
      <c r="V116" s="587">
        <f t="shared" si="7"/>
        <v>0.2</v>
      </c>
      <c r="W116" s="588">
        <v>10</v>
      </c>
      <c r="X116" s="384">
        <f>$R116/(1+($V116*(('Traffic Data'!J35*$T116*$U116)/(($I116/2)*$S116))^$W116))</f>
        <v>41.1</v>
      </c>
      <c r="Y116" s="373">
        <f>$R116/(1+($V116*(('Traffic Data'!K35*$T116*$U116)/(($I116/2)*$S116))^$W116))</f>
        <v>41.1</v>
      </c>
      <c r="Z116" s="373">
        <f>$R116/(1+($V116*(('Traffic Data'!L35*$T116*$U116)/(($I116/2)*$S116))^$W116))</f>
        <v>41.1</v>
      </c>
      <c r="AA116" s="373">
        <f>$R116/(1+($V116*(('Traffic Data'!M35*$T116*$U116)/(($I116/2)*$S116))^$W116))</f>
        <v>41.099999999994417</v>
      </c>
      <c r="AB116" s="373">
        <f>$R116/(1+($V116*(('Traffic Data'!N35*$T116*$U116)/(($I116/2)*$S116))^$W116))</f>
        <v>41.099999999537111</v>
      </c>
      <c r="AC116" s="373">
        <f>$R116/(1+($V116*(('Traffic Data'!O35*$T116*$U116)/(($I116/2)*$S116))^$W116))</f>
        <v>41.099999990190398</v>
      </c>
      <c r="AD116" s="373">
        <f>$R116/(1+($V116*(('Traffic Data'!P35*$T116*$U116)/(($I116/2)*$S116))^$W116))</f>
        <v>41.099999898693142</v>
      </c>
      <c r="AE116" s="373">
        <f>$R116/(1+($V116*(('Traffic Data'!Q35*$T116*$U116)/(($I116/2)*$S116))^$W116))</f>
        <v>41.099999327050369</v>
      </c>
      <c r="AF116" s="373">
        <f>$R116/(1+($V116*(('Traffic Data'!R35*$T116*$U116)/(($I116/2)*$S116))^$W116))</f>
        <v>41.099997653760163</v>
      </c>
      <c r="AG116" s="373">
        <f>$R116/(1+($V116*(('Traffic Data'!S35*$T116*$U116)/(($I116/2)*$S116))^$W116))</f>
        <v>41.099992878726958</v>
      </c>
      <c r="AH116" s="373">
        <f>$R116/(1+($V116*(('Traffic Data'!T35*$T116*$U116)/(($I116/2)*$S116))^$W116))</f>
        <v>41.099980660356351</v>
      </c>
      <c r="AI116" s="373">
        <f>$R116/(1+($V116*(('Traffic Data'!U35*$T116*$U116)/(($I116/2)*$S116))^$W116))</f>
        <v>41.099952037621648</v>
      </c>
      <c r="AJ116" s="373">
        <f>$R116/(1+($V116*(('Traffic Data'!V35*$T116*$U116)/(($I116/2)*$S116))^$W116))</f>
        <v>41.099889604819737</v>
      </c>
      <c r="AK116" s="373">
        <f>$R116/(1+($V116*(('Traffic Data'!W35*$T116*$U116)/(($I116/2)*$S116))^$W116))</f>
        <v>41.099837147249247</v>
      </c>
      <c r="AL116" s="373">
        <f>$R116/(1+($V116*(('Traffic Data'!X35*$T116*$U116)/(($I116/2)*$S116))^$W116))</f>
        <v>41.099819433478061</v>
      </c>
      <c r="AM116" s="373">
        <f>$R116/(1+($V116*(('Traffic Data'!Y35*$T116*$U116)/(($I116/2)*$S116))^$W116))</f>
        <v>41.099800004112645</v>
      </c>
      <c r="AN116" s="373">
        <f>$R116/(1+($V116*(('Traffic Data'!Z35*$T116*$U116)/(($I116/2)*$S116))^$W116))</f>
        <v>41.099778713017592</v>
      </c>
      <c r="AO116" s="373">
        <f>$R116/(1+($V116*(('Traffic Data'!AA35*$T116*$U116)/(($I116/2)*$S116))^$W116))</f>
        <v>41.099755333487764</v>
      </c>
      <c r="AP116" s="373">
        <f>$R116/(1+($V116*(('Traffic Data'!AB35*$T116*$U116)/(($I116/2)*$S116))^$W116))</f>
        <v>41.099729830227254</v>
      </c>
      <c r="AQ116" s="373">
        <f>$R116/(1+($V116*(('Traffic Data'!AC35*$T116*$U116)/(($I116/2)*$S116))^$W116))</f>
        <v>41.099701875520481</v>
      </c>
      <c r="AR116" s="373">
        <f>$R116/(1+($V116*(('Traffic Data'!AD35*$T116*$U116)/(($I116/2)*$S116))^$W116))</f>
        <v>41.099671435026814</v>
      </c>
      <c r="AS116" s="373">
        <f>$R116/(1+($V116*(('Traffic Data'!AE35*$T116*$U116)/(($I116/2)*$S116))^$W116))</f>
        <v>41.099638225218428</v>
      </c>
      <c r="AT116" s="373">
        <f>$R116/(1+($V116*(('Traffic Data'!AF35*$T116*$U116)/(($I116/2)*$S116))^$W116))</f>
        <v>41.099601916217836</v>
      </c>
      <c r="AU116" s="373">
        <f>$R116/(1+($V116*(('Traffic Data'!AG35*$T116*$U116)/(($I116/2)*$S116))^$W116))</f>
        <v>41.099562477650608</v>
      </c>
      <c r="AV116" s="373">
        <f>$R116/(1+($V116*(('Traffic Data'!AH35*$T116*$U116)/(($I116/2)*$S116))^$W116))</f>
        <v>41.099519556825001</v>
      </c>
      <c r="AW116" s="363">
        <f>$R116/(1+($V116*(('Traffic Data'!AI35*$T116*$U116)/(($I116/2)*$S116))^$W116))</f>
        <v>41.099472743791047</v>
      </c>
      <c r="AX116" s="384">
        <f>$R116/(1+($V116*(('Traffic Data'!J35*(0.67/14))/(($I116)*$S116))^$W116))</f>
        <v>41.1</v>
      </c>
      <c r="AY116" s="373">
        <f>$R116/(1+($V116*(('Traffic Data'!J35*(0.67/14))/(($I116)*$S116))^$W116))</f>
        <v>41.1</v>
      </c>
      <c r="AZ116" s="373">
        <f>$R116/(1+($V116*(('Traffic Data'!K35*(0.67/14))/(($I116)*$S116))^$W116))</f>
        <v>41.1</v>
      </c>
      <c r="BA116" s="373">
        <f>$R116/(1+($V116*(('Traffic Data'!L35*(0.67/14))/(($I116)*$S116))^$W116))</f>
        <v>41.1</v>
      </c>
      <c r="BB116" s="373">
        <f>$R116/(1+($V116*(('Traffic Data'!M35*(0.67/14))/(($I116)*$S116))^$W116))</f>
        <v>41.1</v>
      </c>
      <c r="BC116" s="373">
        <f>$R116/(1+($V116*(('Traffic Data'!N35*(0.67/14))/(($I116)*$S116))^$W116))</f>
        <v>41.1</v>
      </c>
      <c r="BD116" s="373">
        <f>$R116/(1+($V116*(('Traffic Data'!O35*(0.67/14))/(($I116)*$S116))^$W116))</f>
        <v>41.09999999999993</v>
      </c>
      <c r="BE116" s="373">
        <f>$R116/(1+($V116*(('Traffic Data'!P35*(0.67/14))/(($I116)*$S116))^$W116))</f>
        <v>41.099999999999255</v>
      </c>
      <c r="BF116" s="373">
        <f>$R116/(1+($V116*(('Traffic Data'!Q35*(0.67/14))/(($I116)*$S116))^$W116))</f>
        <v>41.099999999995035</v>
      </c>
      <c r="BG116" s="373">
        <f>$R116/(1+($V116*(('Traffic Data'!R35*(0.67/14))/(($I116)*$S116))^$W116))</f>
        <v>41.099999999982678</v>
      </c>
      <c r="BH116" s="373">
        <f>$R116/(1+($V116*(('Traffic Data'!S35*(0.67/14))/(($I116)*$S116))^$W116))</f>
        <v>41.099999999947428</v>
      </c>
      <c r="BI116" s="373">
        <f>$R116/(1+($V116*(('Traffic Data'!T35*(0.67/14))/(($I116)*$S116))^$W116))</f>
        <v>41.099999999857225</v>
      </c>
      <c r="BJ116" s="373">
        <f>$R116/(1+($V116*(('Traffic Data'!U35*(0.67/14))/(($I116)*$S116))^$W116))</f>
        <v>41.099999999645902</v>
      </c>
      <c r="BK116" s="373">
        <f>$R116/(1+($V116*(('Traffic Data'!V35*(0.67/14))/(($I116)*$S116))^$W116))</f>
        <v>41.099999999184973</v>
      </c>
      <c r="BL116" s="373">
        <f>$R116/(1+($V116*(('Traffic Data'!W35*(0.67/14))/(($I116)*$S116))^$W116))</f>
        <v>41.099999998797685</v>
      </c>
      <c r="BM116" s="373">
        <f>$R116/(1+($V116*(('Traffic Data'!X35*(0.67/14))/(($I116)*$S116))^$W116))</f>
        <v>41.09999999866691</v>
      </c>
      <c r="BN116" s="373">
        <f>$R116/(1+($V116*(('Traffic Data'!Y35*(0.67/14))/(($I116)*$S116))^$W116))</f>
        <v>41.099999998523465</v>
      </c>
      <c r="BO116" s="373">
        <f>$R116/(1+($V116*(('Traffic Data'!Z35*(0.67/14))/(($I116)*$S116))^$W116))</f>
        <v>41.099999998366279</v>
      </c>
      <c r="BP116" s="373">
        <f>$R116/(1+($V116*(('Traffic Data'!AA35*(0.67/14))/(($I116)*$S116))^$W116))</f>
        <v>41.099999998193667</v>
      </c>
      <c r="BQ116" s="373">
        <f>$R116/(1+($V116*(('Traffic Data'!AB35*(0.67/14))/(($I116)*$S116))^$W116))</f>
        <v>41.09999999800538</v>
      </c>
      <c r="BR116" s="373">
        <f>$R116/(1+($V116*(('Traffic Data'!AC35*(0.67/14))/(($I116)*$S116))^$W116))</f>
        <v>41.099999997798982</v>
      </c>
      <c r="BS116" s="373">
        <f>$R116/(1+($V116*(('Traffic Data'!AD35*(0.67/14))/(($I116)*$S116))^$W116))</f>
        <v>41.099999997574244</v>
      </c>
      <c r="BT116" s="373">
        <f>$R116/(1+($V116*(('Traffic Data'!AE35*(0.67/14))/(($I116)*$S116))^$W116))</f>
        <v>41.099999997329064</v>
      </c>
      <c r="BU116" s="373">
        <f>$R116/(1+($V116*(('Traffic Data'!AF35*(0.67/14))/(($I116)*$S116))^$W116))</f>
        <v>41.099999997060998</v>
      </c>
      <c r="BV116" s="373">
        <f>$R116/(1+($V116*(('Traffic Data'!AG35*(0.67/14))/(($I116)*$S116))^$W116))</f>
        <v>41.099999996769824</v>
      </c>
      <c r="BW116" s="626">
        <f>$R116/(1+($V116*(('Traffic Data'!AH35*(0.67/14))/(($I116)*$S116))^$W116))</f>
        <v>41.099999996452944</v>
      </c>
    </row>
    <row r="117" spans="1:75" ht="21.9" customHeight="1" x14ac:dyDescent="0.25">
      <c r="A117" s="617"/>
      <c r="B117" s="283"/>
      <c r="C117" s="1369"/>
      <c r="D117" s="284" t="s">
        <v>282</v>
      </c>
      <c r="E117" s="284" t="s">
        <v>321</v>
      </c>
      <c r="F117" s="582">
        <f>'Traffic Data'!CM34</f>
        <v>0.83333333333333337</v>
      </c>
      <c r="G117" s="582">
        <f>'Traffic Data'!CN34</f>
        <v>0.88</v>
      </c>
      <c r="H117" s="583">
        <f>'Traffic Data'!G36</f>
        <v>40</v>
      </c>
      <c r="I117" s="583">
        <v>4</v>
      </c>
      <c r="J117" s="583">
        <f t="shared" si="9"/>
        <v>47</v>
      </c>
      <c r="K117" s="583">
        <v>0</v>
      </c>
      <c r="L117" s="583">
        <v>2.5</v>
      </c>
      <c r="M117" s="583">
        <v>0</v>
      </c>
      <c r="N117" s="583">
        <v>1.8</v>
      </c>
      <c r="O117" s="583">
        <v>1.6</v>
      </c>
      <c r="P117" s="583">
        <v>0</v>
      </c>
      <c r="Q117" s="583">
        <v>0</v>
      </c>
      <c r="R117" s="285">
        <f t="shared" si="4"/>
        <v>41.1</v>
      </c>
      <c r="S117" s="584">
        <f>M$25*F117*G117</f>
        <v>1356.6666666666667</v>
      </c>
      <c r="T117" s="585">
        <v>0.12</v>
      </c>
      <c r="U117" s="586">
        <v>0.65</v>
      </c>
      <c r="V117" s="587">
        <f t="shared" si="7"/>
        <v>0.2</v>
      </c>
      <c r="W117" s="588">
        <v>10</v>
      </c>
      <c r="X117" s="384">
        <f>$R117/(1+($V117*(('Traffic Data'!J36*$T117*$U117)/(($I117/2)*$S117))^$W117))</f>
        <v>41.1</v>
      </c>
      <c r="Y117" s="373">
        <f>$R117/(1+($V117*(('Traffic Data'!K36*$T117*$U117)/(($I117/2)*$S117))^$W117))</f>
        <v>41.1</v>
      </c>
      <c r="Z117" s="373">
        <f>$R117/(1+($V117*(('Traffic Data'!L36*$T117*$U117)/(($I117/2)*$S117))^$W117))</f>
        <v>41.1</v>
      </c>
      <c r="AA117" s="373">
        <f>$R117/(1+($V117*(('Traffic Data'!M36*$T117*$U117)/(($I117/2)*$S117))^$W117))</f>
        <v>41.099999999994417</v>
      </c>
      <c r="AB117" s="373">
        <f>$R117/(1+($V117*(('Traffic Data'!N36*$T117*$U117)/(($I117/2)*$S117))^$W117))</f>
        <v>41.099999999537111</v>
      </c>
      <c r="AC117" s="373">
        <f>$R117/(1+($V117*(('Traffic Data'!O36*$T117*$U117)/(($I117/2)*$S117))^$W117))</f>
        <v>41.099999990190398</v>
      </c>
      <c r="AD117" s="373">
        <f>$R117/(1+($V117*(('Traffic Data'!P36*$T117*$U117)/(($I117/2)*$S117))^$W117))</f>
        <v>41.099999898693142</v>
      </c>
      <c r="AE117" s="373">
        <f>$R117/(1+($V117*(('Traffic Data'!Q36*$T117*$U117)/(($I117/2)*$S117))^$W117))</f>
        <v>41.099999327050369</v>
      </c>
      <c r="AF117" s="373">
        <f>$R117/(1+($V117*(('Traffic Data'!R36*$T117*$U117)/(($I117/2)*$S117))^$W117))</f>
        <v>41.099997653760163</v>
      </c>
      <c r="AG117" s="373">
        <f>$R117/(1+($V117*(('Traffic Data'!S36*$T117*$U117)/(($I117/2)*$S117))^$W117))</f>
        <v>41.099992878726958</v>
      </c>
      <c r="AH117" s="373">
        <f>$R117/(1+($V117*(('Traffic Data'!T36*$T117*$U117)/(($I117/2)*$S117))^$W117))</f>
        <v>41.099980660356351</v>
      </c>
      <c r="AI117" s="373">
        <f>$R117/(1+($V117*(('Traffic Data'!U36*$T117*$U117)/(($I117/2)*$S117))^$W117))</f>
        <v>41.099952037621648</v>
      </c>
      <c r="AJ117" s="373">
        <f>$R117/(1+($V117*(('Traffic Data'!V36*$T117*$U117)/(($I117/2)*$S117))^$W117))</f>
        <v>41.099889604819737</v>
      </c>
      <c r="AK117" s="373">
        <f>$R117/(1+($V117*(('Traffic Data'!W36*$T117*$U117)/(($I117/2)*$S117))^$W117))</f>
        <v>41.099837147249247</v>
      </c>
      <c r="AL117" s="373">
        <f>$R117/(1+($V117*(('Traffic Data'!X36*$T117*$U117)/(($I117/2)*$S117))^$W117))</f>
        <v>41.099819433478061</v>
      </c>
      <c r="AM117" s="373">
        <f>$R117/(1+($V117*(('Traffic Data'!Y36*$T117*$U117)/(($I117/2)*$S117))^$W117))</f>
        <v>41.099800004112645</v>
      </c>
      <c r="AN117" s="373">
        <f>$R117/(1+($V117*(('Traffic Data'!Z36*$T117*$U117)/(($I117/2)*$S117))^$W117))</f>
        <v>41.099778713017592</v>
      </c>
      <c r="AO117" s="373">
        <f>$R117/(1+($V117*(('Traffic Data'!AA36*$T117*$U117)/(($I117/2)*$S117))^$W117))</f>
        <v>41.099755333487764</v>
      </c>
      <c r="AP117" s="373">
        <f>$R117/(1+($V117*(('Traffic Data'!AB36*$T117*$U117)/(($I117/2)*$S117))^$W117))</f>
        <v>41.099729830227254</v>
      </c>
      <c r="AQ117" s="373">
        <f>$R117/(1+($V117*(('Traffic Data'!AC36*$T117*$U117)/(($I117/2)*$S117))^$W117))</f>
        <v>41.099701875520481</v>
      </c>
      <c r="AR117" s="373">
        <f>$R117/(1+($V117*(('Traffic Data'!AD36*$T117*$U117)/(($I117/2)*$S117))^$W117))</f>
        <v>41.099671435026814</v>
      </c>
      <c r="AS117" s="373">
        <f>$R117/(1+($V117*(('Traffic Data'!AE36*$T117*$U117)/(($I117/2)*$S117))^$W117))</f>
        <v>41.099638225218428</v>
      </c>
      <c r="AT117" s="373">
        <f>$R117/(1+($V117*(('Traffic Data'!AF36*$T117*$U117)/(($I117/2)*$S117))^$W117))</f>
        <v>41.099601916217836</v>
      </c>
      <c r="AU117" s="373">
        <f>$R117/(1+($V117*(('Traffic Data'!AG36*$T117*$U117)/(($I117/2)*$S117))^$W117))</f>
        <v>41.099562477650608</v>
      </c>
      <c r="AV117" s="373">
        <f>$R117/(1+($V117*(('Traffic Data'!AH36*$T117*$U117)/(($I117/2)*$S117))^$W117))</f>
        <v>41.099519556825001</v>
      </c>
      <c r="AW117" s="363">
        <f>$R117/(1+($V117*(('Traffic Data'!AI36*$T117*$U117)/(($I117/2)*$S117))^$W117))</f>
        <v>41.099472743791047</v>
      </c>
      <c r="AX117" s="384">
        <f>$R117/(1+($V117*(('Traffic Data'!J36*(0.67/14))/(($I117)*$S117))^$W117))</f>
        <v>41.1</v>
      </c>
      <c r="AY117" s="373">
        <f>$R117/(1+($V117*(('Traffic Data'!J36*(0.67/14))/(($I117)*$S117))^$W117))</f>
        <v>41.1</v>
      </c>
      <c r="AZ117" s="373">
        <f>$R117/(1+($V117*(('Traffic Data'!K36*(0.67/14))/(($I117)*$S117))^$W117))</f>
        <v>41.1</v>
      </c>
      <c r="BA117" s="373">
        <f>$R117/(1+($V117*(('Traffic Data'!L36*(0.67/14))/(($I117)*$S117))^$W117))</f>
        <v>41.1</v>
      </c>
      <c r="BB117" s="373">
        <f>$R117/(1+($V117*(('Traffic Data'!M36*(0.67/14))/(($I117)*$S117))^$W117))</f>
        <v>41.1</v>
      </c>
      <c r="BC117" s="373">
        <f>$R117/(1+($V117*(('Traffic Data'!N36*(0.67/14))/(($I117)*$S117))^$W117))</f>
        <v>41.1</v>
      </c>
      <c r="BD117" s="373">
        <f>$R117/(1+($V117*(('Traffic Data'!O36*(0.67/14))/(($I117)*$S117))^$W117))</f>
        <v>41.09999999999993</v>
      </c>
      <c r="BE117" s="373">
        <f>$R117/(1+($V117*(('Traffic Data'!P36*(0.67/14))/(($I117)*$S117))^$W117))</f>
        <v>41.099999999999255</v>
      </c>
      <c r="BF117" s="373">
        <f>$R117/(1+($V117*(('Traffic Data'!Q36*(0.67/14))/(($I117)*$S117))^$W117))</f>
        <v>41.099999999995035</v>
      </c>
      <c r="BG117" s="373">
        <f>$R117/(1+($V117*(('Traffic Data'!R36*(0.67/14))/(($I117)*$S117))^$W117))</f>
        <v>41.099999999982678</v>
      </c>
      <c r="BH117" s="373">
        <f>$R117/(1+($V117*(('Traffic Data'!S36*(0.67/14))/(($I117)*$S117))^$W117))</f>
        <v>41.099999999947428</v>
      </c>
      <c r="BI117" s="373">
        <f>$R117/(1+($V117*(('Traffic Data'!T36*(0.67/14))/(($I117)*$S117))^$W117))</f>
        <v>41.099999999857225</v>
      </c>
      <c r="BJ117" s="373">
        <f>$R117/(1+($V117*(('Traffic Data'!U36*(0.67/14))/(($I117)*$S117))^$W117))</f>
        <v>41.099999999645902</v>
      </c>
      <c r="BK117" s="373">
        <f>$R117/(1+($V117*(('Traffic Data'!V36*(0.67/14))/(($I117)*$S117))^$W117))</f>
        <v>41.099999999184973</v>
      </c>
      <c r="BL117" s="373">
        <f>$R117/(1+($V117*(('Traffic Data'!W36*(0.67/14))/(($I117)*$S117))^$W117))</f>
        <v>41.099999998797685</v>
      </c>
      <c r="BM117" s="373">
        <f>$R117/(1+($V117*(('Traffic Data'!X36*(0.67/14))/(($I117)*$S117))^$W117))</f>
        <v>41.09999999866691</v>
      </c>
      <c r="BN117" s="373">
        <f>$R117/(1+($V117*(('Traffic Data'!Y36*(0.67/14))/(($I117)*$S117))^$W117))</f>
        <v>41.099999998523465</v>
      </c>
      <c r="BO117" s="373">
        <f>$R117/(1+($V117*(('Traffic Data'!Z36*(0.67/14))/(($I117)*$S117))^$W117))</f>
        <v>41.099999998366279</v>
      </c>
      <c r="BP117" s="373">
        <f>$R117/(1+($V117*(('Traffic Data'!AA36*(0.67/14))/(($I117)*$S117))^$W117))</f>
        <v>41.099999998193667</v>
      </c>
      <c r="BQ117" s="373">
        <f>$R117/(1+($V117*(('Traffic Data'!AB36*(0.67/14))/(($I117)*$S117))^$W117))</f>
        <v>41.09999999800538</v>
      </c>
      <c r="BR117" s="373">
        <f>$R117/(1+($V117*(('Traffic Data'!AC36*(0.67/14))/(($I117)*$S117))^$W117))</f>
        <v>41.099999997798982</v>
      </c>
      <c r="BS117" s="373">
        <f>$R117/(1+($V117*(('Traffic Data'!AD36*(0.67/14))/(($I117)*$S117))^$W117))</f>
        <v>41.099999997574244</v>
      </c>
      <c r="BT117" s="373">
        <f>$R117/(1+($V117*(('Traffic Data'!AE36*(0.67/14))/(($I117)*$S117))^$W117))</f>
        <v>41.099999997329064</v>
      </c>
      <c r="BU117" s="373">
        <f>$R117/(1+($V117*(('Traffic Data'!AF36*(0.67/14))/(($I117)*$S117))^$W117))</f>
        <v>41.099999997060998</v>
      </c>
      <c r="BV117" s="373">
        <f>$R117/(1+($V117*(('Traffic Data'!AG36*(0.67/14))/(($I117)*$S117))^$W117))</f>
        <v>41.099999996769824</v>
      </c>
      <c r="BW117" s="626">
        <f>$R117/(1+($V117*(('Traffic Data'!AH36*(0.67/14))/(($I117)*$S117))^$W117))</f>
        <v>41.099999996452944</v>
      </c>
    </row>
    <row r="118" spans="1:75" ht="21.9" customHeight="1" x14ac:dyDescent="0.25">
      <c r="A118" s="617"/>
      <c r="B118" s="283"/>
      <c r="C118" s="1369"/>
      <c r="D118" s="284" t="s">
        <v>321</v>
      </c>
      <c r="E118" s="284" t="s">
        <v>274</v>
      </c>
      <c r="F118" s="582">
        <f>'Traffic Data'!CM34</f>
        <v>0.83333333333333337</v>
      </c>
      <c r="G118" s="582">
        <f>'Traffic Data'!CN34</f>
        <v>0.88</v>
      </c>
      <c r="H118" s="590">
        <f>'Traffic Data'!G37</f>
        <v>40</v>
      </c>
      <c r="I118" s="590">
        <v>4</v>
      </c>
      <c r="J118" s="590">
        <f t="shared" si="9"/>
        <v>47</v>
      </c>
      <c r="K118" s="583">
        <v>0</v>
      </c>
      <c r="L118" s="583">
        <v>2.5</v>
      </c>
      <c r="M118" s="583">
        <v>0</v>
      </c>
      <c r="N118" s="583">
        <v>1.8</v>
      </c>
      <c r="O118" s="583">
        <v>1.6</v>
      </c>
      <c r="P118" s="583">
        <v>0</v>
      </c>
      <c r="Q118" s="583">
        <v>0</v>
      </c>
      <c r="R118" s="298">
        <f t="shared" si="4"/>
        <v>41.1</v>
      </c>
      <c r="S118" s="598">
        <f>M$25*F118*G118</f>
        <v>1356.6666666666667</v>
      </c>
      <c r="T118" s="599">
        <v>0.12</v>
      </c>
      <c r="U118" s="600">
        <v>0.65</v>
      </c>
      <c r="V118" s="587">
        <f t="shared" si="7"/>
        <v>0.2</v>
      </c>
      <c r="W118" s="592">
        <v>10</v>
      </c>
      <c r="X118" s="386">
        <f>$R118/(1+($V118*(('Traffic Data'!J37*$T118*$U118)/(($I118/2)*$S118))^$W118))</f>
        <v>41.1</v>
      </c>
      <c r="Y118" s="364">
        <f>$R118/(1+($V118*(('Traffic Data'!K37*$T118*$U118)/(($I118/2)*$S118))^$W118))</f>
        <v>41.1</v>
      </c>
      <c r="Z118" s="364">
        <f>$R118/(1+($V118*(('Traffic Data'!L37*$T118*$U118)/(($I118/2)*$S118))^$W118))</f>
        <v>41.1</v>
      </c>
      <c r="AA118" s="364">
        <f>$R118/(1+($V118*(('Traffic Data'!M37*$T118*$U118)/(($I118/2)*$S118))^$W118))</f>
        <v>41.099999999999994</v>
      </c>
      <c r="AB118" s="364">
        <f>$R118/(1+($V118*(('Traffic Data'!N37*$T118*$U118)/(($I118/2)*$S118))^$W118))</f>
        <v>41.099999999999746</v>
      </c>
      <c r="AC118" s="364">
        <f>$R118/(1+($V118*(('Traffic Data'!O37*$T118*$U118)/(($I118/2)*$S118))^$W118))</f>
        <v>41.099999999996534</v>
      </c>
      <c r="AD118" s="364">
        <f>$R118/(1+($V118*(('Traffic Data'!P37*$T118*$U118)/(($I118/2)*$S118))^$W118))</f>
        <v>41.099999999972717</v>
      </c>
      <c r="AE118" s="364">
        <f>$R118/(1+($V118*(('Traffic Data'!Q37*$T118*$U118)/(($I118/2)*$S118))^$W118))</f>
        <v>41.099999999849366</v>
      </c>
      <c r="AF118" s="364">
        <f>$R118/(1+($V118*(('Traffic Data'!R37*$T118*$U118)/(($I118/2)*$S118))^$W118))</f>
        <v>41.09999999565099</v>
      </c>
      <c r="AG118" s="364">
        <f>$R118/(1+($V118*(('Traffic Data'!S37*$T118*$U118)/(($I118/2)*$S118))^$W118))</f>
        <v>41.099999946420276</v>
      </c>
      <c r="AH118" s="364">
        <f>$R118/(1+($V118*(('Traffic Data'!T37*$T118*$U118)/(($I118/2)*$S118))^$W118))</f>
        <v>41.099999601975071</v>
      </c>
      <c r="AI118" s="364">
        <f>$R118/(1+($V118*(('Traffic Data'!U37*$T118*$U118)/(($I118/2)*$S118))^$W118))</f>
        <v>41.099997884952387</v>
      </c>
      <c r="AJ118" s="364">
        <f>$R118/(1+($V118*(('Traffic Data'!V37*$T118*$U118)/(($I118/2)*$S118))^$W118))</f>
        <v>41.099991155889384</v>
      </c>
      <c r="AK118" s="364">
        <f>$R118/(1+($V118*(('Traffic Data'!W37*$T118*$U118)/(($I118/2)*$S118))^$W118))</f>
        <v>41.099976722031698</v>
      </c>
      <c r="AL118" s="364">
        <f>$R118/(1+($V118*(('Traffic Data'!X37*$T118*$U118)/(($I118/2)*$S118))^$W118))</f>
        <v>41.099972936560661</v>
      </c>
      <c r="AM118" s="364">
        <f>$R118/(1+($V118*(('Traffic Data'!Y37*$T118*$U118)/(($I118/2)*$S118))^$W118))</f>
        <v>41.099968605792853</v>
      </c>
      <c r="AN118" s="364">
        <f>$R118/(1+($V118*(('Traffic Data'!Z37*$T118*$U118)/(($I118/2)*$S118))^$W118))</f>
        <v>41.099963660990575</v>
      </c>
      <c r="AO118" s="364">
        <f>$R118/(1+($V118*(('Traffic Data'!AA37*$T118*$U118)/(($I118/2)*$S118))^$W118))</f>
        <v>41.09995804431113</v>
      </c>
      <c r="AP118" s="364">
        <f>$R118/(1+($V118*(('Traffic Data'!AB37*$T118*$U118)/(($I118/2)*$S118))^$W118))</f>
        <v>41.09995163718488</v>
      </c>
      <c r="AQ118" s="364">
        <f>$R118/(1+($V118*(('Traffic Data'!AC37*$T118*$U118)/(($I118/2)*$S118))^$W118))</f>
        <v>41.09994438618817</v>
      </c>
      <c r="AR118" s="364">
        <f>$R118/(1+($V118*(('Traffic Data'!AD37*$T118*$U118)/(($I118/2)*$S118))^$W118))</f>
        <v>41.099936144246342</v>
      </c>
      <c r="AS118" s="364">
        <f>$R118/(1+($V118*(('Traffic Data'!AE37*$T118*$U118)/(($I118/2)*$S118))^$W118))</f>
        <v>41.099926818842306</v>
      </c>
      <c r="AT118" s="364">
        <f>$R118/(1+($V118*(('Traffic Data'!AF37*$T118*$U118)/(($I118/2)*$S118))^$W118))</f>
        <v>41.099916319349141</v>
      </c>
      <c r="AU118" s="364">
        <f>$R118/(1+($V118*(('Traffic Data'!AG37*$T118*$U118)/(($I118/2)*$S118))^$W118))</f>
        <v>41.099904444541977</v>
      </c>
      <c r="AV118" s="364">
        <f>$R118/(1+($V118*(('Traffic Data'!AH37*$T118*$U118)/(($I118/2)*$S118))^$W118))</f>
        <v>41.099891074093556</v>
      </c>
      <c r="AW118" s="365">
        <f>$R118/(1+($V118*(('Traffic Data'!AI37*$T118*$U118)/(($I118/2)*$S118))^$W118))</f>
        <v>41.099876091499425</v>
      </c>
      <c r="AX118" s="386">
        <f>$R118/(1+($V118*(('Traffic Data'!J37*(0.67/14))/(($I118)*$S118))^$W118))</f>
        <v>41.1</v>
      </c>
      <c r="AY118" s="364">
        <f>$R118/(1+($V118*(('Traffic Data'!J37*(0.67/14))/(($I118)*$S118))^$W118))</f>
        <v>41.1</v>
      </c>
      <c r="AZ118" s="364">
        <f>$R118/(1+($V118*(('Traffic Data'!K37*(0.67/14))/(($I118)*$S118))^$W118))</f>
        <v>41.1</v>
      </c>
      <c r="BA118" s="364">
        <f>$R118/(1+($V118*(('Traffic Data'!L37*(0.67/14))/(($I118)*$S118))^$W118))</f>
        <v>41.1</v>
      </c>
      <c r="BB118" s="364">
        <f>$R118/(1+($V118*(('Traffic Data'!M37*(0.67/14))/(($I118)*$S118))^$W118))</f>
        <v>41.1</v>
      </c>
      <c r="BC118" s="364">
        <f>$R118/(1+($V118*(('Traffic Data'!N37*(0.67/14))/(($I118)*$S118))^$W118))</f>
        <v>41.1</v>
      </c>
      <c r="BD118" s="364">
        <f>$R118/(1+($V118*(('Traffic Data'!O37*(0.67/14))/(($I118)*$S118))^$W118))</f>
        <v>41.1</v>
      </c>
      <c r="BE118" s="364">
        <f>$R118/(1+($V118*(('Traffic Data'!P37*(0.67/14))/(($I118)*$S118))^$W118))</f>
        <v>41.1</v>
      </c>
      <c r="BF118" s="364">
        <f>$R118/(1+($V118*(('Traffic Data'!Q37*(0.67/14))/(($I118)*$S118))^$W118))</f>
        <v>41.1</v>
      </c>
      <c r="BG118" s="364">
        <f>$R118/(1+($V118*(('Traffic Data'!R37*(0.67/14))/(($I118)*$S118))^$W118))</f>
        <v>41.099999999999966</v>
      </c>
      <c r="BH118" s="364">
        <f>$R118/(1+($V118*(('Traffic Data'!S37*(0.67/14))/(($I118)*$S118))^$W118))</f>
        <v>41.099999999999611</v>
      </c>
      <c r="BI118" s="364">
        <f>$R118/(1+($V118*(('Traffic Data'!T37*(0.67/14))/(($I118)*$S118))^$W118))</f>
        <v>41.09999999999706</v>
      </c>
      <c r="BJ118" s="364">
        <f>$R118/(1+($V118*(('Traffic Data'!U37*(0.67/14))/(($I118)*$S118))^$W118))</f>
        <v>41.099999999984384</v>
      </c>
      <c r="BK118" s="364">
        <f>$R118/(1+($V118*(('Traffic Data'!V37*(0.67/14))/(($I118)*$S118))^$W118))</f>
        <v>41.099999999934703</v>
      </c>
      <c r="BL118" s="364">
        <f>$R118/(1+($V118*(('Traffic Data'!W37*(0.67/14))/(($I118)*$S118))^$W118))</f>
        <v>41.099999999828142</v>
      </c>
      <c r="BM118" s="364">
        <f>$R118/(1+($V118*(('Traffic Data'!X37*(0.67/14))/(($I118)*$S118))^$W118))</f>
        <v>41.099999999800197</v>
      </c>
      <c r="BN118" s="364">
        <f>$R118/(1+($V118*(('Traffic Data'!Y37*(0.67/14))/(($I118)*$S118))^$W118))</f>
        <v>41.099999999768229</v>
      </c>
      <c r="BO118" s="364">
        <f>$R118/(1+($V118*(('Traffic Data'!Z37*(0.67/14))/(($I118)*$S118))^$W118))</f>
        <v>41.099999999731715</v>
      </c>
      <c r="BP118" s="364">
        <f>$R118/(1+($V118*(('Traffic Data'!AA37*(0.67/14))/(($I118)*$S118))^$W118))</f>
        <v>41.099999999690255</v>
      </c>
      <c r="BQ118" s="364">
        <f>$R118/(1+($V118*(('Traffic Data'!AB37*(0.67/14))/(($I118)*$S118))^$W118))</f>
        <v>41.099999999642947</v>
      </c>
      <c r="BR118" s="364">
        <f>$R118/(1+($V118*(('Traffic Data'!AC37*(0.67/14))/(($I118)*$S118))^$W118))</f>
        <v>41.099999999589414</v>
      </c>
      <c r="BS118" s="364">
        <f>$R118/(1+($V118*(('Traffic Data'!AD37*(0.67/14))/(($I118)*$S118))^$W118))</f>
        <v>41.099999999528571</v>
      </c>
      <c r="BT118" s="364">
        <f>$R118/(1+($V118*(('Traffic Data'!AE37*(0.67/14))/(($I118)*$S118))^$W118))</f>
        <v>41.099999999459719</v>
      </c>
      <c r="BU118" s="364">
        <f>$R118/(1+($V118*(('Traffic Data'!AF37*(0.67/14))/(($I118)*$S118))^$W118))</f>
        <v>41.099999999382206</v>
      </c>
      <c r="BV118" s="364">
        <f>$R118/(1+($V118*(('Traffic Data'!AG37*(0.67/14))/(($I118)*$S118))^$W118))</f>
        <v>41.099999999294532</v>
      </c>
      <c r="BW118" s="628">
        <f>$R118/(1+($V118*(('Traffic Data'!AH37*(0.67/14))/(($I118)*$S118))^$W118))</f>
        <v>41.099999999195823</v>
      </c>
    </row>
    <row r="119" spans="1:75" ht="21.9" customHeight="1" x14ac:dyDescent="0.25">
      <c r="A119" s="617"/>
      <c r="B119" s="283"/>
      <c r="C119" s="304" t="s">
        <v>282</v>
      </c>
      <c r="D119" s="304" t="s">
        <v>308</v>
      </c>
      <c r="E119" s="304" t="s">
        <v>324</v>
      </c>
      <c r="F119" s="601">
        <f>'Traffic Data'!CM38</f>
        <v>0.83333333333333337</v>
      </c>
      <c r="G119" s="601">
        <f>'Traffic Data'!CN38</f>
        <v>0.88</v>
      </c>
      <c r="H119" s="602">
        <f>'Traffic Data'!G38</f>
        <v>30</v>
      </c>
      <c r="I119" s="594">
        <v>2</v>
      </c>
      <c r="J119" s="602">
        <f t="shared" si="9"/>
        <v>37</v>
      </c>
      <c r="K119" s="590">
        <v>4.2</v>
      </c>
      <c r="L119" s="590">
        <v>5</v>
      </c>
      <c r="M119" s="602">
        <v>0</v>
      </c>
      <c r="N119" s="590">
        <v>0</v>
      </c>
      <c r="O119" s="590">
        <v>0</v>
      </c>
      <c r="P119" s="590">
        <v>0</v>
      </c>
      <c r="Q119" s="590">
        <v>0</v>
      </c>
      <c r="R119" s="305">
        <f t="shared" si="4"/>
        <v>27.799999999999997</v>
      </c>
      <c r="S119" s="595">
        <f>N$28*G119*F119</f>
        <v>586.66666666666674</v>
      </c>
      <c r="T119" s="596">
        <v>0.12</v>
      </c>
      <c r="U119" s="597">
        <v>0.65</v>
      </c>
      <c r="V119" s="587">
        <f t="shared" ref="V119:V138" si="10">$E$31</f>
        <v>0.2</v>
      </c>
      <c r="W119" s="609">
        <v>10</v>
      </c>
      <c r="X119" s="387">
        <f>$R119/(1+($V119*(('Traffic Data'!J38*$T119*$U119)/(($I119/2)*$S119))^$W119))</f>
        <v>27.799996573650304</v>
      </c>
      <c r="Y119" s="367">
        <f>$R119/(1+($V119*(('Traffic Data'!K38*$T119*$U119)/(($I119/2)*$S119))^$W119))</f>
        <v>27.799993777195358</v>
      </c>
      <c r="Z119" s="367">
        <f>$R119/(1+($V119*(('Traffic Data'!L38*$T119*$U119)/(($I119/2)*$S119))^$W119))</f>
        <v>27.799986975349313</v>
      </c>
      <c r="AA119" s="367">
        <f>$R119/(1+($V119*(('Traffic Data'!M38*$T119*$U119)/(($I119/2)*$S119))^$W119))</f>
        <v>27.799967833461142</v>
      </c>
      <c r="AB119" s="367">
        <f>$R119/(1+($V119*(('Traffic Data'!N38*$T119*$U119)/(($I119/2)*$S119))^$W119))</f>
        <v>27.799926281669954</v>
      </c>
      <c r="AC119" s="367">
        <f>$R119/(1+($V119*(('Traffic Data'!O38*$T119*$U119)/(($I119/2)*$S119))^$W119))</f>
        <v>27.799841203645585</v>
      </c>
      <c r="AD119" s="367">
        <f>$R119/(1+($V119*(('Traffic Data'!P38*$T119*$U119)/(($I119/2)*$S119))^$W119))</f>
        <v>27.79967669831025</v>
      </c>
      <c r="AE119" s="367">
        <f>$R119/(1+($V119*(('Traffic Data'!Q38*$T119*$U119)/(($I119/2)*$S119))^$W119))</f>
        <v>27.799371694072853</v>
      </c>
      <c r="AF119" s="367">
        <f>$R119/(1+($V119*(('Traffic Data'!R38*$T119*$U119)/(($I119/2)*$S119))^$W119))</f>
        <v>27.798889403167927</v>
      </c>
      <c r="AG119" s="367">
        <f>$R119/(1+($V119*(('Traffic Data'!S38*$T119*$U119)/(($I119/2)*$S119))^$W119))</f>
        <v>27.798097133959946</v>
      </c>
      <c r="AH119" s="367">
        <f>$R119/(1+($V119*(('Traffic Data'!T38*$T119*$U119)/(($I119/2)*$S119))^$W119))</f>
        <v>27.796826817912002</v>
      </c>
      <c r="AI119" s="367">
        <f>$R119/(1+($V119*(('Traffic Data'!U38*$T119*$U119)/(($I119/2)*$S119))^$W119))</f>
        <v>27.794838802109531</v>
      </c>
      <c r="AJ119" s="367">
        <f>$R119/(1+($V119*(('Traffic Data'!V38*$T119*$U119)/(($I119/2)*$S119))^$W119))</f>
        <v>27.791779783853919</v>
      </c>
      <c r="AK119" s="367">
        <f>$R119/(1+($V119*(('Traffic Data'!W38*$T119*$U119)/(($I119/2)*$S119))^$W119))</f>
        <v>27.788628027983805</v>
      </c>
      <c r="AL119" s="367">
        <f>$R119/(1+($V119*(('Traffic Data'!X38*$T119*$U119)/(($I119/2)*$S119))^$W119))</f>
        <v>27.785110132339646</v>
      </c>
      <c r="AM119" s="367">
        <f>$R119/(1+($V119*(('Traffic Data'!Y38*$T119*$U119)/(($I119/2)*$S119))^$W119))</f>
        <v>27.780642207182566</v>
      </c>
      <c r="AN119" s="367">
        <f>$R119/(1+($V119*(('Traffic Data'!Z38*$T119*$U119)/(($I119/2)*$S119))^$W119))</f>
        <v>27.775003183800138</v>
      </c>
      <c r="AO119" s="367">
        <f>$R119/(1+($V119*(('Traffic Data'!AA38*$T119*$U119)/(($I119/2)*$S119))^$W119))</f>
        <v>27.76791997141747</v>
      </c>
      <c r="AP119" s="367">
        <f>$R119/(1+($V119*(('Traffic Data'!AB38*$T119*$U119)/(($I119/2)*$S119))^$W119))</f>
        <v>27.759092642523797</v>
      </c>
      <c r="AQ119" s="367">
        <f>$R119/(1+($V119*(('Traffic Data'!AC38*$T119*$U119)/(($I119/2)*$S119))^$W119))</f>
        <v>27.748111473844421</v>
      </c>
      <c r="AR119" s="367">
        <f>$R119/(1+($V119*(('Traffic Data'!AD38*$T119*$U119)/(($I119/2)*$S119))^$W119))</f>
        <v>27.734588856677664</v>
      </c>
      <c r="AS119" s="367">
        <f>$R119/(1+($V119*(('Traffic Data'!AE38*$T119*$U119)/(($I119/2)*$S119))^$W119))</f>
        <v>27.717984203552998</v>
      </c>
      <c r="AT119" s="367">
        <f>$R119/(1+($V119*(('Traffic Data'!AF38*$T119*$U119)/(($I119/2)*$S119))^$W119))</f>
        <v>27.697669897651004</v>
      </c>
      <c r="AU119" s="367">
        <f>$R119/(1+($V119*(('Traffic Data'!AG38*$T119*$U119)/(($I119/2)*$S119))^$W119))</f>
        <v>27.672987919462162</v>
      </c>
      <c r="AV119" s="367">
        <f>$R119/(1+($V119*(('Traffic Data'!AH38*$T119*$U119)/(($I119/2)*$S119))^$W119))</f>
        <v>27.643107025794087</v>
      </c>
      <c r="AW119" s="368">
        <f>$R119/(1+($V119*(('Traffic Data'!AI38*$T119*$U119)/(($I119/2)*$S119))^$W119))</f>
        <v>27.606997205878951</v>
      </c>
      <c r="AX119" s="387">
        <f>$R119/(1+($V119*(('Traffic Data'!J38*(0.67/14))/(($I119)*$S119))^$W119))</f>
        <v>27.799999999974702</v>
      </c>
      <c r="AY119" s="367">
        <f>$R119/(1+($V119*(('Traffic Data'!J38*(0.67/14))/(($I119)*$S119))^$W119))</f>
        <v>27.799999999974702</v>
      </c>
      <c r="AZ119" s="367">
        <f>$R119/(1+($V119*(('Traffic Data'!K38*(0.67/14))/(($I119)*$S119))^$W119))</f>
        <v>27.799999999954053</v>
      </c>
      <c r="BA119" s="367">
        <f>$R119/(1+($V119*(('Traffic Data'!L38*(0.67/14))/(($I119)*$S119))^$W119))</f>
        <v>27.799999999903836</v>
      </c>
      <c r="BB119" s="367">
        <f>$R119/(1+($V119*(('Traffic Data'!M38*(0.67/14))/(($I119)*$S119))^$W119))</f>
        <v>27.799999999762516</v>
      </c>
      <c r="BC119" s="367">
        <f>$R119/(1+($V119*(('Traffic Data'!N38*(0.67/14))/(($I119)*$S119))^$W119))</f>
        <v>27.79999999945575</v>
      </c>
      <c r="BD119" s="367">
        <f>$R119/(1+($V119*(('Traffic Data'!O38*(0.67/14))/(($I119)*$S119))^$W119))</f>
        <v>27.799999998827627</v>
      </c>
      <c r="BE119" s="367">
        <f>$R119/(1+($V119*(('Traffic Data'!P38*(0.67/14))/(($I119)*$S119))^$W119))</f>
        <v>27.799999997613096</v>
      </c>
      <c r="BF119" s="367">
        <f>$R119/(1+($V119*(('Traffic Data'!Q38*(0.67/14))/(($I119)*$S119))^$W119))</f>
        <v>27.799999995361233</v>
      </c>
      <c r="BG119" s="367">
        <f>$R119/(1+($V119*(('Traffic Data'!R38*(0.67/14))/(($I119)*$S119))^$W119))</f>
        <v>27.799999991800341</v>
      </c>
      <c r="BH119" s="367">
        <f>$R119/(1+($V119*(('Traffic Data'!S38*(0.67/14))/(($I119)*$S119))^$W119))</f>
        <v>27.799999985950539</v>
      </c>
      <c r="BI119" s="367">
        <f>$R119/(1+($V119*(('Traffic Data'!T38*(0.67/14))/(($I119)*$S119))^$W119))</f>
        <v>27.799999976570323</v>
      </c>
      <c r="BJ119" s="367">
        <f>$R119/(1+($V119*(('Traffic Data'!U38*(0.67/14))/(($I119)*$S119))^$W119))</f>
        <v>27.799999961888776</v>
      </c>
      <c r="BK119" s="367">
        <f>$R119/(1+($V119*(('Traffic Data'!V38*(0.67/14))/(($I119)*$S119))^$W119))</f>
        <v>27.799999939293752</v>
      </c>
      <c r="BL119" s="367">
        <f>$R119/(1+($V119*(('Traffic Data'!W38*(0.67/14))/(($I119)*$S119))^$W119))</f>
        <v>27.799999916008534</v>
      </c>
      <c r="BM119" s="367">
        <f>$R119/(1+($V119*(('Traffic Data'!X38*(0.67/14))/(($I119)*$S119))^$W119))</f>
        <v>27.799999890012025</v>
      </c>
      <c r="BN119" s="367">
        <f>$R119/(1+($V119*(('Traffic Data'!Y38*(0.67/14))/(($I119)*$S119))^$W119))</f>
        <v>27.799999856985512</v>
      </c>
      <c r="BO119" s="367">
        <f>$R119/(1+($V119*(('Traffic Data'!Z38*(0.67/14))/(($I119)*$S119))^$W119))</f>
        <v>27.799999815287169</v>
      </c>
      <c r="BP119" s="367">
        <f>$R119/(1+($V119*(('Traffic Data'!AA38*(0.67/14))/(($I119)*$S119))^$W119))</f>
        <v>27.799999762885626</v>
      </c>
      <c r="BQ119" s="367">
        <f>$R119/(1+($V119*(('Traffic Data'!AB38*(0.67/14))/(($I119)*$S119))^$W119))</f>
        <v>27.799999697543697</v>
      </c>
      <c r="BR119" s="367">
        <f>$R119/(1+($V119*(('Traffic Data'!AC38*(0.67/14))/(($I119)*$S119))^$W119))</f>
        <v>27.79999961620052</v>
      </c>
      <c r="BS119" s="367">
        <f>$R119/(1+($V119*(('Traffic Data'!AD38*(0.67/14))/(($I119)*$S119))^$W119))</f>
        <v>27.799999515943021</v>
      </c>
      <c r="BT119" s="367">
        <f>$R119/(1+($V119*(('Traffic Data'!AE38*(0.67/14))/(($I119)*$S119))^$W119))</f>
        <v>27.799999392701316</v>
      </c>
      <c r="BU119" s="367">
        <f>$R119/(1+($V119*(('Traffic Data'!AF38*(0.67/14))/(($I119)*$S119))^$W119))</f>
        <v>27.79999924172516</v>
      </c>
      <c r="BV119" s="367">
        <f>$R119/(1+($V119*(('Traffic Data'!AG38*(0.67/14))/(($I119)*$S119))^$W119))</f>
        <v>27.799999057990149</v>
      </c>
      <c r="BW119" s="629">
        <f>$R119/(1+($V119*(('Traffic Data'!AH38*(0.67/14))/(($I119)*$S119))^$W119))</f>
        <v>27.799998835114856</v>
      </c>
    </row>
    <row r="120" spans="1:75" ht="21.9" customHeight="1" x14ac:dyDescent="0.25">
      <c r="A120" s="617"/>
      <c r="B120" s="283"/>
      <c r="C120" s="297" t="s">
        <v>321</v>
      </c>
      <c r="D120" s="297" t="s">
        <v>318</v>
      </c>
      <c r="E120" s="297" t="s">
        <v>308</v>
      </c>
      <c r="F120" s="589">
        <f>'Traffic Data'!CM39</f>
        <v>0.83333333333333337</v>
      </c>
      <c r="G120" s="589">
        <f>'Traffic Data'!CN39</f>
        <v>0.88</v>
      </c>
      <c r="H120" s="602">
        <f>'Traffic Data'!G39</f>
        <v>40</v>
      </c>
      <c r="I120" s="602">
        <v>0</v>
      </c>
      <c r="J120" s="602">
        <f t="shared" si="9"/>
        <v>47</v>
      </c>
      <c r="K120" s="602">
        <v>1.3</v>
      </c>
      <c r="L120" s="602">
        <v>2.5</v>
      </c>
      <c r="M120" s="590">
        <v>0</v>
      </c>
      <c r="N120" s="590">
        <v>0</v>
      </c>
      <c r="O120" s="590">
        <v>0</v>
      </c>
      <c r="P120" s="590">
        <v>0</v>
      </c>
      <c r="Q120" s="590">
        <v>0</v>
      </c>
      <c r="R120" s="305">
        <f t="shared" si="4"/>
        <v>43.2</v>
      </c>
      <c r="S120" s="595">
        <v>0</v>
      </c>
      <c r="T120" s="596">
        <v>0.12</v>
      </c>
      <c r="U120" s="597">
        <v>0.65</v>
      </c>
      <c r="V120" s="606">
        <f t="shared" si="10"/>
        <v>0.2</v>
      </c>
      <c r="W120" s="609">
        <v>10</v>
      </c>
      <c r="X120" s="384" t="e">
        <f>$R120/(1+($V120*(('Traffic Data'!J39*$T120*$U120)/(($I120/2)*$S120))^$W120))</f>
        <v>#DIV/0!</v>
      </c>
      <c r="Y120" s="373" t="e">
        <f>$R120/(1+($V120*(('Traffic Data'!K39*$T120*$U120)/(($I120/2)*$S120))^$W120))</f>
        <v>#DIV/0!</v>
      </c>
      <c r="Z120" s="373" t="e">
        <f>$R120/(1+($V120*(('Traffic Data'!L39*$T120*$U120)/(($I120/2)*$S120))^$W120))</f>
        <v>#DIV/0!</v>
      </c>
      <c r="AA120" s="373" t="e">
        <f>$R120/(1+($V120*(('Traffic Data'!M39*$T120*$U120)/(($I120/2)*$S120))^$W120))</f>
        <v>#DIV/0!</v>
      </c>
      <c r="AB120" s="373" t="e">
        <f>$R120/(1+($V120*(('Traffic Data'!N39*$T120*$U120)/(($I120/2)*$S120))^$W120))</f>
        <v>#DIV/0!</v>
      </c>
      <c r="AC120" s="373" t="e">
        <f>$R120/(1+($V120*(('Traffic Data'!O39*$T120*$U120)/(($I120/2)*$S120))^$W120))</f>
        <v>#DIV/0!</v>
      </c>
      <c r="AD120" s="373" t="e">
        <f>$R120/(1+($V120*(('Traffic Data'!P39*$T120*$U120)/(($I120/2)*$S120))^$W120))</f>
        <v>#DIV/0!</v>
      </c>
      <c r="AE120" s="373" t="e">
        <f>$R120/(1+($V120*(('Traffic Data'!Q39*$T120*$U120)/(($I120/2)*$S120))^$W120))</f>
        <v>#DIV/0!</v>
      </c>
      <c r="AF120" s="373" t="e">
        <f>$R120/(1+($V120*(('Traffic Data'!R39*$T120*$U120)/(($I120/2)*$S120))^$W120))</f>
        <v>#DIV/0!</v>
      </c>
      <c r="AG120" s="373" t="e">
        <f>$R120/(1+($V120*(('Traffic Data'!S39*$T120*$U120)/(($I120/2)*$S120))^$W120))</f>
        <v>#DIV/0!</v>
      </c>
      <c r="AH120" s="373" t="e">
        <f>$R120/(1+($V120*(('Traffic Data'!T39*$T120*$U120)/(($I120/2)*$S120))^$W120))</f>
        <v>#DIV/0!</v>
      </c>
      <c r="AI120" s="373" t="e">
        <f>$R120/(1+($V120*(('Traffic Data'!U39*$T120*$U120)/(($I120/2)*$S120))^$W120))</f>
        <v>#DIV/0!</v>
      </c>
      <c r="AJ120" s="373" t="e">
        <f>$R120/(1+($V120*(('Traffic Data'!V39*$T120*$U120)/(($I120/2)*$S120))^$W120))</f>
        <v>#DIV/0!</v>
      </c>
      <c r="AK120" s="373" t="e">
        <f>$R120/(1+($V120*(('Traffic Data'!W39*$T120*$U120)/(($I120/2)*$S120))^$W120))</f>
        <v>#DIV/0!</v>
      </c>
      <c r="AL120" s="373" t="e">
        <f>$R120/(1+($V120*(('Traffic Data'!X39*$T120*$U120)/(($I120/2)*$S120))^$W120))</f>
        <v>#DIV/0!</v>
      </c>
      <c r="AM120" s="373" t="e">
        <f>$R120/(1+($V120*(('Traffic Data'!Y39*$T120*$U120)/(($I120/2)*$S120))^$W120))</f>
        <v>#DIV/0!</v>
      </c>
      <c r="AN120" s="373" t="e">
        <f>$R120/(1+($V120*(('Traffic Data'!Z39*$T120*$U120)/(($I120/2)*$S120))^$W120))</f>
        <v>#DIV/0!</v>
      </c>
      <c r="AO120" s="373" t="e">
        <f>$R120/(1+($V120*(('Traffic Data'!AA39*$T120*$U120)/(($I120/2)*$S120))^$W120))</f>
        <v>#DIV/0!</v>
      </c>
      <c r="AP120" s="373" t="e">
        <f>$R120/(1+($V120*(('Traffic Data'!AB39*$T120*$U120)/(($I120/2)*$S120))^$W120))</f>
        <v>#DIV/0!</v>
      </c>
      <c r="AQ120" s="373" t="e">
        <f>$R120/(1+($V120*(('Traffic Data'!AC39*$T120*$U120)/(($I120/2)*$S120))^$W120))</f>
        <v>#DIV/0!</v>
      </c>
      <c r="AR120" s="373" t="e">
        <f>$R120/(1+($V120*(('Traffic Data'!AD39*$T120*$U120)/(($I120/2)*$S120))^$W120))</f>
        <v>#DIV/0!</v>
      </c>
      <c r="AS120" s="373" t="e">
        <f>$R120/(1+($V120*(('Traffic Data'!AE39*$T120*$U120)/(($I120/2)*$S120))^$W120))</f>
        <v>#DIV/0!</v>
      </c>
      <c r="AT120" s="373" t="e">
        <f>$R120/(1+($V120*(('Traffic Data'!AF39*$T120*$U120)/(($I120/2)*$S120))^$W120))</f>
        <v>#DIV/0!</v>
      </c>
      <c r="AU120" s="373" t="e">
        <f>$R120/(1+($V120*(('Traffic Data'!AG39*$T120*$U120)/(($I120/2)*$S120))^$W120))</f>
        <v>#DIV/0!</v>
      </c>
      <c r="AV120" s="373" t="e">
        <f>$R120/(1+($V120*(('Traffic Data'!AH39*$T120*$U120)/(($I120/2)*$S120))^$W120))</f>
        <v>#DIV/0!</v>
      </c>
      <c r="AW120" s="363" t="e">
        <f>$R120/(1+($V120*(('Traffic Data'!AI39*$T120*$U120)/(($I120/2)*$S120))^$W120))</f>
        <v>#DIV/0!</v>
      </c>
      <c r="AX120" s="384" t="e">
        <f>$R120/(1+($V120*(('Traffic Data'!J39*(0.67/14))/(($I120)*$S120))^$W120))</f>
        <v>#DIV/0!</v>
      </c>
      <c r="AY120" s="373" t="e">
        <f>$R120/(1+($V120*(('Traffic Data'!J39*(0.67/14))/(($I120)*$S120))^$W120))</f>
        <v>#DIV/0!</v>
      </c>
      <c r="AZ120" s="373" t="e">
        <f>$R120/(1+($V120*(('Traffic Data'!K39*(0.67/14))/(($I120)*$S120))^$W120))</f>
        <v>#DIV/0!</v>
      </c>
      <c r="BA120" s="373" t="e">
        <f>$R120/(1+($V120*(('Traffic Data'!L39*(0.67/14))/(($I120)*$S120))^$W120))</f>
        <v>#DIV/0!</v>
      </c>
      <c r="BB120" s="373" t="e">
        <f>$R120/(1+($V120*(('Traffic Data'!M39*(0.67/14))/(($I120)*$S120))^$W120))</f>
        <v>#DIV/0!</v>
      </c>
      <c r="BC120" s="373" t="e">
        <f>$R120/(1+($V120*(('Traffic Data'!N39*(0.67/14))/(($I120)*$S120))^$W120))</f>
        <v>#DIV/0!</v>
      </c>
      <c r="BD120" s="373" t="e">
        <f>$R120/(1+($V120*(('Traffic Data'!O39*(0.67/14))/(($I120)*$S120))^$W120))</f>
        <v>#DIV/0!</v>
      </c>
      <c r="BE120" s="373" t="e">
        <f>$R120/(1+($V120*(('Traffic Data'!P39*(0.67/14))/(($I120)*$S120))^$W120))</f>
        <v>#DIV/0!</v>
      </c>
      <c r="BF120" s="373" t="e">
        <f>$R120/(1+($V120*(('Traffic Data'!Q39*(0.67/14))/(($I120)*$S120))^$W120))</f>
        <v>#DIV/0!</v>
      </c>
      <c r="BG120" s="373" t="e">
        <f>$R120/(1+($V120*(('Traffic Data'!R39*(0.67/14))/(($I120)*$S120))^$W120))</f>
        <v>#DIV/0!</v>
      </c>
      <c r="BH120" s="373" t="e">
        <f>$R120/(1+($V120*(('Traffic Data'!S39*(0.67/14))/(($I120)*$S120))^$W120))</f>
        <v>#DIV/0!</v>
      </c>
      <c r="BI120" s="373" t="e">
        <f>$R120/(1+($V120*(('Traffic Data'!T39*(0.67/14))/(($I120)*$S120))^$W120))</f>
        <v>#DIV/0!</v>
      </c>
      <c r="BJ120" s="373" t="e">
        <f>$R120/(1+($V120*(('Traffic Data'!U39*(0.67/14))/(($I120)*$S120))^$W120))</f>
        <v>#DIV/0!</v>
      </c>
      <c r="BK120" s="373" t="e">
        <f>$R120/(1+($V120*(('Traffic Data'!V39*(0.67/14))/(($I120)*$S120))^$W120))</f>
        <v>#DIV/0!</v>
      </c>
      <c r="BL120" s="373" t="e">
        <f>$R120/(1+($V120*(('Traffic Data'!W39*(0.67/14))/(($I120)*$S120))^$W120))</f>
        <v>#DIV/0!</v>
      </c>
      <c r="BM120" s="373" t="e">
        <f>$R120/(1+($V120*(('Traffic Data'!X39*(0.67/14))/(($I120)*$S120))^$W120))</f>
        <v>#DIV/0!</v>
      </c>
      <c r="BN120" s="373" t="e">
        <f>$R120/(1+($V120*(('Traffic Data'!Y39*(0.67/14))/(($I120)*$S120))^$W120))</f>
        <v>#DIV/0!</v>
      </c>
      <c r="BO120" s="373" t="e">
        <f>$R120/(1+($V120*(('Traffic Data'!Z39*(0.67/14))/(($I120)*$S120))^$W120))</f>
        <v>#DIV/0!</v>
      </c>
      <c r="BP120" s="373" t="e">
        <f>$R120/(1+($V120*(('Traffic Data'!AA39*(0.67/14))/(($I120)*$S120))^$W120))</f>
        <v>#DIV/0!</v>
      </c>
      <c r="BQ120" s="373" t="e">
        <f>$R120/(1+($V120*(('Traffic Data'!AB39*(0.67/14))/(($I120)*$S120))^$W120))</f>
        <v>#DIV/0!</v>
      </c>
      <c r="BR120" s="373" t="e">
        <f>$R120/(1+($V120*(('Traffic Data'!AC39*(0.67/14))/(($I120)*$S120))^$W120))</f>
        <v>#DIV/0!</v>
      </c>
      <c r="BS120" s="373" t="e">
        <f>$R120/(1+($V120*(('Traffic Data'!AD39*(0.67/14))/(($I120)*$S120))^$W120))</f>
        <v>#DIV/0!</v>
      </c>
      <c r="BT120" s="373" t="e">
        <f>$R120/(1+($V120*(('Traffic Data'!AE39*(0.67/14))/(($I120)*$S120))^$W120))</f>
        <v>#DIV/0!</v>
      </c>
      <c r="BU120" s="373" t="e">
        <f>$R120/(1+($V120*(('Traffic Data'!AF39*(0.67/14))/(($I120)*$S120))^$W120))</f>
        <v>#DIV/0!</v>
      </c>
      <c r="BV120" s="373" t="e">
        <f>$R120/(1+($V120*(('Traffic Data'!AG39*(0.67/14))/(($I120)*$S120))^$W120))</f>
        <v>#DIV/0!</v>
      </c>
      <c r="BW120" s="626" t="e">
        <f>$R120/(1+($V120*(('Traffic Data'!AH39*(0.67/14))/(($I120)*$S120))^$W120))</f>
        <v>#DIV/0!</v>
      </c>
    </row>
    <row r="121" spans="1:75" ht="21.9" customHeight="1" x14ac:dyDescent="0.25">
      <c r="A121" s="617"/>
      <c r="B121" s="283"/>
      <c r="C121" s="297" t="s">
        <v>333</v>
      </c>
      <c r="D121" s="297" t="s">
        <v>319</v>
      </c>
      <c r="E121" s="297" t="s">
        <v>308</v>
      </c>
      <c r="F121" s="589">
        <f>'Traffic Data'!CM40</f>
        <v>0.83333333333333337</v>
      </c>
      <c r="G121" s="589">
        <f>'Traffic Data'!CN40</f>
        <v>0.88</v>
      </c>
      <c r="H121" s="602">
        <f>'Traffic Data'!G40</f>
        <v>30</v>
      </c>
      <c r="I121" s="590">
        <v>2</v>
      </c>
      <c r="J121" s="602">
        <f t="shared" si="9"/>
        <v>37</v>
      </c>
      <c r="K121" s="590">
        <v>2.6</v>
      </c>
      <c r="L121" s="590">
        <v>2.5</v>
      </c>
      <c r="M121" s="590">
        <v>0</v>
      </c>
      <c r="N121" s="590">
        <v>0</v>
      </c>
      <c r="O121" s="590">
        <v>0</v>
      </c>
      <c r="P121" s="590">
        <v>0</v>
      </c>
      <c r="Q121" s="590">
        <v>0</v>
      </c>
      <c r="R121" s="305">
        <f t="shared" si="4"/>
        <v>31.9</v>
      </c>
      <c r="S121" s="603">
        <f>F121*G121*N$27</f>
        <v>586.66666666666674</v>
      </c>
      <c r="T121" s="604">
        <v>0.12</v>
      </c>
      <c r="U121" s="605">
        <v>0.65</v>
      </c>
      <c r="V121" s="587">
        <f t="shared" si="10"/>
        <v>0.2</v>
      </c>
      <c r="W121" s="607">
        <v>10</v>
      </c>
      <c r="X121" s="387">
        <f>$R121/(1+($V121*(('Traffic Data'!J40*$T121*$U121)/(($I121/2)*$S121))^$W121))</f>
        <v>31.89597447271742</v>
      </c>
      <c r="Y121" s="367">
        <f>$R121/(1+($V121*(('Traffic Data'!K40*$T121*$U121)/(($I121/2)*$S121))^$W121))</f>
        <v>31.895386397882593</v>
      </c>
      <c r="Z121" s="367">
        <f>$R121/(1+($V121*(('Traffic Data'!L40*$T121*$U121)/(($I121/2)*$S121))^$W121))</f>
        <v>31.894185286739393</v>
      </c>
      <c r="AA121" s="367">
        <f>$R121/(1+($V121*(('Traffic Data'!M40*$T121*$U121)/(($I121/2)*$S121))^$W121))</f>
        <v>31.892078650684784</v>
      </c>
      <c r="AB121" s="367">
        <f>$R121/(1+($V121*(('Traffic Data'!N40*$T121*$U121)/(($I121/2)*$S121))^$W121))</f>
        <v>31.88930731133809</v>
      </c>
      <c r="AC121" s="367">
        <f>$R121/(1+($V121*(('Traffic Data'!O40*$T121*$U121)/(($I121/2)*$S121))^$W121))</f>
        <v>31.885686476842388</v>
      </c>
      <c r="AD121" s="367">
        <f>$R121/(1+($V121*(('Traffic Data'!P40*$T121*$U121)/(($I121/2)*$S121))^$W121))</f>
        <v>31.881007933094075</v>
      </c>
      <c r="AE121" s="367">
        <f>$R121/(1+($V121*(('Traffic Data'!Q40*$T121*$U121)/(($I121/2)*$S121))^$W121))</f>
        <v>31.874972954449184</v>
      </c>
      <c r="AF121" s="367">
        <f>$R121/(1+($V121*(('Traffic Data'!R40*$T121*$U121)/(($I121/2)*$S121))^$W121))</f>
        <v>31.869828344256412</v>
      </c>
      <c r="AG121" s="367">
        <f>$R121/(1+($V121*(('Traffic Data'!S40*$T121*$U121)/(($I121/2)*$S121))^$W121))</f>
        <v>31.863751242752929</v>
      </c>
      <c r="AH121" s="367">
        <f>$R121/(1+($V121*(('Traffic Data'!T40*$T121*$U121)/(($I121/2)*$S121))^$W121))</f>
        <v>31.856594693279405</v>
      </c>
      <c r="AI121" s="367">
        <f>$R121/(1+($V121*(('Traffic Data'!U40*$T121*$U121)/(($I121/2)*$S121))^$W121))</f>
        <v>31.848195379185306</v>
      </c>
      <c r="AJ121" s="367">
        <f>$R121/(1+($V121*(('Traffic Data'!V40*$T121*$U121)/(($I121/2)*$S121))^$W121))</f>
        <v>31.838288419997181</v>
      </c>
      <c r="AK121" s="367">
        <f>$R121/(1+($V121*(('Traffic Data'!W40*$T121*$U121)/(($I121/2)*$S121))^$W121))</f>
        <v>31.831543198799192</v>
      </c>
      <c r="AL121" s="367">
        <f>$R121/(1+($V121*(('Traffic Data'!X40*$T121*$U121)/(($I121/2)*$S121))^$W121))</f>
        <v>31.824143432118834</v>
      </c>
      <c r="AM121" s="367">
        <f>$R121/(1+($V121*(('Traffic Data'!Y40*$T121*$U121)/(($I121/2)*$S121))^$W121))</f>
        <v>31.816033679455259</v>
      </c>
      <c r="AN121" s="367">
        <f>$R121/(1+($V121*(('Traffic Data'!Z40*$T121*$U121)/(($I121/2)*$S121))^$W121))</f>
        <v>31.807154522338521</v>
      </c>
      <c r="AO121" s="367">
        <f>$R121/(1+($V121*(('Traffic Data'!AA40*$T121*$U121)/(($I121/2)*$S121))^$W121))</f>
        <v>31.797372495361824</v>
      </c>
      <c r="AP121" s="367">
        <f>$R121/(1+($V121*(('Traffic Data'!AB40*$T121*$U121)/(($I121/2)*$S121))^$W121))</f>
        <v>31.786752785984007</v>
      </c>
      <c r="AQ121" s="367">
        <f>$R121/(1+($V121*(('Traffic Data'!AC40*$T121*$U121)/(($I121/2)*$S121))^$W121))</f>
        <v>31.775112203344161</v>
      </c>
      <c r="AR121" s="367">
        <f>$R121/(1+($V121*(('Traffic Data'!AD40*$T121*$U121)/(($I121/2)*$S121))^$W121))</f>
        <v>31.762461949675718</v>
      </c>
      <c r="AS121" s="367">
        <f>$R121/(1+($V121*(('Traffic Data'!AE40*$T121*$U121)/(($I121/2)*$S121))^$W121))</f>
        <v>31.748676495119984</v>
      </c>
      <c r="AT121" s="367">
        <f>$R121/(1+($V121*(('Traffic Data'!AF40*$T121*$U121)/(($I121/2)*$S121))^$W121))</f>
        <v>31.733559842314076</v>
      </c>
      <c r="AU121" s="367">
        <f>$R121/(1+($V121*(('Traffic Data'!AG40*$T121*$U121)/(($I121/2)*$S121))^$W121))</f>
        <v>31.717223968705103</v>
      </c>
      <c r="AV121" s="367">
        <f>$R121/(1+($V121*(('Traffic Data'!AH40*$T121*$U121)/(($I121/2)*$S121))^$W121))</f>
        <v>31.699469923924529</v>
      </c>
      <c r="AW121" s="368">
        <f>$R121/(1+($V121*(('Traffic Data'!AI40*$T121*$U121)/(($I121/2)*$S121))^$W121))</f>
        <v>31.68011430277004</v>
      </c>
      <c r="AX121" s="387">
        <f>$R121/(1+($V121*(('Traffic Data'!J40*(0.67/14))/(($I121)*$S121))^$W121))</f>
        <v>31.899999970276543</v>
      </c>
      <c r="AY121" s="367">
        <f>$R121/(1+($V121*(('Traffic Data'!J40*(0.67/14))/(($I121)*$S121))^$W121))</f>
        <v>31.899999970276543</v>
      </c>
      <c r="AZ121" s="367">
        <f>$R121/(1+($V121*(('Traffic Data'!K40*(0.67/14))/(($I121)*$S121))^$W121))</f>
        <v>31.899999965933727</v>
      </c>
      <c r="BA121" s="367">
        <f>$R121/(1+($V121*(('Traffic Data'!L40*(0.67/14))/(($I121)*$S121))^$W121))</f>
        <v>31.899999957063251</v>
      </c>
      <c r="BB121" s="367">
        <f>$R121/(1+($V121*(('Traffic Data'!M40*(0.67/14))/(($I121)*$S121))^$W121))</f>
        <v>31.899999941503655</v>
      </c>
      <c r="BC121" s="367">
        <f>$R121/(1+($V121*(('Traffic Data'!N40*(0.67/14))/(($I121)*$S121))^$W121))</f>
        <v>31.899999921031441</v>
      </c>
      <c r="BD121" s="367">
        <f>$R121/(1+($V121*(('Traffic Data'!O40*(0.67/14))/(($I121)*$S121))^$W121))</f>
        <v>31.89999989427854</v>
      </c>
      <c r="BE121" s="367">
        <f>$R121/(1+($V121*(('Traffic Data'!P40*(0.67/14))/(($I121)*$S121))^$W121))</f>
        <v>31.899999859701655</v>
      </c>
      <c r="BF121" s="367">
        <f>$R121/(1+($V121*(('Traffic Data'!Q40*(0.67/14))/(($I121)*$S121))^$W121))</f>
        <v>31.899999815085007</v>
      </c>
      <c r="BG121" s="367">
        <f>$R121/(1+($V121*(('Traffic Data'!R40*(0.67/14))/(($I121)*$S121))^$W121))</f>
        <v>31.899999777037518</v>
      </c>
      <c r="BH121" s="367">
        <f>$R121/(1+($V121*(('Traffic Data'!S40*(0.67/14))/(($I121)*$S121))^$W121))</f>
        <v>31.899999732077866</v>
      </c>
      <c r="BI121" s="367">
        <f>$R121/(1+($V121*(('Traffic Data'!T40*(0.67/14))/(($I121)*$S121))^$W121))</f>
        <v>31.899999679110248</v>
      </c>
      <c r="BJ121" s="367">
        <f>$R121/(1+($V121*(('Traffic Data'!U40*(0.67/14))/(($I121)*$S121))^$W121))</f>
        <v>31.899999616914211</v>
      </c>
      <c r="BK121" s="367">
        <f>$R121/(1+($V121*(('Traffic Data'!V40*(0.67/14))/(($I121)*$S121))^$W121))</f>
        <v>31.899999543512052</v>
      </c>
      <c r="BL121" s="367">
        <f>$R121/(1+($V121*(('Traffic Data'!W40*(0.67/14))/(($I121)*$S121))^$W121))</f>
        <v>31.899999493509537</v>
      </c>
      <c r="BM121" s="367">
        <f>$R121/(1+($V121*(('Traffic Data'!X40*(0.67/14))/(($I121)*$S121))^$W121))</f>
        <v>31.899999438630484</v>
      </c>
      <c r="BN121" s="367">
        <f>$R121/(1+($V121*(('Traffic Data'!Y40*(0.67/14))/(($I121)*$S121))^$W121))</f>
        <v>31.899999378456616</v>
      </c>
      <c r="BO121" s="367">
        <f>$R121/(1+($V121*(('Traffic Data'!Z40*(0.67/14))/(($I121)*$S121))^$W121))</f>
        <v>31.899999312538629</v>
      </c>
      <c r="BP121" s="367">
        <f>$R121/(1+($V121*(('Traffic Data'!AA40*(0.67/14))/(($I121)*$S121))^$W121))</f>
        <v>31.899999239875214</v>
      </c>
      <c r="BQ121" s="367">
        <f>$R121/(1+($V121*(('Traffic Data'!AB40*(0.67/14))/(($I121)*$S121))^$W121))</f>
        <v>31.899999160938641</v>
      </c>
      <c r="BR121" s="367">
        <f>$R121/(1+($V121*(('Traffic Data'!AC40*(0.67/14))/(($I121)*$S121))^$W121))</f>
        <v>31.899999074353271</v>
      </c>
      <c r="BS121" s="367">
        <f>$R121/(1+($V121*(('Traffic Data'!AD40*(0.67/14))/(($I121)*$S121))^$W121))</f>
        <v>31.899998980185782</v>
      </c>
      <c r="BT121" s="367">
        <f>$R121/(1+($V121*(('Traffic Data'!AE40*(0.67/14))/(($I121)*$S121))^$W121))</f>
        <v>31.899998877482499</v>
      </c>
      <c r="BU121" s="367">
        <f>$R121/(1+($V121*(('Traffic Data'!AF40*(0.67/14))/(($I121)*$S121))^$W121))</f>
        <v>31.899998764759058</v>
      </c>
      <c r="BV121" s="367">
        <f>$R121/(1+($V121*(('Traffic Data'!AG40*(0.67/14))/(($I121)*$S121))^$W121))</f>
        <v>31.899998642823206</v>
      </c>
      <c r="BW121" s="629">
        <f>$R121/(1+($V121*(('Traffic Data'!AH40*(0.67/14))/(($I121)*$S121))^$W121))</f>
        <v>31.899998510159186</v>
      </c>
    </row>
    <row r="122" spans="1:75" ht="21.9" customHeight="1" x14ac:dyDescent="0.25">
      <c r="A122" s="617"/>
      <c r="B122" s="283"/>
      <c r="C122" s="284" t="s">
        <v>319</v>
      </c>
      <c r="D122" s="284" t="s">
        <v>276</v>
      </c>
      <c r="E122" s="284" t="s">
        <v>333</v>
      </c>
      <c r="F122" s="582">
        <f>'Traffic Data'!CM41</f>
        <v>0.83333333333333337</v>
      </c>
      <c r="G122" s="582">
        <f>'Traffic Data'!CN41</f>
        <v>0.9</v>
      </c>
      <c r="H122" s="583">
        <f>'Traffic Data'!G41</f>
        <v>55</v>
      </c>
      <c r="I122" s="583">
        <v>4</v>
      </c>
      <c r="J122" s="583">
        <f t="shared" si="9"/>
        <v>62</v>
      </c>
      <c r="K122" s="583">
        <v>0</v>
      </c>
      <c r="L122" s="583">
        <v>2.5</v>
      </c>
      <c r="M122" s="583">
        <v>0</v>
      </c>
      <c r="N122" s="583">
        <v>3.6</v>
      </c>
      <c r="O122" s="583">
        <v>0</v>
      </c>
      <c r="P122" s="583">
        <v>0</v>
      </c>
      <c r="Q122" s="583">
        <v>0</v>
      </c>
      <c r="R122" s="285">
        <f t="shared" si="4"/>
        <v>55.9</v>
      </c>
      <c r="S122" s="584">
        <f>F122*G122*M$22</f>
        <v>1575</v>
      </c>
      <c r="T122" s="585">
        <v>0.12</v>
      </c>
      <c r="U122" s="586">
        <v>0.65</v>
      </c>
      <c r="V122" s="608">
        <f t="shared" si="10"/>
        <v>0.2</v>
      </c>
      <c r="W122" s="588">
        <v>10</v>
      </c>
      <c r="X122" s="384">
        <f>$R122/(1+($V122*(('Traffic Data'!J41*$T122*$U122)/(($I122/2)*$S122))^$W122))</f>
        <v>55.89999031092723</v>
      </c>
      <c r="Y122" s="373">
        <f>$R122/(1+($V122*(('Traffic Data'!K41*$T122*$U122)/(($I122/2)*$S122))^$W122))</f>
        <v>55.899987126230656</v>
      </c>
      <c r="Z122" s="373">
        <f>$R122/(1+($V122*(('Traffic Data'!L41*$T122*$U122)/(($I122/2)*$S122))^$W122))</f>
        <v>55.899982643601014</v>
      </c>
      <c r="AA122" s="373">
        <f>$R122/(1+($V122*(('Traffic Data'!M41*$T122*$U122)/(($I122/2)*$S122))^$W122))</f>
        <v>55.899974541814309</v>
      </c>
      <c r="AB122" s="373">
        <f>$R122/(1+($V122*(('Traffic Data'!N41*$T122*$U122)/(($I122/2)*$S122))^$W122))</f>
        <v>55.899963180055515</v>
      </c>
      <c r="AC122" s="373">
        <f>$R122/(1+($V122*(('Traffic Data'!O41*$T122*$U122)/(($I122/2)*$S122))^$W122))</f>
        <v>55.899947434901584</v>
      </c>
      <c r="AD122" s="373">
        <f>$R122/(1+($V122*(('Traffic Data'!P41*$T122*$U122)/(($I122/2)*$S122))^$W122))</f>
        <v>55.899925884169683</v>
      </c>
      <c r="AE122" s="373">
        <f>$R122/(1+($V122*(('Traffic Data'!Q41*$T122*$U122)/(($I122/2)*$S122))^$W122))</f>
        <v>55.899896675024308</v>
      </c>
      <c r="AF122" s="373">
        <f>$R122/(1+($V122*(('Traffic Data'!R41*$T122*$U122)/(($I122/2)*$S122))^$W122))</f>
        <v>55.899852893582882</v>
      </c>
      <c r="AG122" s="373">
        <f>$R122/(1+($V122*(('Traffic Data'!S41*$T122*$U122)/(($I122/2)*$S122))^$W122))</f>
        <v>55.899793093538648</v>
      </c>
      <c r="AH122" s="373">
        <f>$R122/(1+($V122*(('Traffic Data'!T41*$T122*$U122)/(($I122/2)*$S122))^$W122))</f>
        <v>55.899712210031119</v>
      </c>
      <c r="AI122" s="373">
        <f>$R122/(1+($V122*(('Traffic Data'!U41*$T122*$U122)/(($I122/2)*$S122))^$W122))</f>
        <v>55.899603905138264</v>
      </c>
      <c r="AJ122" s="373">
        <f>$R122/(1+($V122*(('Traffic Data'!V41*$T122*$U122)/(($I122/2)*$S122))^$W122))</f>
        <v>55.89946011203655</v>
      </c>
      <c r="AK122" s="373">
        <f>$R122/(1+($V122*(('Traffic Data'!W41*$T122*$U122)/(($I122/2)*$S122))^$W122))</f>
        <v>55.899317897267252</v>
      </c>
      <c r="AL122" s="373">
        <f>$R122/(1+($V122*(('Traffic Data'!X41*$T122*$U122)/(($I122/2)*$S122))^$W122))</f>
        <v>55.89917794398319</v>
      </c>
      <c r="AM122" s="373">
        <f>$R122/(1+($V122*(('Traffic Data'!Y41*$T122*$U122)/(($I122/2)*$S122))^$W122))</f>
        <v>55.899012657530136</v>
      </c>
      <c r="AN122" s="373">
        <f>$R122/(1+($V122*(('Traffic Data'!Z41*$T122*$U122)/(($I122/2)*$S122))^$W122))</f>
        <v>55.898818040992687</v>
      </c>
      <c r="AO122" s="373">
        <f>$R122/(1+($V122*(('Traffic Data'!AA41*$T122*$U122)/(($I122/2)*$S122))^$W122))</f>
        <v>55.898589581962291</v>
      </c>
      <c r="AP122" s="373">
        <f>$R122/(1+($V122*(('Traffic Data'!AB41*$T122*$U122)/(($I122/2)*$S122))^$W122))</f>
        <v>55.898322092426035</v>
      </c>
      <c r="AQ122" s="373">
        <f>$R122/(1+($V122*(('Traffic Data'!AC41*$T122*$U122)/(($I122/2)*$S122))^$W122))</f>
        <v>55.898009818357338</v>
      </c>
      <c r="AR122" s="373">
        <f>$R122/(1+($V122*(('Traffic Data'!AD41*$T122*$U122)/(($I122/2)*$S122))^$W122))</f>
        <v>55.897646140733599</v>
      </c>
      <c r="AS122" s="373">
        <f>$R122/(1+($V122*(('Traffic Data'!AE41*$T122*$U122)/(($I122/2)*$S122))^$W122))</f>
        <v>55.897223711409815</v>
      </c>
      <c r="AT122" s="373">
        <f>$R122/(1+($V122*(('Traffic Data'!AF41*$T122*$U122)/(($I122/2)*$S122))^$W122))</f>
        <v>55.896734296175971</v>
      </c>
      <c r="AU122" s="373">
        <f>$R122/(1+($V122*(('Traffic Data'!AG41*$T122*$U122)/(($I122/2)*$S122))^$W122))</f>
        <v>55.896168499729342</v>
      </c>
      <c r="AV122" s="373">
        <f>$R122/(1+($V122*(('Traffic Data'!AH41*$T122*$U122)/(($I122/2)*$S122))^$W122))</f>
        <v>55.895515967253118</v>
      </c>
      <c r="AW122" s="363">
        <f>$R122/(1+($V122*(('Traffic Data'!AI41*$T122*$U122)/(($I122/2)*$S122))^$W122))</f>
        <v>55.894765161250419</v>
      </c>
      <c r="AX122" s="384">
        <f>$R122/(1+($V122*(('Traffic Data'!J41*(0.67/14))/(($I122)*$S122))^$W122))</f>
        <v>55.899999999928468</v>
      </c>
      <c r="AY122" s="373">
        <f>$R122/(1+($V122*(('Traffic Data'!J41*(0.67/14))/(($I122)*$S122))^$W122))</f>
        <v>55.899999999928468</v>
      </c>
      <c r="AZ122" s="373">
        <f>$R122/(1+($V122*(('Traffic Data'!K41*(0.67/14))/(($I122)*$S122))^$W122))</f>
        <v>55.899999999904956</v>
      </c>
      <c r="BA122" s="373">
        <f>$R122/(1+($V122*(('Traffic Data'!L41*(0.67/14))/(($I122)*$S122))^$W122))</f>
        <v>55.899999999871852</v>
      </c>
      <c r="BB122" s="373">
        <f>$R122/(1+($V122*(('Traffic Data'!M41*(0.67/14))/(($I122)*$S122))^$W122))</f>
        <v>55.899999999812053</v>
      </c>
      <c r="BC122" s="373">
        <f>$R122/(1+($V122*(('Traffic Data'!N41*(0.67/14))/(($I122)*$S122))^$W122))</f>
        <v>55.899999999728166</v>
      </c>
      <c r="BD122" s="373">
        <f>$R122/(1+($V122*(('Traffic Data'!O41*(0.67/14))/(($I122)*$S122))^$W122))</f>
        <v>55.899999999611914</v>
      </c>
      <c r="BE122" s="373">
        <f>$R122/(1+($V122*(('Traffic Data'!P41*(0.67/14))/(($I122)*$S122))^$W122))</f>
        <v>55.899999999452817</v>
      </c>
      <c r="BF122" s="373">
        <f>$R122/(1+($V122*(('Traffic Data'!Q41*(0.67/14))/(($I122)*$S122))^$W122))</f>
        <v>55.899999999237167</v>
      </c>
      <c r="BG122" s="373">
        <f>$R122/(1+($V122*(('Traffic Data'!R41*(0.67/14))/(($I122)*$S122))^$W122))</f>
        <v>55.899999998913934</v>
      </c>
      <c r="BH122" s="373">
        <f>$R122/(1+($V122*(('Traffic Data'!S41*(0.67/14))/(($I122)*$S122))^$W122))</f>
        <v>55.899999998472445</v>
      </c>
      <c r="BI122" s="373">
        <f>$R122/(1+($V122*(('Traffic Data'!T41*(0.67/14))/(($I122)*$S122))^$W122))</f>
        <v>55.899999997875284</v>
      </c>
      <c r="BJ122" s="373">
        <f>$R122/(1+($V122*(('Traffic Data'!U41*(0.67/14))/(($I122)*$S122))^$W122))</f>
        <v>55.899999997075689</v>
      </c>
      <c r="BK122" s="373">
        <f>$R122/(1+($V122*(('Traffic Data'!V41*(0.67/14))/(($I122)*$S122))^$W122))</f>
        <v>55.899999996014074</v>
      </c>
      <c r="BL122" s="373">
        <f>$R122/(1+($V122*(('Traffic Data'!W41*(0.67/14))/(($I122)*$S122))^$W122))</f>
        <v>55.899999994964105</v>
      </c>
      <c r="BM122" s="373">
        <f>$R122/(1+($V122*(('Traffic Data'!X41*(0.67/14))/(($I122)*$S122))^$W122))</f>
        <v>55.89999999393082</v>
      </c>
      <c r="BN122" s="373">
        <f>$R122/(1+($V122*(('Traffic Data'!Y41*(0.67/14))/(($I122)*$S122))^$W122))</f>
        <v>55.899999992710505</v>
      </c>
      <c r="BO122" s="373">
        <f>$R122/(1+($V122*(('Traffic Data'!Z41*(0.67/14))/(($I122)*$S122))^$W122))</f>
        <v>55.899999991273638</v>
      </c>
      <c r="BP122" s="373">
        <f>$R122/(1+($V122*(('Traffic Data'!AA41*(0.67/14))/(($I122)*$S122))^$W122))</f>
        <v>55.899999989586888</v>
      </c>
      <c r="BQ122" s="373">
        <f>$R122/(1+($V122*(('Traffic Data'!AB41*(0.67/14))/(($I122)*$S122))^$W122))</f>
        <v>55.899999987611956</v>
      </c>
      <c r="BR122" s="373">
        <f>$R122/(1+($V122*(('Traffic Data'!AC41*(0.67/14))/(($I122)*$S122))^$W122))</f>
        <v>55.899999985306337</v>
      </c>
      <c r="BS122" s="373">
        <f>$R122/(1+($V122*(('Traffic Data'!AD41*(0.67/14))/(($I122)*$S122))^$W122))</f>
        <v>55.899999982621175</v>
      </c>
      <c r="BT122" s="373">
        <f>$R122/(1+($V122*(('Traffic Data'!AE41*(0.67/14))/(($I122)*$S122))^$W122))</f>
        <v>55.899999979502162</v>
      </c>
      <c r="BU122" s="373">
        <f>$R122/(1+($V122*(('Traffic Data'!AF41*(0.67/14))/(($I122)*$S122))^$W122))</f>
        <v>55.89999997588852</v>
      </c>
      <c r="BV122" s="373">
        <f>$R122/(1+($V122*(('Traffic Data'!AG41*(0.67/14))/(($I122)*$S122))^$W122))</f>
        <v>55.89999997171082</v>
      </c>
      <c r="BW122" s="626">
        <f>$R122/(1+($V122*(('Traffic Data'!AH41*(0.67/14))/(($I122)*$S122))^$W122))</f>
        <v>55.89999996689258</v>
      </c>
    </row>
    <row r="123" spans="1:75" ht="21.9" customHeight="1" x14ac:dyDescent="0.25">
      <c r="A123" s="617"/>
      <c r="B123" s="283"/>
      <c r="C123" s="284"/>
      <c r="D123" s="284" t="s">
        <v>333</v>
      </c>
      <c r="E123" s="284" t="s">
        <v>323</v>
      </c>
      <c r="F123" s="582">
        <f>'Traffic Data'!CM41</f>
        <v>0.83333333333333337</v>
      </c>
      <c r="G123" s="582">
        <f>'Traffic Data'!CN41</f>
        <v>0.9</v>
      </c>
      <c r="H123" s="583">
        <f>'Traffic Data'!G42</f>
        <v>55</v>
      </c>
      <c r="I123" s="583">
        <v>4</v>
      </c>
      <c r="J123" s="583">
        <f t="shared" si="9"/>
        <v>62</v>
      </c>
      <c r="K123" s="583">
        <v>0</v>
      </c>
      <c r="L123" s="583">
        <v>2.5</v>
      </c>
      <c r="M123" s="583">
        <v>0</v>
      </c>
      <c r="N123" s="583">
        <v>3.6</v>
      </c>
      <c r="O123" s="583">
        <v>0</v>
      </c>
      <c r="P123" s="583">
        <v>0</v>
      </c>
      <c r="Q123" s="583">
        <v>0</v>
      </c>
      <c r="R123" s="285">
        <f t="shared" si="4"/>
        <v>55.9</v>
      </c>
      <c r="S123" s="584">
        <f>F123*G123*M$22</f>
        <v>1575</v>
      </c>
      <c r="T123" s="585">
        <v>0.12</v>
      </c>
      <c r="U123" s="586">
        <v>0.65</v>
      </c>
      <c r="V123" s="587">
        <f t="shared" si="10"/>
        <v>0.2</v>
      </c>
      <c r="W123" s="588">
        <v>10</v>
      </c>
      <c r="X123" s="384">
        <f>$R123/(1+($V123*(('Traffic Data'!J42*$T123*$U123)/(($I123/2)*$S123))^$W123))</f>
        <v>55.899999377100173</v>
      </c>
      <c r="Y123" s="373">
        <f>$R123/(1+($V123*(('Traffic Data'!K42*$T123*$U123)/(($I123/2)*$S123))^$W123))</f>
        <v>55.899999175935712</v>
      </c>
      <c r="Z123" s="373">
        <f>$R123/(1+($V123*(('Traffic Data'!L42*$T123*$U123)/(($I123/2)*$S123))^$W123))</f>
        <v>55.899998885768397</v>
      </c>
      <c r="AA123" s="373">
        <f>$R123/(1+($V123*(('Traffic Data'!M42*$T123*$U123)/(($I123/2)*$S123))^$W123))</f>
        <v>55.899998323338593</v>
      </c>
      <c r="AB123" s="373">
        <f>$R123/(1+($V123*(('Traffic Data'!N42*$T123*$U123)/(($I123/2)*$S123))^$W123))</f>
        <v>55.89999751699942</v>
      </c>
      <c r="AC123" s="373">
        <f>$R123/(1+($V123*(('Traffic Data'!O42*$T123*$U123)/(($I123/2)*$S123))^$W123))</f>
        <v>55.899996376753322</v>
      </c>
      <c r="AD123" s="373">
        <f>$R123/(1+($V123*(('Traffic Data'!P42*$T123*$U123)/(($I123/2)*$S123))^$W123))</f>
        <v>55.899994785869225</v>
      </c>
      <c r="AE123" s="373">
        <f>$R123/(1+($V123*(('Traffic Data'!Q42*$T123*$U123)/(($I123/2)*$S123))^$W123))</f>
        <v>55.899992591639737</v>
      </c>
      <c r="AF123" s="373">
        <f>$R123/(1+($V123*(('Traffic Data'!R42*$T123*$U123)/(($I123/2)*$S123))^$W123))</f>
        <v>55.899989160499366</v>
      </c>
      <c r="AG123" s="373">
        <f>$R123/(1+($V123*(('Traffic Data'!S42*$T123*$U123)/(($I123/2)*$S123))^$W123))</f>
        <v>55.899984361973189</v>
      </c>
      <c r="AH123" s="373">
        <f>$R123/(1+($V123*(('Traffic Data'!T42*$T123*$U123)/(($I123/2)*$S123))^$W123))</f>
        <v>55.89997772701539</v>
      </c>
      <c r="AI123" s="373">
        <f>$R123/(1+($V123*(('Traffic Data'!U42*$T123*$U123)/(($I123/2)*$S123))^$W123))</f>
        <v>55.899968657929954</v>
      </c>
      <c r="AJ123" s="373">
        <f>$R123/(1+($V123*(('Traffic Data'!V42*$T123*$U123)/(($I123/2)*$S123))^$W123))</f>
        <v>55.899956388718934</v>
      </c>
      <c r="AK123" s="373">
        <f>$R123/(1+($V123*(('Traffic Data'!W42*$T123*$U123)/(($I123/2)*$S123))^$W123))</f>
        <v>55.899944617626161</v>
      </c>
      <c r="AL123" s="373">
        <f>$R123/(1+($V123*(('Traffic Data'!X42*$T123*$U123)/(($I123/2)*$S123))^$W123))</f>
        <v>55.899933723717304</v>
      </c>
      <c r="AM123" s="373">
        <f>$R123/(1+($V123*(('Traffic Data'!Y42*$T123*$U123)/(($I123/2)*$S123))^$W123))</f>
        <v>55.899920937788821</v>
      </c>
      <c r="AN123" s="373">
        <f>$R123/(1+($V123*(('Traffic Data'!Z42*$T123*$U123)/(($I123/2)*$S123))^$W123))</f>
        <v>55.89990597318905</v>
      </c>
      <c r="AO123" s="373">
        <f>$R123/(1+($V123*(('Traffic Data'!AA42*$T123*$U123)/(($I123/2)*$S123))^$W123))</f>
        <v>55.899888515566317</v>
      </c>
      <c r="AP123" s="373">
        <f>$R123/(1+($V123*(('Traffic Data'!AB42*$T123*$U123)/(($I123/2)*$S123))^$W123))</f>
        <v>55.899868181922834</v>
      </c>
      <c r="AQ123" s="373">
        <f>$R123/(1+($V123*(('Traffic Data'!AC42*$T123*$U123)/(($I123/2)*$S123))^$W123))</f>
        <v>55.899844582281716</v>
      </c>
      <c r="AR123" s="373">
        <f>$R123/(1+($V123*(('Traffic Data'!AD42*$T123*$U123)/(($I123/2)*$S123))^$W123))</f>
        <v>55.899817230912355</v>
      </c>
      <c r="AS123" s="373">
        <f>$R123/(1+($V123*(('Traffic Data'!AE42*$T123*$U123)/(($I123/2)*$S123))^$W123))</f>
        <v>55.899785621202099</v>
      </c>
      <c r="AT123" s="373">
        <f>$R123/(1+($V123*(('Traffic Data'!AF42*$T123*$U123)/(($I123/2)*$S123))^$W123))</f>
        <v>55.899749193635479</v>
      </c>
      <c r="AU123" s="373">
        <f>$R123/(1+($V123*(('Traffic Data'!AG42*$T123*$U123)/(($I123/2)*$S123))^$W123))</f>
        <v>55.89970726403952</v>
      </c>
      <c r="AV123" s="373">
        <f>$R123/(1+($V123*(('Traffic Data'!AH42*$T123*$U123)/(($I123/2)*$S123))^$W123))</f>
        <v>55.899659127910603</v>
      </c>
      <c r="AW123" s="363">
        <f>$R123/(1+($V123*(('Traffic Data'!AI42*$T123*$U123)/(($I123/2)*$S123))^$W123))</f>
        <v>55.899604011713457</v>
      </c>
      <c r="AX123" s="384">
        <f>$R123/(1+($V123*(('Traffic Data'!J42*(0.67/14))/(($I123)*$S123))^$W123))</f>
        <v>55.899999999995408</v>
      </c>
      <c r="AY123" s="373">
        <f>$R123/(1+($V123*(('Traffic Data'!J42*(0.67/14))/(($I123)*$S123))^$W123))</f>
        <v>55.899999999995408</v>
      </c>
      <c r="AZ123" s="373">
        <f>$R123/(1+($V123*(('Traffic Data'!K42*(0.67/14))/(($I123)*$S123))^$W123))</f>
        <v>55.899999999993916</v>
      </c>
      <c r="BA123" s="373">
        <f>$R123/(1+($V123*(('Traffic Data'!L42*(0.67/14))/(($I123)*$S123))^$W123))</f>
        <v>55.89999999999177</v>
      </c>
      <c r="BB123" s="373">
        <f>$R123/(1+($V123*(('Traffic Data'!M42*(0.67/14))/(($I123)*$S123))^$W123))</f>
        <v>55.899999999987621</v>
      </c>
      <c r="BC123" s="373">
        <f>$R123/(1+($V123*(('Traffic Data'!N42*(0.67/14))/(($I123)*$S123))^$W123))</f>
        <v>55.899999999981667</v>
      </c>
      <c r="BD123" s="373">
        <f>$R123/(1+($V123*(('Traffic Data'!O42*(0.67/14))/(($I123)*$S123))^$W123))</f>
        <v>55.899999999973247</v>
      </c>
      <c r="BE123" s="373">
        <f>$R123/(1+($V123*(('Traffic Data'!P42*(0.67/14))/(($I123)*$S123))^$W123))</f>
        <v>55.899999999961508</v>
      </c>
      <c r="BF123" s="373">
        <f>$R123/(1+($V123*(('Traffic Data'!Q42*(0.67/14))/(($I123)*$S123))^$W123))</f>
        <v>55.899999999945308</v>
      </c>
      <c r="BG123" s="373">
        <f>$R123/(1+($V123*(('Traffic Data'!R42*(0.67/14))/(($I123)*$S123))^$W123))</f>
        <v>55.899999999919977</v>
      </c>
      <c r="BH123" s="373">
        <f>$R123/(1+($V123*(('Traffic Data'!S42*(0.67/14))/(($I123)*$S123))^$W123))</f>
        <v>55.89999999988455</v>
      </c>
      <c r="BI123" s="373">
        <f>$R123/(1+($V123*(('Traffic Data'!T42*(0.67/14))/(($I123)*$S123))^$W123))</f>
        <v>55.899999999835558</v>
      </c>
      <c r="BJ123" s="373">
        <f>$R123/(1+($V123*(('Traffic Data'!U42*(0.67/14))/(($I123)*$S123))^$W123))</f>
        <v>55.89999999976861</v>
      </c>
      <c r="BK123" s="373">
        <f>$R123/(1+($V123*(('Traffic Data'!V42*(0.67/14))/(($I123)*$S123))^$W123))</f>
        <v>55.899999999678023</v>
      </c>
      <c r="BL123" s="373">
        <f>$R123/(1+($V123*(('Traffic Data'!W42*(0.67/14))/(($I123)*$S123))^$W123))</f>
        <v>55.899999999591124</v>
      </c>
      <c r="BM123" s="373">
        <f>$R123/(1+($V123*(('Traffic Data'!X42*(0.67/14))/(($I123)*$S123))^$W123))</f>
        <v>55.89999999951069</v>
      </c>
      <c r="BN123" s="373">
        <f>$R123/(1+($V123*(('Traffic Data'!Y42*(0.67/14))/(($I123)*$S123))^$W123))</f>
        <v>55.899999999416295</v>
      </c>
      <c r="BO123" s="373">
        <f>$R123/(1+($V123*(('Traffic Data'!Z42*(0.67/14))/(($I123)*$S123))^$W123))</f>
        <v>55.89999999930582</v>
      </c>
      <c r="BP123" s="373">
        <f>$R123/(1+($V123*(('Traffic Data'!AA42*(0.67/14))/(($I123)*$S123))^$W123))</f>
        <v>55.899999999176927</v>
      </c>
      <c r="BQ123" s="373">
        <f>$R123/(1+($V123*(('Traffic Data'!AB42*(0.67/14))/(($I123)*$S123))^$W123))</f>
        <v>55.899999999026811</v>
      </c>
      <c r="BR123" s="373">
        <f>$R123/(1+($V123*(('Traffic Data'!AC42*(0.67/14))/(($I123)*$S123))^$W123))</f>
        <v>55.899999998852579</v>
      </c>
      <c r="BS123" s="373">
        <f>$R123/(1+($V123*(('Traffic Data'!AD42*(0.67/14))/(($I123)*$S123))^$W123))</f>
        <v>55.899999998650642</v>
      </c>
      <c r="BT123" s="373">
        <f>$R123/(1+($V123*(('Traffic Data'!AE42*(0.67/14))/(($I123)*$S123))^$W123))</f>
        <v>55.899999998417272</v>
      </c>
      <c r="BU123" s="373">
        <f>$R123/(1+($V123*(('Traffic Data'!AF42*(0.67/14))/(($I123)*$S123))^$W123))</f>
        <v>55.899999998148331</v>
      </c>
      <c r="BV123" s="373">
        <f>$R123/(1+($V123*(('Traffic Data'!AG42*(0.67/14))/(($I123)*$S123))^$W123))</f>
        <v>55.899999997838769</v>
      </c>
      <c r="BW123" s="626">
        <f>$R123/(1+($V123*(('Traffic Data'!AH42*(0.67/14))/(($I123)*$S123))^$W123))</f>
        <v>55.899999997483391</v>
      </c>
    </row>
    <row r="124" spans="1:75" ht="21.9" customHeight="1" x14ac:dyDescent="0.25">
      <c r="A124" s="617"/>
      <c r="B124" s="283"/>
      <c r="C124" s="284"/>
      <c r="D124" s="284" t="s">
        <v>323</v>
      </c>
      <c r="E124" s="284" t="s">
        <v>322</v>
      </c>
      <c r="F124" s="582">
        <f>'Traffic Data'!CM41</f>
        <v>0.83333333333333337</v>
      </c>
      <c r="G124" s="582">
        <f>'Traffic Data'!CN41</f>
        <v>0.9</v>
      </c>
      <c r="H124" s="583">
        <f>'Traffic Data'!G43</f>
        <v>45</v>
      </c>
      <c r="I124" s="583">
        <v>4</v>
      </c>
      <c r="J124" s="583">
        <f t="shared" si="9"/>
        <v>52</v>
      </c>
      <c r="K124" s="583">
        <v>0</v>
      </c>
      <c r="L124" s="583">
        <v>2.5</v>
      </c>
      <c r="M124" s="583">
        <v>0</v>
      </c>
      <c r="N124" s="583">
        <v>3.6</v>
      </c>
      <c r="O124" s="583">
        <v>0</v>
      </c>
      <c r="P124" s="583">
        <v>0</v>
      </c>
      <c r="Q124" s="583">
        <v>0</v>
      </c>
      <c r="R124" s="285">
        <f t="shared" si="4"/>
        <v>45.9</v>
      </c>
      <c r="S124" s="584">
        <f>F124*G124*M$24</f>
        <v>1425</v>
      </c>
      <c r="T124" s="585">
        <v>0.12</v>
      </c>
      <c r="U124" s="586">
        <v>0.65</v>
      </c>
      <c r="V124" s="587">
        <f t="shared" si="10"/>
        <v>0.2</v>
      </c>
      <c r="W124" s="588">
        <v>10</v>
      </c>
      <c r="X124" s="384">
        <f>$R124/(1+($V124*(('Traffic Data'!J43*$T124*$U124)/(($I124/2)*$S124))^$W124))</f>
        <v>45.899998608523049</v>
      </c>
      <c r="Y124" s="373">
        <f>$R124/(1+($V124*(('Traffic Data'!K43*$T124*$U124)/(($I124/2)*$S124))^$W124))</f>
        <v>45.899998159147884</v>
      </c>
      <c r="Z124" s="373">
        <f>$R124/(1+($V124*(('Traffic Data'!L43*$T124*$U124)/(($I124/2)*$S124))^$W124))</f>
        <v>45.899997510951991</v>
      </c>
      <c r="AA124" s="373">
        <f>$R124/(1+($V124*(('Traffic Data'!M43*$T124*$U124)/(($I124/2)*$S124))^$W124))</f>
        <v>45.899996254557266</v>
      </c>
      <c r="AB124" s="373">
        <f>$R124/(1+($V124*(('Traffic Data'!N43*$T124*$U124)/(($I124/2)*$S124))^$W124))</f>
        <v>45.899994453300941</v>
      </c>
      <c r="AC124" s="373">
        <f>$R124/(1+($V124*(('Traffic Data'!O43*$T124*$U124)/(($I124/2)*$S124))^$W124))</f>
        <v>45.899991906140343</v>
      </c>
      <c r="AD124" s="373">
        <f>$R124/(1+($V124*(('Traffic Data'!P43*$T124*$U124)/(($I124/2)*$S124))^$W124))</f>
        <v>45.89998835231372</v>
      </c>
      <c r="AE124" s="373">
        <f>$R124/(1+($V124*(('Traffic Data'!Q43*$T124*$U124)/(($I124/2)*$S124))^$W124))</f>
        <v>45.899983450693085</v>
      </c>
      <c r="AF124" s="373">
        <f>$R124/(1+($V124*(('Traffic Data'!R43*$T124*$U124)/(($I124/2)*$S124))^$W124))</f>
        <v>45.899975785977276</v>
      </c>
      <c r="AG124" s="373">
        <f>$R124/(1+($V124*(('Traffic Data'!S43*$T124*$U124)/(($I124/2)*$S124))^$W124))</f>
        <v>45.899965066704318</v>
      </c>
      <c r="AH124" s="373">
        <f>$R124/(1+($V124*(('Traffic Data'!T43*$T124*$U124)/(($I124/2)*$S124))^$W124))</f>
        <v>45.899950245091176</v>
      </c>
      <c r="AI124" s="373">
        <f>$R124/(1+($V124*(('Traffic Data'!U43*$T124*$U124)/(($I124/2)*$S124))^$W124))</f>
        <v>45.899929985970488</v>
      </c>
      <c r="AJ124" s="373">
        <f>$R124/(1+($V124*(('Traffic Data'!V43*$T124*$U124)/(($I124/2)*$S124))^$W124))</f>
        <v>45.899902578216363</v>
      </c>
      <c r="AK124" s="373">
        <f>$R124/(1+($V124*(('Traffic Data'!W43*$T124*$U124)/(($I124/2)*$S124))^$W124))</f>
        <v>45.899876283210311</v>
      </c>
      <c r="AL124" s="373">
        <f>$R124/(1+($V124*(('Traffic Data'!X43*$T124*$U124)/(($I124/2)*$S124))^$W124))</f>
        <v>45.899851947729779</v>
      </c>
      <c r="AM124" s="373">
        <f>$R124/(1+($V124*(('Traffic Data'!Y43*$T124*$U124)/(($I124/2)*$S124))^$W124))</f>
        <v>45.899823385760769</v>
      </c>
      <c r="AN124" s="373">
        <f>$R124/(1+($V124*(('Traffic Data'!Z43*$T124*$U124)/(($I124/2)*$S124))^$W124))</f>
        <v>45.899789956974537</v>
      </c>
      <c r="AO124" s="373">
        <f>$R124/(1+($V124*(('Traffic Data'!AA43*$T124*$U124)/(($I124/2)*$S124))^$W124))</f>
        <v>45.899750959168742</v>
      </c>
      <c r="AP124" s="373">
        <f>$R124/(1+($V124*(('Traffic Data'!AB43*$T124*$U124)/(($I124/2)*$S124))^$W124))</f>
        <v>45.899705536801093</v>
      </c>
      <c r="AQ124" s="373">
        <f>$R124/(1+($V124*(('Traffic Data'!AC43*$T124*$U124)/(($I124/2)*$S124))^$W124))</f>
        <v>45.899652818746638</v>
      </c>
      <c r="AR124" s="373">
        <f>$R124/(1+($V124*(('Traffic Data'!AD43*$T124*$U124)/(($I124/2)*$S124))^$W124))</f>
        <v>45.899591719990426</v>
      </c>
      <c r="AS124" s="373">
        <f>$R124/(1+($V124*(('Traffic Data'!AE43*$T124*$U124)/(($I124/2)*$S124))^$W124))</f>
        <v>45.899521108883178</v>
      </c>
      <c r="AT124" s="373">
        <f>$R124/(1+($V124*(('Traffic Data'!AF43*$T124*$U124)/(($I124/2)*$S124))^$W124))</f>
        <v>45.89943973561509</v>
      </c>
      <c r="AU124" s="373">
        <f>$R124/(1+($V124*(('Traffic Data'!AG43*$T124*$U124)/(($I124/2)*$S124))^$W124))</f>
        <v>45.899346071932868</v>
      </c>
      <c r="AV124" s="373">
        <f>$R124/(1+($V124*(('Traffic Data'!AH43*$T124*$U124)/(($I124/2)*$S124))^$W124))</f>
        <v>45.899238544195455</v>
      </c>
      <c r="AW124" s="363">
        <f>$R124/(1+($V124*(('Traffic Data'!AI43*$T124*$U124)/(($I124/2)*$S124))^$W124))</f>
        <v>45.899115424591251</v>
      </c>
      <c r="AX124" s="384">
        <f>$R124/(1+($V124*(('Traffic Data'!J43*(0.67/14))/(($I124)*$S124))^$W124))</f>
        <v>45.899999999989724</v>
      </c>
      <c r="AY124" s="373">
        <f>$R124/(1+($V124*(('Traffic Data'!J43*(0.67/14))/(($I124)*$S124))^$W124))</f>
        <v>45.899999999989724</v>
      </c>
      <c r="AZ124" s="373">
        <f>$R124/(1+($V124*(('Traffic Data'!K43*(0.67/14))/(($I124)*$S124))^$W124))</f>
        <v>45.899999999986413</v>
      </c>
      <c r="BA124" s="373">
        <f>$R124/(1+($V124*(('Traffic Data'!L43*(0.67/14))/(($I124)*$S124))^$W124))</f>
        <v>45.899999999981624</v>
      </c>
      <c r="BB124" s="373">
        <f>$R124/(1+($V124*(('Traffic Data'!M43*(0.67/14))/(($I124)*$S124))^$W124))</f>
        <v>45.899999999972351</v>
      </c>
      <c r="BC124" s="373">
        <f>$R124/(1+($V124*(('Traffic Data'!N43*(0.67/14))/(($I124)*$S124))^$W124))</f>
        <v>45.89999999995905</v>
      </c>
      <c r="BD124" s="373">
        <f>$R124/(1+($V124*(('Traffic Data'!O43*(0.67/14))/(($I124)*$S124))^$W124))</f>
        <v>45.899999999940242</v>
      </c>
      <c r="BE124" s="373">
        <f>$R124/(1+($V124*(('Traffic Data'!P43*(0.67/14))/(($I124)*$S124))^$W124))</f>
        <v>45.899999999914009</v>
      </c>
      <c r="BF124" s="373">
        <f>$R124/(1+($V124*(('Traffic Data'!Q43*(0.67/14))/(($I124)*$S124))^$W124))</f>
        <v>45.899999999877821</v>
      </c>
      <c r="BG124" s="373">
        <f>$R124/(1+($V124*(('Traffic Data'!R43*(0.67/14))/(($I124)*$S124))^$W124))</f>
        <v>45.899999999821233</v>
      </c>
      <c r="BH124" s="373">
        <f>$R124/(1+($V124*(('Traffic Data'!S43*(0.67/14))/(($I124)*$S124))^$W124))</f>
        <v>45.899999999742093</v>
      </c>
      <c r="BI124" s="373">
        <f>$R124/(1+($V124*(('Traffic Data'!T43*(0.67/14))/(($I124)*$S124))^$W124))</f>
        <v>45.899999999632662</v>
      </c>
      <c r="BJ124" s="373">
        <f>$R124/(1+($V124*(('Traffic Data'!U43*(0.67/14))/(($I124)*$S124))^$W124))</f>
        <v>45.8999999994831</v>
      </c>
      <c r="BK124" s="373">
        <f>$R124/(1+($V124*(('Traffic Data'!V43*(0.67/14))/(($I124)*$S124))^$W124))</f>
        <v>45.899999999280752</v>
      </c>
      <c r="BL124" s="373">
        <f>$R124/(1+($V124*(('Traffic Data'!W43*(0.67/14))/(($I124)*$S124))^$W124))</f>
        <v>45.899999999086617</v>
      </c>
      <c r="BM124" s="373">
        <f>$R124/(1+($V124*(('Traffic Data'!X43*(0.67/14))/(($I124)*$S124))^$W124))</f>
        <v>45.899999998906956</v>
      </c>
      <c r="BN124" s="373">
        <f>$R124/(1+($V124*(('Traffic Data'!Y43*(0.67/14))/(($I124)*$S124))^$W124))</f>
        <v>45.899999998696082</v>
      </c>
      <c r="BO124" s="373">
        <f>$R124/(1+($V124*(('Traffic Data'!Z43*(0.67/14))/(($I124)*$S124))^$W124))</f>
        <v>45.899999998449289</v>
      </c>
      <c r="BP124" s="373">
        <f>$R124/(1+($V124*(('Traffic Data'!AA43*(0.67/14))/(($I124)*$S124))^$W124))</f>
        <v>45.89999999816137</v>
      </c>
      <c r="BQ124" s="373">
        <f>$R124/(1+($V124*(('Traffic Data'!AB43*(0.67/14))/(($I124)*$S124))^$W124))</f>
        <v>45.899999997826015</v>
      </c>
      <c r="BR124" s="373">
        <f>$R124/(1+($V124*(('Traffic Data'!AC43*(0.67/14))/(($I124)*$S124))^$W124))</f>
        <v>45.899999997436808</v>
      </c>
      <c r="BS124" s="373">
        <f>$R124/(1+($V124*(('Traffic Data'!AD43*(0.67/14))/(($I124)*$S124))^$W124))</f>
        <v>45.89999999698572</v>
      </c>
      <c r="BT124" s="373">
        <f>$R124/(1+($V124*(('Traffic Data'!AE43*(0.67/14))/(($I124)*$S124))^$W124))</f>
        <v>45.899999996464395</v>
      </c>
      <c r="BU124" s="373">
        <f>$R124/(1+($V124*(('Traffic Data'!AF43*(0.67/14))/(($I124)*$S124))^$W124))</f>
        <v>45.899999995863624</v>
      </c>
      <c r="BV124" s="373">
        <f>$R124/(1+($V124*(('Traffic Data'!AG43*(0.67/14))/(($I124)*$S124))^$W124))</f>
        <v>45.899999995172102</v>
      </c>
      <c r="BW124" s="626">
        <f>$R124/(1+($V124*(('Traffic Data'!AH43*(0.67/14))/(($I124)*$S124))^$W124))</f>
        <v>45.899999994378227</v>
      </c>
    </row>
    <row r="125" spans="1:75" ht="21.9" customHeight="1" x14ac:dyDescent="0.25">
      <c r="A125" s="617"/>
      <c r="B125" s="283"/>
      <c r="C125" s="284"/>
      <c r="D125" s="284" t="s">
        <v>322</v>
      </c>
      <c r="E125" s="284" t="s">
        <v>326</v>
      </c>
      <c r="F125" s="582">
        <f>'Traffic Data'!CM41</f>
        <v>0.83333333333333337</v>
      </c>
      <c r="G125" s="582">
        <f>'Traffic Data'!CN41</f>
        <v>0.9</v>
      </c>
      <c r="H125" s="583">
        <f>'Traffic Data'!G44</f>
        <v>45</v>
      </c>
      <c r="I125" s="583">
        <v>4</v>
      </c>
      <c r="J125" s="583">
        <f t="shared" si="9"/>
        <v>52</v>
      </c>
      <c r="K125" s="583">
        <v>0</v>
      </c>
      <c r="L125" s="583">
        <v>2.5</v>
      </c>
      <c r="M125" s="583">
        <v>0</v>
      </c>
      <c r="N125" s="583">
        <v>3.6</v>
      </c>
      <c r="O125" s="583">
        <v>0</v>
      </c>
      <c r="P125" s="583">
        <v>0</v>
      </c>
      <c r="Q125" s="583">
        <v>0</v>
      </c>
      <c r="R125" s="285">
        <f t="shared" si="4"/>
        <v>45.9</v>
      </c>
      <c r="S125" s="584">
        <f>F125*G125*M$24</f>
        <v>1425</v>
      </c>
      <c r="T125" s="585">
        <v>0.12</v>
      </c>
      <c r="U125" s="586">
        <v>0.65</v>
      </c>
      <c r="V125" s="587">
        <f t="shared" si="10"/>
        <v>0.2</v>
      </c>
      <c r="W125" s="588">
        <v>10</v>
      </c>
      <c r="X125" s="384">
        <f>$R125/(1+($V125*(('Traffic Data'!J44*$T125*$U125)/(($I125/2)*$S125))^$W125))</f>
        <v>45.899999869126233</v>
      </c>
      <c r="Y125" s="373">
        <f>$R125/(1+($V125*(('Traffic Data'!K44*$T125*$U125)/(($I125/2)*$S125))^$W125))</f>
        <v>45.8999998269027</v>
      </c>
      <c r="Z125" s="373">
        <f>$R125/(1+($V125*(('Traffic Data'!L44*$T125*$U125)/(($I125/2)*$S125))^$W125))</f>
        <v>45.899999764143068</v>
      </c>
      <c r="AA125" s="373">
        <f>$R125/(1+($V125*(('Traffic Data'!M44*$T125*$U125)/(($I125/2)*$S125))^$W125))</f>
        <v>45.899999654465667</v>
      </c>
      <c r="AB125" s="373">
        <f>$R125/(1+($V125*(('Traffic Data'!N44*$T125*$U125)/(($I125/2)*$S125))^$W125))</f>
        <v>45.899999500789512</v>
      </c>
      <c r="AC125" s="373">
        <f>$R125/(1+($V125*(('Traffic Data'!O44*$T125*$U125)/(($I125/2)*$S125))^$W125))</f>
        <v>45.899999288163151</v>
      </c>
      <c r="AD125" s="373">
        <f>$R125/(1+($V125*(('Traffic Data'!P44*$T125*$U125)/(($I125/2)*$S125))^$W125))</f>
        <v>45.899998997295938</v>
      </c>
      <c r="AE125" s="373">
        <f>$R125/(1+($V125*(('Traffic Data'!Q44*$T125*$U125)/(($I125/2)*$S125))^$W125))</f>
        <v>45.899998603424784</v>
      </c>
      <c r="AF125" s="373">
        <f>$R125/(1+($V125*(('Traffic Data'!R44*$T125*$U125)/(($I125/2)*$S125))^$W125))</f>
        <v>45.899997994806959</v>
      </c>
      <c r="AG125" s="373">
        <f>$R125/(1+($V125*(('Traffic Data'!S44*$T125*$U125)/(($I125/2)*$S125))^$W125))</f>
        <v>45.899997157121881</v>
      </c>
      <c r="AH125" s="373">
        <f>$R125/(1+($V125*(('Traffic Data'!T44*$T125*$U125)/(($I125/2)*$S125))^$W125))</f>
        <v>45.899996016811997</v>
      </c>
      <c r="AI125" s="373">
        <f>$R125/(1+($V125*(('Traffic Data'!U44*$T125*$U125)/(($I125/2)*$S125))^$W125))</f>
        <v>45.899994479937256</v>
      </c>
      <c r="AJ125" s="373">
        <f>$R125/(1+($V125*(('Traffic Data'!V44*$T125*$U125)/(($I125/2)*$S125))^$W125))</f>
        <v>45.899992428134517</v>
      </c>
      <c r="AK125" s="373">
        <f>$R125/(1+($V125*(('Traffic Data'!W44*$T125*$U125)/(($I125/2)*$S125))^$W125))</f>
        <v>45.899990295754669</v>
      </c>
      <c r="AL125" s="373">
        <f>$R125/(1+($V125*(('Traffic Data'!X44*$T125*$U125)/(($I125/2)*$S125))^$W125))</f>
        <v>45.899988350826568</v>
      </c>
      <c r="AM125" s="373">
        <f>$R125/(1+($V125*(('Traffic Data'!Y44*$T125*$U125)/(($I125/2)*$S125))^$W125))</f>
        <v>45.899986061847436</v>
      </c>
      <c r="AN125" s="373">
        <f>$R125/(1+($V125*(('Traffic Data'!Z44*$T125*$U125)/(($I125/2)*$S125))^$W125))</f>
        <v>45.899983375743055</v>
      </c>
      <c r="AO125" s="373">
        <f>$R125/(1+($V125*(('Traffic Data'!AA44*$T125*$U125)/(($I125/2)*$S125))^$W125))</f>
        <v>45.899980233405877</v>
      </c>
      <c r="AP125" s="373">
        <f>$R125/(1+($V125*(('Traffic Data'!AB44*$T125*$U125)/(($I125/2)*$S125))^$W125))</f>
        <v>45.899976565087002</v>
      </c>
      <c r="AQ125" s="373">
        <f>$R125/(1+($V125*(('Traffic Data'!AC44*$T125*$U125)/(($I125/2)*$S125))^$W125))</f>
        <v>45.899972296405011</v>
      </c>
      <c r="AR125" s="373">
        <f>$R125/(1+($V125*(('Traffic Data'!AD44*$T125*$U125)/(($I125/2)*$S125))^$W125))</f>
        <v>45.899967338685457</v>
      </c>
      <c r="AS125" s="373">
        <f>$R125/(1+($V125*(('Traffic Data'!AE44*$T125*$U125)/(($I125/2)*$S125))^$W125))</f>
        <v>45.899961596291647</v>
      </c>
      <c r="AT125" s="373">
        <f>$R125/(1+($V125*(('Traffic Data'!AF44*$T125*$U125)/(($I125/2)*$S125))^$W125))</f>
        <v>45.899954962801154</v>
      </c>
      <c r="AU125" s="373">
        <f>$R125/(1+($V125*(('Traffic Data'!AG44*$T125*$U125)/(($I125/2)*$S125))^$W125))</f>
        <v>45.899947312919259</v>
      </c>
      <c r="AV125" s="373">
        <f>$R125/(1+($V125*(('Traffic Data'!AH44*$T125*$U125)/(($I125/2)*$S125))^$W125))</f>
        <v>45.899938512830701</v>
      </c>
      <c r="AW125" s="363">
        <f>$R125/(1+($V125*(('Traffic Data'!AI44*$T125*$U125)/(($I125/2)*$S125))^$W125))</f>
        <v>45.899928414475553</v>
      </c>
      <c r="AX125" s="384">
        <f>$R125/(1+($V125*(('Traffic Data'!J44*(0.67/14))/(($I125)*$S125))^$W125))</f>
        <v>45.899999999999032</v>
      </c>
      <c r="AY125" s="373">
        <f>$R125/(1+($V125*(('Traffic Data'!J44*(0.67/14))/(($I125)*$S125))^$W125))</f>
        <v>45.899999999999032</v>
      </c>
      <c r="AZ125" s="373">
        <f>$R125/(1+($V125*(('Traffic Data'!K44*(0.67/14))/(($I125)*$S125))^$W125))</f>
        <v>45.899999999998727</v>
      </c>
      <c r="BA125" s="373">
        <f>$R125/(1+($V125*(('Traffic Data'!L44*(0.67/14))/(($I125)*$S125))^$W125))</f>
        <v>45.899999999998258</v>
      </c>
      <c r="BB125" s="373">
        <f>$R125/(1+($V125*(('Traffic Data'!M44*(0.67/14))/(($I125)*$S125))^$W125))</f>
        <v>45.899999999997448</v>
      </c>
      <c r="BC125" s="373">
        <f>$R125/(1+($V125*(('Traffic Data'!N44*(0.67/14))/(($I125)*$S125))^$W125))</f>
        <v>45.899999999996311</v>
      </c>
      <c r="BD125" s="373">
        <f>$R125/(1+($V125*(('Traffic Data'!O44*(0.67/14))/(($I125)*$S125))^$W125))</f>
        <v>45.899999999994741</v>
      </c>
      <c r="BE125" s="373">
        <f>$R125/(1+($V125*(('Traffic Data'!P44*(0.67/14))/(($I125)*$S125))^$W125))</f>
        <v>45.899999999992602</v>
      </c>
      <c r="BF125" s="373">
        <f>$R125/(1+($V125*(('Traffic Data'!Q44*(0.67/14))/(($I125)*$S125))^$W125))</f>
        <v>45.899999999989681</v>
      </c>
      <c r="BG125" s="373">
        <f>$R125/(1+($V125*(('Traffic Data'!R44*(0.67/14))/(($I125)*$S125))^$W125))</f>
        <v>45.899999999985191</v>
      </c>
      <c r="BH125" s="373">
        <f>$R125/(1+($V125*(('Traffic Data'!S44*(0.67/14))/(($I125)*$S125))^$W125))</f>
        <v>45.899999999979016</v>
      </c>
      <c r="BI125" s="373">
        <f>$R125/(1+($V125*(('Traffic Data'!T44*(0.67/14))/(($I125)*$S125))^$W125))</f>
        <v>45.899999999970596</v>
      </c>
      <c r="BJ125" s="373">
        <f>$R125/(1+($V125*(('Traffic Data'!U44*(0.67/14))/(($I125)*$S125))^$W125))</f>
        <v>45.899999999959242</v>
      </c>
      <c r="BK125" s="373">
        <f>$R125/(1+($V125*(('Traffic Data'!V44*(0.67/14))/(($I125)*$S125))^$W125))</f>
        <v>45.899999999944093</v>
      </c>
      <c r="BL125" s="373">
        <f>$R125/(1+($V125*(('Traffic Data'!W44*(0.67/14))/(($I125)*$S125))^$W125))</f>
        <v>45.899999999928347</v>
      </c>
      <c r="BM125" s="373">
        <f>$R125/(1+($V125*(('Traffic Data'!X44*(0.67/14))/(($I125)*$S125))^$W125))</f>
        <v>45.899999999914002</v>
      </c>
      <c r="BN125" s="373">
        <f>$R125/(1+($V125*(('Traffic Data'!Y44*(0.67/14))/(($I125)*$S125))^$W125))</f>
        <v>45.899999999897091</v>
      </c>
      <c r="BO125" s="373">
        <f>$R125/(1+($V125*(('Traffic Data'!Z44*(0.67/14))/(($I125)*$S125))^$W125))</f>
        <v>45.899999999877267</v>
      </c>
      <c r="BP125" s="373">
        <f>$R125/(1+($V125*(('Traffic Data'!AA44*(0.67/14))/(($I125)*$S125))^$W125))</f>
        <v>45.89999999985406</v>
      </c>
      <c r="BQ125" s="373">
        <f>$R125/(1+($V125*(('Traffic Data'!AB44*(0.67/14))/(($I125)*$S125))^$W125))</f>
        <v>45.899999999826981</v>
      </c>
      <c r="BR125" s="373">
        <f>$R125/(1+($V125*(('Traffic Data'!AC44*(0.67/14))/(($I125)*$S125))^$W125))</f>
        <v>45.899999999795469</v>
      </c>
      <c r="BS125" s="373">
        <f>$R125/(1+($V125*(('Traffic Data'!AD44*(0.67/14))/(($I125)*$S125))^$W125))</f>
        <v>45.899999999758869</v>
      </c>
      <c r="BT125" s="373">
        <f>$R125/(1+($V125*(('Traffic Data'!AE44*(0.67/14))/(($I125)*$S125))^$W125))</f>
        <v>45.899999999716471</v>
      </c>
      <c r="BU125" s="373">
        <f>$R125/(1+($V125*(('Traffic Data'!AF44*(0.67/14))/(($I125)*$S125))^$W125))</f>
        <v>45.8999999996675</v>
      </c>
      <c r="BV125" s="373">
        <f>$R125/(1+($V125*(('Traffic Data'!AG44*(0.67/14))/(($I125)*$S125))^$W125))</f>
        <v>45.899999999611019</v>
      </c>
      <c r="BW125" s="626">
        <f>$R125/(1+($V125*(('Traffic Data'!AH44*(0.67/14))/(($I125)*$S125))^$W125))</f>
        <v>45.899999999546054</v>
      </c>
    </row>
    <row r="126" spans="1:75" ht="21.9" customHeight="1" x14ac:dyDescent="0.25">
      <c r="A126" s="617"/>
      <c r="B126" s="283"/>
      <c r="C126" s="284"/>
      <c r="D126" s="284" t="s">
        <v>326</v>
      </c>
      <c r="E126" s="284" t="s">
        <v>274</v>
      </c>
      <c r="F126" s="582">
        <f>'Traffic Data'!CM41</f>
        <v>0.83333333333333337</v>
      </c>
      <c r="G126" s="582">
        <f>'Traffic Data'!CN41</f>
        <v>0.9</v>
      </c>
      <c r="H126" s="583">
        <f>'Traffic Data'!G45</f>
        <v>55</v>
      </c>
      <c r="I126" s="583">
        <v>4</v>
      </c>
      <c r="J126" s="583">
        <f t="shared" si="9"/>
        <v>62</v>
      </c>
      <c r="K126" s="583">
        <v>0</v>
      </c>
      <c r="L126" s="583">
        <v>2.5</v>
      </c>
      <c r="M126" s="583">
        <v>0</v>
      </c>
      <c r="N126" s="583">
        <v>3.6</v>
      </c>
      <c r="O126" s="583">
        <v>0</v>
      </c>
      <c r="P126" s="583">
        <v>0</v>
      </c>
      <c r="Q126" s="583">
        <v>0</v>
      </c>
      <c r="R126" s="285">
        <f t="shared" si="4"/>
        <v>55.9</v>
      </c>
      <c r="S126" s="584">
        <f>F126*G126*M$22</f>
        <v>1575</v>
      </c>
      <c r="T126" s="585">
        <v>0.12</v>
      </c>
      <c r="U126" s="586">
        <v>0.65</v>
      </c>
      <c r="V126" s="587">
        <f t="shared" si="10"/>
        <v>0.2</v>
      </c>
      <c r="W126" s="588">
        <v>10</v>
      </c>
      <c r="X126" s="384">
        <f>$R126/(1+($V126*(('Traffic Data'!J45*$T126*$U126)/(($I126/2)*$S126))^$W126))</f>
        <v>55.899999941413874</v>
      </c>
      <c r="Y126" s="373">
        <f>$R126/(1+($V126*(('Traffic Data'!K45*$T126*$U126)/(($I126/2)*$S126))^$W126))</f>
        <v>55.89999992251235</v>
      </c>
      <c r="Z126" s="373">
        <f>$R126/(1+($V126*(('Traffic Data'!L45*$T126*$U126)/(($I126/2)*$S126))^$W126))</f>
        <v>55.899999894417768</v>
      </c>
      <c r="AA126" s="373">
        <f>$R126/(1+($V126*(('Traffic Data'!M45*$T126*$U126)/(($I126/2)*$S126))^$W126))</f>
        <v>55.899999845320266</v>
      </c>
      <c r="AB126" s="373">
        <f>$R126/(1+($V126*(('Traffic Data'!N45*$T126*$U126)/(($I126/2)*$S126))^$W126))</f>
        <v>55.899999776526577</v>
      </c>
      <c r="AC126" s="373">
        <f>$R126/(1+($V126*(('Traffic Data'!O45*$T126*$U126)/(($I126/2)*$S126))^$W126))</f>
        <v>55.899999681343601</v>
      </c>
      <c r="AD126" s="373">
        <f>$R126/(1+($V126*(('Traffic Data'!P45*$T126*$U126)/(($I126/2)*$S126))^$W126))</f>
        <v>55.899999551135799</v>
      </c>
      <c r="AE126" s="373">
        <f>$R126/(1+($V126*(('Traffic Data'!Q45*$T126*$U126)/(($I126/2)*$S126))^$W126))</f>
        <v>55.899999374817924</v>
      </c>
      <c r="AF126" s="373">
        <f>$R126/(1+($V126*(('Traffic Data'!R45*$T126*$U126)/(($I126/2)*$S126))^$W126))</f>
        <v>55.899999102367879</v>
      </c>
      <c r="AG126" s="373">
        <f>$R126/(1+($V126*(('Traffic Data'!S45*$T126*$U126)/(($I126/2)*$S126))^$W126))</f>
        <v>55.899998727375021</v>
      </c>
      <c r="AH126" s="373">
        <f>$R126/(1+($V126*(('Traffic Data'!T45*$T126*$U126)/(($I126/2)*$S126))^$W126))</f>
        <v>55.89999821691103</v>
      </c>
      <c r="AI126" s="373">
        <f>$R126/(1+($V126*(('Traffic Data'!U45*$T126*$U126)/(($I126/2)*$S126))^$W126))</f>
        <v>55.899997528923265</v>
      </c>
      <c r="AJ126" s="373">
        <f>$R126/(1+($V126*(('Traffic Data'!V45*$T126*$U126)/(($I126/2)*$S126))^$W126))</f>
        <v>55.899996610425994</v>
      </c>
      <c r="AK126" s="373">
        <f>$R126/(1+($V126*(('Traffic Data'!W45*$T126*$U126)/(($I126/2)*$S126))^$W126))</f>
        <v>55.899995655858021</v>
      </c>
      <c r="AL126" s="373">
        <f>$R126/(1+($V126*(('Traffic Data'!X45*$T126*$U126)/(($I126/2)*$S126))^$W126))</f>
        <v>55.899994785203496</v>
      </c>
      <c r="AM126" s="373">
        <f>$R126/(1+($V126*(('Traffic Data'!Y45*$T126*$U126)/(($I126/2)*$S126))^$W126))</f>
        <v>55.89999376053315</v>
      </c>
      <c r="AN126" s="373">
        <f>$R126/(1+($V126*(('Traffic Data'!Z45*$T126*$U126)/(($I126/2)*$S126))^$W126))</f>
        <v>55.899992558088066</v>
      </c>
      <c r="AO126" s="373">
        <f>$R126/(1+($V126*(('Traffic Data'!AA45*$T126*$U126)/(($I126/2)*$S126))^$W126))</f>
        <v>55.899991151408472</v>
      </c>
      <c r="AP126" s="373">
        <f>$R126/(1+($V126*(('Traffic Data'!AB45*$T126*$U126)/(($I126/2)*$S126))^$W126))</f>
        <v>55.899989509270952</v>
      </c>
      <c r="AQ126" s="373">
        <f>$R126/(1+($V126*(('Traffic Data'!AC45*$T126*$U126)/(($I126/2)*$S126))^$W126))</f>
        <v>55.899987598378296</v>
      </c>
      <c r="AR126" s="373">
        <f>$R126/(1+($V126*(('Traffic Data'!AD45*$T126*$U126)/(($I126/2)*$S126))^$W126))</f>
        <v>55.899985379034909</v>
      </c>
      <c r="AS126" s="373">
        <f>$R126/(1+($V126*(('Traffic Data'!AE45*$T126*$U126)/(($I126/2)*$S126))^$W126))</f>
        <v>55.899982808428518</v>
      </c>
      <c r="AT126" s="373">
        <f>$R126/(1+($V126*(('Traffic Data'!AF45*$T126*$U126)/(($I126/2)*$S126))^$W126))</f>
        <v>55.899979838918505</v>
      </c>
      <c r="AU126" s="373">
        <f>$R126/(1+($V126*(('Traffic Data'!AG45*$T126*$U126)/(($I126/2)*$S126))^$W126))</f>
        <v>55.899976414415917</v>
      </c>
      <c r="AV126" s="373">
        <f>$R126/(1+($V126*(('Traffic Data'!AH45*$T126*$U126)/(($I126/2)*$S126))^$W126))</f>
        <v>55.899972475017449</v>
      </c>
      <c r="AW126" s="363">
        <f>$R126/(1+($V126*(('Traffic Data'!AI45*$T126*$U126)/(($I126/2)*$S126))^$W126))</f>
        <v>55.899967954443063</v>
      </c>
      <c r="AX126" s="384">
        <f>$R126/(1+($V126*(('Traffic Data'!J45*(0.67/14))/(($I126)*$S126))^$W126))</f>
        <v>55.899999999999565</v>
      </c>
      <c r="AY126" s="373">
        <f>$R126/(1+($V126*(('Traffic Data'!J45*(0.67/14))/(($I126)*$S126))^$W126))</f>
        <v>55.899999999999565</v>
      </c>
      <c r="AZ126" s="373">
        <f>$R126/(1+($V126*(('Traffic Data'!K45*(0.67/14))/(($I126)*$S126))^$W126))</f>
        <v>55.89999999999943</v>
      </c>
      <c r="BA126" s="373">
        <f>$R126/(1+($V126*(('Traffic Data'!L45*(0.67/14))/(($I126)*$S126))^$W126))</f>
        <v>55.899999999999217</v>
      </c>
      <c r="BB126" s="373">
        <f>$R126/(1+($V126*(('Traffic Data'!M45*(0.67/14))/(($I126)*$S126))^$W126))</f>
        <v>55.899999999998855</v>
      </c>
      <c r="BC126" s="373">
        <f>$R126/(1+($V126*(('Traffic Data'!N45*(0.67/14))/(($I126)*$S126))^$W126))</f>
        <v>55.89999999999835</v>
      </c>
      <c r="BD126" s="373">
        <f>$R126/(1+($V126*(('Traffic Data'!O45*(0.67/14))/(($I126)*$S126))^$W126))</f>
        <v>55.89999999999764</v>
      </c>
      <c r="BE126" s="373">
        <f>$R126/(1+($V126*(('Traffic Data'!P45*(0.67/14))/(($I126)*$S126))^$W126))</f>
        <v>55.899999999996687</v>
      </c>
      <c r="BF126" s="373">
        <f>$R126/(1+($V126*(('Traffic Data'!Q45*(0.67/14))/(($I126)*$S126))^$W126))</f>
        <v>55.89999999999538</v>
      </c>
      <c r="BG126" s="373">
        <f>$R126/(1+($V126*(('Traffic Data'!R45*(0.67/14))/(($I126)*$S126))^$W126))</f>
        <v>55.899999999993369</v>
      </c>
      <c r="BH126" s="373">
        <f>$R126/(1+($V126*(('Traffic Data'!S45*(0.67/14))/(($I126)*$S126))^$W126))</f>
        <v>55.899999999990605</v>
      </c>
      <c r="BI126" s="373">
        <f>$R126/(1+($V126*(('Traffic Data'!T45*(0.67/14))/(($I126)*$S126))^$W126))</f>
        <v>55.899999999986832</v>
      </c>
      <c r="BJ126" s="373">
        <f>$R126/(1+($V126*(('Traffic Data'!U45*(0.67/14))/(($I126)*$S126))^$W126))</f>
        <v>55.899999999981752</v>
      </c>
      <c r="BK126" s="373">
        <f>$R126/(1+($V126*(('Traffic Data'!V45*(0.67/14))/(($I126)*$S126))^$W126))</f>
        <v>55.899999999974973</v>
      </c>
      <c r="BL126" s="373">
        <f>$R126/(1+($V126*(('Traffic Data'!W45*(0.67/14))/(($I126)*$S126))^$W126))</f>
        <v>55.899999999967925</v>
      </c>
      <c r="BM126" s="373">
        <f>$R126/(1+($V126*(('Traffic Data'!X45*(0.67/14))/(($I126)*$S126))^$W126))</f>
        <v>55.899999999961494</v>
      </c>
      <c r="BN126" s="373">
        <f>$R126/(1+($V126*(('Traffic Data'!Y45*(0.67/14))/(($I126)*$S126))^$W126))</f>
        <v>55.899999999953934</v>
      </c>
      <c r="BO126" s="373">
        <f>$R126/(1+($V126*(('Traffic Data'!Z45*(0.67/14))/(($I126)*$S126))^$W126))</f>
        <v>55.899999999945059</v>
      </c>
      <c r="BP126" s="373">
        <f>$R126/(1+($V126*(('Traffic Data'!AA45*(0.67/14))/(($I126)*$S126))^$W126))</f>
        <v>55.899999999934671</v>
      </c>
      <c r="BQ126" s="373">
        <f>$R126/(1+($V126*(('Traffic Data'!AB45*(0.67/14))/(($I126)*$S126))^$W126))</f>
        <v>55.899999999922549</v>
      </c>
      <c r="BR126" s="373">
        <f>$R126/(1+($V126*(('Traffic Data'!AC45*(0.67/14))/(($I126)*$S126))^$W126))</f>
        <v>55.899999999908445</v>
      </c>
      <c r="BS126" s="373">
        <f>$R126/(1+($V126*(('Traffic Data'!AD45*(0.67/14))/(($I126)*$S126))^$W126))</f>
        <v>55.899999999892046</v>
      </c>
      <c r="BT126" s="373">
        <f>$R126/(1+($V126*(('Traffic Data'!AE45*(0.67/14))/(($I126)*$S126))^$W126))</f>
        <v>55.899999999873067</v>
      </c>
      <c r="BU126" s="373">
        <f>$R126/(1+($V126*(('Traffic Data'!AF45*(0.67/14))/(($I126)*$S126))^$W126))</f>
        <v>55.899999999851147</v>
      </c>
      <c r="BV126" s="373">
        <f>$R126/(1+($V126*(('Traffic Data'!AG45*(0.67/14))/(($I126)*$S126))^$W126))</f>
        <v>55.899999999825866</v>
      </c>
      <c r="BW126" s="626">
        <f>$R126/(1+($V126*(('Traffic Data'!AH45*(0.67/14))/(($I126)*$S126))^$W126))</f>
        <v>55.899999999796783</v>
      </c>
    </row>
    <row r="127" spans="1:75" ht="21.9" customHeight="1" thickBot="1" x14ac:dyDescent="0.3">
      <c r="A127" s="617"/>
      <c r="B127" s="313"/>
      <c r="C127" s="314"/>
      <c r="D127" s="314" t="s">
        <v>274</v>
      </c>
      <c r="E127" s="314" t="s">
        <v>317</v>
      </c>
      <c r="F127" s="610">
        <f>'Traffic Data'!CM41</f>
        <v>0.83333333333333337</v>
      </c>
      <c r="G127" s="610">
        <f>'Traffic Data'!CN41</f>
        <v>0.9</v>
      </c>
      <c r="H127" s="611">
        <f>'Traffic Data'!G46</f>
        <v>55</v>
      </c>
      <c r="I127" s="611">
        <v>2</v>
      </c>
      <c r="J127" s="611">
        <f t="shared" si="9"/>
        <v>62</v>
      </c>
      <c r="K127" s="611">
        <v>4.2</v>
      </c>
      <c r="L127" s="611">
        <v>2.5</v>
      </c>
      <c r="M127" s="611">
        <v>0</v>
      </c>
      <c r="N127" s="611">
        <v>0</v>
      </c>
      <c r="O127" s="611">
        <v>0</v>
      </c>
      <c r="P127" s="611">
        <v>0</v>
      </c>
      <c r="Q127" s="611">
        <v>0</v>
      </c>
      <c r="R127" s="315">
        <f t="shared" si="4"/>
        <v>55.3</v>
      </c>
      <c r="S127" s="612">
        <f>F127*G127*N$22</f>
        <v>600</v>
      </c>
      <c r="T127" s="613">
        <v>0.12</v>
      </c>
      <c r="U127" s="614">
        <v>0.65</v>
      </c>
      <c r="V127" s="615">
        <f t="shared" si="10"/>
        <v>0.2</v>
      </c>
      <c r="W127" s="616">
        <v>10</v>
      </c>
      <c r="X127" s="384">
        <f>$R127/(1+($V127*(('Traffic Data'!J46*$T127*$U127)/(($I127/2)*$S127))^$W127))</f>
        <v>55.299903328088064</v>
      </c>
      <c r="Y127" s="373">
        <f>$R127/(1+($V127*(('Traffic Data'!K46*$T127*$U127)/(($I127/2)*$S127))^$W127))</f>
        <v>55.299872139104522</v>
      </c>
      <c r="Z127" s="373">
        <f>$R127/(1+($V127*(('Traffic Data'!L46*$T127*$U127)/(($I127/2)*$S127))^$W127))</f>
        <v>55.299825780914766</v>
      </c>
      <c r="AA127" s="373">
        <f>$R127/(1+($V127*(('Traffic Data'!M46*$T127*$U127)/(($I127/2)*$S127))^$W127))</f>
        <v>55.299744766508944</v>
      </c>
      <c r="AB127" s="373">
        <f>$R127/(1+($V127*(('Traffic Data'!N46*$T127*$U127)/(($I127/2)*$S127))^$W127))</f>
        <v>55.299631252346366</v>
      </c>
      <c r="AC127" s="373">
        <f>$R127/(1+($V127*(('Traffic Data'!O46*$T127*$U127)/(($I127/2)*$S127))^$W127))</f>
        <v>55.299474194895502</v>
      </c>
      <c r="AD127" s="373">
        <f>$R127/(1+($V127*(('Traffic Data'!P46*$T127*$U127)/(($I127/2)*$S127))^$W127))</f>
        <v>55.299259345915843</v>
      </c>
      <c r="AE127" s="373">
        <f>$R127/(1+($V127*(('Traffic Data'!Q46*$T127*$U127)/(($I127/2)*$S127))^$W127))</f>
        <v>55.29896841576236</v>
      </c>
      <c r="AF127" s="373">
        <f>$R127/(1+($V127*(('Traffic Data'!R46*$T127*$U127)/(($I127/2)*$S127))^$W127))</f>
        <v>55.298518870509625</v>
      </c>
      <c r="AG127" s="373">
        <f>$R127/(1+($V127*(('Traffic Data'!S46*$T127*$U127)/(($I127/2)*$S127))^$W127))</f>
        <v>55.297900140526224</v>
      </c>
      <c r="AH127" s="373">
        <f>$R127/(1+($V127*(('Traffic Data'!T46*$T127*$U127)/(($I127/2)*$S127))^$W127))</f>
        <v>55.297057908389334</v>
      </c>
      <c r="AI127" s="373">
        <f>$R127/(1+($V127*(('Traffic Data'!U46*$T127*$U127)/(($I127/2)*$S127))^$W127))</f>
        <v>55.295922814221832</v>
      </c>
      <c r="AJ127" s="373">
        <f>$R127/(1+($V127*(('Traffic Data'!V46*$T127*$U127)/(($I127/2)*$S127))^$W127))</f>
        <v>55.294407480664205</v>
      </c>
      <c r="AK127" s="373">
        <f>$R127/(1+($V127*(('Traffic Data'!W46*$T127*$U127)/(($I127/2)*$S127))^$W127))</f>
        <v>55.292832725739309</v>
      </c>
      <c r="AL127" s="373">
        <f>$R127/(1+($V127*(('Traffic Data'!X46*$T127*$U127)/(($I127/2)*$S127))^$W127))</f>
        <v>55.291396481356756</v>
      </c>
      <c r="AM127" s="373">
        <f>$R127/(1+($V127*(('Traffic Data'!Y46*$T127*$U127)/(($I127/2)*$S127))^$W127))</f>
        <v>55.289706265740314</v>
      </c>
      <c r="AN127" s="373">
        <f>$R127/(1+($V127*(('Traffic Data'!Z46*$T127*$U127)/(($I127/2)*$S127))^$W127))</f>
        <v>55.287722938607139</v>
      </c>
      <c r="AO127" s="373">
        <f>$R127/(1+($V127*(('Traffic Data'!AA46*$T127*$U127)/(($I127/2)*$S127))^$W127))</f>
        <v>55.285402925155033</v>
      </c>
      <c r="AP127" s="373">
        <f>$R127/(1+($V127*(('Traffic Data'!AB46*$T127*$U127)/(($I127/2)*$S127))^$W127))</f>
        <v>55.282694820980794</v>
      </c>
      <c r="AQ127" s="373">
        <f>$R127/(1+($V127*(('Traffic Data'!AC46*$T127*$U127)/(($I127/2)*$S127))^$W127))</f>
        <v>55.279543837445445</v>
      </c>
      <c r="AR127" s="373">
        <f>$R127/(1+($V127*(('Traffic Data'!AD46*$T127*$U127)/(($I127/2)*$S127))^$W127))</f>
        <v>55.275884681881749</v>
      </c>
      <c r="AS127" s="373">
        <f>$R127/(1+($V127*(('Traffic Data'!AE46*$T127*$U127)/(($I127/2)*$S127))^$W127))</f>
        <v>55.271646984448161</v>
      </c>
      <c r="AT127" s="373">
        <f>$R127/(1+($V127*(('Traffic Data'!AF46*$T127*$U127)/(($I127/2)*$S127))^$W127))</f>
        <v>55.26675249445433</v>
      </c>
      <c r="AU127" s="373">
        <f>$R127/(1+($V127*(('Traffic Data'!AG46*$T127*$U127)/(($I127/2)*$S127))^$W127))</f>
        <v>55.26110913919279</v>
      </c>
      <c r="AV127" s="373">
        <f>$R127/(1+($V127*(('Traffic Data'!AH46*$T127*$U127)/(($I127/2)*$S127))^$W127))</f>
        <v>55.254618693819353</v>
      </c>
      <c r="AW127" s="369">
        <f>$R127/(1+($V127*(('Traffic Data'!AI46*$T127*$U127)/(($I127/2)*$S127))^$W127))</f>
        <v>55.24717259603203</v>
      </c>
      <c r="AX127" s="446">
        <f>$R127/(1+($V127*(('Traffic Data'!J46*(0.67/14))/(($I127)*$S127))^$W127))</f>
        <v>55.299999999286285</v>
      </c>
      <c r="AY127" s="373">
        <f>$R127/(1+($V127*(('Traffic Data'!J46*(0.67/14))/(($I127)*$S127))^$W127))</f>
        <v>55.299999999286285</v>
      </c>
      <c r="AZ127" s="373">
        <f>$R127/(1+($V127*(('Traffic Data'!K46*(0.67/14))/(($I127)*$S127))^$W127))</f>
        <v>55.29999999905602</v>
      </c>
      <c r="BA127" s="373">
        <f>$R127/(1+($V127*(('Traffic Data'!L46*(0.67/14))/(($I127)*$S127))^$W127))</f>
        <v>55.299999998713766</v>
      </c>
      <c r="BB127" s="373">
        <f>$R127/(1+($V127*(('Traffic Data'!M46*(0.67/14))/(($I127)*$S127))^$W127))</f>
        <v>55.299999998115652</v>
      </c>
      <c r="BC127" s="373">
        <f>$R127/(1+($V127*(('Traffic Data'!N46*(0.67/14))/(($I127)*$S127))^$W127))</f>
        <v>55.299999997277581</v>
      </c>
      <c r="BD127" s="373">
        <f>$R127/(1+($V127*(('Traffic Data'!O46*(0.67/14))/(($I127)*$S127))^$W127))</f>
        <v>55.299999996118046</v>
      </c>
      <c r="BE127" s="373">
        <f>$R127/(1+($V127*(('Traffic Data'!P46*(0.67/14))/(($I127)*$S127))^$W127))</f>
        <v>55.299999994531809</v>
      </c>
      <c r="BF127" s="373">
        <f>$R127/(1+($V127*(('Traffic Data'!Q46*(0.67/14))/(($I127)*$S127))^$W127))</f>
        <v>55.299999992383867</v>
      </c>
      <c r="BG127" s="373">
        <f>$R127/(1+($V127*(('Traffic Data'!R46*(0.67/14))/(($I127)*$S127))^$W127))</f>
        <v>55.299999989064801</v>
      </c>
      <c r="BH127" s="373">
        <f>$R127/(1+($V127*(('Traffic Data'!S46*(0.67/14))/(($I127)*$S127))^$W127))</f>
        <v>55.299999984496544</v>
      </c>
      <c r="BI127" s="373">
        <f>$R127/(1+($V127*(('Traffic Data'!T46*(0.67/14))/(($I127)*$S127))^$W127))</f>
        <v>55.299999978277938</v>
      </c>
      <c r="BJ127" s="373">
        <f>$R127/(1+($V127*(('Traffic Data'!U46*(0.67/14))/(($I127)*$S127))^$W127))</f>
        <v>55.299999969896689</v>
      </c>
      <c r="BK127" s="373">
        <f>$R127/(1+($V127*(('Traffic Data'!V46*(0.67/14))/(($I127)*$S127))^$W127))</f>
        <v>55.299999958707311</v>
      </c>
      <c r="BL127" s="373">
        <f>$R127/(1+($V127*(('Traffic Data'!W46*(0.67/14))/(($I127)*$S127))^$W127))</f>
        <v>55.299999947078511</v>
      </c>
      <c r="BM127" s="373">
        <f>$R127/(1+($V127*(('Traffic Data'!X46*(0.67/14))/(($I127)*$S127))^$W127))</f>
        <v>55.299999936471977</v>
      </c>
      <c r="BN127" s="373">
        <f>$R127/(1+($V127*(('Traffic Data'!Y46*(0.67/14))/(($I127)*$S127))^$W127))</f>
        <v>55.299999923989162</v>
      </c>
      <c r="BO127" s="373">
        <f>$R127/(1+($V127*(('Traffic Data'!Z46*(0.67/14))/(($I127)*$S127))^$W127))</f>
        <v>55.299999909340663</v>
      </c>
      <c r="BP127" s="373">
        <f>$R127/(1+($V127*(('Traffic Data'!AA46*(0.67/14))/(($I127)*$S127))^$W127))</f>
        <v>55.299999892204113</v>
      </c>
      <c r="BQ127" s="373">
        <f>$R127/(1+($V127*(('Traffic Data'!AB46*(0.67/14))/(($I127)*$S127))^$W127))</f>
        <v>55.299999872199152</v>
      </c>
      <c r="BR127" s="373">
        <f>$R127/(1+($V127*(('Traffic Data'!AC46*(0.67/14))/(($I127)*$S127))^$W127))</f>
        <v>55.299999848920152</v>
      </c>
      <c r="BS127" s="373">
        <f>$R127/(1+($V127*(('Traffic Data'!AD46*(0.67/14))/(($I127)*$S127))^$W127))</f>
        <v>55.299999821883517</v>
      </c>
      <c r="BT127" s="373">
        <f>$R127/(1+($V127*(('Traffic Data'!AE46*(0.67/14))/(($I127)*$S127))^$W127))</f>
        <v>55.299999790567696</v>
      </c>
      <c r="BU127" s="373">
        <f>$R127/(1+($V127*(('Traffic Data'!AF46*(0.67/14))/(($I127)*$S127))^$W127))</f>
        <v>55.299999754392317</v>
      </c>
      <c r="BV127" s="373">
        <f>$R127/(1+($V127*(('Traffic Data'!AG46*(0.67/14))/(($I127)*$S127))^$W127))</f>
        <v>55.299999712674101</v>
      </c>
      <c r="BW127" s="626">
        <f>$R127/(1+($V127*(('Traffic Data'!AH46*(0.67/14))/(($I127)*$S127))^$W127))</f>
        <v>55.29999966468327</v>
      </c>
    </row>
    <row r="128" spans="1:75" ht="21.9" customHeight="1" x14ac:dyDescent="0.25">
      <c r="A128" s="617"/>
      <c r="B128" s="114" t="s">
        <v>287</v>
      </c>
      <c r="C128" s="1327" t="s">
        <v>315</v>
      </c>
      <c r="D128" s="114" t="s">
        <v>316</v>
      </c>
      <c r="E128" s="114" t="s">
        <v>276</v>
      </c>
      <c r="F128" s="550">
        <f>'Traffic Data'!CM47</f>
        <v>0.81967213114754101</v>
      </c>
      <c r="G128" s="550">
        <f>'Traffic Data'!CN47</f>
        <v>0.9</v>
      </c>
      <c r="H128" s="143">
        <f>'Traffic Data'!G47</f>
        <v>70</v>
      </c>
      <c r="I128" s="143">
        <v>4</v>
      </c>
      <c r="J128" s="143">
        <f>H128+5</f>
        <v>75</v>
      </c>
      <c r="K128" s="143">
        <v>0</v>
      </c>
      <c r="L128" s="143">
        <v>0</v>
      </c>
      <c r="M128" s="143">
        <v>0</v>
      </c>
      <c r="N128" s="143">
        <v>0</v>
      </c>
      <c r="O128" s="143">
        <v>0</v>
      </c>
      <c r="P128" s="143">
        <v>0</v>
      </c>
      <c r="Q128" s="143">
        <f>3.22*(1)^(0.84)</f>
        <v>3.22</v>
      </c>
      <c r="R128" s="171">
        <f t="shared" si="4"/>
        <v>71.78</v>
      </c>
      <c r="S128" s="551">
        <f>L$19*F128*G128</f>
        <v>1770.4918032786886</v>
      </c>
      <c r="T128" s="552">
        <v>0.12</v>
      </c>
      <c r="U128" s="553">
        <v>0.65</v>
      </c>
      <c r="V128" s="554">
        <f t="shared" si="10"/>
        <v>0.2</v>
      </c>
      <c r="W128" s="225">
        <v>10</v>
      </c>
      <c r="X128" s="388">
        <f>$R128/(1+($V128*(('Traffic Data'!J47*$T128*$U128)/(($I128/2)*$S128))^$W128))</f>
        <v>71.779575441467983</v>
      </c>
      <c r="Y128" s="389">
        <f>$R128/(1+($V128*(('Traffic Data'!K47*$T128*$U128)/(($I128/2)*$S128))^$W128))</f>
        <v>71.779337692497165</v>
      </c>
      <c r="Z128" s="389">
        <f>$R128/(1+($V128*(('Traffic Data'!L47*$T128*$U128)/(($I128/2)*$S128))^$W128))</f>
        <v>71.778799526082096</v>
      </c>
      <c r="AA128" s="389">
        <f>$R128/(1+($V128*(('Traffic Data'!M47*$T128*$U128)/(($I128/2)*$S128))^$W128))</f>
        <v>71.777287455159794</v>
      </c>
      <c r="AB128" s="389">
        <f>$R128/(1+($V128*(('Traffic Data'!N47*$T128*$U128)/(($I128/2)*$S128))^$W128))</f>
        <v>71.774234871140152</v>
      </c>
      <c r="AC128" s="389">
        <f>$R128/(1+($V128*(('Traffic Data'!O47*$T128*$U128)/(($I128/2)*$S128))^$W128))</f>
        <v>71.768378651101727</v>
      </c>
      <c r="AD128" s="389">
        <f>$R128/(1+($V128*(('Traffic Data'!P47*$T128*$U128)/(($I128/2)*$S128))^$W128))</f>
        <v>71.757632458033441</v>
      </c>
      <c r="AE128" s="389">
        <f>$R128/(1+($V128*(('Traffic Data'!Q47*$T128*$U128)/(($I128/2)*$S128))^$W128))</f>
        <v>71.73863521477162</v>
      </c>
      <c r="AF128" s="389">
        <f>$R128/(1+($V128*(('Traffic Data'!R47*$T128*$U128)/(($I128/2)*$S128))^$W128))</f>
        <v>71.706685699239998</v>
      </c>
      <c r="AG128" s="389">
        <f>$R128/(1+($V128*(('Traffic Data'!S47*$T128*$U128)/(($I128/2)*$S128))^$W128))</f>
        <v>71.65405292978302</v>
      </c>
      <c r="AH128" s="389">
        <f>$R128/(1+($V128*(('Traffic Data'!T47*$T128*$U128)/(($I128/2)*$S128))^$W128))</f>
        <v>71.56969327224563</v>
      </c>
      <c r="AI128" s="389">
        <f>$R128/(1+($V128*(('Traffic Data'!U47*$T128*$U128)/(($I128/2)*$S128))^$W128))</f>
        <v>71.437769825234398</v>
      </c>
      <c r="AJ128" s="389">
        <f>$R128/(1+($V128*(('Traffic Data'!V47*$T128*$U128)/(($I128/2)*$S128))^$W128))</f>
        <v>71.235987315589725</v>
      </c>
      <c r="AK128" s="389">
        <f>$R128/(1+($V128*(('Traffic Data'!W47*$T128*$U128)/(($I128/2)*$S128))^$W128))</f>
        <v>71.045375357220195</v>
      </c>
      <c r="AL128" s="389">
        <f>$R128/(1+($V128*(('Traffic Data'!X47*$T128*$U128)/(($I128/2)*$S128))^$W128))</f>
        <v>70.872985264960491</v>
      </c>
      <c r="AM128" s="389">
        <f>$R128/(1+($V128*(('Traffic Data'!Y47*$T128*$U128)/(($I128/2)*$S128))^$W128))</f>
        <v>70.665673065412804</v>
      </c>
      <c r="AN128" s="389">
        <f>$R128/(1+($V128*(('Traffic Data'!Z47*$T128*$U128)/(($I128/2)*$S128))^$W128))</f>
        <v>70.417609586805895</v>
      </c>
      <c r="AO128" s="389">
        <f>$R128/(1+($V128*(('Traffic Data'!AA47*$T128*$U128)/(($I128/2)*$S128))^$W128))</f>
        <v>70.122164682268675</v>
      </c>
      <c r="AP128" s="389">
        <f>$R128/(1+($V128*(('Traffic Data'!AB47*$T128*$U128)/(($I128/2)*$S128))^$W128))</f>
        <v>69.772318785628528</v>
      </c>
      <c r="AQ128" s="389">
        <f>$R128/(1+($V128*(('Traffic Data'!AC47*$T128*$U128)/(($I128/2)*$S128))^$W128))</f>
        <v>69.359918218350188</v>
      </c>
      <c r="AR128" s="389">
        <f>$R128/(1+($V128*(('Traffic Data'!AD47*$T128*$U128)/(($I128/2)*$S128))^$W128))</f>
        <v>68.876695017192887</v>
      </c>
      <c r="AS128" s="389">
        <f>$R128/(1+($V128*(('Traffic Data'!AE47*$T128*$U128)/(($I128/2)*$S128))^$W128))</f>
        <v>68.313413872388836</v>
      </c>
      <c r="AT128" s="389">
        <f>$R128/(1+($V128*(('Traffic Data'!AF47*$T128*$U128)/(($I128/2)*$S128))^$W128))</f>
        <v>67.660307442602388</v>
      </c>
      <c r="AU128" s="389">
        <f>$R128/(1+($V128*(('Traffic Data'!AG47*$T128*$U128)/(($I128/2)*$S128))^$W128))</f>
        <v>66.908064856115161</v>
      </c>
      <c r="AV128" s="389">
        <f>$R128/(1+($V128*(('Traffic Data'!AH47*$T128*$U128)/(($I128/2)*$S128))^$W128))</f>
        <v>66.046746067464582</v>
      </c>
      <c r="AW128" s="390">
        <f>$R128/(1+($V128*(('Traffic Data'!AI47*$T128*$U128)/(($I128/2)*$S128))^$W128))</f>
        <v>65.066609539338799</v>
      </c>
      <c r="AX128" s="388">
        <f>$R128/(1+($V128*(('Traffic Data'!J47*(0.67/14))/(($I128)*$S128))^$W128))</f>
        <v>71.779999996865541</v>
      </c>
      <c r="AY128" s="389">
        <f>$R128/(1+($V128*(('Traffic Data'!J47*(0.67/14))/(($I128)*$S128))^$W128))</f>
        <v>71.779999996865541</v>
      </c>
      <c r="AZ128" s="389">
        <f>$R128/(1+($V128*(('Traffic Data'!K47*(0.67/14))/(($I128)*$S128))^$W128))</f>
        <v>71.779999995110273</v>
      </c>
      <c r="BA128" s="389">
        <f>$R128/(1+($V128*(('Traffic Data'!L47*(0.67/14))/(($I128)*$S128))^$W128))</f>
        <v>71.779999991136975</v>
      </c>
      <c r="BB128" s="389">
        <f>$R128/(1+($V128*(('Traffic Data'!M47*(0.67/14))/(($I128)*$S128))^$W128))</f>
        <v>71.779999979973041</v>
      </c>
      <c r="BC128" s="389">
        <f>$R128/(1+($V128*(('Traffic Data'!N47*(0.67/14))/(($I128)*$S128))^$W128))</f>
        <v>71.779999957433731</v>
      </c>
      <c r="BD128" s="389">
        <f>$R128/(1+($V128*(('Traffic Data'!O47*(0.67/14))/(($I128)*$S128))^$W128))</f>
        <v>71.779999914187897</v>
      </c>
      <c r="BE128" s="389">
        <f>$R128/(1+($V128*(('Traffic Data'!P47*(0.67/14))/(($I128)*$S128))^$W128))</f>
        <v>71.779999834813211</v>
      </c>
      <c r="BF128" s="389">
        <f>$R128/(1+($V128*(('Traffic Data'!Q47*(0.67/14))/(($I128)*$S128))^$W128))</f>
        <v>71.77999969443556</v>
      </c>
      <c r="BG128" s="389">
        <f>$R128/(1+($V128*(('Traffic Data'!R47*(0.67/14))/(($I128)*$S128))^$W128))</f>
        <v>71.779999458181052</v>
      </c>
      <c r="BH128" s="389">
        <f>$R128/(1+($V128*(('Traffic Data'!S47*(0.67/14))/(($I128)*$S128))^$W128))</f>
        <v>71.779999068522343</v>
      </c>
      <c r="BI128" s="389">
        <f>$R128/(1+($V128*(('Traffic Data'!T47*(0.67/14))/(($I128)*$S128))^$W128))</f>
        <v>71.779998442782983</v>
      </c>
      <c r="BJ128" s="389">
        <f>$R128/(1+($V128*(('Traffic Data'!U47*(0.67/14))/(($I128)*$S128))^$W128))</f>
        <v>71.779997461275727</v>
      </c>
      <c r="BK128" s="389">
        <f>$R128/(1+($V128*(('Traffic Data'!V47*(0.67/14))/(($I128)*$S128))^$W128))</f>
        <v>71.779995952986113</v>
      </c>
      <c r="BL128" s="389">
        <f>$R128/(1+($V128*(('Traffic Data'!W47*(0.67/14))/(($I128)*$S128))^$W128))</f>
        <v>71.779994520325175</v>
      </c>
      <c r="BM128" s="389">
        <f>$R128/(1+($V128*(('Traffic Data'!X47*(0.67/14))/(($I128)*$S128))^$W128))</f>
        <v>71.779993217985478</v>
      </c>
      <c r="BN128" s="389">
        <f>$R128/(1+($V128*(('Traffic Data'!Y47*(0.67/14))/(($I128)*$S128))^$W128))</f>
        <v>71.779991643407612</v>
      </c>
      <c r="BO128" s="389">
        <f>$R128/(1+($V128*(('Traffic Data'!Z47*(0.67/14))/(($I128)*$S128))^$W128))</f>
        <v>71.779989747131694</v>
      </c>
      <c r="BP128" s="389">
        <f>$R128/(1+($V128*(('Traffic Data'!AA47*(0.67/14))/(($I128)*$S128))^$W128))</f>
        <v>71.779987471152083</v>
      </c>
      <c r="BQ128" s="389">
        <f>$R128/(1+($V128*(('Traffic Data'!AB47*(0.67/14))/(($I128)*$S128))^$W128))</f>
        <v>71.779984751165628</v>
      </c>
      <c r="BR128" s="389">
        <f>$R128/(1+($V128*(('Traffic Data'!AC47*(0.67/14))/(($I128)*$S128))^$W128))</f>
        <v>71.779981509591806</v>
      </c>
      <c r="BS128" s="389">
        <f>$R128/(1+($V128*(('Traffic Data'!AD47*(0.67/14))/(($I128)*$S128))^$W128))</f>
        <v>71.779977661944514</v>
      </c>
      <c r="BT128" s="389">
        <f>$R128/(1+($V128*(('Traffic Data'!AE47*(0.67/14))/(($I128)*$S128))^$W128))</f>
        <v>71.779973108131216</v>
      </c>
      <c r="BU128" s="389">
        <f>$R128/(1+($V128*(('Traffic Data'!AF47*(0.67/14))/(($I128)*$S128))^$W128))</f>
        <v>71.779967733208309</v>
      </c>
      <c r="BV128" s="389">
        <f>$R128/(1+($V128*(('Traffic Data'!AG47*(0.67/14))/(($I128)*$S128))^$W128))</f>
        <v>71.779961412385049</v>
      </c>
      <c r="BW128" s="630">
        <f>$R128/(1+($V128*(('Traffic Data'!AH47*(0.67/14))/(($I128)*$S128))^$W128))</f>
        <v>71.77995399822241</v>
      </c>
    </row>
    <row r="129" spans="1:75" ht="21.9" customHeight="1" x14ac:dyDescent="0.25">
      <c r="A129" s="617"/>
      <c r="C129" s="1327"/>
      <c r="D129" s="114" t="s">
        <v>276</v>
      </c>
      <c r="E129" s="114" t="s">
        <v>274</v>
      </c>
      <c r="F129" s="550">
        <f>'Traffic Data'!CM47</f>
        <v>0.81967213114754101</v>
      </c>
      <c r="G129" s="550">
        <f>'Traffic Data'!CN47</f>
        <v>0.9</v>
      </c>
      <c r="H129" s="143">
        <f>'Traffic Data'!G48</f>
        <v>70</v>
      </c>
      <c r="I129" s="143">
        <v>4</v>
      </c>
      <c r="J129" s="143">
        <f t="shared" ref="J129:J130" si="11">H129+5</f>
        <v>75</v>
      </c>
      <c r="K129" s="143">
        <v>0</v>
      </c>
      <c r="L129" s="143">
        <v>0</v>
      </c>
      <c r="M129" s="143">
        <v>0</v>
      </c>
      <c r="N129" s="143">
        <v>0</v>
      </c>
      <c r="O129" s="143">
        <v>0</v>
      </c>
      <c r="P129" s="143">
        <v>0</v>
      </c>
      <c r="Q129" s="143">
        <f>3.22*(1)^(0.84)</f>
        <v>3.22</v>
      </c>
      <c r="R129" s="171">
        <f t="shared" si="4"/>
        <v>71.78</v>
      </c>
      <c r="S129" s="551">
        <f>L$19*F129*G129</f>
        <v>1770.4918032786886</v>
      </c>
      <c r="T129" s="552">
        <v>0.12</v>
      </c>
      <c r="U129" s="553">
        <v>0.65</v>
      </c>
      <c r="V129" s="554">
        <f t="shared" si="10"/>
        <v>0.2</v>
      </c>
      <c r="W129" s="225">
        <v>10</v>
      </c>
      <c r="X129" s="377">
        <f>$R129/(1+($V129*(('Traffic Data'!J48*$T129*$U129)/(($I129/2)*$S129))^$W129))</f>
        <v>71.779922361429513</v>
      </c>
      <c r="Y129" s="378">
        <f>$R129/(1+($V129*(('Traffic Data'!K48*$T129*$U129)/(($I129/2)*$S129))^$W129))</f>
        <v>71.779870140159986</v>
      </c>
      <c r="Z129" s="378">
        <f>$R129/(1+($V129*(('Traffic Data'!L48*$T129*$U129)/(($I129/2)*$S129))^$W129))</f>
        <v>71.779731696770284</v>
      </c>
      <c r="AA129" s="378">
        <f>$R129/(1+($V129*(('Traffic Data'!M48*$T129*$U129)/(($I129/2)*$S129))^$W129))</f>
        <v>71.779198548195836</v>
      </c>
      <c r="AB129" s="378">
        <f>$R129/(1+($V129*(('Traffic Data'!N48*$T129*$U129)/(($I129/2)*$S129))^$W129))</f>
        <v>71.777850226458511</v>
      </c>
      <c r="AC129" s="378">
        <f>$R129/(1+($V129*(('Traffic Data'!O48*$T129*$U129)/(($I129/2)*$S129))^$W129))</f>
        <v>71.774723271101763</v>
      </c>
      <c r="AD129" s="378">
        <f>$R129/(1+($V129*(('Traffic Data'!P48*$T129*$U129)/(($I129/2)*$S129))^$W129))</f>
        <v>71.767976642938976</v>
      </c>
      <c r="AE129" s="378">
        <f>$R129/(1+($V129*(('Traffic Data'!Q48*$T129*$U129)/(($I129/2)*$S129))^$W129))</f>
        <v>71.754254599892576</v>
      </c>
      <c r="AF129" s="378">
        <f>$R129/(1+($V129*(('Traffic Data'!R48*$T129*$U129)/(($I129/2)*$S129))^$W129))</f>
        <v>71.727457621211542</v>
      </c>
      <c r="AG129" s="378">
        <f>$R129/(1+($V129*(('Traffic Data'!S48*$T129*$U129)/(($I129/2)*$S129))^$W129))</f>
        <v>71.677760793362395</v>
      </c>
      <c r="AH129" s="378">
        <f>$R129/(1+($V129*(('Traffic Data'!T48*$T129*$U129)/(($I129/2)*$S129))^$W129))</f>
        <v>71.58931578090673</v>
      </c>
      <c r="AI129" s="378">
        <f>$R129/(1+($V129*(('Traffic Data'!U48*$T129*$U129)/(($I129/2)*$S129))^$W129))</f>
        <v>71.437486417586626</v>
      </c>
      <c r="AJ129" s="378">
        <f>$R129/(1+($V129*(('Traffic Data'!V48*$T129*$U129)/(($I129/2)*$S129))^$W129))</f>
        <v>71.185078892135678</v>
      </c>
      <c r="AK129" s="378">
        <f>$R129/(1+($V129*(('Traffic Data'!W48*$T129*$U129)/(($I129/2)*$S129))^$W129))</f>
        <v>70.960523600555177</v>
      </c>
      <c r="AL129" s="378">
        <f>$R129/(1+($V129*(('Traffic Data'!X48*$T129*$U129)/(($I129/2)*$S129))^$W129))</f>
        <v>70.775074067968333</v>
      </c>
      <c r="AM129" s="378">
        <f>$R129/(1+($V129*(('Traffic Data'!Y48*$T129*$U129)/(($I129/2)*$S129))^$W129))</f>
        <v>70.553438386344823</v>
      </c>
      <c r="AN129" s="378">
        <f>$R129/(1+($V129*(('Traffic Data'!Z48*$T129*$U129)/(($I129/2)*$S129))^$W129))</f>
        <v>70.289827294499659</v>
      </c>
      <c r="AO129" s="378">
        <f>$R129/(1+($V129*(('Traffic Data'!AA48*$T129*$U129)/(($I129/2)*$S129))^$W129))</f>
        <v>69.977619125023239</v>
      </c>
      <c r="AP129" s="378">
        <f>$R129/(1+($V129*(('Traffic Data'!AB48*$T129*$U129)/(($I129/2)*$S129))^$W129))</f>
        <v>69.610086758821055</v>
      </c>
      <c r="AQ129" s="378">
        <f>$R129/(1+($V129*(('Traffic Data'!AC48*$T129*$U129)/(($I129/2)*$S129))^$W129))</f>
        <v>69.179115784248154</v>
      </c>
      <c r="AR129" s="378">
        <f>$R129/(1+($V129*(('Traffic Data'!AD48*$T129*$U129)/(($I129/2)*$S129))^$W129))</f>
        <v>68.676930328298084</v>
      </c>
      <c r="AS129" s="378">
        <f>$R129/(1+($V129*(('Traffic Data'!AE48*$T129*$U129)/(($I129/2)*$S129))^$W129))</f>
        <v>68.09458216520747</v>
      </c>
      <c r="AT129" s="378">
        <f>$R129/(1+($V129*(('Traffic Data'!AF48*$T129*$U129)/(($I129/2)*$S129))^$W129))</f>
        <v>67.422613233705889</v>
      </c>
      <c r="AU129" s="378">
        <f>$R129/(1+($V129*(('Traffic Data'!AG48*$T129*$U129)/(($I129/2)*$S129))^$W129))</f>
        <v>66.652582214756762</v>
      </c>
      <c r="AV129" s="378">
        <f>$R129/(1+($V129*(('Traffic Data'!AH48*$T129*$U129)/(($I129/2)*$S129))^$W129))</f>
        <v>65.775061244386137</v>
      </c>
      <c r="AW129" s="350">
        <f>$R129/(1+($V129*(('Traffic Data'!AI48*$T129*$U129)/(($I129/2)*$S129))^$W129))</f>
        <v>64.780806702343909</v>
      </c>
      <c r="AX129" s="377">
        <f>$R129/(1+($V129*(('Traffic Data'!J48*(0.67/14))/(($I129)*$S129))^$W129))</f>
        <v>71.779999999426806</v>
      </c>
      <c r="AY129" s="378">
        <f>$R129/(1+($V129*(('Traffic Data'!J48*(0.67/14))/(($I129)*$S129))^$W129))</f>
        <v>71.779999999426806</v>
      </c>
      <c r="AZ129" s="378">
        <f>$R129/(1+($V129*(('Traffic Data'!K48*(0.67/14))/(($I129)*$S129))^$W129))</f>
        <v>71.77999999904128</v>
      </c>
      <c r="BA129" s="378">
        <f>$R129/(1+($V129*(('Traffic Data'!L48*(0.67/14))/(($I129)*$S129))^$W129))</f>
        <v>71.779999998019164</v>
      </c>
      <c r="BB129" s="378">
        <f>$R129/(1+($V129*(('Traffic Data'!M48*(0.67/14))/(($I129)*$S129))^$W129))</f>
        <v>71.779999994082971</v>
      </c>
      <c r="BC129" s="378">
        <f>$R129/(1+($V129*(('Traffic Data'!N48*(0.67/14))/(($I129)*$S129))^$W129))</f>
        <v>71.779999984128153</v>
      </c>
      <c r="BD129" s="378">
        <f>$R129/(1+($V129*(('Traffic Data'!O48*(0.67/14))/(($I129)*$S129))^$W129))</f>
        <v>71.779999961040048</v>
      </c>
      <c r="BE129" s="378">
        <f>$R129/(1+($V129*(('Traffic Data'!P48*(0.67/14))/(($I129)*$S129))^$W129))</f>
        <v>71.779999911218979</v>
      </c>
      <c r="BF129" s="378">
        <f>$R129/(1+($V129*(('Traffic Data'!Q48*(0.67/14))/(($I129)*$S129))^$W129))</f>
        <v>71.77999980985841</v>
      </c>
      <c r="BG129" s="378">
        <f>$R129/(1+($V129*(('Traffic Data'!R48*(0.67/14))/(($I129)*$S129))^$W129))</f>
        <v>71.779999611805451</v>
      </c>
      <c r="BH129" s="378">
        <f>$R129/(1+($V129*(('Traffic Data'!S48*(0.67/14))/(($I129)*$S129))^$W129))</f>
        <v>71.779999244110741</v>
      </c>
      <c r="BI129" s="378">
        <f>$R129/(1+($V129*(('Traffic Data'!T48*(0.67/14))/(($I129)*$S129))^$W129))</f>
        <v>71.77999858846492</v>
      </c>
      <c r="BJ129" s="378">
        <f>$R129/(1+($V129*(('Traffic Data'!U48*(0.67/14))/(($I129)*$S129))^$W129))</f>
        <v>71.779997459163283</v>
      </c>
      <c r="BK129" s="378">
        <f>$R129/(1+($V129*(('Traffic Data'!V48*(0.67/14))/(($I129)*$S129))^$W129))</f>
        <v>71.779995571103598</v>
      </c>
      <c r="BL129" s="378">
        <f>$R129/(1+($V129*(('Traffic Data'!W48*(0.67/14))/(($I129)*$S129))^$W129))</f>
        <v>71.779993880094111</v>
      </c>
      <c r="BM129" s="378">
        <f>$R129/(1+($V129*(('Traffic Data'!X48*(0.67/14))/(($I129)*$S129))^$W129))</f>
        <v>71.779992475479744</v>
      </c>
      <c r="BN129" s="378">
        <f>$R129/(1+($V129*(('Traffic Data'!Y48*(0.67/14))/(($I129)*$S129))^$W129))</f>
        <v>71.779990787101838</v>
      </c>
      <c r="BO129" s="378">
        <f>$R129/(1+($V129*(('Traffic Data'!Z48*(0.67/14))/(($I129)*$S129))^$W129))</f>
        <v>71.779988765100271</v>
      </c>
      <c r="BP129" s="378">
        <f>$R129/(1+($V129*(('Traffic Data'!AA48*(0.67/14))/(($I129)*$S129))^$W129))</f>
        <v>71.779986350634417</v>
      </c>
      <c r="BQ129" s="378">
        <f>$R129/(1+($V129*(('Traffic Data'!AB48*(0.67/14))/(($I129)*$S129))^$W129))</f>
        <v>71.779983480563246</v>
      </c>
      <c r="BR129" s="378">
        <f>$R129/(1+($V129*(('Traffic Data'!AC48*(0.67/14))/(($I129)*$S129))^$W129))</f>
        <v>71.779980076252357</v>
      </c>
      <c r="BS129" s="378">
        <f>$R129/(1+($V129*(('Traffic Data'!AD48*(0.67/14))/(($I129)*$S129))^$W129))</f>
        <v>71.779976055506907</v>
      </c>
      <c r="BT129" s="378">
        <f>$R129/(1+($V129*(('Traffic Data'!AE48*(0.67/14))/(($I129)*$S129))^$W129))</f>
        <v>71.779971318679614</v>
      </c>
      <c r="BU129" s="378">
        <f>$R129/(1+($V129*(('Traffic Data'!AF48*(0.67/14))/(($I129)*$S129))^$W129))</f>
        <v>71.779965751191895</v>
      </c>
      <c r="BV129" s="378">
        <f>$R129/(1+($V129*(('Traffic Data'!AG48*(0.67/14))/(($I129)*$S129))^$W129))</f>
        <v>71.779959233200245</v>
      </c>
      <c r="BW129" s="620">
        <f>$R129/(1+($V129*(('Traffic Data'!AH48*(0.67/14))/(($I129)*$S129))^$W129))</f>
        <v>71.779951619297606</v>
      </c>
    </row>
    <row r="130" spans="1:75" ht="21.9" customHeight="1" x14ac:dyDescent="0.25">
      <c r="A130" s="617"/>
      <c r="C130" s="1339"/>
      <c r="D130" s="250" t="s">
        <v>274</v>
      </c>
      <c r="E130" s="250" t="s">
        <v>317</v>
      </c>
      <c r="F130" s="555">
        <f>'Traffic Data'!CM47</f>
        <v>0.81967213114754101</v>
      </c>
      <c r="G130" s="555">
        <f>'Traffic Data'!CN47</f>
        <v>0.9</v>
      </c>
      <c r="H130" s="556">
        <f>'Traffic Data'!G49</f>
        <v>70</v>
      </c>
      <c r="I130" s="556">
        <v>2</v>
      </c>
      <c r="J130" s="556">
        <f t="shared" si="11"/>
        <v>75</v>
      </c>
      <c r="K130" s="556">
        <v>0</v>
      </c>
      <c r="L130" s="556">
        <v>0</v>
      </c>
      <c r="M130" s="556">
        <v>0</v>
      </c>
      <c r="N130" s="556">
        <v>0</v>
      </c>
      <c r="O130" s="556">
        <v>0</v>
      </c>
      <c r="P130" s="556">
        <v>0</v>
      </c>
      <c r="Q130" s="556">
        <f>3.22*(1)^(0.84)</f>
        <v>3.22</v>
      </c>
      <c r="R130" s="249">
        <f t="shared" si="4"/>
        <v>71.78</v>
      </c>
      <c r="S130" s="551">
        <f>L$19*F130*G130</f>
        <v>1770.4918032786886</v>
      </c>
      <c r="T130" s="552">
        <v>0.12</v>
      </c>
      <c r="U130" s="553">
        <v>0.65</v>
      </c>
      <c r="V130" s="554">
        <f t="shared" si="10"/>
        <v>0.2</v>
      </c>
      <c r="W130" s="225">
        <v>10</v>
      </c>
      <c r="X130" s="377">
        <f>$R130/(1+($V130*(('Traffic Data'!J49*$T130*$U130)/(($I130/2)*$S130))^$W130))</f>
        <v>71.755526018311912</v>
      </c>
      <c r="Y130" s="378">
        <f>$R130/(1+($V130*(('Traffic Data'!K49*$T130*$U130)/(($I130/2)*$S130))^$W130))</f>
        <v>71.743161696449491</v>
      </c>
      <c r="Z130" s="378">
        <f>$R130/(1+($V130*(('Traffic Data'!L49*$T130*$U130)/(($I130/2)*$S130))^$W130))</f>
        <v>71.720234965730725</v>
      </c>
      <c r="AA130" s="378">
        <f>$R130/(1+($V130*(('Traffic Data'!M49*$T130*$U130)/(($I130/2)*$S130))^$W130))</f>
        <v>71.669319003923277</v>
      </c>
      <c r="AB130" s="378">
        <f>$R130/(1+($V130*(('Traffic Data'!N49*$T130*$U130)/(($I130/2)*$S130))^$W130))</f>
        <v>71.582305748696626</v>
      </c>
      <c r="AC130" s="378">
        <f>$R130/(1+($V130*(('Traffic Data'!O49*$T130*$U130)/(($I130/2)*$S130))^$W130))</f>
        <v>71.438281606652495</v>
      </c>
      <c r="AD130" s="378">
        <f>$R130/(1+($V130*(('Traffic Data'!P49*$T130*$U130)/(($I130/2)*$S130))^$W130))</f>
        <v>71.206766853758566</v>
      </c>
      <c r="AE130" s="378">
        <f>$R130/(1+($V130*(('Traffic Data'!Q49*$T130*$U130)/(($I130/2)*$S130))^$W130))</f>
        <v>70.844271532614499</v>
      </c>
      <c r="AF130" s="378">
        <f>$R130/(1+($V130*(('Traffic Data'!R49*$T130*$U130)/(($I130/2)*$S130))^$W130))</f>
        <v>70.312644758821733</v>
      </c>
      <c r="AG130" s="378">
        <f>$R130/(1+($V130*(('Traffic Data'!S49*$T130*$U130)/(($I130/2)*$S130))^$W130))</f>
        <v>69.532376463984818</v>
      </c>
      <c r="AH130" s="378">
        <f>$R130/(1+($V130*(('Traffic Data'!T49*$T130*$U130)/(($I130/2)*$S130))^$W130))</f>
        <v>68.417189343985243</v>
      </c>
      <c r="AI130" s="378">
        <f>$R130/(1+($V130*(('Traffic Data'!U49*$T130*$U130)/(($I130/2)*$S130))^$W130))</f>
        <v>66.866140034472735</v>
      </c>
      <c r="AJ130" s="378">
        <f>$R130/(1+($V130*(('Traffic Data'!V49*$T130*$U130)/(($I130/2)*$S130))^$W130))</f>
        <v>64.771182807847893</v>
      </c>
      <c r="AK130" s="378">
        <f>$R130/(1+($V130*(('Traffic Data'!W49*$T130*$U130)/(($I130/2)*$S130))^$W130))</f>
        <v>62.831705789659914</v>
      </c>
      <c r="AL130" s="378">
        <f>$R130/(1+($V130*(('Traffic Data'!X49*$T130*$U130)/(($I130/2)*$S130))^$W130))</f>
        <v>60.908043725249321</v>
      </c>
      <c r="AM130" s="378">
        <f>$R130/(1+($V130*(('Traffic Data'!Y49*$T130*$U130)/(($I130/2)*$S130))^$W130))</f>
        <v>58.710606458403596</v>
      </c>
      <c r="AN130" s="378">
        <f>$R130/(1+($V130*(('Traffic Data'!Z49*$T130*$U130)/(($I130/2)*$S130))^$W130))</f>
        <v>56.240931679326636</v>
      </c>
      <c r="AO130" s="378">
        <f>$R130/(1+($V130*(('Traffic Data'!AA49*$T130*$U130)/(($I130/2)*$S130))^$W130))</f>
        <v>53.511436807151526</v>
      </c>
      <c r="AP130" s="378">
        <f>$R130/(1+($V130*(('Traffic Data'!AB49*$T130*$U130)/(($I130/2)*$S130))^$W130))</f>
        <v>50.550864619289428</v>
      </c>
      <c r="AQ130" s="378">
        <f>$R130/(1+($V130*(('Traffic Data'!AC49*$T130*$U130)/(($I130/2)*$S130))^$W130))</f>
        <v>47.396144709908796</v>
      </c>
      <c r="AR130" s="378">
        <f>$R130/(1+($V130*(('Traffic Data'!AD49*$T130*$U130)/(($I130/2)*$S130))^$W130))</f>
        <v>44.100020621091744</v>
      </c>
      <c r="AS130" s="378">
        <f>$R130/(1+($V130*(('Traffic Data'!AE49*$T130*$U130)/(($I130/2)*$S130))^$W130))</f>
        <v>40.719320117146118</v>
      </c>
      <c r="AT130" s="378">
        <f>$R130/(1+($V130*(('Traffic Data'!AF49*$T130*$U130)/(($I130/2)*$S130))^$W130))</f>
        <v>37.314497010899572</v>
      </c>
      <c r="AU130" s="378">
        <f>$R130/(1+($V130*(('Traffic Data'!AG49*$T130*$U130)/(($I130/2)*$S130))^$W130))</f>
        <v>33.949394830545792</v>
      </c>
      <c r="AV130" s="378">
        <f>$R130/(1+($V130*(('Traffic Data'!AH49*$T130*$U130)/(($I130/2)*$S130))^$W130))</f>
        <v>30.678885671043421</v>
      </c>
      <c r="AW130" s="350">
        <f>$R130/(1+($V130*(('Traffic Data'!AI49*$T130*$U130)/(($I130/2)*$S130))^$W130))</f>
        <v>27.54978984047548</v>
      </c>
      <c r="AX130" s="381">
        <f>$R130/(1+($V130*(('Traffic Data'!J49*(0.67/14))/(($I130)*$S130))^$W130))</f>
        <v>71.779999819251614</v>
      </c>
      <c r="AY130" s="351">
        <f>$R130/(1+($V130*(('Traffic Data'!J49*(0.67/14))/(($I130)*$S130))^$W130))</f>
        <v>71.779999819251614</v>
      </c>
      <c r="AZ130" s="351">
        <f>$R130/(1+($V130*(('Traffic Data'!K49*(0.67/14))/(($I130)*$S130))^$W130))</f>
        <v>71.779999727890157</v>
      </c>
      <c r="BA130" s="351">
        <f>$R130/(1+($V130*(('Traffic Data'!L49*(0.67/14))/(($I130)*$S130))^$W130))</f>
        <v>71.77999955839843</v>
      </c>
      <c r="BB130" s="351">
        <f>$R130/(1+($V130*(('Traffic Data'!M49*(0.67/14))/(($I130)*$S130))^$W130))</f>
        <v>71.779999181601326</v>
      </c>
      <c r="BC130" s="351">
        <f>$R130/(1+($V130*(('Traffic Data'!N49*(0.67/14))/(($I130)*$S130))^$W130))</f>
        <v>71.779998536430028</v>
      </c>
      <c r="BD130" s="351">
        <f>$R130/(1+($V130*(('Traffic Data'!O49*(0.67/14))/(($I130)*$S130))^$W130))</f>
        <v>71.779997465090375</v>
      </c>
      <c r="BE130" s="351">
        <f>$R130/(1+($V130*(('Traffic Data'!P49*(0.67/14))/(($I130)*$S130))^$W130))</f>
        <v>71.779995733859622</v>
      </c>
      <c r="BF130" s="351">
        <f>$R130/(1+($V130*(('Traffic Data'!Q49*(0.67/14))/(($I130)*$S130))^$W130))</f>
        <v>71.779993000448698</v>
      </c>
      <c r="BG130" s="351">
        <f>$R130/(1+($V130*(('Traffic Data'!R49*(0.67/14))/(($I130)*$S130))^$W130))</f>
        <v>71.779988940718624</v>
      </c>
      <c r="BH130" s="351">
        <f>$R130/(1+($V130*(('Traffic Data'!S49*(0.67/14))/(($I130)*$S130))^$W130))</f>
        <v>71.779982869835422</v>
      </c>
      <c r="BI130" s="351">
        <f>$R130/(1+($V130*(('Traffic Data'!T49*(0.67/14))/(($I130)*$S130))^$W130))</f>
        <v>71.779973952732561</v>
      </c>
      <c r="BJ130" s="351">
        <f>$R130/(1+($V130*(('Traffic Data'!U49*(0.67/14))/(($I130)*$S130))^$W130))</f>
        <v>71.779961055921902</v>
      </c>
      <c r="BK130" s="351">
        <f>$R130/(1+($V130*(('Traffic Data'!V49*(0.67/14))/(($I130)*$S130))^$W130))</f>
        <v>71.779942656037662</v>
      </c>
      <c r="BL130" s="351">
        <f>$R130/(1+($V130*(('Traffic Data'!W49*(0.67/14))/(($I130)*$S130))^$W130))</f>
        <v>71.779924527960091</v>
      </c>
      <c r="BM130" s="351">
        <f>$R130/(1+($V130*(('Traffic Data'!X49*(0.67/14))/(($I130)*$S130))^$W130))</f>
        <v>71.779905407301584</v>
      </c>
      <c r="BN130" s="351">
        <f>$R130/(1+($V130*(('Traffic Data'!Y49*(0.67/14))/(($I130)*$S130))^$W130))</f>
        <v>71.779882032250057</v>
      </c>
      <c r="BO130" s="351">
        <f>$R130/(1+($V130*(('Traffic Data'!Z49*(0.67/14))/(($I130)*$S130))^$W130))</f>
        <v>71.779853581240047</v>
      </c>
      <c r="BP130" s="351">
        <f>$R130/(1+($V130*(('Traffic Data'!AA49*(0.67/14))/(($I130)*$S130))^$W130))</f>
        <v>71.779819081980165</v>
      </c>
      <c r="BQ130" s="351">
        <f>$R130/(1+($V130*(('Traffic Data'!AB49*(0.67/14))/(($I130)*$S130))^$W130))</f>
        <v>71.779777450044065</v>
      </c>
      <c r="BR130" s="351">
        <f>$R130/(1+($V130*(('Traffic Data'!AC49*(0.67/14))/(($I130)*$S130))^$W130))</f>
        <v>71.779727364222694</v>
      </c>
      <c r="BS130" s="351">
        <f>$R130/(1+($V130*(('Traffic Data'!AD49*(0.67/14))/(($I130)*$S130))^$W130))</f>
        <v>71.779667378668378</v>
      </c>
      <c r="BT130" s="351">
        <f>$R130/(1+($V130*(('Traffic Data'!AE49*(0.67/14))/(($I130)*$S130))^$W130))</f>
        <v>71.779595765724977</v>
      </c>
      <c r="BU130" s="351">
        <f>$R130/(1+($V130*(('Traffic Data'!AF49*(0.67/14))/(($I130)*$S130))^$W130))</f>
        <v>71.779510526472762</v>
      </c>
      <c r="BV130" s="351">
        <f>$R130/(1+($V130*(('Traffic Data'!AG49*(0.67/14))/(($I130)*$S130))^$W130))</f>
        <v>71.779409482436193</v>
      </c>
      <c r="BW130" s="623">
        <f>$R130/(1+($V130*(('Traffic Data'!AH49*(0.67/14))/(($I130)*$S130))^$W130))</f>
        <v>71.779290038397932</v>
      </c>
    </row>
    <row r="131" spans="1:75" ht="21.9" customHeight="1" x14ac:dyDescent="0.25">
      <c r="A131" s="617"/>
      <c r="C131" s="1325" t="s">
        <v>274</v>
      </c>
      <c r="D131" s="217" t="s">
        <v>275</v>
      </c>
      <c r="E131" s="217" t="s">
        <v>318</v>
      </c>
      <c r="F131" s="571">
        <f>'Traffic Data'!CM50</f>
        <v>0.83333333333333337</v>
      </c>
      <c r="G131" s="571">
        <f>'Traffic Data'!CN50</f>
        <v>0.9</v>
      </c>
      <c r="H131" s="143">
        <f>'Traffic Data'!G50</f>
        <v>55</v>
      </c>
      <c r="I131" s="143">
        <v>4</v>
      </c>
      <c r="J131" s="143">
        <f>H131+7</f>
        <v>62</v>
      </c>
      <c r="K131" s="143">
        <v>0</v>
      </c>
      <c r="L131" s="143">
        <v>2.5</v>
      </c>
      <c r="M131" s="572">
        <v>0</v>
      </c>
      <c r="N131" s="143">
        <v>0.4</v>
      </c>
      <c r="O131" s="143">
        <v>1.6</v>
      </c>
      <c r="P131" s="143">
        <v>0</v>
      </c>
      <c r="Q131" s="143">
        <v>0</v>
      </c>
      <c r="R131" s="171">
        <f t="shared" si="4"/>
        <v>57.5</v>
      </c>
      <c r="S131" s="557">
        <f>M$22*F131*G131</f>
        <v>1575</v>
      </c>
      <c r="T131" s="558">
        <v>0.12</v>
      </c>
      <c r="U131" s="559">
        <v>0.65</v>
      </c>
      <c r="V131" s="560">
        <f t="shared" si="10"/>
        <v>0.2</v>
      </c>
      <c r="W131" s="653">
        <v>10</v>
      </c>
      <c r="X131" s="355">
        <f>MAX(10,$R131/(1+($V131*(('Traffic Data'!J50*$T131*$U131)/(($I131/2)*$S131))^$W131)))</f>
        <v>57.499999998954948</v>
      </c>
      <c r="Y131" s="500">
        <f>MAX(10,$R131/(1+($V131*(('Traffic Data'!K50*$T131*$U131)/(($I131/2)*$S131))^$W131)))</f>
        <v>57.499999997260808</v>
      </c>
      <c r="Z131" s="500">
        <f>MAX(10,$R131/(1+($V131*(('Traffic Data'!L50*$T131*$U131)/(($I131/2)*$S131))^$W131)))</f>
        <v>57.499999982263745</v>
      </c>
      <c r="AA131" s="500">
        <f>MAX(10,$R131/(1+($V131*(('Traffic Data'!M50*$T131*$U131)/(($I131/2)*$S131))^$W131)))</f>
        <v>57.499999663377778</v>
      </c>
      <c r="AB131" s="500">
        <f>MAX(10,$R131/(1+($V131*(('Traffic Data'!N50*$T131*$U131)/(($I131/2)*$S131))^$W131)))</f>
        <v>57.499996733888452</v>
      </c>
      <c r="AC131" s="500">
        <f>MAX(10,$R131/(1+($V131*(('Traffic Data'!O50*$T131*$U131)/(($I131/2)*$S131))^$W131)))</f>
        <v>57.499979223086079</v>
      </c>
      <c r="AD131" s="500">
        <f>MAX(10,$R131/(1+($V131*(('Traffic Data'!P50*$T131*$U131)/(($I131/2)*$S131))^$W131)))</f>
        <v>57.499901122967536</v>
      </c>
      <c r="AE131" s="500">
        <f>MAX(10,$R131/(1+($V131*(('Traffic Data'!Q50*$T131*$U131)/(($I131/2)*$S131))^$W131)))</f>
        <v>57.499618307183773</v>
      </c>
      <c r="AF131" s="500">
        <f>MAX(10,$R131/(1+($V131*(('Traffic Data'!R50*$T131*$U131)/(($I131/2)*$S131))^$W131)))</f>
        <v>57.498771737638904</v>
      </c>
      <c r="AG131" s="500">
        <f>MAX(10,$R131/(1+($V131*(('Traffic Data'!S50*$T131*$U131)/(($I131/2)*$S131))^$W131)))</f>
        <v>57.496501269404725</v>
      </c>
      <c r="AH131" s="500">
        <f>MAX(10,$R131/(1+($V131*(('Traffic Data'!T50*$T131*$U131)/(($I131/2)*$S131))^$W131)))</f>
        <v>57.490980298321674</v>
      </c>
      <c r="AI131" s="500">
        <f>MAX(10,$R131/(1+($V131*(('Traffic Data'!U50*$T131*$U131)/(($I131/2)*$S131))^$W131)))</f>
        <v>57.478580301932901</v>
      </c>
      <c r="AJ131" s="500">
        <f>MAX(10,$R131/(1+($V131*(('Traffic Data'!V50*$T131*$U131)/(($I131/2)*$S131))^$W131)))</f>
        <v>57.452486544796656</v>
      </c>
      <c r="AK131" s="500">
        <f>MAX(10,$R131/(1+($V131*(('Traffic Data'!W50*$T131*$U131)/(($I131/2)*$S131))^$W131)))</f>
        <v>57.431455444181232</v>
      </c>
      <c r="AL131" s="500">
        <f>MAX(10,$R131/(1+($V131*(('Traffic Data'!X50*$T131*$U131)/(($I131/2)*$S131))^$W131)))</f>
        <v>57.419109808126251</v>
      </c>
      <c r="AM131" s="500">
        <f>MAX(10,$R131/(1+($V131*(('Traffic Data'!Y50*$T131*$U131)/(($I131/2)*$S131))^$W131)))</f>
        <v>57.404801709008908</v>
      </c>
      <c r="AN131" s="500">
        <f>MAX(10,$R131/(1+($V131*(('Traffic Data'!Z50*$T131*$U131)/(($I131/2)*$S131))^$W131)))</f>
        <v>57.388260049648146</v>
      </c>
      <c r="AO131" s="500">
        <f>MAX(10,$R131/(1+($V131*(('Traffic Data'!AA50*$T131*$U131)/(($I131/2)*$S131))^$W131)))</f>
        <v>57.369150669342481</v>
      </c>
      <c r="AP131" s="500">
        <f>MAX(10,$R131/(1+($V131*(('Traffic Data'!AB50*$T131*$U131)/(($I131/2)*$S131))^$W131)))</f>
        <v>57.34719408676677</v>
      </c>
      <c r="AQ131" s="500">
        <f>MAX(10,$R131/(1+($V131*(('Traffic Data'!AC50*$T131*$U131)/(($I131/2)*$S131))^$W131)))</f>
        <v>57.321946382980464</v>
      </c>
      <c r="AR131" s="500">
        <f>MAX(10,$R131/(1+($V131*(('Traffic Data'!AD50*$T131*$U131)/(($I131/2)*$S131))^$W131)))</f>
        <v>57.293067715705277</v>
      </c>
      <c r="AS131" s="500">
        <f>MAX(10,$R131/(1+($V131*(('Traffic Data'!AE50*$T131*$U131)/(($I131/2)*$S131))^$W131)))</f>
        <v>57.260060811746925</v>
      </c>
      <c r="AT131" s="500">
        <f>MAX(10,$R131/(1+($V131*(('Traffic Data'!AF50*$T131*$U131)/(($I131/2)*$S131))^$W131)))</f>
        <v>57.222354642739909</v>
      </c>
      <c r="AU131" s="500">
        <f>MAX(10,$R131/(1+($V131*(('Traffic Data'!AG50*$T131*$U131)/(($I131/2)*$S131))^$W131)))</f>
        <v>57.17950229063684</v>
      </c>
      <c r="AV131" s="500">
        <f>MAX(10,$R131/(1+($V131*(('Traffic Data'!AH50*$T131*$U131)/(($I131/2)*$S131))^$W131)))</f>
        <v>57.130832240042295</v>
      </c>
      <c r="AW131" s="501">
        <f>MAX(10,$R131/(1+($V131*(('Traffic Data'!AI50*$T131*$U131)/(($I131/2)*$S131))^$W131)))</f>
        <v>57.075577266051368</v>
      </c>
      <c r="AX131" s="378">
        <f>$R131/(1+($V131*(('Traffic Data'!J50*(0.67/14))/(($I131)*$S131))^$W131))</f>
        <v>57.499999999999986</v>
      </c>
      <c r="AY131" s="355">
        <f>$R131/(1+($V131*(('Traffic Data'!J50*(0.67/14))/(($I131)*$S131))^$W131))</f>
        <v>57.499999999999986</v>
      </c>
      <c r="AZ131" s="355">
        <f>$R131/(1+($V131*(('Traffic Data'!K50*(0.67/14))/(($I131)*$S131))^$W131))</f>
        <v>57.499999999999972</v>
      </c>
      <c r="BA131" s="355">
        <f>$R131/(1+($V131*(('Traffic Data'!L50*(0.67/14))/(($I131)*$S131))^$W131))</f>
        <v>57.499999999999872</v>
      </c>
      <c r="BB131" s="355">
        <f>$R131/(1+($V131*(('Traffic Data'!M50*(0.67/14))/(($I131)*$S131))^$W131))</f>
        <v>57.499999999997513</v>
      </c>
      <c r="BC131" s="355">
        <f>$R131/(1+($V131*(('Traffic Data'!N50*(0.67/14))/(($I131)*$S131))^$W131))</f>
        <v>57.499999999975884</v>
      </c>
      <c r="BD131" s="355">
        <f>$R131/(1+($V131*(('Traffic Data'!O50*(0.67/14))/(($I131)*$S131))^$W131))</f>
        <v>57.499999999846608</v>
      </c>
      <c r="BE131" s="355">
        <f>$R131/(1+($V131*(('Traffic Data'!P50*(0.67/14))/(($I131)*$S131))^$W131))</f>
        <v>57.499999999270017</v>
      </c>
      <c r="BF131" s="355">
        <f>$R131/(1+($V131*(('Traffic Data'!Q50*(0.67/14))/(($I131)*$S131))^$W131))</f>
        <v>57.499999997182023</v>
      </c>
      <c r="BG131" s="355">
        <f>$R131/(1+($V131*(('Traffic Data'!R50*(0.67/14))/(($I131)*$S131))^$W131))</f>
        <v>57.499999990931776</v>
      </c>
      <c r="BH131" s="355">
        <f>$R131/(1+($V131*(('Traffic Data'!S50*(0.67/14))/(($I131)*$S131))^$W131))</f>
        <v>57.499999974167963</v>
      </c>
      <c r="BI131" s="355">
        <f>$R131/(1+($V131*(('Traffic Data'!T50*(0.67/14))/(($I131)*$S131))^$W131))</f>
        <v>57.499999933398819</v>
      </c>
      <c r="BJ131" s="355">
        <f>$R131/(1+($V131*(('Traffic Data'!U50*(0.67/14))/(($I131)*$S131))^$W131))</f>
        <v>57.499999841803515</v>
      </c>
      <c r="BK131" s="355">
        <f>$R131/(1+($V131*(('Traffic Data'!V50*(0.67/14))/(($I131)*$S131))^$W131))</f>
        <v>57.499999648927094</v>
      </c>
      <c r="BL131" s="355">
        <f>$R131/(1+($V131*(('Traffic Data'!W50*(0.67/14))/(($I131)*$S131))^$W131))</f>
        <v>57.499999493344603</v>
      </c>
      <c r="BM131" s="355">
        <f>$R131/(1+($V131*(('Traffic Data'!X50*(0.67/14))/(($I131)*$S131))^$W131))</f>
        <v>57.49999940196178</v>
      </c>
      <c r="BN131" s="355">
        <f>$R131/(1+($V131*(('Traffic Data'!Y50*(0.67/14))/(($I131)*$S131))^$W131))</f>
        <v>57.499999296003573</v>
      </c>
      <c r="BO131" s="355">
        <f>$R131/(1+($V131*(('Traffic Data'!Z50*(0.67/14))/(($I131)*$S131))^$W131))</f>
        <v>57.499999173438937</v>
      </c>
      <c r="BP131" s="355">
        <f>$R131/(1+($V131*(('Traffic Data'!AA50*(0.67/14))/(($I131)*$S131))^$W131))</f>
        <v>57.499999031760915</v>
      </c>
      <c r="BQ131" s="355">
        <f>$R131/(1+($V131*(('Traffic Data'!AB50*(0.67/14))/(($I131)*$S131))^$W131))</f>
        <v>57.499998868857006</v>
      </c>
      <c r="BR131" s="355">
        <f>$R131/(1+($V131*(('Traffic Data'!AC50*(0.67/14))/(($I131)*$S131))^$W131))</f>
        <v>57.499998681380802</v>
      </c>
      <c r="BS131" s="355">
        <f>$R131/(1+($V131*(('Traffic Data'!AD50*(0.67/14))/(($I131)*$S131))^$W131))</f>
        <v>57.499998466740387</v>
      </c>
      <c r="BT131" s="355">
        <f>$R131/(1+($V131*(('Traffic Data'!AE50*(0.67/14))/(($I131)*$S131))^$W131))</f>
        <v>57.499998221151763</v>
      </c>
      <c r="BU131" s="355">
        <f>$R131/(1+($V131*(('Traffic Data'!AF50*(0.67/14))/(($I131)*$S131))^$W131))</f>
        <v>57.49999794025144</v>
      </c>
      <c r="BV131" s="355">
        <f>$R131/(1+($V131*(('Traffic Data'!AG50*(0.67/14))/(($I131)*$S131))^$W131))</f>
        <v>57.499997620563761</v>
      </c>
      <c r="BW131" s="621">
        <f>$R131/(1+($V131*(('Traffic Data'!AH50*(0.67/14))/(($I131)*$S131))^$W131))</f>
        <v>57.499997256893138</v>
      </c>
    </row>
    <row r="132" spans="1:75" ht="21.9" customHeight="1" x14ac:dyDescent="0.25">
      <c r="A132" s="617"/>
      <c r="C132" s="1327"/>
      <c r="D132" s="114" t="s">
        <v>318</v>
      </c>
      <c r="E132" s="114" t="s">
        <v>308</v>
      </c>
      <c r="F132" s="550">
        <f>'Traffic Data'!CM50</f>
        <v>0.83333333333333337</v>
      </c>
      <c r="G132" s="550">
        <f>'Traffic Data'!CN50</f>
        <v>0.9</v>
      </c>
      <c r="H132" s="143">
        <f>'Traffic Data'!G51</f>
        <v>45</v>
      </c>
      <c r="I132" s="143">
        <v>2</v>
      </c>
      <c r="J132" s="143">
        <f t="shared" ref="J132:J147" si="12">H132+7</f>
        <v>52</v>
      </c>
      <c r="K132" s="143">
        <v>0</v>
      </c>
      <c r="L132" s="143">
        <v>2.5</v>
      </c>
      <c r="M132" s="143">
        <v>0</v>
      </c>
      <c r="N132" s="143">
        <v>0</v>
      </c>
      <c r="O132" s="143">
        <v>0</v>
      </c>
      <c r="P132" s="143">
        <v>0</v>
      </c>
      <c r="Q132" s="143">
        <v>0</v>
      </c>
      <c r="R132" s="171">
        <f t="shared" si="4"/>
        <v>49.5</v>
      </c>
      <c r="S132" s="551">
        <f>N$23*F132*G132</f>
        <v>600.00000000000011</v>
      </c>
      <c r="T132" s="552">
        <v>0.12</v>
      </c>
      <c r="U132" s="553">
        <v>0.65</v>
      </c>
      <c r="V132" s="554">
        <f t="shared" si="10"/>
        <v>0.2</v>
      </c>
      <c r="W132" s="654">
        <v>10</v>
      </c>
      <c r="X132" s="378">
        <f>MAX(10,$R132/(1+($V132*(('Traffic Data'!J51*$T132*$U132)/(($I132/2)*$S132))^$W132)))</f>
        <v>49.499913467275938</v>
      </c>
      <c r="Y132" s="503">
        <f>MAX(10,$R132/(1+($V132*(('Traffic Data'!K51*$T132*$U132)/(($I132/2)*$S132))^$W132)))</f>
        <v>49.499785666981339</v>
      </c>
      <c r="Z132" s="503">
        <f>MAX(10,$R132/(1+($V132*(('Traffic Data'!L51*$T132*$U132)/(($I132/2)*$S132))^$W132)))</f>
        <v>49.499316242694249</v>
      </c>
      <c r="AA132" s="503">
        <f>MAX(10,$R132/(1+($V132*(('Traffic Data'!M51*$T132*$U132)/(($I132/2)*$S132))^$W132)))</f>
        <v>49.496467690238326</v>
      </c>
      <c r="AB132" s="503">
        <f>MAX(10,$R132/(1+($V132*(('Traffic Data'!N51*$T132*$U132)/(($I132/2)*$S132))^$W132)))</f>
        <v>49.485527124057349</v>
      </c>
      <c r="AC132" s="503">
        <f>MAX(10,$R132/(1+($V132*(('Traffic Data'!O51*$T132*$U132)/(($I132/2)*$S132))^$W132)))</f>
        <v>49.450219280691485</v>
      </c>
      <c r="AD132" s="503">
        <f>MAX(10,$R132/(1+($V132*(('Traffic Data'!P51*$T132*$U132)/(($I132/2)*$S132))^$W132)))</f>
        <v>49.350820453556558</v>
      </c>
      <c r="AE132" s="503">
        <f>MAX(10,$R132/(1+($V132*(('Traffic Data'!Q51*$T132*$U132)/(($I132/2)*$S132))^$W132)))</f>
        <v>49.0999461599189</v>
      </c>
      <c r="AF132" s="503">
        <f>MAX(10,$R132/(1+($V132*(('Traffic Data'!R51*$T132*$U132)/(($I132/2)*$S132))^$W132)))</f>
        <v>48.406115574951635</v>
      </c>
      <c r="AG132" s="503">
        <f>MAX(10,$R132/(1+($V132*(('Traffic Data'!S51*$T132*$U132)/(($I132/2)*$S132))^$W132)))</f>
        <v>46.82850737224696</v>
      </c>
      <c r="AH132" s="503">
        <f>MAX(10,$R132/(1+($V132*(('Traffic Data'!T51*$T132*$U132)/(($I132/2)*$S132))^$W132)))</f>
        <v>43.686064426472953</v>
      </c>
      <c r="AI132" s="503">
        <f>MAX(10,$R132/(1+($V132*(('Traffic Data'!U51*$T132*$U132)/(($I132/2)*$S132))^$W132)))</f>
        <v>38.354496069582517</v>
      </c>
      <c r="AJ132" s="503">
        <f>MAX(10,$R132/(1+($V132*(('Traffic Data'!V51*$T132*$U132)/(($I132/2)*$S132))^$W132)))</f>
        <v>30.937809135873806</v>
      </c>
      <c r="AK132" s="503">
        <f>MAX(10,$R132/(1+($V132*(('Traffic Data'!W51*$T132*$U132)/(($I132/2)*$S132))^$W132)))</f>
        <v>25.491719316982543</v>
      </c>
      <c r="AL132" s="503">
        <f>MAX(10,$R132/(1+($V132*(('Traffic Data'!X51*$T132*$U132)/(($I132/2)*$S132))^$W132)))</f>
        <v>22.398696011530582</v>
      </c>
      <c r="AM132" s="503">
        <f>MAX(10,$R132/(1+($V132*(('Traffic Data'!Y51*$T132*$U132)/(($I132/2)*$S132))^$W132)))</f>
        <v>19.450308689114188</v>
      </c>
      <c r="AN132" s="503">
        <f>MAX(10,$R132/(1+($V132*(('Traffic Data'!Z51*$T132*$U132)/(($I132/2)*$S132))^$W132)))</f>
        <v>16.716064792628121</v>
      </c>
      <c r="AO132" s="503">
        <f>MAX(10,$R132/(1+($V132*(('Traffic Data'!AA51*$T132*$U132)/(($I132/2)*$S132))^$W132)))</f>
        <v>14.238414913159847</v>
      </c>
      <c r="AP132" s="503">
        <f>MAX(10,$R132/(1+($V132*(('Traffic Data'!AB51*$T132*$U132)/(($I132/2)*$S132))^$W132)))</f>
        <v>12.044389357345507</v>
      </c>
      <c r="AQ132" s="503">
        <f>MAX(10,$R132/(1+($V132*(('Traffic Data'!AC51*$T132*$U132)/(($I132/2)*$S132))^$W132)))</f>
        <v>10.130457351435144</v>
      </c>
      <c r="AR132" s="503">
        <f>MAX(10,$R132/(1+($V132*(('Traffic Data'!AD51*$T132*$U132)/(($I132/2)*$S132))^$W132)))</f>
        <v>10</v>
      </c>
      <c r="AS132" s="503">
        <f>MAX(10,$R132/(1+($V132*(('Traffic Data'!AE51*$T132*$U132)/(($I132/2)*$S132))^$W132)))</f>
        <v>10</v>
      </c>
      <c r="AT132" s="503">
        <f>MAX(10,$R132/(1+($V132*(('Traffic Data'!AF51*$T132*$U132)/(($I132/2)*$S132))^$W132)))</f>
        <v>10</v>
      </c>
      <c r="AU132" s="503">
        <f>MAX(10,$R132/(1+($V132*(('Traffic Data'!AG51*$T132*$U132)/(($I132/2)*$S132))^$W132)))</f>
        <v>10</v>
      </c>
      <c r="AV132" s="503">
        <f>MAX(10,$R132/(1+($V132*(('Traffic Data'!AH51*$T132*$U132)/(($I132/2)*$S132))^$W132)))</f>
        <v>10</v>
      </c>
      <c r="AW132" s="502">
        <f>MAX(10,$R132/(1+($V132*(('Traffic Data'!AI51*$T132*$U132)/(($I132/2)*$S132))^$W132)))</f>
        <v>10</v>
      </c>
      <c r="AX132" s="378">
        <f>$R132/(1+($V132*(('Traffic Data'!J51*(0.67/14))/(($I132)*$S132))^$W132))</f>
        <v>49.499999999361144</v>
      </c>
      <c r="AY132" s="378">
        <f>$R132/(1+($V132*(('Traffic Data'!J51*(0.67/14))/(($I132)*$S132))^$W132))</f>
        <v>49.499999999361144</v>
      </c>
      <c r="AZ132" s="378">
        <f>$R132/(1+($V132*(('Traffic Data'!K51*(0.67/14))/(($I132)*$S132))^$W132))</f>
        <v>49.499999998417621</v>
      </c>
      <c r="BA132" s="378">
        <f>$R132/(1+($V132*(('Traffic Data'!L51*(0.67/14))/(($I132)*$S132))^$W132))</f>
        <v>49.499999994951878</v>
      </c>
      <c r="BB132" s="378">
        <f>$R132/(1+($V132*(('Traffic Data'!M51*(0.67/14))/(($I132)*$S132))^$W132))</f>
        <v>49.499999973919763</v>
      </c>
      <c r="BC132" s="378">
        <f>$R132/(1+($V132*(('Traffic Data'!N51*(0.67/14))/(($I132)*$S132))^$W132))</f>
        <v>49.499999893118265</v>
      </c>
      <c r="BD132" s="378">
        <f>$R132/(1+($V132*(('Traffic Data'!O51*(0.67/14))/(($I132)*$S132))^$W132))</f>
        <v>49.499999632108434</v>
      </c>
      <c r="BE132" s="378">
        <f>$R132/(1+($V132*(('Traffic Data'!P51*(0.67/14))/(($I132)*$S132))^$W132))</f>
        <v>49.499998895306547</v>
      </c>
      <c r="BF132" s="378">
        <f>$R132/(1+($V132*(('Traffic Data'!Q51*(0.67/14))/(($I132)*$S132))^$W132))</f>
        <v>49.499997022414185</v>
      </c>
      <c r="BG132" s="378">
        <f>$R132/(1+($V132*(('Traffic Data'!R51*(0.67/14))/(($I132)*$S132))^$W132))</f>
        <v>49.499991741559988</v>
      </c>
      <c r="BH132" s="378">
        <f>$R132/(1+($V132*(('Traffic Data'!S51*(0.67/14))/(($I132)*$S132))^$W132))</f>
        <v>49.499979151713454</v>
      </c>
      <c r="BI132" s="378">
        <f>$R132/(1+($V132*(('Traffic Data'!T51*(0.67/14))/(($I132)*$S132))^$W132))</f>
        <v>49.499951364458923</v>
      </c>
      <c r="BJ132" s="378">
        <f>$R132/(1+($V132*(('Traffic Data'!U51*(0.67/14))/(($I132)*$S132))^$W132))</f>
        <v>49.49989380370085</v>
      </c>
      <c r="BK132" s="378">
        <f>$R132/(1+($V132*(('Traffic Data'!V51*(0.67/14))/(($I132)*$S132))^$W132))</f>
        <v>49.49978073735943</v>
      </c>
      <c r="BL132" s="378">
        <f>$R132/(1+($V132*(('Traffic Data'!W51*(0.67/14))/(($I132)*$S132))^$W132))</f>
        <v>49.499655819867222</v>
      </c>
      <c r="BM132" s="378">
        <f>$R132/(1+($V132*(('Traffic Data'!X51*(0.67/14))/(($I132)*$S132))^$W132))</f>
        <v>49.499557828794018</v>
      </c>
      <c r="BN132" s="378">
        <f>$R132/(1+($V132*(('Traffic Data'!Y51*(0.67/14))/(($I132)*$S132))^$W132))</f>
        <v>49.499435407052658</v>
      </c>
      <c r="BO132" s="378">
        <f>$R132/(1+($V132*(('Traffic Data'!Z51*(0.67/14))/(($I132)*$S132))^$W132))</f>
        <v>49.49928328311794</v>
      </c>
      <c r="BP132" s="378">
        <f>$R132/(1+($V132*(('Traffic Data'!AA51*(0.67/14))/(($I132)*$S132))^$W132))</f>
        <v>49.499094978009765</v>
      </c>
      <c r="BQ132" s="378">
        <f>$R132/(1+($V132*(('Traffic Data'!AB51*(0.67/14))/(($I132)*$S132))^$W132))</f>
        <v>49.498863553461639</v>
      </c>
      <c r="BR132" s="378">
        <f>$R132/(1+($V132*(('Traffic Data'!AC51*(0.67/14))/(($I132)*$S132))^$W132))</f>
        <v>49.498579812315064</v>
      </c>
      <c r="BS132" s="378">
        <f>$R132/(1+($V132*(('Traffic Data'!AD51*(0.67/14))/(($I132)*$S132))^$W132))</f>
        <v>49.498234268796423</v>
      </c>
      <c r="BT132" s="378">
        <f>$R132/(1+($V132*(('Traffic Data'!AE51*(0.67/14))/(($I132)*$S132))^$W132))</f>
        <v>49.497814822153323</v>
      </c>
      <c r="BU132" s="378">
        <f>$R132/(1+($V132*(('Traffic Data'!AF51*(0.67/14))/(($I132)*$S132))^$W132))</f>
        <v>49.49730710943723</v>
      </c>
      <c r="BV132" s="378">
        <f>$R132/(1+($V132*(('Traffic Data'!AG51*(0.67/14))/(($I132)*$S132))^$W132))</f>
        <v>49.496696362122648</v>
      </c>
      <c r="BW132" s="620">
        <f>$R132/(1+($V132*(('Traffic Data'!AH51*(0.67/14))/(($I132)*$S132))^$W132))</f>
        <v>49.49596367097466</v>
      </c>
    </row>
    <row r="133" spans="1:75" ht="21.9" customHeight="1" x14ac:dyDescent="0.25">
      <c r="A133" s="617"/>
      <c r="C133" s="1339"/>
      <c r="D133" s="250" t="s">
        <v>308</v>
      </c>
      <c r="E133" s="250" t="s">
        <v>319</v>
      </c>
      <c r="F133" s="555">
        <f>'Traffic Data'!CM50</f>
        <v>0.83333333333333337</v>
      </c>
      <c r="G133" s="555">
        <f>'Traffic Data'!CN50</f>
        <v>0.9</v>
      </c>
      <c r="H133" s="556">
        <f>'Traffic Data'!G52</f>
        <v>45</v>
      </c>
      <c r="I133" s="556">
        <v>2</v>
      </c>
      <c r="J133" s="556">
        <f t="shared" si="12"/>
        <v>52</v>
      </c>
      <c r="K133" s="143">
        <v>0</v>
      </c>
      <c r="L133" s="143">
        <v>5</v>
      </c>
      <c r="M133" s="556">
        <v>0</v>
      </c>
      <c r="N133" s="143">
        <v>0</v>
      </c>
      <c r="O133" s="143">
        <v>0</v>
      </c>
      <c r="P133" s="143">
        <v>0</v>
      </c>
      <c r="Q133" s="143">
        <v>0</v>
      </c>
      <c r="R133" s="249">
        <f t="shared" si="4"/>
        <v>47</v>
      </c>
      <c r="S133" s="561">
        <f>N$24*F133*G133</f>
        <v>600.00000000000011</v>
      </c>
      <c r="T133" s="562">
        <v>0.12</v>
      </c>
      <c r="U133" s="563">
        <v>0.65</v>
      </c>
      <c r="V133" s="564">
        <f t="shared" si="10"/>
        <v>0.2</v>
      </c>
      <c r="W133" s="654">
        <v>10</v>
      </c>
      <c r="X133" s="351">
        <f>MAX(10,$R133/(1+($V133*(('Traffic Data'!J52*$T133*$U133)/(($I133/2)*$S133))^$W133)))</f>
        <v>46.22928606898175</v>
      </c>
      <c r="Y133" s="506">
        <f>MAX(10,$R133/(1+($V133*(('Traffic Data'!K52*$T133*$U133)/(($I133/2)*$S133))^$W133)))</f>
        <v>45.989400680781124</v>
      </c>
      <c r="Z133" s="506">
        <f>MAX(10,$R133/(1+($V133*(('Traffic Data'!L52*$T133*$U133)/(($I133/2)*$S133))^$W133)))</f>
        <v>45.535554594085283</v>
      </c>
      <c r="AA133" s="506">
        <f>MAX(10,$R133/(1+($V133*(('Traffic Data'!M52*$T133*$U133)/(($I133/2)*$S133))^$W133)))</f>
        <v>44.608096213610324</v>
      </c>
      <c r="AB133" s="506">
        <f>MAX(10,$R133/(1+($V133*(('Traffic Data'!N52*$T133*$U133)/(($I133/2)*$S133))^$W133)))</f>
        <v>43.229455244226074</v>
      </c>
      <c r="AC133" s="506">
        <f>MAX(10,$R133/(1+($V133*(('Traffic Data'!O52*$T133*$U133)/(($I133/2)*$S133))^$W133)))</f>
        <v>41.274908515000931</v>
      </c>
      <c r="AD133" s="506">
        <f>MAX(10,$R133/(1+($V133*(('Traffic Data'!P52*$T133*$U133)/(($I133/2)*$S133))^$W133)))</f>
        <v>38.649428106960258</v>
      </c>
      <c r="AE133" s="506">
        <f>MAX(10,$R133/(1+($V133*(('Traffic Data'!Q52*$T133*$U133)/(($I133/2)*$S133))^$W133)))</f>
        <v>35.328018908242882</v>
      </c>
      <c r="AF133" s="506">
        <f>MAX(10,$R133/(1+($V133*(('Traffic Data'!R52*$T133*$U133)/(($I133/2)*$S133))^$W133)))</f>
        <v>31.366125947155084</v>
      </c>
      <c r="AG133" s="506">
        <f>MAX(10,$R133/(1+($V133*(('Traffic Data'!S52*$T133*$U133)/(($I133/2)*$S133))^$W133)))</f>
        <v>27.012819009421765</v>
      </c>
      <c r="AH133" s="506">
        <f>MAX(10,$R133/(1+($V133*(('Traffic Data'!T52*$T133*$U133)/(($I133/2)*$S133))^$W133)))</f>
        <v>22.575887347812159</v>
      </c>
      <c r="AI133" s="506">
        <f>MAX(10,$R133/(1+($V133*(('Traffic Data'!U52*$T133*$U133)/(($I133/2)*$S133))^$W133)))</f>
        <v>18.358962122918228</v>
      </c>
      <c r="AJ133" s="506">
        <f>MAX(10,$R133/(1+($V133*(('Traffic Data'!V52*$T133*$U133)/(($I133/2)*$S133))^$W133)))</f>
        <v>14.590242621737195</v>
      </c>
      <c r="AK133" s="506">
        <f>MAX(10,$R133/(1+($V133*(('Traffic Data'!W52*$T133*$U133)/(($I133/2)*$S133))^$W133)))</f>
        <v>12.245750450281898</v>
      </c>
      <c r="AL133" s="506">
        <f>MAX(10,$R133/(1+($V133*(('Traffic Data'!X52*$T133*$U133)/(($I133/2)*$S133))^$W133)))</f>
        <v>10.802023161382403</v>
      </c>
      <c r="AM133" s="506">
        <f>MAX(10,$R133/(1+($V133*(('Traffic Data'!Y52*$T133*$U133)/(($I133/2)*$S133))^$W133)))</f>
        <v>10</v>
      </c>
      <c r="AN133" s="506">
        <f>MAX(10,$R133/(1+($V133*(('Traffic Data'!Z52*$T133*$U133)/(($I133/2)*$S133))^$W133)))</f>
        <v>10</v>
      </c>
      <c r="AO133" s="506">
        <f>MAX(10,$R133/(1+($V133*(('Traffic Data'!AA52*$T133*$U133)/(($I133/2)*$S133))^$W133)))</f>
        <v>10</v>
      </c>
      <c r="AP133" s="506">
        <f>MAX(10,$R133/(1+($V133*(('Traffic Data'!AB52*$T133*$U133)/(($I133/2)*$S133))^$W133)))</f>
        <v>10</v>
      </c>
      <c r="AQ133" s="506">
        <f>MAX(10,$R133/(1+($V133*(('Traffic Data'!AC52*$T133*$U133)/(($I133/2)*$S133))^$W133)))</f>
        <v>10</v>
      </c>
      <c r="AR133" s="506">
        <f>MAX(10,$R133/(1+($V133*(('Traffic Data'!AD52*$T133*$U133)/(($I133/2)*$S133))^$W133)))</f>
        <v>10</v>
      </c>
      <c r="AS133" s="506">
        <f>MAX(10,$R133/(1+($V133*(('Traffic Data'!AE52*$T133*$U133)/(($I133/2)*$S133))^$W133)))</f>
        <v>10</v>
      </c>
      <c r="AT133" s="506">
        <f>MAX(10,$R133/(1+($V133*(('Traffic Data'!AF52*$T133*$U133)/(($I133/2)*$S133))^$W133)))</f>
        <v>10</v>
      </c>
      <c r="AU133" s="506">
        <f>MAX(10,$R133/(1+($V133*(('Traffic Data'!AG52*$T133*$U133)/(($I133/2)*$S133))^$W133)))</f>
        <v>10</v>
      </c>
      <c r="AV133" s="506">
        <f>MAX(10,$R133/(1+($V133*(('Traffic Data'!AH52*$T133*$U133)/(($I133/2)*$S133))^$W133)))</f>
        <v>10</v>
      </c>
      <c r="AW133" s="507">
        <f>MAX(10,$R133/(1+($V133*(('Traffic Data'!AI52*$T133*$U133)/(($I133/2)*$S133))^$W133)))</f>
        <v>10</v>
      </c>
      <c r="AX133" s="378">
        <f>$R133/(1+($V133*(('Traffic Data'!J52*(0.67/14))/(($I133)*$S133))^$W133))</f>
        <v>46.99999421510455</v>
      </c>
      <c r="AY133" s="351">
        <f>$R133/(1+($V133*(('Traffic Data'!J52*(0.67/14))/(($I133)*$S133))^$W133))</f>
        <v>46.99999421510455</v>
      </c>
      <c r="AZ133" s="351">
        <f>$R133/(1+($V133*(('Traffic Data'!K52*(0.67/14))/(($I133)*$S133))^$W133))</f>
        <v>46.9999923749846</v>
      </c>
      <c r="BA133" s="351">
        <f>$R133/(1+($V133*(('Traffic Data'!L52*(0.67/14))/(($I133)*$S133))^$W133))</f>
        <v>46.999988840570389</v>
      </c>
      <c r="BB133" s="351">
        <f>$R133/(1+($V133*(('Traffic Data'!M52*(0.67/14))/(($I133)*$S133))^$W133))</f>
        <v>46.999981394155355</v>
      </c>
      <c r="BC133" s="351">
        <f>$R133/(1+($V133*(('Traffic Data'!N52*(0.67/14))/(($I133)*$S133))^$W133))</f>
        <v>46.999969734796231</v>
      </c>
      <c r="BD133" s="351">
        <f>$R133/(1+($V133*(('Traffic Data'!O52*(0.67/14))/(($I133)*$S133))^$W133))</f>
        <v>46.999951870049891</v>
      </c>
      <c r="BE133" s="351">
        <f>$R133/(1+($V133*(('Traffic Data'!P52*(0.67/14))/(($I133)*$S133))^$W133))</f>
        <v>46.999925029225203</v>
      </c>
      <c r="BF133" s="351">
        <f>$R133/(1+($V133*(('Traffic Data'!Q52*(0.67/14))/(($I133)*$S133))^$W133))</f>
        <v>46.999885357994067</v>
      </c>
      <c r="BG133" s="351">
        <f>$R133/(1+($V133*(('Traffic Data'!R52*(0.67/14))/(($I133)*$S133))^$W133))</f>
        <v>46.999827048762654</v>
      </c>
      <c r="BH133" s="351">
        <f>$R133/(1+($V133*(('Traffic Data'!S52*(0.67/14))/(($I133)*$S133))^$W133))</f>
        <v>46.999743256883484</v>
      </c>
      <c r="BI133" s="351">
        <f>$R133/(1+($V133*(('Traffic Data'!T52*(0.67/14))/(($I133)*$S133))^$W133))</f>
        <v>46.999624603654084</v>
      </c>
      <c r="BJ133" s="351">
        <f>$R133/(1+($V133*(('Traffic Data'!U52*(0.67/14))/(($I133)*$S133))^$W133))</f>
        <v>46.999458678634817</v>
      </c>
      <c r="BK133" s="351">
        <f>$R133/(1+($V133*(('Traffic Data'!V52*(0.67/14))/(($I133)*$S133))^$W133))</f>
        <v>46.999229228427964</v>
      </c>
      <c r="BL133" s="351">
        <f>$R133/(1+($V133*(('Traffic Data'!W52*(0.67/14))/(($I133)*$S133))^$W133))</f>
        <v>46.999015234205181</v>
      </c>
      <c r="BM133" s="351">
        <f>$R133/(1+($V133*(('Traffic Data'!X52*(0.67/14))/(($I133)*$S133))^$W133))</f>
        <v>46.998837245593748</v>
      </c>
      <c r="BN133" s="351">
        <f>$R133/(1+($V133*(('Traffic Data'!Y52*(0.67/14))/(($I133)*$S133))^$W133))</f>
        <v>46.998630810765583</v>
      </c>
      <c r="BO133" s="351">
        <f>$R133/(1+($V133*(('Traffic Data'!Z52*(0.67/14))/(($I133)*$S133))^$W133))</f>
        <v>46.998391958352798</v>
      </c>
      <c r="BP133" s="351">
        <f>$R133/(1+($V133*(('Traffic Data'!AA52*(0.67/14))/(($I133)*$S133))^$W133))</f>
        <v>46.998116099346127</v>
      </c>
      <c r="BQ133" s="351">
        <f>$R133/(1+($V133*(('Traffic Data'!AB52*(0.67/14))/(($I133)*$S133))^$W133))</f>
        <v>46.997798520996518</v>
      </c>
      <c r="BR133" s="351">
        <f>$R133/(1+($V133*(('Traffic Data'!AC52*(0.67/14))/(($I133)*$S133))^$W133))</f>
        <v>46.997433364432972</v>
      </c>
      <c r="BS133" s="351">
        <f>$R133/(1+($V133*(('Traffic Data'!AD52*(0.67/14))/(($I133)*$S133))^$W133))</f>
        <v>46.997014790196872</v>
      </c>
      <c r="BT133" s="351">
        <f>$R133/(1+($V133*(('Traffic Data'!AE52*(0.67/14))/(($I133)*$S133))^$W133))</f>
        <v>46.99653575687546</v>
      </c>
      <c r="BU133" s="351">
        <f>$R133/(1+($V133*(('Traffic Data'!AF52*(0.67/14))/(($I133)*$S133))^$W133))</f>
        <v>46.99598834666201</v>
      </c>
      <c r="BV133" s="351">
        <f>$R133/(1+($V133*(('Traffic Data'!AG52*(0.67/14))/(($I133)*$S133))^$W133))</f>
        <v>46.995364606057848</v>
      </c>
      <c r="BW133" s="623">
        <f>$R133/(1+($V133*(('Traffic Data'!AH52*(0.67/14))/(($I133)*$S133))^$W133))</f>
        <v>46.99465491261757</v>
      </c>
    </row>
    <row r="134" spans="1:75" ht="21.9" customHeight="1" x14ac:dyDescent="0.25">
      <c r="A134" s="617"/>
      <c r="C134" s="273" t="s">
        <v>320</v>
      </c>
      <c r="D134" s="273" t="s">
        <v>318</v>
      </c>
      <c r="E134" s="273" t="s">
        <v>308</v>
      </c>
      <c r="F134" s="565">
        <f>'Traffic Data'!CM53</f>
        <v>0.83333333333333337</v>
      </c>
      <c r="G134" s="565">
        <f>'Traffic Data'!CN53</f>
        <v>0.88</v>
      </c>
      <c r="H134" s="566">
        <f>'Traffic Data'!G53</f>
        <v>40</v>
      </c>
      <c r="I134" s="566">
        <v>2</v>
      </c>
      <c r="J134" s="566">
        <f t="shared" si="12"/>
        <v>47</v>
      </c>
      <c r="K134" s="566">
        <v>1.3</v>
      </c>
      <c r="L134" s="566">
        <v>2.5</v>
      </c>
      <c r="M134" s="566">
        <v>0</v>
      </c>
      <c r="N134" s="566">
        <v>0</v>
      </c>
      <c r="O134" s="566">
        <v>0</v>
      </c>
      <c r="P134" s="566">
        <v>0</v>
      </c>
      <c r="Q134" s="566">
        <v>0</v>
      </c>
      <c r="R134" s="251">
        <f t="shared" si="4"/>
        <v>43.2</v>
      </c>
      <c r="S134" s="567">
        <f>N$25*F134*G134</f>
        <v>586.66666666666674</v>
      </c>
      <c r="T134" s="568">
        <v>0.12</v>
      </c>
      <c r="U134" s="569">
        <v>0.65</v>
      </c>
      <c r="V134" s="554">
        <f t="shared" si="10"/>
        <v>0.2</v>
      </c>
      <c r="W134" s="655">
        <v>10</v>
      </c>
      <c r="X134" s="378">
        <f>$R134/(1+($V134*(('Traffic Data'!J53*$T134*$U134)/(($I134/2)*$S134))^$W134))</f>
        <v>43.2</v>
      </c>
      <c r="Y134" s="378">
        <f>$R134/(1+($V134*(('Traffic Data'!K53*$T134*$U134)/(($I134/2)*$S134))^$W134))</f>
        <v>43.2</v>
      </c>
      <c r="Z134" s="378">
        <f>$R134/(1+($V134*(('Traffic Data'!L53*$T134*$U134)/(($I134/2)*$S134))^$W134))</f>
        <v>43.199999999254835</v>
      </c>
      <c r="AA134" s="378">
        <f>$R134/(1+($V134*(('Traffic Data'!M53*$T134*$U134)/(($I134/2)*$S134))^$W134))</f>
        <v>43.199995916637803</v>
      </c>
      <c r="AB134" s="378">
        <f>$R134/(1+($V134*(('Traffic Data'!N53*$T134*$U134)/(($I134/2)*$S134))^$W134))</f>
        <v>43.199610019600925</v>
      </c>
      <c r="AC134" s="378">
        <f>$R134/(1+($V134*(('Traffic Data'!O53*$T134*$U134)/(($I134/2)*$S134))^$W134))</f>
        <v>43.19118072841755</v>
      </c>
      <c r="AD134" s="378">
        <f>$R134/(1+($V134*(('Traffic Data'!P53*$T134*$U134)/(($I134/2)*$S134))^$W134))</f>
        <v>43.105543071541632</v>
      </c>
      <c r="AE134" s="378">
        <f>$R134/(1+($V134*(('Traffic Data'!Q53*$T134*$U134)/(($I134/2)*$S134))^$W134))</f>
        <v>42.564430700421724</v>
      </c>
      <c r="AF134" s="378">
        <f>$R134/(1+($V134*(('Traffic Data'!R53*$T134*$U134)/(($I134/2)*$S134))^$W134))</f>
        <v>41.945698891632006</v>
      </c>
      <c r="AG134" s="378">
        <f>$R134/(1+($V134*(('Traffic Data'!S53*$T134*$U134)/(($I134/2)*$S134))^$W134))</f>
        <v>40.859933383409171</v>
      </c>
      <c r="AH134" s="378">
        <f>$R134/(1+($V134*(('Traffic Data'!T53*$T134*$U134)/(($I134/2)*$S134))^$W134))</f>
        <v>39.080711860249295</v>
      </c>
      <c r="AI134" s="378">
        <f>$R134/(1+($V134*(('Traffic Data'!U53*$T134*$U134)/(($I134/2)*$S134))^$W134))</f>
        <v>36.386569581847269</v>
      </c>
      <c r="AJ134" s="378">
        <f>$R134/(1+($V134*(('Traffic Data'!V53*$T134*$U134)/(($I134/2)*$S134))^$W134))</f>
        <v>32.657337473550307</v>
      </c>
      <c r="AK134" s="378">
        <f>$R134/(1+($V134*(('Traffic Data'!W53*$T134*$U134)/(($I134/2)*$S134))^$W134))</f>
        <v>32.009960963488716</v>
      </c>
      <c r="AL134" s="378">
        <f>$R134/(1+($V134*(('Traffic Data'!X53*$T134*$U134)/(($I134/2)*$S134))^$W134))</f>
        <v>31.342682856462009</v>
      </c>
      <c r="AM134" s="378">
        <f>$R134/(1+($V134*(('Traffic Data'!Y53*$T134*$U134)/(($I134/2)*$S134))^$W134))</f>
        <v>30.656723819302918</v>
      </c>
      <c r="AN134" s="378">
        <f>$R134/(1+($V134*(('Traffic Data'!Z53*$T134*$U134)/(($I134/2)*$S134))^$W134))</f>
        <v>29.953457761994514</v>
      </c>
      <c r="AO134" s="378">
        <f>$R134/(1+($V134*(('Traffic Data'!AA53*$T134*$U134)/(($I134/2)*$S134))^$W134))</f>
        <v>29.22921886496578</v>
      </c>
      <c r="AP134" s="378">
        <f>$R134/(1+($V134*(('Traffic Data'!AB53*$T134*$U134)/(($I134/2)*$S134))^$W134))</f>
        <v>28.495927562150335</v>
      </c>
      <c r="AQ134" s="378">
        <f>$R134/(1+($V134*(('Traffic Data'!AC53*$T134*$U134)/(($I134/2)*$S134))^$W134))</f>
        <v>27.74789102810854</v>
      </c>
      <c r="AR134" s="378">
        <f>$R134/(1+($V134*(('Traffic Data'!AD53*$T134*$U134)/(($I134/2)*$S134))^$W134))</f>
        <v>26.991708598550034</v>
      </c>
      <c r="AS134" s="378">
        <f>$R134/(1+($V134*(('Traffic Data'!AE53*$T134*$U134)/(($I134/2)*$S134))^$W134))</f>
        <v>26.226980157041623</v>
      </c>
      <c r="AT134" s="378">
        <f>$R134/(1+($V134*(('Traffic Data'!AF53*$T134*$U134)/(($I134/2)*$S134))^$W134))</f>
        <v>25.450190208634254</v>
      </c>
      <c r="AU134" s="378">
        <f>$R134/(1+($V134*(('Traffic Data'!AG53*$T134*$U134)/(($I134/2)*$S134))^$W134))</f>
        <v>24.674402204963897</v>
      </c>
      <c r="AV134" s="378">
        <f>$R134/(1+($V134*(('Traffic Data'!AH53*$T134*$U134)/(($I134/2)*$S134))^$W134))</f>
        <v>23.896196278598335</v>
      </c>
      <c r="AW134" s="350">
        <f>$R134/(1+($V134*(('Traffic Data'!AI53*$T134*$U134)/(($I134/2)*$S134))^$W134))</f>
        <v>23.115162784521527</v>
      </c>
      <c r="AX134" s="382">
        <f>$R134/(1+($V134*(('Traffic Data'!J53*(0.67/14))/(($I134)*$S134))^$W134))</f>
        <v>43.2</v>
      </c>
      <c r="AY134" s="378">
        <f>$R134/(1+($V134*(('Traffic Data'!J53*(0.67/14))/(($I134)*$S134))^$W134))</f>
        <v>43.2</v>
      </c>
      <c r="AZ134" s="378">
        <f>$R134/(1+($V134*(('Traffic Data'!K53*(0.67/14))/(($I134)*$S134))^$W134))</f>
        <v>43.2</v>
      </c>
      <c r="BA134" s="378">
        <f>$R134/(1+($V134*(('Traffic Data'!L53*(0.67/14))/(($I134)*$S134))^$W134))</f>
        <v>43.199999999999996</v>
      </c>
      <c r="BB134" s="378">
        <f>$R134/(1+($V134*(('Traffic Data'!M53*(0.67/14))/(($I134)*$S134))^$W134))</f>
        <v>43.199999999969855</v>
      </c>
      <c r="BC134" s="378">
        <f>$R134/(1+($V134*(('Traffic Data'!N53*(0.67/14))/(($I134)*$S134))^$W134))</f>
        <v>43.199999997120827</v>
      </c>
      <c r="BD134" s="378">
        <f>$R134/(1+($V134*(('Traffic Data'!O53*(0.67/14))/(($I134)*$S134))^$W134))</f>
        <v>43.199999934875699</v>
      </c>
      <c r="BE134" s="378">
        <f>$R134/(1+($V134*(('Traffic Data'!P53*(0.67/14))/(($I134)*$S134))^$W134))</f>
        <v>43.199999301114353</v>
      </c>
      <c r="BF134" s="378">
        <f>$R134/(1+($V134*(('Traffic Data'!Q53*(0.67/14))/(($I134)*$S134))^$W134))</f>
        <v>43.199995237648281</v>
      </c>
      <c r="BG134" s="378">
        <f>$R134/(1+($V134*(('Traffic Data'!R53*(0.67/14))/(($I134)*$S134))^$W134))</f>
        <v>43.199990462825944</v>
      </c>
      <c r="BH134" s="378">
        <f>$R134/(1+($V134*(('Traffic Data'!S53*(0.67/14))/(($I134)*$S134))^$W134))</f>
        <v>43.199981734321192</v>
      </c>
      <c r="BI134" s="378">
        <f>$R134/(1+($V134*(('Traffic Data'!T53*(0.67/14))/(($I134)*$S134))^$W134))</f>
        <v>43.199966382547409</v>
      </c>
      <c r="BJ134" s="378">
        <f>$R134/(1+($V134*(('Traffic Data'!U53*(0.67/14))/(($I134)*$S134))^$W134))</f>
        <v>43.199940278659867</v>
      </c>
      <c r="BK134" s="378">
        <f>$R134/(1+($V134*(('Traffic Data'!V53*(0.67/14))/(($I134)*$S134))^$W134))</f>
        <v>43.199897038720927</v>
      </c>
      <c r="BL134" s="378">
        <f>$R134/(1+($V134*(('Traffic Data'!W53*(0.67/14))/(($I134)*$S134))^$W134))</f>
        <v>43.199888506186639</v>
      </c>
      <c r="BM134" s="378">
        <f>$R134/(1+($V134*(('Traffic Data'!X53*(0.67/14))/(($I134)*$S134))^$W134))</f>
        <v>43.19987934245399</v>
      </c>
      <c r="BN134" s="378">
        <f>$R134/(1+($V134*(('Traffic Data'!Y53*(0.67/14))/(($I134)*$S134))^$W134))</f>
        <v>43.199869506354162</v>
      </c>
      <c r="BO134" s="378">
        <f>$R134/(1+($V134*(('Traffic Data'!Z53*(0.67/14))/(($I134)*$S134))^$W134))</f>
        <v>43.199858954387686</v>
      </c>
      <c r="BP134" s="378">
        <f>$R134/(1+($V134*(('Traffic Data'!AA53*(0.67/14))/(($I134)*$S134))^$W134))</f>
        <v>43.199847557037231</v>
      </c>
      <c r="BQ134" s="378">
        <f>$R134/(1+($V134*(('Traffic Data'!AB53*(0.67/14))/(($I134)*$S134))^$W134))</f>
        <v>43.199835426989218</v>
      </c>
      <c r="BR134" s="378">
        <f>$R134/(1+($V134*(('Traffic Data'!AC53*(0.67/14))/(($I134)*$S134))^$W134))</f>
        <v>43.199822392447345</v>
      </c>
      <c r="BS134" s="378">
        <f>$R134/(1+($V134*(('Traffic Data'!AD53*(0.67/14))/(($I134)*$S134))^$W134))</f>
        <v>43.199808481660547</v>
      </c>
      <c r="BT134" s="378">
        <f>$R134/(1+($V134*(('Traffic Data'!AE53*(0.67/14))/(($I134)*$S134))^$W134))</f>
        <v>43.199793597862858</v>
      </c>
      <c r="BU134" s="378">
        <f>$R134/(1+($V134*(('Traffic Data'!AF53*(0.67/14))/(($I134)*$S134))^$W134))</f>
        <v>43.199777563594566</v>
      </c>
      <c r="BV134" s="378">
        <f>$R134/(1+($V134*(('Traffic Data'!AG53*(0.67/14))/(($I134)*$S134))^$W134))</f>
        <v>43.199760542404377</v>
      </c>
      <c r="BW134" s="620">
        <f>$R134/(1+($V134*(('Traffic Data'!AH53*(0.67/14))/(($I134)*$S134))^$W134))</f>
        <v>43.199742357823311</v>
      </c>
    </row>
    <row r="135" spans="1:75" ht="21.9" customHeight="1" x14ac:dyDescent="0.25">
      <c r="A135" s="617"/>
      <c r="C135" s="1325" t="s">
        <v>308</v>
      </c>
      <c r="D135" s="217" t="s">
        <v>276</v>
      </c>
      <c r="E135" s="217" t="s">
        <v>320</v>
      </c>
      <c r="F135" s="571">
        <f>'Traffic Data'!CM54</f>
        <v>0.83333333333333337</v>
      </c>
      <c r="G135" s="571">
        <f>'Traffic Data'!CN54</f>
        <v>0.88</v>
      </c>
      <c r="H135" s="143">
        <f>'Traffic Data'!G54</f>
        <v>40</v>
      </c>
      <c r="I135" s="143">
        <v>4</v>
      </c>
      <c r="J135" s="143">
        <f t="shared" si="12"/>
        <v>47</v>
      </c>
      <c r="K135" s="143">
        <v>0</v>
      </c>
      <c r="L135" s="143">
        <v>2.5</v>
      </c>
      <c r="M135" s="572">
        <v>0</v>
      </c>
      <c r="N135" s="143">
        <v>1.8</v>
      </c>
      <c r="O135" s="143">
        <v>1.6</v>
      </c>
      <c r="P135" s="143">
        <v>0</v>
      </c>
      <c r="Q135" s="143">
        <v>0</v>
      </c>
      <c r="R135" s="171">
        <f t="shared" ref="R135:R147" si="13">J135-K135-L135-M135-N135-O135-P135-Q135</f>
        <v>41.1</v>
      </c>
      <c r="S135" s="551">
        <f>M$25*F135*G135</f>
        <v>1356.6666666666667</v>
      </c>
      <c r="T135" s="552">
        <v>0.12</v>
      </c>
      <c r="U135" s="553">
        <v>0.65</v>
      </c>
      <c r="V135" s="560">
        <f t="shared" si="10"/>
        <v>0.2</v>
      </c>
      <c r="W135" s="225">
        <v>10</v>
      </c>
      <c r="X135" s="380">
        <f>$R135/(1+($V135*(('Traffic Data'!J54*$T135*$U135)/(($I135/2)*$S135))^$W135))</f>
        <v>41.1</v>
      </c>
      <c r="Y135" s="355">
        <f>$R135/(1+($V135*(('Traffic Data'!K54*$T135*$U135)/(($I135/2)*$S135))^$W135))</f>
        <v>41.1</v>
      </c>
      <c r="Z135" s="355">
        <f>$R135/(1+($V135*(('Traffic Data'!L54*$T135*$U135)/(($I135/2)*$S135))^$W135))</f>
        <v>41.1</v>
      </c>
      <c r="AA135" s="355">
        <f>$R135/(1+($V135*(('Traffic Data'!M54*$T135*$U135)/(($I135/2)*$S135))^$W135))</f>
        <v>41.099999999994417</v>
      </c>
      <c r="AB135" s="355">
        <f>$R135/(1+($V135*(('Traffic Data'!N54*$T135*$U135)/(($I135/2)*$S135))^$W135))</f>
        <v>41.099999999537111</v>
      </c>
      <c r="AC135" s="355">
        <f>$R135/(1+($V135*(('Traffic Data'!O54*$T135*$U135)/(($I135/2)*$S135))^$W135))</f>
        <v>41.099999990190398</v>
      </c>
      <c r="AD135" s="355">
        <f>$R135/(1+($V135*(('Traffic Data'!P54*$T135*$U135)/(($I135/2)*$S135))^$W135))</f>
        <v>41.099999898693142</v>
      </c>
      <c r="AE135" s="355">
        <f>$R135/(1+($V135*(('Traffic Data'!Q54*$T135*$U135)/(($I135/2)*$S135))^$W135))</f>
        <v>41.099999327050369</v>
      </c>
      <c r="AF135" s="355">
        <f>$R135/(1+($V135*(('Traffic Data'!R54*$T135*$U135)/(($I135/2)*$S135))^$W135))</f>
        <v>41.099997653760163</v>
      </c>
      <c r="AG135" s="355">
        <f>$R135/(1+($V135*(('Traffic Data'!S54*$T135*$U135)/(($I135/2)*$S135))^$W135))</f>
        <v>41.099992878726958</v>
      </c>
      <c r="AH135" s="355">
        <f>$R135/(1+($V135*(('Traffic Data'!T54*$T135*$U135)/(($I135/2)*$S135))^$W135))</f>
        <v>41.099980660356351</v>
      </c>
      <c r="AI135" s="355">
        <f>$R135/(1+($V135*(('Traffic Data'!U54*$T135*$U135)/(($I135/2)*$S135))^$W135))</f>
        <v>41.099952037621648</v>
      </c>
      <c r="AJ135" s="355">
        <f>$R135/(1+($V135*(('Traffic Data'!V54*$T135*$U135)/(($I135/2)*$S135))^$W135))</f>
        <v>41.099889604819737</v>
      </c>
      <c r="AK135" s="355">
        <f>$R135/(1+($V135*(('Traffic Data'!W54*$T135*$U135)/(($I135/2)*$S135))^$W135))</f>
        <v>41.099837147249247</v>
      </c>
      <c r="AL135" s="355">
        <f>$R135/(1+($V135*(('Traffic Data'!X54*$T135*$U135)/(($I135/2)*$S135))^$W135))</f>
        <v>41.099819433478061</v>
      </c>
      <c r="AM135" s="355">
        <f>$R135/(1+($V135*(('Traffic Data'!Y54*$T135*$U135)/(($I135/2)*$S135))^$W135))</f>
        <v>41.099800004112645</v>
      </c>
      <c r="AN135" s="355">
        <f>$R135/(1+($V135*(('Traffic Data'!Z54*$T135*$U135)/(($I135/2)*$S135))^$W135))</f>
        <v>41.099778713017592</v>
      </c>
      <c r="AO135" s="355">
        <f>$R135/(1+($V135*(('Traffic Data'!AA54*$T135*$U135)/(($I135/2)*$S135))^$W135))</f>
        <v>41.099755333487764</v>
      </c>
      <c r="AP135" s="355">
        <f>$R135/(1+($V135*(('Traffic Data'!AB54*$T135*$U135)/(($I135/2)*$S135))^$W135))</f>
        <v>41.099729830227254</v>
      </c>
      <c r="AQ135" s="355">
        <f>$R135/(1+($V135*(('Traffic Data'!AC54*$T135*$U135)/(($I135/2)*$S135))^$W135))</f>
        <v>41.099701875520481</v>
      </c>
      <c r="AR135" s="355">
        <f>$R135/(1+($V135*(('Traffic Data'!AD54*$T135*$U135)/(($I135/2)*$S135))^$W135))</f>
        <v>41.099671435026814</v>
      </c>
      <c r="AS135" s="355">
        <f>$R135/(1+($V135*(('Traffic Data'!AE54*$T135*$U135)/(($I135/2)*$S135))^$W135))</f>
        <v>41.099638225218428</v>
      </c>
      <c r="AT135" s="355">
        <f>$R135/(1+($V135*(('Traffic Data'!AF54*$T135*$U135)/(($I135/2)*$S135))^$W135))</f>
        <v>41.099601916217836</v>
      </c>
      <c r="AU135" s="355">
        <f>$R135/(1+($V135*(('Traffic Data'!AG54*$T135*$U135)/(($I135/2)*$S135))^$W135))</f>
        <v>41.099562477650608</v>
      </c>
      <c r="AV135" s="355">
        <f>$R135/(1+($V135*(('Traffic Data'!AH54*$T135*$U135)/(($I135/2)*$S135))^$W135))</f>
        <v>41.099519556825001</v>
      </c>
      <c r="AW135" s="356">
        <f>$R135/(1+($V135*(('Traffic Data'!AI54*$T135*$U135)/(($I135/2)*$S135))^$W135))</f>
        <v>41.099472743791047</v>
      </c>
      <c r="AX135" s="377">
        <f>$R135/(1+($V135*(('Traffic Data'!J54*(0.67/14))/(($I135)*$S135))^$W135))</f>
        <v>41.1</v>
      </c>
      <c r="AY135" s="355">
        <f>$R135/(1+($V135*(('Traffic Data'!J54*(0.67/14))/(($I135)*$S135))^$W135))</f>
        <v>41.1</v>
      </c>
      <c r="AZ135" s="355">
        <f>$R135/(1+($V135*(('Traffic Data'!K54*(0.67/14))/(($I135)*$S135))^$W135))</f>
        <v>41.1</v>
      </c>
      <c r="BA135" s="355">
        <f>$R135/(1+($V135*(('Traffic Data'!L54*(0.67/14))/(($I135)*$S135))^$W135))</f>
        <v>41.1</v>
      </c>
      <c r="BB135" s="355">
        <f>$R135/(1+($V135*(('Traffic Data'!M54*(0.67/14))/(($I135)*$S135))^$W135))</f>
        <v>41.1</v>
      </c>
      <c r="BC135" s="355">
        <f>$R135/(1+($V135*(('Traffic Data'!N54*(0.67/14))/(($I135)*$S135))^$W135))</f>
        <v>41.1</v>
      </c>
      <c r="BD135" s="355">
        <f>$R135/(1+($V135*(('Traffic Data'!O54*(0.67/14))/(($I135)*$S135))^$W135))</f>
        <v>41.09999999999993</v>
      </c>
      <c r="BE135" s="355">
        <f>$R135/(1+($V135*(('Traffic Data'!P54*(0.67/14))/(($I135)*$S135))^$W135))</f>
        <v>41.099999999999255</v>
      </c>
      <c r="BF135" s="355">
        <f>$R135/(1+($V135*(('Traffic Data'!Q54*(0.67/14))/(($I135)*$S135))^$W135))</f>
        <v>41.099999999995035</v>
      </c>
      <c r="BG135" s="355">
        <f>$R135/(1+($V135*(('Traffic Data'!R54*(0.67/14))/(($I135)*$S135))^$W135))</f>
        <v>41.099999999982678</v>
      </c>
      <c r="BH135" s="355">
        <f>$R135/(1+($V135*(('Traffic Data'!S54*(0.67/14))/(($I135)*$S135))^$W135))</f>
        <v>41.099999999947428</v>
      </c>
      <c r="BI135" s="355">
        <f>$R135/(1+($V135*(('Traffic Data'!T54*(0.67/14))/(($I135)*$S135))^$W135))</f>
        <v>41.099999999857225</v>
      </c>
      <c r="BJ135" s="355">
        <f>$R135/(1+($V135*(('Traffic Data'!U54*(0.67/14))/(($I135)*$S135))^$W135))</f>
        <v>41.099999999645902</v>
      </c>
      <c r="BK135" s="355">
        <f>$R135/(1+($V135*(('Traffic Data'!V54*(0.67/14))/(($I135)*$S135))^$W135))</f>
        <v>41.099999999184973</v>
      </c>
      <c r="BL135" s="355">
        <f>$R135/(1+($V135*(('Traffic Data'!W54*(0.67/14))/(($I135)*$S135))^$W135))</f>
        <v>41.099999998797685</v>
      </c>
      <c r="BM135" s="355">
        <f>$R135/(1+($V135*(('Traffic Data'!X54*(0.67/14))/(($I135)*$S135))^$W135))</f>
        <v>41.09999999866691</v>
      </c>
      <c r="BN135" s="355">
        <f>$R135/(1+($V135*(('Traffic Data'!Y54*(0.67/14))/(($I135)*$S135))^$W135))</f>
        <v>41.099999998523465</v>
      </c>
      <c r="BO135" s="355">
        <f>$R135/(1+($V135*(('Traffic Data'!Z54*(0.67/14))/(($I135)*$S135))^$W135))</f>
        <v>41.099999998366279</v>
      </c>
      <c r="BP135" s="355">
        <f>$R135/(1+($V135*(('Traffic Data'!AA54*(0.67/14))/(($I135)*$S135))^$W135))</f>
        <v>41.099999998193667</v>
      </c>
      <c r="BQ135" s="355">
        <f>$R135/(1+($V135*(('Traffic Data'!AB54*(0.67/14))/(($I135)*$S135))^$W135))</f>
        <v>41.09999999800538</v>
      </c>
      <c r="BR135" s="355">
        <f>$R135/(1+($V135*(('Traffic Data'!AC54*(0.67/14))/(($I135)*$S135))^$W135))</f>
        <v>41.099999997798982</v>
      </c>
      <c r="BS135" s="355">
        <f>$R135/(1+($V135*(('Traffic Data'!AD54*(0.67/14))/(($I135)*$S135))^$W135))</f>
        <v>41.099999997574244</v>
      </c>
      <c r="BT135" s="355">
        <f>$R135/(1+($V135*(('Traffic Data'!AE54*(0.67/14))/(($I135)*$S135))^$W135))</f>
        <v>41.099999997329064</v>
      </c>
      <c r="BU135" s="355">
        <f>$R135/(1+($V135*(('Traffic Data'!AF54*(0.67/14))/(($I135)*$S135))^$W135))</f>
        <v>41.099999997060998</v>
      </c>
      <c r="BV135" s="355">
        <f>$R135/(1+($V135*(('Traffic Data'!AG54*(0.67/14))/(($I135)*$S135))^$W135))</f>
        <v>41.099999996769824</v>
      </c>
      <c r="BW135" s="621">
        <f>$R135/(1+($V135*(('Traffic Data'!AH54*(0.67/14))/(($I135)*$S135))^$W135))</f>
        <v>41.099999996452944</v>
      </c>
    </row>
    <row r="136" spans="1:75" ht="21.9" customHeight="1" x14ac:dyDescent="0.25">
      <c r="A136" s="617"/>
      <c r="C136" s="1327"/>
      <c r="D136" s="114" t="s">
        <v>320</v>
      </c>
      <c r="E136" s="114" t="s">
        <v>282</v>
      </c>
      <c r="F136" s="550">
        <f>'Traffic Data'!CM54</f>
        <v>0.83333333333333337</v>
      </c>
      <c r="G136" s="550">
        <f>'Traffic Data'!CN54</f>
        <v>0.88</v>
      </c>
      <c r="H136" s="143">
        <f>'Traffic Data'!G55</f>
        <v>40</v>
      </c>
      <c r="I136" s="143">
        <v>4</v>
      </c>
      <c r="J136" s="143">
        <f t="shared" si="12"/>
        <v>47</v>
      </c>
      <c r="K136" s="143">
        <v>0</v>
      </c>
      <c r="L136" s="143">
        <v>2.5</v>
      </c>
      <c r="M136" s="143">
        <v>0</v>
      </c>
      <c r="N136" s="143">
        <v>1.8</v>
      </c>
      <c r="O136" s="143">
        <v>1.6</v>
      </c>
      <c r="P136" s="143">
        <v>0</v>
      </c>
      <c r="Q136" s="143">
        <v>0</v>
      </c>
      <c r="R136" s="171">
        <f t="shared" si="13"/>
        <v>41.1</v>
      </c>
      <c r="S136" s="551">
        <f>M$25*F136*G136</f>
        <v>1356.6666666666667</v>
      </c>
      <c r="T136" s="552">
        <v>0.12</v>
      </c>
      <c r="U136" s="553">
        <v>0.65</v>
      </c>
      <c r="V136" s="554">
        <f t="shared" si="10"/>
        <v>0.2</v>
      </c>
      <c r="W136" s="225">
        <v>10</v>
      </c>
      <c r="X136" s="377">
        <f>$R136/(1+($V136*(('Traffic Data'!J55*$T136*$U136)/(($I136/2)*$S136))^$W136))</f>
        <v>41.1</v>
      </c>
      <c r="Y136" s="378">
        <f>$R136/(1+($V136*(('Traffic Data'!K55*$T136*$U136)/(($I136/2)*$S136))^$W136))</f>
        <v>41.1</v>
      </c>
      <c r="Z136" s="378">
        <f>$R136/(1+($V136*(('Traffic Data'!L55*$T136*$U136)/(($I136/2)*$S136))^$W136))</f>
        <v>41.1</v>
      </c>
      <c r="AA136" s="378">
        <f>$R136/(1+($V136*(('Traffic Data'!M55*$T136*$U136)/(($I136/2)*$S136))^$W136))</f>
        <v>41.099999999994417</v>
      </c>
      <c r="AB136" s="378">
        <f>$R136/(1+($V136*(('Traffic Data'!N55*$T136*$U136)/(($I136/2)*$S136))^$W136))</f>
        <v>41.099999999537111</v>
      </c>
      <c r="AC136" s="378">
        <f>$R136/(1+($V136*(('Traffic Data'!O55*$T136*$U136)/(($I136/2)*$S136))^$W136))</f>
        <v>41.099999990190398</v>
      </c>
      <c r="AD136" s="378">
        <f>$R136/(1+($V136*(('Traffic Data'!P55*$T136*$U136)/(($I136/2)*$S136))^$W136))</f>
        <v>41.099999898693142</v>
      </c>
      <c r="AE136" s="378">
        <f>$R136/(1+($V136*(('Traffic Data'!Q55*$T136*$U136)/(($I136/2)*$S136))^$W136))</f>
        <v>41.099999327050369</v>
      </c>
      <c r="AF136" s="378">
        <f>$R136/(1+($V136*(('Traffic Data'!R55*$T136*$U136)/(($I136/2)*$S136))^$W136))</f>
        <v>41.099997653760163</v>
      </c>
      <c r="AG136" s="378">
        <f>$R136/(1+($V136*(('Traffic Data'!S55*$T136*$U136)/(($I136/2)*$S136))^$W136))</f>
        <v>41.099992878726958</v>
      </c>
      <c r="AH136" s="378">
        <f>$R136/(1+($V136*(('Traffic Data'!T55*$T136*$U136)/(($I136/2)*$S136))^$W136))</f>
        <v>41.099980660356351</v>
      </c>
      <c r="AI136" s="378">
        <f>$R136/(1+($V136*(('Traffic Data'!U55*$T136*$U136)/(($I136/2)*$S136))^$W136))</f>
        <v>41.099952037621648</v>
      </c>
      <c r="AJ136" s="378">
        <f>$R136/(1+($V136*(('Traffic Data'!V55*$T136*$U136)/(($I136/2)*$S136))^$W136))</f>
        <v>41.099889604819737</v>
      </c>
      <c r="AK136" s="378">
        <f>$R136/(1+($V136*(('Traffic Data'!W55*$T136*$U136)/(($I136/2)*$S136))^$W136))</f>
        <v>41.099837147249247</v>
      </c>
      <c r="AL136" s="378">
        <f>$R136/(1+($V136*(('Traffic Data'!X55*$T136*$U136)/(($I136/2)*$S136))^$W136))</f>
        <v>41.099819433478061</v>
      </c>
      <c r="AM136" s="378">
        <f>$R136/(1+($V136*(('Traffic Data'!Y55*$T136*$U136)/(($I136/2)*$S136))^$W136))</f>
        <v>41.099800004112645</v>
      </c>
      <c r="AN136" s="378">
        <f>$R136/(1+($V136*(('Traffic Data'!Z55*$T136*$U136)/(($I136/2)*$S136))^$W136))</f>
        <v>41.099778713017592</v>
      </c>
      <c r="AO136" s="378">
        <f>$R136/(1+($V136*(('Traffic Data'!AA55*$T136*$U136)/(($I136/2)*$S136))^$W136))</f>
        <v>41.099755333487764</v>
      </c>
      <c r="AP136" s="378">
        <f>$R136/(1+($V136*(('Traffic Data'!AB55*$T136*$U136)/(($I136/2)*$S136))^$W136))</f>
        <v>41.099729830227254</v>
      </c>
      <c r="AQ136" s="378">
        <f>$R136/(1+($V136*(('Traffic Data'!AC55*$T136*$U136)/(($I136/2)*$S136))^$W136))</f>
        <v>41.099701875520481</v>
      </c>
      <c r="AR136" s="378">
        <f>$R136/(1+($V136*(('Traffic Data'!AD55*$T136*$U136)/(($I136/2)*$S136))^$W136))</f>
        <v>41.099671435026814</v>
      </c>
      <c r="AS136" s="378">
        <f>$R136/(1+($V136*(('Traffic Data'!AE55*$T136*$U136)/(($I136/2)*$S136))^$W136))</f>
        <v>41.099638225218428</v>
      </c>
      <c r="AT136" s="378">
        <f>$R136/(1+($V136*(('Traffic Data'!AF55*$T136*$U136)/(($I136/2)*$S136))^$W136))</f>
        <v>41.099601916217836</v>
      </c>
      <c r="AU136" s="378">
        <f>$R136/(1+($V136*(('Traffic Data'!AG55*$T136*$U136)/(($I136/2)*$S136))^$W136))</f>
        <v>41.099562477650608</v>
      </c>
      <c r="AV136" s="378">
        <f>$R136/(1+($V136*(('Traffic Data'!AH55*$T136*$U136)/(($I136/2)*$S136))^$W136))</f>
        <v>41.099519556825001</v>
      </c>
      <c r="AW136" s="350">
        <f>$R136/(1+($V136*(('Traffic Data'!AI55*$T136*$U136)/(($I136/2)*$S136))^$W136))</f>
        <v>41.099472743791047</v>
      </c>
      <c r="AX136" s="377">
        <f>$R136/(1+($V136*(('Traffic Data'!J55*(0.67/14))/(($I136)*$S136))^$W136))</f>
        <v>41.1</v>
      </c>
      <c r="AY136" s="378">
        <f>$R136/(1+($V136*(('Traffic Data'!J55*(0.67/14))/(($I136)*$S136))^$W136))</f>
        <v>41.1</v>
      </c>
      <c r="AZ136" s="378">
        <f>$R136/(1+($V136*(('Traffic Data'!K55*(0.67/14))/(($I136)*$S136))^$W136))</f>
        <v>41.1</v>
      </c>
      <c r="BA136" s="378">
        <f>$R136/(1+($V136*(('Traffic Data'!L55*(0.67/14))/(($I136)*$S136))^$W136))</f>
        <v>41.1</v>
      </c>
      <c r="BB136" s="378">
        <f>$R136/(1+($V136*(('Traffic Data'!M55*(0.67/14))/(($I136)*$S136))^$W136))</f>
        <v>41.1</v>
      </c>
      <c r="BC136" s="378">
        <f>$R136/(1+($V136*(('Traffic Data'!N55*(0.67/14))/(($I136)*$S136))^$W136))</f>
        <v>41.1</v>
      </c>
      <c r="BD136" s="378">
        <f>$R136/(1+($V136*(('Traffic Data'!O55*(0.67/14))/(($I136)*$S136))^$W136))</f>
        <v>41.09999999999993</v>
      </c>
      <c r="BE136" s="378">
        <f>$R136/(1+($V136*(('Traffic Data'!P55*(0.67/14))/(($I136)*$S136))^$W136))</f>
        <v>41.099999999999255</v>
      </c>
      <c r="BF136" s="378">
        <f>$R136/(1+($V136*(('Traffic Data'!Q55*(0.67/14))/(($I136)*$S136))^$W136))</f>
        <v>41.099999999995035</v>
      </c>
      <c r="BG136" s="378">
        <f>$R136/(1+($V136*(('Traffic Data'!R55*(0.67/14))/(($I136)*$S136))^$W136))</f>
        <v>41.099999999982678</v>
      </c>
      <c r="BH136" s="378">
        <f>$R136/(1+($V136*(('Traffic Data'!S55*(0.67/14))/(($I136)*$S136))^$W136))</f>
        <v>41.099999999947428</v>
      </c>
      <c r="BI136" s="378">
        <f>$R136/(1+($V136*(('Traffic Data'!T55*(0.67/14))/(($I136)*$S136))^$W136))</f>
        <v>41.099999999857225</v>
      </c>
      <c r="BJ136" s="378">
        <f>$R136/(1+($V136*(('Traffic Data'!U55*(0.67/14))/(($I136)*$S136))^$W136))</f>
        <v>41.099999999645902</v>
      </c>
      <c r="BK136" s="378">
        <f>$R136/(1+($V136*(('Traffic Data'!V55*(0.67/14))/(($I136)*$S136))^$W136))</f>
        <v>41.099999999184973</v>
      </c>
      <c r="BL136" s="378">
        <f>$R136/(1+($V136*(('Traffic Data'!W55*(0.67/14))/(($I136)*$S136))^$W136))</f>
        <v>41.099999998797685</v>
      </c>
      <c r="BM136" s="378">
        <f>$R136/(1+($V136*(('Traffic Data'!X55*(0.67/14))/(($I136)*$S136))^$W136))</f>
        <v>41.09999999866691</v>
      </c>
      <c r="BN136" s="378">
        <f>$R136/(1+($V136*(('Traffic Data'!Y55*(0.67/14))/(($I136)*$S136))^$W136))</f>
        <v>41.099999998523465</v>
      </c>
      <c r="BO136" s="378">
        <f>$R136/(1+($V136*(('Traffic Data'!Z55*(0.67/14))/(($I136)*$S136))^$W136))</f>
        <v>41.099999998366279</v>
      </c>
      <c r="BP136" s="378">
        <f>$R136/(1+($V136*(('Traffic Data'!AA55*(0.67/14))/(($I136)*$S136))^$W136))</f>
        <v>41.099999998193667</v>
      </c>
      <c r="BQ136" s="378">
        <f>$R136/(1+($V136*(('Traffic Data'!AB55*(0.67/14))/(($I136)*$S136))^$W136))</f>
        <v>41.09999999800538</v>
      </c>
      <c r="BR136" s="378">
        <f>$R136/(1+($V136*(('Traffic Data'!AC55*(0.67/14))/(($I136)*$S136))^$W136))</f>
        <v>41.099999997798982</v>
      </c>
      <c r="BS136" s="378">
        <f>$R136/(1+($V136*(('Traffic Data'!AD55*(0.67/14))/(($I136)*$S136))^$W136))</f>
        <v>41.099999997574244</v>
      </c>
      <c r="BT136" s="378">
        <f>$R136/(1+($V136*(('Traffic Data'!AE55*(0.67/14))/(($I136)*$S136))^$W136))</f>
        <v>41.099999997329064</v>
      </c>
      <c r="BU136" s="378">
        <f>$R136/(1+($V136*(('Traffic Data'!AF55*(0.67/14))/(($I136)*$S136))^$W136))</f>
        <v>41.099999997060998</v>
      </c>
      <c r="BV136" s="378">
        <f>$R136/(1+($V136*(('Traffic Data'!AG55*(0.67/14))/(($I136)*$S136))^$W136))</f>
        <v>41.099999996769824</v>
      </c>
      <c r="BW136" s="620">
        <f>$R136/(1+($V136*(('Traffic Data'!AH55*(0.67/14))/(($I136)*$S136))^$W136))</f>
        <v>41.099999996452944</v>
      </c>
    </row>
    <row r="137" spans="1:75" ht="21.9" customHeight="1" x14ac:dyDescent="0.25">
      <c r="A137" s="617"/>
      <c r="C137" s="1327"/>
      <c r="D137" s="114" t="s">
        <v>282</v>
      </c>
      <c r="E137" s="114" t="s">
        <v>321</v>
      </c>
      <c r="F137" s="550">
        <f>'Traffic Data'!CM54</f>
        <v>0.83333333333333337</v>
      </c>
      <c r="G137" s="550">
        <f>'Traffic Data'!CN54</f>
        <v>0.88</v>
      </c>
      <c r="H137" s="143">
        <f>'Traffic Data'!G56</f>
        <v>40</v>
      </c>
      <c r="I137" s="143">
        <v>4</v>
      </c>
      <c r="J137" s="143">
        <f t="shared" si="12"/>
        <v>47</v>
      </c>
      <c r="K137" s="143">
        <v>0</v>
      </c>
      <c r="L137" s="143">
        <v>2.5</v>
      </c>
      <c r="M137" s="143">
        <v>0</v>
      </c>
      <c r="N137" s="143">
        <v>1.8</v>
      </c>
      <c r="O137" s="143">
        <v>1.6</v>
      </c>
      <c r="P137" s="143">
        <v>0</v>
      </c>
      <c r="Q137" s="143">
        <v>0</v>
      </c>
      <c r="R137" s="171">
        <f t="shared" si="13"/>
        <v>41.1</v>
      </c>
      <c r="S137" s="551">
        <f>M$25*F137*G137</f>
        <v>1356.6666666666667</v>
      </c>
      <c r="T137" s="552">
        <v>0.12</v>
      </c>
      <c r="U137" s="553">
        <v>0.65</v>
      </c>
      <c r="V137" s="554">
        <f t="shared" si="10"/>
        <v>0.2</v>
      </c>
      <c r="W137" s="225">
        <v>10</v>
      </c>
      <c r="X137" s="377">
        <f>$R137/(1+($V137*(('Traffic Data'!J56*$T137*$U137)/(($I137/2)*$S137))^$W137))</f>
        <v>41.1</v>
      </c>
      <c r="Y137" s="378">
        <f>$R137/(1+($V137*(('Traffic Data'!K56*$T137*$U137)/(($I137/2)*$S137))^$W137))</f>
        <v>41.1</v>
      </c>
      <c r="Z137" s="378">
        <f>$R137/(1+($V137*(('Traffic Data'!L56*$T137*$U137)/(($I137/2)*$S137))^$W137))</f>
        <v>41.1</v>
      </c>
      <c r="AA137" s="378">
        <f>$R137/(1+($V137*(('Traffic Data'!M56*$T137*$U137)/(($I137/2)*$S137))^$W137))</f>
        <v>41.099999999994417</v>
      </c>
      <c r="AB137" s="378">
        <f>$R137/(1+($V137*(('Traffic Data'!N56*$T137*$U137)/(($I137/2)*$S137))^$W137))</f>
        <v>41.099999999537111</v>
      </c>
      <c r="AC137" s="378">
        <f>$R137/(1+($V137*(('Traffic Data'!O56*$T137*$U137)/(($I137/2)*$S137))^$W137))</f>
        <v>41.099999990190398</v>
      </c>
      <c r="AD137" s="378">
        <f>$R137/(1+($V137*(('Traffic Data'!P56*$T137*$U137)/(($I137/2)*$S137))^$W137))</f>
        <v>41.099999898693142</v>
      </c>
      <c r="AE137" s="378">
        <f>$R137/(1+($V137*(('Traffic Data'!Q56*$T137*$U137)/(($I137/2)*$S137))^$W137))</f>
        <v>41.099999327050369</v>
      </c>
      <c r="AF137" s="378">
        <f>$R137/(1+($V137*(('Traffic Data'!R56*$T137*$U137)/(($I137/2)*$S137))^$W137))</f>
        <v>41.099997653760163</v>
      </c>
      <c r="AG137" s="378">
        <f>$R137/(1+($V137*(('Traffic Data'!S56*$T137*$U137)/(($I137/2)*$S137))^$W137))</f>
        <v>41.099992878726958</v>
      </c>
      <c r="AH137" s="378">
        <f>$R137/(1+($V137*(('Traffic Data'!T56*$T137*$U137)/(($I137/2)*$S137))^$W137))</f>
        <v>41.099980660356351</v>
      </c>
      <c r="AI137" s="378">
        <f>$R137/(1+($V137*(('Traffic Data'!U56*$T137*$U137)/(($I137/2)*$S137))^$W137))</f>
        <v>41.099952037621648</v>
      </c>
      <c r="AJ137" s="378">
        <f>$R137/(1+($V137*(('Traffic Data'!V56*$T137*$U137)/(($I137/2)*$S137))^$W137))</f>
        <v>41.099889604819737</v>
      </c>
      <c r="AK137" s="378">
        <f>$R137/(1+($V137*(('Traffic Data'!W56*$T137*$U137)/(($I137/2)*$S137))^$W137))</f>
        <v>41.099837147249247</v>
      </c>
      <c r="AL137" s="378">
        <f>$R137/(1+($V137*(('Traffic Data'!X56*$T137*$U137)/(($I137/2)*$S137))^$W137))</f>
        <v>41.099819433478061</v>
      </c>
      <c r="AM137" s="378">
        <f>$R137/(1+($V137*(('Traffic Data'!Y56*$T137*$U137)/(($I137/2)*$S137))^$W137))</f>
        <v>41.099800004112645</v>
      </c>
      <c r="AN137" s="378">
        <f>$R137/(1+($V137*(('Traffic Data'!Z56*$T137*$U137)/(($I137/2)*$S137))^$W137))</f>
        <v>41.099778713017592</v>
      </c>
      <c r="AO137" s="378">
        <f>$R137/(1+($V137*(('Traffic Data'!AA56*$T137*$U137)/(($I137/2)*$S137))^$W137))</f>
        <v>41.099755333487764</v>
      </c>
      <c r="AP137" s="378">
        <f>$R137/(1+($V137*(('Traffic Data'!AB56*$T137*$U137)/(($I137/2)*$S137))^$W137))</f>
        <v>41.099729830227254</v>
      </c>
      <c r="AQ137" s="378">
        <f>$R137/(1+($V137*(('Traffic Data'!AC56*$T137*$U137)/(($I137/2)*$S137))^$W137))</f>
        <v>41.099701875520481</v>
      </c>
      <c r="AR137" s="378">
        <f>$R137/(1+($V137*(('Traffic Data'!AD56*$T137*$U137)/(($I137/2)*$S137))^$W137))</f>
        <v>41.099671435026814</v>
      </c>
      <c r="AS137" s="378">
        <f>$R137/(1+($V137*(('Traffic Data'!AE56*$T137*$U137)/(($I137/2)*$S137))^$W137))</f>
        <v>41.099638225218428</v>
      </c>
      <c r="AT137" s="378">
        <f>$R137/(1+($V137*(('Traffic Data'!AF56*$T137*$U137)/(($I137/2)*$S137))^$W137))</f>
        <v>41.099601916217836</v>
      </c>
      <c r="AU137" s="378">
        <f>$R137/(1+($V137*(('Traffic Data'!AG56*$T137*$U137)/(($I137/2)*$S137))^$W137))</f>
        <v>41.099562477650608</v>
      </c>
      <c r="AV137" s="378">
        <f>$R137/(1+($V137*(('Traffic Data'!AH56*$T137*$U137)/(($I137/2)*$S137))^$W137))</f>
        <v>41.099519556825001</v>
      </c>
      <c r="AW137" s="350">
        <f>$R137/(1+($V137*(('Traffic Data'!AI56*$T137*$U137)/(($I137/2)*$S137))^$W137))</f>
        <v>41.099472743791047</v>
      </c>
      <c r="AX137" s="377">
        <f>$R137/(1+($V137*(('Traffic Data'!J56*(0.67/14))/(($I137)*$S137))^$W137))</f>
        <v>41.1</v>
      </c>
      <c r="AY137" s="378">
        <f>$R137/(1+($V137*(('Traffic Data'!J56*(0.67/14))/(($I137)*$S137))^$W137))</f>
        <v>41.1</v>
      </c>
      <c r="AZ137" s="378">
        <f>$R137/(1+($V137*(('Traffic Data'!K56*(0.67/14))/(($I137)*$S137))^$W137))</f>
        <v>41.1</v>
      </c>
      <c r="BA137" s="378">
        <f>$R137/(1+($V137*(('Traffic Data'!L56*(0.67/14))/(($I137)*$S137))^$W137))</f>
        <v>41.1</v>
      </c>
      <c r="BB137" s="378">
        <f>$R137/(1+($V137*(('Traffic Data'!M56*(0.67/14))/(($I137)*$S137))^$W137))</f>
        <v>41.1</v>
      </c>
      <c r="BC137" s="378">
        <f>$R137/(1+($V137*(('Traffic Data'!N56*(0.67/14))/(($I137)*$S137))^$W137))</f>
        <v>41.1</v>
      </c>
      <c r="BD137" s="378">
        <f>$R137/(1+($V137*(('Traffic Data'!O56*(0.67/14))/(($I137)*$S137))^$W137))</f>
        <v>41.09999999999993</v>
      </c>
      <c r="BE137" s="378">
        <f>$R137/(1+($V137*(('Traffic Data'!P56*(0.67/14))/(($I137)*$S137))^$W137))</f>
        <v>41.099999999999255</v>
      </c>
      <c r="BF137" s="378">
        <f>$R137/(1+($V137*(('Traffic Data'!Q56*(0.67/14))/(($I137)*$S137))^$W137))</f>
        <v>41.099999999995035</v>
      </c>
      <c r="BG137" s="378">
        <f>$R137/(1+($V137*(('Traffic Data'!R56*(0.67/14))/(($I137)*$S137))^$W137))</f>
        <v>41.099999999982678</v>
      </c>
      <c r="BH137" s="378">
        <f>$R137/(1+($V137*(('Traffic Data'!S56*(0.67/14))/(($I137)*$S137))^$W137))</f>
        <v>41.099999999947428</v>
      </c>
      <c r="BI137" s="378">
        <f>$R137/(1+($V137*(('Traffic Data'!T56*(0.67/14))/(($I137)*$S137))^$W137))</f>
        <v>41.099999999857225</v>
      </c>
      <c r="BJ137" s="378">
        <f>$R137/(1+($V137*(('Traffic Data'!U56*(0.67/14))/(($I137)*$S137))^$W137))</f>
        <v>41.099999999645902</v>
      </c>
      <c r="BK137" s="378">
        <f>$R137/(1+($V137*(('Traffic Data'!V56*(0.67/14))/(($I137)*$S137))^$W137))</f>
        <v>41.099999999184973</v>
      </c>
      <c r="BL137" s="378">
        <f>$R137/(1+($V137*(('Traffic Data'!W56*(0.67/14))/(($I137)*$S137))^$W137))</f>
        <v>41.099999998797685</v>
      </c>
      <c r="BM137" s="378">
        <f>$R137/(1+($V137*(('Traffic Data'!X56*(0.67/14))/(($I137)*$S137))^$W137))</f>
        <v>41.09999999866691</v>
      </c>
      <c r="BN137" s="378">
        <f>$R137/(1+($V137*(('Traffic Data'!Y56*(0.67/14))/(($I137)*$S137))^$W137))</f>
        <v>41.099999998523465</v>
      </c>
      <c r="BO137" s="378">
        <f>$R137/(1+($V137*(('Traffic Data'!Z56*(0.67/14))/(($I137)*$S137))^$W137))</f>
        <v>41.099999998366279</v>
      </c>
      <c r="BP137" s="378">
        <f>$R137/(1+($V137*(('Traffic Data'!AA56*(0.67/14))/(($I137)*$S137))^$W137))</f>
        <v>41.099999998193667</v>
      </c>
      <c r="BQ137" s="378">
        <f>$R137/(1+($V137*(('Traffic Data'!AB56*(0.67/14))/(($I137)*$S137))^$W137))</f>
        <v>41.09999999800538</v>
      </c>
      <c r="BR137" s="378">
        <f>$R137/(1+($V137*(('Traffic Data'!AC56*(0.67/14))/(($I137)*$S137))^$W137))</f>
        <v>41.099999997798982</v>
      </c>
      <c r="BS137" s="378">
        <f>$R137/(1+($V137*(('Traffic Data'!AD56*(0.67/14))/(($I137)*$S137))^$W137))</f>
        <v>41.099999997574244</v>
      </c>
      <c r="BT137" s="378">
        <f>$R137/(1+($V137*(('Traffic Data'!AE56*(0.67/14))/(($I137)*$S137))^$W137))</f>
        <v>41.099999997329064</v>
      </c>
      <c r="BU137" s="378">
        <f>$R137/(1+($V137*(('Traffic Data'!AF56*(0.67/14))/(($I137)*$S137))^$W137))</f>
        <v>41.099999997060998</v>
      </c>
      <c r="BV137" s="378">
        <f>$R137/(1+($V137*(('Traffic Data'!AG56*(0.67/14))/(($I137)*$S137))^$W137))</f>
        <v>41.099999996769824</v>
      </c>
      <c r="BW137" s="620">
        <f>$R137/(1+($V137*(('Traffic Data'!AH56*(0.67/14))/(($I137)*$S137))^$W137))</f>
        <v>41.099999996452944</v>
      </c>
    </row>
    <row r="138" spans="1:75" ht="21.9" customHeight="1" x14ac:dyDescent="0.25">
      <c r="A138" s="617"/>
      <c r="C138" s="1327"/>
      <c r="D138" s="114" t="s">
        <v>321</v>
      </c>
      <c r="E138" s="114" t="s">
        <v>274</v>
      </c>
      <c r="F138" s="550">
        <f>'Traffic Data'!CM54</f>
        <v>0.83333333333333337</v>
      </c>
      <c r="G138" s="550">
        <f>'Traffic Data'!CN54</f>
        <v>0.88</v>
      </c>
      <c r="H138" s="556">
        <f>'Traffic Data'!G57</f>
        <v>40</v>
      </c>
      <c r="I138" s="556">
        <v>4</v>
      </c>
      <c r="J138" s="556">
        <f t="shared" si="12"/>
        <v>47</v>
      </c>
      <c r="K138" s="143">
        <v>0</v>
      </c>
      <c r="L138" s="143">
        <v>2.5</v>
      </c>
      <c r="M138" s="143">
        <v>0</v>
      </c>
      <c r="N138" s="143">
        <v>1.8</v>
      </c>
      <c r="O138" s="143">
        <v>1.6</v>
      </c>
      <c r="P138" s="143">
        <v>0</v>
      </c>
      <c r="Q138" s="143">
        <v>0</v>
      </c>
      <c r="R138" s="249">
        <f t="shared" si="13"/>
        <v>41.1</v>
      </c>
      <c r="S138" s="561">
        <f>M$25*F138*G138</f>
        <v>1356.6666666666667</v>
      </c>
      <c r="T138" s="562">
        <v>0.12</v>
      </c>
      <c r="U138" s="563">
        <v>0.65</v>
      </c>
      <c r="V138" s="564">
        <f t="shared" si="10"/>
        <v>0.2</v>
      </c>
      <c r="W138" s="227">
        <v>10</v>
      </c>
      <c r="X138" s="381">
        <f>$R138/(1+($V138*(('Traffic Data'!J57*$T138*$U138)/(($I138/2)*$S138))^$W138))</f>
        <v>41.1</v>
      </c>
      <c r="Y138" s="351">
        <f>$R138/(1+($V138*(('Traffic Data'!K57*$T138*$U138)/(($I138/2)*$S138))^$W138))</f>
        <v>41.1</v>
      </c>
      <c r="Z138" s="351">
        <f>$R138/(1+($V138*(('Traffic Data'!L57*$T138*$U138)/(($I138/2)*$S138))^$W138))</f>
        <v>41.1</v>
      </c>
      <c r="AA138" s="351">
        <f>$R138/(1+($V138*(('Traffic Data'!M57*$T138*$U138)/(($I138/2)*$S138))^$W138))</f>
        <v>41.1</v>
      </c>
      <c r="AB138" s="351">
        <f>$R138/(1+($V138*(('Traffic Data'!N57*$T138*$U138)/(($I138/2)*$S138))^$W138))</f>
        <v>41.099999999999916</v>
      </c>
      <c r="AC138" s="351">
        <f>$R138/(1+($V138*(('Traffic Data'!O57*$T138*$U138)/(($I138/2)*$S138))^$W138))</f>
        <v>41.099999999999042</v>
      </c>
      <c r="AD138" s="351">
        <f>$R138/(1+($V138*(('Traffic Data'!P57*$T138*$U138)/(($I138/2)*$S138))^$W138))</f>
        <v>41.099999999993258</v>
      </c>
      <c r="AE138" s="351">
        <f>$R138/(1+($V138*(('Traffic Data'!Q57*$T138*$U138)/(($I138/2)*$S138))^$W138))</f>
        <v>41.099999999965384</v>
      </c>
      <c r="AF138" s="351">
        <f>$R138/(1+($V138*(('Traffic Data'!R57*$T138*$U138)/(($I138/2)*$S138))^$W138))</f>
        <v>41.099999999512207</v>
      </c>
      <c r="AG138" s="351">
        <f>$R138/(1+($V138*(('Traffic Data'!S57*$T138*$U138)/(($I138/2)*$S138))^$W138))</f>
        <v>41.099999996060035</v>
      </c>
      <c r="AH138" s="351">
        <f>$R138/(1+($V138*(('Traffic Data'!T57*$T138*$U138)/(($I138/2)*$S138))^$W138))</f>
        <v>41.099999977831814</v>
      </c>
      <c r="AI138" s="351">
        <f>$R138/(1+($V138*(('Traffic Data'!U57*$T138*$U138)/(($I138/2)*$S138))^$W138))</f>
        <v>41.099999903291348</v>
      </c>
      <c r="AJ138" s="351">
        <f>$R138/(1+($V138*(('Traffic Data'!V57*$T138*$U138)/(($I138/2)*$S138))^$W138))</f>
        <v>41.099999651008645</v>
      </c>
      <c r="AK138" s="351">
        <f>$R138/(1+($V138*(('Traffic Data'!W57*$T138*$U138)/(($I138/2)*$S138))^$W138))</f>
        <v>41.099999185294806</v>
      </c>
      <c r="AL138" s="351">
        <f>$R138/(1+($V138*(('Traffic Data'!X57*$T138*$U138)/(($I138/2)*$S138))^$W138))</f>
        <v>41.09999900029122</v>
      </c>
      <c r="AM138" s="351">
        <f>$R138/(1+($V138*(('Traffic Data'!Y57*$T138*$U138)/(($I138/2)*$S138))^$W138))</f>
        <v>41.099998778300879</v>
      </c>
      <c r="AN138" s="351">
        <f>$R138/(1+($V138*(('Traffic Data'!Z57*$T138*$U138)/(($I138/2)*$S138))^$W138))</f>
        <v>41.099998512890906</v>
      </c>
      <c r="AO138" s="351">
        <f>$R138/(1+($V138*(('Traffic Data'!AA57*$T138*$U138)/(($I138/2)*$S138))^$W138))</f>
        <v>41.099998197702412</v>
      </c>
      <c r="AP138" s="351">
        <f>$R138/(1+($V138*(('Traffic Data'!AB57*$T138*$U138)/(($I138/2)*$S138))^$W138))</f>
        <v>41.099997822392055</v>
      </c>
      <c r="AQ138" s="351">
        <f>$R138/(1+($V138*(('Traffic Data'!AC57*$T138*$U138)/(($I138/2)*$S138))^$W138))</f>
        <v>41.099997379597283</v>
      </c>
      <c r="AR138" s="351">
        <f>$R138/(1+($V138*(('Traffic Data'!AD57*$T138*$U138)/(($I138/2)*$S138))^$W138))</f>
        <v>41.099996855651483</v>
      </c>
      <c r="AS138" s="351">
        <f>$R138/(1+($V138*(('Traffic Data'!AE57*$T138*$U138)/(($I138/2)*$S138))^$W138))</f>
        <v>41.099996239235494</v>
      </c>
      <c r="AT138" s="351">
        <f>$R138/(1+($V138*(('Traffic Data'!AF57*$T138*$U138)/(($I138/2)*$S138))^$W138))</f>
        <v>41.099995518460808</v>
      </c>
      <c r="AU138" s="351">
        <f>$R138/(1+($V138*(('Traffic Data'!AG57*$T138*$U138)/(($I138/2)*$S138))^$W138))</f>
        <v>41.099994672920644</v>
      </c>
      <c r="AV138" s="351">
        <f>$R138/(1+($V138*(('Traffic Data'!AH57*$T138*$U138)/(($I138/2)*$S138))^$W138))</f>
        <v>41.099993686418372</v>
      </c>
      <c r="AW138" s="352">
        <f>$R138/(1+($V138*(('Traffic Data'!AI57*$T138*$U138)/(($I138/2)*$S138))^$W138))</f>
        <v>41.0999925421455</v>
      </c>
      <c r="AX138" s="377">
        <f>$R138/(1+($V138*(('Traffic Data'!J57*(0.67/14))/(($I138)*$S138))^$W138))</f>
        <v>41.1</v>
      </c>
      <c r="AY138" s="351">
        <f>$R138/(1+($V138*(('Traffic Data'!J57*(0.67/14))/(($I138)*$S138))^$W138))</f>
        <v>41.1</v>
      </c>
      <c r="AZ138" s="351">
        <f>$R138/(1+($V138*(('Traffic Data'!K57*(0.67/14))/(($I138)*$S138))^$W138))</f>
        <v>41.1</v>
      </c>
      <c r="BA138" s="351">
        <f>$R138/(1+($V138*(('Traffic Data'!L57*(0.67/14))/(($I138)*$S138))^$W138))</f>
        <v>41.1</v>
      </c>
      <c r="BB138" s="351">
        <f>$R138/(1+($V138*(('Traffic Data'!M57*(0.67/14))/(($I138)*$S138))^$W138))</f>
        <v>41.1</v>
      </c>
      <c r="BC138" s="351">
        <f>$R138/(1+($V138*(('Traffic Data'!N57*(0.67/14))/(($I138)*$S138))^$W138))</f>
        <v>41.1</v>
      </c>
      <c r="BD138" s="351">
        <f>$R138/(1+($V138*(('Traffic Data'!O57*(0.67/14))/(($I138)*$S138))^$W138))</f>
        <v>41.1</v>
      </c>
      <c r="BE138" s="351">
        <f>$R138/(1+($V138*(('Traffic Data'!P57*(0.67/14))/(($I138)*$S138))^$W138))</f>
        <v>41.1</v>
      </c>
      <c r="BF138" s="351">
        <f>$R138/(1+($V138*(('Traffic Data'!Q57*(0.67/14))/(($I138)*$S138))^$W138))</f>
        <v>41.1</v>
      </c>
      <c r="BG138" s="351">
        <f>$R138/(1+($V138*(('Traffic Data'!R57*(0.67/14))/(($I138)*$S138))^$W138))</f>
        <v>41.1</v>
      </c>
      <c r="BH138" s="351">
        <f>$R138/(1+($V138*(('Traffic Data'!S57*(0.67/14))/(($I138)*$S138))^$W138))</f>
        <v>41.099999999999973</v>
      </c>
      <c r="BI138" s="351">
        <f>$R138/(1+($V138*(('Traffic Data'!T57*(0.67/14))/(($I138)*$S138))^$W138))</f>
        <v>41.099999999999838</v>
      </c>
      <c r="BJ138" s="351">
        <f>$R138/(1+($V138*(('Traffic Data'!U57*(0.67/14))/(($I138)*$S138))^$W138))</f>
        <v>41.099999999999291</v>
      </c>
      <c r="BK138" s="351">
        <f>$R138/(1+($V138*(('Traffic Data'!V57*(0.67/14))/(($I138)*$S138))^$W138))</f>
        <v>41.099999999997429</v>
      </c>
      <c r="BL138" s="351">
        <f>$R138/(1+($V138*(('Traffic Data'!W57*(0.67/14))/(($I138)*$S138))^$W138))</f>
        <v>41.09999999999399</v>
      </c>
      <c r="BM138" s="351">
        <f>$R138/(1+($V138*(('Traffic Data'!X57*(0.67/14))/(($I138)*$S138))^$W138))</f>
        <v>41.099999999992619</v>
      </c>
      <c r="BN138" s="351">
        <f>$R138/(1+($V138*(('Traffic Data'!Y57*(0.67/14))/(($I138)*$S138))^$W138))</f>
        <v>41.099999999990985</v>
      </c>
      <c r="BO138" s="351">
        <f>$R138/(1+($V138*(('Traffic Data'!Z57*(0.67/14))/(($I138)*$S138))^$W138))</f>
        <v>41.099999999989024</v>
      </c>
      <c r="BP138" s="351">
        <f>$R138/(1+($V138*(('Traffic Data'!AA57*(0.67/14))/(($I138)*$S138))^$W138))</f>
        <v>41.099999999986693</v>
      </c>
      <c r="BQ138" s="351">
        <f>$R138/(1+($V138*(('Traffic Data'!AB57*(0.67/14))/(($I138)*$S138))^$W138))</f>
        <v>41.099999999983922</v>
      </c>
      <c r="BR138" s="351">
        <f>$R138/(1+($V138*(('Traffic Data'!AC57*(0.67/14))/(($I138)*$S138))^$W138))</f>
        <v>41.099999999980653</v>
      </c>
      <c r="BS138" s="351">
        <f>$R138/(1+($V138*(('Traffic Data'!AD57*(0.67/14))/(($I138)*$S138))^$W138))</f>
        <v>41.099999999976788</v>
      </c>
      <c r="BT138" s="351">
        <f>$R138/(1+($V138*(('Traffic Data'!AE57*(0.67/14))/(($I138)*$S138))^$W138))</f>
        <v>41.099999999972241</v>
      </c>
      <c r="BU138" s="351">
        <f>$R138/(1+($V138*(('Traffic Data'!AF57*(0.67/14))/(($I138)*$S138))^$W138))</f>
        <v>41.099999999966919</v>
      </c>
      <c r="BV138" s="351">
        <f>$R138/(1+($V138*(('Traffic Data'!AG57*(0.67/14))/(($I138)*$S138))^$W138))</f>
        <v>41.099999999960666</v>
      </c>
      <c r="BW138" s="623">
        <f>$R138/(1+($V138*(('Traffic Data'!AH57*(0.67/14))/(($I138)*$S138))^$W138))</f>
        <v>41.099999999953383</v>
      </c>
    </row>
    <row r="139" spans="1:75" ht="21.9" customHeight="1" x14ac:dyDescent="0.25">
      <c r="A139" s="617"/>
      <c r="C139" s="273" t="s">
        <v>282</v>
      </c>
      <c r="D139" s="273" t="s">
        <v>308</v>
      </c>
      <c r="E139" s="273" t="s">
        <v>324</v>
      </c>
      <c r="F139" s="565">
        <f>'Traffic Data'!CM58</f>
        <v>0.83333333333333337</v>
      </c>
      <c r="G139" s="565">
        <f>'Traffic Data'!CN58</f>
        <v>0.88</v>
      </c>
      <c r="H139" s="566">
        <f>'Traffic Data'!G58</f>
        <v>30</v>
      </c>
      <c r="I139" s="566">
        <v>4</v>
      </c>
      <c r="J139" s="566">
        <f t="shared" si="12"/>
        <v>37</v>
      </c>
      <c r="K139" s="556">
        <v>0</v>
      </c>
      <c r="L139" s="556">
        <v>5</v>
      </c>
      <c r="M139" s="566">
        <v>0</v>
      </c>
      <c r="N139" s="556">
        <v>3.6</v>
      </c>
      <c r="O139" s="556">
        <v>1.6</v>
      </c>
      <c r="P139" s="556">
        <v>0</v>
      </c>
      <c r="Q139" s="556">
        <v>0</v>
      </c>
      <c r="R139" s="251">
        <f t="shared" si="13"/>
        <v>26.799999999999997</v>
      </c>
      <c r="S139" s="557">
        <f>M$28*G139*F139</f>
        <v>1246.6666666666667</v>
      </c>
      <c r="T139" s="558">
        <v>0.12</v>
      </c>
      <c r="U139" s="559">
        <v>0.65</v>
      </c>
      <c r="V139" s="573">
        <f t="shared" ref="V139" si="14">$E$32</f>
        <v>0.05</v>
      </c>
      <c r="W139" s="226">
        <v>10</v>
      </c>
      <c r="X139" s="382">
        <f>$R139/(1+($V139*(('Traffic Data'!J58*$T139*$U139)/(($I139/2)*$S139))^$W139))</f>
        <v>26.799999999999567</v>
      </c>
      <c r="Y139" s="353">
        <f>$R139/(1+($V139*(('Traffic Data'!K58*$T139*$U139)/(($I139/2)*$S139))^$W139))</f>
        <v>26.799999999999219</v>
      </c>
      <c r="Z139" s="353">
        <f>$R139/(1+($V139*(('Traffic Data'!L58*$T139*$U139)/(($I139/2)*$S139))^$W139))</f>
        <v>26.799999999998366</v>
      </c>
      <c r="AA139" s="353">
        <f>$R139/(1+($V139*(('Traffic Data'!M58*$T139*$U139)/(($I139/2)*$S139))^$W139))</f>
        <v>26.799999999995961</v>
      </c>
      <c r="AB139" s="353">
        <f>$R139/(1+($V139*(('Traffic Data'!N58*$T139*$U139)/(($I139/2)*$S139))^$W139))</f>
        <v>26.799999999990757</v>
      </c>
      <c r="AC139" s="353">
        <f>$R139/(1+($V139*(('Traffic Data'!O58*$T139*$U139)/(($I139/2)*$S139))^$W139))</f>
        <v>26.799999999980091</v>
      </c>
      <c r="AD139" s="353">
        <f>$R139/(1+($V139*(('Traffic Data'!P58*$T139*$U139)/(($I139/2)*$S139))^$W139))</f>
        <v>26.799999999959471</v>
      </c>
      <c r="AE139" s="353">
        <f>$R139/(1+($V139*(('Traffic Data'!Q58*$T139*$U139)/(($I139/2)*$S139))^$W139))</f>
        <v>26.799999999921233</v>
      </c>
      <c r="AF139" s="353">
        <f>$R139/(1+($V139*(('Traffic Data'!R58*$T139*$U139)/(($I139/2)*$S139))^$W139))</f>
        <v>26.799999999860773</v>
      </c>
      <c r="AG139" s="353">
        <f>$R139/(1+($V139*(('Traffic Data'!S58*$T139*$U139)/(($I139/2)*$S139))^$W139))</f>
        <v>26.799999999761447</v>
      </c>
      <c r="AH139" s="353">
        <f>$R139/(1+($V139*(('Traffic Data'!T58*$T139*$U139)/(($I139/2)*$S139))^$W139))</f>
        <v>26.799999999602182</v>
      </c>
      <c r="AI139" s="353">
        <f>$R139/(1+($V139*(('Traffic Data'!U58*$T139*$U139)/(($I139/2)*$S139))^$W139))</f>
        <v>26.799999999352895</v>
      </c>
      <c r="AJ139" s="353">
        <f>$R139/(1+($V139*(('Traffic Data'!V58*$T139*$U139)/(($I139/2)*$S139))^$W139))</f>
        <v>26.799999998969248</v>
      </c>
      <c r="AK139" s="353">
        <f>$R139/(1+($V139*(('Traffic Data'!W58*$T139*$U139)/(($I139/2)*$S139))^$W139))</f>
        <v>26.799999998573885</v>
      </c>
      <c r="AL139" s="353">
        <f>$R139/(1+($V139*(('Traffic Data'!X58*$T139*$U139)/(($I139/2)*$S139))^$W139))</f>
        <v>26.799999998132481</v>
      </c>
      <c r="AM139" s="353">
        <f>$R139/(1+($V139*(('Traffic Data'!Y58*$T139*$U139)/(($I139/2)*$S139))^$W139))</f>
        <v>26.799999997571717</v>
      </c>
      <c r="AN139" s="353">
        <f>$R139/(1+($V139*(('Traffic Data'!Z58*$T139*$U139)/(($I139/2)*$S139))^$W139))</f>
        <v>26.799999996863708</v>
      </c>
      <c r="AO139" s="353">
        <f>$R139/(1+($V139*(('Traffic Data'!AA58*$T139*$U139)/(($I139/2)*$S139))^$W139))</f>
        <v>26.79999999597397</v>
      </c>
      <c r="AP139" s="353">
        <f>$R139/(1+($V139*(('Traffic Data'!AB58*$T139*$U139)/(($I139/2)*$S139))^$W139))</f>
        <v>26.799999994864507</v>
      </c>
      <c r="AQ139" s="353">
        <f>$R139/(1+($V139*(('Traffic Data'!AC58*$T139*$U139)/(($I139/2)*$S139))^$W139))</f>
        <v>26.799999993483365</v>
      </c>
      <c r="AR139" s="353">
        <f>$R139/(1+($V139*(('Traffic Data'!AD58*$T139*$U139)/(($I139/2)*$S139))^$W139))</f>
        <v>26.799999991781061</v>
      </c>
      <c r="AS139" s="353">
        <f>$R139/(1+($V139*(('Traffic Data'!AE58*$T139*$U139)/(($I139/2)*$S139))^$W139))</f>
        <v>26.799999989688505</v>
      </c>
      <c r="AT139" s="353">
        <f>$R139/(1+($V139*(('Traffic Data'!AF58*$T139*$U139)/(($I139/2)*$S139))^$W139))</f>
        <v>26.799999987125041</v>
      </c>
      <c r="AU139" s="353">
        <f>$R139/(1+($V139*(('Traffic Data'!AG58*$T139*$U139)/(($I139/2)*$S139))^$W139))</f>
        <v>26.799999984005353</v>
      </c>
      <c r="AV139" s="353">
        <f>$R139/(1+($V139*(('Traffic Data'!AH58*$T139*$U139)/(($I139/2)*$S139))^$W139))</f>
        <v>26.799999980221095</v>
      </c>
      <c r="AW139" s="354">
        <f>$R139/(1+($V139*(('Traffic Data'!AI58*$T139*$U139)/(($I139/2)*$S139))^$W139))</f>
        <v>26.799999975637043</v>
      </c>
      <c r="AX139" s="377">
        <f>$R139/(1+($V139*(('Traffic Data'!J58*(0.67/14))/(($I139)*$S139))^$W139))</f>
        <v>26.799999999999997</v>
      </c>
      <c r="AY139" s="353">
        <f>$R139/(1+($V139*(('Traffic Data'!J58*(0.67/14))/(($I139)*$S139))^$W139))</f>
        <v>26.799999999999997</v>
      </c>
      <c r="AZ139" s="353">
        <f>$R139/(1+($V139*(('Traffic Data'!K58*(0.67/14))/(($I139)*$S139))^$W139))</f>
        <v>26.799999999999997</v>
      </c>
      <c r="BA139" s="353">
        <f>$R139/(1+($V139*(('Traffic Data'!L58*(0.67/14))/(($I139)*$S139))^$W139))</f>
        <v>26.799999999999997</v>
      </c>
      <c r="BB139" s="353">
        <f>$R139/(1+($V139*(('Traffic Data'!M58*(0.67/14))/(($I139)*$S139))^$W139))</f>
        <v>26.799999999999997</v>
      </c>
      <c r="BC139" s="353">
        <f>$R139/(1+($V139*(('Traffic Data'!N58*(0.67/14))/(($I139)*$S139))^$W139))</f>
        <v>26.799999999999997</v>
      </c>
      <c r="BD139" s="353">
        <f>$R139/(1+($V139*(('Traffic Data'!O58*(0.67/14))/(($I139)*$S139))^$W139))</f>
        <v>26.799999999999997</v>
      </c>
      <c r="BE139" s="353">
        <f>$R139/(1+($V139*(('Traffic Data'!P58*(0.67/14))/(($I139)*$S139))^$W139))</f>
        <v>26.799999999999997</v>
      </c>
      <c r="BF139" s="353">
        <f>$R139/(1+($V139*(('Traffic Data'!Q58*(0.67/14))/(($I139)*$S139))^$W139))</f>
        <v>26.799999999999997</v>
      </c>
      <c r="BG139" s="353">
        <f>$R139/(1+($V139*(('Traffic Data'!R58*(0.67/14))/(($I139)*$S139))^$W139))</f>
        <v>26.799999999999997</v>
      </c>
      <c r="BH139" s="353">
        <f>$R139/(1+($V139*(('Traffic Data'!S58*(0.67/14))/(($I139)*$S139))^$W139))</f>
        <v>26.799999999999997</v>
      </c>
      <c r="BI139" s="353">
        <f>$R139/(1+($V139*(('Traffic Data'!T58*(0.67/14))/(($I139)*$S139))^$W139))</f>
        <v>26.799999999999997</v>
      </c>
      <c r="BJ139" s="353">
        <f>$R139/(1+($V139*(('Traffic Data'!U58*(0.67/14))/(($I139)*$S139))^$W139))</f>
        <v>26.79999999999999</v>
      </c>
      <c r="BK139" s="353">
        <f>$R139/(1+($V139*(('Traffic Data'!V58*(0.67/14))/(($I139)*$S139))^$W139))</f>
        <v>26.79999999999999</v>
      </c>
      <c r="BL139" s="353">
        <f>$R139/(1+($V139*(('Traffic Data'!W58*(0.67/14))/(($I139)*$S139))^$W139))</f>
        <v>26.799999999999986</v>
      </c>
      <c r="BM139" s="353">
        <f>$R139/(1+($V139*(('Traffic Data'!X58*(0.67/14))/(($I139)*$S139))^$W139))</f>
        <v>26.799999999999986</v>
      </c>
      <c r="BN139" s="353">
        <f>$R139/(1+($V139*(('Traffic Data'!Y58*(0.67/14))/(($I139)*$S139))^$W139))</f>
        <v>26.799999999999979</v>
      </c>
      <c r="BO139" s="353">
        <f>$R139/(1+($V139*(('Traffic Data'!Z58*(0.67/14))/(($I139)*$S139))^$W139))</f>
        <v>26.799999999999972</v>
      </c>
      <c r="BP139" s="353">
        <f>$R139/(1+($V139*(('Traffic Data'!AA58*(0.67/14))/(($I139)*$S139))^$W139))</f>
        <v>26.799999999999969</v>
      </c>
      <c r="BQ139" s="353">
        <f>$R139/(1+($V139*(('Traffic Data'!AB58*(0.67/14))/(($I139)*$S139))^$W139))</f>
        <v>26.799999999999962</v>
      </c>
      <c r="BR139" s="353">
        <f>$R139/(1+($V139*(('Traffic Data'!AC58*(0.67/14))/(($I139)*$S139))^$W139))</f>
        <v>26.799999999999951</v>
      </c>
      <c r="BS139" s="353">
        <f>$R139/(1+($V139*(('Traffic Data'!AD58*(0.67/14))/(($I139)*$S139))^$W139))</f>
        <v>26.799999999999937</v>
      </c>
      <c r="BT139" s="353">
        <f>$R139/(1+($V139*(('Traffic Data'!AE58*(0.67/14))/(($I139)*$S139))^$W139))</f>
        <v>26.799999999999919</v>
      </c>
      <c r="BU139" s="353">
        <f>$R139/(1+($V139*(('Traffic Data'!AF58*(0.67/14))/(($I139)*$S139))^$W139))</f>
        <v>26.799999999999901</v>
      </c>
      <c r="BV139" s="353">
        <f>$R139/(1+($V139*(('Traffic Data'!AG58*(0.67/14))/(($I139)*$S139))^$W139))</f>
        <v>26.79999999999988</v>
      </c>
      <c r="BW139" s="624">
        <f>$R139/(1+($V139*(('Traffic Data'!AH58*(0.67/14))/(($I139)*$S139))^$W139))</f>
        <v>26.799999999999848</v>
      </c>
    </row>
    <row r="140" spans="1:75" ht="21.9" customHeight="1" x14ac:dyDescent="0.25">
      <c r="A140" s="617"/>
      <c r="C140" s="217" t="s">
        <v>321</v>
      </c>
      <c r="D140" s="217" t="s">
        <v>318</v>
      </c>
      <c r="E140" s="217" t="s">
        <v>308</v>
      </c>
      <c r="F140" s="571">
        <f>'Traffic Data'!CM59</f>
        <v>0.83333333333333337</v>
      </c>
      <c r="G140" s="571">
        <f>'Traffic Data'!CN59</f>
        <v>0.88</v>
      </c>
      <c r="H140" s="566">
        <f>'Traffic Data'!G59</f>
        <v>40</v>
      </c>
      <c r="I140" s="572">
        <v>2</v>
      </c>
      <c r="J140" s="566">
        <f t="shared" si="12"/>
        <v>47</v>
      </c>
      <c r="K140" s="566">
        <v>1.3</v>
      </c>
      <c r="L140" s="566">
        <v>2.5</v>
      </c>
      <c r="M140" s="572">
        <v>0</v>
      </c>
      <c r="N140" s="556">
        <v>0</v>
      </c>
      <c r="O140" s="556">
        <v>0</v>
      </c>
      <c r="P140" s="556">
        <v>0</v>
      </c>
      <c r="Q140" s="556">
        <v>0</v>
      </c>
      <c r="R140" s="251">
        <f t="shared" si="13"/>
        <v>43.2</v>
      </c>
      <c r="S140" s="557">
        <f>F140*G140*N25</f>
        <v>586.66666666666674</v>
      </c>
      <c r="T140" s="558">
        <v>0.12</v>
      </c>
      <c r="U140" s="559">
        <v>0.65</v>
      </c>
      <c r="V140" s="554">
        <f t="shared" ref="V140:V147" si="15">$E$31</f>
        <v>0.2</v>
      </c>
      <c r="W140" s="226">
        <v>10</v>
      </c>
      <c r="X140" s="377">
        <f>$R140/(1+($V140*(('Traffic Data'!J59*$T140*$U140)/(($I140/2)*$S140))^$W140))</f>
        <v>43.2</v>
      </c>
      <c r="Y140" s="378">
        <f>$R140/(1+($V140*(('Traffic Data'!K59*$T140*$U140)/(($I140/2)*$S140))^$W140))</f>
        <v>43.199990330030204</v>
      </c>
      <c r="Z140" s="378">
        <f>$R140/(1+($V140*(('Traffic Data'!L59*$T140*$U140)/(($I140/2)*$S140))^$W140))</f>
        <v>43.199979760255054</v>
      </c>
      <c r="AA140" s="378">
        <f>$R140/(1+($V140*(('Traffic Data'!M59*$T140*$U140)/(($I140/2)*$S140))^$W140))</f>
        <v>43.199950014587102</v>
      </c>
      <c r="AB140" s="378">
        <f>$R140/(1+($V140*(('Traffic Data'!N59*$T140*$U140)/(($I140/2)*$S140))^$W140))</f>
        <v>43.199885444897205</v>
      </c>
      <c r="AC140" s="378">
        <f>$R140/(1+($V140*(('Traffic Data'!O59*$T140*$U140)/(($I140/2)*$S140))^$W140))</f>
        <v>43.199753237319761</v>
      </c>
      <c r="AD140" s="378">
        <f>$R140/(1+($V140*(('Traffic Data'!P59*$T140*$U140)/(($I140/2)*$S140))^$W140))</f>
        <v>43.199497603129608</v>
      </c>
      <c r="AE140" s="378">
        <f>$R140/(1+($V140*(('Traffic Data'!Q59*$T140*$U140)/(($I140/2)*$S140))^$W140))</f>
        <v>43.19902363971034</v>
      </c>
      <c r="AF140" s="378">
        <f>$R140/(1+($V140*(('Traffic Data'!R59*$T140*$U140)/(($I140/2)*$S140))^$W140))</f>
        <v>43.198274180462398</v>
      </c>
      <c r="AG140" s="378">
        <f>$R140/(1+($V140*(('Traffic Data'!S59*$T140*$U140)/(($I140/2)*$S140))^$W140))</f>
        <v>43.19704302831186</v>
      </c>
      <c r="AH140" s="378">
        <f>$R140/(1+($V140*(('Traffic Data'!T59*$T140*$U140)/(($I140/2)*$S140))^$W140))</f>
        <v>43.195069012007146</v>
      </c>
      <c r="AI140" s="378">
        <f>$R140/(1+($V140*(('Traffic Data'!U59*$T140*$U140)/(($I140/2)*$S140))^$W140))</f>
        <v>43.191979721263735</v>
      </c>
      <c r="AJ140" s="378">
        <f>$R140/(1+($V140*(('Traffic Data'!V59*$T140*$U140)/(($I140/2)*$S140))^$W140))</f>
        <v>43.18722613893847</v>
      </c>
      <c r="AK140" s="378">
        <f>$R140/(1+($V140*(('Traffic Data'!W59*$T140*$U140)/(($I140/2)*$S140))^$W140))</f>
        <v>43.182328446363329</v>
      </c>
      <c r="AL140" s="378">
        <f>$R140/(1+($V140*(('Traffic Data'!X59*$T140*$U140)/(($I140/2)*$S140))^$W140))</f>
        <v>43.176861788383917</v>
      </c>
      <c r="AM140" s="378">
        <f>$R140/(1+($V140*(('Traffic Data'!Y59*$T140*$U140)/(($I140/2)*$S140))^$W140))</f>
        <v>43.169918825549892</v>
      </c>
      <c r="AN140" s="378">
        <f>$R140/(1+($V140*(('Traffic Data'!Z59*$T140*$U140)/(($I140/2)*$S140))^$W140))</f>
        <v>43.161156026624681</v>
      </c>
      <c r="AO140" s="378">
        <f>$R140/(1+($V140*(('Traffic Data'!AA59*$T140*$U140)/(($I140/2)*$S140))^$W140))</f>
        <v>43.150149020332186</v>
      </c>
      <c r="AP140" s="378">
        <f>$R140/(1+($V140*(('Traffic Data'!AB59*$T140*$U140)/(($I140/2)*$S140))^$W140))</f>
        <v>43.136431732267205</v>
      </c>
      <c r="AQ140" s="378">
        <f>$R140/(1+($V140*(('Traffic Data'!AC59*$T140*$U140)/(($I140/2)*$S140))^$W140))</f>
        <v>43.119367470146734</v>
      </c>
      <c r="AR140" s="378">
        <f>$R140/(1+($V140*(('Traffic Data'!AD59*$T140*$U140)/(($I140/2)*$S140))^$W140))</f>
        <v>43.098353906779693</v>
      </c>
      <c r="AS140" s="378">
        <f>$R140/(1+($V140*(('Traffic Data'!AE59*$T140*$U140)/(($I140/2)*$S140))^$W140))</f>
        <v>43.072550992571571</v>
      </c>
      <c r="AT140" s="378">
        <f>$R140/(1+($V140*(('Traffic Data'!AF59*$T140*$U140)/(($I140/2)*$S140))^$W140))</f>
        <v>43.040983438076388</v>
      </c>
      <c r="AU140" s="378">
        <f>$R140/(1+($V140*(('Traffic Data'!AG59*$T140*$U140)/(($I140/2)*$S140))^$W140))</f>
        <v>43.002628709380055</v>
      </c>
      <c r="AV140" s="378">
        <f>$R140/(1+($V140*(('Traffic Data'!AH59*$T140*$U140)/(($I140/2)*$S140))^$W140))</f>
        <v>42.95619509044262</v>
      </c>
      <c r="AW140" s="350">
        <f>$R140/(1+($V140*(('Traffic Data'!AI59*$T140*$U140)/(($I140/2)*$S140))^$W140))</f>
        <v>42.900081988991758</v>
      </c>
      <c r="AX140" s="382">
        <f>$R140/(1+($V140*(('Traffic Data'!J59*(0.67/14))/(($I140)*$S140))^$W140))</f>
        <v>43.2</v>
      </c>
      <c r="AY140" s="378">
        <f>$R140/(1+($V140*(('Traffic Data'!J59*(0.67/14))/(($I140)*$S140))^$W140))</f>
        <v>43.2</v>
      </c>
      <c r="AZ140" s="378">
        <f>$R140/(1+($V140*(('Traffic Data'!K59*(0.67/14))/(($I140)*$S140))^$W140))</f>
        <v>43.199999999928608</v>
      </c>
      <c r="BA140" s="378">
        <f>$R140/(1+($V140*(('Traffic Data'!L59*(0.67/14))/(($I140)*$S140))^$W140))</f>
        <v>43.199999999850576</v>
      </c>
      <c r="BB140" s="378">
        <f>$R140/(1+($V140*(('Traffic Data'!M59*(0.67/14))/(($I140)*$S140))^$W140))</f>
        <v>43.199999999630968</v>
      </c>
      <c r="BC140" s="378">
        <f>$R140/(1+($V140*(('Traffic Data'!N59*(0.67/14))/(($I140)*$S140))^$W140))</f>
        <v>43.199999999154265</v>
      </c>
      <c r="BD140" s="378">
        <f>$R140/(1+($V140*(('Traffic Data'!O59*(0.67/14))/(($I140)*$S140))^$W140))</f>
        <v>43.199999998178193</v>
      </c>
      <c r="BE140" s="378">
        <f>$R140/(1+($V140*(('Traffic Data'!P59*(0.67/14))/(($I140)*$S140))^$W140))</f>
        <v>43.199999996290863</v>
      </c>
      <c r="BF140" s="378">
        <f>$R140/(1+($V140*(('Traffic Data'!Q59*(0.67/14))/(($I140)*$S140))^$W140))</f>
        <v>43.199999992791561</v>
      </c>
      <c r="BG140" s="378">
        <f>$R140/(1+($V140*(('Traffic Data'!R59*(0.67/14))/(($I140)*$S140))^$W140))</f>
        <v>43.199999987258096</v>
      </c>
      <c r="BH140" s="378">
        <f>$R140/(1+($V140*(('Traffic Data'!S59*(0.67/14))/(($I140)*$S140))^$W140))</f>
        <v>43.199999978167753</v>
      </c>
      <c r="BI140" s="378">
        <f>$R140/(1+($V140*(('Traffic Data'!T59*(0.67/14))/(($I140)*$S140))^$W140))</f>
        <v>43.199999963591303</v>
      </c>
      <c r="BJ140" s="378">
        <f>$R140/(1+($V140*(('Traffic Data'!U59*(0.67/14))/(($I140)*$S140))^$W140))</f>
        <v>43.199999940776813</v>
      </c>
      <c r="BK140" s="378">
        <f>$R140/(1+($V140*(('Traffic Data'!V59*(0.67/14))/(($I140)*$S140))^$W140))</f>
        <v>43.199999905665116</v>
      </c>
      <c r="BL140" s="378">
        <f>$R140/(1+($V140*(('Traffic Data'!W59*(0.67/14))/(($I140)*$S140))^$W140))</f>
        <v>43.199999869480891</v>
      </c>
      <c r="BM140" s="378">
        <f>$R140/(1+($V140*(('Traffic Data'!X59*(0.67/14))/(($I140)*$S140))^$W140))</f>
        <v>43.199999829083445</v>
      </c>
      <c r="BN140" s="378">
        <f>$R140/(1+($V140*(('Traffic Data'!Y59*(0.67/14))/(($I140)*$S140))^$W140))</f>
        <v>43.199999777761661</v>
      </c>
      <c r="BO140" s="378">
        <f>$R140/(1+($V140*(('Traffic Data'!Z59*(0.67/14))/(($I140)*$S140))^$W140))</f>
        <v>43.199999712964242</v>
      </c>
      <c r="BP140" s="378">
        <f>$R140/(1+($V140*(('Traffic Data'!AA59*(0.67/14))/(($I140)*$S140))^$W140))</f>
        <v>43.19999963153451</v>
      </c>
      <c r="BQ140" s="378">
        <f>$R140/(1+($V140*(('Traffic Data'!AB59*(0.67/14))/(($I140)*$S140))^$W140))</f>
        <v>43.199999529995971</v>
      </c>
      <c r="BR140" s="378">
        <f>$R140/(1+($V140*(('Traffic Data'!AC59*(0.67/14))/(($I140)*$S140))^$W140))</f>
        <v>43.19999940359218</v>
      </c>
      <c r="BS140" s="378">
        <f>$R140/(1+($V140*(('Traffic Data'!AD59*(0.67/14))/(($I140)*$S140))^$W140))</f>
        <v>43.199999247796356</v>
      </c>
      <c r="BT140" s="378">
        <f>$R140/(1+($V140*(('Traffic Data'!AE59*(0.67/14))/(($I140)*$S140))^$W140))</f>
        <v>43.199999056284071</v>
      </c>
      <c r="BU140" s="378">
        <f>$R140/(1+($V140*(('Traffic Data'!AF59*(0.67/14))/(($I140)*$S140))^$W140))</f>
        <v>43.199998821673638</v>
      </c>
      <c r="BV140" s="378">
        <f>$R140/(1+($V140*(('Traffic Data'!AG59*(0.67/14))/(($I140)*$S140))^$W140))</f>
        <v>43.199998536157359</v>
      </c>
      <c r="BW140" s="620">
        <f>$R140/(1+($V140*(('Traffic Data'!AH59*(0.67/14))/(($I140)*$S140))^$W140))</f>
        <v>43.199998189818778</v>
      </c>
    </row>
    <row r="141" spans="1:75" ht="21.9" customHeight="1" x14ac:dyDescent="0.25">
      <c r="A141" s="617"/>
      <c r="C141" s="273" t="s">
        <v>333</v>
      </c>
      <c r="D141" s="273" t="s">
        <v>319</v>
      </c>
      <c r="E141" s="273" t="s">
        <v>308</v>
      </c>
      <c r="F141" s="565">
        <f>'Traffic Data'!CM60</f>
        <v>0.83333333333333337</v>
      </c>
      <c r="G141" s="565">
        <f>'Traffic Data'!CN60</f>
        <v>0.88</v>
      </c>
      <c r="H141" s="566">
        <f>'Traffic Data'!G60</f>
        <v>30</v>
      </c>
      <c r="I141" s="566">
        <v>2</v>
      </c>
      <c r="J141" s="566">
        <f t="shared" si="12"/>
        <v>37</v>
      </c>
      <c r="K141" s="556">
        <v>2.6</v>
      </c>
      <c r="L141" s="556">
        <v>2.5</v>
      </c>
      <c r="M141" s="566">
        <v>0</v>
      </c>
      <c r="N141" s="556">
        <v>0</v>
      </c>
      <c r="O141" s="556">
        <v>0</v>
      </c>
      <c r="P141" s="556">
        <v>0</v>
      </c>
      <c r="Q141" s="556">
        <v>0</v>
      </c>
      <c r="R141" s="251">
        <f t="shared" si="13"/>
        <v>31.9</v>
      </c>
      <c r="S141" s="567">
        <f>F141*G141*N$27</f>
        <v>586.66666666666674</v>
      </c>
      <c r="T141" s="568">
        <v>0.12</v>
      </c>
      <c r="U141" s="569">
        <v>0.65</v>
      </c>
      <c r="V141" s="573">
        <f t="shared" si="15"/>
        <v>0.2</v>
      </c>
      <c r="W141" s="570">
        <v>10</v>
      </c>
      <c r="X141" s="382">
        <f>$R141/(1+($V141*(('Traffic Data'!J60*$T141*$U141)/(($I141/2)*$S141))^$W141))</f>
        <v>31.89597447271742</v>
      </c>
      <c r="Y141" s="353">
        <f>$R141/(1+($V141*(('Traffic Data'!K60*$T141*$U141)/(($I141/2)*$S141))^$W141))</f>
        <v>31.895386397882593</v>
      </c>
      <c r="Z141" s="353">
        <f>$R141/(1+($V141*(('Traffic Data'!L60*$T141*$U141)/(($I141/2)*$S141))^$W141))</f>
        <v>31.894185286739393</v>
      </c>
      <c r="AA141" s="353">
        <f>$R141/(1+($V141*(('Traffic Data'!M60*$T141*$U141)/(($I141/2)*$S141))^$W141))</f>
        <v>31.892078650684784</v>
      </c>
      <c r="AB141" s="353">
        <f>$R141/(1+($V141*(('Traffic Data'!N60*$T141*$U141)/(($I141/2)*$S141))^$W141))</f>
        <v>31.88930731133809</v>
      </c>
      <c r="AC141" s="353">
        <f>$R141/(1+($V141*(('Traffic Data'!O60*$T141*$U141)/(($I141/2)*$S141))^$W141))</f>
        <v>31.885686476842388</v>
      </c>
      <c r="AD141" s="353">
        <f>$R141/(1+($V141*(('Traffic Data'!P60*$T141*$U141)/(($I141/2)*$S141))^$W141))</f>
        <v>31.881007933094075</v>
      </c>
      <c r="AE141" s="353">
        <f>$R141/(1+($V141*(('Traffic Data'!Q60*$T141*$U141)/(($I141/2)*$S141))^$W141))</f>
        <v>31.874972954449184</v>
      </c>
      <c r="AF141" s="353">
        <f>$R141/(1+($V141*(('Traffic Data'!R60*$T141*$U141)/(($I141/2)*$S141))^$W141))</f>
        <v>31.869828344256412</v>
      </c>
      <c r="AG141" s="353">
        <f>$R141/(1+($V141*(('Traffic Data'!S60*$T141*$U141)/(($I141/2)*$S141))^$W141))</f>
        <v>31.863751242752929</v>
      </c>
      <c r="AH141" s="353">
        <f>$R141/(1+($V141*(('Traffic Data'!T60*$T141*$U141)/(($I141/2)*$S141))^$W141))</f>
        <v>31.856594693279405</v>
      </c>
      <c r="AI141" s="353">
        <f>$R141/(1+($V141*(('Traffic Data'!U60*$T141*$U141)/(($I141/2)*$S141))^$W141))</f>
        <v>31.848195379185306</v>
      </c>
      <c r="AJ141" s="353">
        <f>$R141/(1+($V141*(('Traffic Data'!V60*$T141*$U141)/(($I141/2)*$S141))^$W141))</f>
        <v>31.838288419997181</v>
      </c>
      <c r="AK141" s="353">
        <f>$R141/(1+($V141*(('Traffic Data'!W60*$T141*$U141)/(($I141/2)*$S141))^$W141))</f>
        <v>31.831543198799192</v>
      </c>
      <c r="AL141" s="353">
        <f>$R141/(1+($V141*(('Traffic Data'!X60*$T141*$U141)/(($I141/2)*$S141))^$W141))</f>
        <v>31.824143432118834</v>
      </c>
      <c r="AM141" s="353">
        <f>$R141/(1+($V141*(('Traffic Data'!Y60*$T141*$U141)/(($I141/2)*$S141))^$W141))</f>
        <v>31.816033679455259</v>
      </c>
      <c r="AN141" s="353">
        <f>$R141/(1+($V141*(('Traffic Data'!Z60*$T141*$U141)/(($I141/2)*$S141))^$W141))</f>
        <v>31.807154522338521</v>
      </c>
      <c r="AO141" s="353">
        <f>$R141/(1+($V141*(('Traffic Data'!AA60*$T141*$U141)/(($I141/2)*$S141))^$W141))</f>
        <v>31.797372495361824</v>
      </c>
      <c r="AP141" s="353">
        <f>$R141/(1+($V141*(('Traffic Data'!AB60*$T141*$U141)/(($I141/2)*$S141))^$W141))</f>
        <v>31.786752785984007</v>
      </c>
      <c r="AQ141" s="353">
        <f>$R141/(1+($V141*(('Traffic Data'!AC60*$T141*$U141)/(($I141/2)*$S141))^$W141))</f>
        <v>31.775112203344161</v>
      </c>
      <c r="AR141" s="353">
        <f>$R141/(1+($V141*(('Traffic Data'!AD60*$T141*$U141)/(($I141/2)*$S141))^$W141))</f>
        <v>31.762461949675718</v>
      </c>
      <c r="AS141" s="353">
        <f>$R141/(1+($V141*(('Traffic Data'!AE60*$T141*$U141)/(($I141/2)*$S141))^$W141))</f>
        <v>31.748676495119984</v>
      </c>
      <c r="AT141" s="353">
        <f>$R141/(1+($V141*(('Traffic Data'!AF60*$T141*$U141)/(($I141/2)*$S141))^$W141))</f>
        <v>31.733559842314076</v>
      </c>
      <c r="AU141" s="353">
        <f>$R141/(1+($V141*(('Traffic Data'!AG60*$T141*$U141)/(($I141/2)*$S141))^$W141))</f>
        <v>31.717223968705103</v>
      </c>
      <c r="AV141" s="353">
        <f>$R141/(1+($V141*(('Traffic Data'!AH60*$T141*$U141)/(($I141/2)*$S141))^$W141))</f>
        <v>31.699469923924529</v>
      </c>
      <c r="AW141" s="354">
        <f>$R141/(1+($V141*(('Traffic Data'!AI60*$T141*$U141)/(($I141/2)*$S141))^$W141))</f>
        <v>31.68011430277004</v>
      </c>
      <c r="AX141" s="377">
        <f>$R141/(1+($V141*(('Traffic Data'!J60*(0.67/14))/(($I141)*$S141))^$W141))</f>
        <v>31.899999970276543</v>
      </c>
      <c r="AY141" s="353">
        <f>$R141/(1+($V141*(('Traffic Data'!J60*(0.67/14))/(($I141)*$S141))^$W141))</f>
        <v>31.899999970276543</v>
      </c>
      <c r="AZ141" s="353">
        <f>$R141/(1+($V141*(('Traffic Data'!K60*(0.67/14))/(($I141)*$S141))^$W141))</f>
        <v>31.899999965933727</v>
      </c>
      <c r="BA141" s="353">
        <f>$R141/(1+($V141*(('Traffic Data'!L60*(0.67/14))/(($I141)*$S141))^$W141))</f>
        <v>31.899999957063251</v>
      </c>
      <c r="BB141" s="353">
        <f>$R141/(1+($V141*(('Traffic Data'!M60*(0.67/14))/(($I141)*$S141))^$W141))</f>
        <v>31.899999941503655</v>
      </c>
      <c r="BC141" s="353">
        <f>$R141/(1+($V141*(('Traffic Data'!N60*(0.67/14))/(($I141)*$S141))^$W141))</f>
        <v>31.899999921031441</v>
      </c>
      <c r="BD141" s="353">
        <f>$R141/(1+($V141*(('Traffic Data'!O60*(0.67/14))/(($I141)*$S141))^$W141))</f>
        <v>31.89999989427854</v>
      </c>
      <c r="BE141" s="353">
        <f>$R141/(1+($V141*(('Traffic Data'!P60*(0.67/14))/(($I141)*$S141))^$W141))</f>
        <v>31.899999859701655</v>
      </c>
      <c r="BF141" s="353">
        <f>$R141/(1+($V141*(('Traffic Data'!Q60*(0.67/14))/(($I141)*$S141))^$W141))</f>
        <v>31.899999815085007</v>
      </c>
      <c r="BG141" s="353">
        <f>$R141/(1+($V141*(('Traffic Data'!R60*(0.67/14))/(($I141)*$S141))^$W141))</f>
        <v>31.899999777037518</v>
      </c>
      <c r="BH141" s="353">
        <f>$R141/(1+($V141*(('Traffic Data'!S60*(0.67/14))/(($I141)*$S141))^$W141))</f>
        <v>31.899999732077866</v>
      </c>
      <c r="BI141" s="353">
        <f>$R141/(1+($V141*(('Traffic Data'!T60*(0.67/14))/(($I141)*$S141))^$W141))</f>
        <v>31.899999679110248</v>
      </c>
      <c r="BJ141" s="353">
        <f>$R141/(1+($V141*(('Traffic Data'!U60*(0.67/14))/(($I141)*$S141))^$W141))</f>
        <v>31.899999616914211</v>
      </c>
      <c r="BK141" s="353">
        <f>$R141/(1+($V141*(('Traffic Data'!V60*(0.67/14))/(($I141)*$S141))^$W141))</f>
        <v>31.899999543512052</v>
      </c>
      <c r="BL141" s="353">
        <f>$R141/(1+($V141*(('Traffic Data'!W60*(0.67/14))/(($I141)*$S141))^$W141))</f>
        <v>31.899999493509537</v>
      </c>
      <c r="BM141" s="353">
        <f>$R141/(1+($V141*(('Traffic Data'!X60*(0.67/14))/(($I141)*$S141))^$W141))</f>
        <v>31.899999438630484</v>
      </c>
      <c r="BN141" s="353">
        <f>$R141/(1+($V141*(('Traffic Data'!Y60*(0.67/14))/(($I141)*$S141))^$W141))</f>
        <v>31.899999378456616</v>
      </c>
      <c r="BO141" s="353">
        <f>$R141/(1+($V141*(('Traffic Data'!Z60*(0.67/14))/(($I141)*$S141))^$W141))</f>
        <v>31.899999312538629</v>
      </c>
      <c r="BP141" s="353">
        <f>$R141/(1+($V141*(('Traffic Data'!AA60*(0.67/14))/(($I141)*$S141))^$W141))</f>
        <v>31.899999239875214</v>
      </c>
      <c r="BQ141" s="353">
        <f>$R141/(1+($V141*(('Traffic Data'!AB60*(0.67/14))/(($I141)*$S141))^$W141))</f>
        <v>31.899999160938641</v>
      </c>
      <c r="BR141" s="353">
        <f>$R141/(1+($V141*(('Traffic Data'!AC60*(0.67/14))/(($I141)*$S141))^$W141))</f>
        <v>31.899999074353271</v>
      </c>
      <c r="BS141" s="353">
        <f>$R141/(1+($V141*(('Traffic Data'!AD60*(0.67/14))/(($I141)*$S141))^$W141))</f>
        <v>31.899998980185782</v>
      </c>
      <c r="BT141" s="353">
        <f>$R141/(1+($V141*(('Traffic Data'!AE60*(0.67/14))/(($I141)*$S141))^$W141))</f>
        <v>31.899998877482499</v>
      </c>
      <c r="BU141" s="353">
        <f>$R141/(1+($V141*(('Traffic Data'!AF60*(0.67/14))/(($I141)*$S141))^$W141))</f>
        <v>31.899998764759058</v>
      </c>
      <c r="BV141" s="353">
        <f>$R141/(1+($V141*(('Traffic Data'!AG60*(0.67/14))/(($I141)*$S141))^$W141))</f>
        <v>31.899998642823206</v>
      </c>
      <c r="BW141" s="624">
        <f>$R141/(1+($V141*(('Traffic Data'!AH60*(0.67/14))/(($I141)*$S141))^$W141))</f>
        <v>31.899998510159186</v>
      </c>
    </row>
    <row r="142" spans="1:75" ht="21.9" customHeight="1" x14ac:dyDescent="0.25">
      <c r="A142" s="617"/>
      <c r="C142" s="114" t="s">
        <v>319</v>
      </c>
      <c r="D142" s="114" t="s">
        <v>276</v>
      </c>
      <c r="E142" s="114" t="s">
        <v>333</v>
      </c>
      <c r="F142" s="550">
        <f>'Traffic Data'!CM61</f>
        <v>0.83333333333333337</v>
      </c>
      <c r="G142" s="550">
        <f>'Traffic Data'!CN61</f>
        <v>0.9</v>
      </c>
      <c r="H142" s="143">
        <f>'Traffic Data'!G61</f>
        <v>55</v>
      </c>
      <c r="I142" s="143">
        <v>4</v>
      </c>
      <c r="J142" s="143">
        <f t="shared" si="12"/>
        <v>62</v>
      </c>
      <c r="K142" s="143">
        <v>0</v>
      </c>
      <c r="L142" s="143">
        <v>2.5</v>
      </c>
      <c r="M142" s="143">
        <v>0</v>
      </c>
      <c r="N142" s="143">
        <v>3.6</v>
      </c>
      <c r="O142" s="143">
        <v>0</v>
      </c>
      <c r="P142" s="143">
        <v>0</v>
      </c>
      <c r="Q142" s="143">
        <v>0</v>
      </c>
      <c r="R142" s="171">
        <f t="shared" si="13"/>
        <v>55.9</v>
      </c>
      <c r="S142" s="551">
        <f>F142*G142*M$22</f>
        <v>1575</v>
      </c>
      <c r="T142" s="552">
        <v>0.12</v>
      </c>
      <c r="U142" s="553">
        <v>0.65</v>
      </c>
      <c r="V142" s="554">
        <f t="shared" si="15"/>
        <v>0.2</v>
      </c>
      <c r="W142" s="225">
        <v>10</v>
      </c>
      <c r="X142" s="377">
        <f>$R142/(1+($V142*(('Traffic Data'!J61*$T142*$U142)/(($I142/2)*$S142))^$W142))</f>
        <v>55.89999031092723</v>
      </c>
      <c r="Y142" s="378">
        <f>$R142/(1+($V142*(('Traffic Data'!K61*$T142*$U142)/(($I142/2)*$S142))^$W142))</f>
        <v>55.899987126230656</v>
      </c>
      <c r="Z142" s="378">
        <f>$R142/(1+($V142*(('Traffic Data'!L61*$T142*$U142)/(($I142/2)*$S142))^$W142))</f>
        <v>55.899982643601014</v>
      </c>
      <c r="AA142" s="378">
        <f>$R142/(1+($V142*(('Traffic Data'!M61*$T142*$U142)/(($I142/2)*$S142))^$W142))</f>
        <v>55.899974541814309</v>
      </c>
      <c r="AB142" s="378">
        <f>$R142/(1+($V142*(('Traffic Data'!N61*$T142*$U142)/(($I142/2)*$S142))^$W142))</f>
        <v>55.899963180055515</v>
      </c>
      <c r="AC142" s="378">
        <f>$R142/(1+($V142*(('Traffic Data'!O61*$T142*$U142)/(($I142/2)*$S142))^$W142))</f>
        <v>55.899947434901584</v>
      </c>
      <c r="AD142" s="378">
        <f>$R142/(1+($V142*(('Traffic Data'!P61*$T142*$U142)/(($I142/2)*$S142))^$W142))</f>
        <v>55.899925884169683</v>
      </c>
      <c r="AE142" s="378">
        <f>$R142/(1+($V142*(('Traffic Data'!Q61*$T142*$U142)/(($I142/2)*$S142))^$W142))</f>
        <v>55.899896675024308</v>
      </c>
      <c r="AF142" s="378">
        <f>$R142/(1+($V142*(('Traffic Data'!R61*$T142*$U142)/(($I142/2)*$S142))^$W142))</f>
        <v>55.899852893582882</v>
      </c>
      <c r="AG142" s="378">
        <f>$R142/(1+($V142*(('Traffic Data'!S61*$T142*$U142)/(($I142/2)*$S142))^$W142))</f>
        <v>55.899793093538648</v>
      </c>
      <c r="AH142" s="378">
        <f>$R142/(1+($V142*(('Traffic Data'!T61*$T142*$U142)/(($I142/2)*$S142))^$W142))</f>
        <v>55.899712210031119</v>
      </c>
      <c r="AI142" s="378">
        <f>$R142/(1+($V142*(('Traffic Data'!U61*$T142*$U142)/(($I142/2)*$S142))^$W142))</f>
        <v>55.899603905138264</v>
      </c>
      <c r="AJ142" s="378">
        <f>$R142/(1+($V142*(('Traffic Data'!V61*$T142*$U142)/(($I142/2)*$S142))^$W142))</f>
        <v>55.89946011203655</v>
      </c>
      <c r="AK142" s="378">
        <f>$R142/(1+($V142*(('Traffic Data'!W61*$T142*$U142)/(($I142/2)*$S142))^$W142))</f>
        <v>55.899317897267252</v>
      </c>
      <c r="AL142" s="378">
        <f>$R142/(1+($V142*(('Traffic Data'!X61*$T142*$U142)/(($I142/2)*$S142))^$W142))</f>
        <v>55.89917794398319</v>
      </c>
      <c r="AM142" s="378">
        <f>$R142/(1+($V142*(('Traffic Data'!Y61*$T142*$U142)/(($I142/2)*$S142))^$W142))</f>
        <v>55.899012657530136</v>
      </c>
      <c r="AN142" s="378">
        <f>$R142/(1+($V142*(('Traffic Data'!Z61*$T142*$U142)/(($I142/2)*$S142))^$W142))</f>
        <v>55.898818040992687</v>
      </c>
      <c r="AO142" s="378">
        <f>$R142/(1+($V142*(('Traffic Data'!AA61*$T142*$U142)/(($I142/2)*$S142))^$W142))</f>
        <v>55.898589581962291</v>
      </c>
      <c r="AP142" s="378">
        <f>$R142/(1+($V142*(('Traffic Data'!AB61*$T142*$U142)/(($I142/2)*$S142))^$W142))</f>
        <v>55.898322092426035</v>
      </c>
      <c r="AQ142" s="378">
        <f>$R142/(1+($V142*(('Traffic Data'!AC61*$T142*$U142)/(($I142/2)*$S142))^$W142))</f>
        <v>55.898009818357338</v>
      </c>
      <c r="AR142" s="378">
        <f>$R142/(1+($V142*(('Traffic Data'!AD61*$T142*$U142)/(($I142/2)*$S142))^$W142))</f>
        <v>55.897646140733599</v>
      </c>
      <c r="AS142" s="378">
        <f>$R142/(1+($V142*(('Traffic Data'!AE61*$T142*$U142)/(($I142/2)*$S142))^$W142))</f>
        <v>55.897223711409815</v>
      </c>
      <c r="AT142" s="378">
        <f>$R142/(1+($V142*(('Traffic Data'!AF61*$T142*$U142)/(($I142/2)*$S142))^$W142))</f>
        <v>55.896734296175971</v>
      </c>
      <c r="AU142" s="378">
        <f>$R142/(1+($V142*(('Traffic Data'!AG61*$T142*$U142)/(($I142/2)*$S142))^$W142))</f>
        <v>55.896168499729342</v>
      </c>
      <c r="AV142" s="378">
        <f>$R142/(1+($V142*(('Traffic Data'!AH61*$T142*$U142)/(($I142/2)*$S142))^$W142))</f>
        <v>55.895515967253118</v>
      </c>
      <c r="AW142" s="350">
        <f>$R142/(1+($V142*(('Traffic Data'!AI61*$T142*$U142)/(($I142/2)*$S142))^$W142))</f>
        <v>55.894765161250419</v>
      </c>
      <c r="AX142" s="380">
        <f>$R142/(1+($V142*(('Traffic Data'!J61*(0.67/14))/(($I142)*$S142))^$W142))</f>
        <v>55.899999999928468</v>
      </c>
      <c r="AY142" s="378">
        <f>$R142/(1+($V142*(('Traffic Data'!J61*(0.67/14))/(($I142)*$S142))^$W142))</f>
        <v>55.899999999928468</v>
      </c>
      <c r="AZ142" s="378">
        <f>$R142/(1+($V142*(('Traffic Data'!K61*(0.67/14))/(($I142)*$S142))^$W142))</f>
        <v>55.899999999904956</v>
      </c>
      <c r="BA142" s="378">
        <f>$R142/(1+($V142*(('Traffic Data'!L61*(0.67/14))/(($I142)*$S142))^$W142))</f>
        <v>55.899999999871852</v>
      </c>
      <c r="BB142" s="378">
        <f>$R142/(1+($V142*(('Traffic Data'!M61*(0.67/14))/(($I142)*$S142))^$W142))</f>
        <v>55.899999999812053</v>
      </c>
      <c r="BC142" s="378">
        <f>$R142/(1+($V142*(('Traffic Data'!N61*(0.67/14))/(($I142)*$S142))^$W142))</f>
        <v>55.899999999728166</v>
      </c>
      <c r="BD142" s="378">
        <f>$R142/(1+($V142*(('Traffic Data'!O61*(0.67/14))/(($I142)*$S142))^$W142))</f>
        <v>55.899999999611914</v>
      </c>
      <c r="BE142" s="378">
        <f>$R142/(1+($V142*(('Traffic Data'!P61*(0.67/14))/(($I142)*$S142))^$W142))</f>
        <v>55.899999999452817</v>
      </c>
      <c r="BF142" s="378">
        <f>$R142/(1+($V142*(('Traffic Data'!Q61*(0.67/14))/(($I142)*$S142))^$W142))</f>
        <v>55.899999999237167</v>
      </c>
      <c r="BG142" s="378">
        <f>$R142/(1+($V142*(('Traffic Data'!R61*(0.67/14))/(($I142)*$S142))^$W142))</f>
        <v>55.899999998913934</v>
      </c>
      <c r="BH142" s="378">
        <f>$R142/(1+($V142*(('Traffic Data'!S61*(0.67/14))/(($I142)*$S142))^$W142))</f>
        <v>55.899999998472445</v>
      </c>
      <c r="BI142" s="378">
        <f>$R142/(1+($V142*(('Traffic Data'!T61*(0.67/14))/(($I142)*$S142))^$W142))</f>
        <v>55.899999997875284</v>
      </c>
      <c r="BJ142" s="378">
        <f>$R142/(1+($V142*(('Traffic Data'!U61*(0.67/14))/(($I142)*$S142))^$W142))</f>
        <v>55.899999997075689</v>
      </c>
      <c r="BK142" s="378">
        <f>$R142/(1+($V142*(('Traffic Data'!V61*(0.67/14))/(($I142)*$S142))^$W142))</f>
        <v>55.899999996014074</v>
      </c>
      <c r="BL142" s="378">
        <f>$R142/(1+($V142*(('Traffic Data'!W61*(0.67/14))/(($I142)*$S142))^$W142))</f>
        <v>55.899999994964105</v>
      </c>
      <c r="BM142" s="378">
        <f>$R142/(1+($V142*(('Traffic Data'!X61*(0.67/14))/(($I142)*$S142))^$W142))</f>
        <v>55.89999999393082</v>
      </c>
      <c r="BN142" s="378">
        <f>$R142/(1+($V142*(('Traffic Data'!Y61*(0.67/14))/(($I142)*$S142))^$W142))</f>
        <v>55.899999992710505</v>
      </c>
      <c r="BO142" s="378">
        <f>$R142/(1+($V142*(('Traffic Data'!Z61*(0.67/14))/(($I142)*$S142))^$W142))</f>
        <v>55.899999991273638</v>
      </c>
      <c r="BP142" s="378">
        <f>$R142/(1+($V142*(('Traffic Data'!AA61*(0.67/14))/(($I142)*$S142))^$W142))</f>
        <v>55.899999989586888</v>
      </c>
      <c r="BQ142" s="378">
        <f>$R142/(1+($V142*(('Traffic Data'!AB61*(0.67/14))/(($I142)*$S142))^$W142))</f>
        <v>55.899999987611956</v>
      </c>
      <c r="BR142" s="378">
        <f>$R142/(1+($V142*(('Traffic Data'!AC61*(0.67/14))/(($I142)*$S142))^$W142))</f>
        <v>55.899999985306337</v>
      </c>
      <c r="BS142" s="378">
        <f>$R142/(1+($V142*(('Traffic Data'!AD61*(0.67/14))/(($I142)*$S142))^$W142))</f>
        <v>55.899999982621175</v>
      </c>
      <c r="BT142" s="378">
        <f>$R142/(1+($V142*(('Traffic Data'!AE61*(0.67/14))/(($I142)*$S142))^$W142))</f>
        <v>55.899999979502162</v>
      </c>
      <c r="BU142" s="378">
        <f>$R142/(1+($V142*(('Traffic Data'!AF61*(0.67/14))/(($I142)*$S142))^$W142))</f>
        <v>55.89999997588852</v>
      </c>
      <c r="BV142" s="378">
        <f>$R142/(1+($V142*(('Traffic Data'!AG61*(0.67/14))/(($I142)*$S142))^$W142))</f>
        <v>55.89999997171082</v>
      </c>
      <c r="BW142" s="620">
        <f>$R142/(1+($V142*(('Traffic Data'!AH61*(0.67/14))/(($I142)*$S142))^$W142))</f>
        <v>55.89999996689258</v>
      </c>
    </row>
    <row r="143" spans="1:75" ht="21.9" customHeight="1" x14ac:dyDescent="0.25">
      <c r="A143" s="617"/>
      <c r="C143" s="114"/>
      <c r="D143" s="114" t="s">
        <v>333</v>
      </c>
      <c r="E143" s="114" t="s">
        <v>323</v>
      </c>
      <c r="F143" s="550">
        <f>'Traffic Data'!CM61</f>
        <v>0.83333333333333337</v>
      </c>
      <c r="G143" s="550">
        <f>'Traffic Data'!CN61</f>
        <v>0.9</v>
      </c>
      <c r="H143" s="143">
        <f>'Traffic Data'!G62</f>
        <v>55</v>
      </c>
      <c r="I143" s="143">
        <v>4</v>
      </c>
      <c r="J143" s="143">
        <f t="shared" si="12"/>
        <v>62</v>
      </c>
      <c r="K143" s="143">
        <v>0</v>
      </c>
      <c r="L143" s="143">
        <v>2.5</v>
      </c>
      <c r="M143" s="143">
        <v>0</v>
      </c>
      <c r="N143" s="143">
        <v>3.6</v>
      </c>
      <c r="O143" s="143">
        <v>0</v>
      </c>
      <c r="P143" s="143">
        <v>0</v>
      </c>
      <c r="Q143" s="143">
        <v>0</v>
      </c>
      <c r="R143" s="171">
        <f t="shared" si="13"/>
        <v>55.9</v>
      </c>
      <c r="S143" s="551">
        <f>F143*G143*M$22</f>
        <v>1575</v>
      </c>
      <c r="T143" s="552">
        <v>0.12</v>
      </c>
      <c r="U143" s="553">
        <v>0.65</v>
      </c>
      <c r="V143" s="554">
        <f t="shared" si="15"/>
        <v>0.2</v>
      </c>
      <c r="W143" s="225">
        <v>10</v>
      </c>
      <c r="X143" s="377">
        <f>$R143/(1+($V143*(('Traffic Data'!J62*$T143*$U143)/(($I143/2)*$S143))^$W143))</f>
        <v>55.899999377100173</v>
      </c>
      <c r="Y143" s="378">
        <f>$R143/(1+($V143*(('Traffic Data'!K62*$T143*$U143)/(($I143/2)*$S143))^$W143))</f>
        <v>55.899999175935712</v>
      </c>
      <c r="Z143" s="378">
        <f>$R143/(1+($V143*(('Traffic Data'!L62*$T143*$U143)/(($I143/2)*$S143))^$W143))</f>
        <v>55.899998885768397</v>
      </c>
      <c r="AA143" s="378">
        <f>$R143/(1+($V143*(('Traffic Data'!M62*$T143*$U143)/(($I143/2)*$S143))^$W143))</f>
        <v>55.899998323338593</v>
      </c>
      <c r="AB143" s="378">
        <f>$R143/(1+($V143*(('Traffic Data'!N62*$T143*$U143)/(($I143/2)*$S143))^$W143))</f>
        <v>55.89999751699942</v>
      </c>
      <c r="AC143" s="378">
        <f>$R143/(1+($V143*(('Traffic Data'!O62*$T143*$U143)/(($I143/2)*$S143))^$W143))</f>
        <v>55.899996376753322</v>
      </c>
      <c r="AD143" s="378">
        <f>$R143/(1+($V143*(('Traffic Data'!P62*$T143*$U143)/(($I143/2)*$S143))^$W143))</f>
        <v>55.899994785869225</v>
      </c>
      <c r="AE143" s="378">
        <f>$R143/(1+($V143*(('Traffic Data'!Q62*$T143*$U143)/(($I143/2)*$S143))^$W143))</f>
        <v>55.899992591639737</v>
      </c>
      <c r="AF143" s="378">
        <f>$R143/(1+($V143*(('Traffic Data'!R62*$T143*$U143)/(($I143/2)*$S143))^$W143))</f>
        <v>55.899989160499366</v>
      </c>
      <c r="AG143" s="378">
        <f>$R143/(1+($V143*(('Traffic Data'!S62*$T143*$U143)/(($I143/2)*$S143))^$W143))</f>
        <v>55.899984361973189</v>
      </c>
      <c r="AH143" s="378">
        <f>$R143/(1+($V143*(('Traffic Data'!T62*$T143*$U143)/(($I143/2)*$S143))^$W143))</f>
        <v>55.89997772701539</v>
      </c>
      <c r="AI143" s="378">
        <f>$R143/(1+($V143*(('Traffic Data'!U62*$T143*$U143)/(($I143/2)*$S143))^$W143))</f>
        <v>55.899968657929954</v>
      </c>
      <c r="AJ143" s="378">
        <f>$R143/(1+($V143*(('Traffic Data'!V62*$T143*$U143)/(($I143/2)*$S143))^$W143))</f>
        <v>55.899956388718934</v>
      </c>
      <c r="AK143" s="378">
        <f>$R143/(1+($V143*(('Traffic Data'!W62*$T143*$U143)/(($I143/2)*$S143))^$W143))</f>
        <v>55.899944617626161</v>
      </c>
      <c r="AL143" s="378">
        <f>$R143/(1+($V143*(('Traffic Data'!X62*$T143*$U143)/(($I143/2)*$S143))^$W143))</f>
        <v>55.899933723717304</v>
      </c>
      <c r="AM143" s="378">
        <f>$R143/(1+($V143*(('Traffic Data'!Y62*$T143*$U143)/(($I143/2)*$S143))^$W143))</f>
        <v>55.899920937788821</v>
      </c>
      <c r="AN143" s="378">
        <f>$R143/(1+($V143*(('Traffic Data'!Z62*$T143*$U143)/(($I143/2)*$S143))^$W143))</f>
        <v>55.89990597318905</v>
      </c>
      <c r="AO143" s="378">
        <f>$R143/(1+($V143*(('Traffic Data'!AA62*$T143*$U143)/(($I143/2)*$S143))^$W143))</f>
        <v>55.899888515566317</v>
      </c>
      <c r="AP143" s="378">
        <f>$R143/(1+($V143*(('Traffic Data'!AB62*$T143*$U143)/(($I143/2)*$S143))^$W143))</f>
        <v>55.899868181922834</v>
      </c>
      <c r="AQ143" s="378">
        <f>$R143/(1+($V143*(('Traffic Data'!AC62*$T143*$U143)/(($I143/2)*$S143))^$W143))</f>
        <v>55.899844582281716</v>
      </c>
      <c r="AR143" s="378">
        <f>$R143/(1+($V143*(('Traffic Data'!AD62*$T143*$U143)/(($I143/2)*$S143))^$W143))</f>
        <v>55.899817230912355</v>
      </c>
      <c r="AS143" s="378">
        <f>$R143/(1+($V143*(('Traffic Data'!AE62*$T143*$U143)/(($I143/2)*$S143))^$W143))</f>
        <v>55.899785621202099</v>
      </c>
      <c r="AT143" s="378">
        <f>$R143/(1+($V143*(('Traffic Data'!AF62*$T143*$U143)/(($I143/2)*$S143))^$W143))</f>
        <v>55.899749193635479</v>
      </c>
      <c r="AU143" s="378">
        <f>$R143/(1+($V143*(('Traffic Data'!AG62*$T143*$U143)/(($I143/2)*$S143))^$W143))</f>
        <v>55.89970726403952</v>
      </c>
      <c r="AV143" s="378">
        <f>$R143/(1+($V143*(('Traffic Data'!AH62*$T143*$U143)/(($I143/2)*$S143))^$W143))</f>
        <v>55.899659127910603</v>
      </c>
      <c r="AW143" s="350">
        <f>$R143/(1+($V143*(('Traffic Data'!AI62*$T143*$U143)/(($I143/2)*$S143))^$W143))</f>
        <v>55.899604011713457</v>
      </c>
      <c r="AX143" s="377">
        <f>$R143/(1+($V143*(('Traffic Data'!J62*(0.67/14))/(($I143)*$S143))^$W143))</f>
        <v>55.899999999995408</v>
      </c>
      <c r="AY143" s="378">
        <f>$R143/(1+($V143*(('Traffic Data'!J62*(0.67/14))/(($I143)*$S143))^$W143))</f>
        <v>55.899999999995408</v>
      </c>
      <c r="AZ143" s="378">
        <f>$R143/(1+($V143*(('Traffic Data'!K62*(0.67/14))/(($I143)*$S143))^$W143))</f>
        <v>55.899999999993916</v>
      </c>
      <c r="BA143" s="378">
        <f>$R143/(1+($V143*(('Traffic Data'!L62*(0.67/14))/(($I143)*$S143))^$W143))</f>
        <v>55.89999999999177</v>
      </c>
      <c r="BB143" s="378">
        <f>$R143/(1+($V143*(('Traffic Data'!M62*(0.67/14))/(($I143)*$S143))^$W143))</f>
        <v>55.899999999987621</v>
      </c>
      <c r="BC143" s="378">
        <f>$R143/(1+($V143*(('Traffic Data'!N62*(0.67/14))/(($I143)*$S143))^$W143))</f>
        <v>55.899999999981667</v>
      </c>
      <c r="BD143" s="378">
        <f>$R143/(1+($V143*(('Traffic Data'!O62*(0.67/14))/(($I143)*$S143))^$W143))</f>
        <v>55.899999999973247</v>
      </c>
      <c r="BE143" s="378">
        <f>$R143/(1+($V143*(('Traffic Data'!P62*(0.67/14))/(($I143)*$S143))^$W143))</f>
        <v>55.899999999961508</v>
      </c>
      <c r="BF143" s="378">
        <f>$R143/(1+($V143*(('Traffic Data'!Q62*(0.67/14))/(($I143)*$S143))^$W143))</f>
        <v>55.899999999945308</v>
      </c>
      <c r="BG143" s="378">
        <f>$R143/(1+($V143*(('Traffic Data'!R62*(0.67/14))/(($I143)*$S143))^$W143))</f>
        <v>55.899999999919977</v>
      </c>
      <c r="BH143" s="378">
        <f>$R143/(1+($V143*(('Traffic Data'!S62*(0.67/14))/(($I143)*$S143))^$W143))</f>
        <v>55.89999999988455</v>
      </c>
      <c r="BI143" s="378">
        <f>$R143/(1+($V143*(('Traffic Data'!T62*(0.67/14))/(($I143)*$S143))^$W143))</f>
        <v>55.899999999835558</v>
      </c>
      <c r="BJ143" s="378">
        <f>$R143/(1+($V143*(('Traffic Data'!U62*(0.67/14))/(($I143)*$S143))^$W143))</f>
        <v>55.89999999976861</v>
      </c>
      <c r="BK143" s="378">
        <f>$R143/(1+($V143*(('Traffic Data'!V62*(0.67/14))/(($I143)*$S143))^$W143))</f>
        <v>55.899999999678023</v>
      </c>
      <c r="BL143" s="378">
        <f>$R143/(1+($V143*(('Traffic Data'!W62*(0.67/14))/(($I143)*$S143))^$W143))</f>
        <v>55.899999999591124</v>
      </c>
      <c r="BM143" s="378">
        <f>$R143/(1+($V143*(('Traffic Data'!X62*(0.67/14))/(($I143)*$S143))^$W143))</f>
        <v>55.89999999951069</v>
      </c>
      <c r="BN143" s="378">
        <f>$R143/(1+($V143*(('Traffic Data'!Y62*(0.67/14))/(($I143)*$S143))^$W143))</f>
        <v>55.899999999416295</v>
      </c>
      <c r="BO143" s="378">
        <f>$R143/(1+($V143*(('Traffic Data'!Z62*(0.67/14))/(($I143)*$S143))^$W143))</f>
        <v>55.89999999930582</v>
      </c>
      <c r="BP143" s="378">
        <f>$R143/(1+($V143*(('Traffic Data'!AA62*(0.67/14))/(($I143)*$S143))^$W143))</f>
        <v>55.899999999176927</v>
      </c>
      <c r="BQ143" s="378">
        <f>$R143/(1+($V143*(('Traffic Data'!AB62*(0.67/14))/(($I143)*$S143))^$W143))</f>
        <v>55.899999999026811</v>
      </c>
      <c r="BR143" s="378">
        <f>$R143/(1+($V143*(('Traffic Data'!AC62*(0.67/14))/(($I143)*$S143))^$W143))</f>
        <v>55.899999998852579</v>
      </c>
      <c r="BS143" s="378">
        <f>$R143/(1+($V143*(('Traffic Data'!AD62*(0.67/14))/(($I143)*$S143))^$W143))</f>
        <v>55.899999998650642</v>
      </c>
      <c r="BT143" s="378">
        <f>$R143/(1+($V143*(('Traffic Data'!AE62*(0.67/14))/(($I143)*$S143))^$W143))</f>
        <v>55.899999998417272</v>
      </c>
      <c r="BU143" s="378">
        <f>$R143/(1+($V143*(('Traffic Data'!AF62*(0.67/14))/(($I143)*$S143))^$W143))</f>
        <v>55.899999998148331</v>
      </c>
      <c r="BV143" s="378">
        <f>$R143/(1+($V143*(('Traffic Data'!AG62*(0.67/14))/(($I143)*$S143))^$W143))</f>
        <v>55.899999997838769</v>
      </c>
      <c r="BW143" s="620">
        <f>$R143/(1+($V143*(('Traffic Data'!AH62*(0.67/14))/(($I143)*$S143))^$W143))</f>
        <v>55.899999997483391</v>
      </c>
    </row>
    <row r="144" spans="1:75" ht="21.9" customHeight="1" x14ac:dyDescent="0.25">
      <c r="A144" s="617"/>
      <c r="C144" s="114"/>
      <c r="D144" s="114" t="s">
        <v>323</v>
      </c>
      <c r="E144" s="114" t="s">
        <v>322</v>
      </c>
      <c r="F144" s="550">
        <f>'Traffic Data'!CM61</f>
        <v>0.83333333333333337</v>
      </c>
      <c r="G144" s="550">
        <f>'Traffic Data'!CN61</f>
        <v>0.9</v>
      </c>
      <c r="H144" s="143">
        <f>'Traffic Data'!G63</f>
        <v>45</v>
      </c>
      <c r="I144" s="143">
        <v>4</v>
      </c>
      <c r="J144" s="143">
        <f t="shared" si="12"/>
        <v>52</v>
      </c>
      <c r="K144" s="143">
        <v>0</v>
      </c>
      <c r="L144" s="143">
        <v>2.5</v>
      </c>
      <c r="M144" s="143">
        <v>0</v>
      </c>
      <c r="N144" s="143">
        <v>3.6</v>
      </c>
      <c r="O144" s="143">
        <v>0</v>
      </c>
      <c r="P144" s="143">
        <v>0</v>
      </c>
      <c r="Q144" s="143">
        <v>0</v>
      </c>
      <c r="R144" s="171">
        <f t="shared" si="13"/>
        <v>45.9</v>
      </c>
      <c r="S144" s="551">
        <f>F144*G144*M$24</f>
        <v>1425</v>
      </c>
      <c r="T144" s="552">
        <v>0.12</v>
      </c>
      <c r="U144" s="553">
        <v>0.65</v>
      </c>
      <c r="V144" s="554">
        <f t="shared" si="15"/>
        <v>0.2</v>
      </c>
      <c r="W144" s="225">
        <v>10</v>
      </c>
      <c r="X144" s="377">
        <f>$R144/(1+($V144*(('Traffic Data'!J63*$T144*$U144)/(($I144/2)*$S144))^$W144))</f>
        <v>45.899998608523049</v>
      </c>
      <c r="Y144" s="378">
        <f>$R144/(1+($V144*(('Traffic Data'!K63*$T144*$U144)/(($I144/2)*$S144))^$W144))</f>
        <v>45.899998159147884</v>
      </c>
      <c r="Z144" s="378">
        <f>$R144/(1+($V144*(('Traffic Data'!L63*$T144*$U144)/(($I144/2)*$S144))^$W144))</f>
        <v>45.899997510951991</v>
      </c>
      <c r="AA144" s="378">
        <f>$R144/(1+($V144*(('Traffic Data'!M63*$T144*$U144)/(($I144/2)*$S144))^$W144))</f>
        <v>45.899996254557266</v>
      </c>
      <c r="AB144" s="378">
        <f>$R144/(1+($V144*(('Traffic Data'!N63*$T144*$U144)/(($I144/2)*$S144))^$W144))</f>
        <v>45.899994453300941</v>
      </c>
      <c r="AC144" s="378">
        <f>$R144/(1+($V144*(('Traffic Data'!O63*$T144*$U144)/(($I144/2)*$S144))^$W144))</f>
        <v>45.899991906140343</v>
      </c>
      <c r="AD144" s="378">
        <f>$R144/(1+($V144*(('Traffic Data'!P63*$T144*$U144)/(($I144/2)*$S144))^$W144))</f>
        <v>45.89998835231372</v>
      </c>
      <c r="AE144" s="378">
        <f>$R144/(1+($V144*(('Traffic Data'!Q63*$T144*$U144)/(($I144/2)*$S144))^$W144))</f>
        <v>45.899983450693085</v>
      </c>
      <c r="AF144" s="378">
        <f>$R144/(1+($V144*(('Traffic Data'!R63*$T144*$U144)/(($I144/2)*$S144))^$W144))</f>
        <v>45.899975785977276</v>
      </c>
      <c r="AG144" s="378">
        <f>$R144/(1+($V144*(('Traffic Data'!S63*$T144*$U144)/(($I144/2)*$S144))^$W144))</f>
        <v>45.899965066704318</v>
      </c>
      <c r="AH144" s="378">
        <f>$R144/(1+($V144*(('Traffic Data'!T63*$T144*$U144)/(($I144/2)*$S144))^$W144))</f>
        <v>45.899950245091176</v>
      </c>
      <c r="AI144" s="378">
        <f>$R144/(1+($V144*(('Traffic Data'!U63*$T144*$U144)/(($I144/2)*$S144))^$W144))</f>
        <v>45.899929985970488</v>
      </c>
      <c r="AJ144" s="378">
        <f>$R144/(1+($V144*(('Traffic Data'!V63*$T144*$U144)/(($I144/2)*$S144))^$W144))</f>
        <v>45.899902578216363</v>
      </c>
      <c r="AK144" s="378">
        <f>$R144/(1+($V144*(('Traffic Data'!W63*$T144*$U144)/(($I144/2)*$S144))^$W144))</f>
        <v>45.899876283210311</v>
      </c>
      <c r="AL144" s="378">
        <f>$R144/(1+($V144*(('Traffic Data'!X63*$T144*$U144)/(($I144/2)*$S144))^$W144))</f>
        <v>45.899851947729779</v>
      </c>
      <c r="AM144" s="378">
        <f>$R144/(1+($V144*(('Traffic Data'!Y63*$T144*$U144)/(($I144/2)*$S144))^$W144))</f>
        <v>45.899823385760769</v>
      </c>
      <c r="AN144" s="378">
        <f>$R144/(1+($V144*(('Traffic Data'!Z63*$T144*$U144)/(($I144/2)*$S144))^$W144))</f>
        <v>45.899789956974537</v>
      </c>
      <c r="AO144" s="378">
        <f>$R144/(1+($V144*(('Traffic Data'!AA63*$T144*$U144)/(($I144/2)*$S144))^$W144))</f>
        <v>45.899750959168742</v>
      </c>
      <c r="AP144" s="378">
        <f>$R144/(1+($V144*(('Traffic Data'!AB63*$T144*$U144)/(($I144/2)*$S144))^$W144))</f>
        <v>45.899705536801093</v>
      </c>
      <c r="AQ144" s="378">
        <f>$R144/(1+($V144*(('Traffic Data'!AC63*$T144*$U144)/(($I144/2)*$S144))^$W144))</f>
        <v>45.899652818746638</v>
      </c>
      <c r="AR144" s="378">
        <f>$R144/(1+($V144*(('Traffic Data'!AD63*$T144*$U144)/(($I144/2)*$S144))^$W144))</f>
        <v>45.899591719990426</v>
      </c>
      <c r="AS144" s="378">
        <f>$R144/(1+($V144*(('Traffic Data'!AE63*$T144*$U144)/(($I144/2)*$S144))^$W144))</f>
        <v>45.899521108883178</v>
      </c>
      <c r="AT144" s="378">
        <f>$R144/(1+($V144*(('Traffic Data'!AF63*$T144*$U144)/(($I144/2)*$S144))^$W144))</f>
        <v>45.89943973561509</v>
      </c>
      <c r="AU144" s="378">
        <f>$R144/(1+($V144*(('Traffic Data'!AG63*$T144*$U144)/(($I144/2)*$S144))^$W144))</f>
        <v>45.899346071932868</v>
      </c>
      <c r="AV144" s="378">
        <f>$R144/(1+($V144*(('Traffic Data'!AH63*$T144*$U144)/(($I144/2)*$S144))^$W144))</f>
        <v>45.899238544195455</v>
      </c>
      <c r="AW144" s="350">
        <f>$R144/(1+($V144*(('Traffic Data'!AI63*$T144*$U144)/(($I144/2)*$S144))^$W144))</f>
        <v>45.899115424591251</v>
      </c>
      <c r="AX144" s="377">
        <f>$R144/(1+($V144*(('Traffic Data'!J63*(0.67/14))/(($I144)*$S144))^$W144))</f>
        <v>45.899999999989724</v>
      </c>
      <c r="AY144" s="378">
        <f>$R144/(1+($V144*(('Traffic Data'!J63*(0.67/14))/(($I144)*$S144))^$W144))</f>
        <v>45.899999999989724</v>
      </c>
      <c r="AZ144" s="378">
        <f>$R144/(1+($V144*(('Traffic Data'!K63*(0.67/14))/(($I144)*$S144))^$W144))</f>
        <v>45.899999999986413</v>
      </c>
      <c r="BA144" s="378">
        <f>$R144/(1+($V144*(('Traffic Data'!L63*(0.67/14))/(($I144)*$S144))^$W144))</f>
        <v>45.899999999981624</v>
      </c>
      <c r="BB144" s="378">
        <f>$R144/(1+($V144*(('Traffic Data'!M63*(0.67/14))/(($I144)*$S144))^$W144))</f>
        <v>45.899999999972351</v>
      </c>
      <c r="BC144" s="378">
        <f>$R144/(1+($V144*(('Traffic Data'!N63*(0.67/14))/(($I144)*$S144))^$W144))</f>
        <v>45.89999999995905</v>
      </c>
      <c r="BD144" s="378">
        <f>$R144/(1+($V144*(('Traffic Data'!O63*(0.67/14))/(($I144)*$S144))^$W144))</f>
        <v>45.899999999940242</v>
      </c>
      <c r="BE144" s="378">
        <f>$R144/(1+($V144*(('Traffic Data'!P63*(0.67/14))/(($I144)*$S144))^$W144))</f>
        <v>45.899999999914009</v>
      </c>
      <c r="BF144" s="378">
        <f>$R144/(1+($V144*(('Traffic Data'!Q63*(0.67/14))/(($I144)*$S144))^$W144))</f>
        <v>45.899999999877821</v>
      </c>
      <c r="BG144" s="378">
        <f>$R144/(1+($V144*(('Traffic Data'!R63*(0.67/14))/(($I144)*$S144))^$W144))</f>
        <v>45.899999999821233</v>
      </c>
      <c r="BH144" s="378">
        <f>$R144/(1+($V144*(('Traffic Data'!S63*(0.67/14))/(($I144)*$S144))^$W144))</f>
        <v>45.899999999742093</v>
      </c>
      <c r="BI144" s="378">
        <f>$R144/(1+($V144*(('Traffic Data'!T63*(0.67/14))/(($I144)*$S144))^$W144))</f>
        <v>45.899999999632662</v>
      </c>
      <c r="BJ144" s="378">
        <f>$R144/(1+($V144*(('Traffic Data'!U63*(0.67/14))/(($I144)*$S144))^$W144))</f>
        <v>45.8999999994831</v>
      </c>
      <c r="BK144" s="378">
        <f>$R144/(1+($V144*(('Traffic Data'!V63*(0.67/14))/(($I144)*$S144))^$W144))</f>
        <v>45.899999999280752</v>
      </c>
      <c r="BL144" s="378">
        <f>$R144/(1+($V144*(('Traffic Data'!W63*(0.67/14))/(($I144)*$S144))^$W144))</f>
        <v>45.899999999086617</v>
      </c>
      <c r="BM144" s="378">
        <f>$R144/(1+($V144*(('Traffic Data'!X63*(0.67/14))/(($I144)*$S144))^$W144))</f>
        <v>45.899999998906956</v>
      </c>
      <c r="BN144" s="378">
        <f>$R144/(1+($V144*(('Traffic Data'!Y63*(0.67/14))/(($I144)*$S144))^$W144))</f>
        <v>45.899999998696082</v>
      </c>
      <c r="BO144" s="378">
        <f>$R144/(1+($V144*(('Traffic Data'!Z63*(0.67/14))/(($I144)*$S144))^$W144))</f>
        <v>45.899999998449289</v>
      </c>
      <c r="BP144" s="378">
        <f>$R144/(1+($V144*(('Traffic Data'!AA63*(0.67/14))/(($I144)*$S144))^$W144))</f>
        <v>45.89999999816137</v>
      </c>
      <c r="BQ144" s="378">
        <f>$R144/(1+($V144*(('Traffic Data'!AB63*(0.67/14))/(($I144)*$S144))^$W144))</f>
        <v>45.899999997826015</v>
      </c>
      <c r="BR144" s="378">
        <f>$R144/(1+($V144*(('Traffic Data'!AC63*(0.67/14))/(($I144)*$S144))^$W144))</f>
        <v>45.899999997436808</v>
      </c>
      <c r="BS144" s="378">
        <f>$R144/(1+($V144*(('Traffic Data'!AD63*(0.67/14))/(($I144)*$S144))^$W144))</f>
        <v>45.89999999698572</v>
      </c>
      <c r="BT144" s="378">
        <f>$R144/(1+($V144*(('Traffic Data'!AE63*(0.67/14))/(($I144)*$S144))^$W144))</f>
        <v>45.899999996464395</v>
      </c>
      <c r="BU144" s="378">
        <f>$R144/(1+($V144*(('Traffic Data'!AF63*(0.67/14))/(($I144)*$S144))^$W144))</f>
        <v>45.899999995863624</v>
      </c>
      <c r="BV144" s="378">
        <f>$R144/(1+($V144*(('Traffic Data'!AG63*(0.67/14))/(($I144)*$S144))^$W144))</f>
        <v>45.899999995172102</v>
      </c>
      <c r="BW144" s="620">
        <f>$R144/(1+($V144*(('Traffic Data'!AH63*(0.67/14))/(($I144)*$S144))^$W144))</f>
        <v>45.899999994378227</v>
      </c>
    </row>
    <row r="145" spans="1:75" ht="21.9" customHeight="1" x14ac:dyDescent="0.25">
      <c r="A145" s="617"/>
      <c r="C145" s="114"/>
      <c r="D145" s="114" t="s">
        <v>322</v>
      </c>
      <c r="E145" s="114" t="s">
        <v>326</v>
      </c>
      <c r="F145" s="550">
        <f>'Traffic Data'!CM61</f>
        <v>0.83333333333333337</v>
      </c>
      <c r="G145" s="550">
        <f>'Traffic Data'!CN61</f>
        <v>0.9</v>
      </c>
      <c r="H145" s="143">
        <f>'Traffic Data'!G64</f>
        <v>45</v>
      </c>
      <c r="I145" s="143">
        <v>4</v>
      </c>
      <c r="J145" s="143">
        <f t="shared" si="12"/>
        <v>52</v>
      </c>
      <c r="K145" s="143">
        <v>0</v>
      </c>
      <c r="L145" s="143">
        <v>2.5</v>
      </c>
      <c r="M145" s="143">
        <v>0</v>
      </c>
      <c r="N145" s="143">
        <v>3.6</v>
      </c>
      <c r="O145" s="143">
        <v>0</v>
      </c>
      <c r="P145" s="143">
        <v>0</v>
      </c>
      <c r="Q145" s="143">
        <v>0</v>
      </c>
      <c r="R145" s="171">
        <f t="shared" si="13"/>
        <v>45.9</v>
      </c>
      <c r="S145" s="551">
        <f>F145*G145*M$24</f>
        <v>1425</v>
      </c>
      <c r="T145" s="552">
        <v>0.12</v>
      </c>
      <c r="U145" s="553">
        <v>0.65</v>
      </c>
      <c r="V145" s="554">
        <f t="shared" si="15"/>
        <v>0.2</v>
      </c>
      <c r="W145" s="225">
        <v>10</v>
      </c>
      <c r="X145" s="377">
        <f>$R145/(1+($V145*(('Traffic Data'!J64*$T145*$U145)/(($I145/2)*$S145))^$W145))</f>
        <v>45.899999869126233</v>
      </c>
      <c r="Y145" s="378">
        <f>$R145/(1+($V145*(('Traffic Data'!K64*$T145*$U145)/(($I145/2)*$S145))^$W145))</f>
        <v>45.8999998269027</v>
      </c>
      <c r="Z145" s="378">
        <f>$R145/(1+($V145*(('Traffic Data'!L64*$T145*$U145)/(($I145/2)*$S145))^$W145))</f>
        <v>45.899999764143068</v>
      </c>
      <c r="AA145" s="378">
        <f>$R145/(1+($V145*(('Traffic Data'!M64*$T145*$U145)/(($I145/2)*$S145))^$W145))</f>
        <v>45.899999654465667</v>
      </c>
      <c r="AB145" s="378">
        <f>$R145/(1+($V145*(('Traffic Data'!N64*$T145*$U145)/(($I145/2)*$S145))^$W145))</f>
        <v>45.899999500789512</v>
      </c>
      <c r="AC145" s="378">
        <f>$R145/(1+($V145*(('Traffic Data'!O64*$T145*$U145)/(($I145/2)*$S145))^$W145))</f>
        <v>45.899999288163151</v>
      </c>
      <c r="AD145" s="378">
        <f>$R145/(1+($V145*(('Traffic Data'!P64*$T145*$U145)/(($I145/2)*$S145))^$W145))</f>
        <v>45.899998997295938</v>
      </c>
      <c r="AE145" s="378">
        <f>$R145/(1+($V145*(('Traffic Data'!Q64*$T145*$U145)/(($I145/2)*$S145))^$W145))</f>
        <v>45.899998603424784</v>
      </c>
      <c r="AF145" s="378">
        <f>$R145/(1+($V145*(('Traffic Data'!R64*$T145*$U145)/(($I145/2)*$S145))^$W145))</f>
        <v>45.899997994806959</v>
      </c>
      <c r="AG145" s="378">
        <f>$R145/(1+($V145*(('Traffic Data'!S64*$T145*$U145)/(($I145/2)*$S145))^$W145))</f>
        <v>45.899997157121881</v>
      </c>
      <c r="AH145" s="378">
        <f>$R145/(1+($V145*(('Traffic Data'!T64*$T145*$U145)/(($I145/2)*$S145))^$W145))</f>
        <v>45.899996016811997</v>
      </c>
      <c r="AI145" s="378">
        <f>$R145/(1+($V145*(('Traffic Data'!U64*$T145*$U145)/(($I145/2)*$S145))^$W145))</f>
        <v>45.899994479937256</v>
      </c>
      <c r="AJ145" s="378">
        <f>$R145/(1+($V145*(('Traffic Data'!V64*$T145*$U145)/(($I145/2)*$S145))^$W145))</f>
        <v>45.899992428134517</v>
      </c>
      <c r="AK145" s="378">
        <f>$R145/(1+($V145*(('Traffic Data'!W64*$T145*$U145)/(($I145/2)*$S145))^$W145))</f>
        <v>45.899990295754669</v>
      </c>
      <c r="AL145" s="378">
        <f>$R145/(1+($V145*(('Traffic Data'!X64*$T145*$U145)/(($I145/2)*$S145))^$W145))</f>
        <v>45.899988350826568</v>
      </c>
      <c r="AM145" s="378">
        <f>$R145/(1+($V145*(('Traffic Data'!Y64*$T145*$U145)/(($I145/2)*$S145))^$W145))</f>
        <v>45.899986061847436</v>
      </c>
      <c r="AN145" s="378">
        <f>$R145/(1+($V145*(('Traffic Data'!Z64*$T145*$U145)/(($I145/2)*$S145))^$W145))</f>
        <v>45.899983375743055</v>
      </c>
      <c r="AO145" s="378">
        <f>$R145/(1+($V145*(('Traffic Data'!AA64*$T145*$U145)/(($I145/2)*$S145))^$W145))</f>
        <v>45.899980233405877</v>
      </c>
      <c r="AP145" s="378">
        <f>$R145/(1+($V145*(('Traffic Data'!AB64*$T145*$U145)/(($I145/2)*$S145))^$W145))</f>
        <v>45.899976565087002</v>
      </c>
      <c r="AQ145" s="378">
        <f>$R145/(1+($V145*(('Traffic Data'!AC64*$T145*$U145)/(($I145/2)*$S145))^$W145))</f>
        <v>45.899972296405011</v>
      </c>
      <c r="AR145" s="378">
        <f>$R145/(1+($V145*(('Traffic Data'!AD64*$T145*$U145)/(($I145/2)*$S145))^$W145))</f>
        <v>45.899967338685457</v>
      </c>
      <c r="AS145" s="378">
        <f>$R145/(1+($V145*(('Traffic Data'!AE64*$T145*$U145)/(($I145/2)*$S145))^$W145))</f>
        <v>45.899961596291647</v>
      </c>
      <c r="AT145" s="378">
        <f>$R145/(1+($V145*(('Traffic Data'!AF64*$T145*$U145)/(($I145/2)*$S145))^$W145))</f>
        <v>45.899954962801154</v>
      </c>
      <c r="AU145" s="378">
        <f>$R145/(1+($V145*(('Traffic Data'!AG64*$T145*$U145)/(($I145/2)*$S145))^$W145))</f>
        <v>45.899947312919259</v>
      </c>
      <c r="AV145" s="378">
        <f>$R145/(1+($V145*(('Traffic Data'!AH64*$T145*$U145)/(($I145/2)*$S145))^$W145))</f>
        <v>45.899938512830701</v>
      </c>
      <c r="AW145" s="350">
        <f>$R145/(1+($V145*(('Traffic Data'!AI64*$T145*$U145)/(($I145/2)*$S145))^$W145))</f>
        <v>45.899928414475553</v>
      </c>
      <c r="AX145" s="377">
        <f>$R145/(1+($V145*(('Traffic Data'!J64*(0.67/14))/(($I145)*$S145))^$W145))</f>
        <v>45.899999999999032</v>
      </c>
      <c r="AY145" s="378">
        <f>$R145/(1+($V145*(('Traffic Data'!J64*(0.67/14))/(($I145)*$S145))^$W145))</f>
        <v>45.899999999999032</v>
      </c>
      <c r="AZ145" s="378">
        <f>$R145/(1+($V145*(('Traffic Data'!K64*(0.67/14))/(($I145)*$S145))^$W145))</f>
        <v>45.899999999998727</v>
      </c>
      <c r="BA145" s="378">
        <f>$R145/(1+($V145*(('Traffic Data'!L64*(0.67/14))/(($I145)*$S145))^$W145))</f>
        <v>45.899999999998258</v>
      </c>
      <c r="BB145" s="378">
        <f>$R145/(1+($V145*(('Traffic Data'!M64*(0.67/14))/(($I145)*$S145))^$W145))</f>
        <v>45.899999999997448</v>
      </c>
      <c r="BC145" s="378">
        <f>$R145/(1+($V145*(('Traffic Data'!N64*(0.67/14))/(($I145)*$S145))^$W145))</f>
        <v>45.899999999996311</v>
      </c>
      <c r="BD145" s="378">
        <f>$R145/(1+($V145*(('Traffic Data'!O64*(0.67/14))/(($I145)*$S145))^$W145))</f>
        <v>45.899999999994741</v>
      </c>
      <c r="BE145" s="378">
        <f>$R145/(1+($V145*(('Traffic Data'!P64*(0.67/14))/(($I145)*$S145))^$W145))</f>
        <v>45.899999999992602</v>
      </c>
      <c r="BF145" s="378">
        <f>$R145/(1+($V145*(('Traffic Data'!Q64*(0.67/14))/(($I145)*$S145))^$W145))</f>
        <v>45.899999999989681</v>
      </c>
      <c r="BG145" s="378">
        <f>$R145/(1+($V145*(('Traffic Data'!R64*(0.67/14))/(($I145)*$S145))^$W145))</f>
        <v>45.899999999985191</v>
      </c>
      <c r="BH145" s="378">
        <f>$R145/(1+($V145*(('Traffic Data'!S64*(0.67/14))/(($I145)*$S145))^$W145))</f>
        <v>45.899999999979016</v>
      </c>
      <c r="BI145" s="378">
        <f>$R145/(1+($V145*(('Traffic Data'!T64*(0.67/14))/(($I145)*$S145))^$W145))</f>
        <v>45.899999999970596</v>
      </c>
      <c r="BJ145" s="378">
        <f>$R145/(1+($V145*(('Traffic Data'!U64*(0.67/14))/(($I145)*$S145))^$W145))</f>
        <v>45.899999999959242</v>
      </c>
      <c r="BK145" s="378">
        <f>$R145/(1+($V145*(('Traffic Data'!V64*(0.67/14))/(($I145)*$S145))^$W145))</f>
        <v>45.899999999944093</v>
      </c>
      <c r="BL145" s="378">
        <f>$R145/(1+($V145*(('Traffic Data'!W64*(0.67/14))/(($I145)*$S145))^$W145))</f>
        <v>45.899999999928347</v>
      </c>
      <c r="BM145" s="378">
        <f>$R145/(1+($V145*(('Traffic Data'!X64*(0.67/14))/(($I145)*$S145))^$W145))</f>
        <v>45.899999999914002</v>
      </c>
      <c r="BN145" s="378">
        <f>$R145/(1+($V145*(('Traffic Data'!Y64*(0.67/14))/(($I145)*$S145))^$W145))</f>
        <v>45.899999999897091</v>
      </c>
      <c r="BO145" s="378">
        <f>$R145/(1+($V145*(('Traffic Data'!Z64*(0.67/14))/(($I145)*$S145))^$W145))</f>
        <v>45.899999999877267</v>
      </c>
      <c r="BP145" s="378">
        <f>$R145/(1+($V145*(('Traffic Data'!AA64*(0.67/14))/(($I145)*$S145))^$W145))</f>
        <v>45.89999999985406</v>
      </c>
      <c r="BQ145" s="378">
        <f>$R145/(1+($V145*(('Traffic Data'!AB64*(0.67/14))/(($I145)*$S145))^$W145))</f>
        <v>45.899999999826981</v>
      </c>
      <c r="BR145" s="378">
        <f>$R145/(1+($V145*(('Traffic Data'!AC64*(0.67/14))/(($I145)*$S145))^$W145))</f>
        <v>45.899999999795469</v>
      </c>
      <c r="BS145" s="378">
        <f>$R145/(1+($V145*(('Traffic Data'!AD64*(0.67/14))/(($I145)*$S145))^$W145))</f>
        <v>45.899999999758869</v>
      </c>
      <c r="BT145" s="378">
        <f>$R145/(1+($V145*(('Traffic Data'!AE64*(0.67/14))/(($I145)*$S145))^$W145))</f>
        <v>45.899999999716471</v>
      </c>
      <c r="BU145" s="378">
        <f>$R145/(1+($V145*(('Traffic Data'!AF64*(0.67/14))/(($I145)*$S145))^$W145))</f>
        <v>45.8999999996675</v>
      </c>
      <c r="BV145" s="378">
        <f>$R145/(1+($V145*(('Traffic Data'!AG64*(0.67/14))/(($I145)*$S145))^$W145))</f>
        <v>45.899999999611019</v>
      </c>
      <c r="BW145" s="620">
        <f>$R145/(1+($V145*(('Traffic Data'!AH64*(0.67/14))/(($I145)*$S145))^$W145))</f>
        <v>45.899999999546054</v>
      </c>
    </row>
    <row r="146" spans="1:75" ht="21.9" customHeight="1" x14ac:dyDescent="0.25">
      <c r="A146" s="617"/>
      <c r="C146" s="114"/>
      <c r="D146" s="114" t="s">
        <v>326</v>
      </c>
      <c r="E146" s="114" t="s">
        <v>274</v>
      </c>
      <c r="F146" s="550">
        <f>'Traffic Data'!CM61</f>
        <v>0.83333333333333337</v>
      </c>
      <c r="G146" s="550">
        <f>'Traffic Data'!CN61</f>
        <v>0.9</v>
      </c>
      <c r="H146" s="143">
        <f>'Traffic Data'!G65</f>
        <v>55</v>
      </c>
      <c r="I146" s="143">
        <v>4</v>
      </c>
      <c r="J146" s="143">
        <f t="shared" si="12"/>
        <v>62</v>
      </c>
      <c r="K146" s="143">
        <v>0</v>
      </c>
      <c r="L146" s="143">
        <v>2.5</v>
      </c>
      <c r="M146" s="143">
        <v>0</v>
      </c>
      <c r="N146" s="143">
        <v>3.6</v>
      </c>
      <c r="O146" s="143">
        <v>0</v>
      </c>
      <c r="P146" s="143">
        <v>0</v>
      </c>
      <c r="Q146" s="143">
        <v>0</v>
      </c>
      <c r="R146" s="171">
        <f t="shared" si="13"/>
        <v>55.9</v>
      </c>
      <c r="S146" s="551">
        <f>F146*G146*M$22</f>
        <v>1575</v>
      </c>
      <c r="T146" s="552">
        <v>0.12</v>
      </c>
      <c r="U146" s="553">
        <v>0.65</v>
      </c>
      <c r="V146" s="554">
        <f t="shared" si="15"/>
        <v>0.2</v>
      </c>
      <c r="W146" s="225">
        <v>10</v>
      </c>
      <c r="X146" s="377">
        <f>$R146/(1+($V146*(('Traffic Data'!J65*$T146*$U146)/(($I146/2)*$S146))^$W146))</f>
        <v>55.899999941413874</v>
      </c>
      <c r="Y146" s="378">
        <f>$R146/(1+($V146*(('Traffic Data'!K65*$T146*$U146)/(($I146/2)*$S146))^$W146))</f>
        <v>55.89999992251235</v>
      </c>
      <c r="Z146" s="378">
        <f>$R146/(1+($V146*(('Traffic Data'!L65*$T146*$U146)/(($I146/2)*$S146))^$W146))</f>
        <v>55.899999894417768</v>
      </c>
      <c r="AA146" s="378">
        <f>$R146/(1+($V146*(('Traffic Data'!M65*$T146*$U146)/(($I146/2)*$S146))^$W146))</f>
        <v>55.899999845320266</v>
      </c>
      <c r="AB146" s="378">
        <f>$R146/(1+($V146*(('Traffic Data'!N65*$T146*$U146)/(($I146/2)*$S146))^$W146))</f>
        <v>55.899999776526577</v>
      </c>
      <c r="AC146" s="378">
        <f>$R146/(1+($V146*(('Traffic Data'!O65*$T146*$U146)/(($I146/2)*$S146))^$W146))</f>
        <v>55.899999681343601</v>
      </c>
      <c r="AD146" s="378">
        <f>$R146/(1+($V146*(('Traffic Data'!P65*$T146*$U146)/(($I146/2)*$S146))^$W146))</f>
        <v>55.899999551135799</v>
      </c>
      <c r="AE146" s="378">
        <f>$R146/(1+($V146*(('Traffic Data'!Q65*$T146*$U146)/(($I146/2)*$S146))^$W146))</f>
        <v>55.899999374817924</v>
      </c>
      <c r="AF146" s="378">
        <f>$R146/(1+($V146*(('Traffic Data'!R65*$T146*$U146)/(($I146/2)*$S146))^$W146))</f>
        <v>55.899999102367879</v>
      </c>
      <c r="AG146" s="378">
        <f>$R146/(1+($V146*(('Traffic Data'!S65*$T146*$U146)/(($I146/2)*$S146))^$W146))</f>
        <v>55.899998727375021</v>
      </c>
      <c r="AH146" s="378">
        <f>$R146/(1+($V146*(('Traffic Data'!T65*$T146*$U146)/(($I146/2)*$S146))^$W146))</f>
        <v>55.89999821691103</v>
      </c>
      <c r="AI146" s="378">
        <f>$R146/(1+($V146*(('Traffic Data'!U65*$T146*$U146)/(($I146/2)*$S146))^$W146))</f>
        <v>55.899997528923265</v>
      </c>
      <c r="AJ146" s="378">
        <f>$R146/(1+($V146*(('Traffic Data'!V65*$T146*$U146)/(($I146/2)*$S146))^$W146))</f>
        <v>55.899996610425994</v>
      </c>
      <c r="AK146" s="378">
        <f>$R146/(1+($V146*(('Traffic Data'!W65*$T146*$U146)/(($I146/2)*$S146))^$W146))</f>
        <v>55.899995655858021</v>
      </c>
      <c r="AL146" s="378">
        <f>$R146/(1+($V146*(('Traffic Data'!X65*$T146*$U146)/(($I146/2)*$S146))^$W146))</f>
        <v>55.899994785203496</v>
      </c>
      <c r="AM146" s="378">
        <f>$R146/(1+($V146*(('Traffic Data'!Y65*$T146*$U146)/(($I146/2)*$S146))^$W146))</f>
        <v>55.89999376053315</v>
      </c>
      <c r="AN146" s="378">
        <f>$R146/(1+($V146*(('Traffic Data'!Z65*$T146*$U146)/(($I146/2)*$S146))^$W146))</f>
        <v>55.899992558088066</v>
      </c>
      <c r="AO146" s="378">
        <f>$R146/(1+($V146*(('Traffic Data'!AA65*$T146*$U146)/(($I146/2)*$S146))^$W146))</f>
        <v>55.899991151408472</v>
      </c>
      <c r="AP146" s="378">
        <f>$R146/(1+($V146*(('Traffic Data'!AB65*$T146*$U146)/(($I146/2)*$S146))^$W146))</f>
        <v>55.899989509270952</v>
      </c>
      <c r="AQ146" s="378">
        <f>$R146/(1+($V146*(('Traffic Data'!AC65*$T146*$U146)/(($I146/2)*$S146))^$W146))</f>
        <v>55.899987598378296</v>
      </c>
      <c r="AR146" s="378">
        <f>$R146/(1+($V146*(('Traffic Data'!AD65*$T146*$U146)/(($I146/2)*$S146))^$W146))</f>
        <v>55.899985379034909</v>
      </c>
      <c r="AS146" s="378">
        <f>$R146/(1+($V146*(('Traffic Data'!AE65*$T146*$U146)/(($I146/2)*$S146))^$W146))</f>
        <v>55.899982808428518</v>
      </c>
      <c r="AT146" s="378">
        <f>$R146/(1+($V146*(('Traffic Data'!AF65*$T146*$U146)/(($I146/2)*$S146))^$W146))</f>
        <v>55.899979838918505</v>
      </c>
      <c r="AU146" s="378">
        <f>$R146/(1+($V146*(('Traffic Data'!AG65*$T146*$U146)/(($I146/2)*$S146))^$W146))</f>
        <v>55.899976414415917</v>
      </c>
      <c r="AV146" s="378">
        <f>$R146/(1+($V146*(('Traffic Data'!AH65*$T146*$U146)/(($I146/2)*$S146))^$W146))</f>
        <v>55.899972475017449</v>
      </c>
      <c r="AW146" s="350">
        <f>$R146/(1+($V146*(('Traffic Data'!AI65*$T146*$U146)/(($I146/2)*$S146))^$W146))</f>
        <v>55.899967954443063</v>
      </c>
      <c r="AX146" s="377">
        <f>$R146/(1+($V146*(('Traffic Data'!J65*(0.67/14))/(($I146)*$S146))^$W146))</f>
        <v>55.899999999999565</v>
      </c>
      <c r="AY146" s="378">
        <f>$R146/(1+($V146*(('Traffic Data'!J65*(0.67/14))/(($I146)*$S146))^$W146))</f>
        <v>55.899999999999565</v>
      </c>
      <c r="AZ146" s="378">
        <f>$R146/(1+($V146*(('Traffic Data'!K65*(0.67/14))/(($I146)*$S146))^$W146))</f>
        <v>55.89999999999943</v>
      </c>
      <c r="BA146" s="378">
        <f>$R146/(1+($V146*(('Traffic Data'!L65*(0.67/14))/(($I146)*$S146))^$W146))</f>
        <v>55.899999999999217</v>
      </c>
      <c r="BB146" s="378">
        <f>$R146/(1+($V146*(('Traffic Data'!M65*(0.67/14))/(($I146)*$S146))^$W146))</f>
        <v>55.899999999998855</v>
      </c>
      <c r="BC146" s="378">
        <f>$R146/(1+($V146*(('Traffic Data'!N65*(0.67/14))/(($I146)*$S146))^$W146))</f>
        <v>55.89999999999835</v>
      </c>
      <c r="BD146" s="378">
        <f>$R146/(1+($V146*(('Traffic Data'!O65*(0.67/14))/(($I146)*$S146))^$W146))</f>
        <v>55.89999999999764</v>
      </c>
      <c r="BE146" s="378">
        <f>$R146/(1+($V146*(('Traffic Data'!P65*(0.67/14))/(($I146)*$S146))^$W146))</f>
        <v>55.899999999996687</v>
      </c>
      <c r="BF146" s="378">
        <f>$R146/(1+($V146*(('Traffic Data'!Q65*(0.67/14))/(($I146)*$S146))^$W146))</f>
        <v>55.89999999999538</v>
      </c>
      <c r="BG146" s="378">
        <f>$R146/(1+($V146*(('Traffic Data'!R65*(0.67/14))/(($I146)*$S146))^$W146))</f>
        <v>55.899999999993369</v>
      </c>
      <c r="BH146" s="378">
        <f>$R146/(1+($V146*(('Traffic Data'!S65*(0.67/14))/(($I146)*$S146))^$W146))</f>
        <v>55.899999999990605</v>
      </c>
      <c r="BI146" s="378">
        <f>$R146/(1+($V146*(('Traffic Data'!T65*(0.67/14))/(($I146)*$S146))^$W146))</f>
        <v>55.899999999986832</v>
      </c>
      <c r="BJ146" s="378">
        <f>$R146/(1+($V146*(('Traffic Data'!U65*(0.67/14))/(($I146)*$S146))^$W146))</f>
        <v>55.899999999981752</v>
      </c>
      <c r="BK146" s="378">
        <f>$R146/(1+($V146*(('Traffic Data'!V65*(0.67/14))/(($I146)*$S146))^$W146))</f>
        <v>55.899999999974973</v>
      </c>
      <c r="BL146" s="378">
        <f>$R146/(1+($V146*(('Traffic Data'!W65*(0.67/14))/(($I146)*$S146))^$W146))</f>
        <v>55.899999999967925</v>
      </c>
      <c r="BM146" s="378">
        <f>$R146/(1+($V146*(('Traffic Data'!X65*(0.67/14))/(($I146)*$S146))^$W146))</f>
        <v>55.899999999961494</v>
      </c>
      <c r="BN146" s="378">
        <f>$R146/(1+($V146*(('Traffic Data'!Y65*(0.67/14))/(($I146)*$S146))^$W146))</f>
        <v>55.899999999953934</v>
      </c>
      <c r="BO146" s="378">
        <f>$R146/(1+($V146*(('Traffic Data'!Z65*(0.67/14))/(($I146)*$S146))^$W146))</f>
        <v>55.899999999945059</v>
      </c>
      <c r="BP146" s="378">
        <f>$R146/(1+($V146*(('Traffic Data'!AA65*(0.67/14))/(($I146)*$S146))^$W146))</f>
        <v>55.899999999934671</v>
      </c>
      <c r="BQ146" s="378">
        <f>$R146/(1+($V146*(('Traffic Data'!AB65*(0.67/14))/(($I146)*$S146))^$W146))</f>
        <v>55.899999999922549</v>
      </c>
      <c r="BR146" s="378">
        <f>$R146/(1+($V146*(('Traffic Data'!AC65*(0.67/14))/(($I146)*$S146))^$W146))</f>
        <v>55.899999999908445</v>
      </c>
      <c r="BS146" s="378">
        <f>$R146/(1+($V146*(('Traffic Data'!AD65*(0.67/14))/(($I146)*$S146))^$W146))</f>
        <v>55.899999999892046</v>
      </c>
      <c r="BT146" s="378">
        <f>$R146/(1+($V146*(('Traffic Data'!AE65*(0.67/14))/(($I146)*$S146))^$W146))</f>
        <v>55.899999999873067</v>
      </c>
      <c r="BU146" s="378">
        <f>$R146/(1+($V146*(('Traffic Data'!AF65*(0.67/14))/(($I146)*$S146))^$W146))</f>
        <v>55.899999999851147</v>
      </c>
      <c r="BV146" s="378">
        <f>$R146/(1+($V146*(('Traffic Data'!AG65*(0.67/14))/(($I146)*$S146))^$W146))</f>
        <v>55.899999999825866</v>
      </c>
      <c r="BW146" s="620">
        <f>$R146/(1+($V146*(('Traffic Data'!AH65*(0.67/14))/(($I146)*$S146))^$W146))</f>
        <v>55.899999999796783</v>
      </c>
    </row>
    <row r="147" spans="1:75" ht="21.9" customHeight="1" thickBot="1" x14ac:dyDescent="0.3">
      <c r="A147" s="617"/>
      <c r="B147" s="618"/>
      <c r="C147" s="631"/>
      <c r="D147" s="631" t="s">
        <v>274</v>
      </c>
      <c r="E147" s="631" t="s">
        <v>317</v>
      </c>
      <c r="F147" s="632">
        <f>'Traffic Data'!CM61</f>
        <v>0.83333333333333337</v>
      </c>
      <c r="G147" s="632">
        <f>'Traffic Data'!CN61</f>
        <v>0.9</v>
      </c>
      <c r="H147" s="633">
        <f>'Traffic Data'!G66</f>
        <v>55</v>
      </c>
      <c r="I147" s="633">
        <v>2</v>
      </c>
      <c r="J147" s="633">
        <f t="shared" si="12"/>
        <v>62</v>
      </c>
      <c r="K147" s="633">
        <v>4.2</v>
      </c>
      <c r="L147" s="633">
        <v>2.5</v>
      </c>
      <c r="M147" s="633">
        <v>0</v>
      </c>
      <c r="N147" s="633">
        <v>0</v>
      </c>
      <c r="O147" s="633">
        <v>0</v>
      </c>
      <c r="P147" s="633">
        <v>0</v>
      </c>
      <c r="Q147" s="633">
        <v>0</v>
      </c>
      <c r="R147" s="634">
        <f t="shared" si="13"/>
        <v>55.3</v>
      </c>
      <c r="S147" s="635">
        <f>F147*G147*N$22</f>
        <v>600</v>
      </c>
      <c r="T147" s="636">
        <v>0.12</v>
      </c>
      <c r="U147" s="637">
        <v>0.65</v>
      </c>
      <c r="V147" s="638">
        <f t="shared" si="15"/>
        <v>0.2</v>
      </c>
      <c r="W147" s="639">
        <v>10</v>
      </c>
      <c r="X147" s="640">
        <f>$R147/(1+($V147*(('Traffic Data'!J66*$T147*$U147)/(($I147/2)*$S147))^$W147))</f>
        <v>55.299903328088064</v>
      </c>
      <c r="Y147" s="641">
        <f>$R147/(1+($V147*(('Traffic Data'!K66*$T147*$U147)/(($I147/2)*$S147))^$W147))</f>
        <v>55.299872139104522</v>
      </c>
      <c r="Z147" s="641">
        <f>$R147/(1+($V147*(('Traffic Data'!L66*$T147*$U147)/(($I147/2)*$S147))^$W147))</f>
        <v>55.299825780914766</v>
      </c>
      <c r="AA147" s="641">
        <f>$R147/(1+($V147*(('Traffic Data'!M66*$T147*$U147)/(($I147/2)*$S147))^$W147))</f>
        <v>55.299744766508944</v>
      </c>
      <c r="AB147" s="641">
        <f>$R147/(1+($V147*(('Traffic Data'!N66*$T147*$U147)/(($I147/2)*$S147))^$W147))</f>
        <v>55.299631252346366</v>
      </c>
      <c r="AC147" s="641">
        <f>$R147/(1+($V147*(('Traffic Data'!O66*$T147*$U147)/(($I147/2)*$S147))^$W147))</f>
        <v>55.299474194895502</v>
      </c>
      <c r="AD147" s="641">
        <f>$R147/(1+($V147*(('Traffic Data'!P66*$T147*$U147)/(($I147/2)*$S147))^$W147))</f>
        <v>55.299259345915843</v>
      </c>
      <c r="AE147" s="641">
        <f>$R147/(1+($V147*(('Traffic Data'!Q66*$T147*$U147)/(($I147/2)*$S147))^$W147))</f>
        <v>55.29896841576236</v>
      </c>
      <c r="AF147" s="641">
        <f>$R147/(1+($V147*(('Traffic Data'!R66*$T147*$U147)/(($I147/2)*$S147))^$W147))</f>
        <v>55.298518870509625</v>
      </c>
      <c r="AG147" s="641">
        <f>$R147/(1+($V147*(('Traffic Data'!S66*$T147*$U147)/(($I147/2)*$S147))^$W147))</f>
        <v>55.297900140526224</v>
      </c>
      <c r="AH147" s="641">
        <f>$R147/(1+($V147*(('Traffic Data'!T66*$T147*$U147)/(($I147/2)*$S147))^$W147))</f>
        <v>55.297057908389334</v>
      </c>
      <c r="AI147" s="641">
        <f>$R147/(1+($V147*(('Traffic Data'!U66*$T147*$U147)/(($I147/2)*$S147))^$W147))</f>
        <v>55.295922814221832</v>
      </c>
      <c r="AJ147" s="641">
        <f>$R147/(1+($V147*(('Traffic Data'!V66*$T147*$U147)/(($I147/2)*$S147))^$W147))</f>
        <v>55.294407480664205</v>
      </c>
      <c r="AK147" s="641">
        <f>$R147/(1+($V147*(('Traffic Data'!W66*$T147*$U147)/(($I147/2)*$S147))^$W147))</f>
        <v>55.292832725739309</v>
      </c>
      <c r="AL147" s="641">
        <f>$R147/(1+($V147*(('Traffic Data'!X66*$T147*$U147)/(($I147/2)*$S147))^$W147))</f>
        <v>55.291396481356756</v>
      </c>
      <c r="AM147" s="641">
        <f>$R147/(1+($V147*(('Traffic Data'!Y66*$T147*$U147)/(($I147/2)*$S147))^$W147))</f>
        <v>55.289706265740314</v>
      </c>
      <c r="AN147" s="641">
        <f>$R147/(1+($V147*(('Traffic Data'!Z66*$T147*$U147)/(($I147/2)*$S147))^$W147))</f>
        <v>55.287722938607139</v>
      </c>
      <c r="AO147" s="641">
        <f>$R147/(1+($V147*(('Traffic Data'!AA66*$T147*$U147)/(($I147/2)*$S147))^$W147))</f>
        <v>55.285402925155033</v>
      </c>
      <c r="AP147" s="641">
        <f>$R147/(1+($V147*(('Traffic Data'!AB66*$T147*$U147)/(($I147/2)*$S147))^$W147))</f>
        <v>55.282694820980794</v>
      </c>
      <c r="AQ147" s="641">
        <f>$R147/(1+($V147*(('Traffic Data'!AC66*$T147*$U147)/(($I147/2)*$S147))^$W147))</f>
        <v>55.279543837445445</v>
      </c>
      <c r="AR147" s="641">
        <f>$R147/(1+($V147*(('Traffic Data'!AD66*$T147*$U147)/(($I147/2)*$S147))^$W147))</f>
        <v>55.275884681881749</v>
      </c>
      <c r="AS147" s="641">
        <f>$R147/(1+($V147*(('Traffic Data'!AE66*$T147*$U147)/(($I147/2)*$S147))^$W147))</f>
        <v>55.271646984448161</v>
      </c>
      <c r="AT147" s="641">
        <f>$R147/(1+($V147*(('Traffic Data'!AF66*$T147*$U147)/(($I147/2)*$S147))^$W147))</f>
        <v>55.26675249445433</v>
      </c>
      <c r="AU147" s="641">
        <f>$R147/(1+($V147*(('Traffic Data'!AG66*$T147*$U147)/(($I147/2)*$S147))^$W147))</f>
        <v>55.26110913919279</v>
      </c>
      <c r="AV147" s="641">
        <f>$R147/(1+($V147*(('Traffic Data'!AH66*$T147*$U147)/(($I147/2)*$S147))^$W147))</f>
        <v>55.254618693819353</v>
      </c>
      <c r="AW147" s="642">
        <f>$R147/(1+($V147*(('Traffic Data'!AI66*$T147*$U147)/(($I147/2)*$S147))^$W147))</f>
        <v>55.24717259603203</v>
      </c>
      <c r="AX147" s="640">
        <f>$R147/(1+($V147*(('Traffic Data'!J66*(0.67/14))/(($I147)*$S147))^$W147))</f>
        <v>55.299999999286285</v>
      </c>
      <c r="AY147" s="641">
        <f>$R147/(1+($V147*(('Traffic Data'!J66*(0.67/14))/(($I147)*$S147))^$W147))</f>
        <v>55.299999999286285</v>
      </c>
      <c r="AZ147" s="641">
        <f>$R147/(1+($V147*(('Traffic Data'!K66*(0.67/14))/(($I147)*$S147))^$W147))</f>
        <v>55.29999999905602</v>
      </c>
      <c r="BA147" s="641">
        <f>$R147/(1+($V147*(('Traffic Data'!L66*(0.67/14))/(($I147)*$S147))^$W147))</f>
        <v>55.299999998713766</v>
      </c>
      <c r="BB147" s="641">
        <f>$R147/(1+($V147*(('Traffic Data'!M66*(0.67/14))/(($I147)*$S147))^$W147))</f>
        <v>55.299999998115652</v>
      </c>
      <c r="BC147" s="641">
        <f>$R147/(1+($V147*(('Traffic Data'!N66*(0.67/14))/(($I147)*$S147))^$W147))</f>
        <v>55.299999997277581</v>
      </c>
      <c r="BD147" s="641">
        <f>$R147/(1+($V147*(('Traffic Data'!O66*(0.67/14))/(($I147)*$S147))^$W147))</f>
        <v>55.299999996118046</v>
      </c>
      <c r="BE147" s="641">
        <f>$R147/(1+($V147*(('Traffic Data'!P66*(0.67/14))/(($I147)*$S147))^$W147))</f>
        <v>55.299999994531809</v>
      </c>
      <c r="BF147" s="641">
        <f>$R147/(1+($V147*(('Traffic Data'!Q66*(0.67/14))/(($I147)*$S147))^$W147))</f>
        <v>55.299999992383867</v>
      </c>
      <c r="BG147" s="641">
        <f>$R147/(1+($V147*(('Traffic Data'!R66*(0.67/14))/(($I147)*$S147))^$W147))</f>
        <v>55.299999989064801</v>
      </c>
      <c r="BH147" s="641">
        <f>$R147/(1+($V147*(('Traffic Data'!S66*(0.67/14))/(($I147)*$S147))^$W147))</f>
        <v>55.299999984496544</v>
      </c>
      <c r="BI147" s="641">
        <f>$R147/(1+($V147*(('Traffic Data'!T66*(0.67/14))/(($I147)*$S147))^$W147))</f>
        <v>55.299999978277938</v>
      </c>
      <c r="BJ147" s="641">
        <f>$R147/(1+($V147*(('Traffic Data'!U66*(0.67/14))/(($I147)*$S147))^$W147))</f>
        <v>55.299999969896689</v>
      </c>
      <c r="BK147" s="641">
        <f>$R147/(1+($V147*(('Traffic Data'!V66*(0.67/14))/(($I147)*$S147))^$W147))</f>
        <v>55.299999958707311</v>
      </c>
      <c r="BL147" s="641">
        <f>$R147/(1+($V147*(('Traffic Data'!W66*(0.67/14))/(($I147)*$S147))^$W147))</f>
        <v>55.299999947078511</v>
      </c>
      <c r="BM147" s="641">
        <f>$R147/(1+($V147*(('Traffic Data'!X66*(0.67/14))/(($I147)*$S147))^$W147))</f>
        <v>55.299999936471977</v>
      </c>
      <c r="BN147" s="641">
        <f>$R147/(1+($V147*(('Traffic Data'!Y66*(0.67/14))/(($I147)*$S147))^$W147))</f>
        <v>55.299999923989162</v>
      </c>
      <c r="BO147" s="641">
        <f>$R147/(1+($V147*(('Traffic Data'!Z66*(0.67/14))/(($I147)*$S147))^$W147))</f>
        <v>55.299999909340663</v>
      </c>
      <c r="BP147" s="641">
        <f>$R147/(1+($V147*(('Traffic Data'!AA66*(0.67/14))/(($I147)*$S147))^$W147))</f>
        <v>55.299999892204113</v>
      </c>
      <c r="BQ147" s="641">
        <f>$R147/(1+($V147*(('Traffic Data'!AB66*(0.67/14))/(($I147)*$S147))^$W147))</f>
        <v>55.299999872199152</v>
      </c>
      <c r="BR147" s="641">
        <f>$R147/(1+($V147*(('Traffic Data'!AC66*(0.67/14))/(($I147)*$S147))^$W147))</f>
        <v>55.299999848920152</v>
      </c>
      <c r="BS147" s="641">
        <f>$R147/(1+($V147*(('Traffic Data'!AD66*(0.67/14))/(($I147)*$S147))^$W147))</f>
        <v>55.299999821883517</v>
      </c>
      <c r="BT147" s="641">
        <f>$R147/(1+($V147*(('Traffic Data'!AE66*(0.67/14))/(($I147)*$S147))^$W147))</f>
        <v>55.299999790567696</v>
      </c>
      <c r="BU147" s="641">
        <f>$R147/(1+($V147*(('Traffic Data'!AF66*(0.67/14))/(($I147)*$S147))^$W147))</f>
        <v>55.299999754392317</v>
      </c>
      <c r="BV147" s="641">
        <f>$R147/(1+($V147*(('Traffic Data'!AG66*(0.67/14))/(($I147)*$S147))^$W147))</f>
        <v>55.299999712674101</v>
      </c>
      <c r="BW147" s="643">
        <f>$R147/(1+($V147*(('Traffic Data'!AH66*(0.67/14))/(($I147)*$S147))^$W147))</f>
        <v>55.29999966468327</v>
      </c>
    </row>
    <row r="148" spans="1:75" ht="21.9" customHeight="1" thickTop="1" x14ac:dyDescent="0.25"/>
    <row r="150" spans="1:75" ht="21.9" customHeight="1" x14ac:dyDescent="0.25">
      <c r="B150" s="1423" t="s">
        <v>209</v>
      </c>
      <c r="C150" s="1423"/>
      <c r="D150" s="1423"/>
      <c r="E150" s="1423"/>
      <c r="F150" s="1423"/>
      <c r="G150" s="1423"/>
      <c r="H150" s="111"/>
      <c r="I150" s="111"/>
      <c r="J150" s="111"/>
      <c r="K150" s="111"/>
    </row>
    <row r="151" spans="1:75" ht="21.9" customHeight="1" x14ac:dyDescent="0.25">
      <c r="B151" s="9" t="s">
        <v>215</v>
      </c>
      <c r="C151" s="111"/>
      <c r="D151" s="111"/>
      <c r="E151" s="111"/>
      <c r="F151" s="111"/>
      <c r="G151" s="111"/>
      <c r="H151" s="111"/>
      <c r="I151" s="111"/>
      <c r="J151" s="111"/>
      <c r="K151" s="111"/>
    </row>
    <row r="152" spans="1:75" ht="21.9" customHeight="1" x14ac:dyDescent="0.25">
      <c r="B152" s="111"/>
      <c r="C152" s="111"/>
      <c r="D152" s="111"/>
      <c r="E152" s="111"/>
      <c r="F152" s="111"/>
    </row>
    <row r="153" spans="1:75" ht="21.9" customHeight="1" x14ac:dyDescent="0.25">
      <c r="B153" s="111"/>
      <c r="C153" s="111"/>
      <c r="D153" s="111"/>
      <c r="E153" s="111"/>
      <c r="F153" s="111"/>
      <c r="I153" s="111"/>
      <c r="J153" s="111"/>
      <c r="K153" s="111"/>
    </row>
    <row r="154" spans="1:75" ht="21.9" customHeight="1" x14ac:dyDescent="0.25">
      <c r="B154" s="191" t="s">
        <v>216</v>
      </c>
      <c r="F154" s="111"/>
    </row>
    <row r="155" spans="1:75" ht="21.9" customHeight="1" x14ac:dyDescent="0.25">
      <c r="B155" t="s">
        <v>155</v>
      </c>
    </row>
    <row r="156" spans="1:75" ht="21.9" customHeight="1" thickBot="1" x14ac:dyDescent="0.3">
      <c r="B156" t="s">
        <v>157</v>
      </c>
    </row>
    <row r="157" spans="1:75" ht="21.9" customHeight="1" thickTop="1" x14ac:dyDescent="0.25">
      <c r="B157" s="64"/>
      <c r="C157" s="65"/>
      <c r="D157" s="65"/>
      <c r="E157" s="65"/>
      <c r="F157" s="65"/>
      <c r="G157" s="65"/>
      <c r="H157" s="65"/>
      <c r="I157" s="65"/>
      <c r="J157" s="65"/>
      <c r="K157" s="65"/>
      <c r="L157" s="65"/>
      <c r="M157" s="65"/>
      <c r="N157" s="65"/>
      <c r="O157" s="65"/>
      <c r="P157" s="65"/>
      <c r="Q157" s="65"/>
      <c r="R157" s="65"/>
      <c r="S157" s="65"/>
      <c r="T157" s="65"/>
      <c r="U157" s="65"/>
      <c r="V157" s="65"/>
      <c r="W157" s="66"/>
    </row>
    <row r="158" spans="1:75" ht="21.9" customHeight="1" x14ac:dyDescent="0.25">
      <c r="B158" s="67"/>
      <c r="C158" s="68" t="s">
        <v>135</v>
      </c>
      <c r="D158" s="68"/>
      <c r="E158" s="68"/>
      <c r="F158" s="69"/>
      <c r="G158" s="69"/>
      <c r="H158" s="69"/>
      <c r="I158" s="545"/>
      <c r="J158" s="69"/>
      <c r="K158" s="69"/>
      <c r="L158" s="69"/>
      <c r="M158" s="69"/>
      <c r="N158" s="69"/>
      <c r="O158" s="69"/>
      <c r="P158" s="69"/>
      <c r="Q158" s="69"/>
      <c r="R158" s="69"/>
      <c r="S158" s="69"/>
      <c r="T158" s="69"/>
      <c r="U158" s="69"/>
      <c r="V158" s="69"/>
      <c r="W158" s="70"/>
    </row>
    <row r="159" spans="1:75" ht="21.9" customHeight="1" x14ac:dyDescent="0.25">
      <c r="B159" s="71"/>
      <c r="C159" s="72" t="s">
        <v>136</v>
      </c>
      <c r="D159" s="72"/>
      <c r="E159" s="72"/>
      <c r="F159" s="69"/>
      <c r="G159" s="69"/>
      <c r="H159" s="69"/>
      <c r="I159" s="69"/>
      <c r="J159" s="69"/>
      <c r="K159" s="69"/>
      <c r="L159" s="69"/>
      <c r="M159" s="69"/>
      <c r="N159" s="69"/>
      <c r="O159" s="69"/>
      <c r="P159" s="69"/>
      <c r="Q159" s="69"/>
      <c r="R159" s="69"/>
      <c r="S159" s="69"/>
      <c r="T159" s="69"/>
      <c r="U159" s="69"/>
      <c r="V159" s="69"/>
      <c r="W159" s="70"/>
    </row>
    <row r="160" spans="1:75" ht="21.9" customHeight="1" x14ac:dyDescent="0.25">
      <c r="B160" s="71"/>
      <c r="C160" s="73"/>
      <c r="D160" s="73"/>
      <c r="E160" s="73"/>
      <c r="F160" s="73"/>
      <c r="G160" s="73"/>
      <c r="H160" s="73"/>
      <c r="I160" s="73"/>
      <c r="J160" s="73"/>
      <c r="K160" s="73"/>
      <c r="L160" s="73"/>
      <c r="M160" s="73"/>
      <c r="N160" s="73"/>
      <c r="O160" s="73"/>
      <c r="P160" s="73"/>
      <c r="Q160" s="73"/>
      <c r="R160" s="73"/>
      <c r="S160" s="73"/>
      <c r="T160" s="73"/>
      <c r="U160" s="73"/>
      <c r="V160" s="73"/>
      <c r="W160" s="70"/>
    </row>
    <row r="161" spans="2:23" ht="21.9" customHeight="1" x14ac:dyDescent="0.25">
      <c r="B161" s="71"/>
      <c r="C161" s="74" t="s">
        <v>137</v>
      </c>
      <c r="D161" s="262"/>
      <c r="E161" s="262"/>
      <c r="F161" s="75" t="s">
        <v>138</v>
      </c>
      <c r="G161" s="76"/>
      <c r="H161" s="76"/>
      <c r="I161" s="76"/>
      <c r="J161" s="76"/>
      <c r="K161" s="76"/>
      <c r="L161" s="76"/>
      <c r="M161" s="76"/>
      <c r="N161" s="76"/>
      <c r="O161" s="76"/>
      <c r="P161" s="76"/>
      <c r="Q161" s="76"/>
      <c r="R161" s="77"/>
      <c r="S161" s="78"/>
      <c r="T161" s="374"/>
      <c r="U161" s="374"/>
      <c r="V161" s="374"/>
      <c r="W161" s="70"/>
    </row>
    <row r="162" spans="2:23" ht="21.9" customHeight="1" x14ac:dyDescent="0.25">
      <c r="B162" s="71"/>
      <c r="C162" s="79" t="s">
        <v>139</v>
      </c>
      <c r="D162" s="263"/>
      <c r="E162" s="263"/>
      <c r="F162" s="80" t="s">
        <v>140</v>
      </c>
      <c r="G162" s="81"/>
      <c r="H162" s="81"/>
      <c r="I162" s="81"/>
      <c r="J162" s="81"/>
      <c r="K162" s="81"/>
      <c r="L162" s="81" t="s">
        <v>141</v>
      </c>
      <c r="M162" s="81"/>
      <c r="N162" s="81"/>
      <c r="O162" s="81"/>
      <c r="P162" s="81"/>
      <c r="Q162" s="81"/>
      <c r="R162" s="82" t="s">
        <v>142</v>
      </c>
      <c r="S162" s="83"/>
      <c r="T162" s="375"/>
      <c r="U162" s="375"/>
      <c r="V162" s="375"/>
      <c r="W162" s="70"/>
    </row>
    <row r="163" spans="2:23" ht="21.9" customHeight="1" x14ac:dyDescent="0.25">
      <c r="B163" s="71"/>
      <c r="C163" s="84" t="s">
        <v>143</v>
      </c>
      <c r="D163" s="264"/>
      <c r="E163" s="264"/>
      <c r="F163" s="85" t="s">
        <v>144</v>
      </c>
      <c r="G163" s="86" t="s">
        <v>145</v>
      </c>
      <c r="H163" s="86"/>
      <c r="I163" s="86"/>
      <c r="J163" s="86"/>
      <c r="K163" s="86"/>
      <c r="L163" s="86" t="s">
        <v>144</v>
      </c>
      <c r="M163" s="86"/>
      <c r="N163" s="86"/>
      <c r="O163" s="86"/>
      <c r="P163" s="86"/>
      <c r="Q163" s="86" t="s">
        <v>145</v>
      </c>
      <c r="R163" s="86" t="s">
        <v>144</v>
      </c>
      <c r="S163" s="87" t="s">
        <v>145</v>
      </c>
      <c r="T163" s="376"/>
      <c r="U163" s="376"/>
      <c r="V163" s="376"/>
      <c r="W163" s="70"/>
    </row>
    <row r="164" spans="2:23" ht="21.9" customHeight="1" x14ac:dyDescent="0.25">
      <c r="B164" s="71"/>
      <c r="C164" s="88">
        <v>1</v>
      </c>
      <c r="D164" s="265"/>
      <c r="E164" s="265"/>
      <c r="F164" s="89">
        <v>8.5000000000000006E-2</v>
      </c>
      <c r="G164" s="90">
        <v>8.5000000000000006E-2</v>
      </c>
      <c r="H164" s="90"/>
      <c r="I164" s="90"/>
      <c r="J164" s="90"/>
      <c r="K164" s="90"/>
      <c r="L164" s="90">
        <v>8.5000000000000006E-2</v>
      </c>
      <c r="M164" s="90"/>
      <c r="N164" s="90"/>
      <c r="O164" s="90"/>
      <c r="P164" s="90"/>
      <c r="Q164" s="90">
        <v>8.5000000000000006E-2</v>
      </c>
      <c r="R164" s="90">
        <v>8.5000000000000006E-2</v>
      </c>
      <c r="S164" s="91">
        <v>8.5000000000000006E-2</v>
      </c>
      <c r="T164" s="105"/>
      <c r="U164" s="105"/>
      <c r="V164" s="105"/>
      <c r="W164" s="70"/>
    </row>
    <row r="165" spans="2:23" ht="21.9" customHeight="1" x14ac:dyDescent="0.25">
      <c r="B165" s="71"/>
      <c r="C165" s="92">
        <v>2</v>
      </c>
      <c r="D165" s="266"/>
      <c r="E165" s="266"/>
      <c r="F165" s="93">
        <v>0.16800000000000001</v>
      </c>
      <c r="G165" s="94">
        <v>0.16800000000000001</v>
      </c>
      <c r="H165" s="94"/>
      <c r="I165" s="94"/>
      <c r="J165" s="94"/>
      <c r="K165" s="94"/>
      <c r="L165" s="94">
        <v>0.16800000000000001</v>
      </c>
      <c r="M165" s="94"/>
      <c r="N165" s="94"/>
      <c r="O165" s="94"/>
      <c r="P165" s="94"/>
      <c r="Q165" s="94">
        <v>0.16800000000000001</v>
      </c>
      <c r="R165" s="94">
        <v>0.16800000000000001</v>
      </c>
      <c r="S165" s="95">
        <v>0.16800000000000001</v>
      </c>
      <c r="T165" s="105"/>
      <c r="U165" s="105"/>
      <c r="V165" s="105"/>
      <c r="W165" s="70"/>
    </row>
    <row r="166" spans="2:23" ht="21.9" customHeight="1" x14ac:dyDescent="0.25">
      <c r="B166" s="71"/>
      <c r="C166" s="92">
        <v>3</v>
      </c>
      <c r="D166" s="266"/>
      <c r="E166" s="266"/>
      <c r="F166" s="93">
        <v>0.25</v>
      </c>
      <c r="G166" s="94">
        <v>0.25</v>
      </c>
      <c r="H166" s="94"/>
      <c r="I166" s="94"/>
      <c r="J166" s="94"/>
      <c r="K166" s="94"/>
      <c r="L166" s="94">
        <v>0.25</v>
      </c>
      <c r="M166" s="94"/>
      <c r="N166" s="94"/>
      <c r="O166" s="94"/>
      <c r="P166" s="94"/>
      <c r="Q166" s="94">
        <v>0.25</v>
      </c>
      <c r="R166" s="94">
        <v>0.25</v>
      </c>
      <c r="S166" s="95">
        <v>0.25</v>
      </c>
      <c r="T166" s="105"/>
      <c r="U166" s="105"/>
      <c r="V166" s="105"/>
      <c r="W166" s="70"/>
    </row>
    <row r="167" spans="2:23" ht="21.9" customHeight="1" x14ac:dyDescent="0.25">
      <c r="B167" s="71"/>
      <c r="C167" s="92">
        <v>4</v>
      </c>
      <c r="D167" s="266"/>
      <c r="E167" s="266"/>
      <c r="F167" s="93">
        <v>0.32800000000000001</v>
      </c>
      <c r="G167" s="94">
        <v>0.32800000000000001</v>
      </c>
      <c r="H167" s="94"/>
      <c r="I167" s="94"/>
      <c r="J167" s="94"/>
      <c r="K167" s="94"/>
      <c r="L167" s="94">
        <v>0.32800000000000001</v>
      </c>
      <c r="M167" s="94"/>
      <c r="N167" s="94"/>
      <c r="O167" s="94"/>
      <c r="P167" s="94"/>
      <c r="Q167" s="94">
        <v>0.32800000000000001</v>
      </c>
      <c r="R167" s="94">
        <v>0.32800000000000001</v>
      </c>
      <c r="S167" s="95">
        <v>0.32800000000000001</v>
      </c>
      <c r="T167" s="105"/>
      <c r="U167" s="105"/>
      <c r="V167" s="105"/>
      <c r="W167" s="70"/>
    </row>
    <row r="168" spans="2:23" ht="21.9" customHeight="1" x14ac:dyDescent="0.25">
      <c r="B168" s="71"/>
      <c r="C168" s="92">
        <v>5</v>
      </c>
      <c r="D168" s="266"/>
      <c r="E168" s="266"/>
      <c r="F168" s="93">
        <v>0.40300000000000002</v>
      </c>
      <c r="G168" s="94">
        <v>0.40300000000000002</v>
      </c>
      <c r="H168" s="94"/>
      <c r="I168" s="94"/>
      <c r="J168" s="94"/>
      <c r="K168" s="94"/>
      <c r="L168" s="94">
        <v>0.40300000000000002</v>
      </c>
      <c r="M168" s="94"/>
      <c r="N168" s="94"/>
      <c r="O168" s="94"/>
      <c r="P168" s="94"/>
      <c r="Q168" s="94">
        <v>0.40300000000000002</v>
      </c>
      <c r="R168" s="94">
        <v>0.40300000000000002</v>
      </c>
      <c r="S168" s="95">
        <v>0.40300000000000002</v>
      </c>
      <c r="T168" s="105"/>
      <c r="U168" s="105"/>
      <c r="V168" s="105"/>
      <c r="W168" s="70"/>
    </row>
    <row r="169" spans="2:23" ht="21.9" customHeight="1" x14ac:dyDescent="0.25">
      <c r="B169" s="71"/>
      <c r="C169" s="92">
        <v>6</v>
      </c>
      <c r="D169" s="266"/>
      <c r="E169" s="266"/>
      <c r="F169" s="93">
        <v>0.47400000000000003</v>
      </c>
      <c r="G169" s="94">
        <v>0.47400000000000003</v>
      </c>
      <c r="H169" s="94"/>
      <c r="I169" s="94"/>
      <c r="J169" s="94"/>
      <c r="K169" s="94"/>
      <c r="L169" s="94">
        <v>0.47400000000000003</v>
      </c>
      <c r="M169" s="94"/>
      <c r="N169" s="94"/>
      <c r="O169" s="94"/>
      <c r="P169" s="94"/>
      <c r="Q169" s="94">
        <v>0.47400000000000003</v>
      </c>
      <c r="R169" s="94">
        <v>0.47400000000000003</v>
      </c>
      <c r="S169" s="95">
        <v>0.47400000000000003</v>
      </c>
      <c r="T169" s="105"/>
      <c r="U169" s="105"/>
      <c r="V169" s="105"/>
      <c r="W169" s="70"/>
    </row>
    <row r="170" spans="2:23" ht="21.9" customHeight="1" x14ac:dyDescent="0.25">
      <c r="B170" s="71"/>
      <c r="C170" s="92">
        <v>7</v>
      </c>
      <c r="D170" s="266"/>
      <c r="E170" s="266"/>
      <c r="F170" s="93">
        <v>0.54200000000000004</v>
      </c>
      <c r="G170" s="94">
        <v>0.54200000000000004</v>
      </c>
      <c r="H170" s="94"/>
      <c r="I170" s="94"/>
      <c r="J170" s="94"/>
      <c r="K170" s="94"/>
      <c r="L170" s="94">
        <v>0.54200000000000004</v>
      </c>
      <c r="M170" s="94"/>
      <c r="N170" s="94"/>
      <c r="O170" s="94"/>
      <c r="P170" s="94"/>
      <c r="Q170" s="94">
        <v>0.54200000000000004</v>
      </c>
      <c r="R170" s="94">
        <v>0.54200000000000004</v>
      </c>
      <c r="S170" s="95">
        <v>0.54200000000000004</v>
      </c>
      <c r="T170" s="105"/>
      <c r="U170" s="105"/>
      <c r="V170" s="105"/>
      <c r="W170" s="70"/>
    </row>
    <row r="171" spans="2:23" ht="21.9" customHeight="1" x14ac:dyDescent="0.25">
      <c r="B171" s="71"/>
      <c r="C171" s="92">
        <v>8</v>
      </c>
      <c r="D171" s="266"/>
      <c r="E171" s="266"/>
      <c r="F171" s="93">
        <v>0.6080000000000001</v>
      </c>
      <c r="G171" s="94">
        <v>0.6080000000000001</v>
      </c>
      <c r="H171" s="94"/>
      <c r="I171" s="94"/>
      <c r="J171" s="94"/>
      <c r="K171" s="94"/>
      <c r="L171" s="94">
        <v>0.6080000000000001</v>
      </c>
      <c r="M171" s="94"/>
      <c r="N171" s="94"/>
      <c r="O171" s="94"/>
      <c r="P171" s="94"/>
      <c r="Q171" s="94">
        <v>0.6080000000000001</v>
      </c>
      <c r="R171" s="94">
        <v>0.6080000000000001</v>
      </c>
      <c r="S171" s="95">
        <v>0.6080000000000001</v>
      </c>
      <c r="T171" s="105"/>
      <c r="U171" s="105"/>
      <c r="V171" s="105"/>
      <c r="W171" s="70"/>
    </row>
    <row r="172" spans="2:23" ht="21.9" customHeight="1" x14ac:dyDescent="0.25">
      <c r="B172" s="71"/>
      <c r="C172" s="92">
        <v>9</v>
      </c>
      <c r="D172" s="266"/>
      <c r="E172" s="266"/>
      <c r="F172" s="93">
        <v>0.67100000000000004</v>
      </c>
      <c r="G172" s="94">
        <v>0.67100000000000004</v>
      </c>
      <c r="H172" s="94"/>
      <c r="I172" s="94"/>
      <c r="J172" s="94"/>
      <c r="K172" s="94"/>
      <c r="L172" s="94">
        <v>0.67100000000000004</v>
      </c>
      <c r="M172" s="94"/>
      <c r="N172" s="94"/>
      <c r="O172" s="94"/>
      <c r="P172" s="94"/>
      <c r="Q172" s="94">
        <v>0.67100000000000004</v>
      </c>
      <c r="R172" s="94">
        <v>0.67100000000000004</v>
      </c>
      <c r="S172" s="95">
        <v>0.67100000000000004</v>
      </c>
      <c r="T172" s="105"/>
      <c r="U172" s="105"/>
      <c r="V172" s="105"/>
      <c r="W172" s="70"/>
    </row>
    <row r="173" spans="2:23" ht="21.9" customHeight="1" x14ac:dyDescent="0.25">
      <c r="B173" s="71"/>
      <c r="C173" s="92">
        <v>10</v>
      </c>
      <c r="D173" s="266"/>
      <c r="E173" s="266"/>
      <c r="F173" s="93">
        <v>0.73399999999999999</v>
      </c>
      <c r="G173" s="94">
        <v>0.73399999999999999</v>
      </c>
      <c r="H173" s="94"/>
      <c r="I173" s="94"/>
      <c r="J173" s="94"/>
      <c r="K173" s="94"/>
      <c r="L173" s="94">
        <v>0.73399999999999999</v>
      </c>
      <c r="M173" s="94"/>
      <c r="N173" s="94"/>
      <c r="O173" s="94"/>
      <c r="P173" s="94"/>
      <c r="Q173" s="94">
        <v>0.73399999999999999</v>
      </c>
      <c r="R173" s="94">
        <v>0.73399999999999999</v>
      </c>
      <c r="S173" s="95">
        <v>0.73399999999999999</v>
      </c>
      <c r="T173" s="105"/>
      <c r="U173" s="105"/>
      <c r="V173" s="105"/>
      <c r="W173" s="70"/>
    </row>
    <row r="174" spans="2:23" ht="21.9" customHeight="1" x14ac:dyDescent="0.25">
      <c r="B174" s="71"/>
      <c r="C174" s="92">
        <v>11</v>
      </c>
      <c r="D174" s="266"/>
      <c r="E174" s="266"/>
      <c r="F174" s="93">
        <v>0.79</v>
      </c>
      <c r="G174" s="94">
        <v>0.79</v>
      </c>
      <c r="H174" s="94"/>
      <c r="I174" s="94"/>
      <c r="J174" s="94"/>
      <c r="K174" s="94"/>
      <c r="L174" s="94">
        <v>0.79</v>
      </c>
      <c r="M174" s="94"/>
      <c r="N174" s="94"/>
      <c r="O174" s="94"/>
      <c r="P174" s="94"/>
      <c r="Q174" s="94">
        <v>0.79</v>
      </c>
      <c r="R174" s="94">
        <v>0.79</v>
      </c>
      <c r="S174" s="95">
        <v>0.79</v>
      </c>
      <c r="T174" s="105"/>
      <c r="U174" s="105"/>
      <c r="V174" s="105"/>
      <c r="W174" s="70"/>
    </row>
    <row r="175" spans="2:23" ht="21.9" customHeight="1" x14ac:dyDescent="0.25">
      <c r="B175" s="71"/>
      <c r="C175" s="92">
        <v>12</v>
      </c>
      <c r="D175" s="266"/>
      <c r="E175" s="266"/>
      <c r="F175" s="93">
        <v>0.84300000000000008</v>
      </c>
      <c r="G175" s="94">
        <v>0.84300000000000008</v>
      </c>
      <c r="H175" s="94"/>
      <c r="I175" s="94"/>
      <c r="J175" s="94"/>
      <c r="K175" s="94"/>
      <c r="L175" s="94">
        <v>0.84300000000000008</v>
      </c>
      <c r="M175" s="94"/>
      <c r="N175" s="94"/>
      <c r="O175" s="94"/>
      <c r="P175" s="94"/>
      <c r="Q175" s="94">
        <v>0.84300000000000008</v>
      </c>
      <c r="R175" s="94">
        <v>0.84300000000000008</v>
      </c>
      <c r="S175" s="95">
        <v>0.84300000000000008</v>
      </c>
      <c r="T175" s="105"/>
      <c r="U175" s="105"/>
      <c r="V175" s="105"/>
      <c r="W175" s="70"/>
    </row>
    <row r="176" spans="2:23" ht="21.9" customHeight="1" x14ac:dyDescent="0.25">
      <c r="B176" s="71"/>
      <c r="C176" s="92">
        <v>13</v>
      </c>
      <c r="D176" s="266"/>
      <c r="E176" s="266"/>
      <c r="F176" s="93">
        <v>0.88600000000000012</v>
      </c>
      <c r="G176" s="94">
        <v>0.88600000000000012</v>
      </c>
      <c r="H176" s="94"/>
      <c r="I176" s="94"/>
      <c r="J176" s="94"/>
      <c r="K176" s="94"/>
      <c r="L176" s="94">
        <v>0.88600000000000012</v>
      </c>
      <c r="M176" s="94"/>
      <c r="N176" s="94"/>
      <c r="O176" s="94"/>
      <c r="P176" s="94"/>
      <c r="Q176" s="94">
        <v>0.88600000000000012</v>
      </c>
      <c r="R176" s="94">
        <v>0.88600000000000012</v>
      </c>
      <c r="S176" s="95">
        <v>0.88600000000000012</v>
      </c>
      <c r="T176" s="105"/>
      <c r="U176" s="105"/>
      <c r="V176" s="105"/>
      <c r="W176" s="70"/>
    </row>
    <row r="177" spans="2:23" ht="21.9" customHeight="1" x14ac:dyDescent="0.25">
      <c r="B177" s="71"/>
      <c r="C177" s="92">
        <v>14</v>
      </c>
      <c r="D177" s="266"/>
      <c r="E177" s="266"/>
      <c r="F177" s="93">
        <v>0.91600000000000015</v>
      </c>
      <c r="G177" s="94">
        <v>0.91600000000000015</v>
      </c>
      <c r="H177" s="94"/>
      <c r="I177" s="94"/>
      <c r="J177" s="94"/>
      <c r="K177" s="94"/>
      <c r="L177" s="94">
        <v>0.91600000000000015</v>
      </c>
      <c r="M177" s="94"/>
      <c r="N177" s="94"/>
      <c r="O177" s="94"/>
      <c r="P177" s="94"/>
      <c r="Q177" s="94">
        <v>0.91600000000000015</v>
      </c>
      <c r="R177" s="94">
        <v>0.91600000000000015</v>
      </c>
      <c r="S177" s="95">
        <v>0.91600000000000015</v>
      </c>
      <c r="T177" s="105"/>
      <c r="U177" s="105"/>
      <c r="V177" s="105"/>
      <c r="W177" s="70"/>
    </row>
    <row r="178" spans="2:23" ht="21.9" customHeight="1" x14ac:dyDescent="0.25">
      <c r="B178" s="71"/>
      <c r="C178" s="92">
        <v>15</v>
      </c>
      <c r="D178" s="266"/>
      <c r="E178" s="266"/>
      <c r="F178" s="93">
        <v>0.94300000000000017</v>
      </c>
      <c r="G178" s="94">
        <v>0.94300000000000017</v>
      </c>
      <c r="H178" s="94"/>
      <c r="I178" s="94"/>
      <c r="J178" s="94"/>
      <c r="K178" s="94"/>
      <c r="L178" s="94">
        <v>0.94300000000000017</v>
      </c>
      <c r="M178" s="94"/>
      <c r="N178" s="94"/>
      <c r="O178" s="94"/>
      <c r="P178" s="94"/>
      <c r="Q178" s="94">
        <v>0.94300000000000017</v>
      </c>
      <c r="R178" s="94">
        <v>0.94300000000000017</v>
      </c>
      <c r="S178" s="95">
        <v>0.94300000000000017</v>
      </c>
      <c r="T178" s="105"/>
      <c r="U178" s="105"/>
      <c r="V178" s="105"/>
      <c r="W178" s="70"/>
    </row>
    <row r="179" spans="2:23" ht="21.9" customHeight="1" x14ac:dyDescent="0.25">
      <c r="B179" s="71"/>
      <c r="C179" s="92">
        <v>16</v>
      </c>
      <c r="D179" s="266"/>
      <c r="E179" s="266"/>
      <c r="F179" s="93">
        <v>0.96400000000000019</v>
      </c>
      <c r="G179" s="94">
        <v>0.96400000000000019</v>
      </c>
      <c r="H179" s="94"/>
      <c r="I179" s="94"/>
      <c r="J179" s="94"/>
      <c r="K179" s="94"/>
      <c r="L179" s="94">
        <v>0.96400000000000019</v>
      </c>
      <c r="M179" s="94"/>
      <c r="N179" s="94"/>
      <c r="O179" s="94"/>
      <c r="P179" s="94"/>
      <c r="Q179" s="94">
        <v>0.96400000000000019</v>
      </c>
      <c r="R179" s="94">
        <v>0.96400000000000019</v>
      </c>
      <c r="S179" s="95">
        <v>0.96400000000000019</v>
      </c>
      <c r="T179" s="105"/>
      <c r="U179" s="105"/>
      <c r="V179" s="105"/>
      <c r="W179" s="70"/>
    </row>
    <row r="180" spans="2:23" ht="21.9" customHeight="1" x14ac:dyDescent="0.25">
      <c r="B180" s="71"/>
      <c r="C180" s="92">
        <v>17</v>
      </c>
      <c r="D180" s="266"/>
      <c r="E180" s="266"/>
      <c r="F180" s="93">
        <v>0.9760000000000002</v>
      </c>
      <c r="G180" s="94">
        <v>0.9760000000000002</v>
      </c>
      <c r="H180" s="94"/>
      <c r="I180" s="94"/>
      <c r="J180" s="94"/>
      <c r="K180" s="94"/>
      <c r="L180" s="94">
        <v>0.9760000000000002</v>
      </c>
      <c r="M180" s="94"/>
      <c r="N180" s="94"/>
      <c r="O180" s="94"/>
      <c r="P180" s="94"/>
      <c r="Q180" s="94">
        <v>0.9760000000000002</v>
      </c>
      <c r="R180" s="94">
        <v>0.9760000000000002</v>
      </c>
      <c r="S180" s="95">
        <v>0.9760000000000002</v>
      </c>
      <c r="T180" s="105"/>
      <c r="U180" s="105"/>
      <c r="V180" s="105"/>
      <c r="W180" s="70"/>
    </row>
    <row r="181" spans="2:23" ht="21.9" customHeight="1" x14ac:dyDescent="0.25">
      <c r="B181" s="71"/>
      <c r="C181" s="92">
        <v>18</v>
      </c>
      <c r="D181" s="266"/>
      <c r="E181" s="266"/>
      <c r="F181" s="93">
        <v>0.98500000000000021</v>
      </c>
      <c r="G181" s="94">
        <v>0.98500000000000021</v>
      </c>
      <c r="H181" s="94"/>
      <c r="I181" s="94"/>
      <c r="J181" s="94"/>
      <c r="K181" s="94"/>
      <c r="L181" s="94">
        <v>0.98500000000000021</v>
      </c>
      <c r="M181" s="94"/>
      <c r="N181" s="94"/>
      <c r="O181" s="94"/>
      <c r="P181" s="94"/>
      <c r="Q181" s="94">
        <v>0.98500000000000021</v>
      </c>
      <c r="R181" s="94">
        <v>0.98500000000000021</v>
      </c>
      <c r="S181" s="95">
        <v>0.98500000000000021</v>
      </c>
      <c r="T181" s="105"/>
      <c r="U181" s="105"/>
      <c r="V181" s="105"/>
      <c r="W181" s="70"/>
    </row>
    <row r="182" spans="2:23" ht="21.9" customHeight="1" x14ac:dyDescent="0.25">
      <c r="B182" s="71"/>
      <c r="C182" s="92">
        <v>19</v>
      </c>
      <c r="D182" s="266"/>
      <c r="E182" s="266"/>
      <c r="F182" s="93">
        <v>0.99100000000000021</v>
      </c>
      <c r="G182" s="94">
        <v>0.99100000000000021</v>
      </c>
      <c r="H182" s="94"/>
      <c r="I182" s="94"/>
      <c r="J182" s="94"/>
      <c r="K182" s="94"/>
      <c r="L182" s="94">
        <v>0.99100000000000021</v>
      </c>
      <c r="M182" s="94"/>
      <c r="N182" s="94"/>
      <c r="O182" s="94"/>
      <c r="P182" s="94"/>
      <c r="Q182" s="94">
        <v>0.99100000000000021</v>
      </c>
      <c r="R182" s="94">
        <v>0.99100000000000021</v>
      </c>
      <c r="S182" s="95">
        <v>0.99100000000000021</v>
      </c>
      <c r="T182" s="105"/>
      <c r="U182" s="105"/>
      <c r="V182" s="105"/>
      <c r="W182" s="70"/>
    </row>
    <row r="183" spans="2:23" ht="21.9" customHeight="1" x14ac:dyDescent="0.25">
      <c r="B183" s="71"/>
      <c r="C183" s="92">
        <v>20</v>
      </c>
      <c r="D183" s="266"/>
      <c r="E183" s="266"/>
      <c r="F183" s="93">
        <v>0.99400000000000022</v>
      </c>
      <c r="G183" s="94">
        <v>0.99400000000000022</v>
      </c>
      <c r="H183" s="94"/>
      <c r="I183" s="94"/>
      <c r="J183" s="94"/>
      <c r="K183" s="94"/>
      <c r="L183" s="94">
        <v>0.99400000000000022</v>
      </c>
      <c r="M183" s="94"/>
      <c r="N183" s="94"/>
      <c r="O183" s="94"/>
      <c r="P183" s="94"/>
      <c r="Q183" s="94">
        <v>0.99400000000000022</v>
      </c>
      <c r="R183" s="94">
        <v>0.99400000000000022</v>
      </c>
      <c r="S183" s="95">
        <v>0.99400000000000022</v>
      </c>
      <c r="T183" s="105"/>
      <c r="U183" s="105"/>
      <c r="V183" s="105"/>
      <c r="W183" s="70"/>
    </row>
    <row r="184" spans="2:23" ht="21.9" customHeight="1" x14ac:dyDescent="0.25">
      <c r="B184" s="71"/>
      <c r="C184" s="92">
        <v>21</v>
      </c>
      <c r="D184" s="266"/>
      <c r="E184" s="266"/>
      <c r="F184" s="93">
        <v>0.99700000000000022</v>
      </c>
      <c r="G184" s="94">
        <v>0.99700000000000022</v>
      </c>
      <c r="H184" s="94"/>
      <c r="I184" s="94"/>
      <c r="J184" s="94"/>
      <c r="K184" s="94"/>
      <c r="L184" s="94">
        <v>0.99700000000000022</v>
      </c>
      <c r="M184" s="94"/>
      <c r="N184" s="94"/>
      <c r="O184" s="94"/>
      <c r="P184" s="94"/>
      <c r="Q184" s="94">
        <v>0.99700000000000022</v>
      </c>
      <c r="R184" s="94">
        <v>0.99700000000000022</v>
      </c>
      <c r="S184" s="95">
        <v>0.99700000000000022</v>
      </c>
      <c r="T184" s="105"/>
      <c r="U184" s="105"/>
      <c r="V184" s="105"/>
      <c r="W184" s="70"/>
    </row>
    <row r="185" spans="2:23" ht="21.9" customHeight="1" x14ac:dyDescent="0.25">
      <c r="B185" s="71"/>
      <c r="C185" s="92">
        <v>22</v>
      </c>
      <c r="D185" s="266"/>
      <c r="E185" s="266"/>
      <c r="F185" s="93">
        <v>0.99800000000000022</v>
      </c>
      <c r="G185" s="94">
        <v>0.99800000000000022</v>
      </c>
      <c r="H185" s="94"/>
      <c r="I185" s="94"/>
      <c r="J185" s="94"/>
      <c r="K185" s="94"/>
      <c r="L185" s="94">
        <v>0.99800000000000022</v>
      </c>
      <c r="M185" s="94"/>
      <c r="N185" s="94"/>
      <c r="O185" s="94"/>
      <c r="P185" s="94"/>
      <c r="Q185" s="94">
        <v>0.99800000000000022</v>
      </c>
      <c r="R185" s="94">
        <v>0.99800000000000022</v>
      </c>
      <c r="S185" s="95">
        <v>0.99800000000000022</v>
      </c>
      <c r="T185" s="105"/>
      <c r="U185" s="105"/>
      <c r="V185" s="105"/>
      <c r="W185" s="70"/>
    </row>
    <row r="186" spans="2:23" ht="21.9" customHeight="1" x14ac:dyDescent="0.25">
      <c r="B186" s="71"/>
      <c r="C186" s="92">
        <v>23</v>
      </c>
      <c r="D186" s="266"/>
      <c r="E186" s="266"/>
      <c r="F186" s="93">
        <v>0.99900000000000022</v>
      </c>
      <c r="G186" s="94">
        <v>0.99900000000000022</v>
      </c>
      <c r="H186" s="94"/>
      <c r="I186" s="94"/>
      <c r="J186" s="94"/>
      <c r="K186" s="94"/>
      <c r="L186" s="94">
        <v>0.99900000000000022</v>
      </c>
      <c r="M186" s="94"/>
      <c r="N186" s="94"/>
      <c r="O186" s="94"/>
      <c r="P186" s="94"/>
      <c r="Q186" s="94">
        <v>0.99900000000000022</v>
      </c>
      <c r="R186" s="94">
        <v>0.99900000000000022</v>
      </c>
      <c r="S186" s="95">
        <v>0.99900000000000022</v>
      </c>
      <c r="T186" s="105"/>
      <c r="U186" s="105"/>
      <c r="V186" s="105"/>
      <c r="W186" s="70"/>
    </row>
    <row r="187" spans="2:23" ht="21.9" customHeight="1" x14ac:dyDescent="0.25">
      <c r="B187" s="71"/>
      <c r="C187" s="96">
        <v>24</v>
      </c>
      <c r="D187" s="267"/>
      <c r="E187" s="267"/>
      <c r="F187" s="97">
        <v>1.0000000000000002</v>
      </c>
      <c r="G187" s="98">
        <v>1.0000000000000002</v>
      </c>
      <c r="H187" s="98"/>
      <c r="I187" s="98"/>
      <c r="J187" s="98"/>
      <c r="K187" s="98"/>
      <c r="L187" s="98">
        <v>1.0000000000000002</v>
      </c>
      <c r="M187" s="98"/>
      <c r="N187" s="98"/>
      <c r="O187" s="98"/>
      <c r="P187" s="98"/>
      <c r="Q187" s="98">
        <v>1.0000000000000002</v>
      </c>
      <c r="R187" s="98">
        <v>1.0000000000000002</v>
      </c>
      <c r="S187" s="99">
        <v>1.0000000000000002</v>
      </c>
      <c r="T187" s="105"/>
      <c r="U187" s="105"/>
      <c r="V187" s="105"/>
      <c r="W187" s="70"/>
    </row>
    <row r="188" spans="2:23" ht="21.9" customHeight="1" x14ac:dyDescent="0.25">
      <c r="B188" s="71"/>
      <c r="C188" s="103" t="s">
        <v>146</v>
      </c>
      <c r="D188" s="103"/>
      <c r="E188" s="103"/>
      <c r="F188" s="105"/>
      <c r="G188" s="105"/>
      <c r="H188" s="105"/>
      <c r="I188" s="105"/>
      <c r="J188" s="105"/>
      <c r="K188" s="105"/>
      <c r="L188" s="105"/>
      <c r="M188" s="105"/>
      <c r="N188" s="105"/>
      <c r="O188" s="105"/>
      <c r="P188" s="105"/>
      <c r="Q188" s="105"/>
      <c r="R188" s="105"/>
      <c r="S188" s="105"/>
      <c r="T188" s="105"/>
      <c r="U188" s="105"/>
      <c r="V188" s="105"/>
      <c r="W188" s="70"/>
    </row>
    <row r="189" spans="2:23" ht="21.9" customHeight="1" x14ac:dyDescent="0.25">
      <c r="B189" s="71"/>
      <c r="C189" s="104" t="s">
        <v>147</v>
      </c>
      <c r="D189" s="104"/>
      <c r="E189" s="104"/>
      <c r="F189" s="105"/>
      <c r="G189" s="105"/>
      <c r="H189" s="105"/>
      <c r="I189" s="105"/>
      <c r="J189" s="105"/>
      <c r="K189" s="105"/>
      <c r="L189" s="105"/>
      <c r="M189" s="105"/>
      <c r="N189" s="105"/>
      <c r="O189" s="105"/>
      <c r="P189" s="105"/>
      <c r="Q189" s="105"/>
      <c r="R189" s="105"/>
      <c r="S189" s="105"/>
      <c r="T189" s="105"/>
      <c r="U189" s="105"/>
      <c r="V189" s="105"/>
      <c r="W189" s="70"/>
    </row>
    <row r="190" spans="2:23" ht="21.9" customHeight="1" thickBot="1" x14ac:dyDescent="0.3">
      <c r="B190" s="100"/>
      <c r="C190" s="101"/>
      <c r="D190" s="101"/>
      <c r="E190" s="101"/>
      <c r="F190" s="101"/>
      <c r="G190" s="101"/>
      <c r="H190" s="101"/>
      <c r="I190" s="101"/>
      <c r="J190" s="101"/>
      <c r="K190" s="101"/>
      <c r="L190" s="101"/>
      <c r="M190" s="101"/>
      <c r="N190" s="101"/>
      <c r="O190" s="101"/>
      <c r="P190" s="101"/>
      <c r="Q190" s="101"/>
      <c r="R190" s="101"/>
      <c r="S190" s="101"/>
      <c r="T190" s="101"/>
      <c r="U190" s="101"/>
      <c r="V190" s="101"/>
      <c r="W190" s="102"/>
    </row>
    <row r="191" spans="2:23" ht="21.9" customHeight="1" thickTop="1" x14ac:dyDescent="0.25">
      <c r="B191" s="73"/>
      <c r="C191" s="73"/>
      <c r="D191" s="73"/>
      <c r="E191" s="73"/>
      <c r="F191" s="73"/>
      <c r="G191" s="73"/>
      <c r="H191" s="73"/>
      <c r="I191" s="73"/>
      <c r="J191" s="73"/>
      <c r="K191" s="73"/>
      <c r="L191" s="73"/>
      <c r="M191" s="73"/>
      <c r="N191" s="73"/>
      <c r="O191" s="73"/>
      <c r="P191" s="73"/>
      <c r="Q191" s="73"/>
      <c r="R191" s="73"/>
      <c r="S191" s="73"/>
      <c r="T191" s="73"/>
      <c r="U191" s="73"/>
      <c r="V191" s="73"/>
      <c r="W191" s="73"/>
    </row>
  </sheetData>
  <mergeCells count="40">
    <mergeCell ref="X86:AW86"/>
    <mergeCell ref="AX86:BW86"/>
    <mergeCell ref="H86:H87"/>
    <mergeCell ref="J86:J87"/>
    <mergeCell ref="I86:I87"/>
    <mergeCell ref="K86:K87"/>
    <mergeCell ref="M86:M87"/>
    <mergeCell ref="O86:O87"/>
    <mergeCell ref="N86:N87"/>
    <mergeCell ref="P86:P87"/>
    <mergeCell ref="W86:W87"/>
    <mergeCell ref="V86:V87"/>
    <mergeCell ref="T86:T87"/>
    <mergeCell ref="U86:U87"/>
    <mergeCell ref="C111:C113"/>
    <mergeCell ref="C115:C118"/>
    <mergeCell ref="C128:C130"/>
    <mergeCell ref="C131:C133"/>
    <mergeCell ref="C135:C138"/>
    <mergeCell ref="C29:D29"/>
    <mergeCell ref="B150:G150"/>
    <mergeCell ref="S86:S87"/>
    <mergeCell ref="R86:R87"/>
    <mergeCell ref="Q86:Q87"/>
    <mergeCell ref="L86:L87"/>
    <mergeCell ref="C86:C87"/>
    <mergeCell ref="B86:B87"/>
    <mergeCell ref="F86:F87"/>
    <mergeCell ref="G86:G87"/>
    <mergeCell ref="D86:E86"/>
    <mergeCell ref="C88:C90"/>
    <mergeCell ref="C91:C93"/>
    <mergeCell ref="C95:C98"/>
    <mergeCell ref="C108:C110"/>
    <mergeCell ref="A37:B45"/>
    <mergeCell ref="B53:C56"/>
    <mergeCell ref="C30:D30"/>
    <mergeCell ref="C31:D31"/>
    <mergeCell ref="C32:D32"/>
    <mergeCell ref="C33:D33"/>
  </mergeCells>
  <hyperlinks>
    <hyperlink ref="B150" location="'Vehicle Volume'!J9:J16" display="Referenced in: Vehicle Volume" xr:uid="{F338E8C2-00D8-4691-AA39-F4096E2F0A54}"/>
    <hyperlink ref="B150:G150" location="'Volume and Speed'!J7:L16" display="Used in: Volume and Speed" xr:uid="{BDDC6BF7-EA50-4157-8494-BDB60EB41FFA}"/>
  </hyperlinks>
  <pageMargins left="0.7" right="0.7" top="0.75" bottom="0.75" header="0.3" footer="0.3"/>
  <pageSetup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660D-8FE6-4AE7-B000-B63CB21B261E}">
  <sheetPr codeName="Sheet6">
    <tabColor theme="4" tint="0.59999389629810485"/>
  </sheetPr>
  <dimension ref="A2:O358"/>
  <sheetViews>
    <sheetView zoomScale="60" zoomScaleNormal="60" workbookViewId="0">
      <selection activeCell="M29" sqref="M29"/>
    </sheetView>
  </sheetViews>
  <sheetFormatPr defaultColWidth="11.59765625" defaultRowHeight="21.9" customHeight="1" x14ac:dyDescent="0.25"/>
  <cols>
    <col min="1" max="1" width="3.3984375" customWidth="1"/>
    <col min="2" max="2" width="11.59765625" style="2" customWidth="1"/>
    <col min="4" max="4" width="13.59765625" bestFit="1" customWidth="1"/>
    <col min="5" max="5" width="15" bestFit="1" customWidth="1"/>
    <col min="6" max="6" width="16" bestFit="1" customWidth="1"/>
    <col min="7" max="7" width="66" customWidth="1"/>
    <col min="10" max="10" width="60.69921875" bestFit="1" customWidth="1"/>
    <col min="11" max="12" width="16.8984375" customWidth="1"/>
    <col min="13" max="13" width="77.69921875" bestFit="1" customWidth="1"/>
    <col min="14" max="14" width="101.19921875" bestFit="1" customWidth="1"/>
  </cols>
  <sheetData>
    <row r="2" spans="1:15" ht="21.9" customHeight="1" x14ac:dyDescent="0.25">
      <c r="B2" s="1437" t="s">
        <v>68</v>
      </c>
      <c r="C2" s="1437"/>
      <c r="D2" s="1437"/>
    </row>
    <row r="3" spans="1:15" ht="21.9" customHeight="1" x14ac:dyDescent="0.25">
      <c r="B3"/>
    </row>
    <row r="4" spans="1:15" s="2" customFormat="1" ht="21.75" customHeight="1" x14ac:dyDescent="0.25">
      <c r="A4"/>
      <c r="B4" s="371" t="s">
        <v>46</v>
      </c>
      <c r="D4"/>
      <c r="E4"/>
      <c r="F4"/>
      <c r="G4"/>
      <c r="J4" s="372" t="s">
        <v>406</v>
      </c>
    </row>
    <row r="5" spans="1:15" s="2" customFormat="1" ht="21.75" customHeight="1" thickBot="1" x14ac:dyDescent="0.3">
      <c r="A5"/>
      <c r="B5" s="10"/>
      <c r="D5"/>
      <c r="E5"/>
      <c r="F5"/>
      <c r="G5"/>
      <c r="J5"/>
    </row>
    <row r="6" spans="1:15" s="2" customFormat="1" ht="21.75" customHeight="1" thickBot="1" x14ac:dyDescent="0.3">
      <c r="A6"/>
      <c r="B6" t="s">
        <v>183</v>
      </c>
      <c r="D6"/>
      <c r="E6"/>
      <c r="F6"/>
      <c r="G6"/>
      <c r="J6" s="843" t="s">
        <v>414</v>
      </c>
      <c r="K6" s="902" t="s">
        <v>415</v>
      </c>
      <c r="L6" s="462" t="s">
        <v>3</v>
      </c>
      <c r="M6" s="459" t="s">
        <v>427</v>
      </c>
      <c r="N6" s="462" t="s">
        <v>104</v>
      </c>
      <c r="O6" s="180"/>
    </row>
    <row r="7" spans="1:15" s="2" customFormat="1" ht="21.75" customHeight="1" x14ac:dyDescent="0.25">
      <c r="A7"/>
      <c r="B7" t="s">
        <v>707</v>
      </c>
      <c r="D7"/>
      <c r="E7"/>
      <c r="F7"/>
      <c r="G7"/>
      <c r="J7" s="469" t="s">
        <v>407</v>
      </c>
      <c r="K7" s="725" t="s">
        <v>411</v>
      </c>
      <c r="L7" s="114">
        <v>22.3</v>
      </c>
      <c r="M7" s="903" t="s">
        <v>417</v>
      </c>
      <c r="N7" s="903" t="s">
        <v>428</v>
      </c>
    </row>
    <row r="8" spans="1:15" s="2" customFormat="1" ht="21.75" customHeight="1" x14ac:dyDescent="0.25">
      <c r="A8"/>
      <c r="B8" s="1" t="s">
        <v>708</v>
      </c>
      <c r="D8"/>
      <c r="E8"/>
      <c r="F8"/>
      <c r="G8"/>
      <c r="J8" s="469" t="s">
        <v>407</v>
      </c>
      <c r="K8" s="725" t="s">
        <v>412</v>
      </c>
      <c r="L8" s="114">
        <v>6</v>
      </c>
      <c r="M8" s="904" t="s">
        <v>418</v>
      </c>
      <c r="N8" s="904" t="s">
        <v>429</v>
      </c>
    </row>
    <row r="9" spans="1:15" s="2" customFormat="1" ht="21.75" customHeight="1" x14ac:dyDescent="0.25">
      <c r="A9"/>
      <c r="B9"/>
      <c r="D9"/>
      <c r="E9"/>
      <c r="F9"/>
      <c r="G9"/>
      <c r="J9" s="469" t="s">
        <v>408</v>
      </c>
      <c r="K9" s="725" t="s">
        <v>411</v>
      </c>
      <c r="L9" s="114">
        <v>0.192</v>
      </c>
      <c r="M9" s="904" t="s">
        <v>420</v>
      </c>
      <c r="N9" s="904" t="s">
        <v>431</v>
      </c>
    </row>
    <row r="10" spans="1:15" ht="21.9" customHeight="1" thickBot="1" x14ac:dyDescent="0.3">
      <c r="B10" t="s">
        <v>706</v>
      </c>
      <c r="J10" s="469" t="s">
        <v>408</v>
      </c>
      <c r="K10" s="725" t="s">
        <v>412</v>
      </c>
      <c r="L10" s="114">
        <v>4.1689999999999996</v>
      </c>
      <c r="M10" s="904" t="s">
        <v>421</v>
      </c>
      <c r="N10" s="904" t="s">
        <v>431</v>
      </c>
    </row>
    <row r="11" spans="1:15" s="2" customFormat="1" ht="21.9" customHeight="1" thickBot="1" x14ac:dyDescent="0.3">
      <c r="A11"/>
      <c r="B11" s="843" t="s">
        <v>10</v>
      </c>
      <c r="C11" s="909" t="s">
        <v>43</v>
      </c>
      <c r="D11" s="909" t="s">
        <v>405</v>
      </c>
      <c r="E11" s="909" t="s">
        <v>41</v>
      </c>
      <c r="F11" s="909" t="s">
        <v>40</v>
      </c>
      <c r="G11" s="807" t="s">
        <v>4</v>
      </c>
      <c r="J11" s="469" t="s">
        <v>409</v>
      </c>
      <c r="K11" s="725" t="s">
        <v>413</v>
      </c>
      <c r="L11" s="114">
        <v>10</v>
      </c>
      <c r="M11" s="904" t="s">
        <v>422</v>
      </c>
      <c r="N11" s="904" t="s">
        <v>430</v>
      </c>
    </row>
    <row r="12" spans="1:15" ht="21.9" customHeight="1" x14ac:dyDescent="0.25">
      <c r="B12" s="469">
        <v>2021</v>
      </c>
      <c r="C12" s="171">
        <v>0</v>
      </c>
      <c r="D12" s="171">
        <v>0</v>
      </c>
      <c r="E12" s="171">
        <v>0</v>
      </c>
      <c r="F12" s="171">
        <v>0</v>
      </c>
      <c r="G12" s="1438" t="s">
        <v>702</v>
      </c>
      <c r="J12" s="469" t="s">
        <v>409</v>
      </c>
      <c r="K12" s="725" t="s">
        <v>412</v>
      </c>
      <c r="L12" s="114">
        <v>15</v>
      </c>
      <c r="M12" s="904" t="s">
        <v>422</v>
      </c>
      <c r="N12" s="904" t="s">
        <v>430</v>
      </c>
    </row>
    <row r="13" spans="1:15" ht="21.9" customHeight="1" x14ac:dyDescent="0.25">
      <c r="B13" s="469">
        <f t="shared" ref="B13:B44" si="0">B12+1</f>
        <v>2022</v>
      </c>
      <c r="C13" s="171">
        <v>0</v>
      </c>
      <c r="D13" s="171">
        <v>0</v>
      </c>
      <c r="E13" s="171">
        <v>0</v>
      </c>
      <c r="F13" s="171">
        <v>0</v>
      </c>
      <c r="G13" s="1439"/>
      <c r="J13" s="469" t="s">
        <v>497</v>
      </c>
      <c r="K13" s="725" t="s">
        <v>411</v>
      </c>
      <c r="L13" s="114">
        <v>0.01</v>
      </c>
      <c r="M13" s="904" t="s">
        <v>424</v>
      </c>
      <c r="N13" s="904" t="s">
        <v>431</v>
      </c>
    </row>
    <row r="14" spans="1:15" ht="21.9" customHeight="1" x14ac:dyDescent="0.25">
      <c r="B14" s="469">
        <f t="shared" si="0"/>
        <v>2023</v>
      </c>
      <c r="C14" s="171">
        <v>19800</v>
      </c>
      <c r="D14" s="171">
        <v>52900</v>
      </c>
      <c r="E14" s="171">
        <v>951000</v>
      </c>
      <c r="F14" s="171">
        <v>228</v>
      </c>
      <c r="G14" s="1439"/>
      <c r="J14" s="469" t="s">
        <v>497</v>
      </c>
      <c r="K14" s="725" t="s">
        <v>412</v>
      </c>
      <c r="L14" s="114">
        <v>0.11899999999999999</v>
      </c>
      <c r="M14" s="904" t="s">
        <v>425</v>
      </c>
      <c r="N14" s="904" t="s">
        <v>431</v>
      </c>
    </row>
    <row r="15" spans="1:15" ht="21.9" customHeight="1" x14ac:dyDescent="0.25">
      <c r="B15" s="469">
        <f t="shared" si="0"/>
        <v>2024</v>
      </c>
      <c r="C15" s="171">
        <v>20100</v>
      </c>
      <c r="D15" s="171">
        <v>53800</v>
      </c>
      <c r="E15" s="171">
        <v>963200</v>
      </c>
      <c r="F15" s="171">
        <v>233</v>
      </c>
      <c r="G15" s="1439"/>
      <c r="J15" s="469" t="s">
        <v>498</v>
      </c>
      <c r="K15" s="725" t="s">
        <v>411</v>
      </c>
      <c r="L15" s="114">
        <v>8887</v>
      </c>
      <c r="M15" s="904" t="s">
        <v>417</v>
      </c>
      <c r="N15" s="904" t="s">
        <v>428</v>
      </c>
    </row>
    <row r="16" spans="1:15" ht="21.9" customHeight="1" x14ac:dyDescent="0.25">
      <c r="B16" s="469">
        <f t="shared" si="0"/>
        <v>2025</v>
      </c>
      <c r="C16" s="171">
        <v>20300</v>
      </c>
      <c r="D16" s="171">
        <v>54800</v>
      </c>
      <c r="E16" s="171">
        <v>975500</v>
      </c>
      <c r="F16" s="171">
        <v>237</v>
      </c>
      <c r="G16" s="1439"/>
      <c r="J16" s="469" t="s">
        <v>498</v>
      </c>
      <c r="K16" s="725" t="s">
        <v>412</v>
      </c>
      <c r="L16" s="114">
        <v>10180</v>
      </c>
      <c r="M16" s="904" t="s">
        <v>417</v>
      </c>
      <c r="N16" s="904" t="s">
        <v>428</v>
      </c>
    </row>
    <row r="17" spans="2:14" ht="21.9" customHeight="1" x14ac:dyDescent="0.25">
      <c r="B17" s="469">
        <f t="shared" si="0"/>
        <v>2026</v>
      </c>
      <c r="C17" s="171">
        <v>20600</v>
      </c>
      <c r="D17" s="171">
        <v>56100</v>
      </c>
      <c r="E17" s="171">
        <v>993500</v>
      </c>
      <c r="F17" s="171">
        <v>241</v>
      </c>
      <c r="G17" s="1439"/>
      <c r="J17" s="469"/>
      <c r="K17" s="725"/>
      <c r="L17" s="114"/>
      <c r="M17" s="904"/>
      <c r="N17" s="904"/>
    </row>
    <row r="18" spans="2:14" ht="21.9" customHeight="1" x14ac:dyDescent="0.25">
      <c r="B18" s="469">
        <f t="shared" si="0"/>
        <v>2027</v>
      </c>
      <c r="C18" s="171">
        <v>21000</v>
      </c>
      <c r="D18" s="171">
        <v>57400</v>
      </c>
      <c r="E18" s="171">
        <v>1011900</v>
      </c>
      <c r="F18" s="171">
        <v>245</v>
      </c>
      <c r="G18" s="1439"/>
      <c r="J18" s="469" t="s">
        <v>416</v>
      </c>
      <c r="K18" s="725"/>
      <c r="L18" s="905">
        <v>9.9177700000000001E-12</v>
      </c>
      <c r="M18" s="904" t="s">
        <v>426</v>
      </c>
      <c r="N18" s="904" t="s">
        <v>432</v>
      </c>
    </row>
    <row r="19" spans="2:14" ht="21.9" customHeight="1" thickBot="1" x14ac:dyDescent="0.3">
      <c r="B19" s="469">
        <f t="shared" si="0"/>
        <v>2028</v>
      </c>
      <c r="C19" s="171">
        <v>21300</v>
      </c>
      <c r="D19" s="171">
        <v>58700</v>
      </c>
      <c r="E19" s="171">
        <v>1030600</v>
      </c>
      <c r="F19" s="171">
        <v>250</v>
      </c>
      <c r="G19" s="1439"/>
      <c r="J19" s="768" t="s">
        <v>410</v>
      </c>
      <c r="K19" s="906"/>
      <c r="L19" s="907">
        <v>9.9999999999999995E-7</v>
      </c>
      <c r="M19" s="908"/>
      <c r="N19" s="908"/>
    </row>
    <row r="20" spans="2:14" ht="21.9" customHeight="1" x14ac:dyDescent="0.25">
      <c r="B20" s="469">
        <f t="shared" si="0"/>
        <v>2029</v>
      </c>
      <c r="C20" s="171">
        <v>21700</v>
      </c>
      <c r="D20" s="171">
        <v>60100</v>
      </c>
      <c r="E20" s="171">
        <v>1049600</v>
      </c>
      <c r="F20" s="171">
        <v>253</v>
      </c>
      <c r="G20" s="1439"/>
    </row>
    <row r="21" spans="2:14" ht="21.9" customHeight="1" x14ac:dyDescent="0.25">
      <c r="B21" s="469">
        <f t="shared" si="0"/>
        <v>2030</v>
      </c>
      <c r="C21" s="171">
        <v>22000</v>
      </c>
      <c r="D21" s="171">
        <v>61500</v>
      </c>
      <c r="E21" s="171">
        <v>1069000</v>
      </c>
      <c r="F21" s="171">
        <v>257</v>
      </c>
      <c r="G21" s="1439"/>
    </row>
    <row r="22" spans="2:14" ht="21.9" customHeight="1" x14ac:dyDescent="0.25">
      <c r="B22" s="469">
        <f t="shared" si="0"/>
        <v>2031</v>
      </c>
      <c r="C22" s="171">
        <v>22000</v>
      </c>
      <c r="D22" s="171">
        <v>61500</v>
      </c>
      <c r="E22" s="171">
        <v>1069000</v>
      </c>
      <c r="F22" s="171">
        <v>262</v>
      </c>
      <c r="G22" s="1439"/>
    </row>
    <row r="23" spans="2:14" ht="21.9" customHeight="1" x14ac:dyDescent="0.25">
      <c r="B23" s="469">
        <f t="shared" si="0"/>
        <v>2032</v>
      </c>
      <c r="C23" s="171">
        <v>22000</v>
      </c>
      <c r="D23" s="171">
        <v>61500</v>
      </c>
      <c r="E23" s="171">
        <v>1069000</v>
      </c>
      <c r="F23" s="171">
        <v>265</v>
      </c>
      <c r="G23" s="1439"/>
    </row>
    <row r="24" spans="2:14" ht="21.9" customHeight="1" x14ac:dyDescent="0.25">
      <c r="B24" s="469">
        <f t="shared" si="0"/>
        <v>2033</v>
      </c>
      <c r="C24" s="171">
        <v>22000</v>
      </c>
      <c r="D24" s="171">
        <v>61500</v>
      </c>
      <c r="E24" s="171">
        <v>1069000</v>
      </c>
      <c r="F24" s="171">
        <v>270</v>
      </c>
      <c r="G24" s="1439"/>
    </row>
    <row r="25" spans="2:14" ht="21.9" customHeight="1" x14ac:dyDescent="0.25">
      <c r="B25" s="469">
        <f t="shared" si="0"/>
        <v>2034</v>
      </c>
      <c r="C25" s="171">
        <v>22000</v>
      </c>
      <c r="D25" s="171">
        <v>61500</v>
      </c>
      <c r="E25" s="171">
        <v>1069000</v>
      </c>
      <c r="F25" s="171">
        <v>274</v>
      </c>
      <c r="G25" s="1439"/>
      <c r="H25" t="s">
        <v>87</v>
      </c>
    </row>
    <row r="26" spans="2:14" ht="21.9" customHeight="1" x14ac:dyDescent="0.25">
      <c r="B26" s="469">
        <f t="shared" si="0"/>
        <v>2035</v>
      </c>
      <c r="C26" s="171">
        <v>22000</v>
      </c>
      <c r="D26" s="171">
        <v>61500</v>
      </c>
      <c r="E26" s="171">
        <v>1069000</v>
      </c>
      <c r="F26" s="171">
        <v>278</v>
      </c>
      <c r="G26" s="1439"/>
    </row>
    <row r="27" spans="2:14" ht="21.9" customHeight="1" x14ac:dyDescent="0.25">
      <c r="B27" s="469">
        <f t="shared" si="0"/>
        <v>2036</v>
      </c>
      <c r="C27" s="171">
        <v>22000</v>
      </c>
      <c r="D27" s="171">
        <v>61500</v>
      </c>
      <c r="E27" s="171">
        <v>1069000</v>
      </c>
      <c r="F27" s="171">
        <v>282</v>
      </c>
      <c r="G27" s="1439"/>
    </row>
    <row r="28" spans="2:14" ht="21.9" customHeight="1" x14ac:dyDescent="0.25">
      <c r="B28" s="469">
        <f t="shared" si="0"/>
        <v>2037</v>
      </c>
      <c r="C28" s="171">
        <v>22000</v>
      </c>
      <c r="D28" s="171">
        <v>61500</v>
      </c>
      <c r="E28" s="171">
        <v>1069000</v>
      </c>
      <c r="F28" s="171">
        <v>287</v>
      </c>
      <c r="G28" s="1439"/>
    </row>
    <row r="29" spans="2:14" ht="21.9" customHeight="1" x14ac:dyDescent="0.25">
      <c r="B29" s="469">
        <f t="shared" si="0"/>
        <v>2038</v>
      </c>
      <c r="C29" s="171">
        <v>22000</v>
      </c>
      <c r="D29" s="171">
        <v>61500</v>
      </c>
      <c r="E29" s="171">
        <v>1069000</v>
      </c>
      <c r="F29" s="171">
        <v>290</v>
      </c>
      <c r="G29" s="1439"/>
    </row>
    <row r="30" spans="2:14" ht="21.9" customHeight="1" x14ac:dyDescent="0.25">
      <c r="B30" s="469">
        <f t="shared" si="0"/>
        <v>2039</v>
      </c>
      <c r="C30" s="171">
        <v>22000</v>
      </c>
      <c r="D30" s="171">
        <v>61500</v>
      </c>
      <c r="E30" s="171">
        <v>1069000</v>
      </c>
      <c r="F30" s="171">
        <v>294</v>
      </c>
      <c r="G30" s="1439"/>
    </row>
    <row r="31" spans="2:14" ht="21.9" customHeight="1" x14ac:dyDescent="0.25">
      <c r="B31" s="469">
        <f t="shared" si="0"/>
        <v>2040</v>
      </c>
      <c r="C31" s="171">
        <v>22000</v>
      </c>
      <c r="D31" s="171">
        <v>61500</v>
      </c>
      <c r="E31" s="171">
        <v>1069000</v>
      </c>
      <c r="F31" s="171">
        <v>299</v>
      </c>
      <c r="G31" s="1439"/>
    </row>
    <row r="32" spans="2:14" ht="21.9" customHeight="1" x14ac:dyDescent="0.25">
      <c r="B32" s="469">
        <f t="shared" si="0"/>
        <v>2041</v>
      </c>
      <c r="C32" s="171">
        <v>22000</v>
      </c>
      <c r="D32" s="171">
        <v>61500</v>
      </c>
      <c r="E32" s="171">
        <v>1069000</v>
      </c>
      <c r="F32" s="171">
        <v>303</v>
      </c>
      <c r="G32" s="1439"/>
    </row>
    <row r="33" spans="2:7" ht="21.9" customHeight="1" x14ac:dyDescent="0.25">
      <c r="B33" s="469">
        <f t="shared" si="0"/>
        <v>2042</v>
      </c>
      <c r="C33" s="171">
        <v>22000</v>
      </c>
      <c r="D33" s="171">
        <v>61500</v>
      </c>
      <c r="E33" s="171">
        <v>1069000</v>
      </c>
      <c r="F33" s="171">
        <v>308</v>
      </c>
      <c r="G33" s="1439"/>
    </row>
    <row r="34" spans="2:7" ht="21.9" customHeight="1" x14ac:dyDescent="0.25">
      <c r="B34" s="469">
        <f t="shared" si="0"/>
        <v>2043</v>
      </c>
      <c r="C34" s="171">
        <v>22000</v>
      </c>
      <c r="D34" s="171">
        <v>61500</v>
      </c>
      <c r="E34" s="171">
        <v>1069000</v>
      </c>
      <c r="F34" s="171">
        <v>312</v>
      </c>
      <c r="G34" s="1439"/>
    </row>
    <row r="35" spans="2:7" ht="21.9" customHeight="1" x14ac:dyDescent="0.25">
      <c r="B35" s="469">
        <f t="shared" si="0"/>
        <v>2044</v>
      </c>
      <c r="C35" s="171">
        <v>22000</v>
      </c>
      <c r="D35" s="171">
        <v>61500</v>
      </c>
      <c r="E35" s="171">
        <v>1069000</v>
      </c>
      <c r="F35" s="171">
        <v>317</v>
      </c>
      <c r="G35" s="1439"/>
    </row>
    <row r="36" spans="2:7" ht="21.9" customHeight="1" x14ac:dyDescent="0.25">
      <c r="B36" s="469">
        <f t="shared" si="0"/>
        <v>2045</v>
      </c>
      <c r="C36" s="171">
        <v>22000</v>
      </c>
      <c r="D36" s="171">
        <v>61500</v>
      </c>
      <c r="E36" s="171">
        <v>1069000</v>
      </c>
      <c r="F36" s="171">
        <v>321</v>
      </c>
      <c r="G36" s="1439"/>
    </row>
    <row r="37" spans="2:7" ht="21.9" customHeight="1" x14ac:dyDescent="0.25">
      <c r="B37" s="469">
        <f t="shared" si="0"/>
        <v>2046</v>
      </c>
      <c r="C37" s="171">
        <v>22000</v>
      </c>
      <c r="D37" s="171">
        <v>61500</v>
      </c>
      <c r="E37" s="171">
        <v>1069000</v>
      </c>
      <c r="F37" s="171">
        <v>326</v>
      </c>
      <c r="G37" s="1439"/>
    </row>
    <row r="38" spans="2:7" ht="21.9" customHeight="1" x14ac:dyDescent="0.25">
      <c r="B38" s="469">
        <f t="shared" si="0"/>
        <v>2047</v>
      </c>
      <c r="C38" s="171">
        <v>22000</v>
      </c>
      <c r="D38" s="171">
        <v>61500</v>
      </c>
      <c r="E38" s="171">
        <v>1069000</v>
      </c>
      <c r="F38" s="171">
        <v>331</v>
      </c>
      <c r="G38" s="1439"/>
    </row>
    <row r="39" spans="2:7" ht="21.9" customHeight="1" x14ac:dyDescent="0.25">
      <c r="B39" s="469">
        <f t="shared" si="0"/>
        <v>2048</v>
      </c>
      <c r="C39" s="171">
        <v>22000</v>
      </c>
      <c r="D39" s="171">
        <v>61500</v>
      </c>
      <c r="E39" s="171">
        <v>1069000</v>
      </c>
      <c r="F39" s="171">
        <v>336</v>
      </c>
      <c r="G39" s="1439"/>
    </row>
    <row r="40" spans="2:7" ht="21.9" customHeight="1" x14ac:dyDescent="0.25">
      <c r="B40" s="469">
        <f t="shared" si="0"/>
        <v>2049</v>
      </c>
      <c r="C40" s="171">
        <v>22000</v>
      </c>
      <c r="D40" s="171">
        <v>61500</v>
      </c>
      <c r="E40" s="171">
        <v>1069000</v>
      </c>
      <c r="F40" s="171">
        <v>340</v>
      </c>
      <c r="G40" s="1439"/>
    </row>
    <row r="41" spans="2:7" ht="21.9" customHeight="1" x14ac:dyDescent="0.25">
      <c r="B41" s="469">
        <f t="shared" si="0"/>
        <v>2050</v>
      </c>
      <c r="C41" s="171">
        <v>22000</v>
      </c>
      <c r="D41" s="171">
        <v>61500</v>
      </c>
      <c r="E41" s="171">
        <v>1069000</v>
      </c>
      <c r="F41" s="171">
        <v>345</v>
      </c>
      <c r="G41" s="1439"/>
    </row>
    <row r="42" spans="2:7" ht="21.9" customHeight="1" x14ac:dyDescent="0.25">
      <c r="B42" s="469">
        <f t="shared" si="0"/>
        <v>2051</v>
      </c>
      <c r="C42" s="171">
        <v>22000</v>
      </c>
      <c r="D42" s="171">
        <v>61500</v>
      </c>
      <c r="E42" s="171">
        <v>1069000</v>
      </c>
      <c r="F42" s="171">
        <v>349</v>
      </c>
      <c r="G42" s="1439"/>
    </row>
    <row r="43" spans="2:7" ht="21.9" customHeight="1" x14ac:dyDescent="0.25">
      <c r="B43" s="469">
        <f t="shared" si="0"/>
        <v>2052</v>
      </c>
      <c r="C43" s="171">
        <v>22000</v>
      </c>
      <c r="D43" s="171">
        <v>61500</v>
      </c>
      <c r="E43" s="171">
        <v>1069000</v>
      </c>
      <c r="F43" s="171">
        <v>353</v>
      </c>
      <c r="G43" s="1439"/>
    </row>
    <row r="44" spans="2:7" ht="21.9" customHeight="1" thickBot="1" x14ac:dyDescent="0.3">
      <c r="B44" s="768">
        <f t="shared" si="0"/>
        <v>2053</v>
      </c>
      <c r="C44" s="271">
        <v>22000</v>
      </c>
      <c r="D44" s="271">
        <v>61500</v>
      </c>
      <c r="E44" s="271">
        <v>1069000</v>
      </c>
      <c r="F44" s="271">
        <v>357</v>
      </c>
      <c r="G44" s="1440"/>
    </row>
    <row r="45" spans="2:7" ht="21.9" customHeight="1" x14ac:dyDescent="0.25">
      <c r="B45"/>
    </row>
    <row r="46" spans="2:7" ht="21.9" customHeight="1" x14ac:dyDescent="0.25">
      <c r="B46"/>
    </row>
    <row r="47" spans="2:7" ht="21.9" customHeight="1" x14ac:dyDescent="0.25">
      <c r="B47"/>
    </row>
    <row r="48" spans="2:7" ht="21.9" customHeight="1" x14ac:dyDescent="0.25">
      <c r="B48"/>
    </row>
    <row r="49" spans="2:2" ht="21.9" customHeight="1" x14ac:dyDescent="0.25">
      <c r="B49"/>
    </row>
    <row r="50" spans="2:2" ht="21.9" customHeight="1" x14ac:dyDescent="0.25">
      <c r="B50"/>
    </row>
    <row r="51" spans="2:2" ht="21.9" customHeight="1" x14ac:dyDescent="0.25">
      <c r="B51"/>
    </row>
    <row r="52" spans="2:2" ht="21.9" customHeight="1" x14ac:dyDescent="0.25">
      <c r="B52"/>
    </row>
    <row r="53" spans="2:2" ht="21.9" customHeight="1" x14ac:dyDescent="0.25">
      <c r="B53"/>
    </row>
    <row r="54" spans="2:2" ht="21.9" customHeight="1" x14ac:dyDescent="0.25">
      <c r="B54"/>
    </row>
    <row r="55" spans="2:2" ht="21.9" customHeight="1" x14ac:dyDescent="0.25">
      <c r="B55"/>
    </row>
    <row r="56" spans="2:2" ht="21.9" customHeight="1" x14ac:dyDescent="0.25">
      <c r="B56"/>
    </row>
    <row r="57" spans="2:2" ht="21.9" customHeight="1" x14ac:dyDescent="0.25">
      <c r="B57"/>
    </row>
    <row r="58" spans="2:2" ht="21.9" customHeight="1" x14ac:dyDescent="0.25">
      <c r="B58"/>
    </row>
    <row r="59" spans="2:2" ht="21.9" customHeight="1" x14ac:dyDescent="0.25">
      <c r="B59"/>
    </row>
    <row r="60" spans="2:2" ht="21.9" customHeight="1" x14ac:dyDescent="0.25">
      <c r="B60"/>
    </row>
    <row r="61" spans="2:2" ht="21.9" customHeight="1" x14ac:dyDescent="0.25">
      <c r="B61"/>
    </row>
    <row r="62" spans="2:2" ht="21.9" customHeight="1" x14ac:dyDescent="0.25">
      <c r="B62"/>
    </row>
    <row r="63" spans="2:2" ht="21.9" customHeight="1" x14ac:dyDescent="0.25">
      <c r="B63"/>
    </row>
    <row r="64" spans="2:2" ht="21.9" customHeight="1" x14ac:dyDescent="0.25">
      <c r="B64"/>
    </row>
    <row r="65" spans="2:2" ht="21.9" customHeight="1" x14ac:dyDescent="0.25">
      <c r="B65"/>
    </row>
    <row r="66" spans="2:2" ht="21.9" customHeight="1" x14ac:dyDescent="0.25">
      <c r="B66"/>
    </row>
    <row r="67" spans="2:2" ht="21.9" customHeight="1" x14ac:dyDescent="0.25">
      <c r="B67"/>
    </row>
    <row r="68" spans="2:2" ht="21.9" customHeight="1" x14ac:dyDescent="0.25">
      <c r="B68"/>
    </row>
    <row r="69" spans="2:2" ht="21.9" customHeight="1" x14ac:dyDescent="0.25">
      <c r="B69"/>
    </row>
    <row r="70" spans="2:2" ht="21.9" customHeight="1" x14ac:dyDescent="0.25">
      <c r="B70"/>
    </row>
    <row r="71" spans="2:2" ht="21.9" customHeight="1" x14ac:dyDescent="0.25">
      <c r="B71"/>
    </row>
    <row r="72" spans="2:2" ht="21.9" customHeight="1" x14ac:dyDescent="0.25">
      <c r="B72"/>
    </row>
    <row r="73" spans="2:2" ht="21.9" customHeight="1" x14ac:dyDescent="0.25">
      <c r="B73"/>
    </row>
    <row r="74" spans="2:2" ht="21.9" customHeight="1" x14ac:dyDescent="0.25">
      <c r="B74"/>
    </row>
    <row r="75" spans="2:2" ht="21.9" customHeight="1" x14ac:dyDescent="0.25">
      <c r="B75"/>
    </row>
    <row r="76" spans="2:2" ht="21.9" customHeight="1" x14ac:dyDescent="0.25">
      <c r="B76"/>
    </row>
    <row r="77" spans="2:2" ht="21.9" customHeight="1" x14ac:dyDescent="0.25">
      <c r="B77"/>
    </row>
    <row r="78" spans="2:2" ht="21.9" customHeight="1" x14ac:dyDescent="0.25">
      <c r="B78"/>
    </row>
    <row r="79" spans="2:2" ht="21.9" customHeight="1" x14ac:dyDescent="0.25">
      <c r="B79"/>
    </row>
    <row r="80" spans="2:2" ht="21.9" customHeight="1" x14ac:dyDescent="0.25">
      <c r="B80"/>
    </row>
    <row r="81" spans="2:2" ht="21.9" customHeight="1" x14ac:dyDescent="0.25">
      <c r="B81"/>
    </row>
    <row r="82" spans="2:2" ht="21.9" customHeight="1" x14ac:dyDescent="0.25">
      <c r="B82"/>
    </row>
    <row r="83" spans="2:2" ht="21.9" customHeight="1" x14ac:dyDescent="0.25">
      <c r="B83"/>
    </row>
    <row r="84" spans="2:2" ht="21.9" customHeight="1" x14ac:dyDescent="0.25">
      <c r="B84"/>
    </row>
    <row r="85" spans="2:2" ht="21.9" customHeight="1" x14ac:dyDescent="0.25">
      <c r="B85"/>
    </row>
    <row r="86" spans="2:2" ht="21.9" customHeight="1" x14ac:dyDescent="0.25">
      <c r="B86"/>
    </row>
    <row r="87" spans="2:2" ht="21.9" customHeight="1" x14ac:dyDescent="0.25">
      <c r="B87"/>
    </row>
    <row r="88" spans="2:2" ht="21.9" customHeight="1" x14ac:dyDescent="0.25">
      <c r="B88"/>
    </row>
    <row r="89" spans="2:2" ht="21.9" customHeight="1" x14ac:dyDescent="0.25">
      <c r="B89"/>
    </row>
    <row r="90" spans="2:2" ht="21.9" customHeight="1" x14ac:dyDescent="0.25">
      <c r="B90"/>
    </row>
    <row r="91" spans="2:2" ht="21.9" customHeight="1" x14ac:dyDescent="0.25">
      <c r="B91"/>
    </row>
    <row r="92" spans="2:2" ht="21.9" customHeight="1" x14ac:dyDescent="0.25">
      <c r="B92"/>
    </row>
    <row r="93" spans="2:2" ht="21.9" customHeight="1" x14ac:dyDescent="0.25">
      <c r="B93"/>
    </row>
    <row r="94" spans="2:2" ht="21.9" customHeight="1" x14ac:dyDescent="0.25">
      <c r="B94"/>
    </row>
    <row r="95" spans="2:2" ht="21.9" customHeight="1" x14ac:dyDescent="0.25">
      <c r="B95"/>
    </row>
    <row r="96" spans="2:2" ht="21.9" customHeight="1" x14ac:dyDescent="0.25">
      <c r="B96"/>
    </row>
    <row r="97" spans="2:2" ht="21.9" customHeight="1" x14ac:dyDescent="0.25">
      <c r="B97"/>
    </row>
    <row r="98" spans="2:2" ht="21.9" customHeight="1" x14ac:dyDescent="0.25">
      <c r="B98"/>
    </row>
    <row r="99" spans="2:2" ht="21.9" customHeight="1" x14ac:dyDescent="0.25">
      <c r="B99"/>
    </row>
    <row r="100" spans="2:2" ht="21.9" customHeight="1" x14ac:dyDescent="0.25">
      <c r="B100"/>
    </row>
    <row r="101" spans="2:2" ht="21.9" customHeight="1" x14ac:dyDescent="0.25">
      <c r="B101"/>
    </row>
    <row r="102" spans="2:2" ht="21.9" customHeight="1" x14ac:dyDescent="0.25">
      <c r="B102"/>
    </row>
    <row r="103" spans="2:2" ht="21.9" customHeight="1" x14ac:dyDescent="0.25">
      <c r="B103"/>
    </row>
    <row r="104" spans="2:2" ht="21.9" customHeight="1" x14ac:dyDescent="0.25">
      <c r="B104"/>
    </row>
    <row r="105" spans="2:2" ht="21.9" customHeight="1" x14ac:dyDescent="0.25">
      <c r="B105"/>
    </row>
    <row r="106" spans="2:2" ht="21.9" customHeight="1" x14ac:dyDescent="0.25">
      <c r="B106"/>
    </row>
    <row r="107" spans="2:2" ht="21.9" customHeight="1" x14ac:dyDescent="0.25">
      <c r="B107"/>
    </row>
    <row r="108" spans="2:2" ht="21.9" customHeight="1" x14ac:dyDescent="0.25">
      <c r="B108"/>
    </row>
    <row r="109" spans="2:2" ht="21.9" customHeight="1" x14ac:dyDescent="0.25">
      <c r="B109"/>
    </row>
    <row r="110" spans="2:2" ht="21.9" customHeight="1" x14ac:dyDescent="0.25">
      <c r="B110"/>
    </row>
    <row r="111" spans="2:2" ht="21.9" customHeight="1" x14ac:dyDescent="0.25">
      <c r="B111"/>
    </row>
    <row r="112" spans="2:2" ht="21.9" customHeight="1" x14ac:dyDescent="0.25">
      <c r="B112"/>
    </row>
    <row r="113" spans="2:2" ht="21.9" customHeight="1" x14ac:dyDescent="0.25">
      <c r="B113"/>
    </row>
    <row r="114" spans="2:2" ht="21.9" customHeight="1" x14ac:dyDescent="0.25">
      <c r="B114"/>
    </row>
    <row r="115" spans="2:2" ht="21.9" customHeight="1" x14ac:dyDescent="0.25">
      <c r="B115"/>
    </row>
    <row r="116" spans="2:2" ht="21.9" customHeight="1" x14ac:dyDescent="0.25">
      <c r="B116"/>
    </row>
    <row r="117" spans="2:2" ht="21.9" customHeight="1" x14ac:dyDescent="0.25">
      <c r="B117"/>
    </row>
    <row r="118" spans="2:2" ht="21.9" customHeight="1" x14ac:dyDescent="0.25">
      <c r="B118"/>
    </row>
    <row r="119" spans="2:2" ht="21.9" customHeight="1" x14ac:dyDescent="0.25">
      <c r="B119"/>
    </row>
    <row r="120" spans="2:2" ht="21.9" customHeight="1" x14ac:dyDescent="0.25">
      <c r="B120"/>
    </row>
    <row r="121" spans="2:2" ht="21.9" customHeight="1" x14ac:dyDescent="0.25">
      <c r="B121"/>
    </row>
    <row r="122" spans="2:2" ht="21.9" customHeight="1" x14ac:dyDescent="0.25">
      <c r="B122"/>
    </row>
    <row r="123" spans="2:2" ht="21.9" customHeight="1" x14ac:dyDescent="0.25">
      <c r="B123"/>
    </row>
    <row r="124" spans="2:2" ht="21.9" customHeight="1" x14ac:dyDescent="0.25">
      <c r="B124"/>
    </row>
    <row r="125" spans="2:2" ht="21.9" customHeight="1" x14ac:dyDescent="0.25">
      <c r="B125"/>
    </row>
    <row r="126" spans="2:2" ht="21.9" customHeight="1" x14ac:dyDescent="0.25">
      <c r="B126"/>
    </row>
    <row r="127" spans="2:2" ht="21.9" customHeight="1" x14ac:dyDescent="0.25">
      <c r="B127"/>
    </row>
    <row r="128" spans="2:2" ht="21.9" customHeight="1" x14ac:dyDescent="0.25">
      <c r="B128"/>
    </row>
    <row r="129" spans="2:2" ht="21.9" customHeight="1" x14ac:dyDescent="0.25">
      <c r="B129"/>
    </row>
    <row r="130" spans="2:2" ht="21.9" customHeight="1" x14ac:dyDescent="0.25">
      <c r="B130"/>
    </row>
    <row r="131" spans="2:2" ht="21.9" customHeight="1" x14ac:dyDescent="0.25">
      <c r="B131"/>
    </row>
    <row r="132" spans="2:2" ht="21.9" customHeight="1" x14ac:dyDescent="0.25">
      <c r="B132"/>
    </row>
    <row r="133" spans="2:2" ht="21.9" customHeight="1" x14ac:dyDescent="0.25">
      <c r="B133"/>
    </row>
    <row r="134" spans="2:2" ht="21.9" customHeight="1" x14ac:dyDescent="0.25">
      <c r="B134"/>
    </row>
    <row r="135" spans="2:2" ht="21.9" customHeight="1" x14ac:dyDescent="0.25">
      <c r="B135"/>
    </row>
    <row r="136" spans="2:2" ht="21.9" customHeight="1" x14ac:dyDescent="0.25">
      <c r="B136"/>
    </row>
    <row r="137" spans="2:2" ht="21.9" customHeight="1" x14ac:dyDescent="0.25">
      <c r="B137"/>
    </row>
    <row r="138" spans="2:2" ht="21.9" customHeight="1" x14ac:dyDescent="0.25">
      <c r="B138"/>
    </row>
    <row r="139" spans="2:2" ht="21.9" customHeight="1" x14ac:dyDescent="0.25">
      <c r="B139"/>
    </row>
    <row r="140" spans="2:2" ht="21.9" customHeight="1" x14ac:dyDescent="0.25">
      <c r="B140"/>
    </row>
    <row r="141" spans="2:2" ht="21.9" customHeight="1" x14ac:dyDescent="0.25">
      <c r="B141"/>
    </row>
    <row r="142" spans="2:2" ht="21.9" customHeight="1" x14ac:dyDescent="0.25">
      <c r="B142"/>
    </row>
    <row r="143" spans="2:2" ht="21.9" customHeight="1" x14ac:dyDescent="0.25">
      <c r="B143"/>
    </row>
    <row r="144" spans="2:2" ht="21.9" customHeight="1" x14ac:dyDescent="0.25">
      <c r="B144"/>
    </row>
    <row r="145" spans="2:2" ht="21.9" customHeight="1" x14ac:dyDescent="0.25">
      <c r="B145"/>
    </row>
    <row r="146" spans="2:2" ht="21.9" customHeight="1" x14ac:dyDescent="0.25">
      <c r="B146"/>
    </row>
    <row r="147" spans="2:2" ht="21.9" customHeight="1" x14ac:dyDescent="0.25">
      <c r="B147"/>
    </row>
    <row r="148" spans="2:2" ht="21.9" customHeight="1" x14ac:dyDescent="0.25">
      <c r="B148"/>
    </row>
    <row r="149" spans="2:2" ht="21.9" customHeight="1" x14ac:dyDescent="0.25">
      <c r="B149"/>
    </row>
    <row r="150" spans="2:2" ht="21.9" customHeight="1" x14ac:dyDescent="0.25">
      <c r="B150"/>
    </row>
    <row r="151" spans="2:2" ht="21.9" customHeight="1" x14ac:dyDescent="0.25">
      <c r="B151"/>
    </row>
    <row r="152" spans="2:2" ht="21.9" customHeight="1" x14ac:dyDescent="0.25">
      <c r="B152"/>
    </row>
    <row r="153" spans="2:2" ht="21.9" customHeight="1" x14ac:dyDescent="0.25">
      <c r="B153"/>
    </row>
    <row r="154" spans="2:2" ht="21.9" customHeight="1" x14ac:dyDescent="0.25">
      <c r="B154"/>
    </row>
    <row r="155" spans="2:2" ht="21.9" customHeight="1" x14ac:dyDescent="0.25">
      <c r="B155"/>
    </row>
    <row r="156" spans="2:2" ht="21.9" customHeight="1" x14ac:dyDescent="0.25">
      <c r="B156"/>
    </row>
    <row r="157" spans="2:2" ht="21.9" customHeight="1" x14ac:dyDescent="0.25">
      <c r="B157"/>
    </row>
    <row r="158" spans="2:2" ht="21.9" customHeight="1" x14ac:dyDescent="0.25">
      <c r="B158"/>
    </row>
    <row r="159" spans="2:2" ht="21.9" customHeight="1" x14ac:dyDescent="0.25">
      <c r="B159"/>
    </row>
    <row r="160" spans="2:2" ht="21.9" customHeight="1" x14ac:dyDescent="0.25">
      <c r="B160"/>
    </row>
    <row r="161" spans="2:2" ht="21.9" customHeight="1" x14ac:dyDescent="0.25">
      <c r="B161"/>
    </row>
    <row r="162" spans="2:2" ht="21.9" customHeight="1" x14ac:dyDescent="0.25">
      <c r="B162"/>
    </row>
    <row r="163" spans="2:2" ht="21.9" customHeight="1" x14ac:dyDescent="0.25">
      <c r="B163"/>
    </row>
    <row r="164" spans="2:2" ht="21.9" customHeight="1" x14ac:dyDescent="0.25">
      <c r="B164"/>
    </row>
    <row r="165" spans="2:2" ht="21.9" customHeight="1" x14ac:dyDescent="0.25">
      <c r="B165"/>
    </row>
    <row r="166" spans="2:2" ht="21.9" customHeight="1" x14ac:dyDescent="0.25">
      <c r="B166"/>
    </row>
    <row r="167" spans="2:2" ht="21.9" customHeight="1" x14ac:dyDescent="0.25">
      <c r="B167"/>
    </row>
    <row r="168" spans="2:2" ht="21.9" customHeight="1" x14ac:dyDescent="0.25">
      <c r="B168"/>
    </row>
    <row r="169" spans="2:2" ht="21.9" customHeight="1" x14ac:dyDescent="0.25">
      <c r="B169"/>
    </row>
    <row r="170" spans="2:2" ht="21.9" customHeight="1" x14ac:dyDescent="0.25">
      <c r="B170"/>
    </row>
    <row r="171" spans="2:2" ht="21.9" customHeight="1" x14ac:dyDescent="0.25">
      <c r="B171"/>
    </row>
    <row r="172" spans="2:2" ht="21.9" customHeight="1" x14ac:dyDescent="0.25">
      <c r="B172"/>
    </row>
    <row r="173" spans="2:2" ht="21.9" customHeight="1" x14ac:dyDescent="0.25">
      <c r="B173"/>
    </row>
    <row r="174" spans="2:2" ht="21.9" customHeight="1" x14ac:dyDescent="0.25">
      <c r="B174"/>
    </row>
    <row r="175" spans="2:2" ht="21.9" customHeight="1" x14ac:dyDescent="0.25">
      <c r="B175"/>
    </row>
    <row r="176" spans="2:2" ht="21.9" customHeight="1" x14ac:dyDescent="0.25">
      <c r="B176"/>
    </row>
    <row r="177" spans="2:2" ht="21.9" customHeight="1" x14ac:dyDescent="0.25">
      <c r="B177"/>
    </row>
    <row r="178" spans="2:2" ht="21.9" customHeight="1" x14ac:dyDescent="0.25">
      <c r="B178"/>
    </row>
    <row r="179" spans="2:2" ht="21.9" customHeight="1" x14ac:dyDescent="0.25">
      <c r="B179"/>
    </row>
    <row r="180" spans="2:2" ht="21.9" customHeight="1" x14ac:dyDescent="0.25">
      <c r="B180"/>
    </row>
    <row r="181" spans="2:2" ht="21.9" customHeight="1" x14ac:dyDescent="0.25">
      <c r="B181"/>
    </row>
    <row r="182" spans="2:2" ht="21.9" customHeight="1" x14ac:dyDescent="0.25">
      <c r="B182"/>
    </row>
    <row r="183" spans="2:2" ht="21.9" customHeight="1" x14ac:dyDescent="0.25">
      <c r="B183"/>
    </row>
    <row r="184" spans="2:2" ht="21.9" customHeight="1" x14ac:dyDescent="0.25">
      <c r="B184"/>
    </row>
    <row r="185" spans="2:2" ht="21.9" customHeight="1" x14ac:dyDescent="0.25">
      <c r="B185"/>
    </row>
    <row r="186" spans="2:2" ht="21.9" customHeight="1" x14ac:dyDescent="0.25">
      <c r="B186"/>
    </row>
    <row r="187" spans="2:2" ht="21.9" customHeight="1" x14ac:dyDescent="0.25">
      <c r="B187"/>
    </row>
    <row r="188" spans="2:2" ht="21.9" customHeight="1" x14ac:dyDescent="0.25">
      <c r="B188"/>
    </row>
    <row r="189" spans="2:2" ht="21.9" customHeight="1" x14ac:dyDescent="0.25">
      <c r="B189"/>
    </row>
    <row r="190" spans="2:2" ht="21.9" customHeight="1" x14ac:dyDescent="0.25">
      <c r="B190"/>
    </row>
    <row r="191" spans="2:2" ht="21.9" customHeight="1" x14ac:dyDescent="0.25">
      <c r="B191"/>
    </row>
    <row r="192" spans="2:2" ht="21.9" customHeight="1" x14ac:dyDescent="0.25">
      <c r="B192"/>
    </row>
    <row r="193" spans="2:2" ht="21.9" customHeight="1" x14ac:dyDescent="0.25">
      <c r="B193"/>
    </row>
    <row r="194" spans="2:2" ht="21.9" customHeight="1" x14ac:dyDescent="0.25">
      <c r="B194"/>
    </row>
    <row r="195" spans="2:2" ht="21.9" customHeight="1" x14ac:dyDescent="0.25">
      <c r="B195"/>
    </row>
    <row r="196" spans="2:2" ht="21.9" customHeight="1" x14ac:dyDescent="0.25">
      <c r="B196"/>
    </row>
    <row r="197" spans="2:2" ht="21.9" customHeight="1" x14ac:dyDescent="0.25">
      <c r="B197"/>
    </row>
    <row r="198" spans="2:2" ht="21.9" customHeight="1" x14ac:dyDescent="0.25">
      <c r="B198"/>
    </row>
    <row r="199" spans="2:2" ht="21.9" customHeight="1" x14ac:dyDescent="0.25">
      <c r="B199"/>
    </row>
    <row r="200" spans="2:2" ht="21.9" customHeight="1" x14ac:dyDescent="0.25">
      <c r="B200"/>
    </row>
    <row r="201" spans="2:2" ht="21.9" customHeight="1" x14ac:dyDescent="0.25">
      <c r="B201"/>
    </row>
    <row r="202" spans="2:2" ht="21.9" customHeight="1" x14ac:dyDescent="0.25">
      <c r="B202"/>
    </row>
    <row r="203" spans="2:2" ht="21.9" customHeight="1" x14ac:dyDescent="0.25">
      <c r="B203"/>
    </row>
    <row r="204" spans="2:2" ht="21.9" customHeight="1" x14ac:dyDescent="0.25">
      <c r="B204"/>
    </row>
    <row r="205" spans="2:2" ht="21.9" customHeight="1" x14ac:dyDescent="0.25">
      <c r="B205"/>
    </row>
    <row r="206" spans="2:2" ht="21.9" customHeight="1" x14ac:dyDescent="0.25">
      <c r="B206"/>
    </row>
    <row r="207" spans="2:2" ht="21.9" customHeight="1" x14ac:dyDescent="0.25">
      <c r="B207"/>
    </row>
    <row r="208" spans="2:2" ht="21.9" customHeight="1" x14ac:dyDescent="0.25">
      <c r="B208"/>
    </row>
    <row r="209" spans="2:2" ht="21.9" customHeight="1" x14ac:dyDescent="0.25">
      <c r="B209"/>
    </row>
    <row r="210" spans="2:2" ht="21.9" customHeight="1" x14ac:dyDescent="0.25">
      <c r="B210"/>
    </row>
    <row r="211" spans="2:2" ht="21.9" customHeight="1" x14ac:dyDescent="0.25">
      <c r="B211"/>
    </row>
    <row r="212" spans="2:2" ht="21.9" customHeight="1" x14ac:dyDescent="0.25">
      <c r="B212"/>
    </row>
    <row r="213" spans="2:2" ht="21.9" customHeight="1" x14ac:dyDescent="0.25">
      <c r="B213"/>
    </row>
    <row r="214" spans="2:2" ht="21.9" customHeight="1" x14ac:dyDescent="0.25">
      <c r="B214"/>
    </row>
    <row r="215" spans="2:2" ht="21.9" customHeight="1" x14ac:dyDescent="0.25">
      <c r="B215"/>
    </row>
    <row r="216" spans="2:2" ht="21.9" customHeight="1" x14ac:dyDescent="0.25">
      <c r="B216"/>
    </row>
    <row r="217" spans="2:2" ht="21.9" customHeight="1" x14ac:dyDescent="0.25">
      <c r="B217"/>
    </row>
    <row r="218" spans="2:2" ht="21.9" customHeight="1" x14ac:dyDescent="0.25">
      <c r="B218"/>
    </row>
    <row r="219" spans="2:2" ht="21.9" customHeight="1" x14ac:dyDescent="0.25">
      <c r="B219"/>
    </row>
    <row r="220" spans="2:2" ht="21.9" customHeight="1" x14ac:dyDescent="0.25">
      <c r="B220"/>
    </row>
    <row r="221" spans="2:2" ht="21.9" customHeight="1" x14ac:dyDescent="0.25">
      <c r="B221"/>
    </row>
    <row r="222" spans="2:2" ht="21.9" customHeight="1" x14ac:dyDescent="0.25">
      <c r="B222"/>
    </row>
    <row r="223" spans="2:2" ht="21.9" customHeight="1" x14ac:dyDescent="0.25">
      <c r="B223"/>
    </row>
    <row r="224" spans="2:2" ht="21.9" customHeight="1" x14ac:dyDescent="0.25">
      <c r="B224"/>
    </row>
    <row r="225" spans="2:2" ht="21.9" customHeight="1" x14ac:dyDescent="0.25">
      <c r="B225"/>
    </row>
    <row r="226" spans="2:2" ht="21.9" customHeight="1" x14ac:dyDescent="0.25">
      <c r="B226"/>
    </row>
    <row r="227" spans="2:2" ht="21.9" customHeight="1" x14ac:dyDescent="0.25">
      <c r="B227"/>
    </row>
    <row r="228" spans="2:2" ht="21.9" customHeight="1" x14ac:dyDescent="0.25">
      <c r="B228"/>
    </row>
    <row r="229" spans="2:2" ht="21.9" customHeight="1" x14ac:dyDescent="0.25">
      <c r="B229"/>
    </row>
    <row r="230" spans="2:2" ht="21.9" customHeight="1" x14ac:dyDescent="0.25">
      <c r="B230"/>
    </row>
    <row r="231" spans="2:2" ht="21.9" customHeight="1" x14ac:dyDescent="0.25">
      <c r="B231"/>
    </row>
    <row r="232" spans="2:2" ht="21.9" customHeight="1" x14ac:dyDescent="0.25">
      <c r="B232"/>
    </row>
    <row r="233" spans="2:2" ht="21.9" customHeight="1" x14ac:dyDescent="0.25">
      <c r="B233"/>
    </row>
    <row r="234" spans="2:2" ht="21.9" customHeight="1" x14ac:dyDescent="0.25">
      <c r="B234"/>
    </row>
    <row r="235" spans="2:2" ht="21.9" customHeight="1" x14ac:dyDescent="0.25">
      <c r="B235"/>
    </row>
    <row r="236" spans="2:2" ht="21.9" customHeight="1" x14ac:dyDescent="0.25">
      <c r="B236"/>
    </row>
    <row r="237" spans="2:2" ht="21.9" customHeight="1" x14ac:dyDescent="0.25">
      <c r="B237"/>
    </row>
    <row r="238" spans="2:2" ht="21.9" customHeight="1" x14ac:dyDescent="0.25">
      <c r="B238"/>
    </row>
    <row r="239" spans="2:2" ht="21.9" customHeight="1" x14ac:dyDescent="0.25">
      <c r="B239"/>
    </row>
    <row r="240" spans="2:2" ht="21.9" customHeight="1" x14ac:dyDescent="0.25">
      <c r="B240"/>
    </row>
    <row r="241" spans="2:2" ht="21.9" customHeight="1" x14ac:dyDescent="0.25">
      <c r="B241"/>
    </row>
    <row r="242" spans="2:2" ht="21.9" customHeight="1" x14ac:dyDescent="0.25">
      <c r="B242"/>
    </row>
    <row r="243" spans="2:2" ht="21.9" customHeight="1" x14ac:dyDescent="0.25">
      <c r="B243"/>
    </row>
    <row r="244" spans="2:2" ht="21.9" customHeight="1" x14ac:dyDescent="0.25">
      <c r="B244"/>
    </row>
    <row r="245" spans="2:2" ht="21.9" customHeight="1" x14ac:dyDescent="0.25">
      <c r="B245"/>
    </row>
    <row r="246" spans="2:2" ht="21.9" customHeight="1" x14ac:dyDescent="0.25">
      <c r="B246"/>
    </row>
    <row r="247" spans="2:2" ht="21.9" customHeight="1" x14ac:dyDescent="0.25">
      <c r="B247"/>
    </row>
    <row r="248" spans="2:2" ht="21.9" customHeight="1" x14ac:dyDescent="0.25">
      <c r="B248"/>
    </row>
    <row r="249" spans="2:2" ht="21.9" customHeight="1" x14ac:dyDescent="0.25">
      <c r="B249"/>
    </row>
    <row r="250" spans="2:2" ht="21.9" customHeight="1" x14ac:dyDescent="0.25">
      <c r="B250"/>
    </row>
    <row r="251" spans="2:2" ht="21.9" customHeight="1" x14ac:dyDescent="0.25">
      <c r="B251"/>
    </row>
    <row r="252" spans="2:2" ht="21.9" customHeight="1" x14ac:dyDescent="0.25">
      <c r="B252"/>
    </row>
    <row r="253" spans="2:2" ht="21.9" customHeight="1" x14ac:dyDescent="0.25">
      <c r="B253"/>
    </row>
    <row r="254" spans="2:2" ht="21.9" customHeight="1" x14ac:dyDescent="0.25">
      <c r="B254"/>
    </row>
    <row r="255" spans="2:2" ht="21.9" customHeight="1" x14ac:dyDescent="0.25">
      <c r="B255"/>
    </row>
    <row r="256" spans="2:2" ht="21.9" customHeight="1" x14ac:dyDescent="0.25">
      <c r="B256"/>
    </row>
    <row r="257" spans="2:2" ht="21.9" customHeight="1" x14ac:dyDescent="0.25">
      <c r="B257"/>
    </row>
    <row r="258" spans="2:2" ht="21.9" customHeight="1" x14ac:dyDescent="0.25">
      <c r="B258"/>
    </row>
    <row r="259" spans="2:2" ht="21.9" customHeight="1" x14ac:dyDescent="0.25">
      <c r="B259"/>
    </row>
    <row r="260" spans="2:2" ht="21.9" customHeight="1" x14ac:dyDescent="0.25">
      <c r="B260"/>
    </row>
    <row r="261" spans="2:2" ht="21.9" customHeight="1" x14ac:dyDescent="0.25">
      <c r="B261"/>
    </row>
    <row r="262" spans="2:2" ht="21.9" customHeight="1" x14ac:dyDescent="0.25">
      <c r="B262"/>
    </row>
    <row r="263" spans="2:2" ht="21.9" customHeight="1" x14ac:dyDescent="0.25">
      <c r="B263"/>
    </row>
    <row r="264" spans="2:2" ht="21.9" customHeight="1" x14ac:dyDescent="0.25">
      <c r="B264"/>
    </row>
    <row r="265" spans="2:2" ht="21.9" customHeight="1" x14ac:dyDescent="0.25">
      <c r="B265"/>
    </row>
    <row r="266" spans="2:2" ht="21.9" customHeight="1" x14ac:dyDescent="0.25">
      <c r="B266"/>
    </row>
    <row r="267" spans="2:2" ht="21.9" customHeight="1" x14ac:dyDescent="0.25">
      <c r="B267"/>
    </row>
    <row r="268" spans="2:2" ht="21.9" customHeight="1" x14ac:dyDescent="0.25">
      <c r="B268"/>
    </row>
    <row r="269" spans="2:2" ht="21.9" customHeight="1" x14ac:dyDescent="0.25">
      <c r="B269"/>
    </row>
    <row r="270" spans="2:2" ht="21.9" customHeight="1" x14ac:dyDescent="0.25">
      <c r="B270"/>
    </row>
    <row r="271" spans="2:2" ht="21.9" customHeight="1" x14ac:dyDescent="0.25">
      <c r="B271"/>
    </row>
    <row r="272" spans="2:2" ht="21.9" customHeight="1" x14ac:dyDescent="0.25">
      <c r="B272"/>
    </row>
    <row r="273" spans="2:2" ht="21.9" customHeight="1" x14ac:dyDescent="0.25">
      <c r="B273"/>
    </row>
    <row r="274" spans="2:2" ht="21.9" customHeight="1" x14ac:dyDescent="0.25">
      <c r="B274"/>
    </row>
    <row r="275" spans="2:2" ht="21.9" customHeight="1" x14ac:dyDescent="0.25">
      <c r="B275"/>
    </row>
    <row r="276" spans="2:2" ht="21.9" customHeight="1" x14ac:dyDescent="0.25">
      <c r="B276"/>
    </row>
    <row r="277" spans="2:2" ht="21.9" customHeight="1" x14ac:dyDescent="0.25">
      <c r="B277"/>
    </row>
    <row r="278" spans="2:2" ht="21.9" customHeight="1" x14ac:dyDescent="0.25">
      <c r="B278"/>
    </row>
    <row r="279" spans="2:2" ht="21.9" customHeight="1" x14ac:dyDescent="0.25">
      <c r="B279"/>
    </row>
    <row r="280" spans="2:2" ht="21.9" customHeight="1" x14ac:dyDescent="0.25">
      <c r="B280"/>
    </row>
    <row r="281" spans="2:2" ht="21.9" customHeight="1" x14ac:dyDescent="0.25">
      <c r="B281"/>
    </row>
    <row r="282" spans="2:2" ht="21.9" customHeight="1" x14ac:dyDescent="0.25">
      <c r="B282"/>
    </row>
    <row r="283" spans="2:2" ht="21.9" customHeight="1" x14ac:dyDescent="0.25">
      <c r="B283"/>
    </row>
    <row r="284" spans="2:2" ht="21.9" customHeight="1" x14ac:dyDescent="0.25">
      <c r="B284"/>
    </row>
    <row r="285" spans="2:2" ht="21.9" customHeight="1" x14ac:dyDescent="0.25">
      <c r="B285"/>
    </row>
    <row r="286" spans="2:2" ht="21.9" customHeight="1" x14ac:dyDescent="0.25">
      <c r="B286"/>
    </row>
    <row r="287" spans="2:2" ht="21.9" customHeight="1" x14ac:dyDescent="0.25">
      <c r="B287"/>
    </row>
    <row r="288" spans="2:2" ht="21.9" customHeight="1" x14ac:dyDescent="0.25">
      <c r="B288"/>
    </row>
    <row r="289" spans="2:2" ht="21.9" customHeight="1" x14ac:dyDescent="0.25">
      <c r="B289"/>
    </row>
    <row r="290" spans="2:2" ht="21.9" customHeight="1" x14ac:dyDescent="0.25">
      <c r="B290"/>
    </row>
    <row r="291" spans="2:2" ht="21.9" customHeight="1" x14ac:dyDescent="0.25">
      <c r="B291"/>
    </row>
    <row r="292" spans="2:2" ht="21.9" customHeight="1" x14ac:dyDescent="0.25">
      <c r="B292"/>
    </row>
    <row r="293" spans="2:2" ht="21.9" customHeight="1" x14ac:dyDescent="0.25">
      <c r="B293"/>
    </row>
    <row r="294" spans="2:2" ht="21.9" customHeight="1" x14ac:dyDescent="0.25">
      <c r="B294"/>
    </row>
    <row r="295" spans="2:2" ht="21.9" customHeight="1" x14ac:dyDescent="0.25">
      <c r="B295"/>
    </row>
    <row r="296" spans="2:2" ht="21.9" customHeight="1" x14ac:dyDescent="0.25">
      <c r="B296"/>
    </row>
    <row r="297" spans="2:2" ht="21.9" customHeight="1" x14ac:dyDescent="0.25">
      <c r="B297"/>
    </row>
    <row r="298" spans="2:2" ht="21.9" customHeight="1" x14ac:dyDescent="0.25">
      <c r="B298"/>
    </row>
    <row r="299" spans="2:2" ht="21.9" customHeight="1" x14ac:dyDescent="0.25">
      <c r="B299"/>
    </row>
    <row r="300" spans="2:2" ht="21.9" customHeight="1" x14ac:dyDescent="0.25">
      <c r="B300"/>
    </row>
    <row r="301" spans="2:2" ht="21.9" customHeight="1" x14ac:dyDescent="0.25">
      <c r="B301"/>
    </row>
    <row r="302" spans="2:2" ht="21.9" customHeight="1" x14ac:dyDescent="0.25">
      <c r="B302"/>
    </row>
    <row r="303" spans="2:2" ht="21.9" customHeight="1" x14ac:dyDescent="0.25">
      <c r="B303"/>
    </row>
    <row r="304" spans="2:2" ht="21.9" customHeight="1" x14ac:dyDescent="0.25">
      <c r="B304"/>
    </row>
    <row r="305" spans="2:2" ht="21.9" customHeight="1" x14ac:dyDescent="0.25">
      <c r="B305"/>
    </row>
    <row r="306" spans="2:2" ht="21.9" customHeight="1" x14ac:dyDescent="0.25">
      <c r="B306"/>
    </row>
    <row r="307" spans="2:2" ht="21.9" customHeight="1" x14ac:dyDescent="0.25">
      <c r="B307"/>
    </row>
    <row r="308" spans="2:2" ht="21.9" customHeight="1" x14ac:dyDescent="0.25">
      <c r="B308"/>
    </row>
    <row r="309" spans="2:2" ht="21.9" customHeight="1" x14ac:dyDescent="0.25">
      <c r="B309"/>
    </row>
    <row r="310" spans="2:2" ht="21.9" customHeight="1" x14ac:dyDescent="0.25">
      <c r="B310"/>
    </row>
    <row r="311" spans="2:2" ht="21.9" customHeight="1" x14ac:dyDescent="0.25">
      <c r="B311"/>
    </row>
    <row r="312" spans="2:2" ht="21.9" customHeight="1" x14ac:dyDescent="0.25">
      <c r="B312"/>
    </row>
    <row r="313" spans="2:2" ht="21.9" customHeight="1" x14ac:dyDescent="0.25">
      <c r="B313"/>
    </row>
    <row r="314" spans="2:2" ht="21.9" customHeight="1" x14ac:dyDescent="0.25">
      <c r="B314"/>
    </row>
    <row r="315" spans="2:2" ht="21.9" customHeight="1" x14ac:dyDescent="0.25">
      <c r="B315"/>
    </row>
    <row r="316" spans="2:2" ht="21.9" customHeight="1" x14ac:dyDescent="0.25">
      <c r="B316"/>
    </row>
    <row r="317" spans="2:2" ht="21.9" customHeight="1" x14ac:dyDescent="0.25">
      <c r="B317"/>
    </row>
    <row r="318" spans="2:2" ht="21.9" customHeight="1" x14ac:dyDescent="0.25">
      <c r="B318"/>
    </row>
    <row r="319" spans="2:2" ht="21.9" customHeight="1" x14ac:dyDescent="0.25">
      <c r="B319"/>
    </row>
    <row r="320" spans="2:2" ht="21.9" customHeight="1" x14ac:dyDescent="0.25">
      <c r="B320"/>
    </row>
    <row r="321" spans="2:2" ht="21.9" customHeight="1" x14ac:dyDescent="0.25">
      <c r="B321"/>
    </row>
    <row r="322" spans="2:2" ht="21.9" customHeight="1" x14ac:dyDescent="0.25">
      <c r="B322"/>
    </row>
    <row r="323" spans="2:2" ht="21.9" customHeight="1" x14ac:dyDescent="0.25">
      <c r="B323"/>
    </row>
    <row r="324" spans="2:2" ht="21.9" customHeight="1" x14ac:dyDescent="0.25">
      <c r="B324"/>
    </row>
    <row r="325" spans="2:2" ht="21.9" customHeight="1" x14ac:dyDescent="0.25">
      <c r="B325"/>
    </row>
    <row r="326" spans="2:2" ht="21.9" customHeight="1" x14ac:dyDescent="0.25">
      <c r="B326"/>
    </row>
    <row r="327" spans="2:2" ht="21.9" customHeight="1" x14ac:dyDescent="0.25">
      <c r="B327"/>
    </row>
    <row r="328" spans="2:2" ht="21.9" customHeight="1" x14ac:dyDescent="0.25">
      <c r="B328"/>
    </row>
    <row r="329" spans="2:2" ht="21.9" customHeight="1" x14ac:dyDescent="0.25">
      <c r="B329"/>
    </row>
    <row r="330" spans="2:2" ht="21.9" customHeight="1" x14ac:dyDescent="0.25">
      <c r="B330"/>
    </row>
    <row r="331" spans="2:2" ht="21.9" customHeight="1" x14ac:dyDescent="0.25">
      <c r="B331"/>
    </row>
    <row r="332" spans="2:2" ht="21.9" customHeight="1" x14ac:dyDescent="0.25">
      <c r="B332"/>
    </row>
    <row r="333" spans="2:2" ht="21.9" customHeight="1" x14ac:dyDescent="0.25">
      <c r="B333"/>
    </row>
    <row r="334" spans="2:2" ht="21.9" customHeight="1" x14ac:dyDescent="0.25">
      <c r="B334"/>
    </row>
    <row r="335" spans="2:2" ht="21.9" customHeight="1" x14ac:dyDescent="0.25">
      <c r="B335"/>
    </row>
    <row r="336" spans="2:2" ht="21.9" customHeight="1" x14ac:dyDescent="0.25">
      <c r="B336"/>
    </row>
    <row r="337" spans="2:2" ht="21.9" customHeight="1" x14ac:dyDescent="0.25">
      <c r="B337"/>
    </row>
    <row r="338" spans="2:2" ht="21.9" customHeight="1" x14ac:dyDescent="0.25">
      <c r="B338"/>
    </row>
    <row r="339" spans="2:2" ht="21.9" customHeight="1" x14ac:dyDescent="0.25">
      <c r="B339"/>
    </row>
    <row r="340" spans="2:2" ht="21.9" customHeight="1" x14ac:dyDescent="0.25">
      <c r="B340"/>
    </row>
    <row r="341" spans="2:2" ht="21.9" customHeight="1" x14ac:dyDescent="0.25">
      <c r="B341"/>
    </row>
    <row r="342" spans="2:2" ht="21.9" customHeight="1" x14ac:dyDescent="0.25">
      <c r="B342"/>
    </row>
    <row r="343" spans="2:2" ht="21.9" customHeight="1" x14ac:dyDescent="0.25">
      <c r="B343"/>
    </row>
    <row r="344" spans="2:2" ht="21.9" customHeight="1" x14ac:dyDescent="0.25">
      <c r="B344"/>
    </row>
    <row r="345" spans="2:2" ht="21.9" customHeight="1" x14ac:dyDescent="0.25">
      <c r="B345"/>
    </row>
    <row r="346" spans="2:2" ht="21.9" customHeight="1" x14ac:dyDescent="0.25">
      <c r="B346"/>
    </row>
    <row r="347" spans="2:2" ht="21.9" customHeight="1" x14ac:dyDescent="0.25">
      <c r="B347"/>
    </row>
    <row r="348" spans="2:2" ht="21.9" customHeight="1" x14ac:dyDescent="0.25">
      <c r="B348"/>
    </row>
    <row r="349" spans="2:2" ht="21.9" customHeight="1" x14ac:dyDescent="0.25">
      <c r="B349"/>
    </row>
    <row r="350" spans="2:2" ht="21.9" customHeight="1" x14ac:dyDescent="0.25">
      <c r="B350"/>
    </row>
    <row r="351" spans="2:2" ht="21.9" customHeight="1" x14ac:dyDescent="0.25">
      <c r="B351"/>
    </row>
    <row r="352" spans="2:2" ht="21.9" customHeight="1" x14ac:dyDescent="0.25">
      <c r="B352"/>
    </row>
    <row r="353" spans="2:2" ht="21.9" customHeight="1" x14ac:dyDescent="0.25">
      <c r="B353"/>
    </row>
    <row r="354" spans="2:2" ht="21.9" customHeight="1" x14ac:dyDescent="0.25">
      <c r="B354"/>
    </row>
    <row r="355" spans="2:2" ht="21.9" customHeight="1" x14ac:dyDescent="0.25">
      <c r="B355"/>
    </row>
    <row r="356" spans="2:2" ht="21.9" customHeight="1" x14ac:dyDescent="0.25">
      <c r="B356"/>
    </row>
    <row r="357" spans="2:2" ht="21.9" customHeight="1" x14ac:dyDescent="0.25">
      <c r="B357"/>
    </row>
    <row r="358" spans="2:2" ht="21.9" customHeight="1" x14ac:dyDescent="0.25">
      <c r="B358"/>
    </row>
  </sheetData>
  <mergeCells count="2">
    <mergeCell ref="B2:D2"/>
    <mergeCell ref="G12:G44"/>
  </mergeCells>
  <hyperlinks>
    <hyperlink ref="B2" location="Emissions!A1" display="Back to Emissions Tab" xr:uid="{EFD77952-F3D3-4D1F-BEF6-51ABE85A7ADE}"/>
  </hyperlinks>
  <pageMargins left="0.7" right="0.7" top="0.75" bottom="0.75" header="0.3" footer="0.3"/>
  <pageSetup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81B7-3FA5-4460-A5C1-F27F6C841614}">
  <sheetPr codeName="Sheet7">
    <tabColor theme="1"/>
    <pageSetUpPr fitToPage="1"/>
  </sheetPr>
  <dimension ref="A2:AR169"/>
  <sheetViews>
    <sheetView zoomScale="70" zoomScaleNormal="70" workbookViewId="0">
      <selection activeCell="E125" sqref="E125"/>
    </sheetView>
  </sheetViews>
  <sheetFormatPr defaultColWidth="11.59765625" defaultRowHeight="21.9" customHeight="1" x14ac:dyDescent="0.25"/>
  <cols>
    <col min="1" max="1" width="3.3984375" customWidth="1"/>
    <col min="2" max="2" width="19" customWidth="1"/>
    <col min="3" max="3" width="12.59765625" customWidth="1"/>
    <col min="4" max="4" width="17.09765625" bestFit="1" customWidth="1"/>
    <col min="5" max="5" width="21.59765625" style="2" customWidth="1"/>
    <col min="6" max="9" width="18.59765625" style="2" customWidth="1"/>
    <col min="10" max="33" width="18.59765625" customWidth="1"/>
    <col min="34" max="43" width="13.09765625" customWidth="1"/>
  </cols>
  <sheetData>
    <row r="2" spans="1:16" ht="21.9" customHeight="1" x14ac:dyDescent="0.25">
      <c r="B2" s="371" t="s">
        <v>48</v>
      </c>
    </row>
    <row r="3" spans="1:16" ht="21.9" customHeight="1" x14ac:dyDescent="0.25">
      <c r="B3" s="10"/>
    </row>
    <row r="4" spans="1:16" ht="11.1" customHeight="1" x14ac:dyDescent="0.25">
      <c r="B4" s="51"/>
      <c r="C4" s="52"/>
      <c r="D4" s="52"/>
    </row>
    <row r="5" spans="1:16" ht="21.9" customHeight="1" x14ac:dyDescent="0.25">
      <c r="A5" s="1023"/>
      <c r="B5" s="1249" t="s">
        <v>71</v>
      </c>
      <c r="C5" s="1249"/>
      <c r="D5" s="1249"/>
      <c r="E5"/>
      <c r="F5" s="656" t="s">
        <v>96</v>
      </c>
      <c r="G5"/>
      <c r="H5"/>
      <c r="J5" s="2"/>
      <c r="K5" s="2"/>
      <c r="L5" s="2"/>
      <c r="M5" s="2"/>
    </row>
    <row r="6" spans="1:16" ht="21.75" customHeight="1" x14ac:dyDescent="0.25">
      <c r="B6" s="1249"/>
      <c r="C6" s="1249"/>
      <c r="D6" s="1249"/>
      <c r="E6"/>
      <c r="F6" s="118" t="s">
        <v>91</v>
      </c>
      <c r="G6" s="115"/>
      <c r="H6" s="115"/>
      <c r="I6" s="63" t="s">
        <v>95</v>
      </c>
      <c r="J6" s="63"/>
      <c r="K6" s="63"/>
      <c r="L6" s="1252" t="s">
        <v>92</v>
      </c>
      <c r="M6" s="1252"/>
      <c r="N6" s="115"/>
      <c r="O6" s="63" t="s">
        <v>93</v>
      </c>
      <c r="P6" s="41"/>
    </row>
    <row r="7" spans="1:16" ht="21.9" customHeight="1" x14ac:dyDescent="0.25">
      <c r="B7" s="53" t="s">
        <v>98</v>
      </c>
      <c r="C7" s="54"/>
      <c r="D7" s="54"/>
      <c r="F7" s="1250"/>
      <c r="G7" s="127"/>
      <c r="H7" s="127"/>
      <c r="I7" s="1251">
        <f>F63</f>
        <v>514457542.71055663</v>
      </c>
      <c r="J7" s="1251"/>
      <c r="K7" s="128"/>
      <c r="L7" s="1251">
        <f>F61</f>
        <v>632298119.40138137</v>
      </c>
      <c r="M7" s="1251"/>
      <c r="N7" s="129"/>
      <c r="O7" s="1251">
        <f>F62</f>
        <v>117840576.69082467</v>
      </c>
      <c r="P7" s="1251"/>
    </row>
    <row r="8" spans="1:16" ht="21.9" customHeight="1" x14ac:dyDescent="0.25">
      <c r="B8" s="54" t="str" cm="1">
        <f t="array" ref="B8:B13">Inputs!C6:C11</f>
        <v>Base Year</v>
      </c>
      <c r="C8" s="55"/>
      <c r="D8" s="56" cm="1">
        <f t="array" ref="D8:D13">Inputs!E6:E11</f>
        <v>2022</v>
      </c>
      <c r="F8" s="1250"/>
      <c r="G8" s="130"/>
      <c r="H8" s="130"/>
      <c r="I8" s="1251"/>
      <c r="J8" s="1251"/>
      <c r="K8" s="131"/>
      <c r="L8" s="1251"/>
      <c r="M8" s="1251"/>
      <c r="N8" s="131"/>
      <c r="O8" s="1251"/>
      <c r="P8" s="1251"/>
    </row>
    <row r="9" spans="1:16" ht="21.9" customHeight="1" x14ac:dyDescent="0.25">
      <c r="B9" s="54" t="str">
        <v>Construction Start</v>
      </c>
      <c r="C9" s="55"/>
      <c r="D9" s="56">
        <v>2025</v>
      </c>
      <c r="F9" s="125" t="s">
        <v>588</v>
      </c>
      <c r="G9" s="19">
        <f>D64</f>
        <v>5.481246202460385</v>
      </c>
      <c r="H9" s="19"/>
      <c r="I9" s="126" t="s">
        <v>588</v>
      </c>
      <c r="J9" s="29">
        <f>D63</f>
        <v>195410314.33213368</v>
      </c>
      <c r="K9" s="37"/>
      <c r="L9" s="126" t="s">
        <v>588</v>
      </c>
      <c r="M9" s="29">
        <f>D61</f>
        <v>239016558.10977873</v>
      </c>
      <c r="N9" s="37"/>
      <c r="O9" s="126" t="s">
        <v>588</v>
      </c>
      <c r="P9" s="29">
        <f>D62</f>
        <v>43606243.777645051</v>
      </c>
    </row>
    <row r="10" spans="1:16" ht="21.9" customHeight="1" x14ac:dyDescent="0.25">
      <c r="B10" s="55" t="str">
        <v>Construction End</v>
      </c>
      <c r="C10" s="55"/>
      <c r="D10" s="56">
        <v>2028</v>
      </c>
      <c r="F10" s="125" t="s">
        <v>589</v>
      </c>
      <c r="G10" s="19">
        <f>E64</f>
        <v>5.2978392323072807</v>
      </c>
      <c r="H10" s="19"/>
      <c r="I10" s="126" t="s">
        <v>589</v>
      </c>
      <c r="J10" s="29">
        <f>E63</f>
        <v>319047228.37842298</v>
      </c>
      <c r="K10" s="37"/>
      <c r="L10" s="126" t="s">
        <v>589</v>
      </c>
      <c r="M10" s="29">
        <f>E61</f>
        <v>393281561.29160261</v>
      </c>
      <c r="N10" s="37"/>
      <c r="O10" s="126" t="s">
        <v>589</v>
      </c>
      <c r="P10" s="29">
        <f>E62</f>
        <v>74234332.913179621</v>
      </c>
    </row>
    <row r="11" spans="1:16" ht="21.9" customHeight="1" x14ac:dyDescent="0.25">
      <c r="B11" s="55" t="str">
        <v>Construction Duration</v>
      </c>
      <c r="C11" s="55"/>
      <c r="D11" s="56">
        <v>4</v>
      </c>
      <c r="F11" s="119"/>
      <c r="G11" s="19"/>
      <c r="H11" s="19"/>
      <c r="I11" s="116"/>
      <c r="J11" s="29"/>
      <c r="K11" s="37"/>
      <c r="L11" s="116"/>
      <c r="M11" s="29"/>
      <c r="N11" s="37"/>
      <c r="O11" s="116"/>
      <c r="P11" s="29"/>
    </row>
    <row r="12" spans="1:16" ht="21.9" customHeight="1" x14ac:dyDescent="0.25">
      <c r="B12" s="54" t="str">
        <v>Years of Full Benefits</v>
      </c>
      <c r="C12" s="55"/>
      <c r="D12" s="56">
        <v>20</v>
      </c>
      <c r="F12" s="120"/>
      <c r="G12" s="19"/>
      <c r="H12" s="19"/>
      <c r="I12" s="117"/>
      <c r="J12" s="29"/>
      <c r="K12" s="37"/>
      <c r="L12" s="117"/>
      <c r="M12" s="29"/>
      <c r="N12" s="37"/>
      <c r="O12" s="117"/>
      <c r="P12" s="29"/>
    </row>
    <row r="13" spans="1:16" ht="21.9" customHeight="1" x14ac:dyDescent="0.25">
      <c r="B13" s="54" t="str">
        <v>Study Duration</v>
      </c>
      <c r="C13" s="55"/>
      <c r="D13" s="56">
        <v>27</v>
      </c>
      <c r="F13" s="1213" t="s">
        <v>680</v>
      </c>
      <c r="G13" s="19"/>
      <c r="H13" s="19"/>
      <c r="I13" s="117"/>
      <c r="J13" s="1214" t="s">
        <v>681</v>
      </c>
      <c r="L13" s="117"/>
      <c r="M13" s="2"/>
      <c r="N13" s="37"/>
      <c r="O13" s="117"/>
      <c r="P13" s="29"/>
    </row>
    <row r="14" spans="1:16" ht="21.9" customHeight="1" x14ac:dyDescent="0.25">
      <c r="B14" s="54"/>
      <c r="C14" s="55"/>
      <c r="D14" s="56"/>
      <c r="E14"/>
      <c r="G14" s="19"/>
      <c r="H14" s="19"/>
      <c r="I14" s="117"/>
      <c r="L14" s="117"/>
      <c r="M14" s="29"/>
      <c r="N14" s="37"/>
      <c r="O14" s="117"/>
      <c r="P14" s="29"/>
    </row>
    <row r="15" spans="1:16" ht="21.9" customHeight="1" x14ac:dyDescent="0.25">
      <c r="B15" s="53" t="s">
        <v>182</v>
      </c>
      <c r="C15" s="54"/>
      <c r="D15" s="57"/>
      <c r="F15" s="117"/>
      <c r="G15" s="19"/>
      <c r="H15" s="19"/>
      <c r="I15" s="117"/>
      <c r="J15" s="29"/>
      <c r="K15" s="37"/>
      <c r="L15" s="117"/>
      <c r="M15" s="29"/>
      <c r="N15" s="37"/>
      <c r="O15" s="117"/>
      <c r="P15" s="29"/>
    </row>
    <row r="16" spans="1:16" ht="21.9" customHeight="1" x14ac:dyDescent="0.25">
      <c r="B16" s="55" t="s">
        <v>72</v>
      </c>
      <c r="C16" s="58"/>
      <c r="D16" s="1230">
        <f>discount</f>
        <v>3.1E-2</v>
      </c>
      <c r="F16" s="117"/>
      <c r="G16" s="19"/>
      <c r="H16" s="19"/>
      <c r="I16" s="117"/>
      <c r="J16" s="29"/>
      <c r="K16" s="37"/>
      <c r="L16" s="117"/>
      <c r="M16" s="29"/>
      <c r="N16" s="37"/>
      <c r="O16" s="117"/>
      <c r="P16" s="29"/>
    </row>
    <row r="17" spans="2:16" ht="21.9" customHeight="1" x14ac:dyDescent="0.25">
      <c r="B17" s="55" t="s">
        <v>73</v>
      </c>
      <c r="C17" s="58"/>
      <c r="D17" s="59">
        <f>discountCO2</f>
        <v>0.02</v>
      </c>
      <c r="F17" s="117"/>
      <c r="G17" s="19"/>
      <c r="H17" s="19"/>
      <c r="I17" s="117"/>
      <c r="J17" s="29"/>
      <c r="K17" s="37"/>
      <c r="L17" s="117"/>
      <c r="M17" s="29"/>
      <c r="N17" s="37"/>
      <c r="O17" s="117"/>
      <c r="P17" s="29"/>
    </row>
    <row r="18" spans="2:16" ht="21.9" customHeight="1" x14ac:dyDescent="0.25">
      <c r="B18" s="54"/>
      <c r="C18" s="60"/>
      <c r="D18" s="61"/>
      <c r="F18" s="117"/>
      <c r="G18" s="19"/>
      <c r="H18" s="19"/>
      <c r="I18" s="117"/>
      <c r="J18" s="29"/>
      <c r="K18" s="37"/>
      <c r="L18" s="117"/>
      <c r="M18" s="29"/>
      <c r="N18" s="37"/>
      <c r="O18" s="117"/>
      <c r="P18" s="29"/>
    </row>
    <row r="19" spans="2:16" ht="21.9" customHeight="1" x14ac:dyDescent="0.25">
      <c r="B19" s="136"/>
      <c r="C19" s="1211"/>
      <c r="D19" s="1212"/>
      <c r="F19" s="117"/>
      <c r="G19" s="19"/>
      <c r="H19" s="19"/>
      <c r="I19" s="117"/>
      <c r="J19" s="29"/>
      <c r="K19" s="37"/>
      <c r="L19" s="117"/>
      <c r="M19" s="29"/>
      <c r="N19" s="37"/>
      <c r="O19" s="117"/>
      <c r="P19" s="29"/>
    </row>
    <row r="20" spans="2:16" ht="21.9" customHeight="1" x14ac:dyDescent="0.25">
      <c r="B20" s="136"/>
      <c r="C20" s="1211"/>
      <c r="D20" s="1212"/>
      <c r="F20" s="117"/>
      <c r="G20" s="19"/>
      <c r="H20" s="19"/>
      <c r="I20" s="117"/>
      <c r="J20" s="29"/>
      <c r="K20" s="37"/>
      <c r="L20" s="117"/>
      <c r="M20" s="29"/>
      <c r="N20" s="37"/>
      <c r="O20" s="117"/>
      <c r="P20" s="29"/>
    </row>
    <row r="21" spans="2:16" ht="21.9" customHeight="1" x14ac:dyDescent="0.25">
      <c r="B21" s="136"/>
      <c r="C21" s="1211"/>
      <c r="D21" s="1212"/>
      <c r="F21" s="117"/>
      <c r="G21" s="19"/>
      <c r="H21" s="19"/>
      <c r="I21" s="117"/>
      <c r="J21" s="29"/>
      <c r="K21" s="37"/>
      <c r="L21" s="117"/>
      <c r="M21" s="29"/>
      <c r="N21" s="37"/>
      <c r="O21" s="117"/>
      <c r="P21" s="29"/>
    </row>
    <row r="22" spans="2:16" ht="21.9" customHeight="1" x14ac:dyDescent="0.25">
      <c r="B22" s="136"/>
      <c r="C22" s="1211"/>
      <c r="D22" s="1212"/>
      <c r="F22" s="117"/>
      <c r="G22" s="19"/>
      <c r="H22" s="19"/>
      <c r="I22" s="117"/>
      <c r="J22" s="29"/>
      <c r="K22" s="37"/>
      <c r="L22" s="117"/>
      <c r="M22" s="29"/>
      <c r="N22" s="37"/>
      <c r="O22" s="117"/>
      <c r="P22" s="29"/>
    </row>
    <row r="23" spans="2:16" ht="21.9" customHeight="1" x14ac:dyDescent="0.25">
      <c r="B23" s="136"/>
      <c r="C23" s="1211"/>
      <c r="D23" s="1212"/>
      <c r="F23" s="117"/>
      <c r="G23" s="19"/>
      <c r="H23" s="19"/>
      <c r="I23" s="117"/>
      <c r="J23" s="29"/>
      <c r="K23" s="37"/>
      <c r="L23" s="117"/>
      <c r="M23" s="29"/>
      <c r="N23" s="37"/>
      <c r="O23" s="117"/>
      <c r="P23" s="29"/>
    </row>
    <row r="24" spans="2:16" ht="21.9" customHeight="1" x14ac:dyDescent="0.25">
      <c r="B24" s="136"/>
      <c r="C24" s="1211"/>
      <c r="D24" s="1212"/>
      <c r="F24" s="117"/>
      <c r="G24" s="19"/>
      <c r="H24" s="19"/>
      <c r="I24" s="117"/>
      <c r="J24" s="29"/>
      <c r="K24" s="37"/>
      <c r="L24" s="117"/>
      <c r="M24" s="29"/>
      <c r="N24" s="37"/>
      <c r="O24" s="117"/>
      <c r="P24" s="29"/>
    </row>
    <row r="25" spans="2:16" ht="21.9" customHeight="1" x14ac:dyDescent="0.25">
      <c r="B25" s="136"/>
      <c r="C25" s="1211"/>
      <c r="D25" s="1212"/>
      <c r="F25" s="117"/>
      <c r="G25" s="19"/>
      <c r="H25" s="19"/>
      <c r="I25" s="117"/>
      <c r="J25" s="29"/>
      <c r="K25" s="37"/>
      <c r="L25" s="117"/>
      <c r="M25" s="29"/>
      <c r="N25" s="37"/>
      <c r="O25" s="117"/>
      <c r="P25" s="29"/>
    </row>
    <row r="26" spans="2:16" ht="21.9" customHeight="1" x14ac:dyDescent="0.25">
      <c r="B26" s="136"/>
      <c r="C26" s="1211"/>
      <c r="D26" s="1212"/>
      <c r="F26" s="117"/>
      <c r="G26" s="19"/>
      <c r="H26" s="19"/>
      <c r="I26" s="117"/>
      <c r="J26" s="29"/>
      <c r="K26" s="37"/>
      <c r="L26" s="117"/>
      <c r="M26" s="29"/>
      <c r="N26" s="37"/>
      <c r="O26" s="117"/>
      <c r="P26" s="29"/>
    </row>
    <row r="27" spans="2:16" ht="21.9" customHeight="1" x14ac:dyDescent="0.25">
      <c r="B27" s="136"/>
      <c r="C27" s="1211"/>
      <c r="D27" s="1212"/>
      <c r="F27" s="117"/>
      <c r="G27" s="19"/>
      <c r="H27" s="19"/>
      <c r="I27" s="117"/>
      <c r="J27" s="29"/>
      <c r="K27" s="37"/>
      <c r="L27" s="117"/>
      <c r="M27" s="29"/>
      <c r="N27" s="37"/>
      <c r="O27" s="117"/>
      <c r="P27" s="29"/>
    </row>
    <row r="28" spans="2:16" ht="21.9" customHeight="1" x14ac:dyDescent="0.25">
      <c r="B28" s="136"/>
      <c r="C28" s="1211"/>
      <c r="D28" s="1212"/>
      <c r="F28" s="117"/>
      <c r="G28" s="19"/>
      <c r="H28" s="19"/>
      <c r="I28" s="117"/>
      <c r="J28" s="29"/>
      <c r="K28" s="37"/>
      <c r="L28" s="117"/>
      <c r="M28" s="29"/>
      <c r="N28" s="37"/>
      <c r="O28" s="117"/>
      <c r="P28" s="29"/>
    </row>
    <row r="29" spans="2:16" ht="21.9" customHeight="1" x14ac:dyDescent="0.25">
      <c r="B29" s="136"/>
      <c r="C29" s="1211"/>
      <c r="D29" s="1212"/>
      <c r="F29" s="117"/>
      <c r="G29" s="19"/>
      <c r="H29" s="19"/>
      <c r="I29" s="117"/>
      <c r="J29" s="29"/>
      <c r="K29" s="37"/>
      <c r="L29" s="117"/>
      <c r="M29" s="29"/>
      <c r="N29" s="37"/>
      <c r="O29" s="117"/>
      <c r="P29" s="29"/>
    </row>
    <row r="30" spans="2:16" ht="21.9" customHeight="1" x14ac:dyDescent="0.25">
      <c r="B30" s="136"/>
      <c r="C30" s="1211"/>
      <c r="D30" s="1212"/>
      <c r="F30" s="117"/>
      <c r="G30" s="19"/>
      <c r="H30" s="19"/>
      <c r="I30" s="117"/>
      <c r="J30" s="29"/>
      <c r="K30" s="37"/>
      <c r="L30" s="117"/>
      <c r="M30" s="29"/>
      <c r="N30" s="37"/>
      <c r="O30" s="117"/>
      <c r="P30" s="29"/>
    </row>
    <row r="31" spans="2:16" ht="21.9" customHeight="1" x14ac:dyDescent="0.25">
      <c r="B31" s="136"/>
      <c r="C31" s="1211"/>
      <c r="D31" s="1212"/>
      <c r="F31" s="120"/>
      <c r="G31" s="19"/>
      <c r="H31" s="19"/>
      <c r="I31" s="117"/>
      <c r="J31" s="29"/>
      <c r="K31" s="37"/>
      <c r="L31" s="117"/>
      <c r="M31" s="29"/>
      <c r="N31" s="37"/>
      <c r="O31" s="117"/>
      <c r="P31" s="29"/>
    </row>
    <row r="32" spans="2:16" ht="21.9" customHeight="1" x14ac:dyDescent="0.25">
      <c r="B32" s="136"/>
      <c r="C32" s="1211"/>
      <c r="D32" s="1212"/>
      <c r="F32" s="1213" t="s">
        <v>682</v>
      </c>
      <c r="G32" s="19"/>
      <c r="H32" s="19"/>
      <c r="I32" s="117"/>
      <c r="J32" s="1214" t="s">
        <v>683</v>
      </c>
      <c r="L32" s="117"/>
      <c r="M32" s="2"/>
      <c r="N32" s="37"/>
      <c r="O32" s="117"/>
      <c r="P32" s="29"/>
    </row>
    <row r="33" spans="2:16" ht="21.9" customHeight="1" x14ac:dyDescent="0.25">
      <c r="B33" s="136"/>
      <c r="C33" s="1211"/>
      <c r="D33" s="1212"/>
      <c r="E33"/>
      <c r="G33" s="19"/>
      <c r="H33" s="19"/>
      <c r="I33" s="117"/>
      <c r="L33" s="117"/>
      <c r="M33" s="29"/>
      <c r="N33" s="37"/>
      <c r="O33" s="117"/>
      <c r="P33" s="29"/>
    </row>
    <row r="34" spans="2:16" ht="21.9" customHeight="1" x14ac:dyDescent="0.25">
      <c r="B34" s="136"/>
      <c r="C34" s="1211"/>
      <c r="D34" s="1212"/>
      <c r="F34" s="117"/>
      <c r="G34" s="19"/>
      <c r="H34" s="19"/>
      <c r="I34" s="117"/>
      <c r="J34" s="29"/>
      <c r="K34" s="37"/>
      <c r="L34" s="117"/>
      <c r="M34" s="29"/>
      <c r="N34" s="37"/>
      <c r="O34" s="117"/>
      <c r="P34" s="29"/>
    </row>
    <row r="35" spans="2:16" ht="21.9" customHeight="1" x14ac:dyDescent="0.25">
      <c r="B35" s="136"/>
      <c r="C35" s="1211"/>
      <c r="D35" s="1212"/>
      <c r="F35" s="117"/>
      <c r="G35" s="19"/>
      <c r="H35" s="19"/>
      <c r="I35" s="117"/>
      <c r="J35" s="29"/>
      <c r="K35" s="37"/>
      <c r="L35" s="117"/>
      <c r="M35" s="29"/>
      <c r="N35" s="37"/>
      <c r="O35" s="117"/>
      <c r="P35" s="29"/>
    </row>
    <row r="36" spans="2:16" ht="21.9" customHeight="1" x14ac:dyDescent="0.25">
      <c r="B36" s="136"/>
      <c r="C36" s="1211"/>
      <c r="D36" s="1212"/>
      <c r="F36" s="117"/>
      <c r="G36" s="19"/>
      <c r="H36" s="19"/>
      <c r="I36" s="117"/>
      <c r="J36" s="29"/>
      <c r="K36" s="37"/>
      <c r="L36" s="117"/>
      <c r="M36" s="29"/>
      <c r="N36" s="37"/>
      <c r="O36" s="117"/>
      <c r="P36" s="29"/>
    </row>
    <row r="37" spans="2:16" ht="21.9" customHeight="1" x14ac:dyDescent="0.25">
      <c r="B37" s="136"/>
      <c r="C37" s="1211"/>
      <c r="D37" s="1212"/>
      <c r="F37" s="117"/>
      <c r="G37" s="19"/>
      <c r="H37" s="19"/>
      <c r="I37" s="117"/>
      <c r="J37" s="29"/>
      <c r="K37" s="37"/>
      <c r="L37" s="117"/>
      <c r="M37" s="29"/>
      <c r="N37" s="37"/>
      <c r="O37" s="117"/>
      <c r="P37" s="29"/>
    </row>
    <row r="38" spans="2:16" ht="21.9" customHeight="1" x14ac:dyDescent="0.25">
      <c r="B38" s="136"/>
      <c r="C38" s="1211"/>
      <c r="D38" s="1212"/>
      <c r="F38" s="117"/>
      <c r="G38" s="19"/>
      <c r="H38" s="19"/>
      <c r="I38" s="117"/>
      <c r="J38" s="29"/>
      <c r="K38" s="37"/>
      <c r="L38" s="117"/>
      <c r="M38" s="29"/>
      <c r="N38" s="37"/>
      <c r="O38" s="117"/>
      <c r="P38" s="29"/>
    </row>
    <row r="39" spans="2:16" ht="21.9" customHeight="1" x14ac:dyDescent="0.25">
      <c r="B39" s="136"/>
      <c r="C39" s="1211"/>
      <c r="D39" s="1212"/>
      <c r="F39" s="117"/>
      <c r="G39" s="19"/>
      <c r="H39" s="19"/>
      <c r="I39" s="117"/>
      <c r="J39" s="29"/>
      <c r="K39" s="37"/>
      <c r="L39" s="117"/>
      <c r="M39" s="29"/>
      <c r="N39" s="37"/>
      <c r="O39" s="117"/>
      <c r="P39" s="29"/>
    </row>
    <row r="40" spans="2:16" ht="21.9" customHeight="1" x14ac:dyDescent="0.25">
      <c r="F40" s="117"/>
      <c r="G40" s="19"/>
      <c r="H40" s="19"/>
      <c r="I40" s="117"/>
      <c r="J40" s="29"/>
      <c r="K40" s="37"/>
      <c r="L40" s="117"/>
      <c r="M40" s="29"/>
      <c r="N40" s="37"/>
      <c r="O40" s="117"/>
      <c r="P40" s="29"/>
    </row>
    <row r="41" spans="2:16" ht="21.9" customHeight="1" x14ac:dyDescent="0.25">
      <c r="F41" s="117"/>
      <c r="G41" s="19"/>
      <c r="H41" s="19"/>
      <c r="I41" s="117"/>
      <c r="J41" s="29"/>
      <c r="K41" s="37"/>
      <c r="L41" s="117"/>
      <c r="M41" s="29"/>
      <c r="N41" s="37"/>
      <c r="O41" s="117"/>
      <c r="P41" s="29"/>
    </row>
    <row r="42" spans="2:16" ht="21.9" customHeight="1" x14ac:dyDescent="0.25">
      <c r="F42" s="117"/>
      <c r="G42" s="19"/>
      <c r="H42" s="19"/>
      <c r="I42" s="117"/>
      <c r="J42" s="29"/>
      <c r="K42" s="37"/>
      <c r="L42" s="117"/>
      <c r="M42" s="29"/>
      <c r="N42" s="37"/>
      <c r="O42" s="117"/>
      <c r="P42" s="29"/>
    </row>
    <row r="43" spans="2:16" ht="21.9" customHeight="1" x14ac:dyDescent="0.25">
      <c r="F43" s="117"/>
      <c r="G43" s="19"/>
      <c r="H43" s="19"/>
      <c r="I43" s="117"/>
      <c r="J43" s="29"/>
      <c r="K43" s="37"/>
      <c r="L43" s="117"/>
      <c r="M43" s="29"/>
      <c r="N43" s="37"/>
      <c r="O43" s="117"/>
      <c r="P43" s="29"/>
    </row>
    <row r="44" spans="2:16" ht="21.9" customHeight="1" x14ac:dyDescent="0.25">
      <c r="F44" s="117"/>
      <c r="G44" s="19"/>
      <c r="H44" s="19"/>
      <c r="I44" s="117"/>
      <c r="J44" s="29"/>
      <c r="K44" s="37"/>
      <c r="L44" s="117"/>
      <c r="M44" s="29"/>
      <c r="N44" s="37"/>
      <c r="O44" s="117"/>
      <c r="P44" s="29"/>
    </row>
    <row r="45" spans="2:16" ht="21.9" customHeight="1" x14ac:dyDescent="0.25">
      <c r="F45" s="117"/>
      <c r="G45" s="19"/>
      <c r="H45" s="19"/>
      <c r="I45" s="117"/>
      <c r="J45" s="29"/>
      <c r="K45" s="37"/>
      <c r="L45" s="117"/>
      <c r="M45" s="29"/>
      <c r="N45" s="37"/>
      <c r="O45" s="117"/>
      <c r="P45" s="29"/>
    </row>
    <row r="46" spans="2:16" ht="21.9" customHeight="1" x14ac:dyDescent="0.25">
      <c r="F46" s="117"/>
      <c r="G46" s="19"/>
      <c r="H46" s="19"/>
      <c r="I46" s="117"/>
      <c r="J46" s="29"/>
      <c r="K46" s="37"/>
      <c r="L46" s="117"/>
      <c r="M46" s="29"/>
      <c r="N46" s="37"/>
      <c r="O46" s="117"/>
      <c r="P46" s="29"/>
    </row>
    <row r="47" spans="2:16" ht="21.9" customHeight="1" x14ac:dyDescent="0.25">
      <c r="F47" s="117"/>
      <c r="G47" s="19"/>
      <c r="H47" s="19"/>
      <c r="I47" s="117"/>
      <c r="J47" s="29"/>
      <c r="K47" s="37"/>
      <c r="L47" s="117"/>
      <c r="M47" s="29"/>
      <c r="N47" s="37"/>
      <c r="O47" s="117"/>
      <c r="P47" s="29"/>
    </row>
    <row r="48" spans="2:16" ht="21.75" customHeight="1" x14ac:dyDescent="0.25">
      <c r="F48" s="117"/>
      <c r="G48" s="19"/>
      <c r="H48" s="19"/>
      <c r="I48" s="117"/>
      <c r="J48" s="29"/>
      <c r="K48" s="37"/>
      <c r="L48" s="117"/>
      <c r="M48" s="29"/>
      <c r="N48" s="37"/>
      <c r="O48" s="117"/>
      <c r="P48" s="29"/>
    </row>
    <row r="49" spans="1:17" ht="13.8" x14ac:dyDescent="0.25"/>
    <row r="50" spans="1:17" ht="21.9" customHeight="1" x14ac:dyDescent="0.25">
      <c r="B50" s="36"/>
      <c r="C50" s="37"/>
      <c r="D50" s="37"/>
      <c r="E50" s="37"/>
      <c r="F50" s="37"/>
      <c r="G50" s="37"/>
      <c r="H50" s="37"/>
      <c r="I50" s="37"/>
      <c r="J50" s="37"/>
      <c r="K50" s="37"/>
      <c r="L50" s="37"/>
    </row>
    <row r="51" spans="1:17" ht="21.9" customHeight="1" x14ac:dyDescent="0.25">
      <c r="A51" s="1024"/>
      <c r="B51" s="224" t="s">
        <v>57</v>
      </c>
      <c r="C51" s="657"/>
      <c r="D51" s="2"/>
    </row>
    <row r="52" spans="1:17" ht="21.9" customHeight="1" x14ac:dyDescent="0.25">
      <c r="C52" s="2"/>
      <c r="D52" s="2"/>
    </row>
    <row r="53" spans="1:17" ht="21.9" customHeight="1" x14ac:dyDescent="0.25">
      <c r="B53" s="1018" t="s">
        <v>717</v>
      </c>
      <c r="E53"/>
      <c r="F53"/>
      <c r="G53"/>
      <c r="H53" s="1018" t="s">
        <v>712</v>
      </c>
      <c r="I53"/>
      <c r="N53" s="1018" t="s">
        <v>718</v>
      </c>
    </row>
    <row r="54" spans="1:17" ht="21.9" customHeight="1" x14ac:dyDescent="0.25">
      <c r="B54" s="1019"/>
      <c r="C54" s="1019"/>
      <c r="D54" s="461" t="s">
        <v>452</v>
      </c>
      <c r="E54" s="461" t="s">
        <v>453</v>
      </c>
      <c r="F54" s="461"/>
      <c r="H54" s="1019"/>
      <c r="I54" s="1019"/>
      <c r="J54" s="461" t="s">
        <v>452</v>
      </c>
      <c r="K54" s="461" t="s">
        <v>453</v>
      </c>
      <c r="L54" s="945"/>
      <c r="N54" s="1030"/>
      <c r="O54" s="1031"/>
      <c r="P54" s="1032" t="s">
        <v>588</v>
      </c>
      <c r="Q54" s="1032" t="s">
        <v>589</v>
      </c>
    </row>
    <row r="55" spans="1:17" ht="21.9" customHeight="1" x14ac:dyDescent="0.25">
      <c r="B55" s="1" t="s">
        <v>49</v>
      </c>
      <c r="C55" s="1"/>
      <c r="D55" s="26"/>
      <c r="E55"/>
      <c r="F55"/>
      <c r="H55" s="1" t="s">
        <v>49</v>
      </c>
      <c r="I55" s="1"/>
      <c r="J55" s="26"/>
      <c r="N55" s="179" t="s">
        <v>49</v>
      </c>
      <c r="O55" s="1033"/>
      <c r="P55" s="1034"/>
      <c r="Q55" s="178"/>
    </row>
    <row r="56" spans="1:17" ht="21.9" customHeight="1" x14ac:dyDescent="0.25">
      <c r="B56" t="s">
        <v>15</v>
      </c>
      <c r="D56" s="26">
        <f>E104</f>
        <v>8158544.5178865474</v>
      </c>
      <c r="E56" s="942">
        <f>E117</f>
        <v>94654122.303212166</v>
      </c>
      <c r="F56" s="942"/>
      <c r="H56" t="s">
        <v>15</v>
      </c>
      <c r="I56"/>
      <c r="J56" s="26">
        <f>E75</f>
        <v>14888538.6534977</v>
      </c>
      <c r="K56" s="26">
        <f>E88</f>
        <v>176031402.08390063</v>
      </c>
      <c r="L56" s="26"/>
      <c r="N56" s="180" t="s">
        <v>15</v>
      </c>
      <c r="O56" s="1035"/>
      <c r="P56" s="1036">
        <f>D56/1000000</f>
        <v>8.158544517886547</v>
      </c>
      <c r="Q56" s="1036">
        <f>E56/1000000</f>
        <v>94.654122303212162</v>
      </c>
    </row>
    <row r="57" spans="1:17" ht="21.9" customHeight="1" x14ac:dyDescent="0.25">
      <c r="B57" t="s">
        <v>16</v>
      </c>
      <c r="D57" s="26">
        <f>E105</f>
        <v>255776493.28562629</v>
      </c>
      <c r="E57" s="942">
        <f>E118</f>
        <v>317300987.9807409</v>
      </c>
      <c r="F57" s="942"/>
      <c r="H57" t="s">
        <v>16</v>
      </c>
      <c r="I57"/>
      <c r="J57" s="26">
        <f>E76</f>
        <v>455294579.91402686</v>
      </c>
      <c r="K57" s="26">
        <f>E89</f>
        <v>571265918.05219626</v>
      </c>
      <c r="L57" s="26"/>
      <c r="N57" s="180" t="s">
        <v>16</v>
      </c>
      <c r="O57" s="1035"/>
      <c r="P57" s="1036">
        <f t="shared" ref="P57:P60" si="0">D57/1000000</f>
        <v>255.77649328562629</v>
      </c>
      <c r="Q57" s="1036">
        <f t="shared" ref="Q57:Q60" si="1">E57/1000000</f>
        <v>317.3009879807409</v>
      </c>
    </row>
    <row r="58" spans="1:17" ht="21.9" customHeight="1" x14ac:dyDescent="0.25">
      <c r="B58" t="s">
        <v>206</v>
      </c>
      <c r="D58" s="26">
        <f>SUM(E106:E109)</f>
        <v>-29874986.131254468</v>
      </c>
      <c r="E58" s="942">
        <f>SUM(E119:E122)</f>
        <v>-11679884.039709745</v>
      </c>
      <c r="F58" s="942"/>
      <c r="H58" t="s">
        <v>206</v>
      </c>
      <c r="I58"/>
      <c r="J58" s="26">
        <f>SUM(E77:E80)</f>
        <v>-24050308.731697444</v>
      </c>
      <c r="K58" s="26">
        <f>SUM(E90:E93)</f>
        <v>7524879.6468495997</v>
      </c>
      <c r="L58" s="26"/>
      <c r="N58" s="180" t="s">
        <v>206</v>
      </c>
      <c r="O58" s="1035"/>
      <c r="P58" s="1036">
        <f t="shared" si="0"/>
        <v>-29.874986131254467</v>
      </c>
      <c r="Q58" s="1036">
        <f t="shared" si="1"/>
        <v>-11.679884039709744</v>
      </c>
    </row>
    <row r="59" spans="1:17" ht="21.9" customHeight="1" x14ac:dyDescent="0.25">
      <c r="B59" t="s">
        <v>212</v>
      </c>
      <c r="D59" s="26">
        <f>E110</f>
        <v>5834022.6027569557</v>
      </c>
      <c r="E59" s="942">
        <f>E123</f>
        <v>5115735.1334823649</v>
      </c>
      <c r="F59" s="942"/>
      <c r="H59" t="s">
        <v>212</v>
      </c>
      <c r="I59"/>
      <c r="J59" s="26">
        <f>E81</f>
        <v>7155156.8134982046</v>
      </c>
      <c r="K59" s="26">
        <f>E94</f>
        <v>5760271.9683797006</v>
      </c>
      <c r="L59" s="26"/>
      <c r="N59" s="180" t="s">
        <v>212</v>
      </c>
      <c r="O59" s="1035"/>
      <c r="P59" s="1036">
        <f t="shared" si="0"/>
        <v>5.8340226027569555</v>
      </c>
      <c r="Q59" s="1036">
        <f t="shared" si="1"/>
        <v>5.1157351334823646</v>
      </c>
    </row>
    <row r="60" spans="1:17" ht="21.9" customHeight="1" x14ac:dyDescent="0.25">
      <c r="B60" s="45" t="s">
        <v>17</v>
      </c>
      <c r="C60" s="45"/>
      <c r="D60" s="248">
        <f>E111</f>
        <v>6285905.0644185329</v>
      </c>
      <c r="E60" s="248">
        <f>E124</f>
        <v>10454158.556024067</v>
      </c>
      <c r="F60" s="248"/>
      <c r="H60" s="45" t="s">
        <v>17</v>
      </c>
      <c r="I60" s="45"/>
      <c r="J60" s="248">
        <f>E82</f>
        <v>13902506.761978362</v>
      </c>
      <c r="K60" s="248">
        <f>E95</f>
        <v>23121413.468143571</v>
      </c>
      <c r="L60" s="248"/>
      <c r="N60" s="181" t="s">
        <v>17</v>
      </c>
      <c r="O60" s="1037"/>
      <c r="P60" s="1036">
        <f t="shared" si="0"/>
        <v>6.2859050644185333</v>
      </c>
      <c r="Q60" s="1036">
        <f t="shared" si="1"/>
        <v>10.454158556024067</v>
      </c>
    </row>
    <row r="61" spans="1:17" ht="21.9" customHeight="1" x14ac:dyDescent="0.25">
      <c r="B61" s="1" t="s">
        <v>52</v>
      </c>
      <c r="C61" s="1"/>
      <c r="D61" s="25">
        <f>E112</f>
        <v>239016558.10977873</v>
      </c>
      <c r="E61" s="976">
        <f>E125</f>
        <v>393281561.29160261</v>
      </c>
      <c r="F61" s="976">
        <f>SUM(D61:E61)</f>
        <v>632298119.40138137</v>
      </c>
      <c r="H61" s="1" t="s">
        <v>52</v>
      </c>
      <c r="I61" s="1"/>
      <c r="J61" s="25">
        <f>E83</f>
        <v>467190473.41130364</v>
      </c>
      <c r="K61" s="25">
        <f>E96</f>
        <v>783703885.2194699</v>
      </c>
      <c r="L61" s="25"/>
      <c r="N61" s="179" t="s">
        <v>52</v>
      </c>
      <c r="O61" s="1033"/>
      <c r="P61" s="1038">
        <f t="shared" ref="P61:Q63" si="2">D61/1000000</f>
        <v>239.01655810977874</v>
      </c>
      <c r="Q61" s="1038">
        <f t="shared" si="2"/>
        <v>393.2815612916026</v>
      </c>
    </row>
    <row r="62" spans="1:17" ht="21.9" customHeight="1" x14ac:dyDescent="0.25">
      <c r="B62" s="1" t="s">
        <v>53</v>
      </c>
      <c r="C62" s="1"/>
      <c r="D62" s="25">
        <f>E113</f>
        <v>43606243.777645051</v>
      </c>
      <c r="E62" s="976">
        <f>E126</f>
        <v>74234332.913179621</v>
      </c>
      <c r="F62" s="976">
        <f t="shared" ref="F62:F63" si="3">SUM(D62:E62)</f>
        <v>117840576.69082467</v>
      </c>
      <c r="H62" s="1" t="s">
        <v>53</v>
      </c>
      <c r="I62" s="1"/>
      <c r="J62" s="25">
        <f>E84</f>
        <v>48807067.072385371</v>
      </c>
      <c r="K62" s="25">
        <f>E97</f>
        <v>82535475.310729012</v>
      </c>
      <c r="L62" s="25"/>
      <c r="N62" s="179" t="s">
        <v>53</v>
      </c>
      <c r="O62" s="1033"/>
      <c r="P62" s="1038">
        <f t="shared" si="2"/>
        <v>43.606243777645048</v>
      </c>
      <c r="Q62" s="1038">
        <f t="shared" si="2"/>
        <v>74.234332913179628</v>
      </c>
    </row>
    <row r="63" spans="1:17" ht="21.9" customHeight="1" x14ac:dyDescent="0.25">
      <c r="B63" s="1" t="s">
        <v>94</v>
      </c>
      <c r="C63" s="1"/>
      <c r="D63" s="25">
        <f>E114</f>
        <v>195410314.33213368</v>
      </c>
      <c r="E63" s="976">
        <f>E127</f>
        <v>319047228.37842298</v>
      </c>
      <c r="F63" s="976">
        <f t="shared" si="3"/>
        <v>514457542.71055663</v>
      </c>
      <c r="H63" s="1" t="s">
        <v>94</v>
      </c>
      <c r="I63" s="1"/>
      <c r="J63" s="25">
        <f>E85</f>
        <v>418383406.33891821</v>
      </c>
      <c r="K63" s="25">
        <f>E98</f>
        <v>701168409.90874088</v>
      </c>
      <c r="L63" s="25"/>
      <c r="N63" s="179" t="s">
        <v>94</v>
      </c>
      <c r="O63" s="1033"/>
      <c r="P63" s="1038">
        <f t="shared" si="2"/>
        <v>195.41031433213368</v>
      </c>
      <c r="Q63" s="1038">
        <f t="shared" si="2"/>
        <v>319.04722837842297</v>
      </c>
    </row>
    <row r="64" spans="1:17" ht="21.9" customHeight="1" x14ac:dyDescent="0.25">
      <c r="B64" s="994" t="s">
        <v>90</v>
      </c>
      <c r="C64" s="1020"/>
      <c r="D64" s="1021">
        <f>D61/D62</f>
        <v>5.481246202460385</v>
      </c>
      <c r="E64" s="1021">
        <f>E61/E62</f>
        <v>5.2978392323072807</v>
      </c>
      <c r="F64" s="1021"/>
      <c r="H64" s="994" t="s">
        <v>90</v>
      </c>
      <c r="I64" s="1020"/>
      <c r="J64" s="1021">
        <f>J61/J62</f>
        <v>9.5721890585725458</v>
      </c>
      <c r="K64" s="1021">
        <f>K61/K62</f>
        <v>9.4953579932627363</v>
      </c>
      <c r="L64" s="1021"/>
      <c r="N64" s="1039" t="s">
        <v>90</v>
      </c>
      <c r="O64" s="1040"/>
      <c r="P64" s="1041">
        <f>P61/P62</f>
        <v>5.4812462024603859</v>
      </c>
      <c r="Q64" s="1041">
        <f>Q61/Q62</f>
        <v>5.2978392323072798</v>
      </c>
    </row>
    <row r="65" spans="1:33" ht="21.9" customHeight="1" x14ac:dyDescent="0.25">
      <c r="B65" t="s">
        <v>60</v>
      </c>
      <c r="D65" s="42" cm="1">
        <f t="array" ref="D65">IFERROR(COUNTIFS(D115:AO115, "&lt;= 0") - INDEX(_xlfn._xlws.FILTER(D115:AO115,D115:AO115 &lt;= 0), 1, COUNTIFS(D115:AO115, "&lt;= 0")) / INDEX(_xlfn._xlws.FILTER(D114:AO114,D115:AO115 &gt; 0), 1, 1), "N/A")</f>
        <v>15.882414354078621</v>
      </c>
      <c r="E65" s="42" cm="1">
        <f t="array" ref="E65">IFERROR(COUNTIFS(E115:AP115, "&lt;= 0") - INDEX(_xlfn._xlws.FILTER(E115:AP115,E115:AP115 &lt;= 0), 1, COUNTIFS(E115:AP115, "&lt;= 0")) / INDEX(_xlfn._xlws.FILTER(E114:AP114,E115:AP115 &gt; 0), 1, 1), "N/A")</f>
        <v>15.237645669850634</v>
      </c>
      <c r="F65" s="42"/>
      <c r="H65" t="s">
        <v>60</v>
      </c>
      <c r="I65"/>
      <c r="J65" s="17" cm="1">
        <f t="array" ref="J65">IFERROR(COUNTIFS(D86:AO86, "&lt;= 0") - INDEX(_xlfn._xlws.FILTER(D86:AO86, D86:AO86 &lt;= 0), 1, COUNTIFS(D86:AO86, "&lt;= 0")) / INDEX(_xlfn._xlws.FILTER(D85:AO85, D86:AO86 &gt; 0), 1, 1), "N/A")</f>
        <v>15.286990323023637</v>
      </c>
      <c r="K65" s="17" cm="1">
        <f t="array" ref="K65">IFERROR(COUNTIFS(E86:AP86, "&lt;= 0") - INDEX(_xlfn._xlws.FILTER(E86:AP86, E86:AP86 &lt;= 0), 1, COUNTIFS(E86:AP86, "&lt;= 0")) / INDEX(_xlfn._xlws.FILTER(E85:AP85, E86:AP86 &gt; 0), 1, 1), "N/A")</f>
        <v>14.717446783445915</v>
      </c>
      <c r="L65" s="17"/>
      <c r="N65" s="182" t="s">
        <v>60</v>
      </c>
      <c r="O65" s="1042"/>
      <c r="P65" s="1043"/>
      <c r="Q65" s="1043"/>
    </row>
    <row r="66" spans="1:33" ht="21.9" customHeight="1" x14ac:dyDescent="0.25">
      <c r="B66" s="45" t="s">
        <v>58</v>
      </c>
      <c r="C66" s="45"/>
      <c r="D66" s="1026">
        <f>IFERROR(D63/D62, 0)</f>
        <v>4.481246202460385</v>
      </c>
      <c r="E66" s="1026">
        <f>IFERROR(E63/E62, 0)</f>
        <v>4.2978392323072807</v>
      </c>
      <c r="F66" s="1022"/>
      <c r="H66" t="s">
        <v>58</v>
      </c>
      <c r="I66"/>
      <c r="J66" s="1027">
        <f>IFERROR(J63/J62, 0)</f>
        <v>8.5721890585725458</v>
      </c>
      <c r="K66" s="1027">
        <f>IFERROR(K63/K62, 0)</f>
        <v>8.4953579932627363</v>
      </c>
      <c r="L66" s="1027"/>
      <c r="N66" s="1044" t="s">
        <v>58</v>
      </c>
      <c r="O66" s="183"/>
      <c r="P66" s="1045">
        <f>D66</f>
        <v>4.481246202460385</v>
      </c>
      <c r="Q66" s="1045">
        <f>E66</f>
        <v>4.2978392323072807</v>
      </c>
    </row>
    <row r="67" spans="1:33" ht="21.9" customHeight="1" x14ac:dyDescent="0.25">
      <c r="E67"/>
      <c r="F67"/>
      <c r="G67"/>
      <c r="H67" s="45" t="s">
        <v>59</v>
      </c>
      <c r="I67" s="45"/>
      <c r="J67" s="1022">
        <f>IFERROR(IRR(F85:AG85), "N/A")</f>
        <v>0.17953482632319417</v>
      </c>
      <c r="K67" s="1022">
        <f>IFERROR(IRR(F98:AG98), "N/A")</f>
        <v>0.16549679926969296</v>
      </c>
      <c r="L67" s="1022"/>
      <c r="N67" s="182" t="s">
        <v>59</v>
      </c>
      <c r="O67" s="184"/>
      <c r="P67" s="1046">
        <f>IFERROR(IRR(F114:AG114), "N/A")</f>
        <v>0.14042795520315643</v>
      </c>
      <c r="Q67" s="1046">
        <f>IFERROR(IRR(G127:AH127), "N/A")</f>
        <v>0.12901186512028273</v>
      </c>
    </row>
    <row r="68" spans="1:33" ht="21.9" customHeight="1" x14ac:dyDescent="0.25">
      <c r="E68"/>
      <c r="F68"/>
      <c r="I68"/>
      <c r="J68" s="2"/>
    </row>
    <row r="70" spans="1:33" ht="21.9" customHeight="1" x14ac:dyDescent="0.25">
      <c r="A70" s="1024"/>
      <c r="B70" s="224" t="s">
        <v>56</v>
      </c>
      <c r="C70" s="657"/>
    </row>
    <row r="71" spans="1:33" ht="21.9" customHeight="1" x14ac:dyDescent="0.25">
      <c r="B71" s="3"/>
    </row>
    <row r="72" spans="1:33" ht="21.9" customHeight="1" x14ac:dyDescent="0.25">
      <c r="B72" s="538" t="s">
        <v>712</v>
      </c>
    </row>
    <row r="73" spans="1:33" ht="21.9" customHeight="1" x14ac:dyDescent="0.25">
      <c r="B73" s="33"/>
      <c r="C73" s="33"/>
      <c r="D73" s="33"/>
      <c r="E73" s="34" t="s">
        <v>25</v>
      </c>
      <c r="F73" s="33" cm="1">
        <f t="array" ref="F73:AG73">_xlfn.SEQUENCE(1, studyDuration+1, baseYear-1)</f>
        <v>2021</v>
      </c>
      <c r="G73" s="33">
        <v>2022</v>
      </c>
      <c r="H73" s="33">
        <v>2023</v>
      </c>
      <c r="I73" s="33">
        <v>2024</v>
      </c>
      <c r="J73" s="33">
        <v>2025</v>
      </c>
      <c r="K73" s="33">
        <v>2026</v>
      </c>
      <c r="L73" s="33">
        <v>2027</v>
      </c>
      <c r="M73" s="33">
        <v>2028</v>
      </c>
      <c r="N73" s="33">
        <v>2029</v>
      </c>
      <c r="O73" s="33">
        <v>2030</v>
      </c>
      <c r="P73" s="33">
        <v>2031</v>
      </c>
      <c r="Q73" s="33">
        <v>2032</v>
      </c>
      <c r="R73" s="33">
        <v>2033</v>
      </c>
      <c r="S73" s="33">
        <v>2034</v>
      </c>
      <c r="T73" s="33">
        <v>2035</v>
      </c>
      <c r="U73" s="33">
        <v>2036</v>
      </c>
      <c r="V73" s="33">
        <v>2037</v>
      </c>
      <c r="W73" s="33">
        <v>2038</v>
      </c>
      <c r="X73" s="33">
        <v>2039</v>
      </c>
      <c r="Y73" s="33">
        <v>2040</v>
      </c>
      <c r="Z73" s="33">
        <v>2041</v>
      </c>
      <c r="AA73" s="33">
        <v>2042</v>
      </c>
      <c r="AB73" s="33">
        <v>2043</v>
      </c>
      <c r="AC73" s="33">
        <v>2044</v>
      </c>
      <c r="AD73" s="33">
        <v>2045</v>
      </c>
      <c r="AE73" s="33">
        <v>2046</v>
      </c>
      <c r="AF73" s="33">
        <v>2047</v>
      </c>
      <c r="AG73" s="33">
        <v>2048</v>
      </c>
    </row>
    <row r="74" spans="1:33" ht="21.9" customHeight="1" x14ac:dyDescent="0.25">
      <c r="B74" s="1" t="s">
        <v>452</v>
      </c>
      <c r="C74" s="1" t="s">
        <v>49</v>
      </c>
      <c r="E74"/>
      <c r="F74"/>
      <c r="G74"/>
      <c r="H74"/>
      <c r="I74"/>
    </row>
    <row r="75" spans="1:33" ht="21.9" customHeight="1" x14ac:dyDescent="0.25">
      <c r="C75" t="s">
        <v>15</v>
      </c>
      <c r="D75" s="942"/>
      <c r="E75" s="943">
        <f>SUM(_xlfn.ANCHORARRAY(F75))</f>
        <v>14888538.6534977</v>
      </c>
      <c r="F75" s="942" cm="1">
        <f t="array" ref="F75:AG75">_xlfn.ANCHORARRAY(Safety!E160)</f>
        <v>0</v>
      </c>
      <c r="G75" s="942">
        <v>0</v>
      </c>
      <c r="H75" s="942">
        <v>0</v>
      </c>
      <c r="I75" s="942">
        <v>0</v>
      </c>
      <c r="J75" s="942">
        <v>0</v>
      </c>
      <c r="K75" s="942">
        <v>0</v>
      </c>
      <c r="L75" s="942">
        <v>0</v>
      </c>
      <c r="M75" s="942">
        <v>0</v>
      </c>
      <c r="N75" s="942">
        <v>220425.34860432308</v>
      </c>
      <c r="O75" s="942">
        <v>240928.16181541601</v>
      </c>
      <c r="P75" s="942">
        <v>263913.13063859928</v>
      </c>
      <c r="Q75" s="942">
        <v>289765.61788889195</v>
      </c>
      <c r="R75" s="942">
        <v>318940.43653000664</v>
      </c>
      <c r="S75" s="942">
        <v>351975.21659176704</v>
      </c>
      <c r="T75" s="942">
        <v>389506.40957077034</v>
      </c>
      <c r="U75" s="942">
        <v>432288.45534717722</v>
      </c>
      <c r="V75" s="942">
        <v>481216.74148799793</v>
      </c>
      <c r="W75" s="942">
        <v>537355.11060064076</v>
      </c>
      <c r="X75" s="942">
        <v>601968.82234014384</v>
      </c>
      <c r="Y75" s="942">
        <v>676564.05778786144</v>
      </c>
      <c r="Z75" s="942">
        <v>762935.27124242834</v>
      </c>
      <c r="AA75" s="942">
        <v>863221.95523636183</v>
      </c>
      <c r="AB75" s="942">
        <v>979976.69750252459</v>
      </c>
      <c r="AC75" s="942">
        <v>1116246.7840904291</v>
      </c>
      <c r="AD75" s="942">
        <v>1275672.0533848195</v>
      </c>
      <c r="AE75" s="942">
        <v>1462602.2464221641</v>
      </c>
      <c r="AF75" s="942">
        <v>1682237.747651435</v>
      </c>
      <c r="AG75" s="942">
        <v>1940798.3887639404</v>
      </c>
    </row>
    <row r="76" spans="1:33" ht="21.9" customHeight="1" x14ac:dyDescent="0.25">
      <c r="C76" t="s">
        <v>16</v>
      </c>
      <c r="D76" s="942"/>
      <c r="E76" s="943">
        <f>SUM(H76:AG76)</f>
        <v>455294579.91402686</v>
      </c>
      <c r="F76" s="942" cm="1">
        <f t="array" ref="F76">_xlfn.ANCHORARRAY('Travel Time'!G687)</f>
        <v>0</v>
      </c>
      <c r="G76" s="942" cm="1">
        <f t="array" ref="G76">_xlfn.ANCHORARRAY('Travel Time'!H687)</f>
        <v>0</v>
      </c>
      <c r="H76" s="942" cm="1">
        <f t="array" ref="H76">_xlfn.ANCHORARRAY('Travel Time'!I687)</f>
        <v>0</v>
      </c>
      <c r="I76" s="942" cm="1">
        <f t="array" ref="I76">_xlfn.ANCHORARRAY('Travel Time'!J687)</f>
        <v>0</v>
      </c>
      <c r="J76" s="942" cm="1">
        <f t="array" ref="J76">_xlfn.ANCHORARRAY('Travel Time'!K687)</f>
        <v>0</v>
      </c>
      <c r="K76" s="942" cm="1">
        <f t="array" ref="K76">_xlfn.ANCHORARRAY('Travel Time'!L687)</f>
        <v>0</v>
      </c>
      <c r="L76" s="942" cm="1">
        <f t="array" ref="L76">_xlfn.ANCHORARRAY('Travel Time'!M687)</f>
        <v>0</v>
      </c>
      <c r="M76" s="942" cm="1">
        <f t="array" ref="M76">_xlfn.ANCHORARRAY('Travel Time'!N687)</f>
        <v>1793057.4932453409</v>
      </c>
      <c r="N76" s="942" cm="1">
        <f t="array" ref="N76">_xlfn.ANCHORARRAY('Travel Time'!O687)</f>
        <v>9233057.6445910335</v>
      </c>
      <c r="O76" s="942" cm="1">
        <f t="array" ref="O76">_xlfn.ANCHORARRAY('Travel Time'!P687)</f>
        <v>10883521.731553629</v>
      </c>
      <c r="P76" s="942" cm="1">
        <f t="array" ref="P76">_xlfn.ANCHORARRAY('Travel Time'!Q687)</f>
        <v>15016944.993531138</v>
      </c>
      <c r="Q76" s="942" cm="1">
        <f t="array" ref="Q76">_xlfn.ANCHORARRAY('Travel Time'!R687)</f>
        <v>19533959.268964544</v>
      </c>
      <c r="R76" s="942" cm="1">
        <f t="array" ref="R76">_xlfn.ANCHORARRAY('Travel Time'!S687)</f>
        <v>24083438.996763401</v>
      </c>
      <c r="S76" s="942" cm="1">
        <f t="array" ref="S76">_xlfn.ANCHORARRAY('Travel Time'!T687)</f>
        <v>24193469.415815398</v>
      </c>
      <c r="T76" s="942" cm="1">
        <f t="array" ref="T76">_xlfn.ANCHORARRAY('Travel Time'!U687)</f>
        <v>23111458.400442556</v>
      </c>
      <c r="U76" s="942" cm="1">
        <f t="array" ref="U76">_xlfn.ANCHORARRAY('Travel Time'!V687)</f>
        <v>22583539.25312303</v>
      </c>
      <c r="V76" s="942" cm="1">
        <f t="array" ref="V76">_xlfn.ANCHORARRAY('Travel Time'!W687)</f>
        <v>22085018.716331303</v>
      </c>
      <c r="W76" s="942" cm="1">
        <f t="array" ref="W76">_xlfn.ANCHORARRAY('Travel Time'!X687)</f>
        <v>21860787.45388405</v>
      </c>
      <c r="X76" s="942" cm="1">
        <f t="array" ref="X76">_xlfn.ANCHORARRAY('Travel Time'!Y687)</f>
        <v>22476451.673941106</v>
      </c>
      <c r="Y76" s="942" cm="1">
        <f t="array" ref="Y76">_xlfn.ANCHORARRAY('Travel Time'!Z687)</f>
        <v>23127512.790004015</v>
      </c>
      <c r="Z76" s="942" cm="1">
        <f t="array" ref="Z76">_xlfn.ANCHORARRAY('Travel Time'!AA687)</f>
        <v>23820442.840378955</v>
      </c>
      <c r="AA76" s="942" cm="1">
        <f t="array" ref="AA76">_xlfn.ANCHORARRAY('Travel Time'!AB687)</f>
        <v>24562076.409955725</v>
      </c>
      <c r="AB76" s="942" cm="1">
        <f t="array" ref="AB76">_xlfn.ANCHORARRAY('Travel Time'!AC687)</f>
        <v>25361471.592433706</v>
      </c>
      <c r="AC76" s="942" cm="1">
        <f t="array" ref="AC76">_xlfn.ANCHORARRAY('Travel Time'!AD687)</f>
        <v>26227476.880056858</v>
      </c>
      <c r="AD76" s="942" cm="1">
        <f t="array" ref="AD76">_xlfn.ANCHORARRAY('Travel Time'!AE687)</f>
        <v>27171595.401616558</v>
      </c>
      <c r="AE76" s="942" cm="1">
        <f t="array" ref="AE76">_xlfn.ANCHORARRAY('Travel Time'!AF687)</f>
        <v>28207760.544427201</v>
      </c>
      <c r="AF76" s="942" cm="1">
        <f t="array" ref="AF76">_xlfn.ANCHORARRAY('Travel Time'!AG687)</f>
        <v>29348878.18897213</v>
      </c>
      <c r="AG76" s="942" cm="1">
        <f t="array" ref="AG76">_xlfn.ANCHORARRAY('Travel Time'!AH687)</f>
        <v>30612660.223995119</v>
      </c>
    </row>
    <row r="77" spans="1:33" ht="21.9" customHeight="1" x14ac:dyDescent="0.25">
      <c r="C77" t="s">
        <v>562</v>
      </c>
      <c r="D77" s="942"/>
      <c r="E77" s="943">
        <f>SUM(F77:AG77)</f>
        <v>-272867.60058856523</v>
      </c>
      <c r="F77" s="942" cm="1">
        <f t="array" ref="F77">_xlfn.ANCHORARRAY(Emissions!G725)</f>
        <v>0</v>
      </c>
      <c r="G77" s="942" cm="1">
        <f t="array" ref="G77">_xlfn.ANCHORARRAY(Emissions!H725)</f>
        <v>0</v>
      </c>
      <c r="H77" s="942" cm="1">
        <f t="array" ref="H77">_xlfn.ANCHORARRAY(Emissions!I725)</f>
        <v>0</v>
      </c>
      <c r="I77" s="942" cm="1">
        <f t="array" ref="I77">_xlfn.ANCHORARRAY(Emissions!J725)</f>
        <v>0</v>
      </c>
      <c r="J77" s="942" cm="1">
        <f t="array" ref="J77">_xlfn.ANCHORARRAY(Emissions!K725)</f>
        <v>0</v>
      </c>
      <c r="K77" s="942" cm="1">
        <f t="array" ref="K77">_xlfn.ANCHORARRAY(Emissions!L725)</f>
        <v>0</v>
      </c>
      <c r="L77" s="942" cm="1">
        <f t="array" ref="L77">_xlfn.ANCHORARRAY(Emissions!M725)</f>
        <v>0</v>
      </c>
      <c r="M77" s="942" cm="1">
        <f t="array" ref="M77">_xlfn.ANCHORARRAY(Emissions!N725)</f>
        <v>-72100.314075026661</v>
      </c>
      <c r="N77" s="942" cm="1">
        <f t="array" ref="N77">_xlfn.ANCHORARRAY(Emissions!O725)</f>
        <v>-90662.776089203078</v>
      </c>
      <c r="O77" s="942" cm="1">
        <f t="array" ref="O77">_xlfn.ANCHORARRAY(Emissions!P725)</f>
        <v>-109382.3351756155</v>
      </c>
      <c r="P77" s="942" cm="1">
        <f t="array" ref="P77">_xlfn.ANCHORARRAY(Emissions!Q725)</f>
        <v>-89341.21690715407</v>
      </c>
      <c r="Q77" s="942" cm="1">
        <f t="array" ref="Q77">_xlfn.ANCHORARRAY(Emissions!R725)</f>
        <v>-69307.196896258276</v>
      </c>
      <c r="R77" s="942" cm="1">
        <f t="array" ref="R77">_xlfn.ANCHORARRAY(Emissions!S725)</f>
        <v>-49269.758508213796</v>
      </c>
      <c r="S77" s="942" cm="1">
        <f t="array" ref="S77">_xlfn.ANCHORARRAY(Emissions!T725)</f>
        <v>-29228.640239752363</v>
      </c>
      <c r="T77" s="942" cm="1">
        <f t="array" ref="T77">_xlfn.ANCHORARRAY(Emissions!U725)</f>
        <v>-9179.3357878201641</v>
      </c>
      <c r="U77" s="942" cm="1">
        <f t="array" ref="U77">_xlfn.ANCHORARRAY(Emissions!V725)</f>
        <v>1934.418601936195</v>
      </c>
      <c r="V77" s="942" cm="1">
        <f t="array" ref="V77">_xlfn.ANCHORARRAY(Emissions!W725)</f>
        <v>4759.9875926026143</v>
      </c>
      <c r="W77" s="942" cm="1">
        <f t="array" ref="W77">_xlfn.ANCHORARRAY(Emissions!X725)</f>
        <v>7587.7766534290276</v>
      </c>
      <c r="X77" s="942" cm="1">
        <f t="array" ref="X77">_xlfn.ANCHORARRAY(Emissions!Y725)</f>
        <v>10415.565714254975</v>
      </c>
      <c r="Y77" s="942" cm="1">
        <f t="array" ref="Y77">_xlfn.ANCHORARRAY(Emissions!Z725)</f>
        <v>13239.792756670155</v>
      </c>
      <c r="Z77" s="942" cm="1">
        <f t="array" ref="Z77">_xlfn.ANCHORARRAY(Emissions!AA725)</f>
        <v>16067.581817496102</v>
      </c>
      <c r="AA77" s="942" cm="1">
        <f t="array" ref="AA77">_xlfn.ANCHORARRAY(Emissions!AB725)</f>
        <v>18891.722363667563</v>
      </c>
      <c r="AB77" s="942" cm="1">
        <f t="array" ref="AB77">_xlfn.ANCHORARRAY(Emissions!AC725)</f>
        <v>21719.511424496304</v>
      </c>
      <c r="AC77" s="942" cm="1">
        <f t="array" ref="AC77">_xlfn.ANCHORARRAY(Emissions!AD725)</f>
        <v>24547.300485320389</v>
      </c>
      <c r="AD77" s="942" cm="1">
        <f t="array" ref="AD77">_xlfn.ANCHORARRAY(Emissions!AE725)</f>
        <v>27369.307457575109</v>
      </c>
      <c r="AE77" s="942" cm="1">
        <f t="array" ref="AE77">_xlfn.ANCHORARRAY(Emissions!AF725)</f>
        <v>30197.096518401988</v>
      </c>
      <c r="AF77" s="942" cm="1">
        <f t="array" ref="AF77">_xlfn.ANCHORARRAY(Emissions!AG725)</f>
        <v>33024.885579227004</v>
      </c>
      <c r="AG77" s="942" cm="1">
        <f t="array" ref="AG77">_xlfn.ANCHORARRAY(Emissions!AH725)</f>
        <v>35849.026125401258</v>
      </c>
    </row>
    <row r="78" spans="1:33" ht="21.9" customHeight="1" x14ac:dyDescent="0.25">
      <c r="C78" t="s">
        <v>563</v>
      </c>
      <c r="D78" s="942"/>
      <c r="E78" s="943">
        <f t="shared" ref="E78:E80" si="4">SUM(F78:AG78)</f>
        <v>-1435.8277953085781</v>
      </c>
      <c r="F78" s="942" cm="1">
        <f t="array" ref="F78">_xlfn.ANCHORARRAY(Emissions!G726)</f>
        <v>0</v>
      </c>
      <c r="G78" s="942" cm="1">
        <f t="array" ref="G78">_xlfn.ANCHORARRAY(Emissions!H726)</f>
        <v>0</v>
      </c>
      <c r="H78" s="942" cm="1">
        <f t="array" ref="H78">_xlfn.ANCHORARRAY(Emissions!I726)</f>
        <v>0</v>
      </c>
      <c r="I78" s="942" cm="1">
        <f t="array" ref="I78">_xlfn.ANCHORARRAY(Emissions!J726)</f>
        <v>0</v>
      </c>
      <c r="J78" s="942" cm="1">
        <f t="array" ref="J78">_xlfn.ANCHORARRAY(Emissions!K726)</f>
        <v>0</v>
      </c>
      <c r="K78" s="942" cm="1">
        <f t="array" ref="K78">_xlfn.ANCHORARRAY(Emissions!L726)</f>
        <v>0</v>
      </c>
      <c r="L78" s="942" cm="1">
        <f t="array" ref="L78">_xlfn.ANCHORARRAY(Emissions!M726)</f>
        <v>0</v>
      </c>
      <c r="M78" s="942" cm="1">
        <f t="array" ref="M78">_xlfn.ANCHORARRAY(Emissions!N726)</f>
        <v>-383.25596699959533</v>
      </c>
      <c r="N78" s="942" cm="1">
        <f t="array" ref="N78">_xlfn.ANCHORARRAY(Emissions!O726)</f>
        <v>-484.24999911537088</v>
      </c>
      <c r="O78" s="942" cm="1">
        <f t="array" ref="O78">_xlfn.ANCHORARRAY(Emissions!P726)</f>
        <v>-589.63177572188033</v>
      </c>
      <c r="P78" s="942" cm="1">
        <f t="array" ref="P78">_xlfn.ANCHORARRAY(Emissions!Q726)</f>
        <v>-481.13457265527359</v>
      </c>
      <c r="Q78" s="942" cm="1">
        <f t="array" ref="Q78">_xlfn.ANCHORARRAY(Emissions!R726)</f>
        <v>-372.6757689113856</v>
      </c>
      <c r="R78" s="942" cm="1">
        <f t="array" ref="R78">_xlfn.ANCHORARRAY(Emissions!S726)</f>
        <v>-264.19885895124025</v>
      </c>
      <c r="S78" s="942" cm="1">
        <f t="array" ref="S78">_xlfn.ANCHORARRAY(Emissions!T726)</f>
        <v>-155.70165588462805</v>
      </c>
      <c r="T78" s="942" cm="1">
        <f t="array" ref="T78">_xlfn.ANCHORARRAY(Emissions!U726)</f>
        <v>-47.163817102747998</v>
      </c>
      <c r="U78" s="942" cm="1">
        <f t="array" ref="U78">_xlfn.ANCHORARRAY(Emissions!V726)</f>
        <v>12.900135634177786</v>
      </c>
      <c r="V78" s="942" cm="1">
        <f t="array" ref="V78">_xlfn.ANCHORARRAY(Emissions!W726)</f>
        <v>27.953620453095937</v>
      </c>
      <c r="W78" s="942" cm="1">
        <f t="array" ref="W78">_xlfn.ANCHORARRAY(Emissions!X726)</f>
        <v>43.019348093775989</v>
      </c>
      <c r="X78" s="942" cm="1">
        <f t="array" ref="X78">_xlfn.ANCHORARRAY(Emissions!Y726)</f>
        <v>58.085075734465136</v>
      </c>
      <c r="Y78" s="942" cm="1">
        <f t="array" ref="Y78">_xlfn.ANCHORARRAY(Emissions!Z726)</f>
        <v>73.129651085075238</v>
      </c>
      <c r="Z78" s="942" cm="1">
        <f t="array" ref="Z78">_xlfn.ANCHORARRAY(Emissions!AA726)</f>
        <v>88.195378725768023</v>
      </c>
      <c r="AA78" s="942" cm="1">
        <f t="array" ref="AA78">_xlfn.ANCHORARRAY(Emissions!AB726)</f>
        <v>103.23947708332889</v>
      </c>
      <c r="AB78" s="942" cm="1">
        <f t="array" ref="AB78">_xlfn.ANCHORARRAY(Emissions!AC726)</f>
        <v>118.3052047240144</v>
      </c>
      <c r="AC78" s="942" cm="1">
        <f t="array" ref="AC78">_xlfn.ANCHORARRAY(Emissions!AD726)</f>
        <v>133.37093236470173</v>
      </c>
      <c r="AD78" s="942" cm="1">
        <f t="array" ref="AD78">_xlfn.ANCHORARRAY(Emissions!AE726)</f>
        <v>148.40326489353538</v>
      </c>
      <c r="AE78" s="942" cm="1">
        <f t="array" ref="AE78">_xlfn.ANCHORARRAY(Emissions!AF726)</f>
        <v>163.46899253422089</v>
      </c>
      <c r="AF78" s="942" cm="1">
        <f t="array" ref="AF78">_xlfn.ANCHORARRAY(Emissions!AG726)</f>
        <v>178.53472017491367</v>
      </c>
      <c r="AG78" s="942" cm="1">
        <f t="array" ref="AG78">_xlfn.ANCHORARRAY(Emissions!AH726)</f>
        <v>193.5788185324709</v>
      </c>
    </row>
    <row r="79" spans="1:33" ht="21.9" customHeight="1" x14ac:dyDescent="0.25">
      <c r="C79" t="s">
        <v>564</v>
      </c>
      <c r="D79" s="942"/>
      <c r="E79" s="943">
        <f t="shared" si="4"/>
        <v>-423757.13102413993</v>
      </c>
      <c r="F79" s="942" cm="1">
        <f t="array" ref="F79">_xlfn.ANCHORARRAY(Emissions!G727)</f>
        <v>0</v>
      </c>
      <c r="G79" s="942" cm="1">
        <f t="array" ref="G79">_xlfn.ANCHORARRAY(Emissions!H727)</f>
        <v>0</v>
      </c>
      <c r="H79" s="942" cm="1">
        <f t="array" ref="H79">_xlfn.ANCHORARRAY(Emissions!I727)</f>
        <v>0</v>
      </c>
      <c r="I79" s="942" cm="1">
        <f t="array" ref="I79">_xlfn.ANCHORARRAY(Emissions!J727)</f>
        <v>0</v>
      </c>
      <c r="J79" s="942" cm="1">
        <f t="array" ref="J79">_xlfn.ANCHORARRAY(Emissions!K727)</f>
        <v>0</v>
      </c>
      <c r="K79" s="942" cm="1">
        <f t="array" ref="K79">_xlfn.ANCHORARRAY(Emissions!L727)</f>
        <v>0</v>
      </c>
      <c r="L79" s="942" cm="1">
        <f t="array" ref="L79">_xlfn.ANCHORARRAY(Emissions!M727)</f>
        <v>0</v>
      </c>
      <c r="M79" s="942" cm="1">
        <f t="array" ref="M79">_xlfn.ANCHORARRAY(Emissions!N727)</f>
        <v>-112033.4924218813</v>
      </c>
      <c r="N79" s="942" cm="1">
        <f t="array" ref="N79">_xlfn.ANCHORARRAY(Emissions!O727)</f>
        <v>-140826.65272719134</v>
      </c>
      <c r="O79" s="942" cm="1">
        <f t="array" ref="O79">_xlfn.ANCHORARRAY(Emissions!P727)</f>
        <v>-170682.26255016401</v>
      </c>
      <c r="P79" s="942" cm="1">
        <f t="array" ref="P79">_xlfn.ANCHORARRAY(Emissions!Q727)</f>
        <v>-139392.91477251984</v>
      </c>
      <c r="Q79" s="942" cm="1">
        <f t="array" ref="Q79">_xlfn.ANCHORARRAY(Emissions!R727)</f>
        <v>-108114.64816356869</v>
      </c>
      <c r="R79" s="942" cm="1">
        <f t="array" ref="R79">_xlfn.ANCHORARRAY(Emissions!S727)</f>
        <v>-76831.059063023888</v>
      </c>
      <c r="S79" s="942" cm="1">
        <f t="array" ref="S79">_xlfn.ANCHORARRAY(Emissions!T727)</f>
        <v>-45541.711285380181</v>
      </c>
      <c r="T79" s="942" cm="1">
        <f t="array" ref="T79">_xlfn.ANCHORARRAY(Emissions!U727)</f>
        <v>-14239.716032701544</v>
      </c>
      <c r="U79" s="942" cm="1">
        <f t="array" ref="U79">_xlfn.ANCHORARRAY(Emissions!V727)</f>
        <v>3107.9924924857914</v>
      </c>
      <c r="V79" s="942" cm="1">
        <f t="array" ref="V79">_xlfn.ANCHORARRAY(Emissions!W727)</f>
        <v>7510.6246919557452</v>
      </c>
      <c r="W79" s="942" cm="1">
        <f t="array" ref="W79">_xlfn.ANCHORARRAY(Emissions!X727)</f>
        <v>11916.731098665856</v>
      </c>
      <c r="X79" s="942" cm="1">
        <f t="array" ref="X79">_xlfn.ANCHORARRAY(Emissions!Y727)</f>
        <v>16322.837505376898</v>
      </c>
      <c r="Y79" s="942" cm="1">
        <f t="array" ref="Y79">_xlfn.ANCHORARRAY(Emissions!Z727)</f>
        <v>20723.315057431348</v>
      </c>
      <c r="Z79" s="942" cm="1">
        <f t="array" ref="Z79">_xlfn.ANCHORARRAY(Emissions!AA727)</f>
        <v>25129.421464138664</v>
      </c>
      <c r="AA79" s="942" cm="1">
        <f t="array" ref="AA79">_xlfn.ANCHORARRAY(Emissions!AB727)</f>
        <v>29529.763657469302</v>
      </c>
      <c r="AB79" s="942" cm="1">
        <f t="array" ref="AB79">_xlfn.ANCHORARRAY(Emissions!AC727)</f>
        <v>33935.870064180344</v>
      </c>
      <c r="AC79" s="942" cm="1">
        <f t="array" ref="AC79">_xlfn.ANCHORARRAY(Emissions!AD727)</f>
        <v>38341.976470888592</v>
      </c>
      <c r="AD79" s="942" cm="1">
        <f t="array" ref="AD79">_xlfn.ANCHORARRAY(Emissions!AE727)</f>
        <v>42738.979815705679</v>
      </c>
      <c r="AE79" s="942" cm="1">
        <f t="array" ref="AE79">_xlfn.ANCHORARRAY(Emissions!AF727)</f>
        <v>47145.086222414859</v>
      </c>
      <c r="AF79" s="942" cm="1">
        <f t="array" ref="AF79">_xlfn.ANCHORARRAY(Emissions!AG727)</f>
        <v>51551.192629124038</v>
      </c>
      <c r="AG79" s="942" cm="1">
        <f t="array" ref="AG79">_xlfn.ANCHORARRAY(Emissions!AH727)</f>
        <v>55951.534822453745</v>
      </c>
    </row>
    <row r="80" spans="1:33" ht="21.9" customHeight="1" x14ac:dyDescent="0.25">
      <c r="C80" t="s">
        <v>565</v>
      </c>
      <c r="D80" s="942"/>
      <c r="E80" s="943">
        <f t="shared" si="4"/>
        <v>-23352248.172289431</v>
      </c>
      <c r="F80" s="942" cm="1">
        <f t="array" ref="F80">_xlfn.ANCHORARRAY(Emissions!G728)</f>
        <v>0</v>
      </c>
      <c r="G80" s="942" cm="1">
        <f t="array" ref="G80">_xlfn.ANCHORARRAY(Emissions!H728)</f>
        <v>0</v>
      </c>
      <c r="H80" s="942" cm="1">
        <f t="array" ref="H80">_xlfn.ANCHORARRAY(Emissions!I728)</f>
        <v>0</v>
      </c>
      <c r="I80" s="942" cm="1">
        <f t="array" ref="I80">_xlfn.ANCHORARRAY(Emissions!J728)</f>
        <v>0</v>
      </c>
      <c r="J80" s="942" cm="1">
        <f t="array" ref="J80">_xlfn.ANCHORARRAY(Emissions!K728)</f>
        <v>0</v>
      </c>
      <c r="K80" s="942" cm="1">
        <f t="array" ref="K80">_xlfn.ANCHORARRAY(Emissions!L728)</f>
        <v>0</v>
      </c>
      <c r="L80" s="942" cm="1">
        <f t="array" ref="L80">_xlfn.ANCHORARRAY(Emissions!M728)</f>
        <v>0</v>
      </c>
      <c r="M80" s="942" cm="1">
        <f t="array" ref="M80">_xlfn.ANCHORARRAY(Emissions!N728)</f>
        <v>-7694192.1212507784</v>
      </c>
      <c r="N80" s="942" cm="1">
        <f t="array" ref="N80">_xlfn.ANCHORARRAY(Emissions!O728)</f>
        <v>-9609478.4417585731</v>
      </c>
      <c r="O80" s="942" cm="1">
        <f t="array" ref="O80">_xlfn.ANCHORARRAY(Emissions!P728)</f>
        <v>-11615313.520811677</v>
      </c>
      <c r="P80" s="942" cm="1">
        <f t="array" ref="P80">_xlfn.ANCHORARRAY(Emissions!Q728)</f>
        <v>-9664048.3748832941</v>
      </c>
      <c r="Q80" s="942" cm="1">
        <f t="array" ref="Q80">_xlfn.ANCHORARRAY(Emissions!R728)</f>
        <v>-7573310.6306126714</v>
      </c>
      <c r="R80" s="942" cm="1">
        <f t="array" ref="R80">_xlfn.ANCHORARRAY(Emissions!S728)</f>
        <v>-5472896.8485281765</v>
      </c>
      <c r="S80" s="942" cm="1">
        <f t="array" ref="S80">_xlfn.ANCHORARRAY(Emissions!T728)</f>
        <v>-3277011.6940265298</v>
      </c>
      <c r="T80" s="942" cm="1">
        <f t="array" ref="T80">_xlfn.ANCHORARRAY(Emissions!U728)</f>
        <v>-1013766.7100775242</v>
      </c>
      <c r="U80" s="942" cm="1">
        <f t="array" ref="U80">_xlfn.ANCHORARRAY(Emissions!V728)</f>
        <v>269368.8626961112</v>
      </c>
      <c r="V80" s="942" cm="1">
        <f t="array" ref="V80">_xlfn.ANCHORARRAY(Emissions!W728)</f>
        <v>605997.19461685419</v>
      </c>
      <c r="W80" s="942" cm="1">
        <f t="array" ref="W80">_xlfn.ANCHORARRAY(Emissions!X728)</f>
        <v>947923.84486454725</v>
      </c>
      <c r="X80" s="942" cm="1">
        <f t="array" ref="X80">_xlfn.ANCHORARRAY(Emissions!Y728)</f>
        <v>1301219.6990380287</v>
      </c>
      <c r="Y80" s="942" cm="1">
        <f t="array" ref="Y80">_xlfn.ANCHORARRAY(Emissions!Z728)</f>
        <v>1668879.5463114977</v>
      </c>
      <c r="Z80" s="942" cm="1">
        <f t="array" ref="Z80">_xlfn.ANCHORARRAY(Emissions!AA728)</f>
        <v>2041841.6664813161</v>
      </c>
      <c r="AA80" s="942" cm="1">
        <f t="array" ref="AA80">_xlfn.ANCHORARRAY(Emissions!AB728)</f>
        <v>2431455.0441499352</v>
      </c>
      <c r="AB80" s="942" cm="1">
        <f t="array" ref="AB80">_xlfn.ANCHORARRAY(Emissions!AC728)</f>
        <v>2824083.2846520543</v>
      </c>
      <c r="AC80" s="942" cm="1">
        <f t="array" ref="AC80">_xlfn.ANCHORARRAY(Emissions!AD728)</f>
        <v>3236178.0040162206</v>
      </c>
      <c r="AD80" s="942" cm="1">
        <f t="array" ref="AD80">_xlfn.ANCHORARRAY(Emissions!AE728)</f>
        <v>3647666.9170786142</v>
      </c>
      <c r="AE80" s="942" cm="1">
        <f t="array" ref="AE80">_xlfn.ANCHORARRAY(Emissions!AF728)</f>
        <v>4081736.0630686283</v>
      </c>
      <c r="AF80" s="942" cm="1">
        <f t="array" ref="AF80">_xlfn.ANCHORARRAY(Emissions!AG728)</f>
        <v>4527377.353362143</v>
      </c>
      <c r="AG80" s="942" cm="1">
        <f t="array" ref="AG80">_xlfn.ANCHORARRAY(Emissions!AH728)</f>
        <v>4984042.6893238425</v>
      </c>
    </row>
    <row r="81" spans="2:33" ht="21.9" customHeight="1" x14ac:dyDescent="0.25">
      <c r="C81" t="s">
        <v>212</v>
      </c>
      <c r="D81" s="942"/>
      <c r="E81" s="943">
        <f>SUM(F81:AG81)</f>
        <v>7155156.8134982046</v>
      </c>
      <c r="F81" s="942" cm="1">
        <f t="array" ref="F81">_xlfn.ANCHORARRAY('O&amp;M'!D22)</f>
        <v>0</v>
      </c>
      <c r="G81" s="942" cm="1">
        <f t="array" ref="G81">_xlfn.ANCHORARRAY('O&amp;M'!E22)</f>
        <v>0</v>
      </c>
      <c r="H81" s="942" cm="1">
        <f t="array" ref="H81">_xlfn.ANCHORARRAY('O&amp;M'!F22)</f>
        <v>0</v>
      </c>
      <c r="I81" s="942" cm="1">
        <f t="array" ref="I81">_xlfn.ANCHORARRAY('O&amp;M'!G22)</f>
        <v>0</v>
      </c>
      <c r="J81" s="942" cm="1">
        <f t="array" ref="J81">_xlfn.ANCHORARRAY('O&amp;M'!H22)</f>
        <v>2340255.3049330241</v>
      </c>
      <c r="K81" s="942" cm="1">
        <f t="array" ref="K81">_xlfn.ANCHORARRAY('O&amp;M'!I22)</f>
        <v>0</v>
      </c>
      <c r="L81" s="942" cm="1">
        <f t="array" ref="L81">_xlfn.ANCHORARRAY('O&amp;M'!J22)</f>
        <v>0</v>
      </c>
      <c r="M81" s="942" cm="1">
        <f t="array" ref="M81">_xlfn.ANCHORARRAY('O&amp;M'!K22)</f>
        <v>-4634.1689206594529</v>
      </c>
      <c r="N81" s="942" cm="1">
        <f t="array" ref="N81">_xlfn.ANCHORARRAY('O&amp;M'!L22)</f>
        <v>-4634.1689206594529</v>
      </c>
      <c r="O81" s="942" cm="1">
        <f t="array" ref="O81">_xlfn.ANCHORARRAY('O&amp;M'!M22)</f>
        <v>-120488.39193714582</v>
      </c>
      <c r="P81" s="942" cm="1">
        <f t="array" ref="P81">_xlfn.ANCHORARRAY('O&amp;M'!N22)</f>
        <v>-4634.1689206594529</v>
      </c>
      <c r="Q81" s="942" cm="1">
        <f t="array" ref="Q81">_xlfn.ANCHORARRAY('O&amp;M'!O22)</f>
        <v>-4634.1689206594529</v>
      </c>
      <c r="R81" s="942" cm="1">
        <f t="array" ref="R81">_xlfn.ANCHORARRAY('O&amp;M'!P22)</f>
        <v>-4634.1689206594529</v>
      </c>
      <c r="S81" s="942" cm="1">
        <f t="array" ref="S81">_xlfn.ANCHORARRAY('O&amp;M'!Q22)</f>
        <v>-4634.1689206594529</v>
      </c>
      <c r="T81" s="942" cm="1">
        <f t="array" ref="T81">_xlfn.ANCHORARRAY('O&amp;M'!R22)</f>
        <v>7549061.1717542503</v>
      </c>
      <c r="U81" s="942" cm="1">
        <f t="array" ref="U81">_xlfn.ANCHORARRAY('O&amp;M'!S22)</f>
        <v>-4634.1689206594529</v>
      </c>
      <c r="V81" s="942" cm="1">
        <f t="array" ref="V81">_xlfn.ANCHORARRAY('O&amp;M'!T22)</f>
        <v>-4634.1689206594529</v>
      </c>
      <c r="W81" s="942" cm="1">
        <f t="array" ref="W81">_xlfn.ANCHORARRAY('O&amp;M'!U22)</f>
        <v>-4634.1689206594529</v>
      </c>
      <c r="X81" s="942" cm="1">
        <f t="array" ref="X81">_xlfn.ANCHORARRAY('O&amp;M'!V22)</f>
        <v>-4634.1689206594529</v>
      </c>
      <c r="Y81" s="942" cm="1">
        <f t="array" ref="Y81">_xlfn.ANCHORARRAY('O&amp;M'!W22)</f>
        <v>-120488.39193714582</v>
      </c>
      <c r="Z81" s="942" cm="1">
        <f t="array" ref="Z81">_xlfn.ANCHORARRAY('O&amp;M'!X22)</f>
        <v>-4634.1689206594529</v>
      </c>
      <c r="AA81" s="942" cm="1">
        <f t="array" ref="AA81">_xlfn.ANCHORARRAY('O&amp;M'!Y22)</f>
        <v>-4634.1689206594529</v>
      </c>
      <c r="AB81" s="942" cm="1">
        <f t="array" ref="AB81">_xlfn.ANCHORARRAY('O&amp;M'!Z22)</f>
        <v>-4634.1689206594529</v>
      </c>
      <c r="AC81" s="942" cm="1">
        <f t="array" ref="AC81">_xlfn.ANCHORARRAY('O&amp;M'!AA22)</f>
        <v>-4634.1689206594529</v>
      </c>
      <c r="AD81" s="942" cm="1">
        <f t="array" ref="AD81">_xlfn.ANCHORARRAY('O&amp;M'!AB22)</f>
        <v>-421709.37178001017</v>
      </c>
      <c r="AE81" s="942" cm="1">
        <f t="array" ref="AE81">_xlfn.ANCHORARRAY('O&amp;M'!AC22)</f>
        <v>-1997326.8048042245</v>
      </c>
      <c r="AF81" s="942" cm="1">
        <f t="array" ref="AF81">_xlfn.ANCHORARRAY('O&amp;M'!AD22)</f>
        <v>-4634.1689206594529</v>
      </c>
      <c r="AG81" s="942" cm="1">
        <f t="array" ref="AG81">_xlfn.ANCHORARRAY('O&amp;M'!AE22)</f>
        <v>-4634.1689206594529</v>
      </c>
    </row>
    <row r="82" spans="2:33" ht="21.9" customHeight="1" x14ac:dyDescent="0.25">
      <c r="C82" s="45" t="s">
        <v>17</v>
      </c>
      <c r="D82" s="248"/>
      <c r="E82" s="970">
        <f t="shared" ref="E82" si="5">SUM(_xlfn.ANCHORARRAY(F82))</f>
        <v>13902506.761978362</v>
      </c>
      <c r="F82" s="248" cm="1">
        <f t="array" ref="F82:AG82">_xlfn.ANCHORARRAY('Residual Value'!E46)</f>
        <v>0</v>
      </c>
      <c r="G82" s="248">
        <v>0</v>
      </c>
      <c r="H82" s="248">
        <v>0</v>
      </c>
      <c r="I82" s="248">
        <v>0</v>
      </c>
      <c r="J82" s="248">
        <v>0</v>
      </c>
      <c r="K82" s="248">
        <v>0</v>
      </c>
      <c r="L82" s="248">
        <v>0</v>
      </c>
      <c r="M82" s="248">
        <v>0</v>
      </c>
      <c r="N82" s="248">
        <v>0</v>
      </c>
      <c r="O82" s="248">
        <v>0</v>
      </c>
      <c r="P82" s="248">
        <v>0</v>
      </c>
      <c r="Q82" s="248">
        <v>0</v>
      </c>
      <c r="R82" s="248">
        <v>0</v>
      </c>
      <c r="S82" s="248">
        <v>0</v>
      </c>
      <c r="T82" s="248">
        <v>0</v>
      </c>
      <c r="U82" s="248">
        <v>0</v>
      </c>
      <c r="V82" s="248">
        <v>0</v>
      </c>
      <c r="W82" s="248">
        <v>0</v>
      </c>
      <c r="X82" s="248">
        <v>0</v>
      </c>
      <c r="Y82" s="248">
        <v>0</v>
      </c>
      <c r="Z82" s="248">
        <v>0</v>
      </c>
      <c r="AA82" s="248">
        <v>0</v>
      </c>
      <c r="AB82" s="248">
        <v>0</v>
      </c>
      <c r="AC82" s="248">
        <v>0</v>
      </c>
      <c r="AD82" s="248">
        <v>0</v>
      </c>
      <c r="AE82" s="248">
        <v>0</v>
      </c>
      <c r="AF82" s="248">
        <v>0</v>
      </c>
      <c r="AG82" s="248">
        <v>13902506.761978362</v>
      </c>
    </row>
    <row r="83" spans="2:33" ht="21.9" customHeight="1" x14ac:dyDescent="0.25">
      <c r="C83" s="1" t="s">
        <v>52</v>
      </c>
      <c r="D83" s="976"/>
      <c r="E83" s="977">
        <f>SUM(F83:AG83)</f>
        <v>467190473.41130364</v>
      </c>
      <c r="F83" s="976">
        <f>SUM(F75:F82)</f>
        <v>0</v>
      </c>
      <c r="G83" s="976">
        <f t="shared" ref="G83:S83" si="6">SUM(G75:G82)</f>
        <v>0</v>
      </c>
      <c r="H83" s="976">
        <f t="shared" si="6"/>
        <v>0</v>
      </c>
      <c r="I83" s="976">
        <f t="shared" si="6"/>
        <v>0</v>
      </c>
      <c r="J83" s="976">
        <f t="shared" si="6"/>
        <v>2340255.3049330241</v>
      </c>
      <c r="K83" s="976">
        <f t="shared" si="6"/>
        <v>0</v>
      </c>
      <c r="L83" s="976">
        <f t="shared" si="6"/>
        <v>0</v>
      </c>
      <c r="M83" s="976">
        <f t="shared" si="6"/>
        <v>-6090285.8593900045</v>
      </c>
      <c r="N83" s="976">
        <f t="shared" si="6"/>
        <v>-392603.29629938398</v>
      </c>
      <c r="O83" s="976">
        <f t="shared" si="6"/>
        <v>-892006.24888127844</v>
      </c>
      <c r="P83" s="976">
        <f t="shared" si="6"/>
        <v>5382960.314113454</v>
      </c>
      <c r="Q83" s="976">
        <f t="shared" si="6"/>
        <v>12067985.566491365</v>
      </c>
      <c r="R83" s="976">
        <f t="shared" si="6"/>
        <v>18798483.399414383</v>
      </c>
      <c r="S83" s="976">
        <f t="shared" si="6"/>
        <v>21188872.716278963</v>
      </c>
      <c r="T83" s="976">
        <f t="shared" ref="T83" si="7">SUM(T75:T82)</f>
        <v>30012793.056052424</v>
      </c>
      <c r="U83" s="976">
        <f t="shared" ref="U83" si="8">SUM(U75:U82)</f>
        <v>23285617.713475715</v>
      </c>
      <c r="V83" s="976">
        <f t="shared" ref="V83" si="9">SUM(V75:V82)</f>
        <v>23179897.049420509</v>
      </c>
      <c r="W83" s="976">
        <f t="shared" ref="W83" si="10">SUM(W75:W82)</f>
        <v>23360979.767528765</v>
      </c>
      <c r="X83" s="976">
        <f t="shared" ref="X83" si="11">SUM(X75:X82)</f>
        <v>24401802.51469399</v>
      </c>
      <c r="Y83" s="976">
        <f t="shared" ref="Y83" si="12">SUM(Y75:Y82)</f>
        <v>25386504.239631414</v>
      </c>
      <c r="Z83" s="976">
        <f t="shared" ref="Z83" si="13">SUM(Z75:Z82)</f>
        <v>26661870.8078424</v>
      </c>
      <c r="AA83" s="976">
        <f t="shared" ref="AA83" si="14">SUM(AA75:AA82)</f>
        <v>27900643.96591958</v>
      </c>
      <c r="AB83" s="976">
        <f t="shared" ref="AB83" si="15">SUM(AB75:AB82)</f>
        <v>29216671.092361026</v>
      </c>
      <c r="AC83" s="976">
        <f t="shared" ref="AC83" si="16">SUM(AC75:AC82)</f>
        <v>30638290.147131421</v>
      </c>
      <c r="AD83" s="976">
        <f t="shared" ref="AD83" si="17">SUM(AD75:AD82)</f>
        <v>31743481.690838154</v>
      </c>
      <c r="AE83" s="976">
        <f t="shared" ref="AE83" si="18">SUM(AE75:AE82)</f>
        <v>31832277.700847115</v>
      </c>
      <c r="AF83" s="976">
        <f t="shared" ref="AF83" si="19">SUM(AF75:AF82)</f>
        <v>35638613.733993582</v>
      </c>
      <c r="AG83" s="976">
        <f t="shared" ref="AG83" si="20">SUM(AG75:AG82)</f>
        <v>51527368.034906998</v>
      </c>
    </row>
    <row r="84" spans="2:33" ht="21.9" customHeight="1" x14ac:dyDescent="0.25">
      <c r="C84" s="994" t="s">
        <v>53</v>
      </c>
      <c r="D84" s="995"/>
      <c r="E84" s="996">
        <f>SUM(F84:AG84)</f>
        <v>48807067.072385371</v>
      </c>
      <c r="F84" s="995" cm="1">
        <f t="array" ref="F84">_xlfn.ANCHORARRAY('Project Costs'!D69)</f>
        <v>0</v>
      </c>
      <c r="G84" s="995" cm="1">
        <f t="array" ref="G84">_xlfn.ANCHORARRAY('Project Costs'!E69)</f>
        <v>935484.23278378847</v>
      </c>
      <c r="H84" s="995" cm="1">
        <f t="array" ref="H84">_xlfn.ANCHORARRAY('Project Costs'!F69)</f>
        <v>2181148.8386570499</v>
      </c>
      <c r="I84" s="995" cm="1">
        <f t="array" ref="I84">_xlfn.ANCHORARRAY('Project Costs'!G69)</f>
        <v>1480462.4978533401</v>
      </c>
      <c r="J84" s="995" cm="1">
        <f t="array" ref="J84">_xlfn.ANCHORARRAY('Project Costs'!H69)</f>
        <v>16193948.820947105</v>
      </c>
      <c r="K84" s="995" cm="1">
        <f t="array" ref="K84">_xlfn.ANCHORARRAY('Project Costs'!I69)</f>
        <v>16193948.820947105</v>
      </c>
      <c r="L84" s="995" cm="1">
        <f t="array" ref="L84">_xlfn.ANCHORARRAY('Project Costs'!J69)</f>
        <v>8137909.5692727119</v>
      </c>
      <c r="M84" s="995" cm="1">
        <f t="array" ref="M84">_xlfn.ANCHORARRAY('Project Costs'!K69)</f>
        <v>3684164.2919242657</v>
      </c>
      <c r="N84" s="995" cm="1">
        <f t="array" ref="N84">_xlfn.ANCHORARRAY('Project Costs'!L69)</f>
        <v>0</v>
      </c>
      <c r="O84" s="995" cm="1">
        <f t="array" ref="O84">_xlfn.ANCHORARRAY('Project Costs'!M69)</f>
        <v>0</v>
      </c>
      <c r="P84" s="995" cm="1">
        <f t="array" ref="P84">_xlfn.ANCHORARRAY('Project Costs'!N69)</f>
        <v>0</v>
      </c>
      <c r="Q84" s="995" cm="1">
        <f t="array" ref="Q84">_xlfn.ANCHORARRAY('Project Costs'!O69)</f>
        <v>0</v>
      </c>
      <c r="R84" s="995" cm="1">
        <f t="array" ref="R84">_xlfn.ANCHORARRAY('Project Costs'!P69)</f>
        <v>0</v>
      </c>
      <c r="S84" s="995" cm="1">
        <f t="array" ref="S84">_xlfn.ANCHORARRAY('Project Costs'!Q69)</f>
        <v>0</v>
      </c>
      <c r="T84" s="995" cm="1">
        <f t="array" ref="T84">_xlfn.ANCHORARRAY('Project Costs'!R69)</f>
        <v>0</v>
      </c>
      <c r="U84" s="995" cm="1">
        <f t="array" ref="U84">_xlfn.ANCHORARRAY('Project Costs'!S69)</f>
        <v>0</v>
      </c>
      <c r="V84" s="995" cm="1">
        <f t="array" ref="V84">_xlfn.ANCHORARRAY('Project Costs'!T69)</f>
        <v>0</v>
      </c>
      <c r="W84" s="995" cm="1">
        <f t="array" ref="W84">_xlfn.ANCHORARRAY('Project Costs'!U69)</f>
        <v>0</v>
      </c>
      <c r="X84" s="995" cm="1">
        <f t="array" ref="X84">_xlfn.ANCHORARRAY('Project Costs'!V69)</f>
        <v>0</v>
      </c>
      <c r="Y84" s="995" cm="1">
        <f t="array" ref="Y84">_xlfn.ANCHORARRAY('Project Costs'!W69)</f>
        <v>0</v>
      </c>
      <c r="Z84" s="995" cm="1">
        <f t="array" ref="Z84">_xlfn.ANCHORARRAY('Project Costs'!X69)</f>
        <v>0</v>
      </c>
      <c r="AA84" s="995" cm="1">
        <f t="array" ref="AA84">_xlfn.ANCHORARRAY('Project Costs'!Y69)</f>
        <v>0</v>
      </c>
      <c r="AB84" s="995" cm="1">
        <f t="array" ref="AB84">_xlfn.ANCHORARRAY('Project Costs'!Z69)</f>
        <v>0</v>
      </c>
      <c r="AC84" s="995" cm="1">
        <f t="array" ref="AC84">_xlfn.ANCHORARRAY('Project Costs'!AA69)</f>
        <v>0</v>
      </c>
      <c r="AD84" s="995" cm="1">
        <f t="array" ref="AD84">_xlfn.ANCHORARRAY('Project Costs'!AB69)</f>
        <v>0</v>
      </c>
      <c r="AE84" s="995" cm="1">
        <f t="array" ref="AE84">_xlfn.ANCHORARRAY('Project Costs'!AC69)</f>
        <v>0</v>
      </c>
      <c r="AF84" s="995" cm="1">
        <f t="array" ref="AF84">_xlfn.ANCHORARRAY('Project Costs'!AD69)</f>
        <v>0</v>
      </c>
      <c r="AG84" s="995" cm="1">
        <f t="array" ref="AG84">_xlfn.ANCHORARRAY('Project Costs'!AE69)</f>
        <v>0</v>
      </c>
    </row>
    <row r="85" spans="2:33" ht="21.9" customHeight="1" x14ac:dyDescent="0.25">
      <c r="C85" s="1" t="s">
        <v>54</v>
      </c>
      <c r="D85" s="976"/>
      <c r="E85" s="977">
        <f>SUM(F85:AG85)</f>
        <v>418383406.33891821</v>
      </c>
      <c r="F85" s="976" cm="1">
        <f t="array" ref="F85">_xlfn.ANCHORARRAY(F83) -_xlfn.ANCHORARRAY( F84)</f>
        <v>0</v>
      </c>
      <c r="G85" s="976" cm="1">
        <f t="array" ref="G85">_xlfn.ANCHORARRAY(G83) -_xlfn.ANCHORARRAY( G84)</f>
        <v>-935484.23278378847</v>
      </c>
      <c r="H85" s="976" cm="1">
        <f t="array" ref="H85">_xlfn.ANCHORARRAY(H83) -_xlfn.ANCHORARRAY( H84)</f>
        <v>-2181148.8386570499</v>
      </c>
      <c r="I85" s="976" cm="1">
        <f t="array" ref="I85">_xlfn.ANCHORARRAY(I83) -_xlfn.ANCHORARRAY( I84)</f>
        <v>-1480462.4978533401</v>
      </c>
      <c r="J85" s="976" cm="1">
        <f t="array" ref="J85">_xlfn.ANCHORARRAY(J83) -_xlfn.ANCHORARRAY( J84)</f>
        <v>-13853693.51601408</v>
      </c>
      <c r="K85" s="976" cm="1">
        <f t="array" ref="K85">_xlfn.ANCHORARRAY(K83) -_xlfn.ANCHORARRAY( K84)</f>
        <v>-16193948.820947105</v>
      </c>
      <c r="L85" s="976" cm="1">
        <f t="array" ref="L85">_xlfn.ANCHORARRAY(L83) -_xlfn.ANCHORARRAY( L84)</f>
        <v>-8137909.5692727119</v>
      </c>
      <c r="M85" s="976" cm="1">
        <f t="array" ref="M85">_xlfn.ANCHORARRAY(M83) -_xlfn.ANCHORARRAY( M84)</f>
        <v>-9774450.1513142698</v>
      </c>
      <c r="N85" s="976" cm="1">
        <f t="array" ref="N85">_xlfn.ANCHORARRAY(N83) -_xlfn.ANCHORARRAY( N84)</f>
        <v>-392603.29629938398</v>
      </c>
      <c r="O85" s="976" cm="1">
        <f t="array" ref="O85">_xlfn.ANCHORARRAY(O83) -_xlfn.ANCHORARRAY( O84)</f>
        <v>-892006.24888127844</v>
      </c>
      <c r="P85" s="976" cm="1">
        <f t="array" ref="P85">_xlfn.ANCHORARRAY(P83) -_xlfn.ANCHORARRAY( P84)</f>
        <v>5382960.314113454</v>
      </c>
      <c r="Q85" s="976" cm="1">
        <f t="array" ref="Q85">_xlfn.ANCHORARRAY(Q83) -_xlfn.ANCHORARRAY( Q84)</f>
        <v>12067985.566491365</v>
      </c>
      <c r="R85" s="976" cm="1">
        <f t="array" ref="R85">_xlfn.ANCHORARRAY(R83) -_xlfn.ANCHORARRAY( R84)</f>
        <v>18798483.399414383</v>
      </c>
      <c r="S85" s="976" cm="1">
        <f t="array" ref="S85">_xlfn.ANCHORARRAY(S83) -_xlfn.ANCHORARRAY( S84)</f>
        <v>21188872.716278963</v>
      </c>
      <c r="T85" s="976" cm="1">
        <f t="array" ref="T85">_xlfn.ANCHORARRAY(T83) -_xlfn.ANCHORARRAY( T84)</f>
        <v>30012793.056052424</v>
      </c>
      <c r="U85" s="976" cm="1">
        <f t="array" ref="U85">_xlfn.ANCHORARRAY(U83) -_xlfn.ANCHORARRAY( U84)</f>
        <v>23285617.713475715</v>
      </c>
      <c r="V85" s="976" cm="1">
        <f t="array" ref="V85">_xlfn.ANCHORARRAY(V83) -_xlfn.ANCHORARRAY( V84)</f>
        <v>23179897.049420509</v>
      </c>
      <c r="W85" s="976" cm="1">
        <f t="array" ref="W85">_xlfn.ANCHORARRAY(W83) -_xlfn.ANCHORARRAY( W84)</f>
        <v>23360979.767528765</v>
      </c>
      <c r="X85" s="976" cm="1">
        <f t="array" ref="X85">_xlfn.ANCHORARRAY(X83) -_xlfn.ANCHORARRAY( X84)</f>
        <v>24401802.51469399</v>
      </c>
      <c r="Y85" s="976" cm="1">
        <f t="array" ref="Y85">_xlfn.ANCHORARRAY(Y83) -_xlfn.ANCHORARRAY( Y84)</f>
        <v>25386504.239631414</v>
      </c>
      <c r="Z85" s="976" cm="1">
        <f t="array" ref="Z85">_xlfn.ANCHORARRAY(Z83) -_xlfn.ANCHORARRAY( Z84)</f>
        <v>26661870.8078424</v>
      </c>
      <c r="AA85" s="976" cm="1">
        <f t="array" ref="AA85">_xlfn.ANCHORARRAY(AA83) -_xlfn.ANCHORARRAY( AA84)</f>
        <v>27900643.96591958</v>
      </c>
      <c r="AB85" s="976" cm="1">
        <f t="array" ref="AB85">_xlfn.ANCHORARRAY(AB83) -_xlfn.ANCHORARRAY( AB84)</f>
        <v>29216671.092361026</v>
      </c>
      <c r="AC85" s="976" cm="1">
        <f t="array" ref="AC85">_xlfn.ANCHORARRAY(AC83) -_xlfn.ANCHORARRAY( AC84)</f>
        <v>30638290.147131421</v>
      </c>
      <c r="AD85" s="976" cm="1">
        <f t="array" ref="AD85">_xlfn.ANCHORARRAY(AD83) -_xlfn.ANCHORARRAY( AD84)</f>
        <v>31743481.690838154</v>
      </c>
      <c r="AE85" s="976" cm="1">
        <f t="array" ref="AE85">_xlfn.ANCHORARRAY(AE83) -_xlfn.ANCHORARRAY( AE84)</f>
        <v>31832277.700847115</v>
      </c>
      <c r="AF85" s="976" cm="1">
        <f t="array" ref="AF85">_xlfn.ANCHORARRAY(AF83) -_xlfn.ANCHORARRAY( AF84)</f>
        <v>35638613.733993582</v>
      </c>
      <c r="AG85" s="976" cm="1">
        <f t="array" ref="AG85">_xlfn.ANCHORARRAY(AG83) -_xlfn.ANCHORARRAY( AG84)</f>
        <v>51527368.034906998</v>
      </c>
    </row>
    <row r="86" spans="2:33" ht="21.9" customHeight="1" x14ac:dyDescent="0.25">
      <c r="B86" s="45"/>
      <c r="C86" s="994" t="s">
        <v>55</v>
      </c>
      <c r="D86" s="995"/>
      <c r="E86" s="996"/>
      <c r="F86" s="995">
        <f>F85</f>
        <v>0</v>
      </c>
      <c r="G86" s="995">
        <f t="shared" ref="G86:AD86" si="21">F86+G85</f>
        <v>-935484.23278378847</v>
      </c>
      <c r="H86" s="995">
        <f t="shared" si="21"/>
        <v>-3116633.0714408383</v>
      </c>
      <c r="I86" s="995">
        <f t="shared" si="21"/>
        <v>-4597095.5692941789</v>
      </c>
      <c r="J86" s="995">
        <f t="shared" si="21"/>
        <v>-18450789.085308261</v>
      </c>
      <c r="K86" s="995">
        <f t="shared" si="21"/>
        <v>-34644737.906255364</v>
      </c>
      <c r="L86" s="995">
        <f t="shared" si="21"/>
        <v>-42782647.475528076</v>
      </c>
      <c r="M86" s="995">
        <f t="shared" si="21"/>
        <v>-52557097.62684235</v>
      </c>
      <c r="N86" s="995">
        <f t="shared" si="21"/>
        <v>-52949700.923141733</v>
      </c>
      <c r="O86" s="995">
        <f t="shared" si="21"/>
        <v>-53841707.172023013</v>
      </c>
      <c r="P86" s="995">
        <f t="shared" si="21"/>
        <v>-48458746.85790956</v>
      </c>
      <c r="Q86" s="995">
        <f t="shared" si="21"/>
        <v>-36390761.291418195</v>
      </c>
      <c r="R86" s="995">
        <f t="shared" si="21"/>
        <v>-17592277.892003812</v>
      </c>
      <c r="S86" s="995">
        <f t="shared" si="21"/>
        <v>3596594.8242751509</v>
      </c>
      <c r="T86" s="995">
        <f t="shared" si="21"/>
        <v>33609387.880327575</v>
      </c>
      <c r="U86" s="995">
        <f t="shared" si="21"/>
        <v>56895005.593803287</v>
      </c>
      <c r="V86" s="995">
        <f t="shared" si="21"/>
        <v>80074902.643223792</v>
      </c>
      <c r="W86" s="995">
        <f t="shared" si="21"/>
        <v>103435882.41075256</v>
      </c>
      <c r="X86" s="995">
        <f t="shared" si="21"/>
        <v>127837684.92544656</v>
      </c>
      <c r="Y86" s="995">
        <f t="shared" si="21"/>
        <v>153224189.16507798</v>
      </c>
      <c r="Z86" s="995">
        <f t="shared" si="21"/>
        <v>179886059.97292039</v>
      </c>
      <c r="AA86" s="995">
        <f t="shared" si="21"/>
        <v>207786703.93883997</v>
      </c>
      <c r="AB86" s="995">
        <f t="shared" si="21"/>
        <v>237003375.031201</v>
      </c>
      <c r="AC86" s="995">
        <f t="shared" si="21"/>
        <v>267641665.17833242</v>
      </c>
      <c r="AD86" s="995">
        <f t="shared" si="21"/>
        <v>299385146.86917055</v>
      </c>
      <c r="AE86" s="995">
        <f t="shared" ref="AE86" si="22">AD86+AE85</f>
        <v>331217424.57001764</v>
      </c>
      <c r="AF86" s="995">
        <f t="shared" ref="AF86" si="23">AE86+AF85</f>
        <v>366856038.30401123</v>
      </c>
      <c r="AG86" s="995">
        <f t="shared" ref="AG86" si="24">AF86+AG85</f>
        <v>418383406.33891821</v>
      </c>
    </row>
    <row r="87" spans="2:33" ht="21.9" customHeight="1" x14ac:dyDescent="0.25">
      <c r="B87" s="1" t="s">
        <v>453</v>
      </c>
      <c r="C87" s="1" t="str">
        <f t="shared" ref="C87:C93" si="25">C74</f>
        <v>Benefits</v>
      </c>
      <c r="E87"/>
      <c r="F87"/>
      <c r="G87"/>
      <c r="H87"/>
      <c r="I87"/>
    </row>
    <row r="88" spans="2:33" ht="21.9" customHeight="1" x14ac:dyDescent="0.25">
      <c r="C88" t="str">
        <f t="shared" si="25"/>
        <v>Improved Safety</v>
      </c>
      <c r="D88" s="942"/>
      <c r="E88" s="944">
        <f t="shared" ref="E88" si="26">SUM(_xlfn.ANCHORARRAY(F88))</f>
        <v>176031402.08390063</v>
      </c>
      <c r="F88" s="942" cm="1">
        <f t="array" ref="F88:AG88">_xlfn.ANCHORARRAY(Safety!E194)</f>
        <v>0</v>
      </c>
      <c r="G88" s="942">
        <v>0</v>
      </c>
      <c r="H88" s="942">
        <v>0</v>
      </c>
      <c r="I88" s="942">
        <v>0</v>
      </c>
      <c r="J88" s="942">
        <v>0</v>
      </c>
      <c r="K88" s="942">
        <v>0</v>
      </c>
      <c r="L88" s="942">
        <v>0</v>
      </c>
      <c r="M88" s="942">
        <v>0</v>
      </c>
      <c r="N88" s="942">
        <v>2059409.5560074826</v>
      </c>
      <c r="O88" s="942">
        <v>2270324.7057764195</v>
      </c>
      <c r="P88" s="942">
        <v>2509933.1309065893</v>
      </c>
      <c r="Q88" s="942">
        <v>2783478.2013022723</v>
      </c>
      <c r="R88" s="942">
        <v>3097354.0481923656</v>
      </c>
      <c r="S88" s="942">
        <v>3459379.0624682321</v>
      </c>
      <c r="T88" s="942">
        <v>3879136.351473344</v>
      </c>
      <c r="U88" s="942">
        <v>4368397.7276965566</v>
      </c>
      <c r="V88" s="942">
        <v>4941651.9234428462</v>
      </c>
      <c r="W88" s="942">
        <v>5616762.8729281705</v>
      </c>
      <c r="X88" s="942">
        <v>6415790.3335445132</v>
      </c>
      <c r="Y88" s="942">
        <v>7366013.1514186608</v>
      </c>
      <c r="Z88" s="942">
        <v>8501205.5129557811</v>
      </c>
      <c r="AA88" s="942">
        <v>9863229.0638780519</v>
      </c>
      <c r="AB88" s="942">
        <v>11504019.445328198</v>
      </c>
      <c r="AC88" s="942">
        <v>13488065.374057012</v>
      </c>
      <c r="AD88" s="942">
        <v>15895502.856902068</v>
      </c>
      <c r="AE88" s="942">
        <v>18825977.699043423</v>
      </c>
      <c r="AF88" s="942">
        <v>22403467.666264724</v>
      </c>
      <c r="AG88" s="942">
        <v>26782303.400313903</v>
      </c>
    </row>
    <row r="89" spans="2:33" ht="21.75" customHeight="1" x14ac:dyDescent="0.25">
      <c r="C89" t="str">
        <f t="shared" si="25"/>
        <v>Travel Time Savings</v>
      </c>
      <c r="D89" s="942"/>
      <c r="E89" s="943">
        <f>SUM(H89:AG89)</f>
        <v>571265918.05219626</v>
      </c>
      <c r="F89" s="942" cm="1">
        <f t="array" ref="F89">_xlfn.ANCHORARRAY('Travel Time'!G688)</f>
        <v>0</v>
      </c>
      <c r="G89" s="942" cm="1">
        <f t="array" ref="G89">_xlfn.ANCHORARRAY('Travel Time'!H688)</f>
        <v>0</v>
      </c>
      <c r="H89" s="942" cm="1">
        <f t="array" ref="H89">_xlfn.ANCHORARRAY('Travel Time'!I688)</f>
        <v>0</v>
      </c>
      <c r="I89" s="942" cm="1">
        <f t="array" ref="I89">_xlfn.ANCHORARRAY('Travel Time'!J688)</f>
        <v>0</v>
      </c>
      <c r="J89" s="942" cm="1">
        <f t="array" ref="J89">_xlfn.ANCHORARRAY('Travel Time'!K688)</f>
        <v>0</v>
      </c>
      <c r="K89" s="942" cm="1">
        <f t="array" ref="K89">_xlfn.ANCHORARRAY('Travel Time'!L688)</f>
        <v>0</v>
      </c>
      <c r="L89" s="942" cm="1">
        <f t="array" ref="L89">_xlfn.ANCHORARRAY('Travel Time'!M688)</f>
        <v>0</v>
      </c>
      <c r="M89" s="942" cm="1">
        <f t="array" ref="M89">_xlfn.ANCHORARRAY('Travel Time'!N688)</f>
        <v>1050412.0123761296</v>
      </c>
      <c r="N89" s="942" cm="1">
        <f t="array" ref="N89">_xlfn.ANCHORARRAY('Travel Time'!O688)</f>
        <v>8533502.148997508</v>
      </c>
      <c r="O89" s="942" cm="1">
        <f t="array" ref="O89">_xlfn.ANCHORARRAY('Travel Time'!P688)</f>
        <v>10273858.525624618</v>
      </c>
      <c r="P89" s="942" cm="1">
        <f t="array" ref="P89">_xlfn.ANCHORARRAY('Travel Time'!Q688)</f>
        <v>14772405.503267474</v>
      </c>
      <c r="Q89" s="942" cm="1">
        <f t="array" ref="Q89">_xlfn.ANCHORARRAY('Travel Time'!R688)</f>
        <v>19875520.158929124</v>
      </c>
      <c r="R89" s="942" cm="1">
        <f t="array" ref="R89">_xlfn.ANCHORARRAY('Travel Time'!S688)</f>
        <v>25528888.055433638</v>
      </c>
      <c r="S89" s="942" cm="1">
        <f t="array" ref="S89">_xlfn.ANCHORARRAY('Travel Time'!T688)</f>
        <v>27882911.746942103</v>
      </c>
      <c r="T89" s="942" cm="1">
        <f t="array" ref="T89">_xlfn.ANCHORARRAY('Travel Time'!U688)</f>
        <v>30699046.109669939</v>
      </c>
      <c r="U89" s="942" cm="1">
        <f t="array" ref="U89">_xlfn.ANCHORARRAY('Travel Time'!V688)</f>
        <v>31345515.871404499</v>
      </c>
      <c r="V89" s="942" cm="1">
        <f t="array" ref="V89">_xlfn.ANCHORARRAY('Travel Time'!W688)</f>
        <v>30811994.275699764</v>
      </c>
      <c r="W89" s="942" cm="1">
        <f t="array" ref="W89">_xlfn.ANCHORARRAY('Travel Time'!X688)</f>
        <v>30516654.984525338</v>
      </c>
      <c r="X89" s="942" cm="1">
        <f t="array" ref="X89">_xlfn.ANCHORARRAY('Travel Time'!Y688)</f>
        <v>31017070.112588584</v>
      </c>
      <c r="Y89" s="942" cm="1">
        <f t="array" ref="Y89">_xlfn.ANCHORARRAY('Travel Time'!Z688)</f>
        <v>31498596.314790115</v>
      </c>
      <c r="Z89" s="942" cm="1">
        <f t="array" ref="Z89">_xlfn.ANCHORARRAY('Travel Time'!AA688)</f>
        <v>31956765.255255848</v>
      </c>
      <c r="AA89" s="942" cm="1">
        <f t="array" ref="AA89">_xlfn.ANCHORARRAY('Travel Time'!AB688)</f>
        <v>32383856.597195297</v>
      </c>
      <c r="AB89" s="942" cm="1">
        <f t="array" ref="AB89">_xlfn.ANCHORARRAY('Travel Time'!AC688)</f>
        <v>33148746.596207306</v>
      </c>
      <c r="AC89" s="942" cm="1">
        <f t="array" ref="AC89">_xlfn.ANCHORARRAY('Travel Time'!AD688)</f>
        <v>33996299.705386698</v>
      </c>
      <c r="AD89" s="942" cm="1">
        <f t="array" ref="AD89">_xlfn.ANCHORARRAY('Travel Time'!AE688)</f>
        <v>34909805.274566293</v>
      </c>
      <c r="AE89" s="942" cm="1">
        <f t="array" ref="AE89">_xlfn.ANCHORARRAY('Travel Time'!AF688)</f>
        <v>35902655.258535028</v>
      </c>
      <c r="AF89" s="942" cm="1">
        <f t="array" ref="AF89">_xlfn.ANCHORARRAY('Travel Time'!AG688)</f>
        <v>36985887.411142945</v>
      </c>
      <c r="AG89" s="942" cm="1">
        <f t="array" ref="AG89">_xlfn.ANCHORARRAY('Travel Time'!AH688)</f>
        <v>38175526.133658081</v>
      </c>
    </row>
    <row r="90" spans="2:33" ht="21.9" customHeight="1" x14ac:dyDescent="0.25">
      <c r="C90" t="str">
        <f t="shared" si="25"/>
        <v>NOx Emissions Savings</v>
      </c>
      <c r="D90" s="942"/>
      <c r="E90" s="943">
        <f>SUM(F90:AG90)</f>
        <v>-44516.233455317328</v>
      </c>
      <c r="F90" s="942" cm="1">
        <f t="array" ref="F90">_xlfn.ANCHORARRAY(Emissions!G729)</f>
        <v>0</v>
      </c>
      <c r="G90" s="942" cm="1">
        <f t="array" ref="G90">_xlfn.ANCHORARRAY(Emissions!H729)</f>
        <v>0</v>
      </c>
      <c r="H90" s="942" cm="1">
        <f t="array" ref="H90">_xlfn.ANCHORARRAY(Emissions!I729)</f>
        <v>0</v>
      </c>
      <c r="I90" s="942" cm="1">
        <f t="array" ref="I90">_xlfn.ANCHORARRAY(Emissions!J729)</f>
        <v>0</v>
      </c>
      <c r="J90" s="942" cm="1">
        <f t="array" ref="J90">_xlfn.ANCHORARRAY(Emissions!K729)</f>
        <v>0</v>
      </c>
      <c r="K90" s="942" cm="1">
        <f t="array" ref="K90">_xlfn.ANCHORARRAY(Emissions!L729)</f>
        <v>0</v>
      </c>
      <c r="L90" s="942" cm="1">
        <f t="array" ref="L90">_xlfn.ANCHORARRAY(Emissions!M729)</f>
        <v>0</v>
      </c>
      <c r="M90" s="942" cm="1">
        <f t="array" ref="M90">_xlfn.ANCHORARRAY(Emissions!N729)</f>
        <v>-91089.626131589524</v>
      </c>
      <c r="N90" s="942" cm="1">
        <f t="array" ref="N90">_xlfn.ANCHORARRAY(Emissions!O729)</f>
        <v>-108904.73642403074</v>
      </c>
      <c r="O90" s="942" cm="1">
        <f t="array" ref="O90">_xlfn.ANCHORARRAY(Emissions!P729)</f>
        <v>-126757.0205109308</v>
      </c>
      <c r="P90" s="942" cm="1">
        <f t="array" ref="P90">_xlfn.ANCHORARRAY(Emissions!Q729)</f>
        <v>-100102.00718329987</v>
      </c>
      <c r="Q90" s="942" cm="1">
        <f t="array" ref="Q90">_xlfn.ANCHORARRAY(Emissions!R729)</f>
        <v>-73454.187259098981</v>
      </c>
      <c r="R90" s="942" cm="1">
        <f t="array" ref="R90">_xlfn.ANCHORARRAY(Emissions!S729)</f>
        <v>-46806.650131858885</v>
      </c>
      <c r="S90" s="942" cm="1">
        <f t="array" ref="S90">_xlfn.ANCHORARRAY(Emissions!T729)</f>
        <v>-20151.636804227717</v>
      </c>
      <c r="T90" s="942" cm="1">
        <f t="array" ref="T90">_xlfn.ANCHORARRAY(Emissions!U729)</f>
        <v>6514.0809007412754</v>
      </c>
      <c r="U90" s="942" cm="1">
        <f t="array" ref="U90">_xlfn.ANCHORARRAY(Emissions!V729)</f>
        <v>22681.878132844344</v>
      </c>
      <c r="V90" s="942" cm="1">
        <f t="array" ref="V90">_xlfn.ANCHORARRAY(Emissions!W729)</f>
        <v>25519.071569444612</v>
      </c>
      <c r="W90" s="942" cm="1">
        <f t="array" ref="W90">_xlfn.ANCHORARRAY(Emissions!X729)</f>
        <v>28358.485076205339</v>
      </c>
      <c r="X90" s="942" cm="1">
        <f t="array" ref="X90">_xlfn.ANCHORARRAY(Emissions!Y729)</f>
        <v>31197.898582965136</v>
      </c>
      <c r="Y90" s="942" cm="1">
        <f t="array" ref="Y90">_xlfn.ANCHORARRAY(Emissions!Z729)</f>
        <v>34033.067399740219</v>
      </c>
      <c r="Z90" s="942" cm="1">
        <f t="array" ref="Z90">_xlfn.ANCHORARRAY(Emissions!AA729)</f>
        <v>36872.480906500947</v>
      </c>
      <c r="AA90" s="942" cm="1">
        <f t="array" ref="AA90">_xlfn.ANCHORARRAY(Emissions!AB729)</f>
        <v>39710.342279143631</v>
      </c>
      <c r="AB90" s="942" cm="1">
        <f t="array" ref="AB90">_xlfn.ANCHORARRAY(Emissions!AC729)</f>
        <v>42549.755785905756</v>
      </c>
      <c r="AC90" s="942" cm="1">
        <f t="array" ref="AC90">_xlfn.ANCHORARRAY(Emissions!AD729)</f>
        <v>45389.169292665087</v>
      </c>
      <c r="AD90" s="942" cm="1">
        <f t="array" ref="AD90">_xlfn.ANCHORARRAY(Emissions!AE729)</f>
        <v>48222.118039278314</v>
      </c>
      <c r="AE90" s="942" cm="1">
        <f t="array" ref="AE90">_xlfn.ANCHORARRAY(Emissions!AF729)</f>
        <v>51061.531546040438</v>
      </c>
      <c r="AF90" s="942" cm="1">
        <f t="array" ref="AF90">_xlfn.ANCHORARRAY(Emissions!AG729)</f>
        <v>53900.945052799303</v>
      </c>
      <c r="AG90" s="942" cm="1">
        <f t="array" ref="AG90">_xlfn.ANCHORARRAY(Emissions!AH729)</f>
        <v>56738.806425444782</v>
      </c>
    </row>
    <row r="91" spans="2:33" ht="21.9" customHeight="1" x14ac:dyDescent="0.25">
      <c r="C91" t="str">
        <f t="shared" si="25"/>
        <v>SOx Emissions Savings</v>
      </c>
      <c r="D91" s="942"/>
      <c r="E91" s="943">
        <f>SUM(F91:AG91)</f>
        <v>-174.14515529497476</v>
      </c>
      <c r="F91" s="942" cm="1">
        <f t="array" ref="F91">_xlfn.ANCHORARRAY(Emissions!G730)</f>
        <v>0</v>
      </c>
      <c r="G91" s="942" cm="1">
        <f t="array" ref="G91">_xlfn.ANCHORARRAY(Emissions!H730)</f>
        <v>0</v>
      </c>
      <c r="H91" s="942" cm="1">
        <f t="array" ref="H91">_xlfn.ANCHORARRAY(Emissions!I730)</f>
        <v>0</v>
      </c>
      <c r="I91" s="942" cm="1">
        <f t="array" ref="I91">_xlfn.ANCHORARRAY(Emissions!J730)</f>
        <v>0</v>
      </c>
      <c r="J91" s="942" cm="1">
        <f t="array" ref="J91">_xlfn.ANCHORARRAY(Emissions!K730)</f>
        <v>0</v>
      </c>
      <c r="K91" s="942" cm="1">
        <f t="array" ref="K91">_xlfn.ANCHORARRAY(Emissions!L730)</f>
        <v>0</v>
      </c>
      <c r="L91" s="942" cm="1">
        <f t="array" ref="L91">_xlfn.ANCHORARRAY(Emissions!M730)</f>
        <v>0</v>
      </c>
      <c r="M91" s="942" cm="1">
        <f t="array" ref="M91">_xlfn.ANCHORARRAY(Emissions!N730)</f>
        <v>-486.49171819884759</v>
      </c>
      <c r="N91" s="942" cm="1">
        <f t="array" ref="N91">_xlfn.ANCHORARRAY(Emissions!O730)</f>
        <v>-583.9163685141757</v>
      </c>
      <c r="O91" s="942" cm="1">
        <f t="array" ref="O91">_xlfn.ANCHORARRAY(Emissions!P730)</f>
        <v>-685.44639450897739</v>
      </c>
      <c r="P91" s="942" cm="1">
        <f t="array" ref="P91">_xlfn.ANCHORARRAY(Emissions!Q730)</f>
        <v>-540.47613759637716</v>
      </c>
      <c r="Q91" s="942" cm="1">
        <f t="array" ref="Q91">_xlfn.ANCHORARRAY(Emissions!R730)</f>
        <v>-395.54480469885493</v>
      </c>
      <c r="R91" s="942" cm="1">
        <f t="array" ref="R91">_xlfn.ANCHORARRAY(Emissions!S730)</f>
        <v>-250.61577611795838</v>
      </c>
      <c r="S91" s="942" cm="1">
        <f t="array" ref="S91">_xlfn.ANCHORARRAY(Emissions!T730)</f>
        <v>-105.64551920535087</v>
      </c>
      <c r="T91" s="942" cm="1">
        <f t="array" ref="T91">_xlfn.ANCHORARRAY(Emissions!U730)</f>
        <v>39.379260280369635</v>
      </c>
      <c r="U91" s="942" cm="1">
        <f t="array" ref="U91">_xlfn.ANCHORARRAY(Emissions!V730)</f>
        <v>127.31428975495692</v>
      </c>
      <c r="V91" s="942" cm="1">
        <f t="array" ref="V91">_xlfn.ANCHORARRAY(Emissions!W730)</f>
        <v>142.43187886320447</v>
      </c>
      <c r="W91" s="942" cm="1">
        <f t="array" ref="W91">_xlfn.ANCHORARRAY(Emissions!X730)</f>
        <v>157.56171079321757</v>
      </c>
      <c r="X91" s="942" cm="1">
        <f t="array" ref="X91">_xlfn.ANCHORARRAY(Emissions!Y730)</f>
        <v>172.69154272323976</v>
      </c>
      <c r="Y91" s="942" cm="1">
        <f t="array" ref="Y91">_xlfn.ANCHORARRAY(Emissions!Z730)</f>
        <v>187.79645769548733</v>
      </c>
      <c r="Z91" s="942" cm="1">
        <f t="array" ref="Z91">_xlfn.ANCHORARRAY(Emissions!AA730)</f>
        <v>202.92628962550771</v>
      </c>
      <c r="AA91" s="942" cm="1">
        <f t="array" ref="AA91">_xlfn.ANCHORARRAY(Emissions!AB730)</f>
        <v>218.04605299411378</v>
      </c>
      <c r="AB91" s="942" cm="1">
        <f t="array" ref="AB91">_xlfn.ANCHORARRAY(Emissions!AC730)</f>
        <v>233.17588492413051</v>
      </c>
      <c r="AC91" s="942" cm="1">
        <f t="array" ref="AC91">_xlfn.ANCHORARRAY(Emissions!AD730)</f>
        <v>248.30571685415271</v>
      </c>
      <c r="AD91" s="942" cm="1">
        <f t="array" ref="AD91">_xlfn.ANCHORARRAY(Emissions!AE730)</f>
        <v>263.39838900461837</v>
      </c>
      <c r="AE91" s="942" cm="1">
        <f t="array" ref="AE91">_xlfn.ANCHORARRAY(Emissions!AF730)</f>
        <v>278.5282209346442</v>
      </c>
      <c r="AF91" s="942" cm="1">
        <f t="array" ref="AF91">_xlfn.ANCHORARRAY(Emissions!AG730)</f>
        <v>293.65805286466275</v>
      </c>
      <c r="AG91" s="942" cm="1">
        <f t="array" ref="AG91">_xlfn.ANCHORARRAY(Emissions!AH730)</f>
        <v>308.77781623326155</v>
      </c>
    </row>
    <row r="92" spans="2:33" ht="21.9" customHeight="1" x14ac:dyDescent="0.25">
      <c r="C92" t="str">
        <f t="shared" si="25"/>
        <v>PM2.5 Emissions Savings</v>
      </c>
      <c r="D92" s="942"/>
      <c r="E92" s="943">
        <f t="shared" ref="E92:E93" si="27">SUM(F92:AG92)</f>
        <v>206861.45890798979</v>
      </c>
      <c r="F92" s="942" cm="1">
        <f t="array" ref="F92">_xlfn.ANCHORARRAY(Emissions!G731)</f>
        <v>0</v>
      </c>
      <c r="G92" s="942" cm="1">
        <f t="array" ref="G92">_xlfn.ANCHORARRAY(Emissions!H731)</f>
        <v>0</v>
      </c>
      <c r="H92" s="942" cm="1">
        <f t="array" ref="H92">_xlfn.ANCHORARRAY(Emissions!I731)</f>
        <v>0</v>
      </c>
      <c r="I92" s="942" cm="1">
        <f t="array" ref="I92">_xlfn.ANCHORARRAY(Emissions!J731)</f>
        <v>0</v>
      </c>
      <c r="J92" s="942" cm="1">
        <f t="array" ref="J92">_xlfn.ANCHORARRAY(Emissions!K731)</f>
        <v>0</v>
      </c>
      <c r="K92" s="942" cm="1">
        <f t="array" ref="K92">_xlfn.ANCHORARRAY(Emissions!L731)</f>
        <v>0</v>
      </c>
      <c r="L92" s="942" cm="1">
        <f t="array" ref="L92">_xlfn.ANCHORARRAY(Emissions!M731)</f>
        <v>0</v>
      </c>
      <c r="M92" s="942" cm="1">
        <f t="array" ref="M92">_xlfn.ANCHORARRAY(Emissions!N731)</f>
        <v>-133674.46725317929</v>
      </c>
      <c r="N92" s="942" cm="1">
        <f t="array" ref="N92">_xlfn.ANCHORARRAY(Emissions!O731)</f>
        <v>-160550.33537401119</v>
      </c>
      <c r="O92" s="942" cm="1">
        <f t="array" ref="O92">_xlfn.ANCHORARRAY(Emissions!P731)</f>
        <v>-188410.38572226092</v>
      </c>
      <c r="P92" s="942" cm="1">
        <f t="array" ref="P92">_xlfn.ANCHORARRAY(Emissions!Q731)</f>
        <v>-146216.27106597321</v>
      </c>
      <c r="Q92" s="942" cm="1">
        <f t="array" ref="Q92">_xlfn.ANCHORARRAY(Emissions!R731)</f>
        <v>-104033.85469497507</v>
      </c>
      <c r="R92" s="942" cm="1">
        <f t="array" ref="R92">_xlfn.ANCHORARRAY(Emissions!S731)</f>
        <v>-61851.408395366278</v>
      </c>
      <c r="S92" s="942" cm="1">
        <f t="array" ref="S92">_xlfn.ANCHORARRAY(Emissions!T731)</f>
        <v>-19657.293739079032</v>
      </c>
      <c r="T92" s="942" cm="1">
        <f t="array" ref="T92">_xlfn.ANCHORARRAY(Emissions!U731)</f>
        <v>22555.375668282621</v>
      </c>
      <c r="U92" s="942" cm="1">
        <f t="array" ref="U92">_xlfn.ANCHORARRAY(Emissions!V731)</f>
        <v>48215.994760948699</v>
      </c>
      <c r="V92" s="942" cm="1">
        <f t="array" ref="V92">_xlfn.ANCHORARRAY(Emissions!W731)</f>
        <v>52982.303564084694</v>
      </c>
      <c r="W92" s="942" cm="1">
        <f t="array" ref="W92">_xlfn.ANCHORARRAY(Emissions!X731)</f>
        <v>57752.08657446038</v>
      </c>
      <c r="X92" s="942" cm="1">
        <f t="array" ref="X92">_xlfn.ANCHORARRAY(Emissions!Y731)</f>
        <v>62521.869584837928</v>
      </c>
      <c r="Y92" s="942" cm="1">
        <f t="array" ref="Y92">_xlfn.ANCHORARRAY(Emissions!Z731)</f>
        <v>67285.329999432899</v>
      </c>
      <c r="Z92" s="942" cm="1">
        <f t="array" ref="Z92">_xlfn.ANCHORARRAY(Emissions!AA731)</f>
        <v>72055.113009806722</v>
      </c>
      <c r="AA92" s="942" cm="1">
        <f t="array" ref="AA92">_xlfn.ANCHORARRAY(Emissions!AB731)</f>
        <v>76823.255250668153</v>
      </c>
      <c r="AB92" s="942" cm="1">
        <f t="array" ref="AB92">_xlfn.ANCHORARRAY(Emissions!AC731)</f>
        <v>81593.03826104477</v>
      </c>
      <c r="AC92" s="942" cm="1">
        <f t="array" ref="AC92">_xlfn.ANCHORARRAY(Emissions!AD731)</f>
        <v>86362.821271419525</v>
      </c>
      <c r="AD92" s="942" cm="1">
        <f t="array" ref="AD92">_xlfn.ANCHORARRAY(Emissions!AE731)</f>
        <v>91122.807478777133</v>
      </c>
      <c r="AE92" s="942" cm="1">
        <f t="array" ref="AE92">_xlfn.ANCHORARRAY(Emissions!AF731)</f>
        <v>95892.590489152819</v>
      </c>
      <c r="AF92" s="942" cm="1">
        <f t="array" ref="AF92">_xlfn.ANCHORARRAY(Emissions!AG731)</f>
        <v>100662.37349952944</v>
      </c>
      <c r="AG92" s="942" cm="1">
        <f t="array" ref="AG92">_xlfn.ANCHORARRAY(Emissions!AH731)</f>
        <v>105430.515740389</v>
      </c>
    </row>
    <row r="93" spans="2:33" ht="21.9" customHeight="1" x14ac:dyDescent="0.25">
      <c r="C93" t="str">
        <f t="shared" si="25"/>
        <v>CO2 Emissions Savings</v>
      </c>
      <c r="D93" s="942"/>
      <c r="E93" s="943">
        <f t="shared" si="27"/>
        <v>7362708.5665522218</v>
      </c>
      <c r="F93" s="942" cm="1">
        <f t="array" ref="F93">_xlfn.ANCHORARRAY(Emissions!G732)</f>
        <v>0</v>
      </c>
      <c r="G93" s="942" cm="1">
        <f t="array" ref="G93">_xlfn.ANCHORARRAY(Emissions!H732)</f>
        <v>0</v>
      </c>
      <c r="H93" s="942" cm="1">
        <f t="array" ref="H93">_xlfn.ANCHORARRAY(Emissions!I732)</f>
        <v>0</v>
      </c>
      <c r="I93" s="942" cm="1">
        <f t="array" ref="I93">_xlfn.ANCHORARRAY(Emissions!J732)</f>
        <v>0</v>
      </c>
      <c r="J93" s="942" cm="1">
        <f t="array" ref="J93">_xlfn.ANCHORARRAY(Emissions!K732)</f>
        <v>0</v>
      </c>
      <c r="K93" s="942" cm="1">
        <f t="array" ref="K93">_xlfn.ANCHORARRAY(Emissions!L732)</f>
        <v>0</v>
      </c>
      <c r="L93" s="942" cm="1">
        <f t="array" ref="L93">_xlfn.ANCHORARRAY(Emissions!M732)</f>
        <v>0</v>
      </c>
      <c r="M93" s="942" cm="1">
        <f t="array" ref="M93">_xlfn.ANCHORARRAY(Emissions!N732)</f>
        <v>-9758567.7179059684</v>
      </c>
      <c r="N93" s="942" cm="1">
        <f t="array" ref="N93">_xlfn.ANCHORARRAY(Emissions!O732)</f>
        <v>-11579411.073418111</v>
      </c>
      <c r="O93" s="942" cm="1">
        <f t="array" ref="O93">_xlfn.ANCHORARRAY(Emissions!P732)</f>
        <v>-13495264.264089853</v>
      </c>
      <c r="P93" s="942" cm="1">
        <f t="array" ref="P93">_xlfn.ANCHORARRAY(Emissions!Q732)</f>
        <v>-10851024.155628622</v>
      </c>
      <c r="Q93" s="942" cm="1">
        <f t="array" ref="Q93">_xlfn.ANCHORARRAY(Emissions!R732)</f>
        <v>-8035984.8480953872</v>
      </c>
      <c r="R93" s="942" cm="1">
        <f t="array" ref="R93">_xlfn.ANCHORARRAY(Emissions!S732)</f>
        <v>-5192906.0982089639</v>
      </c>
      <c r="S93" s="942" cm="1">
        <f t="array" ref="S93">_xlfn.ANCHORARRAY(Emissions!T732)</f>
        <v>-2229908.5545666218</v>
      </c>
      <c r="T93" s="942" cm="1">
        <f t="array" ref="T93">_xlfn.ANCHORARRAY(Emissions!U732)</f>
        <v>823019.88480883837</v>
      </c>
      <c r="U93" s="942" cm="1">
        <f t="array" ref="U93">_xlfn.ANCHORARRAY(Emissions!V732)</f>
        <v>2732629.8778421879</v>
      </c>
      <c r="V93" s="942" cm="1">
        <f t="array" ref="V93">_xlfn.ANCHORARRAY(Emissions!W732)</f>
        <v>3114337.6436446309</v>
      </c>
      <c r="W93" s="942" cm="1">
        <f t="array" ref="W93">_xlfn.ANCHORARRAY(Emissions!X732)</f>
        <v>3483903.1558138728</v>
      </c>
      <c r="X93" s="942" cm="1">
        <f t="array" ref="X93">_xlfn.ANCHORARRAY(Emissions!Y732)</f>
        <v>3873616.8865238428</v>
      </c>
      <c r="Y93" s="942" cm="1">
        <f t="array" ref="Y93">_xlfn.ANCHORARRAY(Emissions!Z732)</f>
        <v>4286402.3702625632</v>
      </c>
      <c r="Z93" s="942" cm="1">
        <f t="array" ref="Z93">_xlfn.ANCHORARRAY(Emissions!AA732)</f>
        <v>4695864.4162117839</v>
      </c>
      <c r="AA93" s="942" cm="1">
        <f t="array" ref="AA93">_xlfn.ANCHORARRAY(Emissions!AB732)</f>
        <v>5131052.7595496178</v>
      </c>
      <c r="AB93" s="942" cm="1">
        <f t="array" ref="AB93">_xlfn.ANCHORARRAY(Emissions!AC732)</f>
        <v>5560267.6551519632</v>
      </c>
      <c r="AC93" s="942" cm="1">
        <f t="array" ref="AC93">_xlfn.ANCHORARRAY(Emissions!AD732)</f>
        <v>6017762.8977927566</v>
      </c>
      <c r="AD93" s="942" cm="1">
        <f t="array" ref="AD93">_xlfn.ANCHORARRAY(Emissions!AE732)</f>
        <v>6465829.4048972726</v>
      </c>
      <c r="AE93" s="942" cm="1">
        <f t="array" ref="AE93">_xlfn.ANCHORARRAY(Emissions!AF732)</f>
        <v>6945390.6240984797</v>
      </c>
      <c r="AF93" s="942" cm="1">
        <f t="array" ref="AF93">_xlfn.ANCHORARRAY(Emissions!AG732)</f>
        <v>7436572.9281323552</v>
      </c>
      <c r="AG93" s="942" cm="1">
        <f t="array" ref="AG93">_xlfn.ANCHORARRAY(Emissions!AH732)</f>
        <v>7939124.7737355828</v>
      </c>
    </row>
    <row r="94" spans="2:33" ht="21.9" customHeight="1" x14ac:dyDescent="0.25">
      <c r="C94" t="s">
        <v>212</v>
      </c>
      <c r="D94" s="942"/>
      <c r="E94" s="944">
        <f>SUM(F94:AG94)</f>
        <v>5760271.9683797006</v>
      </c>
      <c r="F94" s="942" cm="1">
        <f t="array" ref="F94">_xlfn.ANCHORARRAY('O&amp;M'!D23)</f>
        <v>0</v>
      </c>
      <c r="G94" s="942" cm="1">
        <f t="array" ref="G94">_xlfn.ANCHORARRAY('O&amp;M'!E23)</f>
        <v>0</v>
      </c>
      <c r="H94" s="942" cm="1">
        <f t="array" ref="H94">_xlfn.ANCHORARRAY('O&amp;M'!F23)</f>
        <v>0</v>
      </c>
      <c r="I94" s="942" cm="1">
        <f t="array" ref="I94">_xlfn.ANCHORARRAY('O&amp;M'!G23)</f>
        <v>0</v>
      </c>
      <c r="J94" s="942" cm="1">
        <f t="array" ref="J94">_xlfn.ANCHORARRAY('O&amp;M'!H23)</f>
        <v>2340255.3049330241</v>
      </c>
      <c r="K94" s="942" cm="1">
        <f t="array" ref="K94">_xlfn.ANCHORARRAY('O&amp;M'!I23)</f>
        <v>0</v>
      </c>
      <c r="L94" s="942" cm="1">
        <f t="array" ref="L94">_xlfn.ANCHORARRAY('O&amp;M'!J23)</f>
        <v>0</v>
      </c>
      <c r="M94" s="942" cm="1">
        <f t="array" ref="M94">_xlfn.ANCHORARRAY('O&amp;M'!K23)</f>
        <v>-9268.3378413189057</v>
      </c>
      <c r="N94" s="942" cm="1">
        <f t="array" ref="N94">_xlfn.ANCHORARRAY('O&amp;M'!L23)</f>
        <v>-9268.3378413189057</v>
      </c>
      <c r="O94" s="942" cm="1">
        <f t="array" ref="O94">_xlfn.ANCHORARRAY('O&amp;M'!M23)</f>
        <v>-171464.25006439982</v>
      </c>
      <c r="P94" s="942" cm="1">
        <f t="array" ref="P94">_xlfn.ANCHORARRAY('O&amp;M'!N23)</f>
        <v>-9268.3378413189057</v>
      </c>
      <c r="Q94" s="942" cm="1">
        <f t="array" ref="Q94">_xlfn.ANCHORARRAY('O&amp;M'!O23)</f>
        <v>-9268.3378413189057</v>
      </c>
      <c r="R94" s="942" cm="1">
        <f t="array" ref="R94">_xlfn.ANCHORARRAY('O&amp;M'!P23)</f>
        <v>-9268.3378413189057</v>
      </c>
      <c r="S94" s="942" cm="1">
        <f t="array" ref="S94">_xlfn.ANCHORARRAY('O&amp;M'!Q23)</f>
        <v>-9268.3378413189057</v>
      </c>
      <c r="T94" s="942" cm="1">
        <f t="array" ref="T94">_xlfn.ANCHORARRAY('O&amp;M'!R23)</f>
        <v>7498085.3136269962</v>
      </c>
      <c r="U94" s="942" cm="1">
        <f t="array" ref="U94">_xlfn.ANCHORARRAY('O&amp;M'!S23)</f>
        <v>-9268.3378413189057</v>
      </c>
      <c r="V94" s="942" cm="1">
        <f t="array" ref="V94">_xlfn.ANCHORARRAY('O&amp;M'!T23)</f>
        <v>-9268.3378413189057</v>
      </c>
      <c r="W94" s="942" cm="1">
        <f t="array" ref="W94">_xlfn.ANCHORARRAY('O&amp;M'!U23)</f>
        <v>-9268.3378413189057</v>
      </c>
      <c r="X94" s="942" cm="1">
        <f t="array" ref="X94">_xlfn.ANCHORARRAY('O&amp;M'!V23)</f>
        <v>-9268.3378413189057</v>
      </c>
      <c r="Y94" s="942" cm="1">
        <f t="array" ref="Y94">_xlfn.ANCHORARRAY('O&amp;M'!W23)</f>
        <v>-171464.25006439982</v>
      </c>
      <c r="Z94" s="942" cm="1">
        <f t="array" ref="Z94">_xlfn.ANCHORARRAY('O&amp;M'!X23)</f>
        <v>-9268.3378413189057</v>
      </c>
      <c r="AA94" s="942" cm="1">
        <f t="array" ref="AA94">_xlfn.ANCHORARRAY('O&amp;M'!Y23)</f>
        <v>-9268.3378413189057</v>
      </c>
      <c r="AB94" s="942" cm="1">
        <f t="array" ref="AB94">_xlfn.ANCHORARRAY('O&amp;M'!Z23)</f>
        <v>-9268.3378413189057</v>
      </c>
      <c r="AC94" s="942" cm="1">
        <f t="array" ref="AC94">_xlfn.ANCHORARRAY('O&amp;M'!AA23)</f>
        <v>-9268.3378413189057</v>
      </c>
      <c r="AD94" s="942" cm="1">
        <f t="array" ref="AD94">_xlfn.ANCHORARRAY('O&amp;M'!AB23)</f>
        <v>-1005614.6557831017</v>
      </c>
      <c r="AE94" s="942" cm="1">
        <f t="array" ref="AE94">_xlfn.ANCHORARRAY('O&amp;M'!AC23)</f>
        <v>-2581232.088807316</v>
      </c>
      <c r="AF94" s="942" cm="1">
        <f t="array" ref="AF94">_xlfn.ANCHORARRAY('O&amp;M'!AD23)</f>
        <v>-9268.3378413189057</v>
      </c>
      <c r="AG94" s="942" cm="1">
        <f t="array" ref="AG94">_xlfn.ANCHORARRAY('O&amp;M'!AE23)</f>
        <v>-9268.3378413189057</v>
      </c>
    </row>
    <row r="95" spans="2:33" ht="21.9" customHeight="1" x14ac:dyDescent="0.25">
      <c r="C95" s="45" t="str">
        <f>C82</f>
        <v>Residual Value of Assets</v>
      </c>
      <c r="D95" s="248"/>
      <c r="E95" s="970">
        <f t="shared" ref="E95" si="28">SUM(_xlfn.ANCHORARRAY(F95))</f>
        <v>23121413.468143571</v>
      </c>
      <c r="F95" s="248" cm="1">
        <f t="array" ref="F95:AG95">_xlfn.ANCHORARRAY('Residual Value'!E37)</f>
        <v>0</v>
      </c>
      <c r="G95" s="248">
        <v>0</v>
      </c>
      <c r="H95" s="248">
        <v>0</v>
      </c>
      <c r="I95" s="248">
        <v>0</v>
      </c>
      <c r="J95" s="248">
        <v>0</v>
      </c>
      <c r="K95" s="248">
        <v>0</v>
      </c>
      <c r="L95" s="248">
        <v>0</v>
      </c>
      <c r="M95" s="248">
        <v>0</v>
      </c>
      <c r="N95" s="248">
        <v>0</v>
      </c>
      <c r="O95" s="248">
        <v>0</v>
      </c>
      <c r="P95" s="248">
        <v>0</v>
      </c>
      <c r="Q95" s="248">
        <v>0</v>
      </c>
      <c r="R95" s="248">
        <v>0</v>
      </c>
      <c r="S95" s="248">
        <v>0</v>
      </c>
      <c r="T95" s="248">
        <v>0</v>
      </c>
      <c r="U95" s="248">
        <v>0</v>
      </c>
      <c r="V95" s="248">
        <v>0</v>
      </c>
      <c r="W95" s="248">
        <v>0</v>
      </c>
      <c r="X95" s="248">
        <v>0</v>
      </c>
      <c r="Y95" s="248">
        <v>0</v>
      </c>
      <c r="Z95" s="248">
        <v>0</v>
      </c>
      <c r="AA95" s="248">
        <v>0</v>
      </c>
      <c r="AB95" s="248">
        <v>0</v>
      </c>
      <c r="AC95" s="248">
        <v>0</v>
      </c>
      <c r="AD95" s="248">
        <v>0</v>
      </c>
      <c r="AE95" s="248">
        <v>0</v>
      </c>
      <c r="AF95" s="248">
        <v>0</v>
      </c>
      <c r="AG95" s="248">
        <v>23121413.468143571</v>
      </c>
    </row>
    <row r="96" spans="2:33" ht="21.9" customHeight="1" x14ac:dyDescent="0.25">
      <c r="C96" s="1" t="s">
        <v>52</v>
      </c>
      <c r="D96" s="25"/>
      <c r="E96" s="113">
        <f>SUM(F96:AG96)</f>
        <v>783703885.2194699</v>
      </c>
      <c r="F96" s="25">
        <f>SUM(F88:F95)</f>
        <v>0</v>
      </c>
      <c r="G96" s="25">
        <f t="shared" ref="G96:AG96" si="29">SUM(G88:G95)</f>
        <v>0</v>
      </c>
      <c r="H96" s="25">
        <f t="shared" si="29"/>
        <v>0</v>
      </c>
      <c r="I96" s="25">
        <f t="shared" si="29"/>
        <v>0</v>
      </c>
      <c r="J96" s="25">
        <f t="shared" si="29"/>
        <v>2340255.3049330241</v>
      </c>
      <c r="K96" s="25">
        <f t="shared" si="29"/>
        <v>0</v>
      </c>
      <c r="L96" s="25">
        <f t="shared" si="29"/>
        <v>0</v>
      </c>
      <c r="M96" s="25">
        <f t="shared" si="29"/>
        <v>-8942674.6284741256</v>
      </c>
      <c r="N96" s="25">
        <f t="shared" si="29"/>
        <v>-1265806.6944209952</v>
      </c>
      <c r="O96" s="25">
        <f t="shared" si="29"/>
        <v>-1438398.1353809151</v>
      </c>
      <c r="P96" s="25">
        <f t="shared" si="29"/>
        <v>6175187.386317255</v>
      </c>
      <c r="Q96" s="25">
        <f t="shared" si="29"/>
        <v>14435861.587535916</v>
      </c>
      <c r="R96" s="25">
        <f t="shared" si="29"/>
        <v>23315158.993272383</v>
      </c>
      <c r="S96" s="25">
        <f t="shared" si="29"/>
        <v>29063199.340939883</v>
      </c>
      <c r="T96" s="25">
        <f t="shared" si="29"/>
        <v>42928396.495408423</v>
      </c>
      <c r="U96" s="25">
        <f t="shared" si="29"/>
        <v>38508300.326285467</v>
      </c>
      <c r="V96" s="25">
        <f t="shared" si="29"/>
        <v>38937359.31195832</v>
      </c>
      <c r="W96" s="25">
        <f t="shared" si="29"/>
        <v>39694320.808787517</v>
      </c>
      <c r="X96" s="25">
        <f t="shared" si="29"/>
        <v>41391101.454526149</v>
      </c>
      <c r="Y96" s="25">
        <f t="shared" si="29"/>
        <v>43081053.780263804</v>
      </c>
      <c r="Z96" s="25">
        <f t="shared" si="29"/>
        <v>45253697.36678803</v>
      </c>
      <c r="AA96" s="25">
        <f t="shared" si="29"/>
        <v>47485621.726364456</v>
      </c>
      <c r="AB96" s="25">
        <f t="shared" si="29"/>
        <v>50328141.328778028</v>
      </c>
      <c r="AC96" s="25">
        <f t="shared" si="29"/>
        <v>53624859.93567609</v>
      </c>
      <c r="AD96" s="25">
        <f t="shared" si="29"/>
        <v>56405131.204489596</v>
      </c>
      <c r="AE96" s="25">
        <f t="shared" si="29"/>
        <v>59240024.143125743</v>
      </c>
      <c r="AF96" s="25">
        <f t="shared" si="29"/>
        <v>66971516.644303903</v>
      </c>
      <c r="AG96" s="25">
        <f t="shared" si="29"/>
        <v>96171577.537991881</v>
      </c>
    </row>
    <row r="97" spans="1:33" ht="21.9" customHeight="1" x14ac:dyDescent="0.25">
      <c r="C97" s="994" t="str">
        <f>C84</f>
        <v>Capital Costs</v>
      </c>
      <c r="D97" s="995"/>
      <c r="E97" s="996">
        <f>SUM(F97:AG97)</f>
        <v>82535475.310729012</v>
      </c>
      <c r="F97" s="995" cm="1">
        <f t="array" ref="F97">_xlfn.ANCHORARRAY('Project Costs'!D94)</f>
        <v>0</v>
      </c>
      <c r="G97" s="995" cm="1">
        <f t="array" ref="G97">_xlfn.ANCHORARRAY('Project Costs'!E94)</f>
        <v>2025440.7629228919</v>
      </c>
      <c r="H97" s="995" cm="1">
        <f t="array" ref="H97">_xlfn.ANCHORARRAY('Project Costs'!F94)</f>
        <v>4387291.2950261896</v>
      </c>
      <c r="I97" s="995" cm="1">
        <f t="array" ref="I97">_xlfn.ANCHORARRAY('Project Costs'!G94)</f>
        <v>2596648.4240833763</v>
      </c>
      <c r="J97" s="995" cm="1">
        <f t="array" ref="J97">_xlfn.ANCHORARRAY('Project Costs'!H94)</f>
        <v>30852010.483749785</v>
      </c>
      <c r="K97" s="995" cm="1">
        <f t="array" ref="K97">_xlfn.ANCHORARRAY('Project Costs'!I94)</f>
        <v>30852010.483749785</v>
      </c>
      <c r="L97" s="995" cm="1">
        <f t="array" ref="L97">_xlfn.ANCHORARRAY('Project Costs'!J94)</f>
        <v>8137909.5692727119</v>
      </c>
      <c r="M97" s="995" cm="1">
        <f t="array" ref="M97">_xlfn.ANCHORARRAY('Project Costs'!K94)</f>
        <v>3684164.2919242657</v>
      </c>
      <c r="N97" s="995" cm="1">
        <f t="array" ref="N97">_xlfn.ANCHORARRAY('Project Costs'!L94)</f>
        <v>0</v>
      </c>
      <c r="O97" s="995" cm="1">
        <f t="array" ref="O97">_xlfn.ANCHORARRAY('Project Costs'!M94)</f>
        <v>0</v>
      </c>
      <c r="P97" s="995" cm="1">
        <f t="array" ref="P97">_xlfn.ANCHORARRAY('Project Costs'!N94)</f>
        <v>0</v>
      </c>
      <c r="Q97" s="995" cm="1">
        <f t="array" ref="Q97">_xlfn.ANCHORARRAY('Project Costs'!O94)</f>
        <v>0</v>
      </c>
      <c r="R97" s="995" cm="1">
        <f t="array" ref="R97">_xlfn.ANCHORARRAY('Project Costs'!P94)</f>
        <v>0</v>
      </c>
      <c r="S97" s="995" cm="1">
        <f t="array" ref="S97">_xlfn.ANCHORARRAY('Project Costs'!Q94)</f>
        <v>0</v>
      </c>
      <c r="T97" s="995" cm="1">
        <f t="array" ref="T97">_xlfn.ANCHORARRAY('Project Costs'!R94)</f>
        <v>0</v>
      </c>
      <c r="U97" s="995" cm="1">
        <f t="array" ref="U97">_xlfn.ANCHORARRAY('Project Costs'!S94)</f>
        <v>0</v>
      </c>
      <c r="V97" s="995" cm="1">
        <f t="array" ref="V97">_xlfn.ANCHORARRAY('Project Costs'!T94)</f>
        <v>0</v>
      </c>
      <c r="W97" s="995" cm="1">
        <f t="array" ref="W97">_xlfn.ANCHORARRAY('Project Costs'!U94)</f>
        <v>0</v>
      </c>
      <c r="X97" s="995" cm="1">
        <f t="array" ref="X97">_xlfn.ANCHORARRAY('Project Costs'!V94)</f>
        <v>0</v>
      </c>
      <c r="Y97" s="995" cm="1">
        <f t="array" ref="Y97">_xlfn.ANCHORARRAY('Project Costs'!W94)</f>
        <v>0</v>
      </c>
      <c r="Z97" s="995" cm="1">
        <f t="array" ref="Z97">_xlfn.ANCHORARRAY('Project Costs'!X94)</f>
        <v>0</v>
      </c>
      <c r="AA97" s="995" cm="1">
        <f t="array" ref="AA97">_xlfn.ANCHORARRAY('Project Costs'!Y94)</f>
        <v>0</v>
      </c>
      <c r="AB97" s="995" cm="1">
        <f t="array" ref="AB97">_xlfn.ANCHORARRAY('Project Costs'!Z94)</f>
        <v>0</v>
      </c>
      <c r="AC97" s="995" cm="1">
        <f t="array" ref="AC97">_xlfn.ANCHORARRAY('Project Costs'!AA94)</f>
        <v>0</v>
      </c>
      <c r="AD97" s="995" cm="1">
        <f t="array" ref="AD97">_xlfn.ANCHORARRAY('Project Costs'!AB94)</f>
        <v>0</v>
      </c>
      <c r="AE97" s="995" cm="1">
        <f t="array" ref="AE97">_xlfn.ANCHORARRAY('Project Costs'!AC94)</f>
        <v>0</v>
      </c>
      <c r="AF97" s="995" cm="1">
        <f t="array" ref="AF97">_xlfn.ANCHORARRAY('Project Costs'!AD94)</f>
        <v>0</v>
      </c>
      <c r="AG97" s="995" cm="1">
        <f t="array" ref="AG97">_xlfn.ANCHORARRAY('Project Costs'!AE94)</f>
        <v>0</v>
      </c>
    </row>
    <row r="98" spans="1:33" ht="21.9" customHeight="1" x14ac:dyDescent="0.25">
      <c r="C98" s="1" t="s">
        <v>54</v>
      </c>
      <c r="D98" s="25"/>
      <c r="E98" s="113">
        <f>SUM(F98:AG98)</f>
        <v>701168409.90874088</v>
      </c>
      <c r="F98" s="25" cm="1">
        <f t="array" ref="F98">_xlfn.ANCHORARRAY(F96) -_xlfn.ANCHORARRAY( F97)</f>
        <v>0</v>
      </c>
      <c r="G98" s="976" cm="1">
        <f t="array" ref="G98">_xlfn.ANCHORARRAY(G96) -_xlfn.ANCHORARRAY( G97)</f>
        <v>-2025440.7629228919</v>
      </c>
      <c r="H98" s="976" cm="1">
        <f t="array" ref="H98">_xlfn.ANCHORARRAY(H96) -_xlfn.ANCHORARRAY( H97)</f>
        <v>-4387291.2950261896</v>
      </c>
      <c r="I98" s="976" cm="1">
        <f t="array" ref="I98">_xlfn.ANCHORARRAY(I96) -_xlfn.ANCHORARRAY( I97)</f>
        <v>-2596648.4240833763</v>
      </c>
      <c r="J98" s="976" cm="1">
        <f t="array" ref="J98">_xlfn.ANCHORARRAY(J96) -_xlfn.ANCHORARRAY( J97)</f>
        <v>-28511755.178816762</v>
      </c>
      <c r="K98" s="976" cm="1">
        <f t="array" ref="K98">_xlfn.ANCHORARRAY(K96) -_xlfn.ANCHORARRAY( K97)</f>
        <v>-30852010.483749785</v>
      </c>
      <c r="L98" s="976" cm="1">
        <f t="array" ref="L98">_xlfn.ANCHORARRAY(L96) -_xlfn.ANCHORARRAY( L97)</f>
        <v>-8137909.5692727119</v>
      </c>
      <c r="M98" s="976" cm="1">
        <f t="array" ref="M98">_xlfn.ANCHORARRAY(M96) -_xlfn.ANCHORARRAY( M97)</f>
        <v>-12626838.920398392</v>
      </c>
      <c r="N98" s="976" cm="1">
        <f t="array" ref="N98">_xlfn.ANCHORARRAY(N96) -_xlfn.ANCHORARRAY( N97)</f>
        <v>-1265806.6944209952</v>
      </c>
      <c r="O98" s="976" cm="1">
        <f t="array" ref="O98">_xlfn.ANCHORARRAY(O96) -_xlfn.ANCHORARRAY( O97)</f>
        <v>-1438398.1353809151</v>
      </c>
      <c r="P98" s="976" cm="1">
        <f t="array" ref="P98">_xlfn.ANCHORARRAY(P96) -_xlfn.ANCHORARRAY( P97)</f>
        <v>6175187.386317255</v>
      </c>
      <c r="Q98" s="976" cm="1">
        <f t="array" ref="Q98">_xlfn.ANCHORARRAY(Q96) -_xlfn.ANCHORARRAY( Q97)</f>
        <v>14435861.587535916</v>
      </c>
      <c r="R98" s="976" cm="1">
        <f t="array" ref="R98">_xlfn.ANCHORARRAY(R96) -_xlfn.ANCHORARRAY( R97)</f>
        <v>23315158.993272383</v>
      </c>
      <c r="S98" s="976" cm="1">
        <f t="array" ref="S98">_xlfn.ANCHORARRAY(S96) -_xlfn.ANCHORARRAY( S97)</f>
        <v>29063199.340939883</v>
      </c>
      <c r="T98" s="976" cm="1">
        <f t="array" ref="T98">_xlfn.ANCHORARRAY(T96) -_xlfn.ANCHORARRAY( T97)</f>
        <v>42928396.495408423</v>
      </c>
      <c r="U98" s="976" cm="1">
        <f t="array" ref="U98">_xlfn.ANCHORARRAY(U96) -_xlfn.ANCHORARRAY( U97)</f>
        <v>38508300.326285467</v>
      </c>
      <c r="V98" s="976" cm="1">
        <f t="array" ref="V98">_xlfn.ANCHORARRAY(V96) -_xlfn.ANCHORARRAY( V97)</f>
        <v>38937359.31195832</v>
      </c>
      <c r="W98" s="976" cm="1">
        <f t="array" ref="W98">_xlfn.ANCHORARRAY(W96) -_xlfn.ANCHORARRAY( W97)</f>
        <v>39694320.808787517</v>
      </c>
      <c r="X98" s="976" cm="1">
        <f t="array" ref="X98">_xlfn.ANCHORARRAY(X96) -_xlfn.ANCHORARRAY( X97)</f>
        <v>41391101.454526149</v>
      </c>
      <c r="Y98" s="976" cm="1">
        <f t="array" ref="Y98">_xlfn.ANCHORARRAY(Y96) -_xlfn.ANCHORARRAY( Y97)</f>
        <v>43081053.780263804</v>
      </c>
      <c r="Z98" s="976" cm="1">
        <f t="array" ref="Z98">_xlfn.ANCHORARRAY(Z96) -_xlfn.ANCHORARRAY( Z97)</f>
        <v>45253697.36678803</v>
      </c>
      <c r="AA98" s="976" cm="1">
        <f t="array" ref="AA98">_xlfn.ANCHORARRAY(AA96) -_xlfn.ANCHORARRAY( AA97)</f>
        <v>47485621.726364456</v>
      </c>
      <c r="AB98" s="976" cm="1">
        <f t="array" ref="AB98">_xlfn.ANCHORARRAY(AB96) -_xlfn.ANCHORARRAY( AB97)</f>
        <v>50328141.328778028</v>
      </c>
      <c r="AC98" s="976" cm="1">
        <f t="array" ref="AC98">_xlfn.ANCHORARRAY(AC96) -_xlfn.ANCHORARRAY( AC97)</f>
        <v>53624859.93567609</v>
      </c>
      <c r="AD98" s="976" cm="1">
        <f t="array" ref="AD98">_xlfn.ANCHORARRAY(AD96) -_xlfn.ANCHORARRAY( AD97)</f>
        <v>56405131.204489596</v>
      </c>
      <c r="AE98" s="976" cm="1">
        <f t="array" ref="AE98">_xlfn.ANCHORARRAY(AE96) -_xlfn.ANCHORARRAY( AE97)</f>
        <v>59240024.143125743</v>
      </c>
      <c r="AF98" s="976" cm="1">
        <f t="array" ref="AF98">_xlfn.ANCHORARRAY(AF96) -_xlfn.ANCHORARRAY( AF97)</f>
        <v>66971516.644303903</v>
      </c>
      <c r="AG98" s="976" cm="1">
        <f t="array" ref="AG98">_xlfn.ANCHORARRAY(AG96) -_xlfn.ANCHORARRAY( AG97)</f>
        <v>96171577.537991881</v>
      </c>
    </row>
    <row r="99" spans="1:33" ht="21.9" customHeight="1" x14ac:dyDescent="0.25">
      <c r="B99" s="45"/>
      <c r="C99" s="994" t="s">
        <v>55</v>
      </c>
      <c r="D99" s="995"/>
      <c r="E99" s="996"/>
      <c r="F99" s="995">
        <f>F98</f>
        <v>0</v>
      </c>
      <c r="G99" s="995">
        <f>F99+G98</f>
        <v>-2025440.7629228919</v>
      </c>
      <c r="H99" s="995">
        <f t="shared" ref="H99" si="30">G99+H98</f>
        <v>-6412732.0579490811</v>
      </c>
      <c r="I99" s="995">
        <f t="shared" ref="I99" si="31">H99+I98</f>
        <v>-9009380.4820324574</v>
      </c>
      <c r="J99" s="995">
        <f t="shared" ref="J99" si="32">I99+J98</f>
        <v>-37521135.660849221</v>
      </c>
      <c r="K99" s="995">
        <f t="shared" ref="K99" si="33">J99+K98</f>
        <v>-68373146.144599006</v>
      </c>
      <c r="L99" s="995">
        <f t="shared" ref="L99" si="34">K99+L98</f>
        <v>-76511055.713871717</v>
      </c>
      <c r="M99" s="995">
        <f t="shared" ref="M99" si="35">L99+M98</f>
        <v>-89137894.634270102</v>
      </c>
      <c r="N99" s="995">
        <f t="shared" ref="N99" si="36">M99+N98</f>
        <v>-90403701.328691095</v>
      </c>
      <c r="O99" s="995">
        <f t="shared" ref="O99" si="37">N99+O98</f>
        <v>-91842099.464072004</v>
      </c>
      <c r="P99" s="995">
        <f t="shared" ref="P99" si="38">O99+P98</f>
        <v>-85666912.077754751</v>
      </c>
      <c r="Q99" s="995">
        <f t="shared" ref="Q99" si="39">P99+Q98</f>
        <v>-71231050.490218833</v>
      </c>
      <c r="R99" s="995">
        <f t="shared" ref="R99" si="40">Q99+R98</f>
        <v>-47915891.496946454</v>
      </c>
      <c r="S99" s="995">
        <f t="shared" ref="S99" si="41">R99+S98</f>
        <v>-18852692.156006571</v>
      </c>
      <c r="T99" s="995">
        <f t="shared" ref="T99" si="42">S99+T98</f>
        <v>24075704.339401852</v>
      </c>
      <c r="U99" s="995">
        <f t="shared" ref="U99" si="43">T99+U98</f>
        <v>62584004.665687323</v>
      </c>
      <c r="V99" s="995">
        <f t="shared" ref="V99" si="44">U99+V98</f>
        <v>101521363.97764564</v>
      </c>
      <c r="W99" s="995">
        <f t="shared" ref="W99" si="45">V99+W98</f>
        <v>141215684.78643316</v>
      </c>
      <c r="X99" s="995">
        <f t="shared" ref="X99" si="46">W99+X98</f>
        <v>182606786.24095932</v>
      </c>
      <c r="Y99" s="995">
        <f t="shared" ref="Y99" si="47">X99+Y98</f>
        <v>225687840.02122313</v>
      </c>
      <c r="Z99" s="995">
        <f t="shared" ref="Z99" si="48">Y99+Z98</f>
        <v>270941537.38801116</v>
      </c>
      <c r="AA99" s="995">
        <f t="shared" ref="AA99" si="49">Z99+AA98</f>
        <v>318427159.11437559</v>
      </c>
      <c r="AB99" s="995">
        <f t="shared" ref="AB99" si="50">AA99+AB98</f>
        <v>368755300.44315362</v>
      </c>
      <c r="AC99" s="995">
        <f t="shared" ref="AC99" si="51">AB99+AC98</f>
        <v>422380160.37882972</v>
      </c>
      <c r="AD99" s="995">
        <f t="shared" ref="AD99" si="52">AC99+AD98</f>
        <v>478785291.58331931</v>
      </c>
      <c r="AE99" s="995">
        <f>AD99+AE98</f>
        <v>538025315.72644508</v>
      </c>
      <c r="AF99" s="995">
        <f>AE99+AF98</f>
        <v>604996832.370749</v>
      </c>
      <c r="AG99" s="995">
        <f>AF99+AG98</f>
        <v>701168409.90874088</v>
      </c>
    </row>
    <row r="100" spans="1:33" s="971" customFormat="1" ht="21.9" customHeight="1" x14ac:dyDescent="0.25">
      <c r="A100"/>
      <c r="C100" s="972"/>
      <c r="D100" s="972"/>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row>
    <row r="101" spans="1:33" s="971" customFormat="1" ht="21.9" customHeight="1" x14ac:dyDescent="0.25">
      <c r="A101"/>
      <c r="B101" s="974" t="s">
        <v>518</v>
      </c>
      <c r="C101" s="972"/>
      <c r="D101" s="972"/>
      <c r="E101" s="973"/>
      <c r="F101" s="973"/>
      <c r="G101" s="973"/>
      <c r="H101" s="973"/>
      <c r="I101" s="973"/>
      <c r="J101" s="973"/>
      <c r="K101" s="973"/>
      <c r="L101" s="973"/>
      <c r="M101" s="973"/>
      <c r="N101" s="973"/>
      <c r="O101" s="973"/>
      <c r="P101" s="973"/>
      <c r="Q101" s="973"/>
      <c r="R101" s="973"/>
      <c r="S101" s="973"/>
      <c r="T101" s="973"/>
      <c r="U101" s="973"/>
      <c r="V101" s="973"/>
      <c r="W101" s="973"/>
      <c r="X101" s="973"/>
      <c r="Y101" s="973"/>
      <c r="Z101" s="973"/>
      <c r="AA101" s="973"/>
      <c r="AB101" s="973"/>
      <c r="AC101" s="973"/>
      <c r="AD101" s="973"/>
      <c r="AE101" s="973"/>
      <c r="AF101" s="973"/>
      <c r="AG101" s="973"/>
    </row>
    <row r="102" spans="1:33" ht="21.9" customHeight="1" x14ac:dyDescent="0.25">
      <c r="B102" s="945"/>
      <c r="C102" s="945"/>
      <c r="D102" s="945"/>
      <c r="E102" s="946" t="s">
        <v>25</v>
      </c>
      <c r="F102" s="945" cm="1">
        <f t="array" ref="F102:AG102">_xlfn.SEQUENCE(1, studyDuration+1, baseYear-1)</f>
        <v>2021</v>
      </c>
      <c r="G102" s="945">
        <v>2022</v>
      </c>
      <c r="H102" s="945">
        <v>2023</v>
      </c>
      <c r="I102" s="945">
        <v>2024</v>
      </c>
      <c r="J102" s="945">
        <v>2025</v>
      </c>
      <c r="K102" s="945">
        <v>2026</v>
      </c>
      <c r="L102" s="945">
        <v>2027</v>
      </c>
      <c r="M102" s="945">
        <v>2028</v>
      </c>
      <c r="N102" s="945">
        <v>2029</v>
      </c>
      <c r="O102" s="945">
        <v>2030</v>
      </c>
      <c r="P102" s="945">
        <v>2031</v>
      </c>
      <c r="Q102" s="945">
        <v>2032</v>
      </c>
      <c r="R102" s="945">
        <v>2033</v>
      </c>
      <c r="S102" s="945">
        <v>2034</v>
      </c>
      <c r="T102" s="945">
        <v>2035</v>
      </c>
      <c r="U102" s="945">
        <v>2036</v>
      </c>
      <c r="V102" s="945">
        <v>2037</v>
      </c>
      <c r="W102" s="945">
        <v>2038</v>
      </c>
      <c r="X102" s="945">
        <v>2039</v>
      </c>
      <c r="Y102" s="945">
        <v>2040</v>
      </c>
      <c r="Z102" s="945">
        <v>2041</v>
      </c>
      <c r="AA102" s="945">
        <v>2042</v>
      </c>
      <c r="AB102" s="945">
        <v>2043</v>
      </c>
      <c r="AC102" s="945">
        <v>2044</v>
      </c>
      <c r="AD102" s="945">
        <v>2045</v>
      </c>
      <c r="AE102" s="945">
        <v>2046</v>
      </c>
      <c r="AF102" s="945">
        <v>2047</v>
      </c>
      <c r="AG102" s="945">
        <v>2048</v>
      </c>
    </row>
    <row r="103" spans="1:33" ht="21.9" customHeight="1" x14ac:dyDescent="0.25">
      <c r="B103" s="1" t="s">
        <v>452</v>
      </c>
      <c r="C103" s="1" t="s">
        <v>49</v>
      </c>
      <c r="E103"/>
      <c r="F103"/>
      <c r="G103"/>
      <c r="H103"/>
      <c r="I103"/>
    </row>
    <row r="104" spans="1:33" ht="21.9" customHeight="1" x14ac:dyDescent="0.25">
      <c r="C104" t="s">
        <v>15</v>
      </c>
      <c r="D104" s="942"/>
      <c r="E104" s="943">
        <f>SUM(_xlfn.ANCHORARRAY(F104))</f>
        <v>8158544.5178865474</v>
      </c>
      <c r="F104" s="942" cm="1">
        <f t="array" ref="F104:AG104">_xlfn.ANCHORARRAY(F75) * discountAnnual</f>
        <v>0</v>
      </c>
      <c r="G104" s="942">
        <v>0</v>
      </c>
      <c r="H104" s="942">
        <v>0</v>
      </c>
      <c r="I104" s="942">
        <v>0</v>
      </c>
      <c r="J104" s="942">
        <v>0</v>
      </c>
      <c r="K104" s="942">
        <v>0</v>
      </c>
      <c r="L104" s="942">
        <v>0</v>
      </c>
      <c r="M104" s="942">
        <v>0</v>
      </c>
      <c r="N104" s="942">
        <v>178012.65570625779</v>
      </c>
      <c r="O104" s="942">
        <v>188720.13775119427</v>
      </c>
      <c r="P104" s="942">
        <v>200508.60290289897</v>
      </c>
      <c r="Q104" s="942">
        <v>213530.63923612444</v>
      </c>
      <c r="R104" s="942">
        <v>227962.9488319201</v>
      </c>
      <c r="S104" s="942">
        <v>244010.267735678</v>
      </c>
      <c r="T104" s="942">
        <v>261909.9272727666</v>
      </c>
      <c r="U104" s="942">
        <v>281937.16180848755</v>
      </c>
      <c r="V104" s="942">
        <v>304411.28526315547</v>
      </c>
      <c r="W104" s="942">
        <v>329702.87874046364</v>
      </c>
      <c r="X104" s="942">
        <v>358242.15496071993</v>
      </c>
      <c r="Y104" s="942">
        <v>390528.69234868488</v>
      </c>
      <c r="Z104" s="942">
        <v>427142.76323555148</v>
      </c>
      <c r="AA104" s="942">
        <v>468758.51742577564</v>
      </c>
      <c r="AB104" s="942">
        <v>516159.32520131994</v>
      </c>
      <c r="AC104" s="942">
        <v>570255.63367695117</v>
      </c>
      <c r="AD104" s="942">
        <v>632105.74843111611</v>
      </c>
      <c r="AE104" s="942">
        <v>702940.01985678053</v>
      </c>
      <c r="AF104" s="942">
        <v>784188.99226414273</v>
      </c>
      <c r="AG104" s="942">
        <v>877516.16523655888</v>
      </c>
    </row>
    <row r="105" spans="1:33" ht="21.9" customHeight="1" x14ac:dyDescent="0.25">
      <c r="C105" t="s">
        <v>16</v>
      </c>
      <c r="D105" s="942"/>
      <c r="E105" s="944">
        <f>SUM(F105:AF105)</f>
        <v>255776493.28562629</v>
      </c>
      <c r="F105" s="942" cm="1">
        <f t="array" ref="F105:AG105">F76:AG76 * discountAnnual</f>
        <v>0</v>
      </c>
      <c r="G105" s="942">
        <v>0</v>
      </c>
      <c r="H105" s="942">
        <v>0</v>
      </c>
      <c r="I105" s="942">
        <v>0</v>
      </c>
      <c r="J105" s="942">
        <v>0</v>
      </c>
      <c r="K105" s="942">
        <v>0</v>
      </c>
      <c r="L105" s="942">
        <v>0</v>
      </c>
      <c r="M105" s="942">
        <v>1492939.5507489252</v>
      </c>
      <c r="N105" s="942">
        <v>7456497.730453766</v>
      </c>
      <c r="O105" s="942">
        <v>8525112.6515069511</v>
      </c>
      <c r="P105" s="942">
        <v>11409158.207614496</v>
      </c>
      <c r="Q105" s="942">
        <v>14394733.370726502</v>
      </c>
      <c r="R105" s="942">
        <v>17213658.548433449</v>
      </c>
      <c r="S105" s="942">
        <v>16772359.732517993</v>
      </c>
      <c r="T105" s="942">
        <v>15540489.809905618</v>
      </c>
      <c r="U105" s="942">
        <v>14728912.793894842</v>
      </c>
      <c r="V105" s="942">
        <v>13970687.951775951</v>
      </c>
      <c r="W105" s="942">
        <v>13413038.06903886</v>
      </c>
      <c r="X105" s="942">
        <v>13376128.77065805</v>
      </c>
      <c r="Y105" s="942">
        <v>13349744.526319114</v>
      </c>
      <c r="Z105" s="942">
        <v>13336294.912364693</v>
      </c>
      <c r="AA105" s="942">
        <v>13338032.533795856</v>
      </c>
      <c r="AB105" s="942">
        <v>13358031.978336202</v>
      </c>
      <c r="AC105" s="942">
        <v>13398799.137568463</v>
      </c>
      <c r="AD105" s="942">
        <v>13463743.75909072</v>
      </c>
      <c r="AE105" s="942">
        <v>13556907.768820509</v>
      </c>
      <c r="AF105" s="942">
        <v>13681221.482055299</v>
      </c>
      <c r="AG105" s="942">
        <v>13841264.689300654</v>
      </c>
    </row>
    <row r="106" spans="1:33" ht="21.9" customHeight="1" x14ac:dyDescent="0.25">
      <c r="C106" t="s">
        <v>562</v>
      </c>
      <c r="D106" s="942"/>
      <c r="E106" s="944">
        <f t="shared" ref="E106:E114" si="53">SUM(F106:AF106)</f>
        <v>-290057.82284181059</v>
      </c>
      <c r="F106" s="942" cm="1">
        <f t="array" ref="F106:AG106">F77:AG77 * discountAnnual</f>
        <v>0</v>
      </c>
      <c r="G106" s="942">
        <v>0</v>
      </c>
      <c r="H106" s="942">
        <v>0</v>
      </c>
      <c r="I106" s="942">
        <v>0</v>
      </c>
      <c r="J106" s="942">
        <v>0</v>
      </c>
      <c r="K106" s="942">
        <v>0</v>
      </c>
      <c r="L106" s="942">
        <v>0</v>
      </c>
      <c r="M106" s="942">
        <v>-60032.325181721506</v>
      </c>
      <c r="N106" s="942">
        <v>-73218.083344450351</v>
      </c>
      <c r="O106" s="942">
        <v>-85679.686452364826</v>
      </c>
      <c r="P106" s="942">
        <v>-67877.193303538908</v>
      </c>
      <c r="Q106" s="942">
        <v>-51073.036769312625</v>
      </c>
      <c r="R106" s="942">
        <v>-35215.601884687021</v>
      </c>
      <c r="S106" s="942">
        <v>-20263.041243394779</v>
      </c>
      <c r="T106" s="942">
        <v>-6172.3224818036415</v>
      </c>
      <c r="U106" s="942">
        <v>1261.621687170496</v>
      </c>
      <c r="V106" s="942">
        <v>3011.1045937851572</v>
      </c>
      <c r="W106" s="942">
        <v>4655.6025178189657</v>
      </c>
      <c r="X106" s="942">
        <v>6198.4849848275298</v>
      </c>
      <c r="Y106" s="942">
        <v>7642.3198848840057</v>
      </c>
      <c r="Z106" s="942">
        <v>8995.7189747723332</v>
      </c>
      <c r="AA106" s="942">
        <v>10258.839818766401</v>
      </c>
      <c r="AB106" s="942">
        <v>11439.790751291299</v>
      </c>
      <c r="AC106" s="942">
        <v>12540.449471235286</v>
      </c>
      <c r="AD106" s="942">
        <v>13561.711670807474</v>
      </c>
      <c r="AE106" s="942">
        <v>14513.000836822004</v>
      </c>
      <c r="AF106" s="942">
        <v>15394.822627282254</v>
      </c>
      <c r="AG106" s="942">
        <v>16208.844831668695</v>
      </c>
    </row>
    <row r="107" spans="1:33" ht="21.9" customHeight="1" x14ac:dyDescent="0.25">
      <c r="C107" t="s">
        <v>563</v>
      </c>
      <c r="D107" s="942"/>
      <c r="E107" s="944">
        <f t="shared" si="53"/>
        <v>-1540.2215817299614</v>
      </c>
      <c r="F107" s="942" cm="1">
        <f t="array" ref="F107:AG107">F78:AG78 * discountAnnual</f>
        <v>0</v>
      </c>
      <c r="G107" s="942">
        <v>0</v>
      </c>
      <c r="H107" s="942">
        <v>0</v>
      </c>
      <c r="I107" s="942">
        <v>0</v>
      </c>
      <c r="J107" s="942">
        <v>0</v>
      </c>
      <c r="K107" s="942">
        <v>0</v>
      </c>
      <c r="L107" s="26">
        <v>0</v>
      </c>
      <c r="M107" s="26">
        <v>-319.10744265015637</v>
      </c>
      <c r="N107" s="26">
        <v>-391.07402535186242</v>
      </c>
      <c r="O107" s="26">
        <v>-461.86128304073782</v>
      </c>
      <c r="P107" s="26">
        <v>-365.54308888669806</v>
      </c>
      <c r="Q107" s="26">
        <v>-274.62780347520635</v>
      </c>
      <c r="R107" s="26">
        <v>-188.83635960311014</v>
      </c>
      <c r="S107" s="26">
        <v>-107.94169858658502</v>
      </c>
      <c r="T107" s="26">
        <v>-31.71365503561093</v>
      </c>
      <c r="U107" s="26">
        <v>8.4134276144933562</v>
      </c>
      <c r="V107" s="26">
        <v>17.683087050489902</v>
      </c>
      <c r="W107" s="26">
        <v>26.39521357152811</v>
      </c>
      <c r="X107" s="26">
        <v>34.567442581625116</v>
      </c>
      <c r="Y107" s="26">
        <v>42.212155200128649</v>
      </c>
      <c r="Z107" s="26">
        <v>49.377737789186526</v>
      </c>
      <c r="AA107" s="26">
        <v>56.062503883074378</v>
      </c>
      <c r="AB107" s="26">
        <v>62.312027208171415</v>
      </c>
      <c r="AC107" s="26">
        <v>68.135045613316095</v>
      </c>
      <c r="AD107" s="26">
        <v>73.535009704293998</v>
      </c>
      <c r="AE107" s="26">
        <v>78.564693264395501</v>
      </c>
      <c r="AF107" s="26">
        <v>83.22543141930241</v>
      </c>
      <c r="AG107" s="26">
        <v>87.52508426072211</v>
      </c>
    </row>
    <row r="108" spans="1:33" ht="21.9" customHeight="1" x14ac:dyDescent="0.25">
      <c r="C108" t="s">
        <v>564</v>
      </c>
      <c r="D108" s="942"/>
      <c r="E108" s="944">
        <f t="shared" si="53"/>
        <v>-451145.05167177098</v>
      </c>
      <c r="F108" s="942" cm="1">
        <f t="array" ref="F108:AG108">F79:AG79 * discountAnnual</f>
        <v>0</v>
      </c>
      <c r="G108" s="942">
        <v>0</v>
      </c>
      <c r="H108" s="942">
        <v>0</v>
      </c>
      <c r="I108" s="942">
        <v>0</v>
      </c>
      <c r="J108" s="942">
        <v>0</v>
      </c>
      <c r="K108" s="942">
        <v>0</v>
      </c>
      <c r="L108" s="942">
        <v>0</v>
      </c>
      <c r="M108" s="942">
        <v>-93281.577682389907</v>
      </c>
      <c r="N108" s="942">
        <v>-113729.780195065</v>
      </c>
      <c r="O108" s="942">
        <v>-133696.20162889318</v>
      </c>
      <c r="P108" s="942">
        <v>-105904.08490843388</v>
      </c>
      <c r="Q108" s="942">
        <v>-79670.563061790002</v>
      </c>
      <c r="R108" s="942">
        <v>-54915.064945797581</v>
      </c>
      <c r="S108" s="942">
        <v>-31572.237589601071</v>
      </c>
      <c r="T108" s="942">
        <v>-9574.9977378282001</v>
      </c>
      <c r="U108" s="942">
        <v>2027.0228626619116</v>
      </c>
      <c r="V108" s="942">
        <v>4751.120895207805</v>
      </c>
      <c r="W108" s="942">
        <v>7311.70220752983</v>
      </c>
      <c r="X108" s="942">
        <v>9714.005553091125</v>
      </c>
      <c r="Y108" s="942">
        <v>11961.985029133892</v>
      </c>
      <c r="Z108" s="942">
        <v>14069.149674025499</v>
      </c>
      <c r="AA108" s="942">
        <v>16035.653574425878</v>
      </c>
      <c r="AB108" s="942">
        <v>17874.216639117458</v>
      </c>
      <c r="AC108" s="942">
        <v>19587.718773720586</v>
      </c>
      <c r="AD108" s="942">
        <v>21177.507770831038</v>
      </c>
      <c r="AE108" s="942">
        <v>22658.359732731042</v>
      </c>
      <c r="AF108" s="942">
        <v>24031.013365551855</v>
      </c>
      <c r="AG108" s="942">
        <v>25298.030213106922</v>
      </c>
    </row>
    <row r="109" spans="1:33" ht="21.9" customHeight="1" x14ac:dyDescent="0.25">
      <c r="C109" t="s">
        <v>565</v>
      </c>
      <c r="D109" s="942"/>
      <c r="E109" s="944">
        <f t="shared" si="53"/>
        <v>-29132243.035159156</v>
      </c>
      <c r="F109" s="942" cm="1">
        <f t="array" ref="F109:AG109">F80:AG80 * discountAnnualCO2</f>
        <v>0</v>
      </c>
      <c r="G109" s="942">
        <v>0</v>
      </c>
      <c r="H109" s="942">
        <v>0</v>
      </c>
      <c r="I109" s="942">
        <v>0</v>
      </c>
      <c r="J109" s="942">
        <v>0</v>
      </c>
      <c r="K109" s="942">
        <v>0</v>
      </c>
      <c r="L109" s="26">
        <v>0</v>
      </c>
      <c r="M109" s="26">
        <v>-6832222.4127131626</v>
      </c>
      <c r="N109" s="26">
        <v>-8365629.268643898</v>
      </c>
      <c r="O109" s="26">
        <v>-9913558.2483670805</v>
      </c>
      <c r="P109" s="26">
        <v>-8086443.3673317041</v>
      </c>
      <c r="Q109" s="26">
        <v>-6212752.5002495451</v>
      </c>
      <c r="R109" s="26">
        <v>-4401648.6520413589</v>
      </c>
      <c r="S109" s="26">
        <v>-2583901.357041202</v>
      </c>
      <c r="T109" s="26">
        <v>-783674.63973332895</v>
      </c>
      <c r="U109" s="26">
        <v>204147.93343913485</v>
      </c>
      <c r="V109" s="26">
        <v>450264.84193204209</v>
      </c>
      <c r="W109" s="26">
        <v>690511.1565114808</v>
      </c>
      <c r="X109" s="26">
        <v>929282.39459485107</v>
      </c>
      <c r="Y109" s="26">
        <v>1168481.6600383711</v>
      </c>
      <c r="Z109" s="26">
        <v>1401582.9264532598</v>
      </c>
      <c r="AA109" s="26">
        <v>1636299.5424538935</v>
      </c>
      <c r="AB109" s="26">
        <v>1863261.855765172</v>
      </c>
      <c r="AC109" s="26">
        <v>2093286.2606091592</v>
      </c>
      <c r="AD109" s="26">
        <v>2313189.5612552436</v>
      </c>
      <c r="AE109" s="26">
        <v>2537703.0185046704</v>
      </c>
      <c r="AF109" s="26">
        <v>2759576.2594048446</v>
      </c>
      <c r="AG109" s="26">
        <v>2978360.6658565374</v>
      </c>
    </row>
    <row r="110" spans="1:33" ht="21.9" customHeight="1" x14ac:dyDescent="0.25">
      <c r="C110" t="s">
        <v>212</v>
      </c>
      <c r="D110" s="942"/>
      <c r="E110" s="944">
        <f t="shared" si="53"/>
        <v>5834022.6027569557</v>
      </c>
      <c r="F110" s="942" cm="1">
        <f t="array" ref="F110:AG110">F81:AG81 * discountAnnual</f>
        <v>0</v>
      </c>
      <c r="G110" s="942">
        <v>0</v>
      </c>
      <c r="H110" s="942">
        <v>0</v>
      </c>
      <c r="I110" s="942">
        <v>0</v>
      </c>
      <c r="J110" s="942">
        <v>2135439.3562626322</v>
      </c>
      <c r="K110" s="942">
        <v>0</v>
      </c>
      <c r="L110" s="26">
        <v>0</v>
      </c>
      <c r="M110" s="26">
        <v>-3858.5121183045662</v>
      </c>
      <c r="N110" s="26">
        <v>-3742.4947801208214</v>
      </c>
      <c r="O110" s="26">
        <v>-94379.111816819976</v>
      </c>
      <c r="P110" s="26">
        <v>-3520.8204065067503</v>
      </c>
      <c r="Q110" s="26">
        <v>-3414.956747339234</v>
      </c>
      <c r="R110" s="26">
        <v>-3312.2761855860663</v>
      </c>
      <c r="S110" s="26">
        <v>-3212.6830122076299</v>
      </c>
      <c r="T110" s="26">
        <v>5076101.4809759753</v>
      </c>
      <c r="U110" s="26">
        <v>-3022.390296734904</v>
      </c>
      <c r="V110" s="26">
        <v>-2931.5133818961244</v>
      </c>
      <c r="W110" s="26">
        <v>-2843.3689446131175</v>
      </c>
      <c r="X110" s="26">
        <v>-2757.8748250369713</v>
      </c>
      <c r="Y110" s="26">
        <v>-69548.73467600513</v>
      </c>
      <c r="Z110" s="26">
        <v>-2594.5211771993254</v>
      </c>
      <c r="AA110" s="26">
        <v>-2516.5093862263097</v>
      </c>
      <c r="AB110" s="26">
        <v>-2440.8432456123278</v>
      </c>
      <c r="AC110" s="26">
        <v>-2367.4522265880969</v>
      </c>
      <c r="AD110" s="26">
        <v>-208960.38081427431</v>
      </c>
      <c r="AE110" s="26">
        <v>-959933.53440010513</v>
      </c>
      <c r="AF110" s="26">
        <v>-2160.2560404718347</v>
      </c>
      <c r="AG110" s="26">
        <v>-2095.3016881395101</v>
      </c>
    </row>
    <row r="111" spans="1:33" ht="21.9" customHeight="1" x14ac:dyDescent="0.25">
      <c r="C111" t="s">
        <v>17</v>
      </c>
      <c r="D111" s="26"/>
      <c r="E111" s="1228">
        <f>SUM(_xlfn.ANCHORARRAY(F111))</f>
        <v>6285905.0644185329</v>
      </c>
      <c r="F111" s="1007" cm="1">
        <f t="array" ref="F111:AG111">_xlfn.ANCHORARRAY(F82) * discountAnnual</f>
        <v>0</v>
      </c>
      <c r="G111" s="1007">
        <v>0</v>
      </c>
      <c r="H111" s="1007">
        <v>0</v>
      </c>
      <c r="I111" s="1007">
        <v>0</v>
      </c>
      <c r="J111" s="1007">
        <v>0</v>
      </c>
      <c r="K111" s="1007">
        <v>0</v>
      </c>
      <c r="L111" s="1007">
        <v>0</v>
      </c>
      <c r="M111" s="1007">
        <v>0</v>
      </c>
      <c r="N111" s="1007">
        <v>0</v>
      </c>
      <c r="O111" s="1007">
        <v>0</v>
      </c>
      <c r="P111" s="1007">
        <v>0</v>
      </c>
      <c r="Q111" s="1007">
        <v>0</v>
      </c>
      <c r="R111" s="1007">
        <v>0</v>
      </c>
      <c r="S111" s="1007">
        <v>0</v>
      </c>
      <c r="T111" s="1007">
        <v>0</v>
      </c>
      <c r="U111" s="1007">
        <v>0</v>
      </c>
      <c r="V111" s="1007">
        <v>0</v>
      </c>
      <c r="W111" s="1007">
        <v>0</v>
      </c>
      <c r="X111" s="1007">
        <v>0</v>
      </c>
      <c r="Y111" s="1007">
        <v>0</v>
      </c>
      <c r="Z111" s="1007">
        <v>0</v>
      </c>
      <c r="AA111" s="1007">
        <v>0</v>
      </c>
      <c r="AB111" s="1007">
        <v>0</v>
      </c>
      <c r="AC111" s="1007">
        <v>0</v>
      </c>
      <c r="AD111" s="1007">
        <v>0</v>
      </c>
      <c r="AE111" s="1007">
        <v>0</v>
      </c>
      <c r="AF111" s="1007">
        <v>0</v>
      </c>
      <c r="AG111" s="1007">
        <v>6285905.0644185329</v>
      </c>
    </row>
    <row r="112" spans="1:33" ht="21.9" customHeight="1" x14ac:dyDescent="0.25">
      <c r="C112" s="1003" t="s">
        <v>52</v>
      </c>
      <c r="D112" s="1004"/>
      <c r="E112" s="977">
        <f t="shared" si="53"/>
        <v>239016558.10977873</v>
      </c>
      <c r="F112" s="976">
        <f>SUM(F104:F111)</f>
        <v>0</v>
      </c>
      <c r="G112" s="976">
        <f>SUM(G104:G111)</f>
        <v>0</v>
      </c>
      <c r="H112" s="976">
        <f>SUM(H104:H111)</f>
        <v>0</v>
      </c>
      <c r="I112" s="976">
        <f t="shared" ref="I112:AG112" si="54">SUM(I104:I111)</f>
        <v>0</v>
      </c>
      <c r="J112" s="976">
        <f t="shared" si="54"/>
        <v>2135439.3562626322</v>
      </c>
      <c r="K112" s="976">
        <f t="shared" si="54"/>
        <v>0</v>
      </c>
      <c r="L112" s="976">
        <f t="shared" si="54"/>
        <v>0</v>
      </c>
      <c r="M112" s="976">
        <f t="shared" si="54"/>
        <v>-5496774.3843893036</v>
      </c>
      <c r="N112" s="976">
        <f t="shared" si="54"/>
        <v>-922200.31482886185</v>
      </c>
      <c r="O112" s="976">
        <f t="shared" si="54"/>
        <v>-1513942.3202900554</v>
      </c>
      <c r="P112" s="976">
        <f t="shared" si="54"/>
        <v>3345555.8014783254</v>
      </c>
      <c r="Q112" s="976">
        <f t="shared" si="54"/>
        <v>8261078.3253311645</v>
      </c>
      <c r="R112" s="976">
        <f t="shared" si="54"/>
        <v>12946341.065848339</v>
      </c>
      <c r="S112" s="976">
        <f t="shared" si="54"/>
        <v>14377312.739668677</v>
      </c>
      <c r="T112" s="976">
        <f t="shared" si="54"/>
        <v>20079047.544546362</v>
      </c>
      <c r="U112" s="976">
        <f t="shared" si="54"/>
        <v>15215272.556823175</v>
      </c>
      <c r="V112" s="976">
        <f t="shared" si="54"/>
        <v>14730212.474165294</v>
      </c>
      <c r="W112" s="976">
        <f t="shared" si="54"/>
        <v>14442402.435285112</v>
      </c>
      <c r="X112" s="976">
        <f t="shared" si="54"/>
        <v>14676842.503369085</v>
      </c>
      <c r="Y112" s="976">
        <f t="shared" si="54"/>
        <v>14858852.661099382</v>
      </c>
      <c r="Z112" s="976">
        <f t="shared" si="54"/>
        <v>15185540.327262893</v>
      </c>
      <c r="AA112" s="976">
        <f t="shared" si="54"/>
        <v>15466924.640186373</v>
      </c>
      <c r="AB112" s="976">
        <f t="shared" si="54"/>
        <v>15764388.635474699</v>
      </c>
      <c r="AC112" s="976">
        <f t="shared" si="54"/>
        <v>16092169.882918555</v>
      </c>
      <c r="AD112" s="976">
        <f t="shared" si="54"/>
        <v>16234891.442414148</v>
      </c>
      <c r="AE112" s="976">
        <f t="shared" si="54"/>
        <v>15874867.198044673</v>
      </c>
      <c r="AF112" s="976">
        <f t="shared" si="54"/>
        <v>17262335.539108068</v>
      </c>
      <c r="AG112" s="976">
        <f t="shared" si="54"/>
        <v>24022545.68325318</v>
      </c>
    </row>
    <row r="113" spans="2:33" ht="21.9" customHeight="1" x14ac:dyDescent="0.25">
      <c r="C113" s="994" t="s">
        <v>53</v>
      </c>
      <c r="D113" s="995"/>
      <c r="E113" s="1229">
        <f t="shared" si="53"/>
        <v>43606243.777645051</v>
      </c>
      <c r="F113" s="995" cm="1">
        <f t="array" ref="F113:AG113">F84:AG84 * discountAnnual</f>
        <v>0</v>
      </c>
      <c r="G113" s="995">
        <v>935484.23278378847</v>
      </c>
      <c r="H113" s="995">
        <v>2115566.2838574685</v>
      </c>
      <c r="I113" s="995">
        <v>1392772.169301922</v>
      </c>
      <c r="J113" s="995">
        <v>14776676.532966124</v>
      </c>
      <c r="K113" s="995">
        <v>14332372.97086918</v>
      </c>
      <c r="L113" s="995">
        <v>6985854.4538144451</v>
      </c>
      <c r="M113" s="995">
        <v>3067517.1340521304</v>
      </c>
      <c r="N113" s="995">
        <v>0</v>
      </c>
      <c r="O113" s="995">
        <v>0</v>
      </c>
      <c r="P113" s="995">
        <v>0</v>
      </c>
      <c r="Q113" s="995">
        <v>0</v>
      </c>
      <c r="R113" s="995">
        <v>0</v>
      </c>
      <c r="S113" s="995">
        <v>0</v>
      </c>
      <c r="T113" s="995">
        <v>0</v>
      </c>
      <c r="U113" s="995">
        <v>0</v>
      </c>
      <c r="V113" s="995">
        <v>0</v>
      </c>
      <c r="W113" s="995">
        <v>0</v>
      </c>
      <c r="X113" s="995">
        <v>0</v>
      </c>
      <c r="Y113" s="995">
        <v>0</v>
      </c>
      <c r="Z113" s="995">
        <v>0</v>
      </c>
      <c r="AA113" s="995">
        <v>0</v>
      </c>
      <c r="AB113" s="995">
        <v>0</v>
      </c>
      <c r="AC113" s="995">
        <v>0</v>
      </c>
      <c r="AD113" s="995">
        <v>0</v>
      </c>
      <c r="AE113" s="995">
        <v>0</v>
      </c>
      <c r="AF113" s="995">
        <v>0</v>
      </c>
      <c r="AG113" s="995">
        <v>0</v>
      </c>
    </row>
    <row r="114" spans="2:33" ht="21.9" customHeight="1" x14ac:dyDescent="0.25">
      <c r="C114" s="1" t="s">
        <v>54</v>
      </c>
      <c r="D114" s="25"/>
      <c r="E114" s="977">
        <f t="shared" si="53"/>
        <v>195410314.33213368</v>
      </c>
      <c r="F114" s="25">
        <f t="shared" ref="F114:AF114" si="55">F112-F113</f>
        <v>0</v>
      </c>
      <c r="G114" s="25">
        <f t="shared" si="55"/>
        <v>-935484.23278378847</v>
      </c>
      <c r="H114" s="25">
        <f t="shared" si="55"/>
        <v>-2115566.2838574685</v>
      </c>
      <c r="I114" s="25">
        <f t="shared" si="55"/>
        <v>-1392772.169301922</v>
      </c>
      <c r="J114" s="25">
        <f t="shared" si="55"/>
        <v>-12641237.176703492</v>
      </c>
      <c r="K114" s="25">
        <f t="shared" si="55"/>
        <v>-14332372.97086918</v>
      </c>
      <c r="L114" s="25">
        <f t="shared" si="55"/>
        <v>-6985854.4538144451</v>
      </c>
      <c r="M114" s="25">
        <f t="shared" si="55"/>
        <v>-8564291.5184414349</v>
      </c>
      <c r="N114" s="25">
        <f t="shared" si="55"/>
        <v>-922200.31482886185</v>
      </c>
      <c r="O114" s="25">
        <f t="shared" si="55"/>
        <v>-1513942.3202900554</v>
      </c>
      <c r="P114" s="25">
        <f t="shared" si="55"/>
        <v>3345555.8014783254</v>
      </c>
      <c r="Q114" s="25">
        <f t="shared" si="55"/>
        <v>8261078.3253311645</v>
      </c>
      <c r="R114" s="25">
        <f t="shared" si="55"/>
        <v>12946341.065848339</v>
      </c>
      <c r="S114" s="25">
        <f t="shared" si="55"/>
        <v>14377312.739668677</v>
      </c>
      <c r="T114" s="25">
        <f t="shared" si="55"/>
        <v>20079047.544546362</v>
      </c>
      <c r="U114" s="25">
        <f t="shared" si="55"/>
        <v>15215272.556823175</v>
      </c>
      <c r="V114" s="25">
        <f t="shared" si="55"/>
        <v>14730212.474165294</v>
      </c>
      <c r="W114" s="25">
        <f t="shared" si="55"/>
        <v>14442402.435285112</v>
      </c>
      <c r="X114" s="25">
        <f t="shared" si="55"/>
        <v>14676842.503369085</v>
      </c>
      <c r="Y114" s="25">
        <f t="shared" si="55"/>
        <v>14858852.661099382</v>
      </c>
      <c r="Z114" s="25">
        <f t="shared" si="55"/>
        <v>15185540.327262893</v>
      </c>
      <c r="AA114" s="25">
        <f t="shared" si="55"/>
        <v>15466924.640186373</v>
      </c>
      <c r="AB114" s="25">
        <f t="shared" si="55"/>
        <v>15764388.635474699</v>
      </c>
      <c r="AC114" s="25">
        <f t="shared" si="55"/>
        <v>16092169.882918555</v>
      </c>
      <c r="AD114" s="25">
        <f t="shared" si="55"/>
        <v>16234891.442414148</v>
      </c>
      <c r="AE114" s="25">
        <f t="shared" si="55"/>
        <v>15874867.198044673</v>
      </c>
      <c r="AF114" s="25">
        <f t="shared" si="55"/>
        <v>17262335.539108068</v>
      </c>
      <c r="AG114" s="25">
        <f t="shared" ref="AG114" si="56">AG112-AG113</f>
        <v>24022545.68325318</v>
      </c>
    </row>
    <row r="115" spans="2:33" ht="21.9" customHeight="1" x14ac:dyDescent="0.25">
      <c r="B115" s="45"/>
      <c r="C115" s="994" t="s">
        <v>55</v>
      </c>
      <c r="D115" s="995"/>
      <c r="E115" s="996"/>
      <c r="F115" s="995">
        <f>F114</f>
        <v>0</v>
      </c>
      <c r="G115" s="995">
        <f>F115+G114</f>
        <v>-935484.23278378847</v>
      </c>
      <c r="H115" s="995">
        <f t="shared" ref="H115" si="57">G115+H114</f>
        <v>-3051050.5166412569</v>
      </c>
      <c r="I115" s="995">
        <f t="shared" ref="I115" si="58">H115+I114</f>
        <v>-4443822.6859431788</v>
      </c>
      <c r="J115" s="995">
        <f t="shared" ref="J115" si="59">I115+J114</f>
        <v>-17085059.862646669</v>
      </c>
      <c r="K115" s="995">
        <f t="shared" ref="K115" si="60">J115+K114</f>
        <v>-31417432.833515849</v>
      </c>
      <c r="L115" s="995">
        <f t="shared" ref="L115" si="61">K115+L114</f>
        <v>-38403287.287330292</v>
      </c>
      <c r="M115" s="995">
        <f t="shared" ref="M115" si="62">L115+M114</f>
        <v>-46967578.805771723</v>
      </c>
      <c r="N115" s="995">
        <f t="shared" ref="N115" si="63">M115+N114</f>
        <v>-47889779.120600589</v>
      </c>
      <c r="O115" s="995">
        <f t="shared" ref="O115" si="64">N115+O114</f>
        <v>-49403721.440890647</v>
      </c>
      <c r="P115" s="995">
        <f t="shared" ref="P115" si="65">O115+P114</f>
        <v>-46058165.639412321</v>
      </c>
      <c r="Q115" s="995">
        <f t="shared" ref="Q115" si="66">P115+Q114</f>
        <v>-37797087.314081155</v>
      </c>
      <c r="R115" s="995">
        <f t="shared" ref="R115" si="67">Q115+R114</f>
        <v>-24850746.248232815</v>
      </c>
      <c r="S115" s="995">
        <f t="shared" ref="S115" si="68">R115+S114</f>
        <v>-10473433.508564139</v>
      </c>
      <c r="T115" s="995">
        <f t="shared" ref="T115" si="69">S115+T114</f>
        <v>9605614.0359822232</v>
      </c>
      <c r="U115" s="995">
        <f t="shared" ref="U115" si="70">T115+U114</f>
        <v>24820886.5928054</v>
      </c>
      <c r="V115" s="995">
        <f t="shared" ref="V115" si="71">U115+V114</f>
        <v>39551099.066970691</v>
      </c>
      <c r="W115" s="995">
        <f t="shared" ref="W115" si="72">V115+W114</f>
        <v>53993501.502255805</v>
      </c>
      <c r="X115" s="995">
        <f t="shared" ref="X115" si="73">W115+X114</f>
        <v>68670344.00562489</v>
      </c>
      <c r="Y115" s="995">
        <f t="shared" ref="Y115" si="74">X115+Y114</f>
        <v>83529196.666724265</v>
      </c>
      <c r="Z115" s="995">
        <f t="shared" ref="Z115" si="75">Y115+Z114</f>
        <v>98714736.993987158</v>
      </c>
      <c r="AA115" s="995">
        <f t="shared" ref="AA115" si="76">Z115+AA114</f>
        <v>114181661.63417353</v>
      </c>
      <c r="AB115" s="995">
        <f t="shared" ref="AB115" si="77">AA115+AB114</f>
        <v>129946050.26964822</v>
      </c>
      <c r="AC115" s="995">
        <f t="shared" ref="AC115" si="78">AB115+AC114</f>
        <v>146038220.15256679</v>
      </c>
      <c r="AD115" s="995">
        <f t="shared" ref="AD115" si="79">AC115+AD114</f>
        <v>162273111.59498093</v>
      </c>
      <c r="AE115" s="995">
        <f t="shared" ref="AE115" si="80">AD115+AE114</f>
        <v>178147978.79302561</v>
      </c>
      <c r="AF115" s="995">
        <f t="shared" ref="AF115:AG115" si="81">AE115+AF114</f>
        <v>195410314.33213368</v>
      </c>
      <c r="AG115" s="995">
        <f t="shared" si="81"/>
        <v>219432860.01538685</v>
      </c>
    </row>
    <row r="116" spans="2:33" ht="21.9" customHeight="1" x14ac:dyDescent="0.25">
      <c r="B116" s="1" t="s">
        <v>453</v>
      </c>
      <c r="C116" s="1" t="str">
        <f t="shared" ref="C116:C122" si="82">C103</f>
        <v>Benefits</v>
      </c>
      <c r="D116" s="25"/>
      <c r="E116" s="113"/>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row>
    <row r="117" spans="2:33" ht="21.9" customHeight="1" x14ac:dyDescent="0.25">
      <c r="C117" t="str">
        <f t="shared" si="82"/>
        <v>Improved Safety</v>
      </c>
      <c r="D117" s="949"/>
      <c r="E117" s="943">
        <f>SUM(_xlfn.ANCHORARRAY(F117))</f>
        <v>94654122.303212166</v>
      </c>
      <c r="F117" s="949" cm="1">
        <f t="array" ref="F117:AG117">_xlfn.ANCHORARRAY(F88) * discountAnnual</f>
        <v>0</v>
      </c>
      <c r="G117" s="949">
        <v>0</v>
      </c>
      <c r="H117" s="949">
        <v>0</v>
      </c>
      <c r="I117" s="949">
        <v>0</v>
      </c>
      <c r="J117" s="949">
        <v>0</v>
      </c>
      <c r="K117" s="949">
        <v>0</v>
      </c>
      <c r="L117" s="949">
        <v>0</v>
      </c>
      <c r="M117" s="949">
        <v>0</v>
      </c>
      <c r="N117" s="949">
        <v>1663152.4757608902</v>
      </c>
      <c r="O117" s="949">
        <v>1778355.7886533891</v>
      </c>
      <c r="P117" s="949">
        <v>1906927.4205493936</v>
      </c>
      <c r="Q117" s="949">
        <v>2051167.7125606854</v>
      </c>
      <c r="R117" s="949">
        <v>2213836.445715114</v>
      </c>
      <c r="S117" s="949">
        <v>2398248.4318238692</v>
      </c>
      <c r="T117" s="949">
        <v>2608389.219615479</v>
      </c>
      <c r="U117" s="949">
        <v>2849055.1662044418</v>
      </c>
      <c r="V117" s="949">
        <v>3126023.0238184673</v>
      </c>
      <c r="W117" s="949">
        <v>3446255.2823532531</v>
      </c>
      <c r="X117" s="949">
        <v>3818148.830250253</v>
      </c>
      <c r="Y117" s="949">
        <v>4251836.0984950867</v>
      </c>
      <c r="Z117" s="949">
        <v>4759549.7947340105</v>
      </c>
      <c r="AA117" s="949">
        <v>5356064.6887721103</v>
      </c>
      <c r="AB117" s="949">
        <v>6059232.7645506784</v>
      </c>
      <c r="AC117" s="949">
        <v>6890631.5131976334</v>
      </c>
      <c r="AD117" s="949">
        <v>7876349.3355451394</v>
      </c>
      <c r="AE117" s="949">
        <v>9047937.1065926664</v>
      </c>
      <c r="AF117" s="949">
        <v>10443561.117896577</v>
      </c>
      <c r="AG117" s="949">
        <v>12109400.086123034</v>
      </c>
    </row>
    <row r="118" spans="2:33" ht="21.9" customHeight="1" x14ac:dyDescent="0.25">
      <c r="C118" t="str">
        <f t="shared" si="82"/>
        <v>Travel Time Savings</v>
      </c>
      <c r="D118" s="949"/>
      <c r="E118" s="944">
        <f>SUM(F118:AF118)</f>
        <v>317300987.9807409</v>
      </c>
      <c r="F118" s="969" cm="1">
        <f t="array" ref="F118:AG118">F89:AG89 * discountAnnual</f>
        <v>0</v>
      </c>
      <c r="G118" s="949">
        <v>0</v>
      </c>
      <c r="H118" s="949">
        <v>0</v>
      </c>
      <c r="I118" s="949">
        <v>0</v>
      </c>
      <c r="J118" s="949">
        <v>0</v>
      </c>
      <c r="K118" s="949">
        <v>0</v>
      </c>
      <c r="L118" s="949">
        <v>0</v>
      </c>
      <c r="M118" s="949">
        <v>874596.40517144266</v>
      </c>
      <c r="N118" s="949">
        <v>6891545.7756400332</v>
      </c>
      <c r="O118" s="949">
        <v>8047560.6570128165</v>
      </c>
      <c r="P118" s="949">
        <v>11223368.772171443</v>
      </c>
      <c r="Q118" s="949">
        <v>14646432.366982719</v>
      </c>
      <c r="R118" s="949">
        <v>18246794.495025124</v>
      </c>
      <c r="S118" s="949">
        <v>19330101.779617082</v>
      </c>
      <c r="T118" s="949">
        <v>20642497.110092063</v>
      </c>
      <c r="U118" s="949">
        <v>20443446.201007579</v>
      </c>
      <c r="V118" s="949">
        <v>19491256.164496284</v>
      </c>
      <c r="W118" s="949">
        <v>18723984.93927253</v>
      </c>
      <c r="X118" s="949">
        <v>18458799.900143046</v>
      </c>
      <c r="Y118" s="949">
        <v>18181730.891609281</v>
      </c>
      <c r="Z118" s="949">
        <v>17891558.47123291</v>
      </c>
      <c r="AA118" s="949">
        <v>17585521.910032567</v>
      </c>
      <c r="AB118" s="949">
        <v>17459634.211683728</v>
      </c>
      <c r="AC118" s="949">
        <v>17367648.182712525</v>
      </c>
      <c r="AD118" s="949">
        <v>17298088.903110594</v>
      </c>
      <c r="AE118" s="949">
        <v>17255144.563111283</v>
      </c>
      <c r="AF118" s="949">
        <v>17241276.280615799</v>
      </c>
      <c r="AG118" s="949">
        <v>17260752.83895459</v>
      </c>
    </row>
    <row r="119" spans="2:33" ht="21.9" customHeight="1" x14ac:dyDescent="0.25">
      <c r="C119" t="str">
        <f t="shared" si="82"/>
        <v>NOx Emissions Savings</v>
      </c>
      <c r="D119" s="949"/>
      <c r="E119" s="944">
        <f t="shared" ref="E119:E127" si="83">SUM(F119:AF119)</f>
        <v>-188394.32122283263</v>
      </c>
      <c r="F119" s="949" cm="1">
        <f t="array" ref="F119:AG119">F90:AG90 * discountAnnual</f>
        <v>0</v>
      </c>
      <c r="G119" s="949">
        <v>0</v>
      </c>
      <c r="H119" s="949">
        <v>0</v>
      </c>
      <c r="I119" s="949">
        <v>0</v>
      </c>
      <c r="J119" s="949">
        <v>0</v>
      </c>
      <c r="K119" s="949">
        <v>0</v>
      </c>
      <c r="L119" s="949">
        <v>0</v>
      </c>
      <c r="M119" s="949">
        <v>-75843.248767581696</v>
      </c>
      <c r="N119" s="949">
        <v>-87950.054168368544</v>
      </c>
      <c r="O119" s="949">
        <v>-99289.357422985879</v>
      </c>
      <c r="P119" s="949">
        <v>-76052.728257711904</v>
      </c>
      <c r="Q119" s="949">
        <v>-54128.987677273566</v>
      </c>
      <c r="R119" s="949">
        <v>-33455.093073463766</v>
      </c>
      <c r="S119" s="949">
        <v>-13970.319670588889</v>
      </c>
      <c r="T119" s="949">
        <v>4380.1652887873197</v>
      </c>
      <c r="U119" s="949">
        <v>14793.049099875503</v>
      </c>
      <c r="V119" s="949">
        <v>16143.023933781476</v>
      </c>
      <c r="W119" s="949">
        <v>17399.805048643429</v>
      </c>
      <c r="X119" s="949">
        <v>18566.414079651735</v>
      </c>
      <c r="Y119" s="949">
        <v>19644.687232857115</v>
      </c>
      <c r="Z119" s="949">
        <v>20643.70854961863</v>
      </c>
      <c r="AA119" s="949">
        <v>21564.049732892334</v>
      </c>
      <c r="AB119" s="949">
        <v>22411.199460053995</v>
      </c>
      <c r="AC119" s="949">
        <v>23187.909578749819</v>
      </c>
      <c r="AD119" s="949">
        <v>23894.446800236201</v>
      </c>
      <c r="AE119" s="949">
        <v>24540.639183820254</v>
      </c>
      <c r="AF119" s="949">
        <v>25126.369826173814</v>
      </c>
      <c r="AG119" s="949">
        <v>25653.988648591978</v>
      </c>
    </row>
    <row r="120" spans="2:33" ht="21.9" customHeight="1" x14ac:dyDescent="0.25">
      <c r="C120" t="str">
        <f t="shared" si="82"/>
        <v>SOx Emissions Savings</v>
      </c>
      <c r="D120" s="949"/>
      <c r="E120" s="944">
        <f t="shared" si="83"/>
        <v>-977.60047918116129</v>
      </c>
      <c r="F120" s="949" cm="1">
        <f t="array" ref="F120:AG120">F91:AG91 * discountAnnual</f>
        <v>0</v>
      </c>
      <c r="G120" s="949">
        <v>0</v>
      </c>
      <c r="H120" s="949">
        <v>0</v>
      </c>
      <c r="I120" s="949">
        <v>0</v>
      </c>
      <c r="J120" s="949">
        <v>0</v>
      </c>
      <c r="K120" s="949">
        <v>0</v>
      </c>
      <c r="L120" s="949">
        <v>0</v>
      </c>
      <c r="M120" s="949">
        <v>-405.0638253078489</v>
      </c>
      <c r="N120" s="949">
        <v>-471.56329400276474</v>
      </c>
      <c r="O120" s="949">
        <v>-536.91331481580494</v>
      </c>
      <c r="P120" s="949">
        <v>-410.62797818955744</v>
      </c>
      <c r="Q120" s="949">
        <v>-291.48018184220973</v>
      </c>
      <c r="R120" s="949">
        <v>-179.12783957162191</v>
      </c>
      <c r="S120" s="949">
        <v>-73.239791358012781</v>
      </c>
      <c r="T120" s="949">
        <v>26.479202761907352</v>
      </c>
      <c r="U120" s="949">
        <v>83.033976658822525</v>
      </c>
      <c r="V120" s="949">
        <v>90.100504760338922</v>
      </c>
      <c r="W120" s="949">
        <v>96.674524170300643</v>
      </c>
      <c r="X120" s="949">
        <v>102.77175181293271</v>
      </c>
      <c r="Y120" s="949">
        <v>108.40053385533187</v>
      </c>
      <c r="Z120" s="949">
        <v>113.61186112502386</v>
      </c>
      <c r="AA120" s="949">
        <v>118.40633096974017</v>
      </c>
      <c r="AB120" s="949">
        <v>122.81507072809737</v>
      </c>
      <c r="AC120" s="949">
        <v>126.85163883867763</v>
      </c>
      <c r="AD120" s="949">
        <v>130.51601732243125</v>
      </c>
      <c r="AE120" s="949">
        <v>133.86321102228109</v>
      </c>
      <c r="AF120" s="949">
        <v>136.89112188077337</v>
      </c>
      <c r="AG120" s="949">
        <v>139.61137168075376</v>
      </c>
    </row>
    <row r="121" spans="2:33" ht="21.9" customHeight="1" x14ac:dyDescent="0.25">
      <c r="C121" t="str">
        <f t="shared" si="82"/>
        <v>PM2.5 Emissions Savings</v>
      </c>
      <c r="D121" s="949"/>
      <c r="E121" s="944">
        <f t="shared" si="83"/>
        <v>-135200.82550569827</v>
      </c>
      <c r="F121" s="949" cm="1">
        <f t="array" ref="F121:AG121">F92:AG92 * discountAnnual</f>
        <v>0</v>
      </c>
      <c r="G121" s="949">
        <v>0</v>
      </c>
      <c r="H121" s="949">
        <v>0</v>
      </c>
      <c r="I121" s="949">
        <v>0</v>
      </c>
      <c r="J121" s="949">
        <v>0</v>
      </c>
      <c r="K121" s="949">
        <v>0</v>
      </c>
      <c r="L121" s="949">
        <v>0</v>
      </c>
      <c r="M121" s="949">
        <v>-111300.33467379559</v>
      </c>
      <c r="N121" s="949">
        <v>-129658.37076098222</v>
      </c>
      <c r="O121" s="949">
        <v>-147582.72208336581</v>
      </c>
      <c r="P121" s="949">
        <v>-111088.14541424692</v>
      </c>
      <c r="Q121" s="949">
        <v>-76663.39318329352</v>
      </c>
      <c r="R121" s="949">
        <v>-44208.346864441985</v>
      </c>
      <c r="S121" s="949">
        <v>-13627.611496848034</v>
      </c>
      <c r="T121" s="949">
        <v>15166.57147542135</v>
      </c>
      <c r="U121" s="949">
        <v>31446.319115224433</v>
      </c>
      <c r="V121" s="949">
        <v>33515.897793318865</v>
      </c>
      <c r="W121" s="949">
        <v>35434.722441896069</v>
      </c>
      <c r="X121" s="949">
        <v>37207.856056686949</v>
      </c>
      <c r="Y121" s="949">
        <v>38838.675564357938</v>
      </c>
      <c r="Z121" s="949">
        <v>40341.325452338271</v>
      </c>
      <c r="AA121" s="949">
        <v>41717.608103775223</v>
      </c>
      <c r="AB121" s="949">
        <v>42975.519394774034</v>
      </c>
      <c r="AC121" s="949">
        <v>44120.069210674548</v>
      </c>
      <c r="AD121" s="949">
        <v>45152.082988480681</v>
      </c>
      <c r="AE121" s="949">
        <v>46086.856236857566</v>
      </c>
      <c r="AF121" s="949">
        <v>46924.595137469834</v>
      </c>
      <c r="AG121" s="949">
        <v>47669.547958735282</v>
      </c>
    </row>
    <row r="122" spans="2:33" ht="21.9" customHeight="1" x14ac:dyDescent="0.25">
      <c r="C122" t="str">
        <f t="shared" si="82"/>
        <v>CO2 Emissions Savings</v>
      </c>
      <c r="D122" s="949"/>
      <c r="E122" s="944">
        <f t="shared" si="83"/>
        <v>-11355311.292502033</v>
      </c>
      <c r="F122" s="949" cm="1">
        <f t="array" ref="F122:AG122">F93:AG93 * discountAnnualCO2</f>
        <v>0</v>
      </c>
      <c r="G122" s="949">
        <v>0</v>
      </c>
      <c r="H122" s="949">
        <v>0</v>
      </c>
      <c r="I122" s="949">
        <v>0</v>
      </c>
      <c r="J122" s="949">
        <v>0</v>
      </c>
      <c r="K122" s="949">
        <v>0</v>
      </c>
      <c r="L122" s="949">
        <v>0</v>
      </c>
      <c r="M122" s="949">
        <v>-8665328.8646265157</v>
      </c>
      <c r="N122" s="949">
        <v>-10080574.172318803</v>
      </c>
      <c r="O122" s="949">
        <v>-11518078.106066696</v>
      </c>
      <c r="P122" s="949">
        <v>-9079651.6023336668</v>
      </c>
      <c r="Q122" s="949">
        <v>-6592306.5079575591</v>
      </c>
      <c r="R122" s="949">
        <v>-4176462.4402716183</v>
      </c>
      <c r="S122" s="949">
        <v>-1758267.677446937</v>
      </c>
      <c r="T122" s="949">
        <v>636221.13974487258</v>
      </c>
      <c r="U122" s="949">
        <v>2070991.9358603426</v>
      </c>
      <c r="V122" s="949">
        <v>2313998.7433856968</v>
      </c>
      <c r="W122" s="949">
        <v>2537834.6692384258</v>
      </c>
      <c r="X122" s="949">
        <v>2766392.1616873136</v>
      </c>
      <c r="Y122" s="949">
        <v>3001164.8044142025</v>
      </c>
      <c r="Z122" s="949">
        <v>3223385.7789981905</v>
      </c>
      <c r="AA122" s="949">
        <v>3453051.4158418849</v>
      </c>
      <c r="AB122" s="949">
        <v>3668530.1336521874</v>
      </c>
      <c r="AC122" s="949">
        <v>3892523.951995194</v>
      </c>
      <c r="AD122" s="949">
        <v>4100343.9799388978</v>
      </c>
      <c r="AE122" s="949">
        <v>4318098.5931310095</v>
      </c>
      <c r="AF122" s="949">
        <v>4532820.7706315499</v>
      </c>
      <c r="AG122" s="949">
        <v>4744256.5044781156</v>
      </c>
    </row>
    <row r="123" spans="2:33" ht="21.9" customHeight="1" x14ac:dyDescent="0.25">
      <c r="C123" t="s">
        <v>212</v>
      </c>
      <c r="D123" s="942"/>
      <c r="E123" s="944">
        <f t="shared" si="83"/>
        <v>5115735.1334823649</v>
      </c>
      <c r="F123" s="942" cm="1">
        <f t="array" ref="F123:AG123">F94:AG94 * discountAnnual</f>
        <v>0</v>
      </c>
      <c r="G123" s="949">
        <v>0</v>
      </c>
      <c r="H123" s="949">
        <v>0</v>
      </c>
      <c r="I123" s="949">
        <v>0</v>
      </c>
      <c r="J123" s="949">
        <v>2135439.3562626322</v>
      </c>
      <c r="K123" s="949">
        <v>0</v>
      </c>
      <c r="L123" s="949">
        <v>0</v>
      </c>
      <c r="M123" s="949">
        <v>-7717.0242366091325</v>
      </c>
      <c r="N123" s="949">
        <v>-7484.9895602416427</v>
      </c>
      <c r="O123" s="949">
        <v>-134308.73604701302</v>
      </c>
      <c r="P123" s="949">
        <v>-7041.6408130135005</v>
      </c>
      <c r="Q123" s="949">
        <v>-6829.9134946784679</v>
      </c>
      <c r="R123" s="949">
        <v>-6624.5523711721326</v>
      </c>
      <c r="S123" s="949">
        <v>-6425.3660244152597</v>
      </c>
      <c r="T123" s="949">
        <v>5041824.5526207043</v>
      </c>
      <c r="U123" s="949">
        <v>-6044.7805934698081</v>
      </c>
      <c r="V123" s="949">
        <v>-5863.0267637922489</v>
      </c>
      <c r="W123" s="949">
        <v>-5686.737889226235</v>
      </c>
      <c r="X123" s="949">
        <v>-5515.7496500739426</v>
      </c>
      <c r="Y123" s="949">
        <v>-98973.1993466227</v>
      </c>
      <c r="Z123" s="949">
        <v>-5189.0423543986508</v>
      </c>
      <c r="AA123" s="949">
        <v>-5033.0187724526195</v>
      </c>
      <c r="AB123" s="949">
        <v>-4881.6864912246556</v>
      </c>
      <c r="AC123" s="949">
        <v>-4734.9044531761938</v>
      </c>
      <c r="AD123" s="949">
        <v>-498290.13886480819</v>
      </c>
      <c r="AE123" s="949">
        <v>-1240563.7555936396</v>
      </c>
      <c r="AF123" s="949">
        <v>-4320.5120809436694</v>
      </c>
      <c r="AG123" s="949">
        <v>-4190.6033762790203</v>
      </c>
    </row>
    <row r="124" spans="2:33" ht="21.9" customHeight="1" x14ac:dyDescent="0.25">
      <c r="C124" s="45" t="str">
        <f>C111</f>
        <v>Residual Value of Assets</v>
      </c>
      <c r="D124" s="975"/>
      <c r="E124" s="1228">
        <f>SUM(_xlfn.ANCHORARRAY(F124))</f>
        <v>10454158.556024067</v>
      </c>
      <c r="F124" s="975" cm="1">
        <f t="array" ref="F124:AG124">_xlfn.ANCHORARRAY(F95) * discountAnnual</f>
        <v>0</v>
      </c>
      <c r="G124" s="975">
        <v>0</v>
      </c>
      <c r="H124" s="975">
        <v>0</v>
      </c>
      <c r="I124" s="975">
        <v>0</v>
      </c>
      <c r="J124" s="975">
        <v>0</v>
      </c>
      <c r="K124" s="975">
        <v>0</v>
      </c>
      <c r="L124" s="975">
        <v>0</v>
      </c>
      <c r="M124" s="975">
        <v>0</v>
      </c>
      <c r="N124" s="975">
        <v>0</v>
      </c>
      <c r="O124" s="975">
        <v>0</v>
      </c>
      <c r="P124" s="975">
        <v>0</v>
      </c>
      <c r="Q124" s="975">
        <v>0</v>
      </c>
      <c r="R124" s="975">
        <v>0</v>
      </c>
      <c r="S124" s="975">
        <v>0</v>
      </c>
      <c r="T124" s="975">
        <v>0</v>
      </c>
      <c r="U124" s="975">
        <v>0</v>
      </c>
      <c r="V124" s="975">
        <v>0</v>
      </c>
      <c r="W124" s="975">
        <v>0</v>
      </c>
      <c r="X124" s="975">
        <v>0</v>
      </c>
      <c r="Y124" s="975">
        <v>0</v>
      </c>
      <c r="Z124" s="975">
        <v>0</v>
      </c>
      <c r="AA124" s="975">
        <v>0</v>
      </c>
      <c r="AB124" s="975">
        <v>0</v>
      </c>
      <c r="AC124" s="975">
        <v>0</v>
      </c>
      <c r="AD124" s="975">
        <v>0</v>
      </c>
      <c r="AE124" s="975">
        <v>0</v>
      </c>
      <c r="AF124" s="975">
        <v>0</v>
      </c>
      <c r="AG124" s="975">
        <v>10454158.556024067</v>
      </c>
    </row>
    <row r="125" spans="2:33" ht="21.9" customHeight="1" x14ac:dyDescent="0.25">
      <c r="C125" s="1" t="s">
        <v>52</v>
      </c>
      <c r="D125" s="25"/>
      <c r="E125" s="977">
        <f t="shared" si="83"/>
        <v>393281561.29160261</v>
      </c>
      <c r="F125" s="976">
        <f t="shared" ref="F125:AG125" si="84">SUM(F117:F124)</f>
        <v>0</v>
      </c>
      <c r="G125" s="976">
        <f t="shared" si="84"/>
        <v>0</v>
      </c>
      <c r="H125" s="976">
        <f t="shared" si="84"/>
        <v>0</v>
      </c>
      <c r="I125" s="976">
        <f t="shared" si="84"/>
        <v>0</v>
      </c>
      <c r="J125" s="976">
        <f t="shared" si="84"/>
        <v>2135439.3562626322</v>
      </c>
      <c r="K125" s="976">
        <f t="shared" si="84"/>
        <v>0</v>
      </c>
      <c r="L125" s="976">
        <f t="shared" si="84"/>
        <v>0</v>
      </c>
      <c r="M125" s="976">
        <f t="shared" si="84"/>
        <v>-7985998.1309583671</v>
      </c>
      <c r="N125" s="976">
        <f t="shared" si="84"/>
        <v>-1751440.8987014738</v>
      </c>
      <c r="O125" s="976">
        <f t="shared" si="84"/>
        <v>-2073879.3892686705</v>
      </c>
      <c r="P125" s="976">
        <f t="shared" si="84"/>
        <v>3856051.4479240105</v>
      </c>
      <c r="Q125" s="976">
        <f t="shared" si="84"/>
        <v>9967379.7970487569</v>
      </c>
      <c r="R125" s="976">
        <f t="shared" si="84"/>
        <v>16199701.380319968</v>
      </c>
      <c r="S125" s="976">
        <f t="shared" si="84"/>
        <v>19935985.997010805</v>
      </c>
      <c r="T125" s="976">
        <f t="shared" si="84"/>
        <v>28948505.23804009</v>
      </c>
      <c r="U125" s="976">
        <f t="shared" si="84"/>
        <v>25403770.924670652</v>
      </c>
      <c r="V125" s="976">
        <f t="shared" si="84"/>
        <v>24975163.927168515</v>
      </c>
      <c r="W125" s="976">
        <f t="shared" si="84"/>
        <v>24755319.354989693</v>
      </c>
      <c r="X125" s="976">
        <f t="shared" si="84"/>
        <v>25093702.184318691</v>
      </c>
      <c r="Y125" s="976">
        <f t="shared" si="84"/>
        <v>25394350.358503014</v>
      </c>
      <c r="Z125" s="976">
        <f t="shared" si="84"/>
        <v>25930403.648473799</v>
      </c>
      <c r="AA125" s="976">
        <f t="shared" si="84"/>
        <v>26453005.060041744</v>
      </c>
      <c r="AB125" s="976">
        <f t="shared" si="84"/>
        <v>27248024.957320929</v>
      </c>
      <c r="AC125" s="976">
        <f t="shared" si="84"/>
        <v>28213503.573880438</v>
      </c>
      <c r="AD125" s="976">
        <f t="shared" si="84"/>
        <v>28845669.125535861</v>
      </c>
      <c r="AE125" s="976">
        <f t="shared" si="84"/>
        <v>29451377.865873016</v>
      </c>
      <c r="AF125" s="976">
        <f t="shared" si="84"/>
        <v>32285525.513148509</v>
      </c>
      <c r="AG125" s="976">
        <f t="shared" si="84"/>
        <v>44637840.53018254</v>
      </c>
    </row>
    <row r="126" spans="2:33" ht="21.9" customHeight="1" x14ac:dyDescent="0.25">
      <c r="C126" s="994" t="str">
        <f>C113</f>
        <v>Capital Costs</v>
      </c>
      <c r="D126" s="995"/>
      <c r="E126" s="1229">
        <f t="shared" si="83"/>
        <v>74234332.913179621</v>
      </c>
      <c r="F126" s="995" cm="1">
        <f t="array" ref="F126:AG126">F97:AG97 *discountAnnual</f>
        <v>0</v>
      </c>
      <c r="G126" s="995">
        <v>2025440.7629228919</v>
      </c>
      <c r="H126" s="995">
        <v>4255374.6799478084</v>
      </c>
      <c r="I126" s="995">
        <v>2442844.4920212282</v>
      </c>
      <c r="J126" s="995">
        <v>28151884.654615544</v>
      </c>
      <c r="K126" s="995">
        <v>27305416.735805571</v>
      </c>
      <c r="L126" s="995">
        <v>6985854.4538144451</v>
      </c>
      <c r="M126" s="995">
        <v>3067517.1340521304</v>
      </c>
      <c r="N126" s="995">
        <v>0</v>
      </c>
      <c r="O126" s="995">
        <v>0</v>
      </c>
      <c r="P126" s="995">
        <v>0</v>
      </c>
      <c r="Q126" s="995">
        <v>0</v>
      </c>
      <c r="R126" s="995">
        <v>0</v>
      </c>
      <c r="S126" s="995">
        <v>0</v>
      </c>
      <c r="T126" s="995">
        <v>0</v>
      </c>
      <c r="U126" s="995">
        <v>0</v>
      </c>
      <c r="V126" s="995">
        <v>0</v>
      </c>
      <c r="W126" s="995">
        <v>0</v>
      </c>
      <c r="X126" s="995">
        <v>0</v>
      </c>
      <c r="Y126" s="995">
        <v>0</v>
      </c>
      <c r="Z126" s="995">
        <v>0</v>
      </c>
      <c r="AA126" s="995">
        <v>0</v>
      </c>
      <c r="AB126" s="995">
        <v>0</v>
      </c>
      <c r="AC126" s="995">
        <v>0</v>
      </c>
      <c r="AD126" s="995">
        <v>0</v>
      </c>
      <c r="AE126" s="995">
        <v>0</v>
      </c>
      <c r="AF126" s="995">
        <v>0</v>
      </c>
      <c r="AG126" s="995">
        <v>0</v>
      </c>
    </row>
    <row r="127" spans="2:33" ht="21.9" customHeight="1" x14ac:dyDescent="0.25">
      <c r="C127" s="1" t="s">
        <v>54</v>
      </c>
      <c r="D127" s="25"/>
      <c r="E127" s="977">
        <f t="shared" si="83"/>
        <v>319047228.37842298</v>
      </c>
      <c r="F127" s="25">
        <f>F125-F126</f>
        <v>0</v>
      </c>
      <c r="G127" s="25">
        <f t="shared" ref="G127:AF127" si="85">G125-G126</f>
        <v>-2025440.7629228919</v>
      </c>
      <c r="H127" s="25">
        <f t="shared" si="85"/>
        <v>-4255374.6799478084</v>
      </c>
      <c r="I127" s="25">
        <f t="shared" si="85"/>
        <v>-2442844.4920212282</v>
      </c>
      <c r="J127" s="25">
        <f t="shared" si="85"/>
        <v>-26016445.298352912</v>
      </c>
      <c r="K127" s="25">
        <f t="shared" si="85"/>
        <v>-27305416.735805571</v>
      </c>
      <c r="L127" s="25">
        <f t="shared" si="85"/>
        <v>-6985854.4538144451</v>
      </c>
      <c r="M127" s="25">
        <f t="shared" si="85"/>
        <v>-11053515.265010498</v>
      </c>
      <c r="N127" s="25">
        <f t="shared" si="85"/>
        <v>-1751440.8987014738</v>
      </c>
      <c r="O127" s="25">
        <f t="shared" si="85"/>
        <v>-2073879.3892686705</v>
      </c>
      <c r="P127" s="25">
        <f t="shared" si="85"/>
        <v>3856051.4479240105</v>
      </c>
      <c r="Q127" s="25">
        <f t="shared" si="85"/>
        <v>9967379.7970487569</v>
      </c>
      <c r="R127" s="25">
        <f t="shared" si="85"/>
        <v>16199701.380319968</v>
      </c>
      <c r="S127" s="25">
        <f t="shared" si="85"/>
        <v>19935985.997010805</v>
      </c>
      <c r="T127" s="25">
        <f t="shared" si="85"/>
        <v>28948505.23804009</v>
      </c>
      <c r="U127" s="25">
        <f t="shared" si="85"/>
        <v>25403770.924670652</v>
      </c>
      <c r="V127" s="25">
        <f t="shared" si="85"/>
        <v>24975163.927168515</v>
      </c>
      <c r="W127" s="25">
        <f t="shared" si="85"/>
        <v>24755319.354989693</v>
      </c>
      <c r="X127" s="25">
        <f t="shared" si="85"/>
        <v>25093702.184318691</v>
      </c>
      <c r="Y127" s="25">
        <f t="shared" si="85"/>
        <v>25394350.358503014</v>
      </c>
      <c r="Z127" s="25">
        <f t="shared" si="85"/>
        <v>25930403.648473799</v>
      </c>
      <c r="AA127" s="25">
        <f t="shared" si="85"/>
        <v>26453005.060041744</v>
      </c>
      <c r="AB127" s="25">
        <f t="shared" si="85"/>
        <v>27248024.957320929</v>
      </c>
      <c r="AC127" s="25">
        <f t="shared" si="85"/>
        <v>28213503.573880438</v>
      </c>
      <c r="AD127" s="25">
        <f t="shared" si="85"/>
        <v>28845669.125535861</v>
      </c>
      <c r="AE127" s="25">
        <f t="shared" si="85"/>
        <v>29451377.865873016</v>
      </c>
      <c r="AF127" s="25">
        <f t="shared" si="85"/>
        <v>32285525.513148509</v>
      </c>
      <c r="AG127" s="25">
        <f t="shared" ref="AG127" si="86">AG125-AG126</f>
        <v>44637840.53018254</v>
      </c>
    </row>
    <row r="128" spans="2:33" ht="21.9" customHeight="1" x14ac:dyDescent="0.25">
      <c r="B128" s="45"/>
      <c r="C128" s="994" t="s">
        <v>55</v>
      </c>
      <c r="D128" s="995"/>
      <c r="E128" s="996"/>
      <c r="F128" s="995">
        <f>F127</f>
        <v>0</v>
      </c>
      <c r="G128" s="995">
        <f>F128+G127</f>
        <v>-2025440.7629228919</v>
      </c>
      <c r="H128" s="995">
        <f t="shared" ref="H128" si="87">G128+H127</f>
        <v>-6280815.4428707007</v>
      </c>
      <c r="I128" s="995">
        <f t="shared" ref="I128" si="88">H128+I127</f>
        <v>-8723659.934891928</v>
      </c>
      <c r="J128" s="995">
        <f t="shared" ref="J128" si="89">I128+J127</f>
        <v>-34740105.233244836</v>
      </c>
      <c r="K128" s="995">
        <f t="shared" ref="K128" si="90">J128+K127</f>
        <v>-62045521.969050407</v>
      </c>
      <c r="L128" s="995">
        <f t="shared" ref="L128" si="91">K128+L127</f>
        <v>-69031376.422864854</v>
      </c>
      <c r="M128" s="995">
        <f t="shared" ref="M128" si="92">L128+M127</f>
        <v>-80084891.68787536</v>
      </c>
      <c r="N128" s="995">
        <f t="shared" ref="N128" si="93">M128+N127</f>
        <v>-81836332.586576834</v>
      </c>
      <c r="O128" s="995">
        <f t="shared" ref="O128" si="94">N128+O127</f>
        <v>-83910211.975845501</v>
      </c>
      <c r="P128" s="995">
        <f t="shared" ref="P128" si="95">O128+P127</f>
        <v>-80054160.527921498</v>
      </c>
      <c r="Q128" s="995">
        <f t="shared" ref="Q128" si="96">P128+Q127</f>
        <v>-70086780.730872735</v>
      </c>
      <c r="R128" s="995">
        <f t="shared" ref="R128" si="97">Q128+R127</f>
        <v>-53887079.350552768</v>
      </c>
      <c r="S128" s="995">
        <f t="shared" ref="S128" si="98">R128+S127</f>
        <v>-33951093.353541963</v>
      </c>
      <c r="T128" s="995">
        <f t="shared" ref="T128" si="99">S128+T127</f>
        <v>-5002588.1155018732</v>
      </c>
      <c r="U128" s="995">
        <f t="shared" ref="U128" si="100">T128+U127</f>
        <v>20401182.809168778</v>
      </c>
      <c r="V128" s="995">
        <f t="shared" ref="V128" si="101">U128+V127</f>
        <v>45376346.736337289</v>
      </c>
      <c r="W128" s="995">
        <f t="shared" ref="W128" si="102">V128+W127</f>
        <v>70131666.091326982</v>
      </c>
      <c r="X128" s="995">
        <f t="shared" ref="X128" si="103">W128+X127</f>
        <v>95225368.275645673</v>
      </c>
      <c r="Y128" s="995">
        <f t="shared" ref="Y128" si="104">X128+Y127</f>
        <v>120619718.63414869</v>
      </c>
      <c r="Z128" s="995">
        <f t="shared" ref="Z128" si="105">Y128+Z127</f>
        <v>146550122.28262249</v>
      </c>
      <c r="AA128" s="995">
        <f t="shared" ref="AA128" si="106">Z128+AA127</f>
        <v>173003127.34266424</v>
      </c>
      <c r="AB128" s="995">
        <f t="shared" ref="AB128" si="107">AA128+AB127</f>
        <v>200251152.29998517</v>
      </c>
      <c r="AC128" s="995">
        <f t="shared" ref="AC128" si="108">AB128+AC127</f>
        <v>228464655.8738656</v>
      </c>
      <c r="AD128" s="995">
        <f t="shared" ref="AD128" si="109">AC128+AD127</f>
        <v>257310324.99940145</v>
      </c>
      <c r="AE128" s="995">
        <f t="shared" ref="AE128" si="110">AD128+AE127</f>
        <v>286761702.86527449</v>
      </c>
      <c r="AF128" s="995">
        <f t="shared" ref="AF128:AG128" si="111">AE128+AF127</f>
        <v>319047228.37842298</v>
      </c>
      <c r="AG128" s="995">
        <f t="shared" si="111"/>
        <v>363685068.90860552</v>
      </c>
    </row>
    <row r="129" spans="2:44" ht="21.9" customHeight="1" x14ac:dyDescent="0.25">
      <c r="C129" s="1"/>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row>
    <row r="130" spans="2:44" ht="21.9" customHeight="1" x14ac:dyDescent="0.25">
      <c r="C130" s="1"/>
      <c r="D130" s="1"/>
      <c r="E130" s="1"/>
      <c r="F130" s="5"/>
      <c r="G130" s="5"/>
      <c r="H130" s="5"/>
      <c r="I130" s="5"/>
      <c r="J130" s="5"/>
      <c r="K130" s="5"/>
      <c r="L130" s="5"/>
      <c r="M130" s="5"/>
      <c r="N130" s="5"/>
      <c r="O130" s="5"/>
      <c r="P130" s="5"/>
      <c r="Q130" s="5"/>
      <c r="R130" s="5"/>
      <c r="S130" s="5"/>
      <c r="T130" s="5"/>
      <c r="AR130" s="5"/>
    </row>
    <row r="131" spans="2:44" ht="21.9" customHeight="1" x14ac:dyDescent="0.25">
      <c r="B131" s="1215" t="s">
        <v>76</v>
      </c>
      <c r="C131" s="3"/>
      <c r="D131" s="3"/>
      <c r="E131" s="3"/>
      <c r="F131"/>
      <c r="G131"/>
      <c r="H131"/>
      <c r="I131"/>
      <c r="M131" s="2"/>
      <c r="N131" s="2"/>
      <c r="O131" s="2"/>
      <c r="P131" s="2"/>
    </row>
    <row r="132" spans="2:44" ht="21.9" customHeight="1" x14ac:dyDescent="0.25">
      <c r="B132" s="945"/>
      <c r="C132" s="945"/>
      <c r="D132" s="945"/>
      <c r="E132" s="945"/>
      <c r="F132" s="945" cm="1">
        <f t="array" ref="F132:AG132">_xlfn.SEQUENCE(1, studyDuration+1, baseYear-1)</f>
        <v>2021</v>
      </c>
      <c r="G132" s="945">
        <v>2022</v>
      </c>
      <c r="H132" s="945">
        <v>2023</v>
      </c>
      <c r="I132" s="945">
        <v>2024</v>
      </c>
      <c r="J132" s="945">
        <v>2025</v>
      </c>
      <c r="K132" s="945">
        <v>2026</v>
      </c>
      <c r="L132" s="945">
        <v>2027</v>
      </c>
      <c r="M132" s="945">
        <v>2028</v>
      </c>
      <c r="N132" s="945">
        <v>2029</v>
      </c>
      <c r="O132" s="945">
        <v>2030</v>
      </c>
      <c r="P132" s="945">
        <v>2031</v>
      </c>
      <c r="Q132" s="945">
        <v>2032</v>
      </c>
      <c r="R132" s="945">
        <v>2033</v>
      </c>
      <c r="S132" s="945">
        <v>2034</v>
      </c>
      <c r="T132" s="945">
        <v>2035</v>
      </c>
      <c r="U132" s="945">
        <v>2036</v>
      </c>
      <c r="V132" s="945">
        <v>2037</v>
      </c>
      <c r="W132" s="945">
        <v>2038</v>
      </c>
      <c r="X132" s="945">
        <v>2039</v>
      </c>
      <c r="Y132" s="945">
        <v>2040</v>
      </c>
      <c r="Z132" s="945">
        <v>2041</v>
      </c>
      <c r="AA132" s="945">
        <v>2042</v>
      </c>
      <c r="AB132" s="945">
        <v>2043</v>
      </c>
      <c r="AC132" s="945">
        <v>2044</v>
      </c>
      <c r="AD132" s="945">
        <v>2045</v>
      </c>
      <c r="AE132" s="945">
        <v>2046</v>
      </c>
      <c r="AF132" s="945">
        <v>2047</v>
      </c>
      <c r="AG132" s="945">
        <v>2048</v>
      </c>
    </row>
    <row r="133" spans="2:44" ht="21.9" customHeight="1" x14ac:dyDescent="0.25">
      <c r="B133" t="s">
        <v>29</v>
      </c>
      <c r="E133"/>
      <c r="F133" s="27" cm="1">
        <f t="array" ref="F133:AG133">1/(1 + discount)^(year - baseYear)</f>
        <v>1.0309999999999999</v>
      </c>
      <c r="G133" s="27">
        <v>1</v>
      </c>
      <c r="H133" s="27">
        <v>0.96993210475266745</v>
      </c>
      <c r="I133" s="27">
        <v>0.94076828782993938</v>
      </c>
      <c r="J133" s="27">
        <v>0.91248136549945624</v>
      </c>
      <c r="K133" s="27">
        <v>0.88504497138647553</v>
      </c>
      <c r="L133" s="27">
        <v>0.85843353189764848</v>
      </c>
      <c r="M133" s="27">
        <v>0.83262224238375215</v>
      </c>
      <c r="N133" s="27">
        <v>0.80758704401915837</v>
      </c>
      <c r="O133" s="27">
        <v>0.78330460137648728</v>
      </c>
      <c r="P133" s="27">
        <v>0.75975228067554545</v>
      </c>
      <c r="Q133" s="27">
        <v>0.73690812868627109</v>
      </c>
      <c r="R133" s="27">
        <v>0.71475085226602442</v>
      </c>
      <c r="S133" s="27">
        <v>0.69325979851214781</v>
      </c>
      <c r="T133" s="27">
        <v>0.67241493551129761</v>
      </c>
      <c r="U133" s="27">
        <v>0.65219683366760206</v>
      </c>
      <c r="V133" s="27">
        <v>0.63258664759224259</v>
      </c>
      <c r="W133" s="27">
        <v>0.6135660985375776</v>
      </c>
      <c r="X133" s="27">
        <v>0.59511745735943511</v>
      </c>
      <c r="Y133" s="27">
        <v>0.57722352799169274</v>
      </c>
      <c r="Z133" s="27">
        <v>0.55986763141774276</v>
      </c>
      <c r="AA133" s="27">
        <v>0.54303359012390184</v>
      </c>
      <c r="AB133" s="27">
        <v>0.52670571302027336</v>
      </c>
      <c r="AC133" s="27">
        <v>0.51086878081500819</v>
      </c>
      <c r="AD133" s="27">
        <v>0.49550803182832992</v>
      </c>
      <c r="AE133" s="27">
        <v>0.4806091482331038</v>
      </c>
      <c r="AF133" s="27">
        <v>0.46615824270912104</v>
      </c>
      <c r="AG133" s="27">
        <v>0.4521418454986626</v>
      </c>
    </row>
    <row r="134" spans="2:44" ht="21.9" customHeight="1" x14ac:dyDescent="0.25">
      <c r="B134" s="45" t="s">
        <v>51</v>
      </c>
      <c r="C134" s="45"/>
      <c r="D134" s="45"/>
      <c r="E134" s="45"/>
      <c r="F134" s="1216" cm="1">
        <f t="array" ref="F134:AG134">1/(1 + discountCO2)^(year - baseYear)</f>
        <v>1.02</v>
      </c>
      <c r="G134" s="1216">
        <v>1</v>
      </c>
      <c r="H134" s="1216">
        <v>0.98039215686274506</v>
      </c>
      <c r="I134" s="1216">
        <v>0.96116878123798544</v>
      </c>
      <c r="J134" s="1216">
        <v>0.94232233454704462</v>
      </c>
      <c r="K134" s="1216">
        <v>0.9238454260265142</v>
      </c>
      <c r="L134" s="1216">
        <v>0.90573080982991594</v>
      </c>
      <c r="M134" s="1216">
        <v>0.88797138218619198</v>
      </c>
      <c r="N134" s="1216">
        <v>0.87056017861391388</v>
      </c>
      <c r="O134" s="1216">
        <v>0.85349037119011162</v>
      </c>
      <c r="P134" s="1216">
        <v>0.83675526587265847</v>
      </c>
      <c r="Q134" s="1216">
        <v>0.82034829987515534</v>
      </c>
      <c r="R134" s="1216">
        <v>0.80426303909328967</v>
      </c>
      <c r="S134" s="1216">
        <v>0.78849317558165644</v>
      </c>
      <c r="T134" s="1216">
        <v>0.77303252508005538</v>
      </c>
      <c r="U134" s="1216">
        <v>0.75787502458828948</v>
      </c>
      <c r="V134" s="1216">
        <v>0.74301472998851925</v>
      </c>
      <c r="W134" s="1216">
        <v>0.72844581371423445</v>
      </c>
      <c r="X134" s="1216">
        <v>0.7141625624649357</v>
      </c>
      <c r="Y134" s="1216">
        <v>0.7001593749656233</v>
      </c>
      <c r="Z134" s="1216">
        <v>0.68643075977021895</v>
      </c>
      <c r="AA134" s="1216">
        <v>0.67297133310805779</v>
      </c>
      <c r="AB134" s="1216">
        <v>0.65977581677260566</v>
      </c>
      <c r="AC134" s="1216">
        <v>0.64683903605157411</v>
      </c>
      <c r="AD134" s="1216">
        <v>0.63415591769762181</v>
      </c>
      <c r="AE134" s="1216">
        <v>0.62172148793884485</v>
      </c>
      <c r="AF134" s="1216">
        <v>0.60953087052827937</v>
      </c>
      <c r="AG134" s="1216">
        <v>0.59757928483164635</v>
      </c>
    </row>
    <row r="135" spans="2:44" ht="21.9" customHeight="1" x14ac:dyDescent="0.25">
      <c r="E135"/>
      <c r="F135"/>
      <c r="G135"/>
      <c r="H135"/>
      <c r="I135"/>
      <c r="L135" s="2"/>
      <c r="M135" s="2"/>
      <c r="N135" s="2"/>
      <c r="O135" s="2"/>
    </row>
    <row r="136" spans="2:44" ht="21.9" customHeight="1" x14ac:dyDescent="0.25">
      <c r="J136" s="2"/>
      <c r="K136" s="2"/>
      <c r="L136" s="2"/>
      <c r="M136" s="2"/>
      <c r="N136" s="2"/>
    </row>
    <row r="137" spans="2:44" ht="21.9" customHeight="1" x14ac:dyDescent="0.25">
      <c r="B137" s="1018" t="s">
        <v>684</v>
      </c>
      <c r="J137" s="2"/>
      <c r="K137" s="2"/>
      <c r="L137" s="2"/>
      <c r="M137" s="2"/>
      <c r="N137" s="2"/>
    </row>
    <row r="138" spans="2:44" ht="21.9" customHeight="1" x14ac:dyDescent="0.25">
      <c r="B138" s="946"/>
      <c r="C138" s="946" t="s">
        <v>18</v>
      </c>
      <c r="D138" s="945"/>
      <c r="E138" s="945"/>
      <c r="F138" s="945" cm="1">
        <f t="array" ref="F138:AG138">year</f>
        <v>2021</v>
      </c>
      <c r="G138" s="945">
        <v>2022</v>
      </c>
      <c r="H138" s="945">
        <v>2023</v>
      </c>
      <c r="I138" s="945">
        <v>2024</v>
      </c>
      <c r="J138" s="945">
        <v>2025</v>
      </c>
      <c r="K138" s="945">
        <v>2026</v>
      </c>
      <c r="L138" s="945">
        <v>2027</v>
      </c>
      <c r="M138" s="945">
        <v>2028</v>
      </c>
      <c r="N138" s="945">
        <v>2029</v>
      </c>
      <c r="O138" s="945">
        <v>2030</v>
      </c>
      <c r="P138" s="945">
        <v>2031</v>
      </c>
      <c r="Q138" s="945">
        <v>2032</v>
      </c>
      <c r="R138" s="945">
        <v>2033</v>
      </c>
      <c r="S138" s="945">
        <v>2034</v>
      </c>
      <c r="T138" s="945">
        <v>2035</v>
      </c>
      <c r="U138" s="945">
        <v>2036</v>
      </c>
      <c r="V138" s="945">
        <v>2037</v>
      </c>
      <c r="W138" s="945">
        <v>2038</v>
      </c>
      <c r="X138" s="945">
        <v>2039</v>
      </c>
      <c r="Y138" s="945">
        <v>2040</v>
      </c>
      <c r="Z138" s="945">
        <v>2041</v>
      </c>
      <c r="AA138" s="945">
        <v>2042</v>
      </c>
      <c r="AB138" s="945">
        <v>2043</v>
      </c>
      <c r="AC138" s="945">
        <v>2044</v>
      </c>
      <c r="AD138" s="945">
        <v>2045</v>
      </c>
      <c r="AE138" s="945">
        <v>2046</v>
      </c>
      <c r="AF138" s="945">
        <v>2047</v>
      </c>
      <c r="AG138" s="945">
        <v>2048</v>
      </c>
    </row>
    <row r="139" spans="2:44" ht="21.9" customHeight="1" x14ac:dyDescent="0.25">
      <c r="B139" t="s">
        <v>52</v>
      </c>
      <c r="C139" t="s">
        <v>685</v>
      </c>
      <c r="E139" s="942"/>
      <c r="F139" s="248" cm="1">
        <f t="array" ref="F139">_xlfn.ANCHORARRAY(F112)</f>
        <v>0</v>
      </c>
      <c r="G139" s="248" cm="1">
        <f t="array" ref="G139">_xlfn.ANCHORARRAY(G112)</f>
        <v>0</v>
      </c>
      <c r="H139" s="248" cm="1">
        <f t="array" ref="H139">_xlfn.ANCHORARRAY(H112)</f>
        <v>0</v>
      </c>
      <c r="I139" s="248" cm="1">
        <f t="array" ref="I139">_xlfn.ANCHORARRAY(I112)</f>
        <v>0</v>
      </c>
      <c r="J139" s="248" cm="1">
        <f t="array" ref="J139">_xlfn.ANCHORARRAY(J112)</f>
        <v>2135439.3562626322</v>
      </c>
      <c r="K139" s="248" cm="1">
        <f t="array" ref="K139">_xlfn.ANCHORARRAY(K112)</f>
        <v>0</v>
      </c>
      <c r="L139" s="248" cm="1">
        <f t="array" ref="L139">_xlfn.ANCHORARRAY(L112)</f>
        <v>0</v>
      </c>
      <c r="M139" s="248" cm="1">
        <f t="array" ref="M139">_xlfn.ANCHORARRAY(M112)</f>
        <v>-5496774.3843893036</v>
      </c>
      <c r="N139" s="248" cm="1">
        <f t="array" ref="N139">_xlfn.ANCHORARRAY(N112)</f>
        <v>-922200.31482886185</v>
      </c>
      <c r="O139" s="248" cm="1">
        <f t="array" ref="O139">_xlfn.ANCHORARRAY(O112)</f>
        <v>-1513942.3202900554</v>
      </c>
      <c r="P139" s="248" cm="1">
        <f t="array" ref="P139">_xlfn.ANCHORARRAY(P112)</f>
        <v>3345555.8014783254</v>
      </c>
      <c r="Q139" s="248" cm="1">
        <f t="array" ref="Q139">_xlfn.ANCHORARRAY(Q112)</f>
        <v>8261078.3253311645</v>
      </c>
      <c r="R139" s="248" cm="1">
        <f t="array" ref="R139">_xlfn.ANCHORARRAY(R112)</f>
        <v>12946341.065848339</v>
      </c>
      <c r="S139" s="248" cm="1">
        <f t="array" ref="S139">_xlfn.ANCHORARRAY(S112)</f>
        <v>14377312.739668677</v>
      </c>
      <c r="T139" s="248" cm="1">
        <f t="array" ref="T139">_xlfn.ANCHORARRAY(T112)</f>
        <v>20079047.544546362</v>
      </c>
      <c r="U139" s="248" cm="1">
        <f t="array" ref="U139">_xlfn.ANCHORARRAY(U112)</f>
        <v>15215272.556823175</v>
      </c>
      <c r="V139" s="248" cm="1">
        <f t="array" ref="V139">_xlfn.ANCHORARRAY(V112)</f>
        <v>14730212.474165294</v>
      </c>
      <c r="W139" s="248" cm="1">
        <f t="array" ref="W139">_xlfn.ANCHORARRAY(W112)</f>
        <v>14442402.435285112</v>
      </c>
      <c r="X139" s="248" cm="1">
        <f t="array" ref="X139">_xlfn.ANCHORARRAY(X112)</f>
        <v>14676842.503369085</v>
      </c>
      <c r="Y139" s="248" cm="1">
        <f t="array" ref="Y139">_xlfn.ANCHORARRAY(Y112)</f>
        <v>14858852.661099382</v>
      </c>
      <c r="Z139" s="248" cm="1">
        <f t="array" ref="Z139">_xlfn.ANCHORARRAY(Z112)</f>
        <v>15185540.327262893</v>
      </c>
      <c r="AA139" s="248" cm="1">
        <f t="array" ref="AA139">_xlfn.ANCHORARRAY(AA112)</f>
        <v>15466924.640186373</v>
      </c>
      <c r="AB139" s="248" cm="1">
        <f t="array" ref="AB139">_xlfn.ANCHORARRAY(AB112)</f>
        <v>15764388.635474699</v>
      </c>
      <c r="AC139" s="248" cm="1">
        <f t="array" ref="AC139">_xlfn.ANCHORARRAY(AC112)</f>
        <v>16092169.882918555</v>
      </c>
      <c r="AD139" s="248" cm="1">
        <f t="array" ref="AD139">_xlfn.ANCHORARRAY(AD112)</f>
        <v>16234891.442414148</v>
      </c>
      <c r="AE139" s="248" cm="1">
        <f t="array" ref="AE139">_xlfn.ANCHORARRAY(AE112)</f>
        <v>15874867.198044673</v>
      </c>
      <c r="AF139" s="248" cm="1">
        <f t="array" ref="AF139">_xlfn.ANCHORARRAY(AF112)</f>
        <v>17262335.539108068</v>
      </c>
      <c r="AG139" s="248" cm="1">
        <f t="array" ref="AG139">_xlfn.ANCHORARRAY(AG112)</f>
        <v>24022545.68325318</v>
      </c>
    </row>
    <row r="140" spans="2:44" ht="21.9" customHeight="1" x14ac:dyDescent="0.25">
      <c r="B140" s="45"/>
      <c r="C140" s="45" t="s">
        <v>53</v>
      </c>
      <c r="D140" s="45"/>
      <c r="E140" s="248"/>
      <c r="F140" s="248" cm="1">
        <f t="array" ref="F140:AG140">-_xlfn.ANCHORARRAY(F113)</f>
        <v>0</v>
      </c>
      <c r="G140" s="248">
        <v>-935484.23278378847</v>
      </c>
      <c r="H140" s="248">
        <v>-2115566.2838574685</v>
      </c>
      <c r="I140" s="248">
        <v>-1392772.169301922</v>
      </c>
      <c r="J140" s="248">
        <v>-14776676.532966124</v>
      </c>
      <c r="K140" s="248">
        <v>-14332372.97086918</v>
      </c>
      <c r="L140" s="248">
        <v>-6985854.4538144451</v>
      </c>
      <c r="M140" s="248">
        <v>-3067517.1340521304</v>
      </c>
      <c r="N140" s="248">
        <v>0</v>
      </c>
      <c r="O140" s="248">
        <v>0</v>
      </c>
      <c r="P140" s="248">
        <v>0</v>
      </c>
      <c r="Q140" s="248">
        <v>0</v>
      </c>
      <c r="R140" s="248">
        <v>0</v>
      </c>
      <c r="S140" s="248">
        <v>0</v>
      </c>
      <c r="T140" s="248">
        <v>0</v>
      </c>
      <c r="U140" s="248">
        <v>0</v>
      </c>
      <c r="V140" s="248">
        <v>0</v>
      </c>
      <c r="W140" s="248">
        <v>0</v>
      </c>
      <c r="X140" s="248">
        <v>0</v>
      </c>
      <c r="Y140" s="248">
        <v>0</v>
      </c>
      <c r="Z140" s="248">
        <v>0</v>
      </c>
      <c r="AA140" s="248">
        <v>0</v>
      </c>
      <c r="AB140" s="248">
        <v>0</v>
      </c>
      <c r="AC140" s="248">
        <v>0</v>
      </c>
      <c r="AD140" s="248">
        <v>0</v>
      </c>
      <c r="AE140" s="248">
        <v>0</v>
      </c>
      <c r="AF140" s="248">
        <v>0</v>
      </c>
      <c r="AG140" s="248">
        <v>0</v>
      </c>
    </row>
    <row r="143" spans="2:44" ht="21.9" customHeight="1" x14ac:dyDescent="0.25">
      <c r="B143" s="1018" t="s">
        <v>684</v>
      </c>
    </row>
    <row r="144" spans="2:44" ht="21.9" customHeight="1" x14ac:dyDescent="0.25">
      <c r="B144" t="s">
        <v>100</v>
      </c>
      <c r="E144" t="s">
        <v>101</v>
      </c>
    </row>
    <row r="145" spans="2:33" ht="21.9" customHeight="1" x14ac:dyDescent="0.25">
      <c r="B145" s="946" t="s">
        <v>97</v>
      </c>
      <c r="C145" s="945" t="s">
        <v>99</v>
      </c>
      <c r="E145" s="946" t="s">
        <v>97</v>
      </c>
      <c r="F145" s="945" t="s">
        <v>99</v>
      </c>
    </row>
    <row r="146" spans="2:33" ht="21.9" customHeight="1" x14ac:dyDescent="0.25">
      <c r="B146" t="s">
        <v>74</v>
      </c>
      <c r="C146" s="1217">
        <f>E104</f>
        <v>8158544.5178865474</v>
      </c>
      <c r="E146" t="str" cm="1">
        <f t="array" ref="E146:F149">_xlfn._xlws.SORT(_xlfn._xlws.FILTER(B146:C150, C146:C150 &gt; 0), 2, -1)</f>
        <v>Travel Time</v>
      </c>
      <c r="F146" s="26">
        <v>255776493.28562629</v>
      </c>
    </row>
    <row r="147" spans="2:33" ht="21.9" customHeight="1" x14ac:dyDescent="0.25">
      <c r="B147" t="s">
        <v>13</v>
      </c>
      <c r="C147" s="1217">
        <f>E105</f>
        <v>255776493.28562629</v>
      </c>
      <c r="E147" t="str">
        <v>Safety</v>
      </c>
      <c r="F147" s="26">
        <v>8158544.5178865474</v>
      </c>
    </row>
    <row r="148" spans="2:33" ht="21.9" customHeight="1" x14ac:dyDescent="0.25">
      <c r="B148" t="s">
        <v>200</v>
      </c>
      <c r="C148" s="1217">
        <f>SUM(E106:E109)</f>
        <v>-29874986.131254468</v>
      </c>
      <c r="E148" t="str">
        <v>Residual Value</v>
      </c>
      <c r="F148" s="26">
        <v>6285905.0644185329</v>
      </c>
    </row>
    <row r="149" spans="2:33" ht="21.9" customHeight="1" x14ac:dyDescent="0.25">
      <c r="B149" t="s">
        <v>193</v>
      </c>
      <c r="C149" s="1217">
        <f>E110</f>
        <v>5834022.6027569557</v>
      </c>
      <c r="E149" t="str">
        <v>O&amp;M</v>
      </c>
      <c r="F149" s="26">
        <v>5834022.6027569557</v>
      </c>
    </row>
    <row r="150" spans="2:33" ht="21.9" customHeight="1" x14ac:dyDescent="0.25">
      <c r="B150" s="45" t="s">
        <v>81</v>
      </c>
      <c r="C150" s="1218">
        <f>E111</f>
        <v>6285905.0644185329</v>
      </c>
      <c r="E150"/>
      <c r="F150" s="26"/>
    </row>
    <row r="151" spans="2:33" ht="21.9" customHeight="1" x14ac:dyDescent="0.25">
      <c r="E151"/>
      <c r="F151" s="22"/>
    </row>
    <row r="152" spans="2:33" ht="21.9" customHeight="1" x14ac:dyDescent="0.25">
      <c r="E152"/>
      <c r="F152"/>
      <c r="G152"/>
      <c r="H152"/>
      <c r="I152"/>
      <c r="L152" s="2"/>
      <c r="M152" s="2"/>
      <c r="N152" s="2"/>
      <c r="O152" s="2"/>
    </row>
    <row r="153" spans="2:33" ht="21.9" customHeight="1" x14ac:dyDescent="0.25">
      <c r="J153" s="2"/>
      <c r="K153" s="2"/>
      <c r="L153" s="2"/>
      <c r="M153" s="2"/>
      <c r="N153" s="2"/>
    </row>
    <row r="154" spans="2:33" ht="21.9" customHeight="1" x14ac:dyDescent="0.25">
      <c r="B154" s="1018" t="s">
        <v>686</v>
      </c>
      <c r="J154" s="2"/>
      <c r="K154" s="2"/>
      <c r="L154" s="2"/>
      <c r="M154" s="2"/>
      <c r="N154" s="2"/>
    </row>
    <row r="155" spans="2:33" ht="21.9" customHeight="1" x14ac:dyDescent="0.25">
      <c r="B155" s="946"/>
      <c r="C155" s="946" t="s">
        <v>18</v>
      </c>
      <c r="D155" s="945"/>
      <c r="E155" s="945"/>
      <c r="F155" s="945" cm="1">
        <f t="array" ref="F155:AG155">year</f>
        <v>2021</v>
      </c>
      <c r="G155" s="945">
        <v>2022</v>
      </c>
      <c r="H155" s="945">
        <v>2023</v>
      </c>
      <c r="I155" s="945">
        <v>2024</v>
      </c>
      <c r="J155" s="945">
        <v>2025</v>
      </c>
      <c r="K155" s="945">
        <v>2026</v>
      </c>
      <c r="L155" s="945">
        <v>2027</v>
      </c>
      <c r="M155" s="945">
        <v>2028</v>
      </c>
      <c r="N155" s="945">
        <v>2029</v>
      </c>
      <c r="O155" s="945">
        <v>2030</v>
      </c>
      <c r="P155" s="945">
        <v>2031</v>
      </c>
      <c r="Q155" s="945">
        <v>2032</v>
      </c>
      <c r="R155" s="945">
        <v>2033</v>
      </c>
      <c r="S155" s="945">
        <v>2034</v>
      </c>
      <c r="T155" s="945">
        <v>2035</v>
      </c>
      <c r="U155" s="945">
        <v>2036</v>
      </c>
      <c r="V155" s="945">
        <v>2037</v>
      </c>
      <c r="W155" s="945">
        <v>2038</v>
      </c>
      <c r="X155" s="945">
        <v>2039</v>
      </c>
      <c r="Y155" s="945">
        <v>2040</v>
      </c>
      <c r="Z155" s="945">
        <v>2041</v>
      </c>
      <c r="AA155" s="945">
        <v>2042</v>
      </c>
      <c r="AB155" s="945">
        <v>2043</v>
      </c>
      <c r="AC155" s="945">
        <v>2044</v>
      </c>
      <c r="AD155" s="945">
        <v>2045</v>
      </c>
      <c r="AE155" s="945">
        <v>2046</v>
      </c>
      <c r="AF155" s="945">
        <v>2047</v>
      </c>
      <c r="AG155" s="945">
        <v>2048</v>
      </c>
    </row>
    <row r="156" spans="2:33" ht="21.9" customHeight="1" x14ac:dyDescent="0.25">
      <c r="B156" t="s">
        <v>52</v>
      </c>
      <c r="C156" t="s">
        <v>687</v>
      </c>
      <c r="E156" s="942"/>
      <c r="F156" s="248">
        <f>F125</f>
        <v>0</v>
      </c>
      <c r="G156" s="248">
        <f t="shared" ref="G156:AG156" si="112">G125</f>
        <v>0</v>
      </c>
      <c r="H156" s="248">
        <f t="shared" si="112"/>
        <v>0</v>
      </c>
      <c r="I156" s="248">
        <f t="shared" si="112"/>
        <v>0</v>
      </c>
      <c r="J156" s="248">
        <f t="shared" si="112"/>
        <v>2135439.3562626322</v>
      </c>
      <c r="K156" s="248">
        <f t="shared" si="112"/>
        <v>0</v>
      </c>
      <c r="L156" s="248">
        <f t="shared" si="112"/>
        <v>0</v>
      </c>
      <c r="M156" s="248">
        <f t="shared" si="112"/>
        <v>-7985998.1309583671</v>
      </c>
      <c r="N156" s="248">
        <f t="shared" si="112"/>
        <v>-1751440.8987014738</v>
      </c>
      <c r="O156" s="248">
        <f t="shared" si="112"/>
        <v>-2073879.3892686705</v>
      </c>
      <c r="P156" s="248">
        <f t="shared" si="112"/>
        <v>3856051.4479240105</v>
      </c>
      <c r="Q156" s="248">
        <f t="shared" si="112"/>
        <v>9967379.7970487569</v>
      </c>
      <c r="R156" s="248">
        <f t="shared" si="112"/>
        <v>16199701.380319968</v>
      </c>
      <c r="S156" s="248">
        <f t="shared" si="112"/>
        <v>19935985.997010805</v>
      </c>
      <c r="T156" s="248">
        <f t="shared" si="112"/>
        <v>28948505.23804009</v>
      </c>
      <c r="U156" s="248">
        <f t="shared" si="112"/>
        <v>25403770.924670652</v>
      </c>
      <c r="V156" s="248">
        <f t="shared" si="112"/>
        <v>24975163.927168515</v>
      </c>
      <c r="W156" s="248">
        <f t="shared" si="112"/>
        <v>24755319.354989693</v>
      </c>
      <c r="X156" s="248">
        <f t="shared" si="112"/>
        <v>25093702.184318691</v>
      </c>
      <c r="Y156" s="248">
        <f t="shared" si="112"/>
        <v>25394350.358503014</v>
      </c>
      <c r="Z156" s="248">
        <f t="shared" si="112"/>
        <v>25930403.648473799</v>
      </c>
      <c r="AA156" s="248">
        <f t="shared" si="112"/>
        <v>26453005.060041744</v>
      </c>
      <c r="AB156" s="248">
        <f t="shared" si="112"/>
        <v>27248024.957320929</v>
      </c>
      <c r="AC156" s="248">
        <f t="shared" si="112"/>
        <v>28213503.573880438</v>
      </c>
      <c r="AD156" s="248">
        <f t="shared" si="112"/>
        <v>28845669.125535861</v>
      </c>
      <c r="AE156" s="248">
        <f t="shared" si="112"/>
        <v>29451377.865873016</v>
      </c>
      <c r="AF156" s="248">
        <f t="shared" si="112"/>
        <v>32285525.513148509</v>
      </c>
      <c r="AG156" s="248">
        <f t="shared" si="112"/>
        <v>44637840.53018254</v>
      </c>
    </row>
    <row r="157" spans="2:33" ht="21.9" customHeight="1" x14ac:dyDescent="0.25">
      <c r="B157" s="45"/>
      <c r="C157" s="45" t="s">
        <v>53</v>
      </c>
      <c r="D157" s="45"/>
      <c r="E157" s="248"/>
      <c r="F157" s="248">
        <f>F126</f>
        <v>0</v>
      </c>
      <c r="G157" s="248">
        <f>-G126</f>
        <v>-2025440.7629228919</v>
      </c>
      <c r="H157" s="248">
        <f t="shared" ref="H157:AG157" si="113">-H126</f>
        <v>-4255374.6799478084</v>
      </c>
      <c r="I157" s="248">
        <f t="shared" si="113"/>
        <v>-2442844.4920212282</v>
      </c>
      <c r="J157" s="248">
        <f t="shared" si="113"/>
        <v>-28151884.654615544</v>
      </c>
      <c r="K157" s="248">
        <f t="shared" si="113"/>
        <v>-27305416.735805571</v>
      </c>
      <c r="L157" s="248">
        <f t="shared" si="113"/>
        <v>-6985854.4538144451</v>
      </c>
      <c r="M157" s="248">
        <f t="shared" si="113"/>
        <v>-3067517.1340521304</v>
      </c>
      <c r="N157" s="248">
        <f t="shared" si="113"/>
        <v>0</v>
      </c>
      <c r="O157" s="248">
        <f t="shared" si="113"/>
        <v>0</v>
      </c>
      <c r="P157" s="248">
        <f t="shared" si="113"/>
        <v>0</v>
      </c>
      <c r="Q157" s="248">
        <f t="shared" si="113"/>
        <v>0</v>
      </c>
      <c r="R157" s="248">
        <f t="shared" si="113"/>
        <v>0</v>
      </c>
      <c r="S157" s="248">
        <f t="shared" si="113"/>
        <v>0</v>
      </c>
      <c r="T157" s="248">
        <f t="shared" si="113"/>
        <v>0</v>
      </c>
      <c r="U157" s="248">
        <f t="shared" si="113"/>
        <v>0</v>
      </c>
      <c r="V157" s="248">
        <f t="shared" si="113"/>
        <v>0</v>
      </c>
      <c r="W157" s="248">
        <f t="shared" si="113"/>
        <v>0</v>
      </c>
      <c r="X157" s="248">
        <f t="shared" si="113"/>
        <v>0</v>
      </c>
      <c r="Y157" s="248">
        <f t="shared" si="113"/>
        <v>0</v>
      </c>
      <c r="Z157" s="248">
        <f t="shared" si="113"/>
        <v>0</v>
      </c>
      <c r="AA157" s="248">
        <f t="shared" si="113"/>
        <v>0</v>
      </c>
      <c r="AB157" s="248">
        <f t="shared" si="113"/>
        <v>0</v>
      </c>
      <c r="AC157" s="248">
        <f t="shared" si="113"/>
        <v>0</v>
      </c>
      <c r="AD157" s="248">
        <f t="shared" si="113"/>
        <v>0</v>
      </c>
      <c r="AE157" s="248">
        <f t="shared" si="113"/>
        <v>0</v>
      </c>
      <c r="AF157" s="248">
        <f t="shared" si="113"/>
        <v>0</v>
      </c>
      <c r="AG157" s="248">
        <f t="shared" si="113"/>
        <v>0</v>
      </c>
    </row>
    <row r="160" spans="2:33" ht="21.9" customHeight="1" x14ac:dyDescent="0.25">
      <c r="B160" s="1018" t="s">
        <v>686</v>
      </c>
    </row>
    <row r="161" spans="2:6" ht="21.9" customHeight="1" x14ac:dyDescent="0.25">
      <c r="B161" t="s">
        <v>100</v>
      </c>
      <c r="E161" t="s">
        <v>101</v>
      </c>
    </row>
    <row r="162" spans="2:6" ht="21.9" customHeight="1" x14ac:dyDescent="0.25">
      <c r="B162" s="946" t="s">
        <v>97</v>
      </c>
      <c r="C162" s="945" t="s">
        <v>99</v>
      </c>
      <c r="E162" s="946" t="s">
        <v>97</v>
      </c>
      <c r="F162" s="945" t="s">
        <v>99</v>
      </c>
    </row>
    <row r="163" spans="2:6" ht="21.9" customHeight="1" x14ac:dyDescent="0.25">
      <c r="B163" t="s">
        <v>74</v>
      </c>
      <c r="C163" s="1217">
        <f>E117</f>
        <v>94654122.303212166</v>
      </c>
      <c r="E163" t="str" cm="1">
        <f t="array" ref="E163:F166">_xlfn._xlws.SORT(_xlfn._xlws.FILTER(B163:C167, C163:C167 &gt; 0), 2, -1)</f>
        <v>Travel Time</v>
      </c>
      <c r="F163" s="26">
        <v>317300987.9807409</v>
      </c>
    </row>
    <row r="164" spans="2:6" ht="21.9" customHeight="1" x14ac:dyDescent="0.25">
      <c r="B164" t="s">
        <v>13</v>
      </c>
      <c r="C164" s="1217">
        <f>E118</f>
        <v>317300987.9807409</v>
      </c>
      <c r="E164" t="str">
        <v>Safety</v>
      </c>
      <c r="F164" s="26">
        <v>94654122.303212166</v>
      </c>
    </row>
    <row r="165" spans="2:6" ht="21.9" customHeight="1" x14ac:dyDescent="0.25">
      <c r="B165" t="s">
        <v>200</v>
      </c>
      <c r="C165" s="1217">
        <f>SUM(E119:E122)</f>
        <v>-11679884.039709745</v>
      </c>
      <c r="E165" t="str">
        <v>Residual Value</v>
      </c>
      <c r="F165" s="26">
        <v>10454158.556024067</v>
      </c>
    </row>
    <row r="166" spans="2:6" ht="21.9" customHeight="1" x14ac:dyDescent="0.25">
      <c r="B166" t="s">
        <v>193</v>
      </c>
      <c r="C166" s="1217">
        <f>E123</f>
        <v>5115735.1334823649</v>
      </c>
      <c r="E166" t="str">
        <v>O&amp;M</v>
      </c>
      <c r="F166" s="26">
        <v>5115735.1334823649</v>
      </c>
    </row>
    <row r="167" spans="2:6" ht="21.9" customHeight="1" x14ac:dyDescent="0.25">
      <c r="B167" s="45" t="s">
        <v>81</v>
      </c>
      <c r="C167" s="1218">
        <f>E124</f>
        <v>10454158.556024067</v>
      </c>
      <c r="E167"/>
      <c r="F167" s="26"/>
    </row>
    <row r="168" spans="2:6" ht="21.9" customHeight="1" x14ac:dyDescent="0.25">
      <c r="E168"/>
      <c r="F168" s="22"/>
    </row>
    <row r="169" spans="2:6" ht="21.9" customHeight="1" x14ac:dyDescent="0.25">
      <c r="E169"/>
      <c r="F169" s="22"/>
    </row>
  </sheetData>
  <mergeCells count="6">
    <mergeCell ref="B5:D6"/>
    <mergeCell ref="F7:F8"/>
    <mergeCell ref="I7:J8"/>
    <mergeCell ref="L7:M8"/>
    <mergeCell ref="O7:P8"/>
    <mergeCell ref="L6:M6"/>
  </mergeCells>
  <pageMargins left="0.7" right="0.7" top="0.75" bottom="0.75" header="0.3" footer="0.3"/>
  <pageSetup paperSize="17" scale="3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4BC75-5069-4BA9-B897-B2DCCE6FF4FC}">
  <sheetPr codeName="Sheet13">
    <tabColor theme="1"/>
    <pageSetUpPr autoPageBreaks="0"/>
  </sheetPr>
  <dimension ref="A2:O341"/>
  <sheetViews>
    <sheetView workbookViewId="0">
      <selection activeCell="D311" sqref="D311"/>
    </sheetView>
  </sheetViews>
  <sheetFormatPr defaultColWidth="9" defaultRowHeight="17.399999999999999" x14ac:dyDescent="0.25"/>
  <cols>
    <col min="1" max="1" width="18.3984375" style="140" bestFit="1" customWidth="1"/>
    <col min="2" max="2" width="1.5" style="1" customWidth="1"/>
    <col min="3" max="3" width="30.59765625" style="134" customWidth="1"/>
    <col min="4" max="9" width="16.09765625" style="134" customWidth="1"/>
    <col min="10" max="14" width="12.59765625" style="134" customWidth="1"/>
    <col min="15" max="16384" width="9" style="134"/>
  </cols>
  <sheetData>
    <row r="2" spans="1:7" ht="18" thickBot="1" x14ac:dyDescent="0.3">
      <c r="A2" s="523" t="s">
        <v>225</v>
      </c>
      <c r="B2" s="1" t="s">
        <v>87</v>
      </c>
      <c r="C2" s="522" t="s">
        <v>583</v>
      </c>
    </row>
    <row r="3" spans="1:7" x14ac:dyDescent="0.25">
      <c r="A3" s="523"/>
      <c r="C3" s="1005" t="s">
        <v>581</v>
      </c>
      <c r="D3" s="1008" t="s">
        <v>582</v>
      </c>
    </row>
    <row r="4" spans="1:7" x14ac:dyDescent="0.25">
      <c r="A4" s="523"/>
      <c r="C4" s="982" t="s">
        <v>534</v>
      </c>
      <c r="D4" s="1009">
        <f>'Project Costs'!J8</f>
        <v>16660000</v>
      </c>
    </row>
    <row r="5" spans="1:7" x14ac:dyDescent="0.25">
      <c r="A5" s="523"/>
      <c r="C5" s="982" t="s">
        <v>535</v>
      </c>
      <c r="D5" s="1009">
        <f>'Project Costs'!J9</f>
        <v>6720000</v>
      </c>
    </row>
    <row r="6" spans="1:7" x14ac:dyDescent="0.25">
      <c r="A6" s="523"/>
      <c r="C6" s="982" t="s">
        <v>536</v>
      </c>
      <c r="D6" s="1009">
        <f>'Project Costs'!J10</f>
        <v>12960000</v>
      </c>
    </row>
    <row r="7" spans="1:7" x14ac:dyDescent="0.25">
      <c r="A7" s="523"/>
      <c r="C7" s="982" t="s">
        <v>537</v>
      </c>
      <c r="D7" s="1009">
        <f>'Project Costs'!J11</f>
        <v>16320000</v>
      </c>
    </row>
    <row r="8" spans="1:7" x14ac:dyDescent="0.25">
      <c r="A8" s="523"/>
      <c r="C8" s="1010" t="s">
        <v>585</v>
      </c>
      <c r="D8" s="1011">
        <f>'Project Costs'!J12</f>
        <v>52660000</v>
      </c>
    </row>
    <row r="9" spans="1:7" x14ac:dyDescent="0.25">
      <c r="A9" s="523"/>
      <c r="C9" s="982" t="s">
        <v>688</v>
      </c>
      <c r="D9" s="1009">
        <f>'Project Costs'!J14</f>
        <v>20160000</v>
      </c>
    </row>
    <row r="10" spans="1:7" x14ac:dyDescent="0.25">
      <c r="A10" s="523"/>
      <c r="C10" s="982" t="s">
        <v>538</v>
      </c>
      <c r="D10" s="1009">
        <f>'Project Costs'!J15</f>
        <v>8191000</v>
      </c>
    </row>
    <row r="11" spans="1:7" x14ac:dyDescent="0.25">
      <c r="A11" s="523"/>
      <c r="C11" s="982" t="s">
        <v>539</v>
      </c>
      <c r="D11" s="1009">
        <f>'Project Costs'!J16</f>
        <v>8040000</v>
      </c>
    </row>
    <row r="12" spans="1:7" ht="18" thickBot="1" x14ac:dyDescent="0.3">
      <c r="A12" s="523"/>
      <c r="C12" s="1012" t="s">
        <v>584</v>
      </c>
      <c r="D12" s="1013">
        <f>SUM(D9:D11)+D8</f>
        <v>89051000</v>
      </c>
    </row>
    <row r="13" spans="1:7" x14ac:dyDescent="0.25">
      <c r="A13" s="523"/>
      <c r="C13" s="133"/>
    </row>
    <row r="14" spans="1:7" ht="18" thickBot="1" x14ac:dyDescent="0.3">
      <c r="B14" s="1" t="s">
        <v>87</v>
      </c>
      <c r="C14" s="522" t="s">
        <v>555</v>
      </c>
    </row>
    <row r="15" spans="1:7" ht="24" customHeight="1" x14ac:dyDescent="0.25">
      <c r="C15" s="520" t="s">
        <v>10</v>
      </c>
      <c r="D15" s="1047" t="s">
        <v>591</v>
      </c>
      <c r="E15" s="1047" t="s">
        <v>713</v>
      </c>
      <c r="F15" s="1047" t="s">
        <v>592</v>
      </c>
      <c r="G15" s="1048" t="s">
        <v>714</v>
      </c>
    </row>
    <row r="16" spans="1:7" x14ac:dyDescent="0.25">
      <c r="C16" s="449">
        <f>'Project Costs'!E72</f>
        <v>2022</v>
      </c>
      <c r="D16" s="151">
        <f>E16*1.115296556</f>
        <v>1043342.3430160617</v>
      </c>
      <c r="E16" s="151" cm="1">
        <f t="array" ref="E16:E22">TRANSPOSE('Project Costs'!E69:K69)</f>
        <v>935484.23278378847</v>
      </c>
      <c r="F16" s="151">
        <f>G16*1.115296556</f>
        <v>2258967.1072699139</v>
      </c>
      <c r="G16" s="450" cm="1">
        <f t="array" ref="G16:G22">TRANSPOSE('Project Costs'!E94:K94)</f>
        <v>2025440.7629228919</v>
      </c>
    </row>
    <row r="17" spans="2:8" x14ac:dyDescent="0.25">
      <c r="C17" s="451">
        <f t="shared" ref="C17:C18" si="0">C16+1</f>
        <v>2023</v>
      </c>
      <c r="D17" s="151">
        <f t="shared" ref="D17:D21" si="1">E17*1.115296556</f>
        <v>2432627.7878776076</v>
      </c>
      <c r="E17" s="151">
        <v>2181148.8386570499</v>
      </c>
      <c r="F17" s="151">
        <f t="shared" ref="F17:F22" si="2">G17*1.115296556</f>
        <v>4893130.8715114901</v>
      </c>
      <c r="G17" s="450">
        <v>4387291.2950261896</v>
      </c>
    </row>
    <row r="18" spans="2:8" x14ac:dyDescent="0.25">
      <c r="C18" s="449">
        <f t="shared" si="0"/>
        <v>2024</v>
      </c>
      <c r="D18" s="151">
        <f t="shared" si="1"/>
        <v>1651154.7251429877</v>
      </c>
      <c r="E18" s="151">
        <v>1480462.4978533401</v>
      </c>
      <c r="F18" s="151">
        <f t="shared" si="2"/>
        <v>2896033.0445230175</v>
      </c>
      <c r="G18" s="450">
        <v>2596648.4240833763</v>
      </c>
    </row>
    <row r="19" spans="2:8" x14ac:dyDescent="0.25">
      <c r="C19" s="449">
        <f t="shared" ref="C19:C20" si="3">C18+1</f>
        <v>2025</v>
      </c>
      <c r="D19" s="151">
        <f t="shared" si="1"/>
        <v>18061055.34804257</v>
      </c>
      <c r="E19" s="151">
        <v>16193948.820947105</v>
      </c>
      <c r="F19" s="151">
        <f t="shared" si="2"/>
        <v>34409141.038202032</v>
      </c>
      <c r="G19" s="450">
        <v>30852010.483749785</v>
      </c>
    </row>
    <row r="20" spans="2:8" x14ac:dyDescent="0.25">
      <c r="C20" s="449">
        <f t="shared" si="3"/>
        <v>2026</v>
      </c>
      <c r="D20" s="151">
        <f t="shared" si="1"/>
        <v>18061055.34804257</v>
      </c>
      <c r="E20" s="151">
        <v>16193948.820947105</v>
      </c>
      <c r="F20" s="151">
        <f t="shared" si="2"/>
        <v>34409141.038202032</v>
      </c>
      <c r="G20" s="450">
        <v>30852010.483749785</v>
      </c>
    </row>
    <row r="21" spans="2:8" x14ac:dyDescent="0.25">
      <c r="C21" s="449">
        <f>C20+1</f>
        <v>2027</v>
      </c>
      <c r="D21" s="151">
        <f t="shared" si="1"/>
        <v>9076182.5156493001</v>
      </c>
      <c r="E21" s="151">
        <v>8137909.5692727119</v>
      </c>
      <c r="F21" s="151">
        <f t="shared" si="2"/>
        <v>9076182.5156493001</v>
      </c>
      <c r="G21" s="450">
        <v>8137909.5692727119</v>
      </c>
    </row>
    <row r="22" spans="2:8" x14ac:dyDescent="0.25">
      <c r="C22" s="449">
        <f>C21+1</f>
        <v>2028</v>
      </c>
      <c r="D22" s="151">
        <f>E22*1.115296556</f>
        <v>4108935.7465213127</v>
      </c>
      <c r="E22" s="151">
        <v>3684164.2919242657</v>
      </c>
      <c r="F22" s="151">
        <f t="shared" si="2"/>
        <v>4108935.7465213127</v>
      </c>
      <c r="G22" s="450">
        <v>3684164.2919242657</v>
      </c>
      <c r="H22" s="964"/>
    </row>
    <row r="23" spans="2:8" ht="18" thickBot="1" x14ac:dyDescent="0.3">
      <c r="C23" s="452" t="s">
        <v>25</v>
      </c>
      <c r="D23" s="453">
        <f>SUM(D16:D22)</f>
        <v>54434353.814292401</v>
      </c>
      <c r="E23" s="453">
        <f>SUM(E16:E22)</f>
        <v>48807067.072385371</v>
      </c>
      <c r="F23" s="453">
        <f>SUM(F16:F22)</f>
        <v>92051531.361879095</v>
      </c>
      <c r="G23" s="454">
        <f>SUM(G16:G22)</f>
        <v>82535475.310729012</v>
      </c>
    </row>
    <row r="25" spans="2:8" ht="18" thickBot="1" x14ac:dyDescent="0.3">
      <c r="B25" s="1" t="s">
        <v>87</v>
      </c>
      <c r="C25" s="522" t="s">
        <v>250</v>
      </c>
    </row>
    <row r="26" spans="2:8" x14ac:dyDescent="0.25">
      <c r="C26" s="672" t="s">
        <v>109</v>
      </c>
      <c r="D26" s="456" t="s">
        <v>107</v>
      </c>
      <c r="E26" s="456" t="s">
        <v>110</v>
      </c>
      <c r="F26" s="456" t="s">
        <v>111</v>
      </c>
      <c r="G26" s="457" t="s">
        <v>112</v>
      </c>
    </row>
    <row r="27" spans="2:8" ht="45.6" x14ac:dyDescent="0.25">
      <c r="C27" s="673" t="s">
        <v>113</v>
      </c>
      <c r="D27" s="674" t="s">
        <v>16</v>
      </c>
      <c r="E27" s="172" t="s">
        <v>470</v>
      </c>
      <c r="F27" s="172" t="s">
        <v>115</v>
      </c>
      <c r="G27" s="458" t="s">
        <v>114</v>
      </c>
    </row>
    <row r="28" spans="2:8" ht="57" x14ac:dyDescent="0.25">
      <c r="C28" s="673" t="s">
        <v>74</v>
      </c>
      <c r="D28" s="172" t="s">
        <v>558</v>
      </c>
      <c r="E28" s="172" t="s">
        <v>471</v>
      </c>
      <c r="F28" s="172" t="s">
        <v>115</v>
      </c>
      <c r="G28" s="458" t="s">
        <v>114</v>
      </c>
    </row>
    <row r="29" spans="2:8" ht="45.6" x14ac:dyDescent="0.25">
      <c r="C29" s="673" t="s">
        <v>116</v>
      </c>
      <c r="D29" s="172" t="s">
        <v>559</v>
      </c>
      <c r="E29" s="172" t="s">
        <v>472</v>
      </c>
      <c r="F29" s="172" t="s">
        <v>115</v>
      </c>
      <c r="G29" s="458" t="s">
        <v>114</v>
      </c>
    </row>
    <row r="30" spans="2:8" ht="57" x14ac:dyDescent="0.25">
      <c r="C30" s="1299" t="s">
        <v>117</v>
      </c>
      <c r="D30" s="172" t="s">
        <v>557</v>
      </c>
      <c r="E30" s="172" t="s">
        <v>473</v>
      </c>
      <c r="F30" s="172" t="s">
        <v>115</v>
      </c>
      <c r="G30" s="458" t="s">
        <v>114</v>
      </c>
    </row>
    <row r="31" spans="2:8" ht="22.8" x14ac:dyDescent="0.25">
      <c r="C31" s="1300"/>
      <c r="D31" s="674" t="s">
        <v>17</v>
      </c>
      <c r="E31" s="674" t="s">
        <v>118</v>
      </c>
      <c r="F31" s="674" t="s">
        <v>115</v>
      </c>
      <c r="G31" s="965" t="s">
        <v>114</v>
      </c>
    </row>
    <row r="32" spans="2:8" ht="39" customHeight="1" thickBot="1" x14ac:dyDescent="0.3">
      <c r="C32" s="966" t="s">
        <v>556</v>
      </c>
      <c r="D32" s="967" t="s">
        <v>560</v>
      </c>
      <c r="E32" s="967" t="s">
        <v>561</v>
      </c>
      <c r="F32" s="967" t="s">
        <v>114</v>
      </c>
      <c r="G32" s="968" t="s">
        <v>115</v>
      </c>
    </row>
    <row r="33" spans="1:11" x14ac:dyDescent="0.25">
      <c r="C33" s="137"/>
      <c r="D33" s="137"/>
      <c r="E33" s="138"/>
      <c r="F33" s="138"/>
      <c r="G33" s="138"/>
      <c r="H33" s="138"/>
      <c r="I33" s="138"/>
    </row>
    <row r="34" spans="1:11" ht="18" thickBot="1" x14ac:dyDescent="0.3">
      <c r="A34" s="523" t="s">
        <v>226</v>
      </c>
      <c r="B34" s="1" t="s">
        <v>223</v>
      </c>
      <c r="C34" s="522" t="s">
        <v>580</v>
      </c>
      <c r="I34"/>
    </row>
    <row r="35" spans="1:11" x14ac:dyDescent="0.25">
      <c r="C35" s="1253" t="s">
        <v>551</v>
      </c>
      <c r="D35" s="1286" t="s">
        <v>18</v>
      </c>
      <c r="E35" s="1286"/>
      <c r="F35" s="1286" t="s">
        <v>567</v>
      </c>
      <c r="G35" s="1286"/>
      <c r="H35" s="1286" t="s">
        <v>568</v>
      </c>
      <c r="I35" s="1286"/>
      <c r="J35" s="1286" t="s">
        <v>569</v>
      </c>
      <c r="K35" s="1287"/>
    </row>
    <row r="36" spans="1:11" x14ac:dyDescent="0.25">
      <c r="C36" s="1254"/>
      <c r="D36" s="1153" t="s">
        <v>566</v>
      </c>
      <c r="E36" s="1153" t="s">
        <v>314</v>
      </c>
      <c r="F36" s="1153">
        <v>2023</v>
      </c>
      <c r="G36" s="1153">
        <v>2048</v>
      </c>
      <c r="H36" s="1153">
        <v>2023</v>
      </c>
      <c r="I36" s="1153">
        <v>2048</v>
      </c>
      <c r="J36" s="1153">
        <v>2023</v>
      </c>
      <c r="K36" s="1154">
        <v>2048</v>
      </c>
    </row>
    <row r="37" spans="1:11" x14ac:dyDescent="0.25">
      <c r="C37" s="1289" t="s">
        <v>315</v>
      </c>
      <c r="D37" s="981" t="s">
        <v>316</v>
      </c>
      <c r="E37" s="981" t="s">
        <v>276</v>
      </c>
      <c r="F37" s="173">
        <f>'Traffic Data'!J7</f>
        <v>16000</v>
      </c>
      <c r="G37" s="173">
        <f>'Traffic Data'!AI7</f>
        <v>42703.999999999993</v>
      </c>
      <c r="H37" s="173">
        <f>'Traffic Data'!J27</f>
        <v>16000</v>
      </c>
      <c r="I37" s="173">
        <f>'Traffic Data'!AI27</f>
        <v>42489.799999999996</v>
      </c>
      <c r="J37" s="173">
        <f>'Traffic Data'!J47</f>
        <v>16000</v>
      </c>
      <c r="K37" s="985">
        <f>'Traffic Data'!AI47</f>
        <v>42489.799999999996</v>
      </c>
    </row>
    <row r="38" spans="1:11" x14ac:dyDescent="0.25">
      <c r="C38" s="1289"/>
      <c r="D38" s="981" t="s">
        <v>276</v>
      </c>
      <c r="E38" s="981" t="s">
        <v>274</v>
      </c>
      <c r="F38" s="173">
        <f>'Traffic Data'!J8</f>
        <v>13500</v>
      </c>
      <c r="G38" s="173">
        <f>'Traffic Data'!AI8</f>
        <v>42956.700000000004</v>
      </c>
      <c r="H38" s="173">
        <f>'Traffic Data'!J28</f>
        <v>13500</v>
      </c>
      <c r="I38" s="173">
        <f>'Traffic Data'!AI28</f>
        <v>42686.1</v>
      </c>
      <c r="J38" s="173">
        <f>'Traffic Data'!J48</f>
        <v>13500</v>
      </c>
      <c r="K38" s="985">
        <f>'Traffic Data'!AI48</f>
        <v>42686.1</v>
      </c>
    </row>
    <row r="39" spans="1:11" x14ac:dyDescent="0.25">
      <c r="C39" s="1289"/>
      <c r="D39" s="981" t="s">
        <v>274</v>
      </c>
      <c r="E39" s="981" t="s">
        <v>317</v>
      </c>
      <c r="F39" s="173">
        <f>'Traffic Data'!J9</f>
        <v>12000</v>
      </c>
      <c r="G39" s="173">
        <f>'Traffic Data'!AI9</f>
        <v>27954.799999999999</v>
      </c>
      <c r="H39" s="173">
        <f>'Traffic Data'!J29</f>
        <v>12000</v>
      </c>
      <c r="I39" s="173">
        <f>'Traffic Data'!AI29</f>
        <v>27954.799999999999</v>
      </c>
      <c r="J39" s="173">
        <f>'Traffic Data'!J49</f>
        <v>12000</v>
      </c>
      <c r="K39" s="985">
        <f>'Traffic Data'!AI49</f>
        <v>27954.799999999999</v>
      </c>
    </row>
    <row r="40" spans="1:11" x14ac:dyDescent="0.25">
      <c r="C40" s="1290" t="s">
        <v>274</v>
      </c>
      <c r="D40" s="979" t="s">
        <v>275</v>
      </c>
      <c r="E40" s="979" t="s">
        <v>318</v>
      </c>
      <c r="F40" s="986">
        <f>'Traffic Data'!J10</f>
        <v>4000</v>
      </c>
      <c r="G40" s="986">
        <f>'Traffic Data'!AI10</f>
        <v>27814.52</v>
      </c>
      <c r="H40" s="986">
        <f>'Traffic Data'!J30</f>
        <v>4000</v>
      </c>
      <c r="I40" s="986">
        <f>'Traffic Data'!AI30</f>
        <v>29056.799999999996</v>
      </c>
      <c r="J40" s="986">
        <f>'Traffic Data'!J50</f>
        <v>4000</v>
      </c>
      <c r="K40" s="987">
        <f>'Traffic Data'!AI50</f>
        <v>29056.799999999996</v>
      </c>
    </row>
    <row r="41" spans="1:11" x14ac:dyDescent="0.25">
      <c r="C41" s="1289"/>
      <c r="D41" s="981" t="s">
        <v>318</v>
      </c>
      <c r="E41" s="981" t="s">
        <v>308</v>
      </c>
      <c r="F41" s="173">
        <f>'Traffic Data'!J11</f>
        <v>2400</v>
      </c>
      <c r="G41" s="173">
        <f>'Traffic Data'!AI11</f>
        <v>21463.439999999999</v>
      </c>
      <c r="H41" s="173">
        <f>'Traffic Data'!J31</f>
        <v>2400</v>
      </c>
      <c r="I41" s="173">
        <f>'Traffic Data'!AI31</f>
        <v>14372.88</v>
      </c>
      <c r="J41" s="173">
        <f>'Traffic Data'!J51</f>
        <v>2400</v>
      </c>
      <c r="K41" s="985">
        <f>'Traffic Data'!AI51</f>
        <v>11716.88</v>
      </c>
    </row>
    <row r="42" spans="1:11" x14ac:dyDescent="0.25">
      <c r="C42" s="1291"/>
      <c r="D42" s="980" t="s">
        <v>308</v>
      </c>
      <c r="E42" s="980" t="s">
        <v>319</v>
      </c>
      <c r="F42" s="988">
        <f>'Traffic Data'!J12</f>
        <v>6000</v>
      </c>
      <c r="G42" s="988">
        <f>'Traffic Data'!AI12</f>
        <v>14674.160000000002</v>
      </c>
      <c r="H42" s="988">
        <f>'Traffic Data'!J32</f>
        <v>6000</v>
      </c>
      <c r="I42" s="988">
        <f>'Traffic Data'!AI32</f>
        <v>12045.519999999999</v>
      </c>
      <c r="J42" s="988">
        <f>'Traffic Data'!J52</f>
        <v>6000</v>
      </c>
      <c r="K42" s="989">
        <f>'Traffic Data'!AI52</f>
        <v>12045.519999999999</v>
      </c>
    </row>
    <row r="43" spans="1:11" x14ac:dyDescent="0.25">
      <c r="C43" s="982" t="s">
        <v>320</v>
      </c>
      <c r="D43" s="981" t="s">
        <v>318</v>
      </c>
      <c r="E43" s="981" t="s">
        <v>308</v>
      </c>
      <c r="F43" s="173">
        <f>'Traffic Data'!J13</f>
        <v>20</v>
      </c>
      <c r="G43" s="173">
        <f>'Traffic Data'!AI13</f>
        <v>1045.68</v>
      </c>
      <c r="H43" s="173">
        <f>'Traffic Data'!J33</f>
        <v>20</v>
      </c>
      <c r="I43" s="173">
        <f>'Traffic Data'!AI33</f>
        <v>11628.960000000003</v>
      </c>
      <c r="J43" s="173">
        <f>'Traffic Data'!J53</f>
        <v>20</v>
      </c>
      <c r="K43" s="985">
        <f>'Traffic Data'!AI53</f>
        <v>8711.4599999999991</v>
      </c>
    </row>
    <row r="44" spans="1:11" x14ac:dyDescent="0.25">
      <c r="C44" s="1290" t="s">
        <v>308</v>
      </c>
      <c r="D44" s="979" t="s">
        <v>276</v>
      </c>
      <c r="E44" s="979" t="s">
        <v>320</v>
      </c>
      <c r="F44" s="986">
        <f>'Traffic Data'!J14</f>
        <v>100</v>
      </c>
      <c r="G44" s="986">
        <f>'Traffic Data'!AI14</f>
        <v>6522.4000000000005</v>
      </c>
      <c r="H44" s="986">
        <f>'Traffic Data'!J34</f>
        <v>100</v>
      </c>
      <c r="I44" s="986">
        <f>'Traffic Data'!AI34</f>
        <v>13247.199999999999</v>
      </c>
      <c r="J44" s="986">
        <f>'Traffic Data'!J54</f>
        <v>100</v>
      </c>
      <c r="K44" s="987">
        <f>'Traffic Data'!AI54</f>
        <v>13247.199999999999</v>
      </c>
    </row>
    <row r="45" spans="1:11" x14ac:dyDescent="0.25">
      <c r="C45" s="1289"/>
      <c r="D45" s="981" t="s">
        <v>320</v>
      </c>
      <c r="E45" s="981" t="s">
        <v>282</v>
      </c>
      <c r="F45" s="173">
        <f>'Traffic Data'!J15</f>
        <v>220</v>
      </c>
      <c r="G45" s="173">
        <f>'Traffic Data'!AI15</f>
        <v>13636</v>
      </c>
      <c r="H45" s="173">
        <f>'Traffic Data'!J35</f>
        <v>0</v>
      </c>
      <c r="I45" s="173">
        <f>'Traffic Data'!AI35</f>
        <v>13247.199999999999</v>
      </c>
      <c r="J45" s="173">
        <f>'Traffic Data'!J55</f>
        <v>0</v>
      </c>
      <c r="K45" s="985">
        <f>'Traffic Data'!AI55</f>
        <v>13247.199999999999</v>
      </c>
    </row>
    <row r="46" spans="1:11" x14ac:dyDescent="0.25">
      <c r="C46" s="1289"/>
      <c r="D46" s="981" t="s">
        <v>282</v>
      </c>
      <c r="E46" s="981" t="s">
        <v>321</v>
      </c>
      <c r="F46" s="173">
        <f>'Traffic Data'!J16</f>
        <v>300</v>
      </c>
      <c r="G46" s="173">
        <f>'Traffic Data'!AI16</f>
        <v>18594.68</v>
      </c>
      <c r="H46" s="173">
        <f>'Traffic Data'!J36</f>
        <v>0</v>
      </c>
      <c r="I46" s="173">
        <f>'Traffic Data'!AI36</f>
        <v>13247.199999999999</v>
      </c>
      <c r="J46" s="173">
        <f>'Traffic Data'!J56</f>
        <v>0</v>
      </c>
      <c r="K46" s="985">
        <f>'Traffic Data'!AI56</f>
        <v>13247.199999999999</v>
      </c>
    </row>
    <row r="47" spans="1:11" x14ac:dyDescent="0.25">
      <c r="C47" s="1291"/>
      <c r="D47" s="980" t="s">
        <v>321</v>
      </c>
      <c r="E47" s="980" t="s">
        <v>274</v>
      </c>
      <c r="F47" s="988">
        <f>'Traffic Data'!J17</f>
        <v>300</v>
      </c>
      <c r="G47" s="988">
        <f>'Traffic Data'!AI17</f>
        <v>18594.68</v>
      </c>
      <c r="H47" s="988">
        <f>'Traffic Data'!J37</f>
        <v>300</v>
      </c>
      <c r="I47" s="988">
        <f>'Traffic Data'!AI37</f>
        <v>11461.24</v>
      </c>
      <c r="J47" s="988">
        <f>'Traffic Data'!J57</f>
        <v>300</v>
      </c>
      <c r="K47" s="989">
        <f>'Traffic Data'!AI57</f>
        <v>8653.3199999999979</v>
      </c>
    </row>
    <row r="48" spans="1:11" x14ac:dyDescent="0.25">
      <c r="C48" s="983" t="s">
        <v>282</v>
      </c>
      <c r="D48" s="978" t="s">
        <v>308</v>
      </c>
      <c r="E48" s="978" t="s">
        <v>324</v>
      </c>
      <c r="F48" s="990">
        <f>'Traffic Data'!J18</f>
        <v>1800</v>
      </c>
      <c r="G48" s="990">
        <f>'Traffic Data'!AI18</f>
        <v>6791.92</v>
      </c>
      <c r="H48" s="990">
        <f>'Traffic Data'!J38</f>
        <v>1800</v>
      </c>
      <c r="I48" s="990">
        <f>'Traffic Data'!AI38</f>
        <v>5378.3399999999992</v>
      </c>
      <c r="J48" s="990">
        <f>'Traffic Data'!J58</f>
        <v>1800</v>
      </c>
      <c r="K48" s="991">
        <f>'Traffic Data'!AI58</f>
        <v>5378.3399999999992</v>
      </c>
    </row>
    <row r="49" spans="3:11" x14ac:dyDescent="0.25">
      <c r="C49" s="982" t="s">
        <v>321</v>
      </c>
      <c r="D49" s="981" t="s">
        <v>318</v>
      </c>
      <c r="E49" s="981" t="s">
        <v>308</v>
      </c>
      <c r="F49" s="173">
        <f>'Traffic Data'!J19</f>
        <v>0</v>
      </c>
      <c r="G49" s="173">
        <f>'Traffic Data'!AI19</f>
        <v>0</v>
      </c>
      <c r="H49" s="173">
        <f>'Traffic Data'!J39</f>
        <v>0</v>
      </c>
      <c r="I49" s="173">
        <f>'Traffic Data'!AI39</f>
        <v>0</v>
      </c>
      <c r="J49" s="173">
        <f>'Traffic Data'!J59</f>
        <v>0</v>
      </c>
      <c r="K49" s="985">
        <f>'Traffic Data'!AI59</f>
        <v>5378.3399999999992</v>
      </c>
    </row>
    <row r="50" spans="3:11" x14ac:dyDescent="0.25">
      <c r="C50" s="983" t="s">
        <v>333</v>
      </c>
      <c r="D50" s="978" t="s">
        <v>319</v>
      </c>
      <c r="E50" s="978" t="s">
        <v>308</v>
      </c>
      <c r="F50" s="990">
        <f>'Traffic Data'!J20</f>
        <v>3600</v>
      </c>
      <c r="G50" s="990">
        <f>'Traffic Data'!AI20</f>
        <v>7961.8</v>
      </c>
      <c r="H50" s="990">
        <f>'Traffic Data'!J40</f>
        <v>3600</v>
      </c>
      <c r="I50" s="990">
        <f>'Traffic Data'!AI40</f>
        <v>5374.46</v>
      </c>
      <c r="J50" s="990">
        <f>'Traffic Data'!J60</f>
        <v>3600</v>
      </c>
      <c r="K50" s="991">
        <f>'Traffic Data'!AI60</f>
        <v>5374.46</v>
      </c>
    </row>
    <row r="51" spans="3:11" x14ac:dyDescent="0.25">
      <c r="C51" s="1289" t="s">
        <v>319</v>
      </c>
      <c r="D51" s="981" t="s">
        <v>276</v>
      </c>
      <c r="E51" s="981" t="s">
        <v>333</v>
      </c>
      <c r="F51" s="173">
        <f>'Traffic Data'!J21</f>
        <v>10000</v>
      </c>
      <c r="G51" s="173">
        <f>'Traffic Data'!AI21</f>
        <v>26230.92</v>
      </c>
      <c r="H51" s="173">
        <f>'Traffic Data'!J41</f>
        <v>10000</v>
      </c>
      <c r="I51" s="173">
        <f>'Traffic Data'!AI41</f>
        <v>18761.440000000002</v>
      </c>
      <c r="J51" s="173">
        <f>'Traffic Data'!J61</f>
        <v>10000</v>
      </c>
      <c r="K51" s="985">
        <f>'Traffic Data'!AI61</f>
        <v>18761.440000000002</v>
      </c>
    </row>
    <row r="52" spans="3:11" x14ac:dyDescent="0.25">
      <c r="C52" s="1289"/>
      <c r="D52" s="981" t="s">
        <v>333</v>
      </c>
      <c r="E52" s="981" t="s">
        <v>323</v>
      </c>
      <c r="F52" s="173">
        <f>'Traffic Data'!J22</f>
        <v>7600</v>
      </c>
      <c r="G52" s="173">
        <f>'Traffic Data'!AI22</f>
        <v>18593.319999999996</v>
      </c>
      <c r="H52" s="173">
        <f>'Traffic Data'!J42</f>
        <v>7600</v>
      </c>
      <c r="I52" s="173">
        <f>'Traffic Data'!AI42</f>
        <v>14492.399999999998</v>
      </c>
      <c r="J52" s="173">
        <f>'Traffic Data'!J62</f>
        <v>7600</v>
      </c>
      <c r="K52" s="985">
        <f>'Traffic Data'!AI62</f>
        <v>14492.399999999998</v>
      </c>
    </row>
    <row r="53" spans="3:11" x14ac:dyDescent="0.25">
      <c r="C53" s="1289"/>
      <c r="D53" s="981" t="s">
        <v>323</v>
      </c>
      <c r="E53" s="981" t="s">
        <v>322</v>
      </c>
      <c r="F53" s="173">
        <f>'Traffic Data'!J23</f>
        <v>7600</v>
      </c>
      <c r="G53" s="173">
        <f>'Traffic Data'!AI23</f>
        <v>18593.319999999996</v>
      </c>
      <c r="H53" s="173">
        <f>'Traffic Data'!J43</f>
        <v>7600</v>
      </c>
      <c r="I53" s="173">
        <f>'Traffic Data'!AI43</f>
        <v>14492.399999999998</v>
      </c>
      <c r="J53" s="173">
        <f>'Traffic Data'!J63</f>
        <v>7600</v>
      </c>
      <c r="K53" s="985">
        <f>'Traffic Data'!AI63</f>
        <v>14492.399999999998</v>
      </c>
    </row>
    <row r="54" spans="3:11" x14ac:dyDescent="0.25">
      <c r="C54" s="1289"/>
      <c r="D54" s="981" t="s">
        <v>322</v>
      </c>
      <c r="E54" s="981" t="s">
        <v>326</v>
      </c>
      <c r="F54" s="173">
        <f>'Traffic Data'!J24</f>
        <v>6000</v>
      </c>
      <c r="G54" s="173">
        <f>'Traffic Data'!AI24</f>
        <v>13874.76</v>
      </c>
      <c r="H54" s="173">
        <f>'Traffic Data'!J44</f>
        <v>6000</v>
      </c>
      <c r="I54" s="173">
        <f>'Traffic Data'!AI44</f>
        <v>11270.639999999998</v>
      </c>
      <c r="J54" s="173">
        <f>'Traffic Data'!J64</f>
        <v>6000</v>
      </c>
      <c r="K54" s="985">
        <f>'Traffic Data'!AI64</f>
        <v>11270.639999999998</v>
      </c>
    </row>
    <row r="55" spans="3:11" x14ac:dyDescent="0.25">
      <c r="C55" s="1289"/>
      <c r="D55" s="981" t="s">
        <v>326</v>
      </c>
      <c r="E55" s="981" t="s">
        <v>274</v>
      </c>
      <c r="F55" s="173">
        <f>'Traffic Data'!J25</f>
        <v>6000</v>
      </c>
      <c r="G55" s="173">
        <f>'Traffic Data'!AI25</f>
        <v>13874.76</v>
      </c>
      <c r="H55" s="173">
        <f>'Traffic Data'!J45</f>
        <v>6000</v>
      </c>
      <c r="I55" s="173">
        <f>'Traffic Data'!AI45</f>
        <v>11270.639999999998</v>
      </c>
      <c r="J55" s="173">
        <f>'Traffic Data'!J65</f>
        <v>6000</v>
      </c>
      <c r="K55" s="985">
        <f>'Traffic Data'!AI65</f>
        <v>11270.639999999998</v>
      </c>
    </row>
    <row r="56" spans="3:11" ht="18" thickBot="1" x14ac:dyDescent="0.3">
      <c r="C56" s="1298"/>
      <c r="D56" s="984" t="s">
        <v>274</v>
      </c>
      <c r="E56" s="984" t="s">
        <v>317</v>
      </c>
      <c r="F56" s="992">
        <f>'Traffic Data'!J26</f>
        <v>2400</v>
      </c>
      <c r="G56" s="992">
        <f>'Traffic Data'!AI26</f>
        <v>5549.9040000000005</v>
      </c>
      <c r="H56" s="992">
        <f>'Traffic Data'!J46</f>
        <v>2400</v>
      </c>
      <c r="I56" s="992">
        <f>'Traffic Data'!AI46</f>
        <v>4508.2559999999994</v>
      </c>
      <c r="J56" s="992">
        <f>'Traffic Data'!J66</f>
        <v>2400</v>
      </c>
      <c r="K56" s="993">
        <f>'Traffic Data'!AI66</f>
        <v>4508.2559999999994</v>
      </c>
    </row>
    <row r="58" spans="3:11" ht="18" thickBot="1" x14ac:dyDescent="0.3">
      <c r="C58" s="522" t="s">
        <v>579</v>
      </c>
    </row>
    <row r="59" spans="3:11" x14ac:dyDescent="0.25">
      <c r="C59" s="1253" t="s">
        <v>551</v>
      </c>
      <c r="D59" s="1286" t="s">
        <v>18</v>
      </c>
      <c r="E59" s="1286"/>
      <c r="F59" s="1286" t="s">
        <v>570</v>
      </c>
      <c r="G59" s="1286"/>
      <c r="H59" s="1286" t="s">
        <v>571</v>
      </c>
      <c r="I59" s="1286"/>
      <c r="J59" s="1286" t="s">
        <v>572</v>
      </c>
      <c r="K59" s="1287"/>
    </row>
    <row r="60" spans="3:11" x14ac:dyDescent="0.25">
      <c r="C60" s="1254"/>
      <c r="D60" s="1153" t="s">
        <v>566</v>
      </c>
      <c r="E60" s="1153" t="s">
        <v>314</v>
      </c>
      <c r="F60" s="1153">
        <v>2023</v>
      </c>
      <c r="G60" s="1153">
        <v>2048</v>
      </c>
      <c r="H60" s="1153">
        <v>2023</v>
      </c>
      <c r="I60" s="1153">
        <v>2048</v>
      </c>
      <c r="J60" s="1153">
        <v>2023</v>
      </c>
      <c r="K60" s="1154">
        <v>2048</v>
      </c>
    </row>
    <row r="61" spans="3:11" x14ac:dyDescent="0.25">
      <c r="C61" s="1289" t="s">
        <v>315</v>
      </c>
      <c r="D61" s="981" t="s">
        <v>316</v>
      </c>
      <c r="E61" s="981" t="s">
        <v>276</v>
      </c>
      <c r="F61" s="173">
        <f>'Traffic Data'!AK7</f>
        <v>1520</v>
      </c>
      <c r="G61" s="173">
        <f>'Traffic Data'!BJ7</f>
        <v>4056.8799999999992</v>
      </c>
      <c r="H61" s="173">
        <f>'Traffic Data'!AK27</f>
        <v>1520</v>
      </c>
      <c r="I61" s="173">
        <f>'Traffic Data'!BJ27</f>
        <v>4036.5309999999995</v>
      </c>
      <c r="J61" s="173">
        <f>'Traffic Data'!AK47</f>
        <v>1520</v>
      </c>
      <c r="K61" s="985">
        <f>'Traffic Data'!BJ47</f>
        <v>4036.5309999999995</v>
      </c>
    </row>
    <row r="62" spans="3:11" x14ac:dyDescent="0.25">
      <c r="C62" s="1289"/>
      <c r="D62" s="981" t="s">
        <v>276</v>
      </c>
      <c r="E62" s="981" t="s">
        <v>274</v>
      </c>
      <c r="F62" s="173">
        <f>'Traffic Data'!AK8</f>
        <v>48876.136363636368</v>
      </c>
      <c r="G62" s="173">
        <f>'Traffic Data'!BJ8</f>
        <v>155522.77977272728</v>
      </c>
      <c r="H62" s="173">
        <f>'Traffic Data'!AK28</f>
        <v>48876.136363636368</v>
      </c>
      <c r="I62" s="173">
        <f>'Traffic Data'!BJ28</f>
        <v>154543.08477272728</v>
      </c>
      <c r="J62" s="173">
        <f>'Traffic Data'!AK48</f>
        <v>48876.136363636368</v>
      </c>
      <c r="K62" s="985">
        <f>'Traffic Data'!BJ48</f>
        <v>154543.08477272728</v>
      </c>
    </row>
    <row r="63" spans="3:11" x14ac:dyDescent="0.25">
      <c r="C63" s="1289"/>
      <c r="D63" s="981" t="s">
        <v>274</v>
      </c>
      <c r="E63" s="981" t="s">
        <v>317</v>
      </c>
      <c r="F63" s="173">
        <f>'Traffic Data'!AK9</f>
        <v>1140</v>
      </c>
      <c r="G63" s="173">
        <f>'Traffic Data'!BJ9</f>
        <v>2655.7060000000001</v>
      </c>
      <c r="H63" s="173">
        <f>'Traffic Data'!AK29</f>
        <v>1140</v>
      </c>
      <c r="I63" s="173">
        <f>'Traffic Data'!BJ29</f>
        <v>2655.7060000000001</v>
      </c>
      <c r="J63" s="173">
        <f>'Traffic Data'!AK49</f>
        <v>1140</v>
      </c>
      <c r="K63" s="985">
        <f>'Traffic Data'!BJ49</f>
        <v>2655.7060000000001</v>
      </c>
    </row>
    <row r="64" spans="3:11" x14ac:dyDescent="0.25">
      <c r="C64" s="1290" t="s">
        <v>274</v>
      </c>
      <c r="D64" s="979" t="s">
        <v>275</v>
      </c>
      <c r="E64" s="979" t="s">
        <v>318</v>
      </c>
      <c r="F64" s="986">
        <f>'Traffic Data'!AK10</f>
        <v>10360</v>
      </c>
      <c r="G64" s="986">
        <f>'Traffic Data'!BJ10</f>
        <v>72039.606799999994</v>
      </c>
      <c r="H64" s="986">
        <f>'Traffic Data'!AK30</f>
        <v>10360</v>
      </c>
      <c r="I64" s="986">
        <f>'Traffic Data'!BJ30</f>
        <v>75257.111999999979</v>
      </c>
      <c r="J64" s="986">
        <f>'Traffic Data'!AK50</f>
        <v>10360</v>
      </c>
      <c r="K64" s="987">
        <f>'Traffic Data'!BJ50</f>
        <v>75257.111999999979</v>
      </c>
    </row>
    <row r="65" spans="3:11" x14ac:dyDescent="0.25">
      <c r="C65" s="1289"/>
      <c r="D65" s="981" t="s">
        <v>318</v>
      </c>
      <c r="E65" s="981" t="s">
        <v>308</v>
      </c>
      <c r="F65" s="173">
        <f>'Traffic Data'!AK11</f>
        <v>1200</v>
      </c>
      <c r="G65" s="173">
        <f>'Traffic Data'!BJ11</f>
        <v>10731.72</v>
      </c>
      <c r="H65" s="173">
        <f>'Traffic Data'!AK31</f>
        <v>1200</v>
      </c>
      <c r="I65" s="173">
        <f>'Traffic Data'!BJ31</f>
        <v>7186.44</v>
      </c>
      <c r="J65" s="173">
        <f>'Traffic Data'!AK51</f>
        <v>1200</v>
      </c>
      <c r="K65" s="985">
        <f>'Traffic Data'!BJ51</f>
        <v>5858.44</v>
      </c>
    </row>
    <row r="66" spans="3:11" x14ac:dyDescent="0.25">
      <c r="C66" s="1291"/>
      <c r="D66" s="980" t="s">
        <v>308</v>
      </c>
      <c r="E66" s="980" t="s">
        <v>319</v>
      </c>
      <c r="F66" s="988">
        <f>'Traffic Data'!AK12</f>
        <v>16080.000000000002</v>
      </c>
      <c r="G66" s="988">
        <f>'Traffic Data'!BJ12</f>
        <v>39326.748800000008</v>
      </c>
      <c r="H66" s="988">
        <f>'Traffic Data'!AK32</f>
        <v>16080.000000000002</v>
      </c>
      <c r="I66" s="988">
        <f>'Traffic Data'!BJ32</f>
        <v>32281.993599999998</v>
      </c>
      <c r="J66" s="988">
        <f>'Traffic Data'!AK52</f>
        <v>16080.000000000002</v>
      </c>
      <c r="K66" s="989">
        <f>'Traffic Data'!BJ52</f>
        <v>32281.993599999998</v>
      </c>
    </row>
    <row r="67" spans="3:11" x14ac:dyDescent="0.25">
      <c r="C67" s="982" t="s">
        <v>320</v>
      </c>
      <c r="D67" s="981" t="s">
        <v>318</v>
      </c>
      <c r="E67" s="981" t="s">
        <v>308</v>
      </c>
      <c r="F67" s="173">
        <f>'Traffic Data'!AK13</f>
        <v>47</v>
      </c>
      <c r="G67" s="173">
        <f>'Traffic Data'!BJ13</f>
        <v>2457.3480000000004</v>
      </c>
      <c r="H67" s="173">
        <f>'Traffic Data'!AK33</f>
        <v>47</v>
      </c>
      <c r="I67" s="173">
        <f>'Traffic Data'!BJ33</f>
        <v>27328.056000000008</v>
      </c>
      <c r="J67" s="173">
        <f>'Traffic Data'!AK53</f>
        <v>47</v>
      </c>
      <c r="K67" s="985">
        <f>'Traffic Data'!BJ53</f>
        <v>20471.931</v>
      </c>
    </row>
    <row r="68" spans="3:11" x14ac:dyDescent="0.25">
      <c r="C68" s="1290" t="s">
        <v>308</v>
      </c>
      <c r="D68" s="979" t="s">
        <v>276</v>
      </c>
      <c r="E68" s="979" t="s">
        <v>320</v>
      </c>
      <c r="F68" s="986">
        <f>'Traffic Data'!AK14</f>
        <v>135</v>
      </c>
      <c r="G68" s="986">
        <f>'Traffic Data'!BJ14</f>
        <v>8805.2400000000016</v>
      </c>
      <c r="H68" s="986">
        <f>'Traffic Data'!AK34</f>
        <v>135</v>
      </c>
      <c r="I68" s="986">
        <f>'Traffic Data'!BJ34</f>
        <v>17883.72</v>
      </c>
      <c r="J68" s="986">
        <f>'Traffic Data'!AK54</f>
        <v>135</v>
      </c>
      <c r="K68" s="987">
        <f>'Traffic Data'!BJ54</f>
        <v>17883.72</v>
      </c>
    </row>
    <row r="69" spans="3:11" x14ac:dyDescent="0.25">
      <c r="C69" s="1289"/>
      <c r="D69" s="981" t="s">
        <v>320</v>
      </c>
      <c r="E69" s="981" t="s">
        <v>282</v>
      </c>
      <c r="F69" s="173">
        <f>'Traffic Data'!AK15</f>
        <v>61.600000000000009</v>
      </c>
      <c r="G69" s="173">
        <f>'Traffic Data'!BJ15</f>
        <v>3818.0800000000004</v>
      </c>
      <c r="H69" s="173">
        <f>'Traffic Data'!AK35</f>
        <v>0</v>
      </c>
      <c r="I69" s="173">
        <f>'Traffic Data'!BJ35</f>
        <v>3709.2159999999999</v>
      </c>
      <c r="J69" s="173">
        <f>'Traffic Data'!AK55</f>
        <v>0</v>
      </c>
      <c r="K69" s="985">
        <f>'Traffic Data'!BJ55</f>
        <v>3709.2159999999999</v>
      </c>
    </row>
    <row r="70" spans="3:11" x14ac:dyDescent="0.25">
      <c r="C70" s="1289"/>
      <c r="D70" s="981" t="s">
        <v>282</v>
      </c>
      <c r="E70" s="981" t="s">
        <v>321</v>
      </c>
      <c r="F70" s="173">
        <f>'Traffic Data'!AK16</f>
        <v>219</v>
      </c>
      <c r="G70" s="173">
        <f>'Traffic Data'!BJ16</f>
        <v>13574.116399999999</v>
      </c>
      <c r="H70" s="173">
        <f>'Traffic Data'!AK36</f>
        <v>0</v>
      </c>
      <c r="I70" s="173">
        <f>'Traffic Data'!BJ36</f>
        <v>9670.4559999999983</v>
      </c>
      <c r="J70" s="173">
        <f>'Traffic Data'!AK56</f>
        <v>0</v>
      </c>
      <c r="K70" s="985">
        <f>'Traffic Data'!BJ56</f>
        <v>9670.4559999999983</v>
      </c>
    </row>
    <row r="71" spans="3:11" x14ac:dyDescent="0.25">
      <c r="C71" s="1291"/>
      <c r="D71" s="980" t="s">
        <v>321</v>
      </c>
      <c r="E71" s="980" t="s">
        <v>274</v>
      </c>
      <c r="F71" s="988">
        <f>'Traffic Data'!AK17</f>
        <v>315</v>
      </c>
      <c r="G71" s="988">
        <f>'Traffic Data'!BJ17</f>
        <v>19524.414000000001</v>
      </c>
      <c r="H71" s="988">
        <f>'Traffic Data'!AK37</f>
        <v>315</v>
      </c>
      <c r="I71" s="988">
        <f>'Traffic Data'!BJ37</f>
        <v>12034.302</v>
      </c>
      <c r="J71" s="988">
        <f>'Traffic Data'!AK57</f>
        <v>315</v>
      </c>
      <c r="K71" s="989">
        <f>'Traffic Data'!BJ57</f>
        <v>9085.985999999999</v>
      </c>
    </row>
    <row r="72" spans="3:11" x14ac:dyDescent="0.25">
      <c r="C72" s="983" t="s">
        <v>282</v>
      </c>
      <c r="D72" s="978" t="s">
        <v>308</v>
      </c>
      <c r="E72" s="978" t="s">
        <v>324</v>
      </c>
      <c r="F72" s="990">
        <f>'Traffic Data'!AK18</f>
        <v>1800</v>
      </c>
      <c r="G72" s="990">
        <f>'Traffic Data'!BJ18</f>
        <v>6791.92</v>
      </c>
      <c r="H72" s="990">
        <f>'Traffic Data'!AK38</f>
        <v>1800</v>
      </c>
      <c r="I72" s="990">
        <f>'Traffic Data'!BJ38</f>
        <v>5378.3399999999992</v>
      </c>
      <c r="J72" s="990">
        <f>'Traffic Data'!AK58</f>
        <v>1800</v>
      </c>
      <c r="K72" s="991">
        <f>'Traffic Data'!BJ58</f>
        <v>5378.3399999999992</v>
      </c>
    </row>
    <row r="73" spans="3:11" x14ac:dyDescent="0.25">
      <c r="C73" s="982" t="s">
        <v>321</v>
      </c>
      <c r="D73" s="981" t="s">
        <v>318</v>
      </c>
      <c r="E73" s="981" t="s">
        <v>308</v>
      </c>
      <c r="F73" s="173">
        <f>'Traffic Data'!AK19</f>
        <v>0</v>
      </c>
      <c r="G73" s="173">
        <f>'Traffic Data'!BJ19</f>
        <v>0</v>
      </c>
      <c r="H73" s="173">
        <f>'Traffic Data'!AK39</f>
        <v>0</v>
      </c>
      <c r="I73" s="173">
        <f>'Traffic Data'!BJ39</f>
        <v>0</v>
      </c>
      <c r="J73" s="173">
        <f>'Traffic Data'!AK59</f>
        <v>0</v>
      </c>
      <c r="K73" s="985">
        <f>'Traffic Data'!BJ59</f>
        <v>8497.7771999999986</v>
      </c>
    </row>
    <row r="74" spans="3:11" x14ac:dyDescent="0.25">
      <c r="C74" s="983" t="s">
        <v>333</v>
      </c>
      <c r="D74" s="978" t="s">
        <v>319</v>
      </c>
      <c r="E74" s="978" t="s">
        <v>308</v>
      </c>
      <c r="F74" s="990">
        <f>'Traffic Data'!AK20</f>
        <v>3338.181818181818</v>
      </c>
      <c r="G74" s="990">
        <f>'Traffic Data'!BJ20</f>
        <v>7382.76</v>
      </c>
      <c r="H74" s="990">
        <f>'Traffic Data'!AK40</f>
        <v>3338.181818181818</v>
      </c>
      <c r="I74" s="990">
        <f>'Traffic Data'!BJ40</f>
        <v>4983.5901818181819</v>
      </c>
      <c r="J74" s="990">
        <f>'Traffic Data'!AK60</f>
        <v>3338.181818181818</v>
      </c>
      <c r="K74" s="991">
        <f>'Traffic Data'!BJ60</f>
        <v>4983.5901818181819</v>
      </c>
    </row>
    <row r="75" spans="3:11" x14ac:dyDescent="0.25">
      <c r="C75" s="1289" t="s">
        <v>319</v>
      </c>
      <c r="D75" s="981" t="s">
        <v>276</v>
      </c>
      <c r="E75" s="981" t="s">
        <v>333</v>
      </c>
      <c r="F75" s="173">
        <f>'Traffic Data'!AK21</f>
        <v>11988.636363636364</v>
      </c>
      <c r="G75" s="173">
        <f>'Traffic Data'!BJ21</f>
        <v>31447.296136363639</v>
      </c>
      <c r="H75" s="173">
        <f>'Traffic Data'!AK41</f>
        <v>11988.636363636364</v>
      </c>
      <c r="I75" s="173">
        <f>'Traffic Data'!BJ41</f>
        <v>22492.408181818188</v>
      </c>
      <c r="J75" s="173">
        <f>'Traffic Data'!AK61</f>
        <v>11988.636363636364</v>
      </c>
      <c r="K75" s="985">
        <f>'Traffic Data'!BJ61</f>
        <v>22492.408181818188</v>
      </c>
    </row>
    <row r="76" spans="3:11" x14ac:dyDescent="0.25">
      <c r="C76" s="1289"/>
      <c r="D76" s="981" t="s">
        <v>333</v>
      </c>
      <c r="E76" s="981" t="s">
        <v>323</v>
      </c>
      <c r="F76" s="173">
        <f>'Traffic Data'!AK22</f>
        <v>1745.9848484848485</v>
      </c>
      <c r="G76" s="173">
        <f>'Traffic Data'!BJ22</f>
        <v>4271.5335530303018</v>
      </c>
      <c r="H76" s="173">
        <f>'Traffic Data'!AK42</f>
        <v>1745.9848484848485</v>
      </c>
      <c r="I76" s="173">
        <f>'Traffic Data'!BJ42</f>
        <v>3329.4093181818175</v>
      </c>
      <c r="J76" s="173">
        <f>'Traffic Data'!AK62</f>
        <v>1745.9848484848485</v>
      </c>
      <c r="K76" s="985">
        <f>'Traffic Data'!BJ62</f>
        <v>3329.4093181818175</v>
      </c>
    </row>
    <row r="77" spans="3:11" x14ac:dyDescent="0.25">
      <c r="C77" s="1289"/>
      <c r="D77" s="981" t="s">
        <v>323</v>
      </c>
      <c r="E77" s="981" t="s">
        <v>322</v>
      </c>
      <c r="F77" s="173">
        <f>'Traffic Data'!AK23</f>
        <v>431.81818181818181</v>
      </c>
      <c r="G77" s="173">
        <f>'Traffic Data'!BJ23</f>
        <v>1056.4386363636361</v>
      </c>
      <c r="H77" s="173">
        <f>'Traffic Data'!AK43</f>
        <v>431.81818181818181</v>
      </c>
      <c r="I77" s="173">
        <f>'Traffic Data'!BJ43</f>
        <v>823.43181818181802</v>
      </c>
      <c r="J77" s="173">
        <f>'Traffic Data'!AK63</f>
        <v>431.81818181818181</v>
      </c>
      <c r="K77" s="985">
        <f>'Traffic Data'!BJ63</f>
        <v>823.43181818181802</v>
      </c>
    </row>
    <row r="78" spans="3:11" x14ac:dyDescent="0.25">
      <c r="C78" s="1289"/>
      <c r="D78" s="981" t="s">
        <v>322</v>
      </c>
      <c r="E78" s="981" t="s">
        <v>326</v>
      </c>
      <c r="F78" s="173">
        <f>'Traffic Data'!AK24</f>
        <v>1107.9545454545455</v>
      </c>
      <c r="G78" s="173">
        <f>'Traffic Data'!BJ24</f>
        <v>2562.1005681818183</v>
      </c>
      <c r="H78" s="173">
        <f>'Traffic Data'!AK44</f>
        <v>1107.9545454545455</v>
      </c>
      <c r="I78" s="173">
        <f>'Traffic Data'!BJ44</f>
        <v>2081.2261363636358</v>
      </c>
      <c r="J78" s="173">
        <f>'Traffic Data'!AK64</f>
        <v>1107.9545454545455</v>
      </c>
      <c r="K78" s="985">
        <f>'Traffic Data'!BJ64</f>
        <v>2081.2261363636358</v>
      </c>
    </row>
    <row r="79" spans="3:11" x14ac:dyDescent="0.25">
      <c r="C79" s="1289"/>
      <c r="D79" s="981" t="s">
        <v>326</v>
      </c>
      <c r="E79" s="981" t="s">
        <v>274</v>
      </c>
      <c r="F79" s="173">
        <f>'Traffic Data'!AK25</f>
        <v>9198.863636363636</v>
      </c>
      <c r="G79" s="173">
        <f>'Traffic Data'!BJ25</f>
        <v>21272.004204545454</v>
      </c>
      <c r="H79" s="173">
        <f>'Traffic Data'!AK45</f>
        <v>9198.863636363636</v>
      </c>
      <c r="I79" s="173">
        <f>'Traffic Data'!BJ45</f>
        <v>17279.513409090905</v>
      </c>
      <c r="J79" s="173">
        <f>'Traffic Data'!AK65</f>
        <v>9198.863636363636</v>
      </c>
      <c r="K79" s="985">
        <f>'Traffic Data'!BJ65</f>
        <v>17279.513409090905</v>
      </c>
    </row>
    <row r="80" spans="3:11" ht="18" thickBot="1" x14ac:dyDescent="0.3">
      <c r="C80" s="1298"/>
      <c r="D80" s="984" t="s">
        <v>274</v>
      </c>
      <c r="E80" s="984" t="s">
        <v>317</v>
      </c>
      <c r="F80" s="992">
        <f>'Traffic Data'!AK26</f>
        <v>227.27272727272728</v>
      </c>
      <c r="G80" s="992">
        <f>'Traffic Data'!BJ26</f>
        <v>525.55909090909097</v>
      </c>
      <c r="H80" s="992">
        <f>'Traffic Data'!AK46</f>
        <v>227.27272727272728</v>
      </c>
      <c r="I80" s="992">
        <f>'Traffic Data'!BJ46</f>
        <v>426.91818181818178</v>
      </c>
      <c r="J80" s="992">
        <f>'Traffic Data'!AK66</f>
        <v>227.27272727272728</v>
      </c>
      <c r="K80" s="993">
        <f>'Traffic Data'!BJ66</f>
        <v>426.91818181818178</v>
      </c>
    </row>
    <row r="82" spans="2:11" ht="18" thickBot="1" x14ac:dyDescent="0.3">
      <c r="C82" s="522" t="s">
        <v>578</v>
      </c>
    </row>
    <row r="83" spans="2:11" x14ac:dyDescent="0.25">
      <c r="C83" s="1253" t="s">
        <v>551</v>
      </c>
      <c r="D83" s="1286" t="s">
        <v>18</v>
      </c>
      <c r="E83" s="1286"/>
      <c r="F83" s="1286" t="s">
        <v>575</v>
      </c>
      <c r="G83" s="1286"/>
      <c r="H83" s="1286" t="s">
        <v>576</v>
      </c>
      <c r="I83" s="1286"/>
      <c r="J83" s="1286" t="s">
        <v>577</v>
      </c>
      <c r="K83" s="1287"/>
    </row>
    <row r="84" spans="2:11" x14ac:dyDescent="0.25">
      <c r="C84" s="1254"/>
      <c r="D84" s="1153" t="s">
        <v>566</v>
      </c>
      <c r="E84" s="1153" t="s">
        <v>314</v>
      </c>
      <c r="F84" s="1153">
        <v>2023</v>
      </c>
      <c r="G84" s="1153">
        <v>2048</v>
      </c>
      <c r="H84" s="1153">
        <v>2023</v>
      </c>
      <c r="I84" s="1153">
        <v>2048</v>
      </c>
      <c r="J84" s="1153">
        <v>2023</v>
      </c>
      <c r="K84" s="1154">
        <v>2048</v>
      </c>
    </row>
    <row r="85" spans="2:11" x14ac:dyDescent="0.25">
      <c r="C85" s="1289" t="s">
        <v>315</v>
      </c>
      <c r="D85" s="981" t="s">
        <v>316</v>
      </c>
      <c r="E85" s="981" t="s">
        <v>276</v>
      </c>
      <c r="F85" s="173">
        <f>'Traffic Data'!BK7</f>
        <v>21.175856323280648</v>
      </c>
      <c r="G85" s="173">
        <f>'Traffic Data'!CJ7</f>
        <v>58.541877573945087</v>
      </c>
      <c r="H85" s="173">
        <f>'Traffic Data'!BK27</f>
        <v>21.175856323280648</v>
      </c>
      <c r="I85" s="173">
        <f>'Traffic Data'!CJ27</f>
        <v>58.149490938130704</v>
      </c>
      <c r="J85" s="173">
        <f>'Traffic Data'!BK47</f>
        <v>21.175856323280648</v>
      </c>
      <c r="K85" s="985">
        <f>'Traffic Data'!CJ47</f>
        <v>58.149490938130704</v>
      </c>
    </row>
    <row r="86" spans="2:11" x14ac:dyDescent="0.25">
      <c r="C86" s="1289"/>
      <c r="D86" s="981" t="s">
        <v>276</v>
      </c>
      <c r="E86" s="981" t="s">
        <v>274</v>
      </c>
      <c r="F86" s="173">
        <f>'Traffic Data'!BK8</f>
        <v>680.91604638444551</v>
      </c>
      <c r="G86" s="173">
        <f>'Traffic Data'!CJ8</f>
        <v>2248.9506342170339</v>
      </c>
      <c r="H86" s="173">
        <f>'Traffic Data'!BK28</f>
        <v>680.91604638444551</v>
      </c>
      <c r="I86" s="173">
        <f>'Traffic Data'!CJ28</f>
        <v>2229.776073039015</v>
      </c>
      <c r="J86" s="173">
        <f>'Traffic Data'!BK48</f>
        <v>680.91604638444551</v>
      </c>
      <c r="K86" s="985">
        <f>'Traffic Data'!CJ48</f>
        <v>2229.776073039015</v>
      </c>
    </row>
    <row r="87" spans="2:11" x14ac:dyDescent="0.25">
      <c r="C87" s="1289"/>
      <c r="D87" s="981" t="s">
        <v>274</v>
      </c>
      <c r="E87" s="981" t="s">
        <v>317</v>
      </c>
      <c r="F87" s="173">
        <f>'Traffic Data'!BK9</f>
        <v>15.881862988392243</v>
      </c>
      <c r="G87" s="173">
        <f>'Traffic Data'!CJ9</f>
        <v>37.016996968011611</v>
      </c>
      <c r="H87" s="173">
        <f>'Traffic Data'!BK29</f>
        <v>15.881862988392243</v>
      </c>
      <c r="I87" s="173">
        <f>'Traffic Data'!CJ29</f>
        <v>37.016996968011611</v>
      </c>
      <c r="J87" s="173">
        <f>'Traffic Data'!BK49</f>
        <v>15.883648845893468</v>
      </c>
      <c r="K87" s="985">
        <f>'Traffic Data'!CJ49</f>
        <v>56.599684878885469</v>
      </c>
    </row>
    <row r="88" spans="2:11" x14ac:dyDescent="0.25">
      <c r="C88" s="1290" t="s">
        <v>274</v>
      </c>
      <c r="D88" s="979" t="s">
        <v>275</v>
      </c>
      <c r="E88" s="979" t="s">
        <v>318</v>
      </c>
      <c r="F88" s="986">
        <f>'Traffic Data'!BK10</f>
        <v>174.13425924047147</v>
      </c>
      <c r="G88" s="986">
        <f>'Traffic Data'!CJ10</f>
        <v>3579.1087720037763</v>
      </c>
      <c r="H88" s="986">
        <f>'Traffic Data'!BK30</f>
        <v>180.1739130441569</v>
      </c>
      <c r="I88" s="986">
        <f>'Traffic Data'!CJ30</f>
        <v>1310.8363756674971</v>
      </c>
      <c r="J88" s="986">
        <f>'Traffic Data'!BK50</f>
        <v>180.17391304455893</v>
      </c>
      <c r="K88" s="987">
        <f>'Traffic Data'!CJ50</f>
        <v>1312.0311327134871</v>
      </c>
    </row>
    <row r="89" spans="2:11" x14ac:dyDescent="0.25">
      <c r="C89" s="1289"/>
      <c r="D89" s="981" t="s">
        <v>318</v>
      </c>
      <c r="E89" s="981" t="s">
        <v>308</v>
      </c>
      <c r="F89" s="173">
        <f>'Traffic Data'!BK11</f>
        <v>24.242438227745033</v>
      </c>
      <c r="G89" s="173">
        <f>'Traffic Data'!CJ11</f>
        <v>504.68593393683329</v>
      </c>
      <c r="H89" s="173">
        <f>'Traffic Data'!BK31</f>
        <v>24.242438227745033</v>
      </c>
      <c r="I89" s="173">
        <f>'Traffic Data'!CJ31</f>
        <v>334.48599992073434</v>
      </c>
      <c r="J89" s="173">
        <f>'Traffic Data'!BK51</f>
        <v>24.242438227745033</v>
      </c>
      <c r="K89" s="985">
        <f>'Traffic Data'!CJ51</f>
        <v>272.63104305203188</v>
      </c>
    </row>
    <row r="90" spans="2:11" x14ac:dyDescent="0.25">
      <c r="B90" s="1" t="s">
        <v>87</v>
      </c>
      <c r="C90" s="1291"/>
      <c r="D90" s="980" t="s">
        <v>308</v>
      </c>
      <c r="E90" s="980" t="s">
        <v>319</v>
      </c>
      <c r="F90" s="988">
        <f>'Traffic Data'!BK12</f>
        <v>344.00994144229037</v>
      </c>
      <c r="G90" s="988">
        <f>'Traffic Data'!CJ12</f>
        <v>1858.8514603573021</v>
      </c>
      <c r="H90" s="988">
        <f>'Traffic Data'!BK32</f>
        <v>344.00994144229037</v>
      </c>
      <c r="I90" s="988">
        <f>'Traffic Data'!CJ32</f>
        <v>1525.548251527242</v>
      </c>
      <c r="J90" s="988">
        <f>'Traffic Data'!BK52</f>
        <v>344.00994144229037</v>
      </c>
      <c r="K90" s="989">
        <f>'Traffic Data'!CJ52</f>
        <v>1525.548251527242</v>
      </c>
    </row>
    <row r="91" spans="2:11" x14ac:dyDescent="0.25">
      <c r="C91" s="982" t="s">
        <v>320</v>
      </c>
      <c r="D91" s="981" t="s">
        <v>318</v>
      </c>
      <c r="E91" s="981" t="s">
        <v>308</v>
      </c>
      <c r="F91" s="173">
        <f>'Traffic Data'!BK13</f>
        <v>2.3152709359605912</v>
      </c>
      <c r="G91" s="173">
        <f>'Traffic Data'!CJ13</f>
        <v>121.05162563731817</v>
      </c>
      <c r="H91" s="173">
        <f>'Traffic Data'!BK33</f>
        <v>1.087962962962963</v>
      </c>
      <c r="I91" s="173">
        <f>'Traffic Data'!CJ33</f>
        <v>1325.7073324092203</v>
      </c>
      <c r="J91" s="173">
        <f>'Traffic Data'!BK53</f>
        <v>1.087962962962963</v>
      </c>
      <c r="K91" s="985">
        <f>'Traffic Data'!CJ53</f>
        <v>609.77069455348305</v>
      </c>
    </row>
    <row r="92" spans="2:11" x14ac:dyDescent="0.25">
      <c r="C92" s="1290" t="s">
        <v>308</v>
      </c>
      <c r="D92" s="979" t="s">
        <v>276</v>
      </c>
      <c r="E92" s="979" t="s">
        <v>320</v>
      </c>
      <c r="F92" s="986">
        <f>'Traffic Data'!BK14</f>
        <v>6.6502463054187189</v>
      </c>
      <c r="G92" s="986">
        <f>'Traffic Data'!CJ14</f>
        <v>440.64063093545963</v>
      </c>
      <c r="H92" s="986">
        <f>'Traffic Data'!BK34</f>
        <v>3.2846715328467155</v>
      </c>
      <c r="I92" s="986">
        <f>'Traffic Data'!CJ34</f>
        <v>435.12884943388639</v>
      </c>
      <c r="J92" s="986">
        <f>'Traffic Data'!BK54</f>
        <v>3.2846715328467155</v>
      </c>
      <c r="K92" s="987">
        <f>'Traffic Data'!CJ54</f>
        <v>435.12884943388639</v>
      </c>
    </row>
    <row r="93" spans="2:11" ht="17.399999999999999" customHeight="1" x14ac:dyDescent="0.25">
      <c r="C93" s="1289"/>
      <c r="D93" s="981" t="s">
        <v>320</v>
      </c>
      <c r="E93" s="981" t="s">
        <v>282</v>
      </c>
      <c r="F93" s="173">
        <f>'Traffic Data'!BK15</f>
        <v>1.6693766937669381</v>
      </c>
      <c r="G93" s="173">
        <f>'Traffic Data'!CJ15</f>
        <v>321.35277709302454</v>
      </c>
      <c r="H93" s="173">
        <f>'Traffic Data'!BK35</f>
        <v>0</v>
      </c>
      <c r="I93" s="173">
        <f>'Traffic Data'!CJ35</f>
        <v>90.248946549250491</v>
      </c>
      <c r="J93" s="173">
        <f>'Traffic Data'!BK55</f>
        <v>0</v>
      </c>
      <c r="K93" s="985">
        <f>'Traffic Data'!CJ55</f>
        <v>90.248946549250491</v>
      </c>
    </row>
    <row r="94" spans="2:11" x14ac:dyDescent="0.25">
      <c r="C94" s="1289"/>
      <c r="D94" s="981" t="s">
        <v>282</v>
      </c>
      <c r="E94" s="981" t="s">
        <v>321</v>
      </c>
      <c r="F94" s="173">
        <f>'Traffic Data'!BK16</f>
        <v>5.3284671532846719</v>
      </c>
      <c r="G94" s="173">
        <f>'Traffic Data'!CJ16</f>
        <v>330.31198853740739</v>
      </c>
      <c r="H94" s="173">
        <f>'Traffic Data'!BK36</f>
        <v>0</v>
      </c>
      <c r="I94" s="173">
        <f>'Traffic Data'!CJ36</f>
        <v>235.29189636054591</v>
      </c>
      <c r="J94" s="173">
        <f>'Traffic Data'!BK56</f>
        <v>0</v>
      </c>
      <c r="K94" s="985">
        <f>'Traffic Data'!CJ56</f>
        <v>235.29189636054591</v>
      </c>
    </row>
    <row r="95" spans="2:11" x14ac:dyDescent="0.25">
      <c r="C95" s="1291"/>
      <c r="D95" s="980" t="s">
        <v>321</v>
      </c>
      <c r="E95" s="980" t="s">
        <v>274</v>
      </c>
      <c r="F95" s="988">
        <f>'Traffic Data'!BK17</f>
        <v>7.6642335766423351</v>
      </c>
      <c r="G95" s="988">
        <f>'Traffic Data'!CJ17</f>
        <v>475.10628488257231</v>
      </c>
      <c r="H95" s="988">
        <f>'Traffic Data'!BK37</f>
        <v>7.6642335766423351</v>
      </c>
      <c r="I95" s="988">
        <f>'Traffic Data'!CJ37</f>
        <v>292.80569277249839</v>
      </c>
      <c r="J95" s="988">
        <f>'Traffic Data'!BK57</f>
        <v>7.6642335766423351</v>
      </c>
      <c r="K95" s="989">
        <f>'Traffic Data'!CJ57</f>
        <v>221.07023221608631</v>
      </c>
    </row>
    <row r="96" spans="2:11" ht="18" customHeight="1" x14ac:dyDescent="0.25">
      <c r="C96" s="983" t="s">
        <v>282</v>
      </c>
      <c r="D96" s="978" t="s">
        <v>308</v>
      </c>
      <c r="E96" s="978" t="s">
        <v>324</v>
      </c>
      <c r="F96" s="990">
        <f>'Traffic Data'!BK18</f>
        <v>64.748204072359712</v>
      </c>
      <c r="G96" s="990">
        <f>'Traffic Data'!CJ18</f>
        <v>250.12740238289575</v>
      </c>
      <c r="H96" s="990">
        <f>'Traffic Data'!BK38</f>
        <v>64.748204072359712</v>
      </c>
      <c r="I96" s="990">
        <f>'Traffic Data'!CJ38</f>
        <v>193.91180896010025</v>
      </c>
      <c r="J96" s="990">
        <f>'Traffic Data'!BK58</f>
        <v>67.164179104477981</v>
      </c>
      <c r="K96" s="991">
        <f>'Traffic Data'!CJ58</f>
        <v>200.68432841841332</v>
      </c>
    </row>
    <row r="97" spans="1:11" x14ac:dyDescent="0.25">
      <c r="C97" s="982" t="s">
        <v>321</v>
      </c>
      <c r="D97" s="981" t="s">
        <v>318</v>
      </c>
      <c r="E97" s="981" t="s">
        <v>308</v>
      </c>
      <c r="F97" s="173">
        <v>0</v>
      </c>
      <c r="G97" s="173">
        <v>0</v>
      </c>
      <c r="H97" s="173">
        <v>0</v>
      </c>
      <c r="I97" s="173">
        <v>0</v>
      </c>
      <c r="J97" s="173">
        <f>'Traffic Data'!BK59</f>
        <v>0</v>
      </c>
      <c r="K97" s="985">
        <f>'Traffic Data'!CJ59</f>
        <v>197.16162723989447</v>
      </c>
    </row>
    <row r="98" spans="1:11" x14ac:dyDescent="0.25">
      <c r="C98" s="983" t="s">
        <v>333</v>
      </c>
      <c r="D98" s="978" t="s">
        <v>319</v>
      </c>
      <c r="E98" s="978" t="s">
        <v>308</v>
      </c>
      <c r="F98" s="990">
        <f>'Traffic Data'!BK20</f>
        <v>104.64955645778389</v>
      </c>
      <c r="G98" s="990">
        <f>'Traffic Data'!CJ20</f>
        <v>258.41949418517584</v>
      </c>
      <c r="H98" s="990">
        <f>'Traffic Data'!BK40</f>
        <v>104.64955645778389</v>
      </c>
      <c r="I98" s="990">
        <f>'Traffic Data'!CJ40</f>
        <v>156.5832316722751</v>
      </c>
      <c r="J98" s="990">
        <f>'Traffic Data'!BK60</f>
        <v>104.64955645778389</v>
      </c>
      <c r="K98" s="991">
        <f>'Traffic Data'!CJ60</f>
        <v>156.5832316722751</v>
      </c>
    </row>
    <row r="99" spans="1:11" x14ac:dyDescent="0.25">
      <c r="C99" s="1289" t="s">
        <v>319</v>
      </c>
      <c r="D99" s="981" t="s">
        <v>276</v>
      </c>
      <c r="E99" s="981" t="s">
        <v>333</v>
      </c>
      <c r="F99" s="173">
        <f>'Traffic Data'!BK21</f>
        <v>214.46577905864618</v>
      </c>
      <c r="G99" s="173">
        <f>'Traffic Data'!CJ21</f>
        <v>563.05968289317445</v>
      </c>
      <c r="H99" s="173">
        <f>'Traffic Data'!BK41</f>
        <v>214.46577905864618</v>
      </c>
      <c r="I99" s="173">
        <f>'Traffic Data'!CJ41</f>
        <v>402.38109743135249</v>
      </c>
      <c r="J99" s="173">
        <f>'Traffic Data'!BK61</f>
        <v>214.46577905864618</v>
      </c>
      <c r="K99" s="985">
        <f>'Traffic Data'!CJ61</f>
        <v>402.38109743135249</v>
      </c>
    </row>
    <row r="100" spans="1:11" x14ac:dyDescent="0.25">
      <c r="C100" s="1289"/>
      <c r="D100" s="981" t="s">
        <v>333</v>
      </c>
      <c r="E100" s="981" t="s">
        <v>323</v>
      </c>
      <c r="F100" s="173">
        <f>'Traffic Data'!BK22</f>
        <v>31.234076116374347</v>
      </c>
      <c r="G100" s="173">
        <f>'Traffic Data'!CJ22</f>
        <v>76.415996555811134</v>
      </c>
      <c r="H100" s="173">
        <f>'Traffic Data'!BK42</f>
        <v>31.234076116374347</v>
      </c>
      <c r="I100" s="173">
        <f>'Traffic Data'!CJ42</f>
        <v>59.560234372457685</v>
      </c>
      <c r="J100" s="173">
        <f>'Traffic Data'!BK62</f>
        <v>31.234076116374347</v>
      </c>
      <c r="K100" s="985">
        <f>'Traffic Data'!CJ62</f>
        <v>59.560234372457685</v>
      </c>
    </row>
    <row r="101" spans="1:11" ht="18" customHeight="1" x14ac:dyDescent="0.25">
      <c r="C101" s="1289"/>
      <c r="D101" s="981" t="s">
        <v>323</v>
      </c>
      <c r="E101" s="981" t="s">
        <v>322</v>
      </c>
      <c r="F101" s="173">
        <f>'Traffic Data'!BK23</f>
        <v>9.4078036195684422</v>
      </c>
      <c r="G101" s="173">
        <f>'Traffic Data'!CJ23</f>
        <v>23.017860970404612</v>
      </c>
      <c r="H101" s="173">
        <f>'Traffic Data'!BK43</f>
        <v>9.4078036195684422</v>
      </c>
      <c r="I101" s="173">
        <f>'Traffic Data'!CJ43</f>
        <v>17.939805122515388</v>
      </c>
      <c r="J101" s="173">
        <f>'Traffic Data'!BK63</f>
        <v>9.4078036195684422</v>
      </c>
      <c r="K101" s="985">
        <f>'Traffic Data'!CJ63</f>
        <v>17.939805122515388</v>
      </c>
    </row>
    <row r="102" spans="1:11" x14ac:dyDescent="0.25">
      <c r="C102" s="1289"/>
      <c r="D102" s="981" t="s">
        <v>322</v>
      </c>
      <c r="E102" s="981" t="s">
        <v>326</v>
      </c>
      <c r="F102" s="173">
        <f>'Traffic Data'!BK24</f>
        <v>24.138443278803063</v>
      </c>
      <c r="G102" s="173">
        <f>'Traffic Data'!CJ24</f>
        <v>55.819414151919091</v>
      </c>
      <c r="H102" s="173">
        <f>'Traffic Data'!BK44</f>
        <v>24.138443278803063</v>
      </c>
      <c r="I102" s="173">
        <f>'Traffic Data'!CJ44</f>
        <v>45.342640686663643</v>
      </c>
      <c r="J102" s="173">
        <f>'Traffic Data'!BK64</f>
        <v>24.138443278803063</v>
      </c>
      <c r="K102" s="985">
        <f>'Traffic Data'!CJ64</f>
        <v>45.342640686663643</v>
      </c>
    </row>
    <row r="103" spans="1:11" x14ac:dyDescent="0.25">
      <c r="C103" s="1289"/>
      <c r="D103" s="981" t="s">
        <v>326</v>
      </c>
      <c r="E103" s="981" t="s">
        <v>274</v>
      </c>
      <c r="F103" s="173">
        <f>'Traffic Data'!BK25</f>
        <v>164.55927798828586</v>
      </c>
      <c r="G103" s="173">
        <f>'Traffic Data'!CJ25</f>
        <v>380.53732334000637</v>
      </c>
      <c r="H103" s="173">
        <f>'Traffic Data'!BK45</f>
        <v>164.55927798828586</v>
      </c>
      <c r="I103" s="173">
        <f>'Traffic Data'!CJ45</f>
        <v>309.11478851580648</v>
      </c>
      <c r="J103" s="173">
        <f>'Traffic Data'!BK65</f>
        <v>164.55927798828586</v>
      </c>
      <c r="K103" s="985">
        <f>'Traffic Data'!CJ65</f>
        <v>309.11478851580648</v>
      </c>
    </row>
    <row r="104" spans="1:11" ht="18" thickBot="1" x14ac:dyDescent="0.3">
      <c r="C104" s="1298"/>
      <c r="D104" s="984" t="s">
        <v>274</v>
      </c>
      <c r="E104" s="984" t="s">
        <v>317</v>
      </c>
      <c r="F104" s="992">
        <f>'Traffic Data'!BK26</f>
        <v>4.1098166073256728</v>
      </c>
      <c r="G104" s="992">
        <f>'Traffic Data'!CJ26</f>
        <v>9.5277546808111335</v>
      </c>
      <c r="H104" s="992">
        <f>'Traffic Data'!BK46</f>
        <v>4.1098166073256728</v>
      </c>
      <c r="I104" s="992">
        <f>'Traffic Data'!CJ46</f>
        <v>7.7224755158027385</v>
      </c>
      <c r="J104" s="992">
        <f>'Traffic Data'!BK66</f>
        <v>4.1098166073256728</v>
      </c>
      <c r="K104" s="993">
        <f>'Traffic Data'!CJ66</f>
        <v>7.7224755158027385</v>
      </c>
    </row>
    <row r="105" spans="1:11" x14ac:dyDescent="0.25">
      <c r="C105" s="137"/>
      <c r="D105" s="137"/>
      <c r="E105" s="138"/>
      <c r="F105" s="144"/>
      <c r="G105" s="138"/>
      <c r="H105" s="144"/>
      <c r="I105" s="139"/>
    </row>
    <row r="106" spans="1:11" ht="18" thickBot="1" x14ac:dyDescent="0.3">
      <c r="A106" s="523" t="s">
        <v>13</v>
      </c>
      <c r="B106" s="1" t="s">
        <v>87</v>
      </c>
      <c r="C106" s="522" t="s">
        <v>233</v>
      </c>
    </row>
    <row r="107" spans="1:11" x14ac:dyDescent="0.25">
      <c r="C107" s="455" t="s">
        <v>1</v>
      </c>
      <c r="D107" s="528" t="s">
        <v>2</v>
      </c>
      <c r="E107" s="528" t="s">
        <v>3</v>
      </c>
      <c r="F107" s="664" t="s">
        <v>104</v>
      </c>
    </row>
    <row r="108" spans="1:11" ht="63" customHeight="1" x14ac:dyDescent="0.25">
      <c r="C108" s="659" t="str" cm="1">
        <f t="array" ref="C108:C111">Inputs!C23:C26</f>
        <v>Value of Travel Time Savings – Automobiles</v>
      </c>
      <c r="D108" s="156" t="str" cm="1">
        <f t="array" ref="D108:D111">Inputs!D23:D26</f>
        <v>2022$/hour</v>
      </c>
      <c r="E108" s="1190" cm="1">
        <f t="array" ref="E108:E111">Inputs!E23:E26</f>
        <v>19.600000000000001</v>
      </c>
      <c r="F108" s="1281" t="str">
        <f>Inputs!F23</f>
        <v>Assumed values as per U.S. DOT Benefit-Cost Analysis Guidance for Discretionary Grant Programs, December 2023.</v>
      </c>
    </row>
    <row r="109" spans="1:11" ht="63" customHeight="1" x14ac:dyDescent="0.25">
      <c r="C109" s="659" t="str">
        <v>Value of Travel Time Savings – Trucks</v>
      </c>
      <c r="D109" s="157" t="str">
        <v>2022$/hour</v>
      </c>
      <c r="E109" s="1190">
        <v>33.5</v>
      </c>
      <c r="F109" s="1281"/>
    </row>
    <row r="110" spans="1:11" ht="105.75" customHeight="1" x14ac:dyDescent="0.25">
      <c r="C110" s="659" t="str">
        <v>Vehicle Occupancy – Automobiles</v>
      </c>
      <c r="D110" s="157" t="str">
        <v>persons/vehicle</v>
      </c>
      <c r="E110" s="156">
        <v>1.67</v>
      </c>
      <c r="F110" s="675" t="str">
        <f>Inputs!F25</f>
        <v>Assumed values as per U.S. DOT Benefit-Cost Analysis Guidance for Discretionary Grant Programs, December 2023.</v>
      </c>
    </row>
    <row r="111" spans="1:11" x14ac:dyDescent="0.25">
      <c r="C111" s="659" t="str">
        <v>Vehicle Occupancy – Trucks</v>
      </c>
      <c r="D111" s="157" t="str">
        <v>persons/vehicle</v>
      </c>
      <c r="E111" s="156">
        <v>1</v>
      </c>
      <c r="F111" s="675" t="str">
        <f>Inputs!F26</f>
        <v>Assumption</v>
      </c>
    </row>
    <row r="112" spans="1:11" x14ac:dyDescent="0.25">
      <c r="C112" s="479" t="str">
        <f>Inputs!C18</f>
        <v>Number of Peak Period Hours – AM</v>
      </c>
      <c r="D112" s="157" t="str">
        <f>Inputs!D18</f>
        <v>hours</v>
      </c>
      <c r="E112" s="156">
        <f>peakHoursAM</f>
        <v>2</v>
      </c>
      <c r="F112" s="1281" t="str">
        <f>Inputs!F18</f>
        <v>Assumption</v>
      </c>
    </row>
    <row r="113" spans="3:8" x14ac:dyDescent="0.25">
      <c r="C113" s="479" t="str">
        <f>Inputs!C19</f>
        <v>Number of Peak Period Hours – PM</v>
      </c>
      <c r="D113" s="157" t="str">
        <f>Inputs!D19</f>
        <v>hours</v>
      </c>
      <c r="E113" s="156">
        <f>peakHoursAM</f>
        <v>2</v>
      </c>
      <c r="F113" s="1281"/>
    </row>
    <row r="114" spans="3:8" ht="91.2" x14ac:dyDescent="0.25">
      <c r="C114" s="479" t="str">
        <f>Inputs!C20</f>
        <v>Number of Non-Peak Period Hours</v>
      </c>
      <c r="D114" s="157" t="str">
        <f>Inputs!D20</f>
        <v>hours</v>
      </c>
      <c r="E114" s="156">
        <f>nonpeakHours</f>
        <v>14</v>
      </c>
      <c r="F114" s="675" t="str">
        <f>Inputs!F20</f>
        <v xml:space="preserve">Assumed that volume is negligible for 6 hours each day (e.g., 12 AM to 6 AM); remaining 18 hours minus the peak period hours is the number of non-peak period hours. </v>
      </c>
    </row>
    <row r="115" spans="3:8" ht="57" x14ac:dyDescent="0.25">
      <c r="C115" s="479" t="str">
        <f>Inputs!C21</f>
        <v>Percent of Daily Travel during Peak Hours</v>
      </c>
      <c r="D115" s="157" t="str">
        <f>Inputs!D21</f>
        <v>%</v>
      </c>
      <c r="E115" s="158">
        <f>percentPeak</f>
        <v>0.32800000000000001</v>
      </c>
      <c r="F115" s="675" t="str">
        <f>Inputs!F21</f>
        <v>California DOT, Cal-B/C v8.1 Table: Demand for Travel during Peak Period. (2021)</v>
      </c>
    </row>
    <row r="116" spans="3:8" ht="23.4" thickBot="1" x14ac:dyDescent="0.3">
      <c r="C116" s="480" t="str">
        <f>Inputs!C22</f>
        <v>Percent of Daily Travel during Non-Peak Hours</v>
      </c>
      <c r="D116" s="660" t="str">
        <f>Inputs!D22</f>
        <v>%</v>
      </c>
      <c r="E116" s="661">
        <f>Inputs!E22</f>
        <v>0.67199999999999993</v>
      </c>
      <c r="F116" s="676" t="str">
        <f>Inputs!F22</f>
        <v>Calculated</v>
      </c>
    </row>
    <row r="117" spans="3:8" x14ac:dyDescent="0.25">
      <c r="C117" s="154"/>
      <c r="D117" s="153"/>
      <c r="E117" s="155"/>
      <c r="F117" s="154"/>
    </row>
    <row r="118" spans="3:8" ht="18" thickBot="1" x14ac:dyDescent="0.3">
      <c r="C118" s="522" t="s">
        <v>234</v>
      </c>
      <c r="D118" s="146"/>
      <c r="E118" s="147"/>
      <c r="F118" s="146"/>
    </row>
    <row r="119" spans="3:8" x14ac:dyDescent="0.25">
      <c r="C119" s="658" t="s">
        <v>551</v>
      </c>
      <c r="D119" s="952" t="s">
        <v>19</v>
      </c>
      <c r="E119" s="952" t="s">
        <v>434</v>
      </c>
      <c r="F119" s="677" t="s">
        <v>104</v>
      </c>
      <c r="G119" s="927"/>
      <c r="H119" s="927"/>
    </row>
    <row r="120" spans="3:8" x14ac:dyDescent="0.25">
      <c r="C120" s="948" t="str">
        <f>Emissions!E7</f>
        <v>US 412</v>
      </c>
      <c r="D120" s="951" cm="1">
        <f t="array" ref="D120:D128">TRANSPOSE(Inputs!D35:L35)</f>
        <v>0.22</v>
      </c>
      <c r="E120" s="953" cm="1">
        <f t="array" ref="E120:E128">TRANSPOSE(Inputs!D36:L36)</f>
        <v>0.78</v>
      </c>
      <c r="F120" s="1295" t="s">
        <v>552</v>
      </c>
      <c r="G120" s="947"/>
      <c r="H120" s="947"/>
    </row>
    <row r="121" spans="3:8" x14ac:dyDescent="0.25">
      <c r="C121" s="948" t="str">
        <f>Emissions!F7</f>
        <v>SH 412B</v>
      </c>
      <c r="D121" s="951">
        <v>0.2</v>
      </c>
      <c r="E121" s="953">
        <v>0.8</v>
      </c>
      <c r="F121" s="1296"/>
      <c r="G121" s="947"/>
      <c r="H121" s="947"/>
    </row>
    <row r="122" spans="3:8" x14ac:dyDescent="0.25">
      <c r="C122" s="948" t="str">
        <f>Emissions!G7</f>
        <v>Patrol Rd</v>
      </c>
      <c r="D122" s="951">
        <v>0.2</v>
      </c>
      <c r="E122" s="953">
        <v>0.8</v>
      </c>
      <c r="F122" s="1296"/>
      <c r="G122" s="947"/>
      <c r="H122" s="947"/>
    </row>
    <row r="123" spans="3:8" x14ac:dyDescent="0.25">
      <c r="C123" s="948" t="str">
        <f>Emissions!H7</f>
        <v>Williams St</v>
      </c>
      <c r="D123" s="951">
        <v>0.2</v>
      </c>
      <c r="E123" s="953">
        <v>0.8</v>
      </c>
      <c r="F123" s="1296"/>
      <c r="G123" s="947"/>
      <c r="H123" s="947"/>
    </row>
    <row r="124" spans="3:8" x14ac:dyDescent="0.25">
      <c r="C124" s="948" t="str">
        <f>Emissions!I7</f>
        <v>US 69</v>
      </c>
      <c r="D124" s="951">
        <v>0.28000000000000003</v>
      </c>
      <c r="E124" s="953">
        <v>0.72</v>
      </c>
      <c r="F124" s="1296"/>
      <c r="G124" s="947"/>
      <c r="H124" s="947"/>
    </row>
    <row r="125" spans="3:8" x14ac:dyDescent="0.25">
      <c r="C125" s="948" t="str">
        <f>Emissions!J7</f>
        <v>Zarrow Rd</v>
      </c>
      <c r="D125" s="951">
        <v>0.2</v>
      </c>
      <c r="E125" s="953">
        <v>0.8</v>
      </c>
      <c r="F125" s="1296"/>
      <c r="G125" s="947"/>
      <c r="H125" s="947"/>
    </row>
    <row r="126" spans="3:8" x14ac:dyDescent="0.25">
      <c r="C126" s="948" t="str">
        <f>Emissions!K7</f>
        <v>Rocket Rd</v>
      </c>
      <c r="D126" s="951">
        <v>0.2</v>
      </c>
      <c r="E126" s="953">
        <v>0.8</v>
      </c>
      <c r="F126" s="1296"/>
      <c r="G126" s="947"/>
      <c r="H126" s="947"/>
    </row>
    <row r="127" spans="3:8" x14ac:dyDescent="0.25">
      <c r="C127" s="948" t="str">
        <f>Emissions!L7</f>
        <v>Armin Rd</v>
      </c>
      <c r="D127" s="951">
        <v>0.2</v>
      </c>
      <c r="E127" s="953">
        <v>0.8</v>
      </c>
      <c r="F127" s="1296"/>
      <c r="G127" s="947"/>
      <c r="H127" s="947"/>
    </row>
    <row r="128" spans="3:8" ht="18" thickBot="1" x14ac:dyDescent="0.3">
      <c r="C128" s="950" t="str">
        <f>Emissions!M7</f>
        <v>SH 69A</v>
      </c>
      <c r="D128" s="954">
        <v>0.2</v>
      </c>
      <c r="E128" s="955">
        <v>0.8</v>
      </c>
      <c r="F128" s="1297"/>
      <c r="G128" s="947"/>
      <c r="H128" s="947"/>
    </row>
    <row r="129" spans="1:10" x14ac:dyDescent="0.25">
      <c r="C129" s="137"/>
      <c r="D129" s="137"/>
      <c r="E129" s="148"/>
      <c r="F129" s="148"/>
      <c r="G129" s="148"/>
      <c r="H129" s="148"/>
      <c r="I129" s="139"/>
    </row>
    <row r="130" spans="1:10" ht="18" thickBot="1" x14ac:dyDescent="0.3">
      <c r="C130" s="522" t="s">
        <v>235</v>
      </c>
    </row>
    <row r="131" spans="1:10" x14ac:dyDescent="0.25">
      <c r="C131" s="483"/>
      <c r="D131" s="1255" t="s">
        <v>120</v>
      </c>
      <c r="E131" s="1255"/>
      <c r="F131" s="1255"/>
      <c r="G131" s="1271"/>
    </row>
    <row r="132" spans="1:10" ht="24" x14ac:dyDescent="0.25">
      <c r="C132" s="484"/>
      <c r="D132" s="485" t="s">
        <v>495</v>
      </c>
      <c r="E132" s="485" t="s">
        <v>496</v>
      </c>
      <c r="F132" s="485" t="s">
        <v>493</v>
      </c>
      <c r="G132" s="539" t="s">
        <v>494</v>
      </c>
    </row>
    <row r="133" spans="1:10" x14ac:dyDescent="0.25">
      <c r="C133" s="487" t="s">
        <v>553</v>
      </c>
      <c r="D133" s="958">
        <f>ABS('Travel Time'!E683)</f>
        <v>15479275.334684674</v>
      </c>
      <c r="E133" s="929" t="s">
        <v>311</v>
      </c>
      <c r="F133" s="958">
        <f>ABS('Travel Time'!E684)</f>
        <v>19310151.729010906</v>
      </c>
      <c r="G133" s="930" t="s">
        <v>311</v>
      </c>
      <c r="H133" s="174"/>
    </row>
    <row r="134" spans="1:10" ht="18" thickBot="1" x14ac:dyDescent="0.3">
      <c r="C134" s="662" t="s">
        <v>554</v>
      </c>
      <c r="D134" s="956">
        <f>ABS('Travel Time'!E685)</f>
        <v>455916012.3439424</v>
      </c>
      <c r="E134" s="956">
        <f>ABS('Travel Time'!F685)</f>
        <v>270179063.52167892</v>
      </c>
      <c r="F134" s="956">
        <f>ABS('Travel Time'!E686)</f>
        <v>574724438.51244724</v>
      </c>
      <c r="G134" s="957">
        <f>ABS('Travel Time'!F686)</f>
        <v>337679889.51714408</v>
      </c>
      <c r="H134" s="174"/>
    </row>
    <row r="137" spans="1:10" ht="18" thickBot="1" x14ac:dyDescent="0.3">
      <c r="A137" s="523" t="s">
        <v>74</v>
      </c>
      <c r="B137" s="1" t="s">
        <v>87</v>
      </c>
      <c r="C137" s="522" t="s">
        <v>236</v>
      </c>
    </row>
    <row r="138" spans="1:10" ht="18" thickBot="1" x14ac:dyDescent="0.3">
      <c r="C138" s="474" t="s">
        <v>1</v>
      </c>
      <c r="D138" s="475" t="s">
        <v>2</v>
      </c>
      <c r="E138" s="475" t="s">
        <v>3</v>
      </c>
      <c r="F138" s="1080" t="s">
        <v>104</v>
      </c>
    </row>
    <row r="139" spans="1:10" ht="27" customHeight="1" x14ac:dyDescent="0.25">
      <c r="C139" s="476" t="str">
        <f>Inputs!C27</f>
        <v>Value of a Statistical Life</v>
      </c>
      <c r="D139" s="477" t="str">
        <f>Inputs!D27</f>
        <v>2022$/Crash</v>
      </c>
      <c r="E139" s="478">
        <f>costLife</f>
        <v>14022900</v>
      </c>
      <c r="F139" s="1288" t="s">
        <v>594</v>
      </c>
    </row>
    <row r="140" spans="1:10" ht="27" customHeight="1" x14ac:dyDescent="0.25">
      <c r="C140" s="479" t="str">
        <f>Inputs!C28</f>
        <v>Cost of Injury</v>
      </c>
      <c r="D140" s="157" t="str">
        <f>Inputs!D28</f>
        <v>2022$/Crash</v>
      </c>
      <c r="E140" s="161">
        <f>costInjury</f>
        <v>313000</v>
      </c>
      <c r="F140" s="1281"/>
    </row>
    <row r="141" spans="1:10" ht="27" customHeight="1" x14ac:dyDescent="0.25">
      <c r="C141" s="479" t="str">
        <f>Inputs!C29</f>
        <v>Cost of PDO</v>
      </c>
      <c r="D141" s="157" t="str">
        <f>Inputs!D29</f>
        <v>2022$/Crash</v>
      </c>
      <c r="E141" s="161">
        <f>costPDO</f>
        <v>9100</v>
      </c>
      <c r="F141" s="1281"/>
    </row>
    <row r="142" spans="1:10" ht="34.799999999999997" thickBot="1" x14ac:dyDescent="0.3">
      <c r="C142" s="480" t="str">
        <f>Inputs!C30</f>
        <v>Crash Modification Factor</v>
      </c>
      <c r="D142" s="660" t="str">
        <f>Inputs!D30</f>
        <v>factor</v>
      </c>
      <c r="E142" s="481" t="str">
        <f>Inputs!E30</f>
        <v>Varies</v>
      </c>
      <c r="F142" s="676" t="str">
        <f>Inputs!F30</f>
        <v>CMF Clearinghouse, individual CMFs identified</v>
      </c>
      <c r="G142"/>
      <c r="H142"/>
      <c r="I142"/>
      <c r="J142"/>
    </row>
    <row r="143" spans="1:10" x14ac:dyDescent="0.25">
      <c r="C143" s="1292" t="s">
        <v>398</v>
      </c>
      <c r="D143" s="1293"/>
      <c r="E143" s="1293"/>
      <c r="F143" s="1294"/>
      <c r="G143"/>
      <c r="H143"/>
      <c r="I143"/>
      <c r="J143"/>
    </row>
    <row r="144" spans="1:10" x14ac:dyDescent="0.25">
      <c r="C144" s="479" t="s">
        <v>220</v>
      </c>
      <c r="D144" s="156" t="s">
        <v>128</v>
      </c>
      <c r="E144" s="162" cm="1">
        <f t="array" ref="E144:E146">Safety!F8:F10</f>
        <v>0</v>
      </c>
      <c r="F144" s="1281" t="s">
        <v>482</v>
      </c>
    </row>
    <row r="145" spans="1:6" x14ac:dyDescent="0.25">
      <c r="C145" s="479" t="s">
        <v>221</v>
      </c>
      <c r="D145" s="156" t="s">
        <v>128</v>
      </c>
      <c r="E145" s="162">
        <v>0.55000000000000004</v>
      </c>
      <c r="F145" s="1281"/>
    </row>
    <row r="146" spans="1:6" x14ac:dyDescent="0.25">
      <c r="C146" s="479" t="s">
        <v>222</v>
      </c>
      <c r="D146" s="156" t="s">
        <v>128</v>
      </c>
      <c r="E146" s="162">
        <v>0.45</v>
      </c>
      <c r="F146" s="1281"/>
    </row>
    <row r="147" spans="1:6" x14ac:dyDescent="0.25">
      <c r="C147" s="479" t="s">
        <v>203</v>
      </c>
      <c r="D147" s="156" t="s">
        <v>219</v>
      </c>
      <c r="E147" s="152">
        <f>Safety!F26</f>
        <v>4</v>
      </c>
      <c r="F147" s="1281"/>
    </row>
    <row r="148" spans="1:6" customFormat="1" x14ac:dyDescent="0.25">
      <c r="A148" s="50"/>
      <c r="B148" s="136"/>
      <c r="C148" s="1268" t="s">
        <v>399</v>
      </c>
      <c r="D148" s="1269"/>
      <c r="E148" s="1269"/>
      <c r="F148" s="1270"/>
    </row>
    <row r="149" spans="1:6" customFormat="1" ht="18" customHeight="1" x14ac:dyDescent="0.25">
      <c r="A149" s="50"/>
      <c r="B149" s="136"/>
      <c r="C149" s="479" t="s">
        <v>220</v>
      </c>
      <c r="D149" s="156" t="s">
        <v>128</v>
      </c>
      <c r="E149" s="162" cm="1">
        <f t="array" ref="E149:E151">Safety!F11:F13</f>
        <v>0</v>
      </c>
      <c r="F149" s="1281" t="s">
        <v>482</v>
      </c>
    </row>
    <row r="150" spans="1:6" customFormat="1" x14ac:dyDescent="0.25">
      <c r="A150" s="50"/>
      <c r="B150" s="136"/>
      <c r="C150" s="479" t="s">
        <v>221</v>
      </c>
      <c r="D150" s="156" t="s">
        <v>128</v>
      </c>
      <c r="E150" s="162">
        <v>0</v>
      </c>
      <c r="F150" s="1281"/>
    </row>
    <row r="151" spans="1:6" customFormat="1" x14ac:dyDescent="0.25">
      <c r="A151" s="50"/>
      <c r="B151" s="136"/>
      <c r="C151" s="479" t="s">
        <v>222</v>
      </c>
      <c r="D151" s="156" t="s">
        <v>128</v>
      </c>
      <c r="E151" s="162">
        <v>0</v>
      </c>
      <c r="F151" s="1281"/>
    </row>
    <row r="152" spans="1:6" customFormat="1" x14ac:dyDescent="0.25">
      <c r="A152" s="50"/>
      <c r="B152" s="136"/>
      <c r="C152" s="479" t="s">
        <v>203</v>
      </c>
      <c r="D152" s="156" t="s">
        <v>219</v>
      </c>
      <c r="E152" s="152">
        <f>Safety!F27</f>
        <v>0</v>
      </c>
      <c r="F152" s="1281"/>
    </row>
    <row r="153" spans="1:6" customFormat="1" x14ac:dyDescent="0.25">
      <c r="A153" s="50"/>
      <c r="B153" s="136"/>
      <c r="C153" s="1268" t="s">
        <v>400</v>
      </c>
      <c r="D153" s="1269"/>
      <c r="E153" s="1269"/>
      <c r="F153" s="1270"/>
    </row>
    <row r="154" spans="1:6" customFormat="1" ht="18" customHeight="1" x14ac:dyDescent="0.25">
      <c r="A154" s="50"/>
      <c r="B154" s="136"/>
      <c r="C154" s="479" t="s">
        <v>220</v>
      </c>
      <c r="D154" s="156" t="s">
        <v>128</v>
      </c>
      <c r="E154" s="162" cm="1">
        <f t="array" ref="E154:E156">Safety!F14:F16</f>
        <v>0</v>
      </c>
      <c r="F154" s="1281" t="s">
        <v>482</v>
      </c>
    </row>
    <row r="155" spans="1:6" customFormat="1" x14ac:dyDescent="0.25">
      <c r="A155" s="50"/>
      <c r="B155" s="136"/>
      <c r="C155" s="479" t="s">
        <v>221</v>
      </c>
      <c r="D155" s="156" t="s">
        <v>128</v>
      </c>
      <c r="E155" s="162">
        <v>1</v>
      </c>
      <c r="F155" s="1281"/>
    </row>
    <row r="156" spans="1:6" customFormat="1" x14ac:dyDescent="0.25">
      <c r="A156" s="50"/>
      <c r="B156" s="136"/>
      <c r="C156" s="479" t="s">
        <v>222</v>
      </c>
      <c r="D156" s="156" t="s">
        <v>128</v>
      </c>
      <c r="E156" s="162">
        <v>0</v>
      </c>
      <c r="F156" s="1281"/>
    </row>
    <row r="157" spans="1:6" customFormat="1" x14ac:dyDescent="0.25">
      <c r="A157" s="50"/>
      <c r="B157" s="136"/>
      <c r="C157" s="479" t="s">
        <v>203</v>
      </c>
      <c r="D157" s="156" t="s">
        <v>219</v>
      </c>
      <c r="E157" s="152">
        <f>Safety!F28</f>
        <v>0.2</v>
      </c>
      <c r="F157" s="1281"/>
    </row>
    <row r="158" spans="1:6" customFormat="1" x14ac:dyDescent="0.25">
      <c r="A158" s="50"/>
      <c r="B158" s="136"/>
      <c r="C158" s="1268" t="s">
        <v>401</v>
      </c>
      <c r="D158" s="1269"/>
      <c r="E158" s="1269"/>
      <c r="F158" s="1270"/>
    </row>
    <row r="159" spans="1:6" customFormat="1" ht="18" customHeight="1" x14ac:dyDescent="0.25">
      <c r="A159" s="50"/>
      <c r="B159" s="136"/>
      <c r="C159" s="479" t="s">
        <v>220</v>
      </c>
      <c r="D159" s="156" t="s">
        <v>128</v>
      </c>
      <c r="E159" s="162" cm="1">
        <f t="array" ref="E159:E161">Safety!F17:F19</f>
        <v>0</v>
      </c>
      <c r="F159" s="1281" t="s">
        <v>482</v>
      </c>
    </row>
    <row r="160" spans="1:6" customFormat="1" x14ac:dyDescent="0.25">
      <c r="A160" s="50"/>
      <c r="B160" s="136"/>
      <c r="C160" s="479" t="s">
        <v>221</v>
      </c>
      <c r="D160" s="156" t="s">
        <v>128</v>
      </c>
      <c r="E160" s="162">
        <v>0</v>
      </c>
      <c r="F160" s="1281"/>
    </row>
    <row r="161" spans="1:6" customFormat="1" x14ac:dyDescent="0.25">
      <c r="A161" s="50"/>
      <c r="B161" s="136"/>
      <c r="C161" s="479" t="s">
        <v>222</v>
      </c>
      <c r="D161" s="156" t="s">
        <v>128</v>
      </c>
      <c r="E161" s="162">
        <v>0</v>
      </c>
      <c r="F161" s="1281"/>
    </row>
    <row r="162" spans="1:6" customFormat="1" x14ac:dyDescent="0.25">
      <c r="A162" s="50"/>
      <c r="B162" s="136"/>
      <c r="C162" s="479" t="s">
        <v>203</v>
      </c>
      <c r="D162" s="156" t="s">
        <v>219</v>
      </c>
      <c r="E162" s="152">
        <f>Safety!F29</f>
        <v>0</v>
      </c>
      <c r="F162" s="1281"/>
    </row>
    <row r="163" spans="1:6" customFormat="1" x14ac:dyDescent="0.25">
      <c r="A163" s="50"/>
      <c r="B163" s="136"/>
      <c r="C163" s="1268" t="s">
        <v>688</v>
      </c>
      <c r="D163" s="1269"/>
      <c r="E163" s="1269"/>
      <c r="F163" s="1270"/>
    </row>
    <row r="164" spans="1:6" customFormat="1" ht="18" customHeight="1" x14ac:dyDescent="0.25">
      <c r="A164" s="50"/>
      <c r="B164" s="136"/>
      <c r="C164" s="479" t="s">
        <v>220</v>
      </c>
      <c r="D164" s="156" t="s">
        <v>128</v>
      </c>
      <c r="E164" s="162" cm="1">
        <f t="array" ref="E164:E166">Safety!F20:F22</f>
        <v>0</v>
      </c>
      <c r="F164" s="1281" t="s">
        <v>482</v>
      </c>
    </row>
    <row r="165" spans="1:6" customFormat="1" x14ac:dyDescent="0.25">
      <c r="A165" s="50"/>
      <c r="B165" s="136"/>
      <c r="C165" s="479" t="s">
        <v>221</v>
      </c>
      <c r="D165" s="156" t="s">
        <v>128</v>
      </c>
      <c r="E165" s="162">
        <v>0.47826086956521741</v>
      </c>
      <c r="F165" s="1281"/>
    </row>
    <row r="166" spans="1:6" customFormat="1" x14ac:dyDescent="0.25">
      <c r="A166" s="50"/>
      <c r="B166" s="136"/>
      <c r="C166" s="479" t="s">
        <v>222</v>
      </c>
      <c r="D166" s="156" t="s">
        <v>128</v>
      </c>
      <c r="E166" s="162">
        <v>0.52173913043478259</v>
      </c>
      <c r="F166" s="1281"/>
    </row>
    <row r="167" spans="1:6" customFormat="1" x14ac:dyDescent="0.25">
      <c r="A167" s="50"/>
      <c r="B167" s="136"/>
      <c r="C167" s="479" t="s">
        <v>203</v>
      </c>
      <c r="D167" s="156" t="s">
        <v>219</v>
      </c>
      <c r="E167" s="152">
        <f>Safety!F30</f>
        <v>4.5999999999999996</v>
      </c>
      <c r="F167" s="1281"/>
    </row>
    <row r="168" spans="1:6" customFormat="1" x14ac:dyDescent="0.25">
      <c r="A168" s="50"/>
      <c r="B168" s="136"/>
      <c r="C168" s="1268" t="s">
        <v>403</v>
      </c>
      <c r="D168" s="1269"/>
      <c r="E168" s="1269"/>
      <c r="F168" s="1270"/>
    </row>
    <row r="169" spans="1:6" customFormat="1" x14ac:dyDescent="0.25">
      <c r="A169" s="50"/>
      <c r="B169" s="136"/>
      <c r="C169" s="479" t="s">
        <v>220</v>
      </c>
      <c r="D169" s="156" t="s">
        <v>128</v>
      </c>
      <c r="E169" s="162" cm="1">
        <f t="array" ref="E169:E171">Safety!F23:F25</f>
        <v>0.2</v>
      </c>
      <c r="F169" s="1281" t="s">
        <v>482</v>
      </c>
    </row>
    <row r="170" spans="1:6" customFormat="1" x14ac:dyDescent="0.25">
      <c r="A170" s="50"/>
      <c r="B170" s="136"/>
      <c r="C170" s="479" t="s">
        <v>221</v>
      </c>
      <c r="D170" s="156" t="s">
        <v>128</v>
      </c>
      <c r="E170" s="162">
        <v>0.6</v>
      </c>
      <c r="F170" s="1281"/>
    </row>
    <row r="171" spans="1:6" customFormat="1" x14ac:dyDescent="0.25">
      <c r="A171" s="50"/>
      <c r="B171" s="136"/>
      <c r="C171" s="479" t="s">
        <v>222</v>
      </c>
      <c r="D171" s="156" t="s">
        <v>128</v>
      </c>
      <c r="E171" s="162">
        <v>0.2</v>
      </c>
      <c r="F171" s="1281"/>
    </row>
    <row r="172" spans="1:6" customFormat="1" ht="18" thickBot="1" x14ac:dyDescent="0.3">
      <c r="A172" s="50"/>
      <c r="B172" s="136"/>
      <c r="C172" s="480" t="s">
        <v>203</v>
      </c>
      <c r="D172" s="481" t="s">
        <v>219</v>
      </c>
      <c r="E172" s="482">
        <f>Safety!F31</f>
        <v>1</v>
      </c>
      <c r="F172" s="1282"/>
    </row>
    <row r="173" spans="1:6" customFormat="1" x14ac:dyDescent="0.25">
      <c r="A173" s="50"/>
      <c r="B173" s="136"/>
      <c r="C173" s="146"/>
      <c r="D173" s="137"/>
      <c r="E173" s="149"/>
    </row>
    <row r="174" spans="1:6" customFormat="1" ht="18" thickBot="1" x14ac:dyDescent="0.3">
      <c r="A174" s="50"/>
      <c r="B174" s="136"/>
      <c r="C174" s="522" t="s">
        <v>587</v>
      </c>
      <c r="D174" s="134"/>
      <c r="E174" s="134"/>
      <c r="F174" s="134"/>
    </row>
    <row r="175" spans="1:6" customFormat="1" x14ac:dyDescent="0.25">
      <c r="A175" s="50"/>
      <c r="B175" s="136"/>
      <c r="C175" s="1005" t="s">
        <v>531</v>
      </c>
      <c r="D175" s="1283" t="s">
        <v>530</v>
      </c>
      <c r="E175" s="1283"/>
      <c r="F175" s="1284"/>
    </row>
    <row r="176" spans="1:6" customFormat="1" x14ac:dyDescent="0.25">
      <c r="A176" s="50"/>
      <c r="B176" s="136"/>
      <c r="C176" s="982">
        <v>462</v>
      </c>
      <c r="D176" s="1014" t="s">
        <v>297</v>
      </c>
      <c r="E176" s="981"/>
      <c r="F176" s="1015"/>
    </row>
    <row r="177" spans="1:7" customFormat="1" x14ac:dyDescent="0.25">
      <c r="A177" s="50"/>
      <c r="B177" s="136"/>
      <c r="C177" s="982" t="s">
        <v>532</v>
      </c>
      <c r="D177" s="1014" t="s">
        <v>525</v>
      </c>
      <c r="E177" s="981"/>
      <c r="F177" s="1015"/>
    </row>
    <row r="178" spans="1:7" customFormat="1" x14ac:dyDescent="0.25">
      <c r="A178" s="50"/>
      <c r="B178" s="136"/>
      <c r="C178" s="982">
        <v>9157</v>
      </c>
      <c r="D178" s="1014" t="s">
        <v>298</v>
      </c>
      <c r="E178" s="981"/>
      <c r="F178" s="1015"/>
    </row>
    <row r="179" spans="1:7" customFormat="1" x14ac:dyDescent="0.25">
      <c r="A179" s="50"/>
      <c r="B179" s="136"/>
      <c r="C179" s="982">
        <v>2978</v>
      </c>
      <c r="D179" s="1014" t="s">
        <v>310</v>
      </c>
      <c r="E179" s="981"/>
      <c r="F179" s="1015"/>
    </row>
    <row r="180" spans="1:7" customFormat="1" x14ac:dyDescent="0.25">
      <c r="A180" s="50"/>
      <c r="B180" s="136"/>
      <c r="C180" s="982">
        <v>7570</v>
      </c>
      <c r="D180" s="1014" t="s">
        <v>525</v>
      </c>
      <c r="E180" s="981"/>
      <c r="F180" s="1015"/>
    </row>
    <row r="181" spans="1:7" customFormat="1" x14ac:dyDescent="0.25">
      <c r="A181" s="50"/>
      <c r="B181" s="136"/>
      <c r="C181" s="982">
        <v>9305</v>
      </c>
      <c r="D181" s="1014" t="s">
        <v>533</v>
      </c>
      <c r="E181" s="981"/>
      <c r="F181" s="1015"/>
    </row>
    <row r="182" spans="1:7" customFormat="1" x14ac:dyDescent="0.25">
      <c r="A182" s="50"/>
      <c r="B182" s="136"/>
      <c r="C182" s="982">
        <v>325</v>
      </c>
      <c r="D182" s="1014" t="s">
        <v>385</v>
      </c>
      <c r="E182" s="981"/>
      <c r="F182" s="1015"/>
    </row>
    <row r="183" spans="1:7" customFormat="1" ht="18" thickBot="1" x14ac:dyDescent="0.3">
      <c r="A183" s="50"/>
      <c r="B183" s="136"/>
      <c r="C183" s="1006">
        <v>7570</v>
      </c>
      <c r="D183" s="1016" t="s">
        <v>525</v>
      </c>
      <c r="E183" s="984"/>
      <c r="F183" s="1017"/>
    </row>
    <row r="184" spans="1:7" customFormat="1" x14ac:dyDescent="0.25">
      <c r="A184" s="50"/>
      <c r="B184" s="136"/>
      <c r="C184" s="146"/>
      <c r="D184" s="137"/>
      <c r="E184" s="149"/>
    </row>
    <row r="185" spans="1:7" ht="18" thickBot="1" x14ac:dyDescent="0.3">
      <c r="B185" s="1" t="s">
        <v>87</v>
      </c>
      <c r="C185" s="522" t="s">
        <v>540</v>
      </c>
    </row>
    <row r="186" spans="1:7" x14ac:dyDescent="0.25">
      <c r="C186" s="1276"/>
      <c r="D186" s="1258" t="s">
        <v>120</v>
      </c>
      <c r="E186" s="1258"/>
      <c r="F186" s="1258"/>
      <c r="G186" s="1259"/>
    </row>
    <row r="187" spans="1:7" ht="36.75" customHeight="1" x14ac:dyDescent="0.25">
      <c r="C187" s="1277"/>
      <c r="D187" s="485" t="s">
        <v>495</v>
      </c>
      <c r="E187" s="485" t="s">
        <v>496</v>
      </c>
      <c r="F187" s="485" t="s">
        <v>493</v>
      </c>
      <c r="G187" s="539" t="s">
        <v>494</v>
      </c>
    </row>
    <row r="188" spans="1:7" x14ac:dyDescent="0.25">
      <c r="C188" s="487" t="s">
        <v>251</v>
      </c>
      <c r="D188" s="160">
        <f>SUM(_xlfn.ANCHORARRAY(Safety!E164))</f>
        <v>0</v>
      </c>
      <c r="E188" s="160" cm="1">
        <f t="array" ref="E188:E190">Safety!D164:D166</f>
        <v>0</v>
      </c>
      <c r="F188" s="159">
        <f>SUM(_xlfn.ANCHORARRAY(Safety!E191))</f>
        <v>67394942.746733844</v>
      </c>
      <c r="G188" s="488" cm="1">
        <f t="array" ref="G188:G190">Safety!D191:D193</f>
        <v>38330810.987176932</v>
      </c>
    </row>
    <row r="189" spans="1:7" x14ac:dyDescent="0.25">
      <c r="C189" s="487" t="s">
        <v>252</v>
      </c>
      <c r="D189" s="160">
        <f>SUM(_xlfn.ANCHORARRAY(Safety!E165))</f>
        <v>14720093.899239043</v>
      </c>
      <c r="E189" s="160">
        <v>8061811.8283546604</v>
      </c>
      <c r="F189" s="159">
        <f>SUM(_xlfn.ANCHORARRAY(Safety!E192))</f>
        <v>105682404.20119661</v>
      </c>
      <c r="G189" s="488">
        <v>54800715.548636518</v>
      </c>
    </row>
    <row r="190" spans="1:7" x14ac:dyDescent="0.25">
      <c r="C190" s="487" t="s">
        <v>253</v>
      </c>
      <c r="D190" s="160">
        <f>SUM(_xlfn.ANCHORARRAY(Safety!E166))</f>
        <v>168444.75425865242</v>
      </c>
      <c r="E190" s="160">
        <v>96732.689531886266</v>
      </c>
      <c r="F190" s="159">
        <f>SUM(_xlfn.ANCHORARRAY(Safety!E193))</f>
        <v>2954055.135970152</v>
      </c>
      <c r="G190" s="488">
        <v>1522595.7673987234</v>
      </c>
    </row>
    <row r="191" spans="1:7" ht="18" thickBot="1" x14ac:dyDescent="0.3">
      <c r="C191" s="489" t="s">
        <v>231</v>
      </c>
      <c r="D191" s="490">
        <f>SUM(D188:D190)</f>
        <v>14888538.653497696</v>
      </c>
      <c r="E191" s="490">
        <f t="shared" ref="E191:G191" si="4">SUM(E188:E190)</f>
        <v>8158544.5178865464</v>
      </c>
      <c r="F191" s="490">
        <f t="shared" si="4"/>
        <v>176031402.0839006</v>
      </c>
      <c r="G191" s="491">
        <f t="shared" si="4"/>
        <v>94654122.303212181</v>
      </c>
    </row>
    <row r="193" spans="1:7" ht="18" thickBot="1" x14ac:dyDescent="0.3">
      <c r="C193" s="522" t="s">
        <v>541</v>
      </c>
    </row>
    <row r="194" spans="1:7" x14ac:dyDescent="0.25">
      <c r="C194" s="483"/>
      <c r="D194" s="1258" t="s">
        <v>120</v>
      </c>
      <c r="E194" s="1259"/>
      <c r="F194" s="926"/>
      <c r="G194" s="926"/>
    </row>
    <row r="195" spans="1:7" x14ac:dyDescent="0.25">
      <c r="C195" s="484"/>
      <c r="D195" s="485" t="s">
        <v>335</v>
      </c>
      <c r="E195" s="539" t="s">
        <v>287</v>
      </c>
      <c r="F195" s="927"/>
      <c r="G195" s="927"/>
    </row>
    <row r="196" spans="1:7" x14ac:dyDescent="0.25">
      <c r="C196" s="487" t="s">
        <v>542</v>
      </c>
      <c r="D196" s="931" cm="1">
        <f t="array" ref="D196:D198">Safety!D149:D151</f>
        <v>0</v>
      </c>
      <c r="E196" s="932" cm="1">
        <f t="array" ref="E196:E198">Safety!D174:D176</f>
        <v>4.8060631357803203</v>
      </c>
      <c r="F196" s="159"/>
      <c r="G196" s="159"/>
    </row>
    <row r="197" spans="1:7" x14ac:dyDescent="0.25">
      <c r="C197" s="487" t="s">
        <v>543</v>
      </c>
      <c r="D197" s="931">
        <v>47.029053991179055</v>
      </c>
      <c r="E197" s="932">
        <v>337.64346390158664</v>
      </c>
      <c r="F197" s="159"/>
      <c r="G197" s="159"/>
    </row>
    <row r="198" spans="1:7" x14ac:dyDescent="0.25">
      <c r="C198" s="487" t="s">
        <v>544</v>
      </c>
      <c r="D198" s="931">
        <v>18.510412555895869</v>
      </c>
      <c r="E198" s="932">
        <v>324.62144351320353</v>
      </c>
      <c r="F198" s="159"/>
      <c r="G198" s="159"/>
    </row>
    <row r="199" spans="1:7" ht="18" thickBot="1" x14ac:dyDescent="0.3">
      <c r="C199" s="489" t="s">
        <v>231</v>
      </c>
      <c r="D199" s="933">
        <f>SUM(D196:D198)</f>
        <v>65.539466547074923</v>
      </c>
      <c r="E199" s="934">
        <f>SUM(E196:E198)</f>
        <v>667.07097055057056</v>
      </c>
      <c r="F199" s="928"/>
      <c r="G199" s="928"/>
    </row>
    <row r="200" spans="1:7" x14ac:dyDescent="0.25">
      <c r="B200" s="134"/>
    </row>
    <row r="201" spans="1:7" ht="18" thickBot="1" x14ac:dyDescent="0.3">
      <c r="A201" s="523" t="s">
        <v>39</v>
      </c>
      <c r="B201" s="524" t="s">
        <v>87</v>
      </c>
      <c r="C201" s="522" t="s">
        <v>237</v>
      </c>
    </row>
    <row r="202" spans="1:7" x14ac:dyDescent="0.25">
      <c r="B202" s="134"/>
      <c r="C202" s="510"/>
      <c r="D202" s="511" t="s">
        <v>256</v>
      </c>
      <c r="E202" s="511" t="s">
        <v>3</v>
      </c>
      <c r="F202" s="512" t="s">
        <v>104</v>
      </c>
    </row>
    <row r="203" spans="1:7" ht="20.25" customHeight="1" x14ac:dyDescent="0.25">
      <c r="B203" s="134"/>
      <c r="C203" s="513" t="s">
        <v>257</v>
      </c>
      <c r="D203" s="175" t="s">
        <v>258</v>
      </c>
      <c r="E203" s="175" t="s">
        <v>259</v>
      </c>
      <c r="F203" s="1285" t="s">
        <v>715</v>
      </c>
    </row>
    <row r="204" spans="1:7" ht="20.25" customHeight="1" x14ac:dyDescent="0.25">
      <c r="B204" s="134"/>
      <c r="C204" s="513" t="s">
        <v>260</v>
      </c>
      <c r="D204" s="175" t="s">
        <v>258</v>
      </c>
      <c r="E204" s="175" t="s">
        <v>259</v>
      </c>
      <c r="F204" s="1285"/>
    </row>
    <row r="205" spans="1:7" ht="20.25" customHeight="1" x14ac:dyDescent="0.25">
      <c r="B205" s="134"/>
      <c r="C205" s="513" t="s">
        <v>261</v>
      </c>
      <c r="D205" s="175" t="s">
        <v>258</v>
      </c>
      <c r="E205" s="175" t="s">
        <v>259</v>
      </c>
      <c r="F205" s="1285"/>
    </row>
    <row r="206" spans="1:7" ht="20.25" customHeight="1" x14ac:dyDescent="0.25">
      <c r="B206" s="134"/>
      <c r="C206" s="513" t="s">
        <v>262</v>
      </c>
      <c r="D206" s="175" t="s">
        <v>258</v>
      </c>
      <c r="E206" s="175" t="s">
        <v>259</v>
      </c>
      <c r="F206" s="1285"/>
    </row>
    <row r="207" spans="1:7" ht="18" customHeight="1" x14ac:dyDescent="0.25">
      <c r="B207" s="134"/>
      <c r="C207" s="513" t="s">
        <v>499</v>
      </c>
      <c r="D207" s="175" t="s">
        <v>263</v>
      </c>
      <c r="E207" s="175">
        <f>'Emissions Data'!L10</f>
        <v>4.1689999999999996</v>
      </c>
      <c r="F207" s="1278" t="s">
        <v>488</v>
      </c>
    </row>
    <row r="208" spans="1:7" ht="18" customHeight="1" x14ac:dyDescent="0.25">
      <c r="B208" s="134"/>
      <c r="C208" s="513" t="s">
        <v>500</v>
      </c>
      <c r="D208" s="175" t="s">
        <v>507</v>
      </c>
      <c r="E208" s="175">
        <f>'Emissions Data'!L12</f>
        <v>15</v>
      </c>
      <c r="F208" s="1279"/>
    </row>
    <row r="209" spans="2:14" ht="18" customHeight="1" x14ac:dyDescent="0.25">
      <c r="B209" s="134"/>
      <c r="C209" s="513" t="s">
        <v>501</v>
      </c>
      <c r="D209" s="175" t="s">
        <v>263</v>
      </c>
      <c r="E209" s="175">
        <f>'Emissions Data'!L14</f>
        <v>0.11899999999999999</v>
      </c>
      <c r="F209" s="1279"/>
    </row>
    <row r="210" spans="2:14" ht="18" customHeight="1" x14ac:dyDescent="0.25">
      <c r="B210" s="134"/>
      <c r="C210" s="513" t="s">
        <v>502</v>
      </c>
      <c r="D210" s="175" t="s">
        <v>263</v>
      </c>
      <c r="E210" s="175">
        <f>'Emissions Data'!L16</f>
        <v>10180</v>
      </c>
      <c r="F210" s="1279"/>
    </row>
    <row r="211" spans="2:14" ht="18" customHeight="1" x14ac:dyDescent="0.25">
      <c r="B211" s="134"/>
      <c r="C211" s="513" t="s">
        <v>503</v>
      </c>
      <c r="D211" s="175" t="s">
        <v>263</v>
      </c>
      <c r="E211" s="175">
        <f>'Emissions Data'!L9</f>
        <v>0.192</v>
      </c>
      <c r="F211" s="1279"/>
    </row>
    <row r="212" spans="2:14" ht="18" customHeight="1" x14ac:dyDescent="0.25">
      <c r="B212" s="134"/>
      <c r="C212" s="513" t="s">
        <v>504</v>
      </c>
      <c r="D212" s="175" t="s">
        <v>508</v>
      </c>
      <c r="E212" s="175">
        <f>'Emissions Data'!L11</f>
        <v>10</v>
      </c>
      <c r="F212" s="1279"/>
    </row>
    <row r="213" spans="2:14" ht="18" customHeight="1" x14ac:dyDescent="0.25">
      <c r="B213" s="134"/>
      <c r="C213" s="513" t="s">
        <v>505</v>
      </c>
      <c r="D213" s="175" t="s">
        <v>263</v>
      </c>
      <c r="E213" s="175">
        <f>'Emissions Data'!L13</f>
        <v>0.01</v>
      </c>
      <c r="F213" s="1279"/>
    </row>
    <row r="214" spans="2:14" ht="18" customHeight="1" thickBot="1" x14ac:dyDescent="0.3">
      <c r="B214" s="134"/>
      <c r="C214" s="514" t="s">
        <v>506</v>
      </c>
      <c r="D214" s="515" t="s">
        <v>263</v>
      </c>
      <c r="E214" s="515">
        <f>'Emissions Data'!L15</f>
        <v>8887</v>
      </c>
      <c r="F214" s="1280"/>
    </row>
    <row r="215" spans="2:14" x14ac:dyDescent="0.25">
      <c r="B215" s="134"/>
      <c r="C215" s="177"/>
      <c r="D215" s="177"/>
      <c r="E215" s="177"/>
      <c r="F215" s="177"/>
    </row>
    <row r="216" spans="2:14" ht="18" thickBot="1" x14ac:dyDescent="0.3">
      <c r="B216" s="134"/>
      <c r="C216" s="522" t="s">
        <v>237</v>
      </c>
      <c r="D216" s="177"/>
      <c r="E216" s="177"/>
      <c r="F216" s="177"/>
    </row>
    <row r="217" spans="2:14" x14ac:dyDescent="0.25">
      <c r="B217" s="134"/>
      <c r="C217" s="1005" t="s">
        <v>414</v>
      </c>
      <c r="D217" s="1052" t="s">
        <v>415</v>
      </c>
      <c r="E217" s="1052" t="s">
        <v>3</v>
      </c>
      <c r="F217" s="1283" t="s">
        <v>427</v>
      </c>
      <c r="G217" s="1283"/>
      <c r="H217" s="1283" t="s">
        <v>104</v>
      </c>
      <c r="I217" s="1283"/>
      <c r="J217" s="1283"/>
      <c r="K217" s="1283"/>
      <c r="L217" s="1283"/>
      <c r="M217" s="1283"/>
      <c r="N217" s="1284"/>
    </row>
    <row r="218" spans="2:14" ht="24" customHeight="1" x14ac:dyDescent="0.25">
      <c r="B218" s="134"/>
      <c r="C218" s="1025" t="str">
        <f>'Emissions Data'!J7</f>
        <v>Assumed miles per gallon (MPG)</v>
      </c>
      <c r="D218" s="1083" t="str">
        <f>'Emissions Data'!K7</f>
        <v>Gasoline</v>
      </c>
      <c r="E218" s="1083">
        <f>'Emissions Data'!L7</f>
        <v>22.3</v>
      </c>
      <c r="F218" s="1256" t="str">
        <f>'Emissions Data'!M7</f>
        <v>Based on EPA site reference in BCA guidance.</v>
      </c>
      <c r="G218" s="1256"/>
      <c r="H218" s="1272" t="str">
        <f>'Emissions Data'!N7</f>
        <v>https://www.epa.gov/energy/greenhouse-gases-equivalencies-calculator-calculations-and-references</v>
      </c>
      <c r="I218" s="1272"/>
      <c r="J218" s="1272"/>
      <c r="K218" s="1272"/>
      <c r="L218" s="1272"/>
      <c r="M218" s="1272"/>
      <c r="N218" s="1273"/>
    </row>
    <row r="219" spans="2:14" ht="18" customHeight="1" x14ac:dyDescent="0.25">
      <c r="B219" s="134"/>
      <c r="C219" s="1025" t="str">
        <f>'Emissions Data'!J8</f>
        <v>Assumed miles per gallon (MPG)</v>
      </c>
      <c r="D219" s="1083" t="str">
        <f>'Emissions Data'!K8</f>
        <v>Diesel</v>
      </c>
      <c r="E219" s="1083">
        <f>'Emissions Data'!L8</f>
        <v>6</v>
      </c>
      <c r="F219" s="1256" t="str">
        <f>'Emissions Data'!M8</f>
        <v>Based on Iowa specific data from Geotab.</v>
      </c>
      <c r="G219" s="1256"/>
      <c r="H219" s="1272" t="str">
        <f>'Emissions Data'!N8</f>
        <v>https://www.geotab.com/truck-mpg-benchmark/</v>
      </c>
      <c r="I219" s="1272"/>
      <c r="J219" s="1272"/>
      <c r="K219" s="1272"/>
      <c r="L219" s="1272"/>
      <c r="M219" s="1272"/>
      <c r="N219" s="1273"/>
    </row>
    <row r="220" spans="2:14" ht="18" customHeight="1" x14ac:dyDescent="0.25">
      <c r="B220" s="134"/>
      <c r="C220" s="1025" t="str">
        <f>'Emissions Data'!J9</f>
        <v>NOx emission rate (grams per mile)</v>
      </c>
      <c r="D220" s="1083" t="str">
        <f>'Emissions Data'!K9</f>
        <v>Gasoline</v>
      </c>
      <c r="E220" s="1083">
        <f>'Emissions Data'!L9</f>
        <v>0.192</v>
      </c>
      <c r="F220" s="1256" t="str">
        <f>'Emissions Data'!M9</f>
        <v>Based on light duty vehicles (2020) from BTS.</v>
      </c>
      <c r="G220" s="1256"/>
      <c r="H220" s="1272" t="str">
        <f>'Emissions Data'!N9</f>
        <v>https://www.bts.gov/content/estimated-national-average-vehicle-emissions-rates-vehicle-vehicle-type-using-gasoline-and</v>
      </c>
      <c r="I220" s="1272"/>
      <c r="J220" s="1272"/>
      <c r="K220" s="1272"/>
      <c r="L220" s="1272"/>
      <c r="M220" s="1272"/>
      <c r="N220" s="1273"/>
    </row>
    <row r="221" spans="2:14" ht="24" customHeight="1" x14ac:dyDescent="0.25">
      <c r="B221" s="134"/>
      <c r="C221" s="1025" t="str">
        <f>'Emissions Data'!J10</f>
        <v>NOx emission rate (grams per mile)</v>
      </c>
      <c r="D221" s="1083" t="str">
        <f>'Emissions Data'!K10</f>
        <v>Diesel</v>
      </c>
      <c r="E221" s="1083">
        <f>'Emissions Data'!L10</f>
        <v>4.1689999999999996</v>
      </c>
      <c r="F221" s="1256" t="str">
        <f>'Emissions Data'!M10</f>
        <v>Based on heavy duty vehicles (2020) from BTS.</v>
      </c>
      <c r="G221" s="1256"/>
      <c r="H221" s="1272" t="str">
        <f>'Emissions Data'!N10</f>
        <v>https://www.bts.gov/content/estimated-national-average-vehicle-emissions-rates-vehicle-vehicle-type-using-gasoline-and</v>
      </c>
      <c r="I221" s="1272"/>
      <c r="J221" s="1272"/>
      <c r="K221" s="1272"/>
      <c r="L221" s="1272"/>
      <c r="M221" s="1272"/>
      <c r="N221" s="1273"/>
    </row>
    <row r="222" spans="2:14" ht="18" customHeight="1" x14ac:dyDescent="0.25">
      <c r="B222" s="134"/>
      <c r="C222" s="1025" t="str">
        <f>'Emissions Data'!J11</f>
        <v>SOx ppm per gallon</v>
      </c>
      <c r="D222" s="1083" t="str">
        <f>'Emissions Data'!K11</f>
        <v>Gasoline (Tier 3)</v>
      </c>
      <c r="E222" s="1083">
        <f>'Emissions Data'!L11</f>
        <v>10</v>
      </c>
      <c r="F222" s="1256" t="str">
        <f>'Emissions Data'!M11</f>
        <v>Based on EPA requirement.</v>
      </c>
      <c r="G222" s="1256"/>
      <c r="H222" s="1272" t="str">
        <f>'Emissions Data'!N11</f>
        <v>https://www.transportpolicy.net/standard/us-fuels-diesel-and-gasoline/</v>
      </c>
      <c r="I222" s="1272"/>
      <c r="J222" s="1272"/>
      <c r="K222" s="1272"/>
      <c r="L222" s="1272"/>
      <c r="M222" s="1272"/>
      <c r="N222" s="1273"/>
    </row>
    <row r="223" spans="2:14" ht="18" customHeight="1" x14ac:dyDescent="0.25">
      <c r="B223" s="134"/>
      <c r="C223" s="1025" t="str">
        <f>'Emissions Data'!J12</f>
        <v>SOx ppm per gallon</v>
      </c>
      <c r="D223" s="1083" t="str">
        <f>'Emissions Data'!K12</f>
        <v>Diesel</v>
      </c>
      <c r="E223" s="1083">
        <f>'Emissions Data'!L12</f>
        <v>15</v>
      </c>
      <c r="F223" s="1256" t="str">
        <f>'Emissions Data'!M12</f>
        <v>Based on EPA requirement.</v>
      </c>
      <c r="G223" s="1256"/>
      <c r="H223" s="1272" t="str">
        <f>'Emissions Data'!N12</f>
        <v>https://www.transportpolicy.net/standard/us-fuels-diesel-and-gasoline/</v>
      </c>
      <c r="I223" s="1272"/>
      <c r="J223" s="1272"/>
      <c r="K223" s="1272"/>
      <c r="L223" s="1272"/>
      <c r="M223" s="1272"/>
      <c r="N223" s="1273"/>
    </row>
    <row r="224" spans="2:14" ht="31.5" customHeight="1" x14ac:dyDescent="0.25">
      <c r="B224" s="134"/>
      <c r="C224" s="1025" t="str">
        <f>'Emissions Data'!J13</f>
        <v>PM 2.5 emission rate (grams per mile)</v>
      </c>
      <c r="D224" s="1083" t="str">
        <f>'Emissions Data'!K13</f>
        <v>Gasoline</v>
      </c>
      <c r="E224" s="1083">
        <f>'Emissions Data'!L13</f>
        <v>0.01</v>
      </c>
      <c r="F224" s="1256" t="str">
        <f>'Emissions Data'!M13</f>
        <v>Based on avg. light duty vehicles/trucks (exhaust + breakwear + tirewear) (2020) from BTS</v>
      </c>
      <c r="G224" s="1256"/>
      <c r="H224" s="1272" t="str">
        <f>'Emissions Data'!N13</f>
        <v>https://www.bts.gov/content/estimated-national-average-vehicle-emissions-rates-vehicle-vehicle-type-using-gasoline-and</v>
      </c>
      <c r="I224" s="1272"/>
      <c r="J224" s="1272"/>
      <c r="K224" s="1272"/>
      <c r="L224" s="1272"/>
      <c r="M224" s="1272"/>
      <c r="N224" s="1273"/>
    </row>
    <row r="225" spans="2:14" ht="24" customHeight="1" x14ac:dyDescent="0.25">
      <c r="B225" s="134"/>
      <c r="C225" s="1025" t="str">
        <f>'Emissions Data'!J14</f>
        <v>PM 2.5 emission rate (grams per mile)</v>
      </c>
      <c r="D225" s="1083" t="str">
        <f>'Emissions Data'!K14</f>
        <v>Diesel</v>
      </c>
      <c r="E225" s="1083">
        <f>'Emissions Data'!L14</f>
        <v>0.11899999999999999</v>
      </c>
      <c r="F225" s="1256" t="str">
        <f>'Emissions Data'!M14</f>
        <v>Based on heavy duty vehicles/trucks (exhaust + breakwear + tirewear) (2020) from BTS</v>
      </c>
      <c r="G225" s="1256"/>
      <c r="H225" s="1272" t="str">
        <f>'Emissions Data'!N14</f>
        <v>https://www.bts.gov/content/estimated-national-average-vehicle-emissions-rates-vehicle-vehicle-type-using-gasoline-and</v>
      </c>
      <c r="I225" s="1272"/>
      <c r="J225" s="1272"/>
      <c r="K225" s="1272"/>
      <c r="L225" s="1272"/>
      <c r="M225" s="1272"/>
      <c r="N225" s="1273"/>
    </row>
    <row r="226" spans="2:14" ht="24" customHeight="1" x14ac:dyDescent="0.25">
      <c r="B226" s="134"/>
      <c r="C226" s="1025" t="str">
        <f>'Emissions Data'!J15</f>
        <v>CO2 emmission rate (grams per mile)</v>
      </c>
      <c r="D226" s="1083" t="str">
        <f>'Emissions Data'!K15</f>
        <v>Gasoline</v>
      </c>
      <c r="E226" s="1083">
        <f>'Emissions Data'!L15</f>
        <v>8887</v>
      </c>
      <c r="F226" s="1256" t="str">
        <f>'Emissions Data'!M15</f>
        <v>Based on EPA site reference in BCA guidance.</v>
      </c>
      <c r="G226" s="1256"/>
      <c r="H226" s="1272" t="str">
        <f>'Emissions Data'!N15</f>
        <v>https://www.epa.gov/energy/greenhouse-gases-equivalencies-calculator-calculations-and-references</v>
      </c>
      <c r="I226" s="1272"/>
      <c r="J226" s="1272"/>
      <c r="K226" s="1272"/>
      <c r="L226" s="1272"/>
      <c r="M226" s="1272"/>
      <c r="N226" s="1273"/>
    </row>
    <row r="227" spans="2:14" ht="24" customHeight="1" x14ac:dyDescent="0.25">
      <c r="B227" s="134"/>
      <c r="C227" s="1025" t="str">
        <f>'Emissions Data'!J16</f>
        <v>CO2 emmission rate (grams per mile)</v>
      </c>
      <c r="D227" s="1083" t="str">
        <f>'Emissions Data'!K16</f>
        <v>Diesel</v>
      </c>
      <c r="E227" s="1083">
        <f>'Emissions Data'!L16</f>
        <v>10180</v>
      </c>
      <c r="F227" s="1256" t="str">
        <f>'Emissions Data'!M16</f>
        <v>Based on EPA site reference in BCA guidance.</v>
      </c>
      <c r="G227" s="1256"/>
      <c r="H227" s="1272" t="str">
        <f>'Emissions Data'!N16</f>
        <v>https://www.epa.gov/energy/greenhouse-gases-equivalencies-calculator-calculations-and-references</v>
      </c>
      <c r="I227" s="1272"/>
      <c r="J227" s="1272"/>
      <c r="K227" s="1272"/>
      <c r="L227" s="1272"/>
      <c r="M227" s="1272"/>
      <c r="N227" s="1273"/>
    </row>
    <row r="228" spans="2:14" ht="22.8" x14ac:dyDescent="0.25">
      <c r="B228" s="134"/>
      <c r="C228" s="1025" t="str">
        <f>'Emissions Data'!J18</f>
        <v>Conversition rate SOx parts per million (ppm) to metric tons / gal</v>
      </c>
      <c r="D228" s="1083"/>
      <c r="E228" s="1083">
        <f>'Emissions Data'!L18</f>
        <v>9.9177700000000001E-12</v>
      </c>
      <c r="F228" s="1256" t="str">
        <f>'Emissions Data'!M18</f>
        <v>Based on SO2 molecular weight.</v>
      </c>
      <c r="G228" s="1256"/>
      <c r="H228" s="1272" t="str">
        <f>'Emissions Data'!N18</f>
        <v>https://teesing.com/en/library/tools/ppm-mg3-converter</v>
      </c>
      <c r="I228" s="1272"/>
      <c r="J228" s="1272"/>
      <c r="K228" s="1272"/>
      <c r="L228" s="1272"/>
      <c r="M228" s="1272"/>
      <c r="N228" s="1273"/>
    </row>
    <row r="229" spans="2:14" ht="18" thickBot="1" x14ac:dyDescent="0.3">
      <c r="B229" s="134"/>
      <c r="C229" s="1084" t="str">
        <f>'Emissions Data'!J19</f>
        <v>Coverstion rate grams to metric tons</v>
      </c>
      <c r="D229" s="967"/>
      <c r="E229" s="967">
        <f>'Emissions Data'!L19</f>
        <v>9.9999999999999995E-7</v>
      </c>
      <c r="F229" s="1257"/>
      <c r="G229" s="1257"/>
      <c r="H229" s="1274"/>
      <c r="I229" s="1274"/>
      <c r="J229" s="1274"/>
      <c r="K229" s="1274"/>
      <c r="L229" s="1274"/>
      <c r="M229" s="1274"/>
      <c r="N229" s="1275"/>
    </row>
    <row r="230" spans="2:14" x14ac:dyDescent="0.25">
      <c r="B230" s="134"/>
      <c r="C230" s="177"/>
      <c r="D230" s="177"/>
      <c r="E230" s="177"/>
      <c r="F230" s="177"/>
    </row>
    <row r="231" spans="2:14" ht="18" thickBot="1" x14ac:dyDescent="0.3">
      <c r="B231" s="134"/>
      <c r="C231" s="522" t="s">
        <v>545</v>
      </c>
    </row>
    <row r="232" spans="2:14" x14ac:dyDescent="0.25">
      <c r="C232" s="483"/>
      <c r="D232" s="1258" t="s">
        <v>120</v>
      </c>
      <c r="E232" s="1258"/>
      <c r="F232" s="1258"/>
      <c r="G232" s="1259"/>
    </row>
    <row r="233" spans="2:14" ht="24" x14ac:dyDescent="0.25">
      <c r="C233" s="484"/>
      <c r="D233" s="485" t="s">
        <v>495</v>
      </c>
      <c r="E233" s="485" t="s">
        <v>496</v>
      </c>
      <c r="F233" s="485" t="s">
        <v>493</v>
      </c>
      <c r="G233" s="539" t="s">
        <v>494</v>
      </c>
    </row>
    <row r="234" spans="2:14" x14ac:dyDescent="0.25">
      <c r="C234" s="487" t="s">
        <v>510</v>
      </c>
      <c r="D234" s="160">
        <f>SUM(Emissions!G716:AH716)</f>
        <v>-379652.39564006252</v>
      </c>
      <c r="E234" s="160">
        <f>Emissions!F716</f>
        <v>-367126.14638381114</v>
      </c>
      <c r="F234" s="160">
        <f>SUM(Emissions!G720:AH720)</f>
        <v>-233326.60612886143</v>
      </c>
      <c r="G234" s="488">
        <f>Emissions!F720</f>
        <v>-329814.90747006831</v>
      </c>
      <c r="H234" s="174"/>
    </row>
    <row r="235" spans="2:14" x14ac:dyDescent="0.25">
      <c r="C235" s="516" t="s">
        <v>512</v>
      </c>
      <c r="D235" s="160">
        <f>SUM(Emissions!G717:AH717)</f>
        <v>-1997.6161477964256</v>
      </c>
      <c r="E235" s="160">
        <f>Emissions!F717</f>
        <v>-1943.4000917708131</v>
      </c>
      <c r="F235" s="160">
        <f>SUM(Emissions!G721:AH721)</f>
        <v>-1174.0996511275885</v>
      </c>
      <c r="G235" s="488">
        <f>Emissions!F721</f>
        <v>-1722.7986983563835</v>
      </c>
      <c r="H235" s="174"/>
    </row>
    <row r="236" spans="2:14" x14ac:dyDescent="0.25">
      <c r="C236" s="516" t="s">
        <v>511</v>
      </c>
      <c r="D236" s="160">
        <f>SUM(Emissions!G718:AH718)</f>
        <v>-589012.85153526603</v>
      </c>
      <c r="E236" s="160">
        <f>Emissions!F718</f>
        <v>-570198.57914357295</v>
      </c>
      <c r="F236" s="160">
        <f>SUM(Emissions!G722:AH722)</f>
        <v>-55455.44363646023</v>
      </c>
      <c r="G236" s="488">
        <f>Emissions!F722</f>
        <v>-318945.84346021537</v>
      </c>
      <c r="H236" s="174"/>
    </row>
    <row r="237" spans="2:14" x14ac:dyDescent="0.25">
      <c r="C237" s="516" t="s">
        <v>513</v>
      </c>
      <c r="D237" s="160">
        <f>SUM(Emissions!G719:AH719)</f>
        <v>-34701323.741943106</v>
      </c>
      <c r="E237" s="160">
        <f>Emissions!F719</f>
        <v>-36549879.223453745</v>
      </c>
      <c r="F237" s="160">
        <f>SUM(Emissions!G723:AH723)</f>
        <v>-12843597.532381654</v>
      </c>
      <c r="G237" s="488">
        <f>Emissions!F723</f>
        <v>-25275803.40442821</v>
      </c>
      <c r="H237" s="174"/>
    </row>
    <row r="238" spans="2:14" ht="18" thickBot="1" x14ac:dyDescent="0.3">
      <c r="C238" s="489" t="s">
        <v>509</v>
      </c>
      <c r="D238" s="490">
        <f>SUM(D234:D237)</f>
        <v>-35671986.605266228</v>
      </c>
      <c r="E238" s="490">
        <f>SUM(E234:E237)</f>
        <v>-37489147.349072903</v>
      </c>
      <c r="F238" s="490">
        <f>SUM(F234:F237)</f>
        <v>-13133553.681798102</v>
      </c>
      <c r="G238" s="491">
        <f>SUM(G234:G237)</f>
        <v>-25926286.954056852</v>
      </c>
    </row>
    <row r="240" spans="2:14" ht="18" thickBot="1" x14ac:dyDescent="0.3">
      <c r="C240" s="522" t="s">
        <v>546</v>
      </c>
    </row>
    <row r="241" spans="1:15" x14ac:dyDescent="0.25">
      <c r="C241" s="483"/>
      <c r="D241" s="1258" t="s">
        <v>120</v>
      </c>
      <c r="E241" s="1259"/>
      <c r="F241" s="926"/>
      <c r="G241" s="926"/>
    </row>
    <row r="242" spans="1:15" x14ac:dyDescent="0.25">
      <c r="C242" s="484"/>
      <c r="D242" s="485" t="s">
        <v>452</v>
      </c>
      <c r="E242" s="486" t="s">
        <v>453</v>
      </c>
      <c r="F242" s="927"/>
      <c r="G242" s="936"/>
    </row>
    <row r="243" spans="1:15" x14ac:dyDescent="0.25">
      <c r="C243" s="487" t="s">
        <v>547</v>
      </c>
      <c r="D243" s="1242">
        <f>Emissions!F688</f>
        <v>-17.708095040673612</v>
      </c>
      <c r="E243" s="1243">
        <f>Emissions!F692</f>
        <v>-11.371886032756422</v>
      </c>
      <c r="F243" s="159"/>
      <c r="G243" s="159"/>
    </row>
    <row r="244" spans="1:15" x14ac:dyDescent="0.25">
      <c r="C244" s="516" t="s">
        <v>548</v>
      </c>
      <c r="D244" s="1242">
        <f>Emissions!F689</f>
        <v>-3.3747097901239767E-2</v>
      </c>
      <c r="E244" s="1243">
        <f>Emissions!F693</f>
        <v>-2.1247619580917948E-2</v>
      </c>
      <c r="F244" s="159"/>
      <c r="G244" s="159"/>
    </row>
    <row r="245" spans="1:15" x14ac:dyDescent="0.25">
      <c r="C245" s="516" t="s">
        <v>549</v>
      </c>
      <c r="D245" s="1242">
        <f>Emissions!F690</f>
        <v>-0.56783422269605244</v>
      </c>
      <c r="E245" s="1243">
        <f>Emissions!F694</f>
        <v>-7.7392032234951502E-2</v>
      </c>
      <c r="F245" s="159"/>
      <c r="G245" s="159"/>
    </row>
    <row r="246" spans="1:15" ht="18" thickBot="1" x14ac:dyDescent="0.3">
      <c r="C246" s="662" t="s">
        <v>550</v>
      </c>
      <c r="D246" s="1244">
        <f>Emissions!F691</f>
        <v>-159418.94985922222</v>
      </c>
      <c r="E246" s="1245">
        <f>Emissions!F695</f>
        <v>-100731.04920821131</v>
      </c>
      <c r="F246" s="159"/>
      <c r="G246" s="159"/>
    </row>
    <row r="248" spans="1:15" ht="18" thickBot="1" x14ac:dyDescent="0.3">
      <c r="A248" s="523" t="s">
        <v>229</v>
      </c>
      <c r="B248" s="1" t="s">
        <v>106</v>
      </c>
      <c r="C248" s="522" t="s">
        <v>238</v>
      </c>
      <c r="D248" s="135"/>
      <c r="E248" s="135"/>
      <c r="F248" s="135"/>
    </row>
    <row r="249" spans="1:15" x14ac:dyDescent="0.25">
      <c r="C249" s="455" t="s">
        <v>1</v>
      </c>
      <c r="D249" s="528" t="s">
        <v>2</v>
      </c>
      <c r="E249" s="528" t="s">
        <v>3</v>
      </c>
      <c r="F249" s="529" t="s">
        <v>224</v>
      </c>
    </row>
    <row r="250" spans="1:15" x14ac:dyDescent="0.25">
      <c r="C250" s="530" t="s">
        <v>227</v>
      </c>
      <c r="D250" s="163" t="s">
        <v>716</v>
      </c>
      <c r="E250" s="164">
        <f>'Project Cost Data'!D59</f>
        <v>40000</v>
      </c>
      <c r="F250" s="531"/>
      <c r="H250" s="150"/>
      <c r="I250" s="150"/>
      <c r="J250" s="150"/>
      <c r="K250" s="150"/>
      <c r="L250" s="150"/>
      <c r="M250" s="150"/>
      <c r="N250" s="150"/>
      <c r="O250" s="12"/>
    </row>
    <row r="251" spans="1:15" x14ac:dyDescent="0.25">
      <c r="C251" s="530" t="s">
        <v>514</v>
      </c>
      <c r="D251" s="163" t="s">
        <v>716</v>
      </c>
      <c r="E251" s="164">
        <f>'Project Cost Data'!I59</f>
        <v>45000</v>
      </c>
      <c r="F251" s="531"/>
      <c r="H251" s="150"/>
      <c r="I251" s="150"/>
      <c r="J251" s="150"/>
      <c r="K251" s="150"/>
      <c r="L251" s="150"/>
      <c r="M251" s="150"/>
      <c r="N251" s="150"/>
      <c r="O251" s="12"/>
    </row>
    <row r="252" spans="1:15" x14ac:dyDescent="0.25">
      <c r="C252" s="530" t="s">
        <v>515</v>
      </c>
      <c r="D252" s="163" t="s">
        <v>716</v>
      </c>
      <c r="E252" s="164">
        <f>'Project Cost Data'!M59</f>
        <v>50000</v>
      </c>
      <c r="F252" s="531"/>
      <c r="H252" s="150"/>
      <c r="I252" s="150"/>
      <c r="J252" s="150"/>
      <c r="K252" s="150"/>
      <c r="L252" s="150"/>
      <c r="M252" s="150"/>
      <c r="N252" s="150"/>
      <c r="O252" s="12"/>
    </row>
    <row r="253" spans="1:15" ht="171" x14ac:dyDescent="0.25">
      <c r="C253" s="530" t="s">
        <v>228</v>
      </c>
      <c r="D253" s="163" t="s">
        <v>716</v>
      </c>
      <c r="E253" s="164">
        <f>'Project Cost Data'!D51</f>
        <v>12875000</v>
      </c>
      <c r="F253" s="531" t="s">
        <v>520</v>
      </c>
      <c r="H253"/>
      <c r="I253" s="146"/>
      <c r="J253" s="150"/>
      <c r="K253" s="150"/>
      <c r="L253" s="150"/>
      <c r="M253" s="150"/>
      <c r="N253" s="150"/>
      <c r="O253" s="12"/>
    </row>
    <row r="254" spans="1:15" ht="68.400000000000006" x14ac:dyDescent="0.25">
      <c r="C254" s="530" t="s">
        <v>516</v>
      </c>
      <c r="D254" s="163" t="s">
        <v>716</v>
      </c>
      <c r="E254" s="165">
        <f>'Project Cost Data'!I51</f>
        <v>5050000</v>
      </c>
      <c r="F254" s="531" t="s">
        <v>521</v>
      </c>
      <c r="H254" s="150"/>
      <c r="I254" s="150"/>
      <c r="J254" s="150"/>
      <c r="K254" s="150"/>
      <c r="L254" s="150"/>
      <c r="M254" s="150"/>
      <c r="N254" s="150"/>
      <c r="O254" s="12"/>
    </row>
    <row r="255" spans="1:15" ht="68.400000000000006" x14ac:dyDescent="0.25">
      <c r="C255" s="530" t="s">
        <v>517</v>
      </c>
      <c r="D255" s="163" t="s">
        <v>716</v>
      </c>
      <c r="E255" s="165">
        <f>'Project Cost Data'!M51</f>
        <v>6450000</v>
      </c>
      <c r="F255" s="531" t="s">
        <v>522</v>
      </c>
      <c r="H255" s="150"/>
      <c r="I255" s="150"/>
      <c r="J255" s="150"/>
      <c r="K255" s="150"/>
      <c r="L255" s="150"/>
      <c r="M255" s="150"/>
      <c r="N255" s="150"/>
      <c r="O255" s="12"/>
    </row>
    <row r="256" spans="1:15" ht="18" thickBot="1" x14ac:dyDescent="0.3">
      <c r="C256" s="532" t="str">
        <f>Inputs!C32</f>
        <v>Useful Life of Project</v>
      </c>
      <c r="D256" s="533" t="str">
        <f>Inputs!D32</f>
        <v>years</v>
      </c>
      <c r="E256" s="534">
        <f>usefulLife</f>
        <v>30</v>
      </c>
      <c r="F256" s="535" t="str">
        <f>Inputs!F32</f>
        <v>Assumption</v>
      </c>
    </row>
    <row r="257" spans="3:9" x14ac:dyDescent="0.25">
      <c r="C257" s="137"/>
      <c r="D257" s="137"/>
      <c r="E257" s="145"/>
      <c r="F257" s="146"/>
    </row>
    <row r="258" spans="3:9" ht="18" thickBot="1" x14ac:dyDescent="0.3">
      <c r="C258" s="522" t="s">
        <v>264</v>
      </c>
      <c r="D258" s="137"/>
      <c r="E258" s="145"/>
      <c r="F258" s="146"/>
    </row>
    <row r="259" spans="3:9" x14ac:dyDescent="0.25">
      <c r="C259" s="1253" t="s">
        <v>10</v>
      </c>
      <c r="D259" s="1255" t="s">
        <v>126</v>
      </c>
      <c r="E259" s="1255"/>
      <c r="F259" s="1255" t="s">
        <v>452</v>
      </c>
      <c r="G259" s="1255"/>
      <c r="H259" s="1255" t="s">
        <v>453</v>
      </c>
      <c r="I259" s="1271"/>
    </row>
    <row r="260" spans="3:9" x14ac:dyDescent="0.25">
      <c r="C260" s="1254"/>
      <c r="D260" s="485" t="s">
        <v>254</v>
      </c>
      <c r="E260" s="485" t="s">
        <v>523</v>
      </c>
      <c r="F260" s="498" t="s">
        <v>254</v>
      </c>
      <c r="G260" s="485" t="s">
        <v>523</v>
      </c>
      <c r="H260" s="498" t="s">
        <v>524</v>
      </c>
      <c r="I260" s="539" t="s">
        <v>523</v>
      </c>
    </row>
    <row r="261" spans="3:9" x14ac:dyDescent="0.25">
      <c r="C261" s="540">
        <v>2024</v>
      </c>
      <c r="D261" s="176">
        <f>'Project Cost Data'!C25*adjust2023to2021</f>
        <v>0</v>
      </c>
      <c r="E261" s="176">
        <v>0</v>
      </c>
      <c r="F261" s="176">
        <f>'Project Cost Data'!H25*adjust2023to2021</f>
        <v>0</v>
      </c>
      <c r="G261" s="176">
        <v>0</v>
      </c>
      <c r="H261" s="176">
        <f>'Project Cost Data'!L25*adjust2023to2021</f>
        <v>0</v>
      </c>
      <c r="I261" s="541">
        <v>0</v>
      </c>
    </row>
    <row r="262" spans="3:9" x14ac:dyDescent="0.25">
      <c r="C262" s="542">
        <f>C261+1</f>
        <v>2025</v>
      </c>
      <c r="D262" s="176">
        <f>'Project Cost Data'!C26*adjust2023to2021</f>
        <v>2340255.3049330241</v>
      </c>
      <c r="E262" s="176">
        <v>0</v>
      </c>
      <c r="F262" s="176">
        <f>'Project Cost Data'!H26*adjust2023to2021</f>
        <v>0</v>
      </c>
      <c r="G262" s="176">
        <v>0</v>
      </c>
      <c r="H262" s="176">
        <f>'Project Cost Data'!L26*adjust2023to2021</f>
        <v>0</v>
      </c>
      <c r="I262" s="541">
        <v>0</v>
      </c>
    </row>
    <row r="263" spans="3:9" x14ac:dyDescent="0.25">
      <c r="C263" s="542">
        <f t="shared" ref="C263:C285" si="5">C262+1</f>
        <v>2026</v>
      </c>
      <c r="D263" s="176">
        <f>'Project Cost Data'!C27*adjust2023to2021</f>
        <v>0</v>
      </c>
      <c r="E263" s="176">
        <v>0</v>
      </c>
      <c r="F263" s="176">
        <f>'Project Cost Data'!H27*adjust2023to2021</f>
        <v>0</v>
      </c>
      <c r="G263" s="176">
        <v>0</v>
      </c>
      <c r="H263" s="176">
        <f>'Project Cost Data'!L27*adjust2023to2021</f>
        <v>0</v>
      </c>
      <c r="I263" s="541">
        <v>0</v>
      </c>
    </row>
    <row r="264" spans="3:9" x14ac:dyDescent="0.25">
      <c r="C264" s="542">
        <f t="shared" si="5"/>
        <v>2027</v>
      </c>
      <c r="D264" s="176">
        <f>'Project Cost Data'!C28*adjust2023to2021</f>
        <v>0</v>
      </c>
      <c r="E264" s="176">
        <v>0</v>
      </c>
      <c r="F264" s="176">
        <f>'Project Cost Data'!H28*adjust2023to2021</f>
        <v>0</v>
      </c>
      <c r="G264" s="176">
        <v>0</v>
      </c>
      <c r="H264" s="176">
        <f>'Project Cost Data'!L28*adjust2023to2021</f>
        <v>0</v>
      </c>
      <c r="I264" s="541">
        <v>0</v>
      </c>
    </row>
    <row r="265" spans="3:9" x14ac:dyDescent="0.25">
      <c r="C265" s="542">
        <f t="shared" si="5"/>
        <v>2028</v>
      </c>
      <c r="D265" s="176">
        <f>'Project Cost Data'!C29*adjust2023to2021</f>
        <v>0</v>
      </c>
      <c r="E265" s="176">
        <f>'Project Cost Data'!$D$59*adjust2023to2021</f>
        <v>37073.35136527563</v>
      </c>
      <c r="F265" s="176">
        <f>'Project Cost Data'!H29*adjust2023to2021</f>
        <v>0</v>
      </c>
      <c r="G265" s="176">
        <f>'Project Cost Data'!$I$59*adjust2023to2021</f>
        <v>41707.520285935083</v>
      </c>
      <c r="H265" s="176">
        <f>'Project Cost Data'!L29*adjust2023to2021</f>
        <v>0</v>
      </c>
      <c r="I265" s="541">
        <f>'Project Cost Data'!$M$59*adjust2023to2021</f>
        <v>46341.689206594536</v>
      </c>
    </row>
    <row r="266" spans="3:9" x14ac:dyDescent="0.25">
      <c r="C266" s="542">
        <f t="shared" si="5"/>
        <v>2029</v>
      </c>
      <c r="D266" s="176">
        <f>'Project Cost Data'!C30*adjust2023to2021</f>
        <v>0</v>
      </c>
      <c r="E266" s="176">
        <f>'Project Cost Data'!$D$59*adjust2023to2021</f>
        <v>37073.35136527563</v>
      </c>
      <c r="F266" s="176">
        <f>'Project Cost Data'!H30*adjust2023to2021</f>
        <v>0</v>
      </c>
      <c r="G266" s="176">
        <f>'Project Cost Data'!$I$59*adjust2023to2021</f>
        <v>41707.520285935083</v>
      </c>
      <c r="H266" s="176">
        <f>'Project Cost Data'!L30*adjust2023to2021</f>
        <v>0</v>
      </c>
      <c r="I266" s="541">
        <f>'Project Cost Data'!$M$59*adjust2023to2021</f>
        <v>46341.689206594536</v>
      </c>
    </row>
    <row r="267" spans="3:9" x14ac:dyDescent="0.25">
      <c r="C267" s="542">
        <f t="shared" si="5"/>
        <v>2030</v>
      </c>
      <c r="D267" s="176">
        <f>'Project Cost Data'!C31*adjust2023to2021</f>
        <v>115854.22301648634</v>
      </c>
      <c r="E267" s="176">
        <f>'Project Cost Data'!$D$59*adjust2023to2021</f>
        <v>37073.35136527563</v>
      </c>
      <c r="F267" s="176">
        <f>'Project Cost Data'!H31*adjust2023to2021</f>
        <v>231708.44603297269</v>
      </c>
      <c r="G267" s="176">
        <f>'Project Cost Data'!$I$59*adjust2023to2021</f>
        <v>41707.520285935083</v>
      </c>
      <c r="H267" s="176">
        <f>'Project Cost Data'!L31*adjust2023to2021</f>
        <v>278050.13523956726</v>
      </c>
      <c r="I267" s="541">
        <f>'Project Cost Data'!$M$59*adjust2023to2021</f>
        <v>46341.689206594536</v>
      </c>
    </row>
    <row r="268" spans="3:9" x14ac:dyDescent="0.25">
      <c r="C268" s="542">
        <f t="shared" si="5"/>
        <v>2031</v>
      </c>
      <c r="D268" s="176">
        <f>'Project Cost Data'!C32*adjust2023to2021</f>
        <v>0</v>
      </c>
      <c r="E268" s="176">
        <f>'Project Cost Data'!$D$59*adjust2023to2021</f>
        <v>37073.35136527563</v>
      </c>
      <c r="F268" s="176">
        <f>'Project Cost Data'!H32*adjust2023to2021</f>
        <v>0</v>
      </c>
      <c r="G268" s="176">
        <f>'Project Cost Data'!$I$59*adjust2023to2021</f>
        <v>41707.520285935083</v>
      </c>
      <c r="H268" s="176">
        <f>'Project Cost Data'!L32*adjust2023to2021</f>
        <v>0</v>
      </c>
      <c r="I268" s="541">
        <f>'Project Cost Data'!$M$59*adjust2023to2021</f>
        <v>46341.689206594536</v>
      </c>
    </row>
    <row r="269" spans="3:9" x14ac:dyDescent="0.25">
      <c r="C269" s="542">
        <f t="shared" si="5"/>
        <v>2032</v>
      </c>
      <c r="D269" s="176">
        <f>'Project Cost Data'!C33*adjust2023to2021</f>
        <v>0</v>
      </c>
      <c r="E269" s="176">
        <f>'Project Cost Data'!$D$59*adjust2023to2021</f>
        <v>37073.35136527563</v>
      </c>
      <c r="F269" s="176">
        <f>'Project Cost Data'!H33*adjust2023to2021</f>
        <v>0</v>
      </c>
      <c r="G269" s="176">
        <f>'Project Cost Data'!$I$59*adjust2023to2021</f>
        <v>41707.520285935083</v>
      </c>
      <c r="H269" s="176">
        <f>'Project Cost Data'!L33*adjust2023to2021</f>
        <v>0</v>
      </c>
      <c r="I269" s="541">
        <f>'Project Cost Data'!$M$59*adjust2023to2021</f>
        <v>46341.689206594536</v>
      </c>
    </row>
    <row r="270" spans="3:9" x14ac:dyDescent="0.25">
      <c r="C270" s="542">
        <f t="shared" si="5"/>
        <v>2033</v>
      </c>
      <c r="D270" s="176">
        <f>'Project Cost Data'!C34*adjust2023to2021</f>
        <v>0</v>
      </c>
      <c r="E270" s="176">
        <f>'Project Cost Data'!$D$59*adjust2023to2021</f>
        <v>37073.35136527563</v>
      </c>
      <c r="F270" s="176">
        <f>'Project Cost Data'!H34*adjust2023to2021</f>
        <v>0</v>
      </c>
      <c r="G270" s="176">
        <f>'Project Cost Data'!$I$59*adjust2023to2021</f>
        <v>41707.520285935083</v>
      </c>
      <c r="H270" s="176">
        <f>'Project Cost Data'!L34*adjust2023to2021</f>
        <v>0</v>
      </c>
      <c r="I270" s="541">
        <f>'Project Cost Data'!$M$59*adjust2023to2021</f>
        <v>46341.689206594536</v>
      </c>
    </row>
    <row r="271" spans="3:9" x14ac:dyDescent="0.25">
      <c r="C271" s="542">
        <f t="shared" si="5"/>
        <v>2034</v>
      </c>
      <c r="D271" s="176">
        <f>'Project Cost Data'!C35*adjust2023to2021</f>
        <v>0</v>
      </c>
      <c r="E271" s="176">
        <f>'Project Cost Data'!$D$59*adjust2023to2021</f>
        <v>37073.35136527563</v>
      </c>
      <c r="F271" s="176">
        <f>'Project Cost Data'!H35*adjust2023to2021</f>
        <v>0</v>
      </c>
      <c r="G271" s="176">
        <f>'Project Cost Data'!$I$59*adjust2023to2021</f>
        <v>41707.520285935083</v>
      </c>
      <c r="H271" s="176">
        <f>'Project Cost Data'!L35*adjust2023to2021</f>
        <v>0</v>
      </c>
      <c r="I271" s="541">
        <f>'Project Cost Data'!$M$59*adjust2023to2021</f>
        <v>46341.689206594536</v>
      </c>
    </row>
    <row r="272" spans="3:9" x14ac:dyDescent="0.25">
      <c r="C272" s="542">
        <f t="shared" si="5"/>
        <v>2035</v>
      </c>
      <c r="D272" s="176">
        <f>'Project Cost Data'!C36*adjust2023to2021</f>
        <v>7785403.7867078828</v>
      </c>
      <c r="E272" s="176">
        <f>'Project Cost Data'!$D$59*adjust2023to2021</f>
        <v>37073.35136527563</v>
      </c>
      <c r="F272" s="176">
        <f>'Project Cost Data'!H36*adjust2023to2021</f>
        <v>231708.44603297269</v>
      </c>
      <c r="G272" s="176">
        <f>'Project Cost Data'!$I$59*adjust2023to2021</f>
        <v>41707.520285935083</v>
      </c>
      <c r="H272" s="176">
        <f>'Project Cost Data'!L36*adjust2023to2021</f>
        <v>278050.13523956726</v>
      </c>
      <c r="I272" s="541">
        <f>'Project Cost Data'!$M$59*adjust2023to2021</f>
        <v>46341.689206594536</v>
      </c>
    </row>
    <row r="273" spans="3:9" x14ac:dyDescent="0.25">
      <c r="C273" s="542">
        <f t="shared" si="5"/>
        <v>2036</v>
      </c>
      <c r="D273" s="176">
        <f>'Project Cost Data'!C37*adjust2023to2021</f>
        <v>0</v>
      </c>
      <c r="E273" s="176">
        <f>'Project Cost Data'!$D$59*adjust2023to2021</f>
        <v>37073.35136527563</v>
      </c>
      <c r="F273" s="176">
        <f>'Project Cost Data'!H37*adjust2023to2021</f>
        <v>0</v>
      </c>
      <c r="G273" s="176">
        <f>'Project Cost Data'!$I$59*adjust2023to2021</f>
        <v>41707.520285935083</v>
      </c>
      <c r="H273" s="176">
        <f>'Project Cost Data'!L37*adjust2023to2021</f>
        <v>0</v>
      </c>
      <c r="I273" s="541">
        <f>'Project Cost Data'!$M$59*adjust2023to2021</f>
        <v>46341.689206594536</v>
      </c>
    </row>
    <row r="274" spans="3:9" x14ac:dyDescent="0.25">
      <c r="C274" s="542">
        <f t="shared" si="5"/>
        <v>2037</v>
      </c>
      <c r="D274" s="176">
        <f>'Project Cost Data'!C38*adjust2023to2021</f>
        <v>0</v>
      </c>
      <c r="E274" s="176">
        <f>'Project Cost Data'!$D$59*adjust2023to2021</f>
        <v>37073.35136527563</v>
      </c>
      <c r="F274" s="176">
        <f>'Project Cost Data'!H38*adjust2023to2021</f>
        <v>0</v>
      </c>
      <c r="G274" s="176">
        <f>'Project Cost Data'!$I$59*adjust2023to2021</f>
        <v>41707.520285935083</v>
      </c>
      <c r="H274" s="176">
        <f>'Project Cost Data'!L38*adjust2023to2021</f>
        <v>0</v>
      </c>
      <c r="I274" s="541">
        <f>'Project Cost Data'!$M$59*adjust2023to2021</f>
        <v>46341.689206594536</v>
      </c>
    </row>
    <row r="275" spans="3:9" x14ac:dyDescent="0.25">
      <c r="C275" s="542">
        <f t="shared" si="5"/>
        <v>2038</v>
      </c>
      <c r="D275" s="176">
        <f>'Project Cost Data'!C39*adjust2023to2021</f>
        <v>0</v>
      </c>
      <c r="E275" s="176">
        <f>'Project Cost Data'!$D$59*adjust2023to2021</f>
        <v>37073.35136527563</v>
      </c>
      <c r="F275" s="176">
        <f>'Project Cost Data'!H39*adjust2023to2021</f>
        <v>0</v>
      </c>
      <c r="G275" s="176">
        <f>'Project Cost Data'!$I$59*adjust2023to2021</f>
        <v>41707.520285935083</v>
      </c>
      <c r="H275" s="176">
        <f>'Project Cost Data'!L39*adjust2023to2021</f>
        <v>0</v>
      </c>
      <c r="I275" s="541">
        <f>'Project Cost Data'!$M$59*adjust2023to2021</f>
        <v>46341.689206594536</v>
      </c>
    </row>
    <row r="276" spans="3:9" x14ac:dyDescent="0.25">
      <c r="C276" s="542">
        <f t="shared" si="5"/>
        <v>2039</v>
      </c>
      <c r="D276" s="176">
        <f>'Project Cost Data'!C40*adjust2023to2021</f>
        <v>0</v>
      </c>
      <c r="E276" s="176">
        <f>'Project Cost Data'!$D$59*adjust2023to2021</f>
        <v>37073.35136527563</v>
      </c>
      <c r="F276" s="176">
        <f>'Project Cost Data'!H40*adjust2023to2021</f>
        <v>0</v>
      </c>
      <c r="G276" s="176">
        <f>'Project Cost Data'!$I$59*adjust2023to2021</f>
        <v>41707.520285935083</v>
      </c>
      <c r="H276" s="176">
        <f>'Project Cost Data'!L40*adjust2023to2021</f>
        <v>0</v>
      </c>
      <c r="I276" s="541">
        <f>'Project Cost Data'!$M$59*adjust2023to2021</f>
        <v>46341.689206594536</v>
      </c>
    </row>
    <row r="277" spans="3:9" x14ac:dyDescent="0.25">
      <c r="C277" s="542">
        <f t="shared" si="5"/>
        <v>2040</v>
      </c>
      <c r="D277" s="176">
        <f>'Project Cost Data'!C41*adjust2023to2021</f>
        <v>115854.22301648634</v>
      </c>
      <c r="E277" s="176">
        <f>'Project Cost Data'!$D$59*adjust2023to2021</f>
        <v>37073.35136527563</v>
      </c>
      <c r="F277" s="176">
        <f>'Project Cost Data'!H41*adjust2023to2021</f>
        <v>231708.44603297269</v>
      </c>
      <c r="G277" s="176">
        <f>'Project Cost Data'!$I$59*adjust2023to2021</f>
        <v>41707.520285935083</v>
      </c>
      <c r="H277" s="176">
        <f>'Project Cost Data'!L41*adjust2023to2021</f>
        <v>278050.13523956726</v>
      </c>
      <c r="I277" s="541">
        <f>'Project Cost Data'!$M$59*adjust2023to2021</f>
        <v>46341.689206594536</v>
      </c>
    </row>
    <row r="278" spans="3:9" x14ac:dyDescent="0.25">
      <c r="C278" s="542">
        <f t="shared" si="5"/>
        <v>2041</v>
      </c>
      <c r="D278" s="176">
        <f>'Project Cost Data'!C42*adjust2023to2021</f>
        <v>0</v>
      </c>
      <c r="E278" s="176">
        <f>'Project Cost Data'!$D$59*adjust2023to2021</f>
        <v>37073.35136527563</v>
      </c>
      <c r="F278" s="176">
        <f>'Project Cost Data'!H42*adjust2023to2021</f>
        <v>0</v>
      </c>
      <c r="G278" s="176">
        <f>'Project Cost Data'!$I$59*adjust2023to2021</f>
        <v>41707.520285935083</v>
      </c>
      <c r="H278" s="176">
        <f>'Project Cost Data'!L42*adjust2023to2021</f>
        <v>0</v>
      </c>
      <c r="I278" s="541">
        <f>'Project Cost Data'!$M$59*adjust2023to2021</f>
        <v>46341.689206594536</v>
      </c>
    </row>
    <row r="279" spans="3:9" x14ac:dyDescent="0.25">
      <c r="C279" s="542">
        <f t="shared" si="5"/>
        <v>2042</v>
      </c>
      <c r="D279" s="176">
        <f>'Project Cost Data'!C43*adjust2023to2021</f>
        <v>0</v>
      </c>
      <c r="E279" s="176">
        <f>'Project Cost Data'!$D$59*adjust2023to2021</f>
        <v>37073.35136527563</v>
      </c>
      <c r="F279" s="176">
        <f>'Project Cost Data'!H43*adjust2023to2021</f>
        <v>0</v>
      </c>
      <c r="G279" s="176">
        <f>'Project Cost Data'!$I$59*adjust2023to2021</f>
        <v>41707.520285935083</v>
      </c>
      <c r="H279" s="176">
        <f>'Project Cost Data'!L43*adjust2023to2021</f>
        <v>0</v>
      </c>
      <c r="I279" s="541">
        <f>'Project Cost Data'!$M$59*adjust2023to2021</f>
        <v>46341.689206594536</v>
      </c>
    </row>
    <row r="280" spans="3:9" x14ac:dyDescent="0.25">
      <c r="C280" s="542">
        <f t="shared" si="5"/>
        <v>2043</v>
      </c>
      <c r="D280" s="176">
        <f>'Project Cost Data'!C44*adjust2023to2021</f>
        <v>0</v>
      </c>
      <c r="E280" s="176">
        <f>'Project Cost Data'!$D$59*adjust2023to2021</f>
        <v>37073.35136527563</v>
      </c>
      <c r="F280" s="176">
        <f>'Project Cost Data'!H44*adjust2023to2021</f>
        <v>0</v>
      </c>
      <c r="G280" s="176">
        <f>'Project Cost Data'!$I$59*adjust2023to2021</f>
        <v>41707.520285935083</v>
      </c>
      <c r="H280" s="176">
        <f>'Project Cost Data'!L44*adjust2023to2021</f>
        <v>0</v>
      </c>
      <c r="I280" s="541">
        <f>'Project Cost Data'!$M$59*adjust2023to2021</f>
        <v>46341.689206594536</v>
      </c>
    </row>
    <row r="281" spans="3:9" x14ac:dyDescent="0.25">
      <c r="C281" s="542">
        <f t="shared" si="5"/>
        <v>2044</v>
      </c>
      <c r="D281" s="176">
        <f>'Project Cost Data'!C45*adjust2023to2021</f>
        <v>0</v>
      </c>
      <c r="E281" s="176">
        <f>'Project Cost Data'!$D$59*adjust2023to2021</f>
        <v>37073.35136527563</v>
      </c>
      <c r="F281" s="176">
        <f>'Project Cost Data'!H45*adjust2023to2021</f>
        <v>0</v>
      </c>
      <c r="G281" s="176">
        <f>'Project Cost Data'!$I$59*adjust2023to2021</f>
        <v>41707.520285935083</v>
      </c>
      <c r="H281" s="176">
        <f>'Project Cost Data'!L45*adjust2023to2021</f>
        <v>0</v>
      </c>
      <c r="I281" s="541">
        <f>'Project Cost Data'!$M$59*adjust2023to2021</f>
        <v>46341.689206594536</v>
      </c>
    </row>
    <row r="282" spans="3:9" x14ac:dyDescent="0.25">
      <c r="C282" s="542">
        <f t="shared" si="5"/>
        <v>2045</v>
      </c>
      <c r="D282" s="176">
        <f>'Project Cost Data'!C46*adjust2023to2021</f>
        <v>1575617.4330242143</v>
      </c>
      <c r="E282" s="176">
        <f>'Project Cost Data'!$D$59*adjust2023to2021</f>
        <v>37073.35136527563</v>
      </c>
      <c r="F282" s="176">
        <f>'Project Cost Data'!H46*adjust2023to2021</f>
        <v>1992692.6358835651</v>
      </c>
      <c r="G282" s="176">
        <f>'Project Cost Data'!$I$59*adjust2023to2021</f>
        <v>41707.520285935083</v>
      </c>
      <c r="H282" s="176">
        <f>'Project Cost Data'!L46*adjust2023to2021</f>
        <v>2571963.7509659971</v>
      </c>
      <c r="I282" s="541">
        <f>'Project Cost Data'!$M$59*adjust2023to2021</f>
        <v>46341.689206594536</v>
      </c>
    </row>
    <row r="283" spans="3:9" x14ac:dyDescent="0.25">
      <c r="C283" s="542">
        <f t="shared" si="5"/>
        <v>2046</v>
      </c>
      <c r="D283" s="176">
        <f>'Project Cost Data'!C47*adjust2023to2021</f>
        <v>0</v>
      </c>
      <c r="E283" s="176">
        <f>'Project Cost Data'!$D$59*adjust2023to2021</f>
        <v>37073.35136527563</v>
      </c>
      <c r="F283" s="176">
        <f>'Project Cost Data'!H47*adjust2023to2021</f>
        <v>1992692.6358835651</v>
      </c>
      <c r="G283" s="176">
        <f>'Project Cost Data'!$I$59*adjust2023to2021</f>
        <v>41707.520285935083</v>
      </c>
      <c r="H283" s="176">
        <f>'Project Cost Data'!L47*adjust2023to2021</f>
        <v>2571963.7509659971</v>
      </c>
      <c r="I283" s="541">
        <f>'Project Cost Data'!$M$59*adjust2023to2021</f>
        <v>46341.689206594536</v>
      </c>
    </row>
    <row r="284" spans="3:9" x14ac:dyDescent="0.25">
      <c r="C284" s="542">
        <f t="shared" si="5"/>
        <v>2047</v>
      </c>
      <c r="D284" s="176">
        <f>'Project Cost Data'!C48*adjust2023to2021</f>
        <v>0</v>
      </c>
      <c r="E284" s="176">
        <f>'Project Cost Data'!$D$59*adjust2023to2021</f>
        <v>37073.35136527563</v>
      </c>
      <c r="F284" s="176">
        <f>'Project Cost Data'!H48*adjust2023to2021</f>
        <v>0</v>
      </c>
      <c r="G284" s="176">
        <f>'Project Cost Data'!$I$59*adjust2023to2021</f>
        <v>41707.520285935083</v>
      </c>
      <c r="H284" s="176">
        <f>'Project Cost Data'!L48*adjust2023to2021</f>
        <v>0</v>
      </c>
      <c r="I284" s="541">
        <f>'Project Cost Data'!$M$59*adjust2023to2021</f>
        <v>46341.689206594536</v>
      </c>
    </row>
    <row r="285" spans="3:9" x14ac:dyDescent="0.25">
      <c r="C285" s="542">
        <f t="shared" si="5"/>
        <v>2048</v>
      </c>
      <c r="D285" s="176">
        <f>'Project Cost Data'!C49*adjust2023to2021</f>
        <v>0</v>
      </c>
      <c r="E285" s="176">
        <f>'Project Cost Data'!$D$59*adjust2023to2021</f>
        <v>37073.35136527563</v>
      </c>
      <c r="F285" s="176">
        <f>'Project Cost Data'!H49*adjust2023to2021</f>
        <v>0</v>
      </c>
      <c r="G285" s="176">
        <f>'Project Cost Data'!$I$59*adjust2023to2021</f>
        <v>41707.520285935083</v>
      </c>
      <c r="H285" s="176">
        <f>'Project Cost Data'!L49*adjust2023to2021</f>
        <v>0</v>
      </c>
      <c r="I285" s="541">
        <f>'Project Cost Data'!$M$59*adjust2023to2021</f>
        <v>46341.689206594536</v>
      </c>
    </row>
    <row r="286" spans="3:9" x14ac:dyDescent="0.25">
      <c r="C286" s="543" t="s">
        <v>25</v>
      </c>
      <c r="D286" s="499">
        <f>SUM(D261:D285)</f>
        <v>11932984.970698094</v>
      </c>
      <c r="E286" s="499">
        <f t="shared" ref="E286:I286" si="6">SUM(E261:E285)</f>
        <v>778540.37867078849</v>
      </c>
      <c r="F286" s="499">
        <f>SUM(F261:F285)</f>
        <v>4680510.6098660482</v>
      </c>
      <c r="G286" s="499">
        <f t="shared" si="6"/>
        <v>875857.92600463727</v>
      </c>
      <c r="H286" s="499">
        <f>SUM(H261:H285)</f>
        <v>5978077.9076506961</v>
      </c>
      <c r="I286" s="544">
        <f t="shared" si="6"/>
        <v>973175.47333848476</v>
      </c>
    </row>
    <row r="287" spans="3:9" ht="18" thickBot="1" x14ac:dyDescent="0.3">
      <c r="C287" s="489" t="s">
        <v>181</v>
      </c>
      <c r="D287" s="490"/>
      <c r="E287" s="490">
        <f>D286+E286</f>
        <v>12711525.349368883</v>
      </c>
      <c r="F287" s="490"/>
      <c r="G287" s="490">
        <f>F286+G286</f>
        <v>5556368.5358706852</v>
      </c>
      <c r="H287" s="490"/>
      <c r="I287" s="491">
        <f>H286+I286</f>
        <v>6951253.3809891809</v>
      </c>
    </row>
    <row r="288" spans="3:9" x14ac:dyDescent="0.25">
      <c r="C288" s="137"/>
      <c r="D288" s="137"/>
      <c r="E288" s="145"/>
      <c r="F288" s="146"/>
    </row>
    <row r="289" spans="1:8" ht="18" thickBot="1" x14ac:dyDescent="0.3">
      <c r="B289" s="1" t="s">
        <v>87</v>
      </c>
      <c r="C289" s="522" t="s">
        <v>239</v>
      </c>
    </row>
    <row r="290" spans="1:8" x14ac:dyDescent="0.25">
      <c r="C290" s="483"/>
      <c r="D290" s="1258" t="s">
        <v>120</v>
      </c>
      <c r="E290" s="1258"/>
      <c r="F290" s="1258"/>
      <c r="G290" s="1259"/>
    </row>
    <row r="291" spans="1:8" ht="37.5" customHeight="1" x14ac:dyDescent="0.25">
      <c r="C291" s="484"/>
      <c r="D291" s="485" t="s">
        <v>526</v>
      </c>
      <c r="E291" s="485" t="s">
        <v>527</v>
      </c>
      <c r="F291" s="935" t="s">
        <v>528</v>
      </c>
      <c r="G291" s="539" t="s">
        <v>529</v>
      </c>
    </row>
    <row r="292" spans="1:8" x14ac:dyDescent="0.25">
      <c r="C292" s="487" t="s">
        <v>255</v>
      </c>
      <c r="D292" s="160">
        <f>SUM('O&amp;M'!D22:AE22)</f>
        <v>7155156.8134982046</v>
      </c>
      <c r="E292" s="160">
        <f>'O&amp;M'!C22</f>
        <v>5831927.3010688163</v>
      </c>
      <c r="F292" s="160">
        <f>SUM('O&amp;M'!F23:AG23)</f>
        <v>5760271.9683797006</v>
      </c>
      <c r="G292" s="488">
        <f>'O&amp;M'!C23</f>
        <v>5111544.5301060863</v>
      </c>
    </row>
    <row r="293" spans="1:8" x14ac:dyDescent="0.25">
      <c r="C293" s="516" t="str">
        <f>'Results Summary'!B60</f>
        <v>Residual Value of Assets</v>
      </c>
      <c r="D293" s="159">
        <f>SUM(_xlfn.ANCHORARRAY('Residual Value'!E46))</f>
        <v>13902506.761978362</v>
      </c>
      <c r="E293" s="159">
        <f>'Residual Value'!D46</f>
        <v>6285905.0644185329</v>
      </c>
      <c r="F293" s="159">
        <f>SUM(_xlfn.ANCHORARRAY('Residual Value'!E37))</f>
        <v>23121413.468143571</v>
      </c>
      <c r="G293" s="517">
        <f>'Residual Value'!D37</f>
        <v>10454158.556024067</v>
      </c>
    </row>
    <row r="294" spans="1:8" ht="18" thickBot="1" x14ac:dyDescent="0.3">
      <c r="C294" s="489" t="s">
        <v>232</v>
      </c>
      <c r="D294" s="490">
        <f>SUM(D292:D293)</f>
        <v>21057663.575476564</v>
      </c>
      <c r="E294" s="490">
        <f>SUM(E292:E293)</f>
        <v>12117832.365487348</v>
      </c>
      <c r="F294" s="490">
        <f>SUM(F292:F293)</f>
        <v>28881685.436523274</v>
      </c>
      <c r="G294" s="491">
        <f>SUM(G292:G293)</f>
        <v>15565703.086130153</v>
      </c>
    </row>
    <row r="297" spans="1:8" ht="18" thickBot="1" x14ac:dyDescent="0.3">
      <c r="A297" s="523" t="s">
        <v>230</v>
      </c>
      <c r="C297" s="522" t="s">
        <v>49</v>
      </c>
    </row>
    <row r="298" spans="1:8" ht="24" x14ac:dyDescent="0.25">
      <c r="B298" s="1" t="s">
        <v>87</v>
      </c>
      <c r="C298" s="455" t="s">
        <v>109</v>
      </c>
      <c r="D298" s="663" t="s">
        <v>107</v>
      </c>
      <c r="E298" s="528" t="s">
        <v>495</v>
      </c>
      <c r="F298" s="528" t="s">
        <v>496</v>
      </c>
      <c r="G298" s="528" t="s">
        <v>493</v>
      </c>
      <c r="H298" s="664" t="s">
        <v>494</v>
      </c>
    </row>
    <row r="299" spans="1:8" ht="35.25" customHeight="1" x14ac:dyDescent="0.25">
      <c r="C299" s="1028" t="str">
        <f t="shared" ref="C299:D302" si="7">C27</f>
        <v>Economic Competitiveness</v>
      </c>
      <c r="D299" s="1029" t="str">
        <f t="shared" si="7"/>
        <v>Travel Time Savings</v>
      </c>
      <c r="E299" s="166" cm="1">
        <f t="array" ref="E299:H299">D134:G134</f>
        <v>455916012.3439424</v>
      </c>
      <c r="F299" s="166">
        <v>270179063.52167892</v>
      </c>
      <c r="G299" s="166">
        <v>574724438.51244724</v>
      </c>
      <c r="H299" s="665">
        <v>337679889.51714408</v>
      </c>
    </row>
    <row r="300" spans="1:8" ht="35.25" customHeight="1" x14ac:dyDescent="0.25">
      <c r="C300" s="1028" t="str">
        <f t="shared" si="7"/>
        <v>Safety</v>
      </c>
      <c r="D300" s="1029" t="str">
        <f t="shared" si="7"/>
        <v>Safety Benefits</v>
      </c>
      <c r="E300" s="166" cm="1">
        <f t="array" ref="E300:H300">D191:G191</f>
        <v>14888538.653497696</v>
      </c>
      <c r="F300" s="166">
        <v>8158544.5178865464</v>
      </c>
      <c r="G300" s="166">
        <v>176031402.0839006</v>
      </c>
      <c r="H300" s="665">
        <v>94654122.303212181</v>
      </c>
    </row>
    <row r="301" spans="1:8" ht="35.25" customHeight="1" x14ac:dyDescent="0.25">
      <c r="C301" s="1028" t="str">
        <f t="shared" si="7"/>
        <v>Environmental Sustainability</v>
      </c>
      <c r="D301" s="1029" t="str">
        <f t="shared" si="7"/>
        <v>Emissinon Reduction Benefits</v>
      </c>
      <c r="E301" s="1240" cm="1">
        <f t="array" ref="E301:H301">D238:G238</f>
        <v>-35671986.605266228</v>
      </c>
      <c r="F301" s="1240">
        <v>-37489147.349072903</v>
      </c>
      <c r="G301" s="1240">
        <v>-13133553.681798102</v>
      </c>
      <c r="H301" s="1241">
        <v>-25926286.954056852</v>
      </c>
    </row>
    <row r="302" spans="1:8" ht="35.25" customHeight="1" x14ac:dyDescent="0.25">
      <c r="C302" s="1266" t="str">
        <f t="shared" si="7"/>
        <v>State of Good Repair</v>
      </c>
      <c r="D302" s="1029" t="str">
        <f t="shared" si="7"/>
        <v>Operating Cost Savings</v>
      </c>
      <c r="E302" s="166" cm="1">
        <f t="array" ref="E302:H302">D292:G292</f>
        <v>7155156.8134982046</v>
      </c>
      <c r="F302" s="166">
        <v>5831927.3010688163</v>
      </c>
      <c r="G302" s="166">
        <v>5760271.9683797006</v>
      </c>
      <c r="H302" s="665">
        <v>5111544.5301060863</v>
      </c>
    </row>
    <row r="303" spans="1:8" ht="35.25" customHeight="1" x14ac:dyDescent="0.25">
      <c r="C303" s="1267"/>
      <c r="D303" s="1029" t="str">
        <f>D31</f>
        <v>Residual Value of Assets</v>
      </c>
      <c r="E303" s="166" cm="1">
        <f t="array" ref="E303:H303">D293:G293</f>
        <v>13902506.761978362</v>
      </c>
      <c r="F303" s="166">
        <v>6285905.0644185329</v>
      </c>
      <c r="G303" s="166">
        <v>23121413.468143571</v>
      </c>
      <c r="H303" s="665">
        <v>10454158.556024067</v>
      </c>
    </row>
    <row r="304" spans="1:8" ht="35.25" customHeight="1" x14ac:dyDescent="0.25">
      <c r="C304" s="1028" t="str">
        <f>C32</f>
        <v>Pedestrian and Bike Elements</v>
      </c>
      <c r="D304" s="1029" t="str">
        <f>D32</f>
        <v>Facility and Vechicle Amenity Benefits / Heath Benefits</v>
      </c>
      <c r="E304" s="166" t="s">
        <v>311</v>
      </c>
      <c r="F304" s="166" t="s">
        <v>311</v>
      </c>
      <c r="G304" s="166" t="s">
        <v>311</v>
      </c>
      <c r="H304" s="665" t="s">
        <v>311</v>
      </c>
    </row>
    <row r="305" spans="1:8" ht="18" thickBot="1" x14ac:dyDescent="0.3">
      <c r="C305" s="666" t="s">
        <v>590</v>
      </c>
      <c r="D305" s="667"/>
      <c r="E305" s="668">
        <f>SUM(E299:E304)</f>
        <v>456190227.96765047</v>
      </c>
      <c r="F305" s="668">
        <f>SUM(F299:F304)</f>
        <v>252966293.05597988</v>
      </c>
      <c r="G305" s="668">
        <f>SUM(G299:G304)</f>
        <v>766503972.35107303</v>
      </c>
      <c r="H305" s="669">
        <f>SUM(H299:H304)</f>
        <v>421973427.95242953</v>
      </c>
    </row>
    <row r="306" spans="1:8" x14ac:dyDescent="0.25">
      <c r="A306" s="167"/>
      <c r="C306" s="168"/>
      <c r="D306" s="169"/>
      <c r="E306" s="170"/>
      <c r="F306" s="170"/>
    </row>
    <row r="307" spans="1:8" ht="18" thickBot="1" x14ac:dyDescent="0.3">
      <c r="B307" s="1" t="s">
        <v>87</v>
      </c>
      <c r="C307" s="522" t="s">
        <v>519</v>
      </c>
      <c r="D307" s="137"/>
      <c r="E307" s="137"/>
      <c r="F307" s="137"/>
    </row>
    <row r="308" spans="1:8" ht="24" x14ac:dyDescent="0.25">
      <c r="C308" s="455" t="s">
        <v>121</v>
      </c>
      <c r="D308" s="1089" t="s">
        <v>495</v>
      </c>
      <c r="E308" s="528" t="s">
        <v>496</v>
      </c>
      <c r="F308" s="528" t="s">
        <v>493</v>
      </c>
      <c r="G308" s="664" t="s">
        <v>494</v>
      </c>
    </row>
    <row r="309" spans="1:8" x14ac:dyDescent="0.25">
      <c r="C309" s="670" t="s">
        <v>52</v>
      </c>
      <c r="D309" s="1090">
        <f>'Results Summary'!J61</f>
        <v>467190473.41130364</v>
      </c>
      <c r="E309" s="1087">
        <f>'Results Summary'!D61</f>
        <v>239016558.10977873</v>
      </c>
      <c r="F309" s="1087">
        <f>'Results Summary'!K61</f>
        <v>783703885.2194699</v>
      </c>
      <c r="G309" s="1088">
        <f>'Results Summary'!E61</f>
        <v>393281561.29160261</v>
      </c>
    </row>
    <row r="310" spans="1:8" x14ac:dyDescent="0.25">
      <c r="C310" s="670" t="s">
        <v>89</v>
      </c>
      <c r="D310" s="1090">
        <f>'Results Summary'!J62</f>
        <v>48807067.072385371</v>
      </c>
      <c r="E310" s="1087">
        <f>'Results Summary'!D62</f>
        <v>43606243.777645051</v>
      </c>
      <c r="F310" s="1087">
        <f>'Results Summary'!K62</f>
        <v>82535475.310729012</v>
      </c>
      <c r="G310" s="1088">
        <f>'Results Summary'!E62</f>
        <v>74234332.913179621</v>
      </c>
    </row>
    <row r="311" spans="1:8" x14ac:dyDescent="0.25">
      <c r="C311" s="670" t="s">
        <v>649</v>
      </c>
      <c r="D311" s="1090">
        <f>'Results Summary'!J63</f>
        <v>418383406.33891821</v>
      </c>
      <c r="E311" s="1087">
        <f>'Results Summary'!D63</f>
        <v>195410314.33213368</v>
      </c>
      <c r="F311" s="1087">
        <f>'Results Summary'!K63</f>
        <v>701168409.90874088</v>
      </c>
      <c r="G311" s="1088">
        <f>'Results Summary'!E63</f>
        <v>319047228.37842298</v>
      </c>
    </row>
    <row r="312" spans="1:8" x14ac:dyDescent="0.25">
      <c r="C312" s="670" t="s">
        <v>123</v>
      </c>
      <c r="D312" s="1091">
        <f>'Results Summary'!J64</f>
        <v>9.5721890585725458</v>
      </c>
      <c r="E312" s="1085">
        <f>'Results Summary'!D64</f>
        <v>5.481246202460385</v>
      </c>
      <c r="F312" s="1085">
        <f>'Results Summary'!K64</f>
        <v>9.4953579932627363</v>
      </c>
      <c r="G312" s="1086">
        <f>'Results Summary'!E64</f>
        <v>5.2978392323072807</v>
      </c>
    </row>
    <row r="313" spans="1:8" x14ac:dyDescent="0.25">
      <c r="C313" s="670" t="s">
        <v>60</v>
      </c>
      <c r="D313" s="1091">
        <f>'Results Summary'!J65</f>
        <v>15.286990323023637</v>
      </c>
      <c r="E313" s="1085">
        <f>'Results Summary'!D65</f>
        <v>15.882414354078621</v>
      </c>
      <c r="F313" s="1085">
        <f>'Results Summary'!K65</f>
        <v>14.717446783445915</v>
      </c>
      <c r="G313" s="1086">
        <f>'Results Summary'!E65</f>
        <v>15.237645669850634</v>
      </c>
    </row>
    <row r="314" spans="1:8" x14ac:dyDescent="0.25">
      <c r="C314" s="670" t="s">
        <v>122</v>
      </c>
      <c r="D314" s="1091">
        <f>'Results Summary'!J66</f>
        <v>8.5721890585725458</v>
      </c>
      <c r="E314" s="1085">
        <f>'Results Summary'!D66</f>
        <v>4.481246202460385</v>
      </c>
      <c r="F314" s="1085">
        <f>'Results Summary'!K66</f>
        <v>8.4953579932627363</v>
      </c>
      <c r="G314" s="1086">
        <f>'Results Summary'!E66</f>
        <v>4.2978392323072807</v>
      </c>
    </row>
    <row r="315" spans="1:8" ht="18" thickBot="1" x14ac:dyDescent="0.3">
      <c r="C315" s="671" t="s">
        <v>124</v>
      </c>
      <c r="D315" s="1263">
        <f>'Results Summary'!J67</f>
        <v>0.17953482632319417</v>
      </c>
      <c r="E315" s="1264"/>
      <c r="F315" s="1264">
        <f>'Results Summary'!K67</f>
        <v>0.16549679926969296</v>
      </c>
      <c r="G315" s="1265"/>
    </row>
    <row r="317" spans="1:8" ht="18" thickBot="1" x14ac:dyDescent="0.3">
      <c r="A317" s="523" t="s">
        <v>679</v>
      </c>
      <c r="C317" s="522" t="s">
        <v>648</v>
      </c>
      <c r="D317" s="137"/>
      <c r="E317" s="137"/>
      <c r="F317" s="137"/>
    </row>
    <row r="318" spans="1:8" ht="24" customHeight="1" x14ac:dyDescent="0.25">
      <c r="C318" s="474" t="s">
        <v>645</v>
      </c>
      <c r="D318" s="952" t="s">
        <v>642</v>
      </c>
      <c r="E318" s="952" t="s">
        <v>133</v>
      </c>
      <c r="F318" s="952" t="s">
        <v>643</v>
      </c>
      <c r="G318" s="1170" t="s">
        <v>644</v>
      </c>
    </row>
    <row r="319" spans="1:8" x14ac:dyDescent="0.25">
      <c r="C319" s="1206" t="s">
        <v>646</v>
      </c>
      <c r="D319" s="1207" t="s">
        <v>647</v>
      </c>
      <c r="E319" s="1208">
        <f>E311</f>
        <v>195410314.33213368</v>
      </c>
      <c r="F319" s="1209" t="s">
        <v>114</v>
      </c>
      <c r="G319" s="1210">
        <f>E312</f>
        <v>5.481246202460385</v>
      </c>
    </row>
    <row r="320" spans="1:8" ht="22.8" x14ac:dyDescent="0.25">
      <c r="C320" s="1174" t="s">
        <v>72</v>
      </c>
      <c r="D320" s="1200" t="s">
        <v>650</v>
      </c>
      <c r="E320" s="1199">
        <v>383708636</v>
      </c>
      <c r="F320" s="1201">
        <f t="shared" ref="F320:F328" si="8">(E320-$E$319)/$E$319</f>
        <v>0.96360482460419516</v>
      </c>
      <c r="G320" s="1171">
        <v>6.62</v>
      </c>
    </row>
    <row r="321" spans="3:7" ht="22.8" x14ac:dyDescent="0.25">
      <c r="C321" s="1262" t="s">
        <v>676</v>
      </c>
      <c r="D321" s="1202" t="s">
        <v>651</v>
      </c>
      <c r="E321" s="1199">
        <v>199820185</v>
      </c>
      <c r="F321" s="1201">
        <f t="shared" si="8"/>
        <v>2.2567235936026286E-2</v>
      </c>
      <c r="G321" s="1171">
        <v>3.91</v>
      </c>
    </row>
    <row r="322" spans="3:7" ht="22.8" x14ac:dyDescent="0.25">
      <c r="C322" s="1262"/>
      <c r="D322" s="1202" t="s">
        <v>652</v>
      </c>
      <c r="E322" s="1199">
        <v>222724832</v>
      </c>
      <c r="F322" s="1201">
        <f t="shared" si="8"/>
        <v>0.13978032716042085</v>
      </c>
      <c r="G322" s="1171">
        <v>5.86</v>
      </c>
    </row>
    <row r="323" spans="3:7" ht="24" customHeight="1" x14ac:dyDescent="0.25">
      <c r="C323" s="1262" t="s">
        <v>657</v>
      </c>
      <c r="D323" s="1169" t="s">
        <v>654</v>
      </c>
      <c r="E323" s="1199">
        <v>385948395</v>
      </c>
      <c r="F323" s="1201">
        <f t="shared" si="8"/>
        <v>0.97506665049427144</v>
      </c>
      <c r="G323" s="1171">
        <v>7.74</v>
      </c>
    </row>
    <row r="324" spans="3:7" ht="22.8" x14ac:dyDescent="0.25">
      <c r="C324" s="1262"/>
      <c r="D324" s="1202" t="s">
        <v>653</v>
      </c>
      <c r="E324" s="1199">
        <v>145686418</v>
      </c>
      <c r="F324" s="1201">
        <f t="shared" si="8"/>
        <v>-0.25445891380953056</v>
      </c>
      <c r="G324" s="1171">
        <v>3.54</v>
      </c>
    </row>
    <row r="325" spans="3:7" ht="52.8" x14ac:dyDescent="0.25">
      <c r="C325" s="1260" t="s">
        <v>658</v>
      </c>
      <c r="D325" s="1169" t="s">
        <v>677</v>
      </c>
      <c r="E325" s="1199">
        <v>234285591</v>
      </c>
      <c r="F325" s="1201">
        <f t="shared" si="8"/>
        <v>0.1989417846275558</v>
      </c>
      <c r="G325" s="1204">
        <v>5.09</v>
      </c>
    </row>
    <row r="326" spans="3:7" ht="52.8" x14ac:dyDescent="0.25">
      <c r="C326" s="1260"/>
      <c r="D326" s="1169" t="s">
        <v>678</v>
      </c>
      <c r="E326" s="1199">
        <v>195739549</v>
      </c>
      <c r="F326" s="1201">
        <f t="shared" si="8"/>
        <v>1.6848377169422493E-3</v>
      </c>
      <c r="G326" s="1204">
        <v>4.42</v>
      </c>
    </row>
    <row r="327" spans="3:7" ht="26.4" x14ac:dyDescent="0.25">
      <c r="C327" s="1260" t="s">
        <v>659</v>
      </c>
      <c r="D327" s="1169" t="s">
        <v>655</v>
      </c>
      <c r="E327" s="1199">
        <v>402216953</v>
      </c>
      <c r="F327" s="1201">
        <f t="shared" si="8"/>
        <v>1.0583199734091959</v>
      </c>
      <c r="G327" s="1204">
        <v>8.02</v>
      </c>
    </row>
    <row r="328" spans="3:7" ht="27" thickBot="1" x14ac:dyDescent="0.3">
      <c r="C328" s="1261"/>
      <c r="D328" s="1172" t="s">
        <v>656</v>
      </c>
      <c r="E328" s="1203">
        <v>148931942</v>
      </c>
      <c r="F328" s="1173">
        <f t="shared" si="8"/>
        <v>-0.23785014875486887</v>
      </c>
      <c r="G328" s="1205">
        <v>3.6</v>
      </c>
    </row>
    <row r="330" spans="3:7" ht="18" thickBot="1" x14ac:dyDescent="0.3">
      <c r="C330" s="522" t="s">
        <v>660</v>
      </c>
      <c r="D330" s="137"/>
      <c r="E330" s="137"/>
      <c r="F330" s="137"/>
    </row>
    <row r="331" spans="3:7" ht="24" customHeight="1" x14ac:dyDescent="0.25">
      <c r="C331" s="474" t="s">
        <v>645</v>
      </c>
      <c r="D331" s="952" t="s">
        <v>642</v>
      </c>
      <c r="E331" s="952" t="s">
        <v>133</v>
      </c>
      <c r="F331" s="952" t="s">
        <v>643</v>
      </c>
      <c r="G331" s="1170" t="s">
        <v>644</v>
      </c>
    </row>
    <row r="332" spans="3:7" x14ac:dyDescent="0.25">
      <c r="C332" s="1206" t="s">
        <v>646</v>
      </c>
      <c r="D332" s="1207" t="s">
        <v>647</v>
      </c>
      <c r="E332" s="1208">
        <f>G311</f>
        <v>319047228.37842298</v>
      </c>
      <c r="F332" s="1209" t="s">
        <v>114</v>
      </c>
      <c r="G332" s="1210">
        <f>G312</f>
        <v>5.2978392323072807</v>
      </c>
    </row>
    <row r="333" spans="3:7" ht="22.8" x14ac:dyDescent="0.25">
      <c r="C333" s="1174" t="s">
        <v>72</v>
      </c>
      <c r="D333" s="1200" t="s">
        <v>650</v>
      </c>
      <c r="E333" s="1199">
        <v>537072334</v>
      </c>
      <c r="F333" s="1201">
        <f t="shared" ref="F333:F341" si="9">(E333-$E$332)/$E$332</f>
        <v>0.683363108119456</v>
      </c>
      <c r="G333" s="1171">
        <v>7.08</v>
      </c>
    </row>
    <row r="334" spans="3:7" ht="22.8" x14ac:dyDescent="0.25">
      <c r="C334" s="1262" t="s">
        <v>676</v>
      </c>
      <c r="D334" s="1202" t="s">
        <v>651</v>
      </c>
      <c r="E334" s="1199">
        <v>266166837</v>
      </c>
      <c r="F334" s="1201">
        <f t="shared" si="9"/>
        <v>-0.16574471324258416</v>
      </c>
      <c r="G334" s="1171">
        <v>3.98</v>
      </c>
    </row>
    <row r="335" spans="3:7" ht="22.8" x14ac:dyDescent="0.25">
      <c r="C335" s="1262"/>
      <c r="D335" s="1202" t="s">
        <v>652</v>
      </c>
      <c r="E335" s="1199">
        <v>295902750</v>
      </c>
      <c r="F335" s="1201">
        <f t="shared" si="9"/>
        <v>-7.2542483744667527E-2</v>
      </c>
      <c r="G335" s="1171">
        <v>5.98</v>
      </c>
    </row>
    <row r="336" spans="3:7" ht="24" customHeight="1" x14ac:dyDescent="0.25">
      <c r="C336" s="1262" t="s">
        <v>657</v>
      </c>
      <c r="D336" s="1169" t="s">
        <v>654</v>
      </c>
      <c r="E336" s="1199">
        <v>527684172</v>
      </c>
      <c r="F336" s="1201">
        <f t="shared" si="9"/>
        <v>0.65393748970015197</v>
      </c>
      <c r="G336" s="1171">
        <v>8.1</v>
      </c>
    </row>
    <row r="337" spans="3:7" ht="22.8" x14ac:dyDescent="0.25">
      <c r="C337" s="1262"/>
      <c r="D337" s="1202" t="s">
        <v>653</v>
      </c>
      <c r="E337" s="1199">
        <v>156280373</v>
      </c>
      <c r="F337" s="1201">
        <f t="shared" si="9"/>
        <v>-0.51016539527923643</v>
      </c>
      <c r="G337" s="1171">
        <v>3.1</v>
      </c>
    </row>
    <row r="338" spans="3:7" ht="52.8" x14ac:dyDescent="0.25">
      <c r="C338" s="1260" t="s">
        <v>658</v>
      </c>
      <c r="D338" s="1169" t="s">
        <v>677</v>
      </c>
      <c r="E338" s="1199">
        <v>310336942</v>
      </c>
      <c r="F338" s="1201">
        <f t="shared" si="9"/>
        <v>-2.7300931033607589E-2</v>
      </c>
      <c r="G338" s="1204">
        <v>5.17</v>
      </c>
    </row>
    <row r="339" spans="3:7" ht="52.8" x14ac:dyDescent="0.25">
      <c r="C339" s="1260"/>
      <c r="D339" s="1169" t="s">
        <v>678</v>
      </c>
      <c r="E339" s="1199">
        <v>254328046</v>
      </c>
      <c r="F339" s="1201">
        <f t="shared" si="9"/>
        <v>-0.20285141703741535</v>
      </c>
      <c r="G339" s="1204">
        <v>4.42</v>
      </c>
    </row>
    <row r="340" spans="3:7" ht="26.4" x14ac:dyDescent="0.25">
      <c r="C340" s="1260" t="s">
        <v>659</v>
      </c>
      <c r="D340" s="1169" t="s">
        <v>655</v>
      </c>
      <c r="E340" s="1199">
        <v>452521567</v>
      </c>
      <c r="F340" s="1201">
        <f t="shared" si="9"/>
        <v>0.41835291690189097</v>
      </c>
      <c r="G340" s="1204">
        <v>7.09</v>
      </c>
    </row>
    <row r="341" spans="3:7" ht="27" thickBot="1" x14ac:dyDescent="0.3">
      <c r="C341" s="1261"/>
      <c r="D341" s="1172" t="s">
        <v>656</v>
      </c>
      <c r="E341" s="1203">
        <v>190159359</v>
      </c>
      <c r="F341" s="1173">
        <f t="shared" si="9"/>
        <v>-0.40397739868640592</v>
      </c>
      <c r="G341" s="1205">
        <v>3.56</v>
      </c>
    </row>
  </sheetData>
  <mergeCells count="95">
    <mergeCell ref="C30:C31"/>
    <mergeCell ref="C35:C36"/>
    <mergeCell ref="D35:E35"/>
    <mergeCell ref="F35:G35"/>
    <mergeCell ref="C37:C39"/>
    <mergeCell ref="C143:F143"/>
    <mergeCell ref="F120:F128"/>
    <mergeCell ref="F112:F113"/>
    <mergeCell ref="D131:G131"/>
    <mergeCell ref="C40:C42"/>
    <mergeCell ref="C44:C47"/>
    <mergeCell ref="C51:C56"/>
    <mergeCell ref="C59:C60"/>
    <mergeCell ref="C75:C80"/>
    <mergeCell ref="D59:E59"/>
    <mergeCell ref="F59:G59"/>
    <mergeCell ref="C61:C63"/>
    <mergeCell ref="C64:C66"/>
    <mergeCell ref="C68:C71"/>
    <mergeCell ref="F83:G83"/>
    <mergeCell ref="C99:C104"/>
    <mergeCell ref="F139:F141"/>
    <mergeCell ref="C83:C84"/>
    <mergeCell ref="D83:E83"/>
    <mergeCell ref="C85:C87"/>
    <mergeCell ref="C88:C90"/>
    <mergeCell ref="C92:C95"/>
    <mergeCell ref="F108:F109"/>
    <mergeCell ref="F218:G218"/>
    <mergeCell ref="F219:G219"/>
    <mergeCell ref="H219:N219"/>
    <mergeCell ref="H218:N218"/>
    <mergeCell ref="F164:F167"/>
    <mergeCell ref="F217:G217"/>
    <mergeCell ref="H217:N217"/>
    <mergeCell ref="H227:N227"/>
    <mergeCell ref="H226:N226"/>
    <mergeCell ref="H221:N221"/>
    <mergeCell ref="H222:N222"/>
    <mergeCell ref="H223:N223"/>
    <mergeCell ref="H224:N224"/>
    <mergeCell ref="H225:N225"/>
    <mergeCell ref="D194:E194"/>
    <mergeCell ref="F203:F206"/>
    <mergeCell ref="J59:K59"/>
    <mergeCell ref="H35:I35"/>
    <mergeCell ref="J35:K35"/>
    <mergeCell ref="H59:I59"/>
    <mergeCell ref="J83:K83"/>
    <mergeCell ref="H83:I83"/>
    <mergeCell ref="C153:F153"/>
    <mergeCell ref="F144:F147"/>
    <mergeCell ref="C148:F148"/>
    <mergeCell ref="F149:F152"/>
    <mergeCell ref="F154:F157"/>
    <mergeCell ref="C158:F158"/>
    <mergeCell ref="F159:F162"/>
    <mergeCell ref="C163:F163"/>
    <mergeCell ref="C340:C341"/>
    <mergeCell ref="C168:F168"/>
    <mergeCell ref="H259:I259"/>
    <mergeCell ref="H220:N220"/>
    <mergeCell ref="H229:N229"/>
    <mergeCell ref="H228:N228"/>
    <mergeCell ref="D232:G232"/>
    <mergeCell ref="D241:E241"/>
    <mergeCell ref="C186:C187"/>
    <mergeCell ref="F259:G259"/>
    <mergeCell ref="F220:G220"/>
    <mergeCell ref="F221:G221"/>
    <mergeCell ref="F207:F214"/>
    <mergeCell ref="F169:F172"/>
    <mergeCell ref="D186:G186"/>
    <mergeCell ref="D175:F175"/>
    <mergeCell ref="D290:G290"/>
    <mergeCell ref="C327:C328"/>
    <mergeCell ref="C334:C335"/>
    <mergeCell ref="C336:C337"/>
    <mergeCell ref="C338:C339"/>
    <mergeCell ref="C321:C322"/>
    <mergeCell ref="C323:C324"/>
    <mergeCell ref="C325:C326"/>
    <mergeCell ref="D315:E315"/>
    <mergeCell ref="F315:G315"/>
    <mergeCell ref="C302:C303"/>
    <mergeCell ref="C259:C260"/>
    <mergeCell ref="D259:E259"/>
    <mergeCell ref="F222:G222"/>
    <mergeCell ref="F226:G226"/>
    <mergeCell ref="F227:G227"/>
    <mergeCell ref="F228:G228"/>
    <mergeCell ref="F229:G229"/>
    <mergeCell ref="F223:G223"/>
    <mergeCell ref="F224:G224"/>
    <mergeCell ref="F225:G225"/>
  </mergeCells>
  <hyperlinks>
    <hyperlink ref="D176" r:id="rId1" xr:uid="{8B1CB547-2250-4C7A-99C6-4A2CF75775F9}"/>
    <hyperlink ref="D178" r:id="rId2" xr:uid="{2E236CA8-12BD-4DAE-A475-E7E1E666D93F}"/>
    <hyperlink ref="D179" r:id="rId3" xr:uid="{9E192AF2-BC5A-4789-8EB7-560977C7414D}"/>
    <hyperlink ref="D177" r:id="rId4" xr:uid="{389517CD-477C-4A05-B3A9-011C58FE013C}"/>
    <hyperlink ref="D183" r:id="rId5" xr:uid="{2B3B7512-AF65-4214-9447-43C74EFF1C31}"/>
    <hyperlink ref="D180" r:id="rId6" xr:uid="{4AEA10FB-16C7-4A81-9CA3-91993AB175C5}"/>
    <hyperlink ref="D182" r:id="rId7" xr:uid="{380A23E0-3A47-4803-B146-E259A4F79947}"/>
  </hyperlinks>
  <pageMargins left="0.7" right="0.7" top="0.75" bottom="0.75" header="0.3" footer="0.3"/>
  <pageSetup orientation="portrait" horizontalDpi="90" verticalDpi="90"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01E5D-FCA2-4264-A1F2-382A6C6A5AC3}">
  <sheetPr codeName="Sheet1">
    <tabColor theme="1"/>
  </sheetPr>
  <dimension ref="B2:X36"/>
  <sheetViews>
    <sheetView workbookViewId="0">
      <selection activeCell="F9" sqref="F9:X9"/>
    </sheetView>
  </sheetViews>
  <sheetFormatPr defaultRowHeight="21.9" customHeight="1" x14ac:dyDescent="0.25"/>
  <cols>
    <col min="1" max="1" width="3.3984375" customWidth="1"/>
    <col min="2" max="2" width="16.3984375" customWidth="1"/>
    <col min="3" max="3" width="40.8984375" customWidth="1"/>
    <col min="4" max="5" width="18.8984375" customWidth="1"/>
    <col min="6" max="6" width="13.69921875" customWidth="1"/>
    <col min="7" max="13" width="18.8984375" customWidth="1"/>
    <col min="14" max="14" width="13.69921875" customWidth="1"/>
  </cols>
  <sheetData>
    <row r="2" spans="2:24" ht="22.8" x14ac:dyDescent="0.25">
      <c r="B2" s="371" t="s">
        <v>0</v>
      </c>
      <c r="C2" s="240" t="s">
        <v>689</v>
      </c>
    </row>
    <row r="4" spans="2:24" ht="21.9" customHeight="1" thickBot="1" x14ac:dyDescent="0.3">
      <c r="B4" s="191" t="s">
        <v>171</v>
      </c>
      <c r="D4" s="199"/>
    </row>
    <row r="5" spans="2:24" ht="21.9" customHeight="1" x14ac:dyDescent="0.25">
      <c r="B5" s="467" t="s">
        <v>14</v>
      </c>
      <c r="C5" s="915" t="s">
        <v>1</v>
      </c>
      <c r="D5" s="915" t="s">
        <v>2</v>
      </c>
      <c r="E5" s="1062" t="s">
        <v>3</v>
      </c>
      <c r="F5" s="1313" t="s">
        <v>4</v>
      </c>
      <c r="G5" s="1313"/>
      <c r="H5" s="1313"/>
      <c r="I5" s="1313"/>
      <c r="J5" s="1313"/>
      <c r="K5" s="1313"/>
      <c r="L5" s="1313"/>
      <c r="M5" s="1313"/>
      <c r="N5" s="1313"/>
      <c r="O5" s="1313"/>
      <c r="P5" s="1313"/>
      <c r="Q5" s="1313"/>
      <c r="R5" s="1313"/>
      <c r="S5" s="1313"/>
      <c r="T5" s="1313"/>
      <c r="U5" s="1313"/>
      <c r="V5" s="1313"/>
      <c r="W5" s="1313"/>
      <c r="X5" s="1314"/>
    </row>
    <row r="6" spans="2:24" ht="21.9" customHeight="1" x14ac:dyDescent="0.25">
      <c r="B6" s="1316" t="s">
        <v>7</v>
      </c>
      <c r="C6" s="114" t="s">
        <v>5</v>
      </c>
      <c r="D6" s="546" t="s">
        <v>6</v>
      </c>
      <c r="E6" s="546">
        <v>2022</v>
      </c>
      <c r="F6" s="1301"/>
      <c r="G6" s="1301"/>
      <c r="H6" s="1301"/>
      <c r="I6" s="1301"/>
      <c r="J6" s="1301"/>
      <c r="K6" s="1301"/>
      <c r="L6" s="1301"/>
      <c r="M6" s="1301"/>
      <c r="N6" s="1301"/>
      <c r="O6" s="1301"/>
      <c r="P6" s="1301"/>
      <c r="Q6" s="1301"/>
      <c r="R6" s="1301"/>
      <c r="S6" s="1301"/>
      <c r="T6" s="1301"/>
      <c r="U6" s="1301"/>
      <c r="V6" s="1301"/>
      <c r="W6" s="1301"/>
      <c r="X6" s="1302"/>
    </row>
    <row r="7" spans="2:24" ht="21.9" customHeight="1" x14ac:dyDescent="0.25">
      <c r="B7" s="1316"/>
      <c r="C7" s="114" t="s">
        <v>125</v>
      </c>
      <c r="D7" s="546" t="s">
        <v>6</v>
      </c>
      <c r="E7" s="546">
        <v>2025</v>
      </c>
      <c r="F7" s="1301"/>
      <c r="G7" s="1301"/>
      <c r="H7" s="1301"/>
      <c r="I7" s="1301"/>
      <c r="J7" s="1301"/>
      <c r="K7" s="1301"/>
      <c r="L7" s="1301"/>
      <c r="M7" s="1301"/>
      <c r="N7" s="1301"/>
      <c r="O7" s="1301"/>
      <c r="P7" s="1301"/>
      <c r="Q7" s="1301"/>
      <c r="R7" s="1301"/>
      <c r="S7" s="1301"/>
      <c r="T7" s="1301"/>
      <c r="U7" s="1301"/>
      <c r="V7" s="1301"/>
      <c r="W7" s="1301"/>
      <c r="X7" s="1302"/>
    </row>
    <row r="8" spans="2:24" ht="21.9" customHeight="1" x14ac:dyDescent="0.25">
      <c r="B8" s="1316"/>
      <c r="C8" s="114" t="s">
        <v>84</v>
      </c>
      <c r="D8" s="546" t="s">
        <v>6</v>
      </c>
      <c r="E8" s="546">
        <v>2028</v>
      </c>
      <c r="F8" s="1307" t="s">
        <v>166</v>
      </c>
      <c r="G8" s="1307"/>
      <c r="H8" s="1307"/>
      <c r="I8" s="1307"/>
      <c r="J8" s="1307"/>
      <c r="K8" s="1307"/>
      <c r="L8" s="1307"/>
      <c r="M8" s="1307"/>
      <c r="N8" s="1307"/>
      <c r="O8" s="1307"/>
      <c r="P8" s="1307"/>
      <c r="Q8" s="1307"/>
      <c r="R8" s="1307"/>
      <c r="S8" s="1307"/>
      <c r="T8" s="1307"/>
      <c r="U8" s="1307"/>
      <c r="V8" s="1307"/>
      <c r="W8" s="1307"/>
      <c r="X8" s="1308"/>
    </row>
    <row r="9" spans="2:24" ht="21.9" customHeight="1" x14ac:dyDescent="0.25">
      <c r="B9" s="1316"/>
      <c r="C9" s="114" t="s">
        <v>80</v>
      </c>
      <c r="D9" s="546" t="s">
        <v>79</v>
      </c>
      <c r="E9" s="546">
        <f>E8-E7+1</f>
        <v>4</v>
      </c>
      <c r="F9" s="1307"/>
      <c r="G9" s="1307"/>
      <c r="H9" s="1307"/>
      <c r="I9" s="1307"/>
      <c r="J9" s="1307"/>
      <c r="K9" s="1307"/>
      <c r="L9" s="1307"/>
      <c r="M9" s="1307"/>
      <c r="N9" s="1307"/>
      <c r="O9" s="1307"/>
      <c r="P9" s="1307"/>
      <c r="Q9" s="1307"/>
      <c r="R9" s="1307"/>
      <c r="S9" s="1307"/>
      <c r="T9" s="1307"/>
      <c r="U9" s="1307"/>
      <c r="V9" s="1307"/>
      <c r="W9" s="1307"/>
      <c r="X9" s="1308"/>
    </row>
    <row r="10" spans="2:24" ht="21.9" customHeight="1" x14ac:dyDescent="0.25">
      <c r="B10" s="1316"/>
      <c r="C10" s="114" t="s">
        <v>83</v>
      </c>
      <c r="D10" s="546" t="s">
        <v>79</v>
      </c>
      <c r="E10" s="546">
        <v>20</v>
      </c>
      <c r="F10" s="1301" t="s">
        <v>63</v>
      </c>
      <c r="G10" s="1301"/>
      <c r="H10" s="1301"/>
      <c r="I10" s="1301"/>
      <c r="J10" s="1301"/>
      <c r="K10" s="1301"/>
      <c r="L10" s="1301"/>
      <c r="M10" s="1301"/>
      <c r="N10" s="1301"/>
      <c r="O10" s="1301"/>
      <c r="P10" s="1301"/>
      <c r="Q10" s="1301"/>
      <c r="R10" s="1301"/>
      <c r="S10" s="1301"/>
      <c r="T10" s="1301"/>
      <c r="U10" s="1301"/>
      <c r="V10" s="1301"/>
      <c r="W10" s="1301"/>
      <c r="X10" s="1302"/>
    </row>
    <row r="11" spans="2:24" ht="21.9" customHeight="1" x14ac:dyDescent="0.25">
      <c r="B11" s="1316"/>
      <c r="C11" s="122" t="s">
        <v>82</v>
      </c>
      <c r="D11" s="916" t="s">
        <v>79</v>
      </c>
      <c r="E11" s="916">
        <f>yearsOfBenefits + constructionDuration + startYear - baseYear</f>
        <v>27</v>
      </c>
      <c r="F11" s="1301" t="s">
        <v>187</v>
      </c>
      <c r="G11" s="1301"/>
      <c r="H11" s="1301"/>
      <c r="I11" s="1301"/>
      <c r="J11" s="1301"/>
      <c r="K11" s="1301"/>
      <c r="L11" s="1301"/>
      <c r="M11" s="1301"/>
      <c r="N11" s="1301"/>
      <c r="O11" s="1301"/>
      <c r="P11" s="1301"/>
      <c r="Q11" s="1301"/>
      <c r="R11" s="1301"/>
      <c r="S11" s="1301"/>
      <c r="T11" s="1301"/>
      <c r="U11" s="1301"/>
      <c r="V11" s="1301"/>
      <c r="W11" s="1301"/>
      <c r="X11" s="1302"/>
    </row>
    <row r="12" spans="2:24" ht="21.9" customHeight="1" x14ac:dyDescent="0.25">
      <c r="B12" s="1315" t="s">
        <v>75</v>
      </c>
      <c r="C12" s="114" t="s">
        <v>28</v>
      </c>
      <c r="D12" s="546" t="s">
        <v>12</v>
      </c>
      <c r="E12" s="1222">
        <v>3.1E-2</v>
      </c>
      <c r="F12" s="1305" t="s">
        <v>702</v>
      </c>
      <c r="G12" s="1305"/>
      <c r="H12" s="1305"/>
      <c r="I12" s="1305"/>
      <c r="J12" s="1305"/>
      <c r="K12" s="1305"/>
      <c r="L12" s="1305"/>
      <c r="M12" s="1305"/>
      <c r="N12" s="1305"/>
      <c r="O12" s="1305"/>
      <c r="P12" s="1305"/>
      <c r="Q12" s="1305"/>
      <c r="R12" s="1305"/>
      <c r="S12" s="1305"/>
      <c r="T12" s="1305"/>
      <c r="U12" s="1305"/>
      <c r="V12" s="1305"/>
      <c r="W12" s="1305"/>
      <c r="X12" s="1306"/>
    </row>
    <row r="13" spans="2:24" ht="21.9" customHeight="1" x14ac:dyDescent="0.25">
      <c r="B13" s="1315"/>
      <c r="C13" s="122" t="s">
        <v>50</v>
      </c>
      <c r="D13" s="916" t="s">
        <v>12</v>
      </c>
      <c r="E13" s="1064">
        <v>0.02</v>
      </c>
      <c r="F13" s="1303" t="s">
        <v>702</v>
      </c>
      <c r="G13" s="1303"/>
      <c r="H13" s="1303"/>
      <c r="I13" s="1303"/>
      <c r="J13" s="1303"/>
      <c r="K13" s="1303"/>
      <c r="L13" s="1303"/>
      <c r="M13" s="1303"/>
      <c r="N13" s="1303"/>
      <c r="O13" s="1303"/>
      <c r="P13" s="1303"/>
      <c r="Q13" s="1303"/>
      <c r="R13" s="1303"/>
      <c r="S13" s="1303"/>
      <c r="T13" s="1303"/>
      <c r="U13" s="1303"/>
      <c r="V13" s="1303"/>
      <c r="W13" s="1303"/>
      <c r="X13" s="1304"/>
    </row>
    <row r="14" spans="2:24" ht="21.9" customHeight="1" x14ac:dyDescent="0.25">
      <c r="B14" s="1315" t="s">
        <v>21</v>
      </c>
      <c r="C14" s="114" t="s">
        <v>66</v>
      </c>
      <c r="D14" s="546" t="s">
        <v>22</v>
      </c>
      <c r="E14" s="546">
        <v>365</v>
      </c>
      <c r="F14" s="1301" t="s">
        <v>62</v>
      </c>
      <c r="G14" s="1301"/>
      <c r="H14" s="1301"/>
      <c r="I14" s="1301"/>
      <c r="J14" s="1301"/>
      <c r="K14" s="1301"/>
      <c r="L14" s="1301"/>
      <c r="M14" s="1301"/>
      <c r="N14" s="1301"/>
      <c r="O14" s="1301"/>
      <c r="P14" s="1301"/>
      <c r="Q14" s="1301"/>
      <c r="R14" s="1301"/>
      <c r="S14" s="1301"/>
      <c r="T14" s="1301"/>
      <c r="U14" s="1301"/>
      <c r="V14" s="1301"/>
      <c r="W14" s="1301"/>
      <c r="X14" s="1302"/>
    </row>
    <row r="15" spans="2:24" ht="21.9" customHeight="1" x14ac:dyDescent="0.25">
      <c r="B15" s="1315"/>
      <c r="C15" s="114" t="s">
        <v>44</v>
      </c>
      <c r="D15" s="546" t="s">
        <v>45</v>
      </c>
      <c r="E15" s="1065">
        <v>1000000</v>
      </c>
      <c r="F15" s="1301" t="s">
        <v>62</v>
      </c>
      <c r="G15" s="1301"/>
      <c r="H15" s="1301"/>
      <c r="I15" s="1301"/>
      <c r="J15" s="1301"/>
      <c r="K15" s="1301"/>
      <c r="L15" s="1301"/>
      <c r="M15" s="1301"/>
      <c r="N15" s="1301"/>
      <c r="O15" s="1301"/>
      <c r="P15" s="1301"/>
      <c r="Q15" s="1301"/>
      <c r="R15" s="1301"/>
      <c r="S15" s="1301"/>
      <c r="T15" s="1301"/>
      <c r="U15" s="1301"/>
      <c r="V15" s="1301"/>
      <c r="W15" s="1301"/>
      <c r="X15" s="1302"/>
    </row>
    <row r="16" spans="2:24" ht="21.9" customHeight="1" x14ac:dyDescent="0.25">
      <c r="B16" s="1315"/>
      <c r="C16" s="114" t="s">
        <v>77</v>
      </c>
      <c r="D16" s="546" t="s">
        <v>78</v>
      </c>
      <c r="E16" s="1065">
        <v>5280</v>
      </c>
      <c r="F16" s="1301" t="s">
        <v>62</v>
      </c>
      <c r="G16" s="1301"/>
      <c r="H16" s="1301"/>
      <c r="I16" s="1301"/>
      <c r="J16" s="1301"/>
      <c r="K16" s="1301"/>
      <c r="L16" s="1301"/>
      <c r="M16" s="1301"/>
      <c r="N16" s="1301"/>
      <c r="O16" s="1301"/>
      <c r="P16" s="1301"/>
      <c r="Q16" s="1301"/>
      <c r="R16" s="1301"/>
      <c r="S16" s="1301"/>
      <c r="T16" s="1301"/>
      <c r="U16" s="1301"/>
      <c r="V16" s="1301"/>
      <c r="W16" s="1301"/>
      <c r="X16" s="1302"/>
    </row>
    <row r="17" spans="2:24" ht="21.9" customHeight="1" x14ac:dyDescent="0.25">
      <c r="B17" s="1315"/>
      <c r="C17" s="122" t="s">
        <v>690</v>
      </c>
      <c r="D17" s="916" t="s">
        <v>691</v>
      </c>
      <c r="E17" s="1069">
        <f>'Price Deflators'!$E$16</f>
        <v>0.92683378413189077</v>
      </c>
      <c r="F17" s="1307" t="s">
        <v>188</v>
      </c>
      <c r="G17" s="1307"/>
      <c r="H17" s="1307"/>
      <c r="I17" s="1307"/>
      <c r="J17" s="1307"/>
      <c r="K17" s="1307"/>
      <c r="L17" s="1307"/>
      <c r="M17" s="1307"/>
      <c r="N17" s="1307"/>
      <c r="O17" s="1307"/>
      <c r="P17" s="1307"/>
      <c r="Q17" s="1307"/>
      <c r="R17" s="1307"/>
      <c r="S17" s="1307"/>
      <c r="T17" s="1307"/>
      <c r="U17" s="1307"/>
      <c r="V17" s="1307"/>
      <c r="W17" s="1307"/>
      <c r="X17" s="1308"/>
    </row>
    <row r="18" spans="2:24" ht="21.9" customHeight="1" x14ac:dyDescent="0.25">
      <c r="B18" s="1315" t="s">
        <v>64</v>
      </c>
      <c r="C18" s="114" t="s">
        <v>241</v>
      </c>
      <c r="D18" s="546" t="s">
        <v>129</v>
      </c>
      <c r="E18" s="1066">
        <v>2</v>
      </c>
      <c r="F18" s="1305" t="s">
        <v>108</v>
      </c>
      <c r="G18" s="1305"/>
      <c r="H18" s="1305"/>
      <c r="I18" s="1305"/>
      <c r="J18" s="1305"/>
      <c r="K18" s="1305"/>
      <c r="L18" s="1305"/>
      <c r="M18" s="1305"/>
      <c r="N18" s="1305"/>
      <c r="O18" s="1305"/>
      <c r="P18" s="1305"/>
      <c r="Q18" s="1305"/>
      <c r="R18" s="1305"/>
      <c r="S18" s="1305"/>
      <c r="T18" s="1305"/>
      <c r="U18" s="1305"/>
      <c r="V18" s="1305"/>
      <c r="W18" s="1305"/>
      <c r="X18" s="1306"/>
    </row>
    <row r="19" spans="2:24" ht="21.9" customHeight="1" x14ac:dyDescent="0.25">
      <c r="B19" s="1315"/>
      <c r="C19" s="114" t="s">
        <v>242</v>
      </c>
      <c r="D19" s="546" t="s">
        <v>129</v>
      </c>
      <c r="E19" s="1066">
        <v>2</v>
      </c>
      <c r="F19" s="1301" t="s">
        <v>108</v>
      </c>
      <c r="G19" s="1301"/>
      <c r="H19" s="1301"/>
      <c r="I19" s="1301"/>
      <c r="J19" s="1301"/>
      <c r="K19" s="1301"/>
      <c r="L19" s="1301"/>
      <c r="M19" s="1301"/>
      <c r="N19" s="1301"/>
      <c r="O19" s="1301"/>
      <c r="P19" s="1301"/>
      <c r="Q19" s="1301"/>
      <c r="R19" s="1301"/>
      <c r="S19" s="1301"/>
      <c r="T19" s="1301"/>
      <c r="U19" s="1301"/>
      <c r="V19" s="1301"/>
      <c r="W19" s="1301"/>
      <c r="X19" s="1302"/>
    </row>
    <row r="20" spans="2:24" ht="21.9" customHeight="1" x14ac:dyDescent="0.25">
      <c r="B20" s="1315"/>
      <c r="C20" s="122" t="s">
        <v>243</v>
      </c>
      <c r="D20" s="916" t="s">
        <v>129</v>
      </c>
      <c r="E20" s="1067">
        <f>18 - (peakHoursAM + peakHoursPM)</f>
        <v>14</v>
      </c>
      <c r="F20" s="1303" t="s">
        <v>244</v>
      </c>
      <c r="G20" s="1303"/>
      <c r="H20" s="1303"/>
      <c r="I20" s="1303"/>
      <c r="J20" s="1303"/>
      <c r="K20" s="1303"/>
      <c r="L20" s="1303"/>
      <c r="M20" s="1303"/>
      <c r="N20" s="1303"/>
      <c r="O20" s="1303"/>
      <c r="P20" s="1303"/>
      <c r="Q20" s="1303"/>
      <c r="R20" s="1303"/>
      <c r="S20" s="1303"/>
      <c r="T20" s="1303"/>
      <c r="U20" s="1303"/>
      <c r="V20" s="1303"/>
      <c r="W20" s="1303"/>
      <c r="X20" s="1304"/>
    </row>
    <row r="21" spans="2:24" ht="21.9" customHeight="1" x14ac:dyDescent="0.25">
      <c r="B21" s="1315"/>
      <c r="C21" s="225" t="s">
        <v>148</v>
      </c>
      <c r="D21" s="546" t="s">
        <v>128</v>
      </c>
      <c r="E21" s="1063">
        <f>_xlfn.XLOOKUP(E18+E19, Speed!C164:C187, Speed!F164:F187)</f>
        <v>0.32800000000000001</v>
      </c>
      <c r="F21" s="1307" t="s">
        <v>177</v>
      </c>
      <c r="G21" s="1307"/>
      <c r="H21" s="1307"/>
      <c r="I21" s="1307"/>
      <c r="J21" s="1307"/>
      <c r="K21" s="1307"/>
      <c r="L21" s="1307"/>
      <c r="M21" s="1307"/>
      <c r="N21" s="1307"/>
      <c r="O21" s="1307"/>
      <c r="P21" s="1307"/>
      <c r="Q21" s="1307"/>
      <c r="R21" s="1307"/>
      <c r="S21" s="1307"/>
      <c r="T21" s="1307"/>
      <c r="U21" s="1307"/>
      <c r="V21" s="1307"/>
      <c r="W21" s="1307"/>
      <c r="X21" s="1308"/>
    </row>
    <row r="22" spans="2:24" ht="21.9" customHeight="1" x14ac:dyDescent="0.25">
      <c r="B22" s="1315"/>
      <c r="C22" s="917" t="s">
        <v>245</v>
      </c>
      <c r="D22" s="916" t="s">
        <v>128</v>
      </c>
      <c r="E22" s="1064">
        <f>1 - percentPeak</f>
        <v>0.67199999999999993</v>
      </c>
      <c r="F22" s="1301" t="s">
        <v>187</v>
      </c>
      <c r="G22" s="1301"/>
      <c r="H22" s="1301"/>
      <c r="I22" s="1301"/>
      <c r="J22" s="1301"/>
      <c r="K22" s="1301"/>
      <c r="L22" s="1301"/>
      <c r="M22" s="1301"/>
      <c r="N22" s="1301"/>
      <c r="O22" s="1301"/>
      <c r="P22" s="1301"/>
      <c r="Q22" s="1301"/>
      <c r="R22" s="1301"/>
      <c r="S22" s="1301"/>
      <c r="T22" s="1301"/>
      <c r="U22" s="1301"/>
      <c r="V22" s="1301"/>
      <c r="W22" s="1301"/>
      <c r="X22" s="1302"/>
    </row>
    <row r="23" spans="2:24" ht="21.9" customHeight="1" x14ac:dyDescent="0.25">
      <c r="B23" s="1315" t="s">
        <v>13</v>
      </c>
      <c r="C23" s="114" t="s">
        <v>172</v>
      </c>
      <c r="D23" s="546" t="s">
        <v>703</v>
      </c>
      <c r="E23" s="1224">
        <v>19.600000000000001</v>
      </c>
      <c r="F23" s="1305" t="s">
        <v>702</v>
      </c>
      <c r="G23" s="1305"/>
      <c r="H23" s="1305"/>
      <c r="I23" s="1305"/>
      <c r="J23" s="1305"/>
      <c r="K23" s="1305"/>
      <c r="L23" s="1305"/>
      <c r="M23" s="1305"/>
      <c r="N23" s="1305"/>
      <c r="O23" s="1305"/>
      <c r="P23" s="1305"/>
      <c r="Q23" s="1305"/>
      <c r="R23" s="1305"/>
      <c r="S23" s="1305"/>
      <c r="T23" s="1305"/>
      <c r="U23" s="1305"/>
      <c r="V23" s="1305"/>
      <c r="W23" s="1305"/>
      <c r="X23" s="1306"/>
    </row>
    <row r="24" spans="2:24" ht="21.9" customHeight="1" x14ac:dyDescent="0.25">
      <c r="B24" s="1315"/>
      <c r="C24" s="114" t="s">
        <v>173</v>
      </c>
      <c r="D24" s="546" t="s">
        <v>703</v>
      </c>
      <c r="E24" s="1224">
        <v>33.5</v>
      </c>
      <c r="F24" s="1303" t="s">
        <v>702</v>
      </c>
      <c r="G24" s="1303"/>
      <c r="H24" s="1303"/>
      <c r="I24" s="1303"/>
      <c r="J24" s="1303"/>
      <c r="K24" s="1303"/>
      <c r="L24" s="1303"/>
      <c r="M24" s="1303"/>
      <c r="N24" s="1303"/>
      <c r="O24" s="1303"/>
      <c r="P24" s="1303"/>
      <c r="Q24" s="1303"/>
      <c r="R24" s="1303"/>
      <c r="S24" s="1303"/>
      <c r="T24" s="1303"/>
      <c r="U24" s="1303"/>
      <c r="V24" s="1303"/>
      <c r="W24" s="1303"/>
      <c r="X24" s="1304"/>
    </row>
    <row r="25" spans="2:24" ht="21.9" customHeight="1" x14ac:dyDescent="0.25">
      <c r="B25" s="1315"/>
      <c r="C25" s="918" t="s">
        <v>175</v>
      </c>
      <c r="D25" s="919" t="s">
        <v>11</v>
      </c>
      <c r="E25" s="919">
        <v>1.67</v>
      </c>
      <c r="F25" s="1305" t="s">
        <v>702</v>
      </c>
      <c r="G25" s="1305"/>
      <c r="H25" s="1305"/>
      <c r="I25" s="1305"/>
      <c r="J25" s="1305"/>
      <c r="K25" s="1305"/>
      <c r="L25" s="1305"/>
      <c r="M25" s="1305"/>
      <c r="N25" s="1305"/>
      <c r="O25" s="1305"/>
      <c r="P25" s="1305"/>
      <c r="Q25" s="1305"/>
      <c r="R25" s="1305"/>
      <c r="S25" s="1305"/>
      <c r="T25" s="1305"/>
      <c r="U25" s="1305"/>
      <c r="V25" s="1305"/>
      <c r="W25" s="1305"/>
      <c r="X25" s="1306"/>
    </row>
    <row r="26" spans="2:24" ht="21.9" customHeight="1" x14ac:dyDescent="0.25">
      <c r="B26" s="1315"/>
      <c r="C26" s="122" t="s">
        <v>174</v>
      </c>
      <c r="D26" s="916" t="s">
        <v>11</v>
      </c>
      <c r="E26" s="1068">
        <v>1</v>
      </c>
      <c r="F26" s="1301" t="s">
        <v>108</v>
      </c>
      <c r="G26" s="1301"/>
      <c r="H26" s="1301"/>
      <c r="I26" s="1301"/>
      <c r="J26" s="1301"/>
      <c r="K26" s="1301"/>
      <c r="L26" s="1301"/>
      <c r="M26" s="1301"/>
      <c r="N26" s="1301"/>
      <c r="O26" s="1301"/>
      <c r="P26" s="1301"/>
      <c r="Q26" s="1301"/>
      <c r="R26" s="1301"/>
      <c r="S26" s="1301"/>
      <c r="T26" s="1301"/>
      <c r="U26" s="1301"/>
      <c r="V26" s="1301"/>
      <c r="W26" s="1301"/>
      <c r="X26" s="1302"/>
    </row>
    <row r="27" spans="2:24" ht="21.9" customHeight="1" x14ac:dyDescent="0.25">
      <c r="B27" s="1315" t="s">
        <v>74</v>
      </c>
      <c r="C27" s="114" t="s">
        <v>34</v>
      </c>
      <c r="D27" s="546" t="s">
        <v>704</v>
      </c>
      <c r="E27" s="1221">
        <v>14022900</v>
      </c>
      <c r="F27" s="1305" t="s">
        <v>702</v>
      </c>
      <c r="G27" s="1305"/>
      <c r="H27" s="1305"/>
      <c r="I27" s="1305"/>
      <c r="J27" s="1305"/>
      <c r="K27" s="1305"/>
      <c r="L27" s="1305"/>
      <c r="M27" s="1305"/>
      <c r="N27" s="1305"/>
      <c r="O27" s="1305"/>
      <c r="P27" s="1305"/>
      <c r="Q27" s="1305"/>
      <c r="R27" s="1305"/>
      <c r="S27" s="1305"/>
      <c r="T27" s="1305"/>
      <c r="U27" s="1305"/>
      <c r="V27" s="1305"/>
      <c r="W27" s="1305"/>
      <c r="X27" s="1306"/>
    </row>
    <row r="28" spans="2:24" ht="21.9" customHeight="1" x14ac:dyDescent="0.25">
      <c r="B28" s="1315"/>
      <c r="C28" s="114" t="s">
        <v>35</v>
      </c>
      <c r="D28" s="546" t="s">
        <v>704</v>
      </c>
      <c r="E28" s="1221">
        <v>313000</v>
      </c>
      <c r="F28" s="1301" t="s">
        <v>702</v>
      </c>
      <c r="G28" s="1301"/>
      <c r="H28" s="1301"/>
      <c r="I28" s="1301"/>
      <c r="J28" s="1301"/>
      <c r="K28" s="1301"/>
      <c r="L28" s="1301"/>
      <c r="M28" s="1301"/>
      <c r="N28" s="1301"/>
      <c r="O28" s="1301"/>
      <c r="P28" s="1301"/>
      <c r="Q28" s="1301"/>
      <c r="R28" s="1301"/>
      <c r="S28" s="1301"/>
      <c r="T28" s="1301"/>
      <c r="U28" s="1301"/>
      <c r="V28" s="1301"/>
      <c r="W28" s="1301"/>
      <c r="X28" s="1302"/>
    </row>
    <row r="29" spans="2:24" ht="21.9" customHeight="1" x14ac:dyDescent="0.25">
      <c r="B29" s="1315"/>
      <c r="C29" s="122" t="s">
        <v>36</v>
      </c>
      <c r="D29" s="546" t="s">
        <v>704</v>
      </c>
      <c r="E29" s="1223">
        <v>9100</v>
      </c>
      <c r="F29" s="1303" t="s">
        <v>702</v>
      </c>
      <c r="G29" s="1303"/>
      <c r="H29" s="1303"/>
      <c r="I29" s="1303"/>
      <c r="J29" s="1303"/>
      <c r="K29" s="1303"/>
      <c r="L29" s="1303"/>
      <c r="M29" s="1303"/>
      <c r="N29" s="1303"/>
      <c r="O29" s="1303"/>
      <c r="P29" s="1303"/>
      <c r="Q29" s="1303"/>
      <c r="R29" s="1303"/>
      <c r="S29" s="1303"/>
      <c r="T29" s="1303"/>
      <c r="U29" s="1303"/>
      <c r="V29" s="1303"/>
      <c r="W29" s="1303"/>
      <c r="X29" s="1304"/>
    </row>
    <row r="30" spans="2:24" ht="21.9" customHeight="1" x14ac:dyDescent="0.25">
      <c r="B30" s="1315"/>
      <c r="C30" s="122" t="s">
        <v>204</v>
      </c>
      <c r="D30" s="920" t="s">
        <v>86</v>
      </c>
      <c r="E30" s="1069" t="s">
        <v>476</v>
      </c>
      <c r="F30" s="1301" t="s">
        <v>288</v>
      </c>
      <c r="G30" s="1301"/>
      <c r="H30" s="1301"/>
      <c r="I30" s="1301"/>
      <c r="J30" s="1301"/>
      <c r="K30" s="1301"/>
      <c r="L30" s="1301"/>
      <c r="M30" s="1301"/>
      <c r="N30" s="1301"/>
      <c r="O30" s="1301"/>
      <c r="P30" s="1301"/>
      <c r="Q30" s="1301"/>
      <c r="R30" s="1301"/>
      <c r="S30" s="1301"/>
      <c r="T30" s="1301"/>
      <c r="U30" s="1301"/>
      <c r="V30" s="1301"/>
      <c r="W30" s="1301"/>
      <c r="X30" s="1302"/>
    </row>
    <row r="31" spans="2:24" ht="21.9" customHeight="1" x14ac:dyDescent="0.25">
      <c r="B31" s="525" t="s">
        <v>39</v>
      </c>
      <c r="C31" s="122" t="s">
        <v>186</v>
      </c>
      <c r="D31" s="916" t="s">
        <v>127</v>
      </c>
      <c r="E31" s="1070">
        <v>2.5</v>
      </c>
      <c r="F31" s="1309" t="s">
        <v>218</v>
      </c>
      <c r="G31" s="1309"/>
      <c r="H31" s="1309"/>
      <c r="I31" s="1309"/>
      <c r="J31" s="1309"/>
      <c r="K31" s="1309"/>
      <c r="L31" s="1309"/>
      <c r="M31" s="1309"/>
      <c r="N31" s="1309"/>
      <c r="O31" s="1309"/>
      <c r="P31" s="1309"/>
      <c r="Q31" s="1309"/>
      <c r="R31" s="1309"/>
      <c r="S31" s="1309"/>
      <c r="T31" s="1309"/>
      <c r="U31" s="1309"/>
      <c r="V31" s="1309"/>
      <c r="W31" s="1309"/>
      <c r="X31" s="1310"/>
    </row>
    <row r="32" spans="2:24" ht="21.9" customHeight="1" thickBot="1" x14ac:dyDescent="0.3">
      <c r="B32" s="921" t="s">
        <v>81</v>
      </c>
      <c r="C32" s="830" t="s">
        <v>198</v>
      </c>
      <c r="D32" s="1082" t="s">
        <v>79</v>
      </c>
      <c r="E32" s="1071">
        <v>30</v>
      </c>
      <c r="F32" s="1311" t="s">
        <v>108</v>
      </c>
      <c r="G32" s="1311"/>
      <c r="H32" s="1311"/>
      <c r="I32" s="1311"/>
      <c r="J32" s="1311"/>
      <c r="K32" s="1311"/>
      <c r="L32" s="1311"/>
      <c r="M32" s="1311"/>
      <c r="N32" s="1311"/>
      <c r="O32" s="1311"/>
      <c r="P32" s="1311"/>
      <c r="Q32" s="1311"/>
      <c r="R32" s="1311"/>
      <c r="S32" s="1311"/>
      <c r="T32" s="1311"/>
      <c r="U32" s="1311"/>
      <c r="V32" s="1311"/>
      <c r="W32" s="1311"/>
      <c r="X32" s="1312"/>
    </row>
    <row r="33" spans="2:12" ht="21.9" customHeight="1" thickBot="1" x14ac:dyDescent="0.3">
      <c r="D33" s="35"/>
      <c r="E33" s="35"/>
      <c r="F33" s="23"/>
      <c r="G33" s="23"/>
      <c r="H33" s="23"/>
      <c r="I33" s="23"/>
      <c r="J33" s="23"/>
      <c r="K33" s="23"/>
      <c r="L33" s="35"/>
    </row>
    <row r="34" spans="2:12" ht="21.9" customHeight="1" thickBot="1" x14ac:dyDescent="0.3">
      <c r="B34" s="231" t="s">
        <v>595</v>
      </c>
      <c r="C34" s="411"/>
      <c r="D34" s="412" t="s">
        <v>275</v>
      </c>
      <c r="E34" s="412" t="s">
        <v>274</v>
      </c>
      <c r="F34" s="412" t="s">
        <v>320</v>
      </c>
      <c r="G34" s="412" t="s">
        <v>308</v>
      </c>
      <c r="H34" s="412" t="s">
        <v>276</v>
      </c>
      <c r="I34" s="412" t="s">
        <v>322</v>
      </c>
      <c r="J34" s="412" t="s">
        <v>321</v>
      </c>
      <c r="K34" s="412" t="s">
        <v>333</v>
      </c>
      <c r="L34" s="413" t="s">
        <v>319</v>
      </c>
    </row>
    <row r="35" spans="2:12" ht="21.9" customHeight="1" x14ac:dyDescent="0.25">
      <c r="B35" s="194" t="s">
        <v>19</v>
      </c>
      <c r="C35" s="48"/>
      <c r="D35" s="414">
        <v>0.22</v>
      </c>
      <c r="E35" s="414">
        <v>0.2</v>
      </c>
      <c r="F35" s="414">
        <v>0.2</v>
      </c>
      <c r="G35" s="414">
        <v>0.2</v>
      </c>
      <c r="H35" s="414">
        <v>0.28000000000000003</v>
      </c>
      <c r="I35" s="414">
        <v>0.2</v>
      </c>
      <c r="J35" s="414">
        <v>0.2</v>
      </c>
      <c r="K35" s="414">
        <v>0.2</v>
      </c>
      <c r="L35" s="415">
        <v>0.2</v>
      </c>
    </row>
    <row r="36" spans="2:12" ht="21.9" customHeight="1" thickBot="1" x14ac:dyDescent="0.3">
      <c r="B36" s="198" t="s">
        <v>434</v>
      </c>
      <c r="C36" s="200"/>
      <c r="D36" s="416">
        <f t="shared" ref="D36:L36" si="0">1-D35</f>
        <v>0.78</v>
      </c>
      <c r="E36" s="416">
        <f t="shared" si="0"/>
        <v>0.8</v>
      </c>
      <c r="F36" s="416">
        <f t="shared" si="0"/>
        <v>0.8</v>
      </c>
      <c r="G36" s="416">
        <f t="shared" si="0"/>
        <v>0.8</v>
      </c>
      <c r="H36" s="416">
        <f t="shared" si="0"/>
        <v>0.72</v>
      </c>
      <c r="I36" s="416">
        <f t="shared" si="0"/>
        <v>0.8</v>
      </c>
      <c r="J36" s="416">
        <f t="shared" si="0"/>
        <v>0.8</v>
      </c>
      <c r="K36" s="416">
        <f t="shared" si="0"/>
        <v>0.8</v>
      </c>
      <c r="L36" s="417">
        <f t="shared" si="0"/>
        <v>0.8</v>
      </c>
    </row>
  </sheetData>
  <scenarios current="0" sqref="C63:C64">
    <scenario name="test" locked="1" count="1" user="Lee, Jessica" comment="Created by Lee, Jessica on 5/16/2022_x000a_Modified by Lee, Jessica on 5/16/2022">
      <inputCells r="E23" val="25" numFmtId="164"/>
    </scenario>
    <scenario name="test2" locked="1" count="1" user="Lee, Jessica" comment="Created by Lee, Jessica on 5/16/2022">
      <inputCells r="E23" val="30" numFmtId="164"/>
    </scenario>
  </scenarios>
  <mergeCells count="34">
    <mergeCell ref="F22:X22"/>
    <mergeCell ref="F21:X21"/>
    <mergeCell ref="F20:X20"/>
    <mergeCell ref="F27:X27"/>
    <mergeCell ref="F26:X26"/>
    <mergeCell ref="F25:X25"/>
    <mergeCell ref="F24:X24"/>
    <mergeCell ref="F23:X23"/>
    <mergeCell ref="B18:B22"/>
    <mergeCell ref="B23:B26"/>
    <mergeCell ref="B27:B30"/>
    <mergeCell ref="B6:B11"/>
    <mergeCell ref="B12:B13"/>
    <mergeCell ref="B14:B17"/>
    <mergeCell ref="F9:X9"/>
    <mergeCell ref="F8:X8"/>
    <mergeCell ref="F7:X7"/>
    <mergeCell ref="F6:X6"/>
    <mergeCell ref="F5:X5"/>
    <mergeCell ref="F31:X31"/>
    <mergeCell ref="F32:X32"/>
    <mergeCell ref="F30:X30"/>
    <mergeCell ref="F29:X29"/>
    <mergeCell ref="F28:X28"/>
    <mergeCell ref="F19:X19"/>
    <mergeCell ref="F18:X18"/>
    <mergeCell ref="F17:X17"/>
    <mergeCell ref="F16:X16"/>
    <mergeCell ref="F15:X15"/>
    <mergeCell ref="F14:X14"/>
    <mergeCell ref="F13:X13"/>
    <mergeCell ref="F12:X12"/>
    <mergeCell ref="F11:X11"/>
    <mergeCell ref="F10:X10"/>
  </mergeCells>
  <hyperlinks>
    <hyperlink ref="F21" location="Speed!B62:J95" display="California DOT, Cal-B/C v8.1 Table: Demand for Travel during Peak Period. (2021)" xr:uid="{0CDA7C55-2669-4032-BFBE-0B3C6D76051E}"/>
    <hyperlink ref="F17" location="'Price Deflators'!A1" display="'Price Deflators'!A1" xr:uid="{906E4B51-7775-4010-B6CF-D37040738ED2}"/>
    <hyperlink ref="F8:F9" location="'Project Cost Data'!A1" display="Project Cost Data" xr:uid="{19DC379E-8A00-4F73-AECA-FE1F6E96B0EE}"/>
    <hyperlink ref="C2" r:id="rId1" xr:uid="{E29FB1B1-B422-421D-BC4E-308002F15F80}"/>
  </hyperlinks>
  <pageMargins left="0.7" right="0.7" top="0.75" bottom="0.75" header="0.3" footer="0.3"/>
  <pageSetup orientation="portrait" horizontalDpi="90" verticalDpi="9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DB12-12CB-43F3-BB75-F8E0DDA29A3B}">
  <sheetPr codeName="Sheet4">
    <tabColor theme="4" tint="-0.249977111117893"/>
  </sheetPr>
  <dimension ref="A2:AP194"/>
  <sheetViews>
    <sheetView topLeftCell="D1" zoomScale="80" zoomScaleNormal="80" workbookViewId="0">
      <selection activeCell="O24" sqref="O24"/>
    </sheetView>
  </sheetViews>
  <sheetFormatPr defaultColWidth="11.59765625" defaultRowHeight="21.9" customHeight="1" x14ac:dyDescent="0.25"/>
  <cols>
    <col min="1" max="1" width="3.3984375" customWidth="1"/>
    <col min="2" max="2" width="39.3984375" customWidth="1"/>
    <col min="3" max="3" width="18.69921875" customWidth="1"/>
    <col min="4" max="13" width="15.59765625" style="2" customWidth="1"/>
    <col min="14" max="32" width="15.59765625" customWidth="1"/>
    <col min="33" max="37" width="13.69921875" customWidth="1"/>
  </cols>
  <sheetData>
    <row r="2" spans="1:19" ht="22.8" x14ac:dyDescent="0.25">
      <c r="B2" s="371" t="s">
        <v>378</v>
      </c>
    </row>
    <row r="4" spans="1:19" ht="21.9" customHeight="1" x14ac:dyDescent="0.25">
      <c r="A4" s="223"/>
      <c r="B4" s="224" t="s">
        <v>0</v>
      </c>
      <c r="D4" s="494"/>
    </row>
    <row r="5" spans="1:19" ht="21.9" customHeight="1" x14ac:dyDescent="0.25">
      <c r="B5" s="3"/>
      <c r="F5"/>
      <c r="O5" s="1226"/>
      <c r="P5" s="1226"/>
      <c r="Q5" s="1226"/>
    </row>
    <row r="6" spans="1:19" ht="21.9" customHeight="1" thickBot="1" x14ac:dyDescent="0.3">
      <c r="B6" s="536" t="s">
        <v>372</v>
      </c>
      <c r="C6" s="2"/>
      <c r="D6"/>
      <c r="E6"/>
      <c r="F6"/>
      <c r="H6" s="536" t="s">
        <v>31</v>
      </c>
      <c r="I6"/>
      <c r="J6"/>
      <c r="L6"/>
      <c r="M6"/>
    </row>
    <row r="7" spans="1:19" ht="21.9" customHeight="1" thickBot="1" x14ac:dyDescent="0.3">
      <c r="B7" s="231"/>
      <c r="C7" s="462" t="str">
        <f>'Crash Data'!N9</f>
        <v>Segment</v>
      </c>
      <c r="D7" s="462" t="str">
        <f>'Crash Data'!O9</f>
        <v>Crash Type</v>
      </c>
      <c r="E7" s="462"/>
      <c r="F7" s="807" t="str">
        <f>'Crash Data'!Q9</f>
        <v>Value</v>
      </c>
      <c r="H7" s="467" t="s">
        <v>1</v>
      </c>
      <c r="I7" s="244"/>
      <c r="J7" s="244"/>
      <c r="K7" s="244" t="s">
        <v>2</v>
      </c>
      <c r="L7" s="244"/>
      <c r="M7" s="473" t="s">
        <v>3</v>
      </c>
    </row>
    <row r="8" spans="1:19" ht="21.9" customHeight="1" x14ac:dyDescent="0.25">
      <c r="B8" s="196" t="str">
        <f>'Crash Data'!K10</f>
        <v>Crash Distribution</v>
      </c>
      <c r="C8" s="114" t="str">
        <f>'Crash Data'!N10</f>
        <v>US-412/SH-412B</v>
      </c>
      <c r="D8" s="114" t="str">
        <f>'Crash Data'!O10</f>
        <v>Fatality</v>
      </c>
      <c r="E8" s="114"/>
      <c r="F8" s="808">
        <f>'Crash Data'!Q10</f>
        <v>0</v>
      </c>
      <c r="H8" s="1054" t="s">
        <v>283</v>
      </c>
      <c r="I8" s="245"/>
      <c r="J8" s="245"/>
      <c r="K8" s="245" t="s">
        <v>128</v>
      </c>
      <c r="L8" s="910"/>
      <c r="M8" s="911">
        <f>AVERAGE('Traffic Data'!AJ47:AJ49)</f>
        <v>6.8628166666666657E-2</v>
      </c>
      <c r="N8" s="4"/>
    </row>
    <row r="9" spans="1:19" ht="21.9" customHeight="1" x14ac:dyDescent="0.25">
      <c r="B9" s="196"/>
      <c r="C9" s="114" t="str">
        <f>'Crash Data'!N11</f>
        <v>(Interchange)</v>
      </c>
      <c r="D9" s="114" t="str">
        <f>'Crash Data'!O11</f>
        <v>Injury</v>
      </c>
      <c r="E9" s="114"/>
      <c r="F9" s="808">
        <f>'Crash Data'!Q11</f>
        <v>0.55000000000000004</v>
      </c>
      <c r="H9" s="1055" t="s">
        <v>293</v>
      </c>
      <c r="I9" s="225"/>
      <c r="J9" s="225"/>
      <c r="K9" s="225" t="s">
        <v>128</v>
      </c>
      <c r="L9" s="912"/>
      <c r="M9" s="913">
        <f>AVERAGE('Traffic Data'!AJ50:AJ52)</f>
        <v>0.14871759999999998</v>
      </c>
    </row>
    <row r="10" spans="1:19" ht="21.9" customHeight="1" x14ac:dyDescent="0.25">
      <c r="B10" s="196"/>
      <c r="C10" s="114"/>
      <c r="D10" s="114" t="str">
        <f>'Crash Data'!O12</f>
        <v>PDO</v>
      </c>
      <c r="E10" s="114"/>
      <c r="F10" s="808">
        <f>'Crash Data'!Q12</f>
        <v>0.45</v>
      </c>
      <c r="H10" s="1055" t="s">
        <v>305</v>
      </c>
      <c r="I10" s="225"/>
      <c r="J10" s="225"/>
      <c r="K10" s="225" t="s">
        <v>128</v>
      </c>
      <c r="L10" s="912"/>
      <c r="M10" s="913">
        <f>AVERAGE('Traffic Data'!AJ50:AJ51)</f>
        <v>0.20292466666666664</v>
      </c>
    </row>
    <row r="11" spans="1:19" ht="21.9" customHeight="1" x14ac:dyDescent="0.25">
      <c r="B11" s="196"/>
      <c r="C11" s="114" t="str">
        <f>'Crash Data'!N13</f>
        <v>SH-412B</v>
      </c>
      <c r="D11" s="114" t="str">
        <f>'Crash Data'!O13</f>
        <v>Fatality</v>
      </c>
      <c r="E11" s="114"/>
      <c r="F11" s="808">
        <f>'Crash Data'!Q13</f>
        <v>0</v>
      </c>
      <c r="H11" s="1055" t="s">
        <v>306</v>
      </c>
      <c r="I11" s="225"/>
      <c r="J11" s="225"/>
      <c r="K11" s="225" t="s">
        <v>128</v>
      </c>
      <c r="L11" s="912"/>
      <c r="M11" s="1053">
        <v>0.2</v>
      </c>
      <c r="N11" s="344" t="s">
        <v>474</v>
      </c>
      <c r="O11" s="344"/>
    </row>
    <row r="12" spans="1:19" ht="21.9" customHeight="1" x14ac:dyDescent="0.25">
      <c r="B12" s="196"/>
      <c r="C12" s="114" t="str">
        <f>'Crash Data'!N14</f>
        <v>(Roundabout)</v>
      </c>
      <c r="D12" s="114" t="str">
        <f>'Crash Data'!O14</f>
        <v>Injury</v>
      </c>
      <c r="E12" s="114"/>
      <c r="F12" s="808">
        <f>'Crash Data'!Q14</f>
        <v>0</v>
      </c>
      <c r="H12" s="1055" t="s">
        <v>307</v>
      </c>
      <c r="I12" s="225"/>
      <c r="J12" s="225"/>
      <c r="K12" s="225" t="s">
        <v>128</v>
      </c>
      <c r="L12" s="912"/>
      <c r="M12" s="1053">
        <v>0.2</v>
      </c>
      <c r="N12" s="344" t="s">
        <v>475</v>
      </c>
      <c r="O12" s="344"/>
    </row>
    <row r="13" spans="1:19" ht="21.9" customHeight="1" x14ac:dyDescent="0.25">
      <c r="B13" s="196"/>
      <c r="C13" s="114"/>
      <c r="D13" s="114" t="str">
        <f>'Crash Data'!O15</f>
        <v>PDO</v>
      </c>
      <c r="E13" s="114"/>
      <c r="F13" s="808">
        <f>'Crash Data'!Q15</f>
        <v>0</v>
      </c>
      <c r="H13" s="1055" t="s">
        <v>387</v>
      </c>
      <c r="I13" s="225"/>
      <c r="J13" s="225"/>
      <c r="K13" s="225" t="s">
        <v>128</v>
      </c>
      <c r="L13" s="912"/>
      <c r="M13" s="914">
        <f>'Traffic Data'!AJ50</f>
        <v>0.25056799999999996</v>
      </c>
    </row>
    <row r="14" spans="1:19" ht="21.9" customHeight="1" x14ac:dyDescent="0.25">
      <c r="B14" s="196"/>
      <c r="C14" s="217" t="str">
        <f>'Crash Data'!N16</f>
        <v>Patrol Rd</v>
      </c>
      <c r="D14" s="217" t="str">
        <f>'Crash Data'!O16</f>
        <v>Fatality</v>
      </c>
      <c r="E14" s="217"/>
      <c r="F14" s="809">
        <f>'Crash Data'!Q16</f>
        <v>0</v>
      </c>
      <c r="H14" s="1055" t="s">
        <v>294</v>
      </c>
      <c r="I14" s="114"/>
      <c r="J14" s="114"/>
      <c r="K14" s="225" t="s">
        <v>128</v>
      </c>
      <c r="L14" s="912"/>
      <c r="M14" s="913" t="e">
        <f>AVERAGE('Traffic Data'!#REF!)</f>
        <v>#REF!</v>
      </c>
    </row>
    <row r="15" spans="1:19" ht="21.9" customHeight="1" x14ac:dyDescent="0.25">
      <c r="B15" s="196"/>
      <c r="C15" s="114"/>
      <c r="D15" s="114" t="str">
        <f>'Crash Data'!O17</f>
        <v>Injury</v>
      </c>
      <c r="E15" s="114"/>
      <c r="F15" s="808">
        <f>'Crash Data'!Q17</f>
        <v>1</v>
      </c>
      <c r="H15" s="1055" t="s">
        <v>284</v>
      </c>
      <c r="I15" s="114"/>
      <c r="J15" s="114"/>
      <c r="K15" s="225" t="s">
        <v>128</v>
      </c>
      <c r="L15" s="114"/>
      <c r="M15" s="913">
        <f>'Traffic Data'!AJ58</f>
        <v>7.9518666666666654E-2</v>
      </c>
    </row>
    <row r="16" spans="1:19" ht="21.9" customHeight="1" x14ac:dyDescent="0.25">
      <c r="B16" s="196"/>
      <c r="C16" s="250"/>
      <c r="D16" s="250" t="str">
        <f>'Crash Data'!O18</f>
        <v>PDO</v>
      </c>
      <c r="E16" s="250"/>
      <c r="F16" s="810">
        <f>'Crash Data'!Q18</f>
        <v>0</v>
      </c>
      <c r="H16" s="1056" t="s">
        <v>34</v>
      </c>
      <c r="I16" s="226"/>
      <c r="J16" s="226"/>
      <c r="K16" s="226" t="s">
        <v>376</v>
      </c>
      <c r="L16" s="217"/>
      <c r="M16" s="840">
        <f>costLife</f>
        <v>14022900</v>
      </c>
      <c r="O16" s="178" t="s">
        <v>531</v>
      </c>
      <c r="P16" s="1323" t="s">
        <v>530</v>
      </c>
      <c r="Q16" s="1323"/>
      <c r="R16" s="1323"/>
      <c r="S16" s="1323"/>
    </row>
    <row r="17" spans="1:42" ht="21.9" customHeight="1" x14ac:dyDescent="0.25">
      <c r="B17" s="196"/>
      <c r="C17" s="114" t="str">
        <f>'Crash Data'!N19</f>
        <v>Williams St</v>
      </c>
      <c r="D17" s="114" t="str">
        <f>'Crash Data'!O19</f>
        <v>Fatality</v>
      </c>
      <c r="E17" s="114"/>
      <c r="F17" s="808">
        <f>'Crash Data'!Q19</f>
        <v>0</v>
      </c>
      <c r="H17" s="1055" t="s">
        <v>35</v>
      </c>
      <c r="I17" s="225"/>
      <c r="J17" s="225"/>
      <c r="K17" s="225" t="s">
        <v>376</v>
      </c>
      <c r="L17" s="820"/>
      <c r="M17" s="821">
        <f>costInjury</f>
        <v>313000</v>
      </c>
      <c r="O17" s="178">
        <v>462</v>
      </c>
      <c r="P17" s="1324" t="s">
        <v>297</v>
      </c>
      <c r="Q17" s="1324"/>
      <c r="R17" s="1324"/>
      <c r="S17" s="1324"/>
    </row>
    <row r="18" spans="1:42" ht="21.9" customHeight="1" thickBot="1" x14ac:dyDescent="0.3">
      <c r="B18" s="196"/>
      <c r="C18" s="114"/>
      <c r="D18" s="114" t="str">
        <f>'Crash Data'!O20</f>
        <v>Injury</v>
      </c>
      <c r="E18" s="114"/>
      <c r="F18" s="808">
        <f>'Crash Data'!Q20</f>
        <v>0</v>
      </c>
      <c r="H18" s="1055" t="s">
        <v>36</v>
      </c>
      <c r="I18" s="225"/>
      <c r="J18" s="225"/>
      <c r="K18" s="225" t="s">
        <v>376</v>
      </c>
      <c r="L18" s="820"/>
      <c r="M18" s="821">
        <f>costPDO</f>
        <v>9100</v>
      </c>
      <c r="O18" s="178" t="s">
        <v>532</v>
      </c>
      <c r="P18" s="1317" t="s">
        <v>525</v>
      </c>
      <c r="Q18" s="1318"/>
      <c r="R18" s="1318"/>
      <c r="S18" s="1319"/>
    </row>
    <row r="19" spans="1:42" ht="21.9" customHeight="1" x14ac:dyDescent="0.25">
      <c r="B19" s="196"/>
      <c r="C19" s="114"/>
      <c r="D19" s="114" t="str">
        <f>'Crash Data'!O21</f>
        <v>PDO</v>
      </c>
      <c r="E19" s="114"/>
      <c r="F19" s="808">
        <f>'Crash Data'!Q21</f>
        <v>0</v>
      </c>
      <c r="H19" s="1054" t="s">
        <v>285</v>
      </c>
      <c r="I19" s="245"/>
      <c r="J19" s="245"/>
      <c r="K19" s="245" t="s">
        <v>86</v>
      </c>
      <c r="L19" s="701"/>
      <c r="M19" s="922">
        <v>0.84</v>
      </c>
      <c r="O19" s="178">
        <v>9157</v>
      </c>
      <c r="P19" s="1317" t="s">
        <v>298</v>
      </c>
      <c r="Q19" s="1318"/>
      <c r="R19" s="1318"/>
      <c r="S19" s="1319"/>
    </row>
    <row r="20" spans="1:42" ht="21.9" customHeight="1" x14ac:dyDescent="0.25">
      <c r="B20" s="196"/>
      <c r="C20" s="217" t="str">
        <f>'Crash Data'!N22</f>
        <v>SH-412B North</v>
      </c>
      <c r="D20" s="217" t="str">
        <f>'Crash Data'!O22</f>
        <v>Fatality</v>
      </c>
      <c r="E20" s="217"/>
      <c r="F20" s="809">
        <f>'Crash Data'!Q22</f>
        <v>0</v>
      </c>
      <c r="H20" s="1055" t="s">
        <v>295</v>
      </c>
      <c r="I20" s="114"/>
      <c r="J20" s="114"/>
      <c r="K20" s="225" t="s">
        <v>86</v>
      </c>
      <c r="L20" s="114"/>
      <c r="M20" s="747">
        <v>0.56000000000000005</v>
      </c>
      <c r="O20" s="178">
        <v>2978</v>
      </c>
      <c r="P20" s="1317" t="s">
        <v>310</v>
      </c>
      <c r="Q20" s="1318"/>
      <c r="R20" s="1318"/>
      <c r="S20" s="1319"/>
    </row>
    <row r="21" spans="1:42" ht="21.9" customHeight="1" x14ac:dyDescent="0.25">
      <c r="B21" s="196"/>
      <c r="C21" s="114" t="s">
        <v>705</v>
      </c>
      <c r="D21" s="114" t="str">
        <f>'Crash Data'!O23</f>
        <v>Injury</v>
      </c>
      <c r="E21" s="114"/>
      <c r="F21" s="808">
        <f>'Crash Data'!Q23</f>
        <v>0.47826086956521741</v>
      </c>
      <c r="H21" s="1055" t="s">
        <v>309</v>
      </c>
      <c r="I21" s="225"/>
      <c r="J21" s="225"/>
      <c r="K21" s="225" t="s">
        <v>86</v>
      </c>
      <c r="L21" s="552"/>
      <c r="M21" s="923">
        <f>EXP(0.1123-(0.0003*'Traffic Data'!AI13))</f>
        <v>0.81758206167072156</v>
      </c>
      <c r="O21" s="178">
        <v>7570</v>
      </c>
      <c r="P21" s="1317" t="s">
        <v>525</v>
      </c>
      <c r="Q21" s="1318"/>
      <c r="R21" s="1318"/>
      <c r="S21" s="1319"/>
    </row>
    <row r="22" spans="1:42" ht="21.9" customHeight="1" x14ac:dyDescent="0.25">
      <c r="B22" s="196"/>
      <c r="C22" s="250"/>
      <c r="D22" s="250" t="str">
        <f>'Crash Data'!O24</f>
        <v>PDO</v>
      </c>
      <c r="E22" s="250"/>
      <c r="F22" s="810">
        <f>'Crash Data'!Q24</f>
        <v>0.52173913043478259</v>
      </c>
      <c r="H22" s="1055" t="s">
        <v>303</v>
      </c>
      <c r="I22" s="114"/>
      <c r="J22" s="114"/>
      <c r="K22" s="225" t="s">
        <v>86</v>
      </c>
      <c r="L22" s="114"/>
      <c r="M22" s="923">
        <v>0.69099999999999995</v>
      </c>
      <c r="O22" s="925">
        <v>9305</v>
      </c>
      <c r="P22" s="1320" t="s">
        <v>533</v>
      </c>
      <c r="Q22" s="1321"/>
      <c r="R22" s="1321"/>
      <c r="S22" s="1322"/>
    </row>
    <row r="23" spans="1:42" ht="21.9" customHeight="1" x14ac:dyDescent="0.25">
      <c r="B23" s="196"/>
      <c r="C23" s="217" t="str">
        <f>'Crash Data'!N25</f>
        <v>Zarrow St</v>
      </c>
      <c r="D23" s="217" t="str">
        <f>'Crash Data'!O25</f>
        <v>Fatality</v>
      </c>
      <c r="E23" s="217"/>
      <c r="F23" s="809">
        <f>'Crash Data'!Q25</f>
        <v>0.2</v>
      </c>
      <c r="H23" s="1055" t="s">
        <v>382</v>
      </c>
      <c r="I23" s="225"/>
      <c r="J23" s="225"/>
      <c r="K23" s="225" t="s">
        <v>86</v>
      </c>
      <c r="L23" s="552"/>
      <c r="M23" s="923">
        <v>0.92400000000000004</v>
      </c>
      <c r="O23" s="178">
        <v>325</v>
      </c>
      <c r="P23" s="1317" t="s">
        <v>385</v>
      </c>
      <c r="Q23" s="1318"/>
      <c r="R23" s="1318"/>
      <c r="S23" s="1319"/>
    </row>
    <row r="24" spans="1:42" ht="21.9" customHeight="1" thickBot="1" x14ac:dyDescent="0.3">
      <c r="B24" s="196"/>
      <c r="C24" s="114"/>
      <c r="D24" s="114" t="str">
        <f>'Crash Data'!O26</f>
        <v>Injury</v>
      </c>
      <c r="E24" s="114"/>
      <c r="F24" s="808">
        <f>'Crash Data'!Q26</f>
        <v>0.6</v>
      </c>
      <c r="H24" s="1057" t="s">
        <v>296</v>
      </c>
      <c r="I24" s="228"/>
      <c r="J24" s="228"/>
      <c r="K24" s="228" t="s">
        <v>86</v>
      </c>
      <c r="L24" s="710"/>
      <c r="M24" s="924">
        <v>0.69099999999999995</v>
      </c>
      <c r="O24" s="178">
        <v>7570</v>
      </c>
      <c r="P24" s="1317" t="s">
        <v>525</v>
      </c>
      <c r="Q24" s="1318"/>
      <c r="R24" s="1318"/>
      <c r="S24" s="1319"/>
    </row>
    <row r="25" spans="1:42" ht="21.9" customHeight="1" x14ac:dyDescent="0.25">
      <c r="B25" s="196"/>
      <c r="C25" s="250"/>
      <c r="D25" s="250" t="str">
        <f>'Crash Data'!O27</f>
        <v>PDO</v>
      </c>
      <c r="E25" s="250"/>
      <c r="F25" s="810">
        <f>'Crash Data'!Q27</f>
        <v>0.2</v>
      </c>
      <c r="O25" s="1227"/>
      <c r="P25" s="1227"/>
      <c r="Q25" s="1227"/>
      <c r="R25" s="1227"/>
      <c r="S25" s="1227"/>
    </row>
    <row r="26" spans="1:42" ht="21.9" customHeight="1" x14ac:dyDescent="0.25">
      <c r="B26" s="201" t="str">
        <f>'Crash Data'!K28</f>
        <v>Average Number of Crashes</v>
      </c>
      <c r="C26" s="114" t="str">
        <f>'Crash Data'!N28</f>
        <v>US-412/SH-412B</v>
      </c>
      <c r="D26" s="114" t="str">
        <f>'Crash Data'!O28</f>
        <v>All</v>
      </c>
      <c r="E26" s="114"/>
      <c r="F26" s="811">
        <f>'Crash Data'!Q28</f>
        <v>4</v>
      </c>
      <c r="O26" s="1227"/>
      <c r="P26" s="1227"/>
      <c r="Q26" s="1227"/>
      <c r="R26" s="1227"/>
      <c r="S26" s="1227"/>
    </row>
    <row r="27" spans="1:42" ht="21.9" customHeight="1" x14ac:dyDescent="0.25">
      <c r="B27" s="196" t="str">
        <f>'Crash Data'!K29</f>
        <v>(Per Year)</v>
      </c>
      <c r="C27" s="114" t="str">
        <f>'Crash Data'!N29</f>
        <v>SH 412B (Rbt)</v>
      </c>
      <c r="D27" s="114" t="str">
        <f>'Crash Data'!O29</f>
        <v>All</v>
      </c>
      <c r="E27" s="114"/>
      <c r="F27" s="811">
        <f>'Crash Data'!Q29</f>
        <v>0</v>
      </c>
    </row>
    <row r="28" spans="1:42" ht="21.9" customHeight="1" x14ac:dyDescent="0.25">
      <c r="B28" s="196"/>
      <c r="C28" s="114" t="str">
        <f>'Crash Data'!N30</f>
        <v>Patrol Rd</v>
      </c>
      <c r="D28" s="114" t="str">
        <f>'Crash Data'!O30</f>
        <v>All</v>
      </c>
      <c r="E28" s="114"/>
      <c r="F28" s="811">
        <f>'Crash Data'!Q30</f>
        <v>0.2</v>
      </c>
      <c r="G28"/>
    </row>
    <row r="29" spans="1:42" ht="21.9" customHeight="1" x14ac:dyDescent="0.25">
      <c r="B29" s="196"/>
      <c r="C29" s="114" t="str">
        <f>'Crash Data'!N31</f>
        <v>Williams St</v>
      </c>
      <c r="D29" s="114" t="str">
        <f>'Crash Data'!O31</f>
        <v>All</v>
      </c>
      <c r="E29" s="114"/>
      <c r="F29" s="811">
        <f>'Crash Data'!Q31</f>
        <v>0</v>
      </c>
    </row>
    <row r="30" spans="1:42" s="4" customFormat="1" ht="21.9" customHeight="1" x14ac:dyDescent="0.25">
      <c r="A30"/>
      <c r="B30" s="196"/>
      <c r="C30" s="114" t="str">
        <f>'Crash Data'!N32</f>
        <v>SH412B (Recon)</v>
      </c>
      <c r="D30" s="114" t="str">
        <f>'Crash Data'!O32</f>
        <v>All</v>
      </c>
      <c r="E30" s="114"/>
      <c r="F30" s="811">
        <f>'Crash Data'!Q32</f>
        <v>4.5999999999999996</v>
      </c>
      <c r="AL30"/>
      <c r="AM30"/>
      <c r="AN30"/>
      <c r="AO30"/>
      <c r="AP30"/>
    </row>
    <row r="31" spans="1:42" ht="21.9" customHeight="1" thickBot="1" x14ac:dyDescent="0.3">
      <c r="B31" s="208"/>
      <c r="C31" s="274" t="str">
        <f>'Crash Data'!N33</f>
        <v>Zarrow St</v>
      </c>
      <c r="D31" s="274" t="str">
        <f>'Crash Data'!O33</f>
        <v>All</v>
      </c>
      <c r="E31" s="274"/>
      <c r="F31" s="812">
        <f>'Crash Data'!Q33</f>
        <v>1</v>
      </c>
    </row>
    <row r="32" spans="1:42" ht="21.9" customHeight="1" x14ac:dyDescent="0.25">
      <c r="B32" s="20" t="s">
        <v>377</v>
      </c>
      <c r="D32"/>
      <c r="E32"/>
    </row>
    <row r="33" spans="1:42" ht="21.9" customHeight="1" x14ac:dyDescent="0.25">
      <c r="B33" s="370" t="s">
        <v>386</v>
      </c>
      <c r="D33"/>
      <c r="E33"/>
    </row>
    <row r="34" spans="1:42" ht="21.9" customHeight="1" x14ac:dyDescent="0.25">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row>
    <row r="35" spans="1:42" ht="21.9" customHeight="1" x14ac:dyDescent="0.25">
      <c r="A35" s="224"/>
      <c r="B35" s="224" t="s">
        <v>9</v>
      </c>
    </row>
    <row r="36" spans="1:42" ht="21.9" customHeight="1" thickBot="1" x14ac:dyDescent="0.3">
      <c r="B36" s="1"/>
    </row>
    <row r="37" spans="1:42" s="6" customFormat="1" ht="21.9" customHeight="1" thickBot="1" x14ac:dyDescent="0.3">
      <c r="A37"/>
      <c r="B37" s="231"/>
      <c r="C37" s="462" t="s">
        <v>18</v>
      </c>
      <c r="D37" s="462" t="s">
        <v>37</v>
      </c>
      <c r="E37" s="462">
        <v>2021</v>
      </c>
      <c r="F37" s="462">
        <f>E37+1</f>
        <v>2022</v>
      </c>
      <c r="G37" s="462">
        <f t="shared" ref="G37:AF37" si="0">F37+1</f>
        <v>2023</v>
      </c>
      <c r="H37" s="462">
        <f t="shared" si="0"/>
        <v>2024</v>
      </c>
      <c r="I37" s="462">
        <f t="shared" si="0"/>
        <v>2025</v>
      </c>
      <c r="J37" s="462">
        <f t="shared" si="0"/>
        <v>2026</v>
      </c>
      <c r="K37" s="462">
        <f t="shared" si="0"/>
        <v>2027</v>
      </c>
      <c r="L37" s="462">
        <f t="shared" si="0"/>
        <v>2028</v>
      </c>
      <c r="M37" s="462">
        <f t="shared" si="0"/>
        <v>2029</v>
      </c>
      <c r="N37" s="462">
        <f t="shared" si="0"/>
        <v>2030</v>
      </c>
      <c r="O37" s="462">
        <f t="shared" si="0"/>
        <v>2031</v>
      </c>
      <c r="P37" s="462">
        <f t="shared" si="0"/>
        <v>2032</v>
      </c>
      <c r="Q37" s="462">
        <f t="shared" si="0"/>
        <v>2033</v>
      </c>
      <c r="R37" s="462">
        <f t="shared" si="0"/>
        <v>2034</v>
      </c>
      <c r="S37" s="462">
        <f t="shared" si="0"/>
        <v>2035</v>
      </c>
      <c r="T37" s="462">
        <f t="shared" si="0"/>
        <v>2036</v>
      </c>
      <c r="U37" s="462">
        <f t="shared" si="0"/>
        <v>2037</v>
      </c>
      <c r="V37" s="462">
        <f t="shared" si="0"/>
        <v>2038</v>
      </c>
      <c r="W37" s="462">
        <f t="shared" si="0"/>
        <v>2039</v>
      </c>
      <c r="X37" s="462">
        <f t="shared" si="0"/>
        <v>2040</v>
      </c>
      <c r="Y37" s="462">
        <f t="shared" si="0"/>
        <v>2041</v>
      </c>
      <c r="Z37" s="462">
        <f t="shared" si="0"/>
        <v>2042</v>
      </c>
      <c r="AA37" s="462">
        <f t="shared" si="0"/>
        <v>2043</v>
      </c>
      <c r="AB37" s="462">
        <f t="shared" si="0"/>
        <v>2044</v>
      </c>
      <c r="AC37" s="462">
        <f t="shared" si="0"/>
        <v>2045</v>
      </c>
      <c r="AD37" s="462">
        <f t="shared" si="0"/>
        <v>2046</v>
      </c>
      <c r="AE37" s="462">
        <f t="shared" si="0"/>
        <v>2047</v>
      </c>
      <c r="AF37" s="807">
        <f t="shared" si="0"/>
        <v>2048</v>
      </c>
      <c r="AG37" s="247"/>
      <c r="AH37" s="247"/>
      <c r="AI37" s="247"/>
      <c r="AJ37" s="247"/>
      <c r="AK37" s="247"/>
      <c r="AL37"/>
      <c r="AM37"/>
      <c r="AN37"/>
      <c r="AO37"/>
      <c r="AP37"/>
    </row>
    <row r="38" spans="1:42" s="7" customFormat="1" ht="21.9" customHeight="1" x14ac:dyDescent="0.25">
      <c r="B38" s="196" t="s">
        <v>379</v>
      </c>
      <c r="C38" s="225" t="str">
        <f>C8</f>
        <v>US-412/SH-412B</v>
      </c>
      <c r="D38" s="114" t="s">
        <v>32</v>
      </c>
      <c r="E38" s="552" cm="1">
        <f t="array" ref="E38:AF38">F8 * $F$26 * (1 + $M$8) ^ (year - baseYear)</f>
        <v>0</v>
      </c>
      <c r="F38" s="552">
        <v>0</v>
      </c>
      <c r="G38" s="552">
        <v>0</v>
      </c>
      <c r="H38" s="552">
        <v>0</v>
      </c>
      <c r="I38" s="552">
        <v>0</v>
      </c>
      <c r="J38" s="552">
        <v>0</v>
      </c>
      <c r="K38" s="552">
        <v>0</v>
      </c>
      <c r="L38" s="552">
        <v>0</v>
      </c>
      <c r="M38" s="552">
        <v>0</v>
      </c>
      <c r="N38" s="552">
        <v>0</v>
      </c>
      <c r="O38" s="552">
        <v>0</v>
      </c>
      <c r="P38" s="552">
        <v>0</v>
      </c>
      <c r="Q38" s="552">
        <v>0</v>
      </c>
      <c r="R38" s="552">
        <v>0</v>
      </c>
      <c r="S38" s="552">
        <v>0</v>
      </c>
      <c r="T38" s="552">
        <v>0</v>
      </c>
      <c r="U38" s="552">
        <v>0</v>
      </c>
      <c r="V38" s="552">
        <v>0</v>
      </c>
      <c r="W38" s="552">
        <v>0</v>
      </c>
      <c r="X38" s="552">
        <v>0</v>
      </c>
      <c r="Y38" s="552">
        <v>0</v>
      </c>
      <c r="Z38" s="552">
        <v>0</v>
      </c>
      <c r="AA38" s="552">
        <v>0</v>
      </c>
      <c r="AB38" s="552">
        <v>0</v>
      </c>
      <c r="AC38" s="552">
        <v>0</v>
      </c>
      <c r="AD38" s="552">
        <v>0</v>
      </c>
      <c r="AE38" s="552">
        <v>0</v>
      </c>
      <c r="AF38" s="552">
        <v>0</v>
      </c>
      <c r="AG38" s="17"/>
      <c r="AH38" s="17"/>
      <c r="AI38" s="17"/>
      <c r="AJ38" s="17"/>
      <c r="AK38" s="17"/>
      <c r="AL38"/>
      <c r="AM38"/>
      <c r="AN38"/>
      <c r="AO38"/>
      <c r="AP38"/>
    </row>
    <row r="39" spans="1:42" s="7" customFormat="1" ht="21.9" customHeight="1" x14ac:dyDescent="0.25">
      <c r="B39" s="229" t="s">
        <v>69</v>
      </c>
      <c r="C39" s="225" t="str">
        <f>C9</f>
        <v>(Interchange)</v>
      </c>
      <c r="D39" s="114" t="s">
        <v>33</v>
      </c>
      <c r="E39" s="552" cm="1">
        <f t="array" ref="E39:AF39">F9 * $F$26 * (1 + $M$8) ^ (year - baseYear)</f>
        <v>2.0587142175583684</v>
      </c>
      <c r="F39" s="552">
        <v>2.2000000000000002</v>
      </c>
      <c r="G39" s="552">
        <v>2.3509819666666667</v>
      </c>
      <c r="H39" s="552">
        <v>2.5123255489053942</v>
      </c>
      <c r="I39" s="552">
        <v>2.6847418453965979</v>
      </c>
      <c r="J39" s="552">
        <v>2.8689907562194499</v>
      </c>
      <c r="K39" s="552">
        <v>3.0658843320024043</v>
      </c>
      <c r="L39" s="552">
        <v>3.2762903529197867</v>
      </c>
      <c r="M39" s="552">
        <v>3.5011361533083578</v>
      </c>
      <c r="N39" s="552">
        <v>3.7414127087602953</v>
      </c>
      <c r="O39" s="552">
        <v>3.9981790037058813</v>
      </c>
      <c r="P39" s="552">
        <v>4.2725666987353756</v>
      </c>
      <c r="Q39" s="552">
        <v>4.5657851182306359</v>
      </c>
      <c r="R39" s="552">
        <v>4.8791265802887542</v>
      </c>
      <c r="S39" s="552">
        <v>5.2139720924285733</v>
      </c>
      <c r="T39" s="552">
        <v>5.5717974381831104</v>
      </c>
      <c r="U39" s="552">
        <v>5.9541796814036463</v>
      </c>
      <c r="V39" s="552">
        <v>6.3628041169422955</v>
      </c>
      <c r="W39" s="552">
        <v>6.7994716983471637</v>
      </c>
      <c r="X39" s="552">
        <v>7.2661069753066148</v>
      </c>
      <c r="Y39" s="552">
        <v>7.764766575825786</v>
      </c>
      <c r="Z39" s="552">
        <v>8.2976482705193195</v>
      </c>
      <c r="AA39" s="552">
        <v>8.8671006589698962</v>
      </c>
      <c r="AB39" s="552">
        <v>9.4756335208437932</v>
      </c>
      <c r="AC39" s="552">
        <v>10.125928877384514</v>
      </c>
      <c r="AD39" s="552">
        <v>10.820852812036469</v>
      </c>
      <c r="AE39" s="552">
        <v>11.563468102296376</v>
      </c>
      <c r="AF39" s="727">
        <v>12.357047718465454</v>
      </c>
      <c r="AG39" s="17"/>
      <c r="AH39" s="17"/>
      <c r="AI39" s="17"/>
      <c r="AJ39" s="17"/>
      <c r="AK39" s="17"/>
      <c r="AL39"/>
      <c r="AM39"/>
      <c r="AN39"/>
      <c r="AO39"/>
      <c r="AP39"/>
    </row>
    <row r="40" spans="1:42" s="7" customFormat="1" ht="21.9" customHeight="1" x14ac:dyDescent="0.25">
      <c r="B40" s="196"/>
      <c r="C40" s="114"/>
      <c r="D40" s="122" t="s">
        <v>30</v>
      </c>
      <c r="E40" s="813" cm="1">
        <f t="array" ref="E40:AF40">F10 * $F$26 * (1 + $M$8) ^ (year - baseYear)</f>
        <v>1.6844025416386648</v>
      </c>
      <c r="F40" s="813">
        <v>1.8</v>
      </c>
      <c r="G40" s="813">
        <v>1.9235306999999999</v>
      </c>
      <c r="H40" s="813">
        <v>2.0555390854680495</v>
      </c>
      <c r="I40" s="813">
        <v>2.1966069644153983</v>
      </c>
      <c r="J40" s="813">
        <v>2.347356073270459</v>
      </c>
      <c r="K40" s="813">
        <v>2.5084508170928759</v>
      </c>
      <c r="L40" s="813">
        <v>2.6806011978434618</v>
      </c>
      <c r="M40" s="813">
        <v>2.8645659436159288</v>
      </c>
      <c r="N40" s="813">
        <v>3.0611558526220599</v>
      </c>
      <c r="O40" s="813">
        <v>3.2712373666684482</v>
      </c>
      <c r="P40" s="813">
        <v>3.4957363898743981</v>
      </c>
      <c r="Q40" s="813">
        <v>3.7356423694614294</v>
      </c>
      <c r="R40" s="813">
        <v>3.9920126565998895</v>
      </c>
      <c r="S40" s="813">
        <v>4.2659771665324691</v>
      </c>
      <c r="T40" s="813">
        <v>4.5587433585134534</v>
      </c>
      <c r="U40" s="813">
        <v>4.8716015575120739</v>
      </c>
      <c r="V40" s="813">
        <v>5.2059306411346054</v>
      </c>
      <c r="W40" s="813">
        <v>5.563204116829497</v>
      </c>
      <c r="X40" s="813">
        <v>5.9449966161599574</v>
      </c>
      <c r="Y40" s="813">
        <v>6.3529908347665511</v>
      </c>
      <c r="Z40" s="813">
        <v>6.788984948606716</v>
      </c>
      <c r="AA40" s="813">
        <v>7.2549005391571875</v>
      </c>
      <c r="AB40" s="813">
        <v>7.7527910625085577</v>
      </c>
      <c r="AC40" s="813">
        <v>8.2848508996782382</v>
      </c>
      <c r="AD40" s="813">
        <v>8.8534250280298377</v>
      </c>
      <c r="AE40" s="552">
        <v>9.4610193564243072</v>
      </c>
      <c r="AF40" s="727">
        <v>10.110311769653553</v>
      </c>
      <c r="AG40" s="17"/>
      <c r="AH40" s="17"/>
      <c r="AI40" s="17"/>
      <c r="AJ40" s="17"/>
      <c r="AK40" s="17"/>
      <c r="AL40"/>
      <c r="AM40"/>
      <c r="AN40"/>
      <c r="AO40"/>
      <c r="AP40"/>
    </row>
    <row r="41" spans="1:42" s="7" customFormat="1" ht="21.9" customHeight="1" x14ac:dyDescent="0.25">
      <c r="B41" s="196"/>
      <c r="C41" s="122"/>
      <c r="D41" s="695" t="s">
        <v>25</v>
      </c>
      <c r="E41" s="814" cm="1">
        <f t="array" ref="E41:AF41">_xlfn.ANCHORARRAY(E38) +_xlfn.ANCHORARRAY( E39) +_xlfn.ANCHORARRAY( E40)</f>
        <v>3.7431167591970329</v>
      </c>
      <c r="F41" s="814">
        <v>4</v>
      </c>
      <c r="G41" s="814">
        <v>4.2745126666666664</v>
      </c>
      <c r="H41" s="814">
        <v>4.5678646343734437</v>
      </c>
      <c r="I41" s="814">
        <v>4.8813488098119961</v>
      </c>
      <c r="J41" s="814">
        <v>5.2163468294899094</v>
      </c>
      <c r="K41" s="814">
        <v>5.5743351490952797</v>
      </c>
      <c r="L41" s="814">
        <v>5.9568915507632489</v>
      </c>
      <c r="M41" s="814">
        <v>6.3657020969242861</v>
      </c>
      <c r="N41" s="814">
        <v>6.8025685613823548</v>
      </c>
      <c r="O41" s="814">
        <v>7.26941637037433</v>
      </c>
      <c r="P41" s="814">
        <v>7.7683030886097733</v>
      </c>
      <c r="Q41" s="814">
        <v>8.3014274876920648</v>
      </c>
      <c r="R41" s="814">
        <v>8.8711392368886433</v>
      </c>
      <c r="S41" s="814">
        <v>9.4799492589610423</v>
      </c>
      <c r="T41" s="814">
        <v>10.130540796696565</v>
      </c>
      <c r="U41" s="814">
        <v>10.82578123891572</v>
      </c>
      <c r="V41" s="814">
        <v>11.5687347580769</v>
      </c>
      <c r="W41" s="814">
        <v>12.362675815176662</v>
      </c>
      <c r="X41" s="814">
        <v>13.211103591466571</v>
      </c>
      <c r="Y41" s="814">
        <v>14.117757410592336</v>
      </c>
      <c r="Z41" s="814">
        <v>15.086633219126035</v>
      </c>
      <c r="AA41" s="814">
        <v>16.122001198127084</v>
      </c>
      <c r="AB41" s="814">
        <v>17.22842458335235</v>
      </c>
      <c r="AC41" s="814">
        <v>18.41077977706275</v>
      </c>
      <c r="AD41" s="814">
        <v>19.674277840066306</v>
      </c>
      <c r="AE41" s="815">
        <v>21.024487458720685</v>
      </c>
      <c r="AF41" s="816">
        <v>22.467359488119008</v>
      </c>
      <c r="AG41" s="17"/>
      <c r="AH41" s="17"/>
      <c r="AI41" s="17"/>
      <c r="AJ41" s="17"/>
      <c r="AK41" s="17"/>
      <c r="AL41"/>
      <c r="AM41"/>
      <c r="AN41"/>
      <c r="AO41"/>
      <c r="AP41"/>
    </row>
    <row r="42" spans="1:42" s="7" customFormat="1" ht="21.9" customHeight="1" x14ac:dyDescent="0.25">
      <c r="B42" s="196"/>
      <c r="C42" s="226" t="str">
        <f>C11</f>
        <v>SH-412B</v>
      </c>
      <c r="D42" s="114" t="s">
        <v>32</v>
      </c>
      <c r="E42" s="552" cm="1">
        <f t="array" ref="E42:AF42">F11 * $F$27 * (1 + $M$10) ^ (year - baseYear)</f>
        <v>0</v>
      </c>
      <c r="F42" s="552">
        <v>0</v>
      </c>
      <c r="G42" s="552">
        <v>0</v>
      </c>
      <c r="H42" s="552">
        <v>0</v>
      </c>
      <c r="I42" s="552">
        <v>0</v>
      </c>
      <c r="J42" s="552">
        <v>0</v>
      </c>
      <c r="K42" s="552">
        <v>0</v>
      </c>
      <c r="L42" s="552">
        <v>0</v>
      </c>
      <c r="M42" s="552">
        <v>0</v>
      </c>
      <c r="N42" s="552">
        <v>0</v>
      </c>
      <c r="O42" s="552">
        <v>0</v>
      </c>
      <c r="P42" s="552">
        <v>0</v>
      </c>
      <c r="Q42" s="552">
        <v>0</v>
      </c>
      <c r="R42" s="552">
        <v>0</v>
      </c>
      <c r="S42" s="552">
        <v>0</v>
      </c>
      <c r="T42" s="552">
        <v>0</v>
      </c>
      <c r="U42" s="552">
        <v>0</v>
      </c>
      <c r="V42" s="552">
        <v>0</v>
      </c>
      <c r="W42" s="552">
        <v>0</v>
      </c>
      <c r="X42" s="552">
        <v>0</v>
      </c>
      <c r="Y42" s="552">
        <v>0</v>
      </c>
      <c r="Z42" s="552">
        <v>0</v>
      </c>
      <c r="AA42" s="552">
        <v>0</v>
      </c>
      <c r="AB42" s="552">
        <v>0</v>
      </c>
      <c r="AC42" s="552">
        <v>0</v>
      </c>
      <c r="AD42" s="552">
        <v>0</v>
      </c>
      <c r="AE42" s="552">
        <v>0</v>
      </c>
      <c r="AF42" s="727">
        <v>0</v>
      </c>
      <c r="AG42" s="17"/>
      <c r="AH42" s="17"/>
      <c r="AI42" s="17"/>
      <c r="AJ42" s="17"/>
      <c r="AK42" s="17"/>
      <c r="AL42"/>
      <c r="AM42"/>
      <c r="AN42"/>
      <c r="AO42"/>
      <c r="AP42"/>
    </row>
    <row r="43" spans="1:42" s="7" customFormat="1" ht="21.9" customHeight="1" x14ac:dyDescent="0.25">
      <c r="B43" s="196"/>
      <c r="C43" s="225" t="str">
        <f>C12</f>
        <v>(Roundabout)</v>
      </c>
      <c r="D43" s="114" t="s">
        <v>33</v>
      </c>
      <c r="E43" s="552" cm="1">
        <f t="array" ref="E43:AF43">F12 * $F$27 * (1 + $M$10) ^ (year - baseYear)</f>
        <v>0</v>
      </c>
      <c r="F43" s="552">
        <v>0</v>
      </c>
      <c r="G43" s="552">
        <v>0</v>
      </c>
      <c r="H43" s="552">
        <v>0</v>
      </c>
      <c r="I43" s="552">
        <v>0</v>
      </c>
      <c r="J43" s="552">
        <v>0</v>
      </c>
      <c r="K43" s="552">
        <v>0</v>
      </c>
      <c r="L43" s="552">
        <v>0</v>
      </c>
      <c r="M43" s="552">
        <v>0</v>
      </c>
      <c r="N43" s="552">
        <v>0</v>
      </c>
      <c r="O43" s="552">
        <v>0</v>
      </c>
      <c r="P43" s="552">
        <v>0</v>
      </c>
      <c r="Q43" s="552">
        <v>0</v>
      </c>
      <c r="R43" s="552">
        <v>0</v>
      </c>
      <c r="S43" s="552">
        <v>0</v>
      </c>
      <c r="T43" s="552">
        <v>0</v>
      </c>
      <c r="U43" s="552">
        <v>0</v>
      </c>
      <c r="V43" s="552">
        <v>0</v>
      </c>
      <c r="W43" s="552">
        <v>0</v>
      </c>
      <c r="X43" s="552">
        <v>0</v>
      </c>
      <c r="Y43" s="552">
        <v>0</v>
      </c>
      <c r="Z43" s="552">
        <v>0</v>
      </c>
      <c r="AA43" s="552">
        <v>0</v>
      </c>
      <c r="AB43" s="552">
        <v>0</v>
      </c>
      <c r="AC43" s="552">
        <v>0</v>
      </c>
      <c r="AD43" s="552">
        <v>0</v>
      </c>
      <c r="AE43" s="552">
        <v>0</v>
      </c>
      <c r="AF43" s="727">
        <v>0</v>
      </c>
      <c r="AG43" s="17"/>
      <c r="AH43" s="17"/>
      <c r="AI43" s="17"/>
      <c r="AJ43" s="17"/>
      <c r="AK43" s="17"/>
      <c r="AL43"/>
      <c r="AM43"/>
      <c r="AN43"/>
      <c r="AO43"/>
      <c r="AP43"/>
    </row>
    <row r="44" spans="1:42" s="7" customFormat="1" ht="21.9" customHeight="1" x14ac:dyDescent="0.25">
      <c r="B44" s="196"/>
      <c r="C44" s="114"/>
      <c r="D44" s="122" t="s">
        <v>30</v>
      </c>
      <c r="E44" s="813" cm="1">
        <f t="array" ref="E44:AF44">F13 * $F$27 * (1 + $M$10) ^ (year - baseYear)</f>
        <v>0</v>
      </c>
      <c r="F44" s="813">
        <v>0</v>
      </c>
      <c r="G44" s="813">
        <v>0</v>
      </c>
      <c r="H44" s="813">
        <v>0</v>
      </c>
      <c r="I44" s="813">
        <v>0</v>
      </c>
      <c r="J44" s="813">
        <v>0</v>
      </c>
      <c r="K44" s="813">
        <v>0</v>
      </c>
      <c r="L44" s="813">
        <v>0</v>
      </c>
      <c r="M44" s="813">
        <v>0</v>
      </c>
      <c r="N44" s="813">
        <v>0</v>
      </c>
      <c r="O44" s="813">
        <v>0</v>
      </c>
      <c r="P44" s="813">
        <v>0</v>
      </c>
      <c r="Q44" s="813">
        <v>0</v>
      </c>
      <c r="R44" s="813">
        <v>0</v>
      </c>
      <c r="S44" s="813">
        <v>0</v>
      </c>
      <c r="T44" s="813">
        <v>0</v>
      </c>
      <c r="U44" s="813">
        <v>0</v>
      </c>
      <c r="V44" s="813">
        <v>0</v>
      </c>
      <c r="W44" s="813">
        <v>0</v>
      </c>
      <c r="X44" s="813">
        <v>0</v>
      </c>
      <c r="Y44" s="813">
        <v>0</v>
      </c>
      <c r="Z44" s="813">
        <v>0</v>
      </c>
      <c r="AA44" s="813">
        <v>0</v>
      </c>
      <c r="AB44" s="813">
        <v>0</v>
      </c>
      <c r="AC44" s="813">
        <v>0</v>
      </c>
      <c r="AD44" s="813">
        <v>0</v>
      </c>
      <c r="AE44" s="552">
        <v>0</v>
      </c>
      <c r="AF44" s="727">
        <v>0</v>
      </c>
      <c r="AG44" s="17"/>
      <c r="AH44" s="17"/>
      <c r="AI44" s="17"/>
      <c r="AJ44" s="17"/>
      <c r="AK44" s="17"/>
      <c r="AL44"/>
      <c r="AM44"/>
      <c r="AN44"/>
      <c r="AO44"/>
      <c r="AP44"/>
    </row>
    <row r="45" spans="1:42" s="7" customFormat="1" ht="21.9" customHeight="1" x14ac:dyDescent="0.25">
      <c r="B45" s="196"/>
      <c r="C45" s="225"/>
      <c r="D45" s="695" t="s">
        <v>25</v>
      </c>
      <c r="E45" s="814">
        <f>E42 + E43 + E44</f>
        <v>0</v>
      </c>
      <c r="F45" s="814">
        <f>F42 + F43 + F44</f>
        <v>0</v>
      </c>
      <c r="G45" s="814">
        <f t="shared" ref="G45" si="1">G42 + G43 + G44</f>
        <v>0</v>
      </c>
      <c r="H45" s="814">
        <f t="shared" ref="H45" si="2">H42 + H43 + H44</f>
        <v>0</v>
      </c>
      <c r="I45" s="814">
        <f t="shared" ref="I45" si="3">I42 + I43 + I44</f>
        <v>0</v>
      </c>
      <c r="J45" s="814">
        <f t="shared" ref="J45" si="4">J42 + J43 + J44</f>
        <v>0</v>
      </c>
      <c r="K45" s="814">
        <f t="shared" ref="K45" si="5">K42 + K43 + K44</f>
        <v>0</v>
      </c>
      <c r="L45" s="814">
        <f t="shared" ref="L45" si="6">L42 + L43 + L44</f>
        <v>0</v>
      </c>
      <c r="M45" s="814">
        <f t="shared" ref="M45" si="7">M42 + M43 + M44</f>
        <v>0</v>
      </c>
      <c r="N45" s="814">
        <f t="shared" ref="N45" si="8">N42 + N43 + N44</f>
        <v>0</v>
      </c>
      <c r="O45" s="814">
        <f t="shared" ref="O45" si="9">O42 + O43 + O44</f>
        <v>0</v>
      </c>
      <c r="P45" s="814">
        <f t="shared" ref="P45" si="10">P42 + P43 + P44</f>
        <v>0</v>
      </c>
      <c r="Q45" s="814">
        <f t="shared" ref="Q45" si="11">Q42 + Q43 + Q44</f>
        <v>0</v>
      </c>
      <c r="R45" s="814">
        <f t="shared" ref="R45" si="12">R42 + R43 + R44</f>
        <v>0</v>
      </c>
      <c r="S45" s="814">
        <f t="shared" ref="S45" si="13">S42 + S43 + S44</f>
        <v>0</v>
      </c>
      <c r="T45" s="814">
        <f t="shared" ref="T45" si="14">T42 + T43 + T44</f>
        <v>0</v>
      </c>
      <c r="U45" s="814">
        <f t="shared" ref="U45" si="15">U42 + U43 + U44</f>
        <v>0</v>
      </c>
      <c r="V45" s="814">
        <f t="shared" ref="V45" si="16">V42 + V43 + V44</f>
        <v>0</v>
      </c>
      <c r="W45" s="814">
        <f t="shared" ref="W45" si="17">W42 + W43 + W44</f>
        <v>0</v>
      </c>
      <c r="X45" s="814">
        <f t="shared" ref="X45" si="18">X42 + X43 + X44</f>
        <v>0</v>
      </c>
      <c r="Y45" s="814">
        <f t="shared" ref="Y45" si="19">Y42 + Y43 + Y44</f>
        <v>0</v>
      </c>
      <c r="Z45" s="814">
        <f t="shared" ref="Z45" si="20">Z42 + Z43 + Z44</f>
        <v>0</v>
      </c>
      <c r="AA45" s="814">
        <f t="shared" ref="AA45" si="21">AA42 + AA43 + AA44</f>
        <v>0</v>
      </c>
      <c r="AB45" s="814">
        <f t="shared" ref="AB45" si="22">AB42 + AB43 + AB44</f>
        <v>0</v>
      </c>
      <c r="AC45" s="814">
        <f t="shared" ref="AC45" si="23">AC42 + AC43 + AC44</f>
        <v>0</v>
      </c>
      <c r="AD45" s="814">
        <f t="shared" ref="AD45:AF45" si="24">AD42 + AD43 + AD44</f>
        <v>0</v>
      </c>
      <c r="AE45" s="815">
        <f t="shared" si="24"/>
        <v>0</v>
      </c>
      <c r="AF45" s="816">
        <f t="shared" si="24"/>
        <v>0</v>
      </c>
      <c r="AG45" s="17"/>
      <c r="AH45" s="17"/>
      <c r="AI45" s="17"/>
      <c r="AJ45" s="17"/>
      <c r="AK45" s="17"/>
      <c r="AL45"/>
      <c r="AM45"/>
      <c r="AN45"/>
      <c r="AO45"/>
      <c r="AP45"/>
    </row>
    <row r="46" spans="1:42" s="7" customFormat="1" ht="21.9" customHeight="1" x14ac:dyDescent="0.25">
      <c r="B46" s="196"/>
      <c r="C46" s="226" t="str">
        <f>C14</f>
        <v>Patrol Rd</v>
      </c>
      <c r="D46" s="114" t="s">
        <v>32</v>
      </c>
      <c r="E46" s="552" cm="1">
        <f t="array" ref="E46:AF46">F14 * $F$28 * (1 + $M$11) ^ (year - baseYear)</f>
        <v>0</v>
      </c>
      <c r="F46" s="552">
        <v>0</v>
      </c>
      <c r="G46" s="552">
        <v>0</v>
      </c>
      <c r="H46" s="552">
        <v>0</v>
      </c>
      <c r="I46" s="552">
        <v>0</v>
      </c>
      <c r="J46" s="552">
        <v>0</v>
      </c>
      <c r="K46" s="552">
        <v>0</v>
      </c>
      <c r="L46" s="552">
        <v>0</v>
      </c>
      <c r="M46" s="552">
        <v>0</v>
      </c>
      <c r="N46" s="552">
        <v>0</v>
      </c>
      <c r="O46" s="552">
        <v>0</v>
      </c>
      <c r="P46" s="552">
        <v>0</v>
      </c>
      <c r="Q46" s="552">
        <v>0</v>
      </c>
      <c r="R46" s="552">
        <v>0</v>
      </c>
      <c r="S46" s="552">
        <v>0</v>
      </c>
      <c r="T46" s="552">
        <v>0</v>
      </c>
      <c r="U46" s="552">
        <v>0</v>
      </c>
      <c r="V46" s="552">
        <v>0</v>
      </c>
      <c r="W46" s="552">
        <v>0</v>
      </c>
      <c r="X46" s="552">
        <v>0</v>
      </c>
      <c r="Y46" s="552">
        <v>0</v>
      </c>
      <c r="Z46" s="552">
        <v>0</v>
      </c>
      <c r="AA46" s="552">
        <v>0</v>
      </c>
      <c r="AB46" s="552">
        <v>0</v>
      </c>
      <c r="AC46" s="552">
        <v>0</v>
      </c>
      <c r="AD46" s="552">
        <v>0</v>
      </c>
      <c r="AE46" s="552">
        <v>0</v>
      </c>
      <c r="AF46" s="727">
        <v>0</v>
      </c>
      <c r="AG46" s="17"/>
      <c r="AH46" s="17"/>
      <c r="AI46" s="17"/>
      <c r="AJ46" s="17"/>
      <c r="AK46" s="17"/>
      <c r="AL46"/>
      <c r="AM46"/>
      <c r="AN46"/>
      <c r="AO46"/>
      <c r="AP46"/>
    </row>
    <row r="47" spans="1:42" s="7" customFormat="1" ht="21.9" customHeight="1" x14ac:dyDescent="0.25">
      <c r="B47" s="196"/>
      <c r="C47" s="225"/>
      <c r="D47" s="114" t="s">
        <v>33</v>
      </c>
      <c r="E47" s="552" cm="1">
        <f t="array" ref="E47:AF47">F15 * $F$28 * (1 + $M$11) ^ (year - baseYear)</f>
        <v>0.16666666666666669</v>
      </c>
      <c r="F47" s="552">
        <v>0.2</v>
      </c>
      <c r="G47" s="552">
        <v>0.24</v>
      </c>
      <c r="H47" s="552">
        <v>0.28799999999999998</v>
      </c>
      <c r="I47" s="552">
        <v>0.34560000000000002</v>
      </c>
      <c r="J47" s="552">
        <v>0.41471999999999998</v>
      </c>
      <c r="K47" s="552">
        <v>0.497664</v>
      </c>
      <c r="L47" s="552">
        <v>0.59719679999999997</v>
      </c>
      <c r="M47" s="552">
        <v>0.71663615999999997</v>
      </c>
      <c r="N47" s="552">
        <v>0.85996339199999994</v>
      </c>
      <c r="O47" s="552">
        <v>1.0319560703999999</v>
      </c>
      <c r="P47" s="552">
        <v>1.2383472844799999</v>
      </c>
      <c r="Q47" s="552">
        <v>1.4860167413759999</v>
      </c>
      <c r="R47" s="552">
        <v>1.7832200896511996</v>
      </c>
      <c r="S47" s="552">
        <v>2.1398641075814395</v>
      </c>
      <c r="T47" s="552">
        <v>2.5678369290977274</v>
      </c>
      <c r="U47" s="552">
        <v>3.0814043149172732</v>
      </c>
      <c r="V47" s="552">
        <v>3.6976851779007269</v>
      </c>
      <c r="W47" s="552">
        <v>4.4372222134808723</v>
      </c>
      <c r="X47" s="552">
        <v>5.3246666561770475</v>
      </c>
      <c r="Y47" s="552">
        <v>6.3895999874124563</v>
      </c>
      <c r="Z47" s="552">
        <v>7.6675199848949482</v>
      </c>
      <c r="AA47" s="552">
        <v>9.2010239818739361</v>
      </c>
      <c r="AB47" s="552">
        <v>11.041228778248723</v>
      </c>
      <c r="AC47" s="552">
        <v>13.249474533898468</v>
      </c>
      <c r="AD47" s="552">
        <v>15.899369440678161</v>
      </c>
      <c r="AE47" s="552">
        <v>19.079243328813796</v>
      </c>
      <c r="AF47" s="727">
        <v>22.895091994576553</v>
      </c>
      <c r="AG47" s="17"/>
      <c r="AH47" s="17"/>
      <c r="AI47" s="17"/>
      <c r="AJ47" s="17"/>
      <c r="AK47" s="17"/>
      <c r="AL47"/>
      <c r="AM47"/>
      <c r="AN47"/>
      <c r="AO47"/>
      <c r="AP47"/>
    </row>
    <row r="48" spans="1:42" s="7" customFormat="1" ht="21.9" customHeight="1" x14ac:dyDescent="0.25">
      <c r="B48" s="196"/>
      <c r="C48" s="114"/>
      <c r="D48" s="122" t="s">
        <v>30</v>
      </c>
      <c r="E48" s="813" cm="1">
        <f t="array" ref="E48:AF48">F16 * $F$28 * (1 + $M$11) ^ (year - baseYear)</f>
        <v>0</v>
      </c>
      <c r="F48" s="813">
        <v>0</v>
      </c>
      <c r="G48" s="813">
        <v>0</v>
      </c>
      <c r="H48" s="813">
        <v>0</v>
      </c>
      <c r="I48" s="813">
        <v>0</v>
      </c>
      <c r="J48" s="813">
        <v>0</v>
      </c>
      <c r="K48" s="813">
        <v>0</v>
      </c>
      <c r="L48" s="813">
        <v>0</v>
      </c>
      <c r="M48" s="813">
        <v>0</v>
      </c>
      <c r="N48" s="813">
        <v>0</v>
      </c>
      <c r="O48" s="813">
        <v>0</v>
      </c>
      <c r="P48" s="813">
        <v>0</v>
      </c>
      <c r="Q48" s="813">
        <v>0</v>
      </c>
      <c r="R48" s="813">
        <v>0</v>
      </c>
      <c r="S48" s="813">
        <v>0</v>
      </c>
      <c r="T48" s="813">
        <v>0</v>
      </c>
      <c r="U48" s="813">
        <v>0</v>
      </c>
      <c r="V48" s="813">
        <v>0</v>
      </c>
      <c r="W48" s="813">
        <v>0</v>
      </c>
      <c r="X48" s="813">
        <v>0</v>
      </c>
      <c r="Y48" s="813">
        <v>0</v>
      </c>
      <c r="Z48" s="813">
        <v>0</v>
      </c>
      <c r="AA48" s="813">
        <v>0</v>
      </c>
      <c r="AB48" s="813">
        <v>0</v>
      </c>
      <c r="AC48" s="813">
        <v>0</v>
      </c>
      <c r="AD48" s="813">
        <v>0</v>
      </c>
      <c r="AE48" s="552">
        <v>0</v>
      </c>
      <c r="AF48" s="727">
        <v>0</v>
      </c>
      <c r="AG48" s="17"/>
      <c r="AH48" s="17"/>
      <c r="AI48" s="17"/>
      <c r="AJ48" s="17"/>
      <c r="AK48" s="17"/>
      <c r="AL48"/>
      <c r="AM48"/>
      <c r="AN48"/>
      <c r="AO48"/>
      <c r="AP48"/>
    </row>
    <row r="49" spans="2:42" s="7" customFormat="1" ht="21.9" customHeight="1" x14ac:dyDescent="0.25">
      <c r="B49" s="196"/>
      <c r="C49" s="225"/>
      <c r="D49" s="695" t="s">
        <v>25</v>
      </c>
      <c r="E49" s="814">
        <f>E46 + E47 + E48</f>
        <v>0.16666666666666669</v>
      </c>
      <c r="F49" s="814">
        <f>F46 + F47 + F48</f>
        <v>0.2</v>
      </c>
      <c r="G49" s="814">
        <f t="shared" ref="G49" si="25">G46 + G47 + G48</f>
        <v>0.24</v>
      </c>
      <c r="H49" s="814">
        <f t="shared" ref="H49" si="26">H46 + H47 + H48</f>
        <v>0.28799999999999998</v>
      </c>
      <c r="I49" s="814">
        <f t="shared" ref="I49" si="27">I46 + I47 + I48</f>
        <v>0.34560000000000002</v>
      </c>
      <c r="J49" s="814">
        <f t="shared" ref="J49" si="28">J46 + J47 + J48</f>
        <v>0.41471999999999998</v>
      </c>
      <c r="K49" s="814">
        <f t="shared" ref="K49" si="29">K46 + K47 + K48</f>
        <v>0.497664</v>
      </c>
      <c r="L49" s="814">
        <f t="shared" ref="L49" si="30">L46 + L47 + L48</f>
        <v>0.59719679999999997</v>
      </c>
      <c r="M49" s="814">
        <f t="shared" ref="M49" si="31">M46 + M47 + M48</f>
        <v>0.71663615999999997</v>
      </c>
      <c r="N49" s="814">
        <f t="shared" ref="N49" si="32">N46 + N47 + N48</f>
        <v>0.85996339199999994</v>
      </c>
      <c r="O49" s="814">
        <f t="shared" ref="O49" si="33">O46 + O47 + O48</f>
        <v>1.0319560703999999</v>
      </c>
      <c r="P49" s="814">
        <f t="shared" ref="P49" si="34">P46 + P47 + P48</f>
        <v>1.2383472844799999</v>
      </c>
      <c r="Q49" s="814">
        <f t="shared" ref="Q49" si="35">Q46 + Q47 + Q48</f>
        <v>1.4860167413759999</v>
      </c>
      <c r="R49" s="814">
        <f t="shared" ref="R49" si="36">R46 + R47 + R48</f>
        <v>1.7832200896511996</v>
      </c>
      <c r="S49" s="814">
        <f t="shared" ref="S49" si="37">S46 + S47 + S48</f>
        <v>2.1398641075814395</v>
      </c>
      <c r="T49" s="814">
        <f t="shared" ref="T49" si="38">T46 + T47 + T48</f>
        <v>2.5678369290977274</v>
      </c>
      <c r="U49" s="814">
        <f t="shared" ref="U49" si="39">U46 + U47 + U48</f>
        <v>3.0814043149172732</v>
      </c>
      <c r="V49" s="814">
        <f t="shared" ref="V49" si="40">V46 + V47 + V48</f>
        <v>3.6976851779007269</v>
      </c>
      <c r="W49" s="814">
        <f t="shared" ref="W49" si="41">W46 + W47 + W48</f>
        <v>4.4372222134808723</v>
      </c>
      <c r="X49" s="814">
        <f t="shared" ref="X49" si="42">X46 + X47 + X48</f>
        <v>5.3246666561770475</v>
      </c>
      <c r="Y49" s="814">
        <f t="shared" ref="Y49" si="43">Y46 + Y47 + Y48</f>
        <v>6.3895999874124563</v>
      </c>
      <c r="Z49" s="814">
        <f t="shared" ref="Z49" si="44">Z46 + Z47 + Z48</f>
        <v>7.6675199848949482</v>
      </c>
      <c r="AA49" s="814">
        <f t="shared" ref="AA49" si="45">AA46 + AA47 + AA48</f>
        <v>9.2010239818739361</v>
      </c>
      <c r="AB49" s="814">
        <f t="shared" ref="AB49" si="46">AB46 + AB47 + AB48</f>
        <v>11.041228778248723</v>
      </c>
      <c r="AC49" s="814">
        <f t="shared" ref="AC49" si="47">AC46 + AC47 + AC48</f>
        <v>13.249474533898468</v>
      </c>
      <c r="AD49" s="814">
        <f t="shared" ref="AD49:AF49" si="48">AD46 + AD47 + AD48</f>
        <v>15.899369440678161</v>
      </c>
      <c r="AE49" s="815">
        <f t="shared" si="48"/>
        <v>19.079243328813796</v>
      </c>
      <c r="AF49" s="816">
        <f t="shared" si="48"/>
        <v>22.895091994576553</v>
      </c>
      <c r="AG49" s="17"/>
      <c r="AH49" s="17"/>
      <c r="AI49" s="17"/>
      <c r="AJ49" s="17"/>
      <c r="AK49" s="17"/>
      <c r="AL49"/>
      <c r="AM49"/>
      <c r="AN49"/>
      <c r="AO49"/>
      <c r="AP49"/>
    </row>
    <row r="50" spans="2:42" s="7" customFormat="1" ht="21.9" customHeight="1" x14ac:dyDescent="0.25">
      <c r="B50" s="196"/>
      <c r="C50" s="226" t="str">
        <f>C17</f>
        <v>Williams St</v>
      </c>
      <c r="D50" s="114" t="s">
        <v>32</v>
      </c>
      <c r="E50" s="552" cm="1">
        <f t="array" ref="E50:AF50">F17 * $F$29 * (1 + $M$12) ^ (year - baseYear)</f>
        <v>0</v>
      </c>
      <c r="F50" s="552">
        <v>0</v>
      </c>
      <c r="G50" s="552">
        <v>0</v>
      </c>
      <c r="H50" s="552">
        <v>0</v>
      </c>
      <c r="I50" s="552">
        <v>0</v>
      </c>
      <c r="J50" s="552">
        <v>0</v>
      </c>
      <c r="K50" s="552">
        <v>0</v>
      </c>
      <c r="L50" s="552">
        <v>0</v>
      </c>
      <c r="M50" s="552">
        <v>0</v>
      </c>
      <c r="N50" s="552">
        <v>0</v>
      </c>
      <c r="O50" s="552">
        <v>0</v>
      </c>
      <c r="P50" s="552">
        <v>0</v>
      </c>
      <c r="Q50" s="552">
        <v>0</v>
      </c>
      <c r="R50" s="552">
        <v>0</v>
      </c>
      <c r="S50" s="552">
        <v>0</v>
      </c>
      <c r="T50" s="552">
        <v>0</v>
      </c>
      <c r="U50" s="552">
        <v>0</v>
      </c>
      <c r="V50" s="552">
        <v>0</v>
      </c>
      <c r="W50" s="552">
        <v>0</v>
      </c>
      <c r="X50" s="552">
        <v>0</v>
      </c>
      <c r="Y50" s="552">
        <v>0</v>
      </c>
      <c r="Z50" s="552">
        <v>0</v>
      </c>
      <c r="AA50" s="552">
        <v>0</v>
      </c>
      <c r="AB50" s="552">
        <v>0</v>
      </c>
      <c r="AC50" s="552">
        <v>0</v>
      </c>
      <c r="AD50" s="552">
        <v>0</v>
      </c>
      <c r="AE50" s="552">
        <v>0</v>
      </c>
      <c r="AF50" s="727">
        <v>0</v>
      </c>
      <c r="AG50" s="17"/>
      <c r="AH50" s="17"/>
      <c r="AI50" s="17"/>
      <c r="AJ50" s="17"/>
      <c r="AK50" s="17"/>
      <c r="AL50"/>
      <c r="AM50"/>
      <c r="AN50"/>
      <c r="AO50"/>
      <c r="AP50"/>
    </row>
    <row r="51" spans="2:42" s="7" customFormat="1" ht="21.9" customHeight="1" x14ac:dyDescent="0.25">
      <c r="B51" s="196"/>
      <c r="C51" s="225"/>
      <c r="D51" s="114" t="s">
        <v>33</v>
      </c>
      <c r="E51" s="552" cm="1">
        <f t="array" ref="E51:AF51">F18 * $F$29 * (1 + $M$12) ^ (year - baseYear)</f>
        <v>0</v>
      </c>
      <c r="F51" s="552">
        <v>0</v>
      </c>
      <c r="G51" s="552">
        <v>0</v>
      </c>
      <c r="H51" s="552">
        <v>0</v>
      </c>
      <c r="I51" s="552">
        <v>0</v>
      </c>
      <c r="J51" s="552">
        <v>0</v>
      </c>
      <c r="K51" s="552">
        <v>0</v>
      </c>
      <c r="L51" s="552">
        <v>0</v>
      </c>
      <c r="M51" s="552">
        <v>0</v>
      </c>
      <c r="N51" s="552">
        <v>0</v>
      </c>
      <c r="O51" s="552">
        <v>0</v>
      </c>
      <c r="P51" s="552">
        <v>0</v>
      </c>
      <c r="Q51" s="552">
        <v>0</v>
      </c>
      <c r="R51" s="552">
        <v>0</v>
      </c>
      <c r="S51" s="552">
        <v>0</v>
      </c>
      <c r="T51" s="552">
        <v>0</v>
      </c>
      <c r="U51" s="552">
        <v>0</v>
      </c>
      <c r="V51" s="552">
        <v>0</v>
      </c>
      <c r="W51" s="552">
        <v>0</v>
      </c>
      <c r="X51" s="552">
        <v>0</v>
      </c>
      <c r="Y51" s="552">
        <v>0</v>
      </c>
      <c r="Z51" s="552">
        <v>0</v>
      </c>
      <c r="AA51" s="552">
        <v>0</v>
      </c>
      <c r="AB51" s="552">
        <v>0</v>
      </c>
      <c r="AC51" s="552">
        <v>0</v>
      </c>
      <c r="AD51" s="552">
        <v>0</v>
      </c>
      <c r="AE51" s="552">
        <v>0</v>
      </c>
      <c r="AF51" s="727">
        <v>0</v>
      </c>
      <c r="AG51" s="17"/>
      <c r="AH51" s="17"/>
      <c r="AI51" s="17"/>
      <c r="AJ51" s="17"/>
      <c r="AK51" s="17"/>
      <c r="AL51"/>
      <c r="AM51"/>
      <c r="AN51"/>
      <c r="AO51"/>
      <c r="AP51"/>
    </row>
    <row r="52" spans="2:42" s="7" customFormat="1" ht="21.9" customHeight="1" x14ac:dyDescent="0.25">
      <c r="B52" s="196"/>
      <c r="C52" s="114"/>
      <c r="D52" s="122" t="s">
        <v>30</v>
      </c>
      <c r="E52" s="813" cm="1">
        <f t="array" ref="E52:AF52">F19 * $F$29 * (1 + $M$12) ^ (year - baseYear)</f>
        <v>0</v>
      </c>
      <c r="F52" s="813">
        <v>0</v>
      </c>
      <c r="G52" s="813">
        <v>0</v>
      </c>
      <c r="H52" s="813">
        <v>0</v>
      </c>
      <c r="I52" s="813">
        <v>0</v>
      </c>
      <c r="J52" s="813">
        <v>0</v>
      </c>
      <c r="K52" s="813">
        <v>0</v>
      </c>
      <c r="L52" s="813">
        <v>0</v>
      </c>
      <c r="M52" s="813">
        <v>0</v>
      </c>
      <c r="N52" s="813">
        <v>0</v>
      </c>
      <c r="O52" s="813">
        <v>0</v>
      </c>
      <c r="P52" s="813">
        <v>0</v>
      </c>
      <c r="Q52" s="813">
        <v>0</v>
      </c>
      <c r="R52" s="813">
        <v>0</v>
      </c>
      <c r="S52" s="813">
        <v>0</v>
      </c>
      <c r="T52" s="813">
        <v>0</v>
      </c>
      <c r="U52" s="813">
        <v>0</v>
      </c>
      <c r="V52" s="813">
        <v>0</v>
      </c>
      <c r="W52" s="813">
        <v>0</v>
      </c>
      <c r="X52" s="813">
        <v>0</v>
      </c>
      <c r="Y52" s="813">
        <v>0</v>
      </c>
      <c r="Z52" s="813">
        <v>0</v>
      </c>
      <c r="AA52" s="813">
        <v>0</v>
      </c>
      <c r="AB52" s="813">
        <v>0</v>
      </c>
      <c r="AC52" s="813">
        <v>0</v>
      </c>
      <c r="AD52" s="813">
        <v>0</v>
      </c>
      <c r="AE52" s="552">
        <v>0</v>
      </c>
      <c r="AF52" s="727">
        <v>0</v>
      </c>
      <c r="AG52" s="17"/>
      <c r="AH52" s="17"/>
      <c r="AI52" s="17"/>
      <c r="AJ52" s="17"/>
      <c r="AK52" s="17"/>
      <c r="AL52"/>
      <c r="AM52"/>
      <c r="AN52"/>
      <c r="AO52"/>
      <c r="AP52"/>
    </row>
    <row r="53" spans="2:42" s="7" customFormat="1" ht="21.9" customHeight="1" x14ac:dyDescent="0.25">
      <c r="B53" s="196"/>
      <c r="C53" s="114"/>
      <c r="D53" s="695" t="s">
        <v>25</v>
      </c>
      <c r="E53" s="814">
        <f>E50 + E51 + E52</f>
        <v>0</v>
      </c>
      <c r="F53" s="814">
        <f t="shared" ref="F53:AF53" si="49">F50 + F51 + F52</f>
        <v>0</v>
      </c>
      <c r="G53" s="814">
        <f t="shared" si="49"/>
        <v>0</v>
      </c>
      <c r="H53" s="814">
        <f t="shared" si="49"/>
        <v>0</v>
      </c>
      <c r="I53" s="814">
        <f t="shared" si="49"/>
        <v>0</v>
      </c>
      <c r="J53" s="814">
        <f t="shared" si="49"/>
        <v>0</v>
      </c>
      <c r="K53" s="814">
        <f t="shared" si="49"/>
        <v>0</v>
      </c>
      <c r="L53" s="814">
        <f t="shared" si="49"/>
        <v>0</v>
      </c>
      <c r="M53" s="814">
        <f t="shared" si="49"/>
        <v>0</v>
      </c>
      <c r="N53" s="814">
        <f t="shared" si="49"/>
        <v>0</v>
      </c>
      <c r="O53" s="814">
        <f t="shared" si="49"/>
        <v>0</v>
      </c>
      <c r="P53" s="814">
        <f t="shared" si="49"/>
        <v>0</v>
      </c>
      <c r="Q53" s="814">
        <f t="shared" si="49"/>
        <v>0</v>
      </c>
      <c r="R53" s="814">
        <f t="shared" si="49"/>
        <v>0</v>
      </c>
      <c r="S53" s="814">
        <f t="shared" si="49"/>
        <v>0</v>
      </c>
      <c r="T53" s="814">
        <f t="shared" si="49"/>
        <v>0</v>
      </c>
      <c r="U53" s="814">
        <f t="shared" si="49"/>
        <v>0</v>
      </c>
      <c r="V53" s="814">
        <f t="shared" si="49"/>
        <v>0</v>
      </c>
      <c r="W53" s="814">
        <f t="shared" si="49"/>
        <v>0</v>
      </c>
      <c r="X53" s="814">
        <f t="shared" si="49"/>
        <v>0</v>
      </c>
      <c r="Y53" s="814">
        <f t="shared" si="49"/>
        <v>0</v>
      </c>
      <c r="Z53" s="814">
        <f t="shared" si="49"/>
        <v>0</v>
      </c>
      <c r="AA53" s="814">
        <f t="shared" si="49"/>
        <v>0</v>
      </c>
      <c r="AB53" s="814">
        <f t="shared" si="49"/>
        <v>0</v>
      </c>
      <c r="AC53" s="814">
        <f t="shared" si="49"/>
        <v>0</v>
      </c>
      <c r="AD53" s="814">
        <f t="shared" si="49"/>
        <v>0</v>
      </c>
      <c r="AE53" s="815">
        <f t="shared" si="49"/>
        <v>0</v>
      </c>
      <c r="AF53" s="816">
        <f t="shared" si="49"/>
        <v>0</v>
      </c>
      <c r="AG53" s="17"/>
      <c r="AH53" s="17"/>
      <c r="AI53" s="17"/>
      <c r="AJ53" s="17"/>
      <c r="AK53" s="17"/>
      <c r="AL53"/>
      <c r="AM53"/>
      <c r="AN53"/>
      <c r="AO53"/>
      <c r="AP53"/>
    </row>
    <row r="54" spans="2:42" s="7" customFormat="1" ht="21.9" customHeight="1" x14ac:dyDescent="0.25">
      <c r="B54" s="196"/>
      <c r="C54" s="217" t="str">
        <f>C20</f>
        <v>SH-412B North</v>
      </c>
      <c r="D54" s="114" t="s">
        <v>32</v>
      </c>
      <c r="E54" s="552" cm="1">
        <f t="array" ref="E54:AF54">F20 * $F$30 * (1 + $M$13) ^ (year - baseYear)</f>
        <v>0</v>
      </c>
      <c r="F54" s="552">
        <v>0</v>
      </c>
      <c r="G54" s="552">
        <v>0</v>
      </c>
      <c r="H54" s="552">
        <v>0</v>
      </c>
      <c r="I54" s="552">
        <v>0</v>
      </c>
      <c r="J54" s="552">
        <v>0</v>
      </c>
      <c r="K54" s="552">
        <v>0</v>
      </c>
      <c r="L54" s="552">
        <v>0</v>
      </c>
      <c r="M54" s="552">
        <v>0</v>
      </c>
      <c r="N54" s="552">
        <v>0</v>
      </c>
      <c r="O54" s="552">
        <v>0</v>
      </c>
      <c r="P54" s="552">
        <v>0</v>
      </c>
      <c r="Q54" s="552">
        <v>0</v>
      </c>
      <c r="R54" s="552">
        <v>0</v>
      </c>
      <c r="S54" s="552">
        <v>0</v>
      </c>
      <c r="T54" s="552">
        <v>0</v>
      </c>
      <c r="U54" s="552">
        <v>0</v>
      </c>
      <c r="V54" s="552">
        <v>0</v>
      </c>
      <c r="W54" s="552">
        <v>0</v>
      </c>
      <c r="X54" s="552">
        <v>0</v>
      </c>
      <c r="Y54" s="552">
        <v>0</v>
      </c>
      <c r="Z54" s="552">
        <v>0</v>
      </c>
      <c r="AA54" s="552">
        <v>0</v>
      </c>
      <c r="AB54" s="552">
        <v>0</v>
      </c>
      <c r="AC54" s="552">
        <v>0</v>
      </c>
      <c r="AD54" s="552">
        <v>0</v>
      </c>
      <c r="AE54" s="552">
        <v>0</v>
      </c>
      <c r="AF54" s="727">
        <v>0</v>
      </c>
      <c r="AG54" s="17"/>
      <c r="AH54" s="17"/>
      <c r="AI54" s="17"/>
      <c r="AJ54" s="17"/>
      <c r="AK54" s="17"/>
      <c r="AL54"/>
      <c r="AM54"/>
      <c r="AN54"/>
      <c r="AO54"/>
      <c r="AP54"/>
    </row>
    <row r="55" spans="2:42" s="7" customFormat="1" ht="21.9" customHeight="1" x14ac:dyDescent="0.25">
      <c r="B55" s="196"/>
      <c r="C55" s="114" t="str">
        <f>C21</f>
        <v>(Improvements)</v>
      </c>
      <c r="D55" s="114" t="s">
        <v>33</v>
      </c>
      <c r="E55" s="552" cm="1">
        <f t="array" ref="E55:AF55">F21 * $F$30 * (1 + $M$13) ^ (year - baseYear)</f>
        <v>1.7592006192386178</v>
      </c>
      <c r="F55" s="552">
        <v>2.1999999999999997</v>
      </c>
      <c r="G55" s="552">
        <v>2.7512495999999995</v>
      </c>
      <c r="H55" s="552">
        <v>3.4406247097727989</v>
      </c>
      <c r="I55" s="552">
        <v>4.3027351620511487</v>
      </c>
      <c r="J55" s="552">
        <v>5.3808629061359818</v>
      </c>
      <c r="K55" s="552">
        <v>6.7291349628006616</v>
      </c>
      <c r="L55" s="552">
        <v>8.4152408521596964</v>
      </c>
      <c r="M55" s="552">
        <v>10.523830922003647</v>
      </c>
      <c r="N55" s="552">
        <v>13.160766188468257</v>
      </c>
      <c r="O55" s="552">
        <v>16.458433050780368</v>
      </c>
      <c r="P55" s="552">
        <v>20.5823897034483</v>
      </c>
      <c r="Q55" s="552">
        <v>25.739677926661933</v>
      </c>
      <c r="R55" s="552">
        <v>32.189217545389759</v>
      </c>
      <c r="S55" s="552">
        <v>40.254805407302975</v>
      </c>
      <c r="T55" s="552">
        <v>50.341371488600068</v>
      </c>
      <c r="U55" s="552">
        <v>62.955308259755604</v>
      </c>
      <c r="V55" s="552">
        <v>78.729893939786052</v>
      </c>
      <c r="W55" s="552">
        <v>98.45708600449035</v>
      </c>
      <c r="X55" s="552">
        <v>123.12728113046347</v>
      </c>
      <c r="Y55" s="552">
        <v>153.97903770876144</v>
      </c>
      <c r="Z55" s="552">
        <v>192.56125722937037</v>
      </c>
      <c r="AA55" s="552">
        <v>240.81094633081923</v>
      </c>
      <c r="AB55" s="552">
        <v>301.15046353103992</v>
      </c>
      <c r="AC55" s="552">
        <v>376.60913287708547</v>
      </c>
      <c r="AD55" s="552">
        <v>470.97533008383107</v>
      </c>
      <c r="AE55" s="552">
        <v>588.98667659227635</v>
      </c>
      <c r="AF55" s="727">
        <v>736.56789017264975</v>
      </c>
      <c r="AG55" s="17"/>
      <c r="AH55" s="17"/>
      <c r="AI55" s="17"/>
      <c r="AJ55" s="17"/>
      <c r="AK55" s="17"/>
      <c r="AL55"/>
      <c r="AM55"/>
      <c r="AN55"/>
      <c r="AO55"/>
      <c r="AP55"/>
    </row>
    <row r="56" spans="2:42" s="7" customFormat="1" ht="21.9" customHeight="1" x14ac:dyDescent="0.25">
      <c r="B56" s="196"/>
      <c r="C56" s="114"/>
      <c r="D56" s="114" t="s">
        <v>30</v>
      </c>
      <c r="E56" s="552" cm="1">
        <f t="array" ref="E56:AF56">F22 * $F$30 * (1 + $M$13) ^ (year - baseYear)</f>
        <v>1.9191279482603105</v>
      </c>
      <c r="F56" s="552">
        <v>2.4</v>
      </c>
      <c r="G56" s="552">
        <v>3.0013631999999997</v>
      </c>
      <c r="H56" s="552">
        <v>3.7534087742975992</v>
      </c>
      <c r="I56" s="552">
        <v>4.6938929040557991</v>
      </c>
      <c r="J56" s="552">
        <v>5.8700322612392535</v>
      </c>
      <c r="K56" s="552">
        <v>7.3408745048734492</v>
      </c>
      <c r="L56" s="552">
        <v>9.1802627478105787</v>
      </c>
      <c r="M56" s="552">
        <v>11.48054282400398</v>
      </c>
      <c r="N56" s="552">
        <v>14.357199478329008</v>
      </c>
      <c r="O56" s="552">
        <v>17.95465423721495</v>
      </c>
      <c r="P56" s="552">
        <v>22.453516040125422</v>
      </c>
      <c r="Q56" s="552">
        <v>28.079648647267565</v>
      </c>
      <c r="R56" s="552">
        <v>35.115510049516104</v>
      </c>
      <c r="S56" s="552">
        <v>43.914333171603253</v>
      </c>
      <c r="T56" s="552">
        <v>54.917859805745536</v>
      </c>
      <c r="U56" s="552">
        <v>68.678518101551575</v>
      </c>
      <c r="V56" s="552">
        <v>85.887157025221157</v>
      </c>
      <c r="W56" s="552">
        <v>107.40773018671676</v>
      </c>
      <c r="X56" s="552">
        <v>134.32067032414199</v>
      </c>
      <c r="Y56" s="552">
        <v>167.97713204592156</v>
      </c>
      <c r="Z56" s="552">
        <v>210.06682606840405</v>
      </c>
      <c r="AA56" s="552">
        <v>262.70285054271193</v>
      </c>
      <c r="AB56" s="552">
        <v>328.52777839749808</v>
      </c>
      <c r="AC56" s="552">
        <v>410.84632677500235</v>
      </c>
      <c r="AD56" s="552">
        <v>513.79126918236113</v>
      </c>
      <c r="AE56" s="552">
        <v>642.53091991884696</v>
      </c>
      <c r="AF56" s="727">
        <v>803.52860746107251</v>
      </c>
      <c r="AG56" s="17"/>
      <c r="AH56" s="17"/>
      <c r="AI56" s="17"/>
      <c r="AJ56" s="17"/>
      <c r="AK56" s="17"/>
      <c r="AL56"/>
      <c r="AM56"/>
      <c r="AN56"/>
      <c r="AO56"/>
      <c r="AP56"/>
    </row>
    <row r="57" spans="2:42" s="7" customFormat="1" ht="21.9" customHeight="1" x14ac:dyDescent="0.25">
      <c r="B57" s="196"/>
      <c r="C57" s="114"/>
      <c r="D57" s="817" t="s">
        <v>25</v>
      </c>
      <c r="E57" s="815">
        <f>E54 + E55 + E56</f>
        <v>3.6783285674989283</v>
      </c>
      <c r="F57" s="815">
        <f t="shared" ref="F57:AF57" si="50">F54 + F55 + F56</f>
        <v>4.5999999999999996</v>
      </c>
      <c r="G57" s="815">
        <f t="shared" si="50"/>
        <v>5.7526127999999996</v>
      </c>
      <c r="H57" s="815">
        <f t="shared" si="50"/>
        <v>7.1940334840703981</v>
      </c>
      <c r="I57" s="815">
        <f t="shared" si="50"/>
        <v>8.9966280661069469</v>
      </c>
      <c r="J57" s="815">
        <f t="shared" si="50"/>
        <v>11.250895167375235</v>
      </c>
      <c r="K57" s="815">
        <f t="shared" si="50"/>
        <v>14.070009467674112</v>
      </c>
      <c r="L57" s="815">
        <f t="shared" si="50"/>
        <v>17.595503599970275</v>
      </c>
      <c r="M57" s="815">
        <f t="shared" si="50"/>
        <v>22.004373746007627</v>
      </c>
      <c r="N57" s="815">
        <f t="shared" si="50"/>
        <v>27.517965666797267</v>
      </c>
      <c r="O57" s="815">
        <f t="shared" si="50"/>
        <v>34.413087287995317</v>
      </c>
      <c r="P57" s="815">
        <f t="shared" si="50"/>
        <v>43.035905743573721</v>
      </c>
      <c r="Q57" s="815">
        <f t="shared" si="50"/>
        <v>53.819326573929501</v>
      </c>
      <c r="R57" s="815">
        <f t="shared" si="50"/>
        <v>67.30472759490587</v>
      </c>
      <c r="S57" s="815">
        <f t="shared" si="50"/>
        <v>84.169138578906228</v>
      </c>
      <c r="T57" s="815">
        <f t="shared" si="50"/>
        <v>105.2592312943456</v>
      </c>
      <c r="U57" s="815">
        <f t="shared" si="50"/>
        <v>131.63382636130717</v>
      </c>
      <c r="V57" s="815">
        <f t="shared" si="50"/>
        <v>164.61705096500719</v>
      </c>
      <c r="W57" s="815">
        <f t="shared" si="50"/>
        <v>205.86481619120713</v>
      </c>
      <c r="X57" s="815">
        <f t="shared" si="50"/>
        <v>257.44795145460546</v>
      </c>
      <c r="Y57" s="815">
        <f t="shared" si="50"/>
        <v>321.956169754683</v>
      </c>
      <c r="Z57" s="815">
        <f t="shared" si="50"/>
        <v>402.62808329777442</v>
      </c>
      <c r="AA57" s="815">
        <f t="shared" si="50"/>
        <v>503.51379687353119</v>
      </c>
      <c r="AB57" s="815">
        <f t="shared" si="50"/>
        <v>629.678241928538</v>
      </c>
      <c r="AC57" s="815">
        <f t="shared" si="50"/>
        <v>787.45545965208782</v>
      </c>
      <c r="AD57" s="815">
        <f t="shared" si="50"/>
        <v>984.7665992661922</v>
      </c>
      <c r="AE57" s="815">
        <f t="shared" si="50"/>
        <v>1231.5175965111234</v>
      </c>
      <c r="AF57" s="816">
        <f t="shared" si="50"/>
        <v>1540.0964976337223</v>
      </c>
      <c r="AG57" s="17"/>
      <c r="AH57" s="17"/>
      <c r="AI57" s="17"/>
      <c r="AJ57" s="17"/>
      <c r="AK57" s="17"/>
      <c r="AL57"/>
      <c r="AM57"/>
      <c r="AN57"/>
      <c r="AO57"/>
      <c r="AP57"/>
    </row>
    <row r="58" spans="2:42" s="7" customFormat="1" ht="21.9" customHeight="1" x14ac:dyDescent="0.25">
      <c r="B58" s="196"/>
      <c r="C58" s="217" t="str">
        <f>C23</f>
        <v>Zarrow St</v>
      </c>
      <c r="D58" s="114" t="s">
        <v>32</v>
      </c>
      <c r="E58" s="552" cm="1">
        <f t="array" ref="E58:AF58">F23 * $F$31 * (1 + $M$15) ^ (year - baseYear)</f>
        <v>0.18526775513531338</v>
      </c>
      <c r="F58" s="558">
        <v>0.2</v>
      </c>
      <c r="G58" s="558">
        <v>0.21590373333333335</v>
      </c>
      <c r="H58" s="558">
        <v>0.23307211033635561</v>
      </c>
      <c r="I58" s="558">
        <v>0.25160569378748882</v>
      </c>
      <c r="J58" s="558">
        <v>0.2716130430832116</v>
      </c>
      <c r="K58" s="558">
        <v>0.2932113501184645</v>
      </c>
      <c r="L58" s="558">
        <v>0.316527125731418</v>
      </c>
      <c r="M58" s="558">
        <v>0.34169694073341272</v>
      </c>
      <c r="N58" s="558">
        <v>0.36886822586461276</v>
      </c>
      <c r="O58" s="558">
        <v>0.39820013536106569</v>
      </c>
      <c r="P58" s="558">
        <v>0.42986447919146387</v>
      </c>
      <c r="Q58" s="558">
        <v>0.46404672942413017</v>
      </c>
      <c r="R58" s="558">
        <v>0.50094710661896447</v>
      </c>
      <c r="S58" s="558">
        <v>0.54078175260782901</v>
      </c>
      <c r="T58" s="558">
        <v>0.58378399653286683</v>
      </c>
      <c r="U58" s="558">
        <v>0.63020572155849841</v>
      </c>
      <c r="V58" s="558">
        <v>0.68031884026253486</v>
      </c>
      <c r="W58" s="558">
        <v>0.7344168873484247</v>
      </c>
      <c r="X58" s="558">
        <v>0.7928167390078551</v>
      </c>
      <c r="Y58" s="558">
        <v>0.85586046900477442</v>
      </c>
      <c r="Z58" s="558">
        <v>0.92391735235274219</v>
      </c>
      <c r="AA58" s="558">
        <v>0.99738602832202905</v>
      </c>
      <c r="AB58" s="558">
        <v>1.0766968354461592</v>
      </c>
      <c r="AC58" s="558">
        <v>1.1623143322050573</v>
      </c>
      <c r="AD58" s="558">
        <v>1.2547400181495607</v>
      </c>
      <c r="AE58" s="552">
        <v>1.354515271406123</v>
      </c>
      <c r="AF58" s="727">
        <v>1.4622245197679762</v>
      </c>
      <c r="AG58" s="17"/>
      <c r="AH58" s="17"/>
      <c r="AI58" s="17"/>
      <c r="AJ58" s="17"/>
      <c r="AK58" s="17"/>
      <c r="AL58"/>
      <c r="AM58"/>
      <c r="AN58"/>
      <c r="AO58"/>
      <c r="AP58"/>
    </row>
    <row r="59" spans="2:42" s="7" customFormat="1" ht="21.9" customHeight="1" x14ac:dyDescent="0.25">
      <c r="B59" s="196"/>
      <c r="C59" s="114"/>
      <c r="D59" s="114" t="s">
        <v>33</v>
      </c>
      <c r="E59" s="552" cm="1">
        <f t="array" ref="E59:AF59">F24 * $F$31 * (1 + $M$15) ^ (year - baseYear)</f>
        <v>0.55580326540594005</v>
      </c>
      <c r="F59" s="552">
        <v>0.6</v>
      </c>
      <c r="G59" s="552">
        <v>0.64771120000000004</v>
      </c>
      <c r="H59" s="552">
        <v>0.69921633100906677</v>
      </c>
      <c r="I59" s="552">
        <v>0.7548170813624665</v>
      </c>
      <c r="J59" s="552">
        <v>0.81483912924963475</v>
      </c>
      <c r="K59" s="552">
        <v>0.87963405035539333</v>
      </c>
      <c r="L59" s="552">
        <v>0.94958137719425395</v>
      </c>
      <c r="M59" s="552">
        <v>1.0250908222002382</v>
      </c>
      <c r="N59" s="552">
        <v>1.1066046775938383</v>
      </c>
      <c r="O59" s="552">
        <v>1.194600406083197</v>
      </c>
      <c r="P59" s="552">
        <v>1.2895934375743914</v>
      </c>
      <c r="Q59" s="552">
        <v>1.3921401882723905</v>
      </c>
      <c r="R59" s="552">
        <v>1.5028413198568933</v>
      </c>
      <c r="S59" s="552">
        <v>1.6223452578234869</v>
      </c>
      <c r="T59" s="552">
        <v>1.7513519895986005</v>
      </c>
      <c r="U59" s="552">
        <v>1.8906171646754952</v>
      </c>
      <c r="V59" s="552">
        <v>2.0409565207876046</v>
      </c>
      <c r="W59" s="552">
        <v>2.2032506620452739</v>
      </c>
      <c r="X59" s="552">
        <v>2.3784502170235648</v>
      </c>
      <c r="Y59" s="552">
        <v>2.5675814070143232</v>
      </c>
      <c r="Z59" s="552">
        <v>2.7717520570582264</v>
      </c>
      <c r="AA59" s="552">
        <v>2.9921580849660869</v>
      </c>
      <c r="AB59" s="552">
        <v>3.2300905063384779</v>
      </c>
      <c r="AC59" s="552">
        <v>3.4869429966151722</v>
      </c>
      <c r="AD59" s="552">
        <v>3.7642200544486815</v>
      </c>
      <c r="AE59" s="552">
        <v>4.0635458142183687</v>
      </c>
      <c r="AF59" s="727">
        <v>4.3866735593039277</v>
      </c>
      <c r="AG59" s="17"/>
      <c r="AH59" s="17"/>
      <c r="AI59" s="17"/>
      <c r="AJ59" s="17"/>
      <c r="AK59" s="17"/>
      <c r="AL59"/>
      <c r="AM59"/>
      <c r="AN59"/>
      <c r="AO59"/>
      <c r="AP59"/>
    </row>
    <row r="60" spans="2:42" s="7" customFormat="1" ht="21.9" customHeight="1" x14ac:dyDescent="0.25">
      <c r="B60" s="196"/>
      <c r="C60" s="114"/>
      <c r="D60" s="114" t="s">
        <v>30</v>
      </c>
      <c r="E60" s="552" cm="1">
        <f t="array" ref="E60:AF60">F25 * $F$31 * (1 + $M$15) ^ (year - baseYear)</f>
        <v>0.18526775513531338</v>
      </c>
      <c r="F60" s="552">
        <v>0.2</v>
      </c>
      <c r="G60" s="552">
        <v>0.21590373333333335</v>
      </c>
      <c r="H60" s="552">
        <v>0.23307211033635561</v>
      </c>
      <c r="I60" s="552">
        <v>0.25160569378748882</v>
      </c>
      <c r="J60" s="552">
        <v>0.2716130430832116</v>
      </c>
      <c r="K60" s="552">
        <v>0.2932113501184645</v>
      </c>
      <c r="L60" s="552">
        <v>0.316527125731418</v>
      </c>
      <c r="M60" s="552">
        <v>0.34169694073341272</v>
      </c>
      <c r="N60" s="552">
        <v>0.36886822586461276</v>
      </c>
      <c r="O60" s="552">
        <v>0.39820013536106569</v>
      </c>
      <c r="P60" s="552">
        <v>0.42986447919146387</v>
      </c>
      <c r="Q60" s="552">
        <v>0.46404672942413017</v>
      </c>
      <c r="R60" s="552">
        <v>0.50094710661896447</v>
      </c>
      <c r="S60" s="552">
        <v>0.54078175260782901</v>
      </c>
      <c r="T60" s="552">
        <v>0.58378399653286683</v>
      </c>
      <c r="U60" s="552">
        <v>0.63020572155849841</v>
      </c>
      <c r="V60" s="552">
        <v>0.68031884026253486</v>
      </c>
      <c r="W60" s="552">
        <v>0.7344168873484247</v>
      </c>
      <c r="X60" s="552">
        <v>0.7928167390078551</v>
      </c>
      <c r="Y60" s="552">
        <v>0.85586046900477442</v>
      </c>
      <c r="Z60" s="552">
        <v>0.92391735235274219</v>
      </c>
      <c r="AA60" s="552">
        <v>0.99738602832202905</v>
      </c>
      <c r="AB60" s="552">
        <v>1.0766968354461592</v>
      </c>
      <c r="AC60" s="552">
        <v>1.1623143322050573</v>
      </c>
      <c r="AD60" s="552">
        <v>1.2547400181495607</v>
      </c>
      <c r="AE60" s="552">
        <v>1.354515271406123</v>
      </c>
      <c r="AF60" s="727">
        <v>1.4622245197679762</v>
      </c>
      <c r="AG60" s="17"/>
      <c r="AH60" s="17"/>
      <c r="AI60" s="17"/>
      <c r="AJ60" s="17"/>
      <c r="AK60" s="17"/>
      <c r="AL60"/>
      <c r="AM60"/>
      <c r="AN60"/>
      <c r="AO60"/>
      <c r="AP60"/>
    </row>
    <row r="61" spans="2:42" s="7" customFormat="1" ht="21.9" customHeight="1" x14ac:dyDescent="0.25">
      <c r="B61" s="196"/>
      <c r="C61" s="114"/>
      <c r="D61" s="817" t="s">
        <v>25</v>
      </c>
      <c r="E61" s="815">
        <f t="shared" ref="E61:AF61" si="51">E58 + E59 + E60</f>
        <v>0.92633877567656675</v>
      </c>
      <c r="F61" s="815">
        <f t="shared" si="51"/>
        <v>1</v>
      </c>
      <c r="G61" s="815">
        <f t="shared" si="51"/>
        <v>1.0795186666666667</v>
      </c>
      <c r="H61" s="815">
        <f t="shared" si="51"/>
        <v>1.165360551681778</v>
      </c>
      <c r="I61" s="815">
        <f t="shared" si="51"/>
        <v>1.2580284689374441</v>
      </c>
      <c r="J61" s="815">
        <f t="shared" si="51"/>
        <v>1.358065215416058</v>
      </c>
      <c r="K61" s="815">
        <f t="shared" si="51"/>
        <v>1.4660567505923223</v>
      </c>
      <c r="L61" s="815">
        <f t="shared" si="51"/>
        <v>1.58263562865709</v>
      </c>
      <c r="M61" s="815">
        <f t="shared" si="51"/>
        <v>1.7084847036670636</v>
      </c>
      <c r="N61" s="815">
        <f t="shared" si="51"/>
        <v>1.8443411293230638</v>
      </c>
      <c r="O61" s="815">
        <f t="shared" si="51"/>
        <v>1.9910006768053283</v>
      </c>
      <c r="P61" s="815">
        <f t="shared" si="51"/>
        <v>2.1493223959573191</v>
      </c>
      <c r="Q61" s="815">
        <f t="shared" si="51"/>
        <v>2.3202336471206508</v>
      </c>
      <c r="R61" s="815">
        <f t="shared" si="51"/>
        <v>2.5047355330948222</v>
      </c>
      <c r="S61" s="815">
        <f t="shared" si="51"/>
        <v>2.703908763039145</v>
      </c>
      <c r="T61" s="815">
        <f t="shared" si="51"/>
        <v>2.9189199826643342</v>
      </c>
      <c r="U61" s="815">
        <f t="shared" si="51"/>
        <v>3.1510286077924921</v>
      </c>
      <c r="V61" s="815">
        <f t="shared" si="51"/>
        <v>3.4015942013126743</v>
      </c>
      <c r="W61" s="815">
        <f t="shared" si="51"/>
        <v>3.6720844367421233</v>
      </c>
      <c r="X61" s="815">
        <f t="shared" si="51"/>
        <v>3.964083695039275</v>
      </c>
      <c r="Y61" s="815">
        <f t="shared" si="51"/>
        <v>4.2793023450238721</v>
      </c>
      <c r="Z61" s="815">
        <f t="shared" si="51"/>
        <v>4.6195867617637107</v>
      </c>
      <c r="AA61" s="815">
        <f t="shared" si="51"/>
        <v>4.986930141610145</v>
      </c>
      <c r="AB61" s="815">
        <f t="shared" si="51"/>
        <v>5.3834841772307964</v>
      </c>
      <c r="AC61" s="815">
        <f t="shared" si="51"/>
        <v>5.8115716610252868</v>
      </c>
      <c r="AD61" s="815">
        <f t="shared" si="51"/>
        <v>6.2737000907478029</v>
      </c>
      <c r="AE61" s="815">
        <f t="shared" si="51"/>
        <v>6.7725763570306157</v>
      </c>
      <c r="AF61" s="816">
        <f t="shared" si="51"/>
        <v>7.31112259883988</v>
      </c>
      <c r="AG61" s="17"/>
      <c r="AH61" s="17"/>
      <c r="AI61" s="17"/>
      <c r="AJ61" s="17"/>
      <c r="AK61" s="17"/>
      <c r="AL61"/>
      <c r="AM61"/>
      <c r="AN61"/>
      <c r="AO61"/>
      <c r="AP61"/>
    </row>
    <row r="62" spans="2:42" s="7" customFormat="1" ht="21.9" customHeight="1" thickBot="1" x14ac:dyDescent="0.3">
      <c r="B62" s="208"/>
      <c r="C62" s="818" t="s">
        <v>25</v>
      </c>
      <c r="D62" s="818"/>
      <c r="E62" s="819">
        <f>E41 + E45 + E49 + E53 + E57 + E61</f>
        <v>8.5144507690391933</v>
      </c>
      <c r="F62" s="819">
        <f t="shared" ref="F62:AF62" si="52">F41 + F45 + F49 + F53 + F57 + F61</f>
        <v>9.8000000000000007</v>
      </c>
      <c r="G62" s="819">
        <f t="shared" si="52"/>
        <v>11.346644133333333</v>
      </c>
      <c r="H62" s="819">
        <f t="shared" si="52"/>
        <v>13.215258670125619</v>
      </c>
      <c r="I62" s="819">
        <f t="shared" si="52"/>
        <v>15.481605344856389</v>
      </c>
      <c r="J62" s="819">
        <f t="shared" si="52"/>
        <v>18.240027212281202</v>
      </c>
      <c r="K62" s="819">
        <f t="shared" si="52"/>
        <v>21.608065367361714</v>
      </c>
      <c r="L62" s="819">
        <f t="shared" si="52"/>
        <v>25.732227579390614</v>
      </c>
      <c r="M62" s="819">
        <f t="shared" si="52"/>
        <v>30.795196706598976</v>
      </c>
      <c r="N62" s="819">
        <f t="shared" si="52"/>
        <v>37.024838749502685</v>
      </c>
      <c r="O62" s="819">
        <f t="shared" si="52"/>
        <v>44.705460405574975</v>
      </c>
      <c r="P62" s="819">
        <f t="shared" si="52"/>
        <v>54.191878512620811</v>
      </c>
      <c r="Q62" s="819">
        <f t="shared" si="52"/>
        <v>65.927004450118218</v>
      </c>
      <c r="R62" s="819">
        <f t="shared" si="52"/>
        <v>80.463822454540534</v>
      </c>
      <c r="S62" s="819">
        <f t="shared" si="52"/>
        <v>98.492860708487854</v>
      </c>
      <c r="T62" s="819">
        <f t="shared" si="52"/>
        <v>120.87652900280422</v>
      </c>
      <c r="U62" s="819">
        <f t="shared" si="52"/>
        <v>148.69204052293264</v>
      </c>
      <c r="V62" s="819">
        <f t="shared" si="52"/>
        <v>183.28506510229749</v>
      </c>
      <c r="W62" s="819">
        <f t="shared" si="52"/>
        <v>226.33679865660679</v>
      </c>
      <c r="X62" s="819">
        <f t="shared" si="52"/>
        <v>279.94780539728833</v>
      </c>
      <c r="Y62" s="819">
        <f t="shared" si="52"/>
        <v>346.74282949771168</v>
      </c>
      <c r="Z62" s="819">
        <f t="shared" si="52"/>
        <v>430.00182326355912</v>
      </c>
      <c r="AA62" s="819">
        <f t="shared" si="52"/>
        <v>533.82375219514233</v>
      </c>
      <c r="AB62" s="819">
        <f t="shared" si="52"/>
        <v>663.33137946736986</v>
      </c>
      <c r="AC62" s="819">
        <f t="shared" si="52"/>
        <v>824.92728562407433</v>
      </c>
      <c r="AD62" s="819">
        <f t="shared" si="52"/>
        <v>1026.6139466376844</v>
      </c>
      <c r="AE62" s="819">
        <f t="shared" si="52"/>
        <v>1278.3939036556885</v>
      </c>
      <c r="AF62" s="836">
        <f t="shared" si="52"/>
        <v>1592.7700717152577</v>
      </c>
      <c r="AG62" s="17"/>
      <c r="AH62" s="17"/>
      <c r="AI62" s="17"/>
      <c r="AJ62" s="17"/>
      <c r="AK62" s="17"/>
      <c r="AL62"/>
      <c r="AM62"/>
      <c r="AN62"/>
      <c r="AO62"/>
      <c r="AP62"/>
    </row>
    <row r="63" spans="2:42" s="7" customFormat="1" ht="21.9" customHeight="1" x14ac:dyDescent="0.25">
      <c r="B63" s="196" t="s">
        <v>709</v>
      </c>
      <c r="C63" s="225" t="str">
        <f>C8</f>
        <v>US-412/SH-412B</v>
      </c>
      <c r="D63" s="114" t="s">
        <v>32</v>
      </c>
      <c r="E63" s="820" cm="1">
        <f t="array" ref="E63:AF63">_xlfn.ANCHORARRAY(E38) * costLife</f>
        <v>0</v>
      </c>
      <c r="F63" s="820">
        <v>0</v>
      </c>
      <c r="G63" s="820">
        <v>0</v>
      </c>
      <c r="H63" s="820">
        <v>0</v>
      </c>
      <c r="I63" s="820">
        <v>0</v>
      </c>
      <c r="J63" s="820">
        <v>0</v>
      </c>
      <c r="K63" s="820">
        <v>0</v>
      </c>
      <c r="L63" s="820">
        <v>0</v>
      </c>
      <c r="M63" s="820">
        <v>0</v>
      </c>
      <c r="N63" s="820">
        <v>0</v>
      </c>
      <c r="O63" s="820">
        <v>0</v>
      </c>
      <c r="P63" s="820">
        <v>0</v>
      </c>
      <c r="Q63" s="820">
        <v>0</v>
      </c>
      <c r="R63" s="820">
        <v>0</v>
      </c>
      <c r="S63" s="820">
        <v>0</v>
      </c>
      <c r="T63" s="820">
        <v>0</v>
      </c>
      <c r="U63" s="820">
        <v>0</v>
      </c>
      <c r="V63" s="820">
        <v>0</v>
      </c>
      <c r="W63" s="820">
        <v>0</v>
      </c>
      <c r="X63" s="820">
        <v>0</v>
      </c>
      <c r="Y63" s="820">
        <v>0</v>
      </c>
      <c r="Z63" s="820">
        <v>0</v>
      </c>
      <c r="AA63" s="820">
        <v>0</v>
      </c>
      <c r="AB63" s="820">
        <v>0</v>
      </c>
      <c r="AC63" s="820">
        <v>0</v>
      </c>
      <c r="AD63" s="820">
        <v>0</v>
      </c>
      <c r="AE63" s="820">
        <v>0</v>
      </c>
      <c r="AF63" s="821">
        <v>0</v>
      </c>
      <c r="AG63" s="21"/>
      <c r="AH63" s="21"/>
      <c r="AI63" s="21"/>
      <c r="AJ63" s="21"/>
      <c r="AK63" s="21"/>
      <c r="AL63"/>
      <c r="AM63"/>
      <c r="AN63"/>
      <c r="AO63"/>
      <c r="AP63"/>
    </row>
    <row r="64" spans="2:42" s="7" customFormat="1" ht="21.9" customHeight="1" x14ac:dyDescent="0.25">
      <c r="B64" s="229" t="s">
        <v>380</v>
      </c>
      <c r="C64" s="225" t="str">
        <f>C9</f>
        <v>(Interchange)</v>
      </c>
      <c r="D64" s="114" t="s">
        <v>33</v>
      </c>
      <c r="E64" s="820" cm="1">
        <f t="array" ref="E64:AF64">_xlfn.ANCHORARRAY(E39) * costInjury</f>
        <v>644377.55009576934</v>
      </c>
      <c r="F64" s="820">
        <v>688600</v>
      </c>
      <c r="G64" s="820">
        <v>735857.35556666669</v>
      </c>
      <c r="H64" s="820">
        <v>786357.8968073884</v>
      </c>
      <c r="I64" s="820">
        <v>840324.19760913518</v>
      </c>
      <c r="J64" s="820">
        <v>897994.10669668776</v>
      </c>
      <c r="K64" s="820">
        <v>959621.79591675254</v>
      </c>
      <c r="L64" s="820">
        <v>1025478.8804638932</v>
      </c>
      <c r="M64" s="820">
        <v>1095855.615985516</v>
      </c>
      <c r="N64" s="820">
        <v>1171062.1778419723</v>
      </c>
      <c r="O64" s="820">
        <v>1251430.0281599408</v>
      </c>
      <c r="P64" s="820">
        <v>1337313.3767041725</v>
      </c>
      <c r="Q64" s="820">
        <v>1429090.742006189</v>
      </c>
      <c r="R64" s="820">
        <v>1527166.6196303801</v>
      </c>
      <c r="S64" s="820">
        <v>1631973.2649301435</v>
      </c>
      <c r="T64" s="820">
        <v>1743972.5981513136</v>
      </c>
      <c r="U64" s="820">
        <v>1863658.2402793413</v>
      </c>
      <c r="V64" s="820">
        <v>1991557.6886029385</v>
      </c>
      <c r="W64" s="820">
        <v>2128234.6415826622</v>
      </c>
      <c r="X64" s="820">
        <v>2274291.4832709706</v>
      </c>
      <c r="Y64" s="820">
        <v>2430371.938233471</v>
      </c>
      <c r="Z64" s="820">
        <v>2597163.908672547</v>
      </c>
      <c r="AA64" s="820">
        <v>2775402.5062575773</v>
      </c>
      <c r="AB64" s="820">
        <v>2965873.2920241072</v>
      </c>
      <c r="AC64" s="820">
        <v>3169415.7386213527</v>
      </c>
      <c r="AD64" s="820">
        <v>3386926.9301674147</v>
      </c>
      <c r="AE64" s="820">
        <v>3619365.5160187655</v>
      </c>
      <c r="AF64" s="821">
        <v>3867755.9358796868</v>
      </c>
      <c r="AG64" s="21"/>
      <c r="AH64" s="21"/>
      <c r="AI64" s="21"/>
      <c r="AJ64" s="21"/>
      <c r="AK64" s="21"/>
      <c r="AL64"/>
      <c r="AM64"/>
      <c r="AN64"/>
      <c r="AO64"/>
      <c r="AP64"/>
    </row>
    <row r="65" spans="2:42" s="7" customFormat="1" ht="21.9" customHeight="1" x14ac:dyDescent="0.25">
      <c r="B65" s="196"/>
      <c r="C65" s="114"/>
      <c r="D65" s="122" t="s">
        <v>30</v>
      </c>
      <c r="E65" s="822" cm="1">
        <f t="array" ref="E65:AF65">_xlfn.ANCHORARRAY(E40) * costPDO</f>
        <v>15328.06312891185</v>
      </c>
      <c r="F65" s="822">
        <v>16380</v>
      </c>
      <c r="G65" s="822">
        <v>17504.129369999999</v>
      </c>
      <c r="H65" s="822">
        <v>18705.405677759252</v>
      </c>
      <c r="I65" s="822">
        <v>19989.123376180123</v>
      </c>
      <c r="J65" s="822">
        <v>21360.940266761176</v>
      </c>
      <c r="K65" s="822">
        <v>22826.902435545169</v>
      </c>
      <c r="L65" s="822">
        <v>24393.470900375502</v>
      </c>
      <c r="M65" s="822">
        <v>26067.55008690495</v>
      </c>
      <c r="N65" s="822">
        <v>27856.518258860746</v>
      </c>
      <c r="O65" s="822">
        <v>29768.260036682877</v>
      </c>
      <c r="P65" s="822">
        <v>31811.201147857024</v>
      </c>
      <c r="Q65" s="822">
        <v>33994.345562099006</v>
      </c>
      <c r="R65" s="822">
        <v>36327.315175058997</v>
      </c>
      <c r="S65" s="822">
        <v>38820.39221544547</v>
      </c>
      <c r="T65" s="822">
        <v>41484.564562472427</v>
      </c>
      <c r="U65" s="822">
        <v>44331.57417335987</v>
      </c>
      <c r="V65" s="822">
        <v>47373.968834324907</v>
      </c>
      <c r="W65" s="822">
        <v>50625.157463148425</v>
      </c>
      <c r="X65" s="822">
        <v>54099.469207055612</v>
      </c>
      <c r="Y65" s="822">
        <v>57812.216596375612</v>
      </c>
      <c r="Z65" s="822">
        <v>61779.763032321112</v>
      </c>
      <c r="AA65" s="822">
        <v>66019.5949063304</v>
      </c>
      <c r="AB65" s="822">
        <v>70550.398668827867</v>
      </c>
      <c r="AC65" s="822">
        <v>75392.143187071968</v>
      </c>
      <c r="AD65" s="822">
        <v>80566.167755071525</v>
      </c>
      <c r="AE65" s="820">
        <v>86095.276143461189</v>
      </c>
      <c r="AF65" s="821">
        <v>92003.837103847327</v>
      </c>
      <c r="AG65" s="22"/>
      <c r="AH65" s="22"/>
      <c r="AI65" s="22"/>
      <c r="AJ65" s="22"/>
      <c r="AK65" s="22"/>
      <c r="AL65"/>
      <c r="AM65"/>
      <c r="AN65"/>
      <c r="AO65"/>
      <c r="AP65"/>
    </row>
    <row r="66" spans="2:42" s="7" customFormat="1" ht="21.9" customHeight="1" x14ac:dyDescent="0.25">
      <c r="B66" s="196"/>
      <c r="C66" s="122"/>
      <c r="D66" s="695" t="s">
        <v>25</v>
      </c>
      <c r="E66" s="823" cm="1">
        <f t="array" ref="E66:AF66">_xlfn.ANCHORARRAY(E63) +_xlfn.ANCHORARRAY( E64) +_xlfn.ANCHORARRAY( E65)</f>
        <v>659705.61322468123</v>
      </c>
      <c r="F66" s="823">
        <v>704980</v>
      </c>
      <c r="G66" s="823">
        <v>753361.48493666667</v>
      </c>
      <c r="H66" s="823">
        <v>805063.30248514761</v>
      </c>
      <c r="I66" s="823">
        <v>860313.32098531525</v>
      </c>
      <c r="J66" s="823">
        <v>919355.04696344899</v>
      </c>
      <c r="K66" s="823">
        <v>982448.69835229777</v>
      </c>
      <c r="L66" s="823">
        <v>1049872.3513642687</v>
      </c>
      <c r="M66" s="823">
        <v>1121923.166072421</v>
      </c>
      <c r="N66" s="823">
        <v>1198918.6961008331</v>
      </c>
      <c r="O66" s="823">
        <v>1281198.2881966238</v>
      </c>
      <c r="P66" s="823">
        <v>1369124.5778520296</v>
      </c>
      <c r="Q66" s="823">
        <v>1463085.087568288</v>
      </c>
      <c r="R66" s="823">
        <v>1563493.9348054391</v>
      </c>
      <c r="S66" s="823">
        <v>1670793.6571455889</v>
      </c>
      <c r="T66" s="823">
        <v>1785457.1627137861</v>
      </c>
      <c r="U66" s="823">
        <v>1907989.8144527012</v>
      </c>
      <c r="V66" s="823">
        <v>2038931.6574372635</v>
      </c>
      <c r="W66" s="823">
        <v>2178859.7990458105</v>
      </c>
      <c r="X66" s="823">
        <v>2328390.952478026</v>
      </c>
      <c r="Y66" s="823">
        <v>2488184.1548298467</v>
      </c>
      <c r="Z66" s="823">
        <v>2658943.6717048679</v>
      </c>
      <c r="AA66" s="823">
        <v>2841422.1011639079</v>
      </c>
      <c r="AB66" s="823">
        <v>3036423.6906929351</v>
      </c>
      <c r="AC66" s="823">
        <v>3244807.8818084248</v>
      </c>
      <c r="AD66" s="823">
        <v>3467493.0979224863</v>
      </c>
      <c r="AE66" s="824">
        <v>3705460.7921622265</v>
      </c>
      <c r="AF66" s="825">
        <v>3959759.7729835343</v>
      </c>
      <c r="AG66" s="22"/>
      <c r="AH66" s="22"/>
      <c r="AI66" s="22"/>
      <c r="AJ66" s="22"/>
      <c r="AK66" s="22"/>
      <c r="AL66"/>
      <c r="AM66"/>
      <c r="AN66"/>
      <c r="AO66"/>
      <c r="AP66"/>
    </row>
    <row r="67" spans="2:42" s="7" customFormat="1" ht="21.9" customHeight="1" x14ac:dyDescent="0.25">
      <c r="B67" s="196"/>
      <c r="C67" s="226" t="str">
        <f>C11</f>
        <v>SH-412B</v>
      </c>
      <c r="D67" s="217" t="s">
        <v>32</v>
      </c>
      <c r="E67" s="827" cm="1">
        <f t="array" ref="E67:AF67">_xlfn.ANCHORARRAY(E42) * costLife</f>
        <v>0</v>
      </c>
      <c r="F67" s="827">
        <v>0</v>
      </c>
      <c r="G67" s="827">
        <v>0</v>
      </c>
      <c r="H67" s="827">
        <v>0</v>
      </c>
      <c r="I67" s="827">
        <v>0</v>
      </c>
      <c r="J67" s="827">
        <v>0</v>
      </c>
      <c r="K67" s="827">
        <v>0</v>
      </c>
      <c r="L67" s="827">
        <v>0</v>
      </c>
      <c r="M67" s="827">
        <v>0</v>
      </c>
      <c r="N67" s="827">
        <v>0</v>
      </c>
      <c r="O67" s="827">
        <v>0</v>
      </c>
      <c r="P67" s="827">
        <v>0</v>
      </c>
      <c r="Q67" s="827">
        <v>0</v>
      </c>
      <c r="R67" s="827">
        <v>0</v>
      </c>
      <c r="S67" s="827">
        <v>0</v>
      </c>
      <c r="T67" s="827">
        <v>0</v>
      </c>
      <c r="U67" s="827">
        <v>0</v>
      </c>
      <c r="V67" s="827">
        <v>0</v>
      </c>
      <c r="W67" s="827">
        <v>0</v>
      </c>
      <c r="X67" s="827">
        <v>0</v>
      </c>
      <c r="Y67" s="827">
        <v>0</v>
      </c>
      <c r="Z67" s="827">
        <v>0</v>
      </c>
      <c r="AA67" s="827">
        <v>0</v>
      </c>
      <c r="AB67" s="827">
        <v>0</v>
      </c>
      <c r="AC67" s="827">
        <v>0</v>
      </c>
      <c r="AD67" s="827">
        <v>0</v>
      </c>
      <c r="AE67" s="820">
        <v>0</v>
      </c>
      <c r="AF67" s="821">
        <v>0</v>
      </c>
      <c r="AG67" s="22"/>
      <c r="AH67" s="22"/>
      <c r="AI67" s="22"/>
      <c r="AJ67" s="22"/>
      <c r="AK67" s="22"/>
      <c r="AL67"/>
      <c r="AM67"/>
      <c r="AN67"/>
      <c r="AO67"/>
      <c r="AP67"/>
    </row>
    <row r="68" spans="2:42" s="7" customFormat="1" ht="21.9" customHeight="1" x14ac:dyDescent="0.25">
      <c r="B68" s="196"/>
      <c r="C68" s="225" t="str">
        <f>C12</f>
        <v>(Roundabout)</v>
      </c>
      <c r="D68" s="114" t="s">
        <v>33</v>
      </c>
      <c r="E68" s="820" cm="1">
        <f t="array" ref="E68:AF68">_xlfn.ANCHORARRAY(E43) * costInjury</f>
        <v>0</v>
      </c>
      <c r="F68" s="820">
        <v>0</v>
      </c>
      <c r="G68" s="820">
        <v>0</v>
      </c>
      <c r="H68" s="820">
        <v>0</v>
      </c>
      <c r="I68" s="820">
        <v>0</v>
      </c>
      <c r="J68" s="820">
        <v>0</v>
      </c>
      <c r="K68" s="820">
        <v>0</v>
      </c>
      <c r="L68" s="820">
        <v>0</v>
      </c>
      <c r="M68" s="820">
        <v>0</v>
      </c>
      <c r="N68" s="820">
        <v>0</v>
      </c>
      <c r="O68" s="820">
        <v>0</v>
      </c>
      <c r="P68" s="820">
        <v>0</v>
      </c>
      <c r="Q68" s="820">
        <v>0</v>
      </c>
      <c r="R68" s="820">
        <v>0</v>
      </c>
      <c r="S68" s="820">
        <v>0</v>
      </c>
      <c r="T68" s="820">
        <v>0</v>
      </c>
      <c r="U68" s="820">
        <v>0</v>
      </c>
      <c r="V68" s="820">
        <v>0</v>
      </c>
      <c r="W68" s="820">
        <v>0</v>
      </c>
      <c r="X68" s="820">
        <v>0</v>
      </c>
      <c r="Y68" s="820">
        <v>0</v>
      </c>
      <c r="Z68" s="820">
        <v>0</v>
      </c>
      <c r="AA68" s="820">
        <v>0</v>
      </c>
      <c r="AB68" s="820">
        <v>0</v>
      </c>
      <c r="AC68" s="820">
        <v>0</v>
      </c>
      <c r="AD68" s="820">
        <v>0</v>
      </c>
      <c r="AE68" s="820">
        <v>0</v>
      </c>
      <c r="AF68" s="821">
        <v>0</v>
      </c>
      <c r="AG68" s="22"/>
      <c r="AH68" s="22"/>
      <c r="AI68" s="22"/>
      <c r="AJ68" s="22"/>
      <c r="AK68" s="22"/>
      <c r="AL68"/>
      <c r="AM68"/>
      <c r="AN68"/>
      <c r="AO68"/>
      <c r="AP68"/>
    </row>
    <row r="69" spans="2:42" s="7" customFormat="1" ht="21.9" customHeight="1" x14ac:dyDescent="0.25">
      <c r="B69" s="196"/>
      <c r="C69" s="114"/>
      <c r="D69" s="122" t="s">
        <v>30</v>
      </c>
      <c r="E69" s="822" cm="1">
        <f t="array" ref="E69:AF69">_xlfn.ANCHORARRAY(E44) * costPDO</f>
        <v>0</v>
      </c>
      <c r="F69" s="822">
        <v>0</v>
      </c>
      <c r="G69" s="822">
        <v>0</v>
      </c>
      <c r="H69" s="822">
        <v>0</v>
      </c>
      <c r="I69" s="822">
        <v>0</v>
      </c>
      <c r="J69" s="822">
        <v>0</v>
      </c>
      <c r="K69" s="822">
        <v>0</v>
      </c>
      <c r="L69" s="822">
        <v>0</v>
      </c>
      <c r="M69" s="822">
        <v>0</v>
      </c>
      <c r="N69" s="822">
        <v>0</v>
      </c>
      <c r="O69" s="822">
        <v>0</v>
      </c>
      <c r="P69" s="822">
        <v>0</v>
      </c>
      <c r="Q69" s="822">
        <v>0</v>
      </c>
      <c r="R69" s="822">
        <v>0</v>
      </c>
      <c r="S69" s="822">
        <v>0</v>
      </c>
      <c r="T69" s="822">
        <v>0</v>
      </c>
      <c r="U69" s="822">
        <v>0</v>
      </c>
      <c r="V69" s="822">
        <v>0</v>
      </c>
      <c r="W69" s="822">
        <v>0</v>
      </c>
      <c r="X69" s="822">
        <v>0</v>
      </c>
      <c r="Y69" s="822">
        <v>0</v>
      </c>
      <c r="Z69" s="822">
        <v>0</v>
      </c>
      <c r="AA69" s="822">
        <v>0</v>
      </c>
      <c r="AB69" s="822">
        <v>0</v>
      </c>
      <c r="AC69" s="822">
        <v>0</v>
      </c>
      <c r="AD69" s="822">
        <v>0</v>
      </c>
      <c r="AE69" s="820">
        <v>0</v>
      </c>
      <c r="AF69" s="821">
        <v>0</v>
      </c>
      <c r="AG69" s="22"/>
      <c r="AH69" s="22"/>
      <c r="AI69" s="22"/>
      <c r="AJ69" s="22"/>
      <c r="AK69" s="22"/>
      <c r="AL69"/>
      <c r="AM69"/>
      <c r="AN69"/>
      <c r="AO69"/>
      <c r="AP69"/>
    </row>
    <row r="70" spans="2:42" s="7" customFormat="1" ht="21.9" customHeight="1" x14ac:dyDescent="0.25">
      <c r="B70" s="196"/>
      <c r="C70" s="225"/>
      <c r="D70" s="237" t="s">
        <v>25</v>
      </c>
      <c r="E70" s="826" cm="1">
        <f t="array" ref="E70:AF70">_xlfn.ANCHORARRAY(E67) +_xlfn.ANCHORARRAY( E68) +_xlfn.ANCHORARRAY( E69)</f>
        <v>0</v>
      </c>
      <c r="F70" s="826">
        <v>0</v>
      </c>
      <c r="G70" s="826">
        <v>0</v>
      </c>
      <c r="H70" s="826">
        <v>0</v>
      </c>
      <c r="I70" s="826">
        <v>0</v>
      </c>
      <c r="J70" s="826">
        <v>0</v>
      </c>
      <c r="K70" s="826">
        <v>0</v>
      </c>
      <c r="L70" s="826">
        <v>0</v>
      </c>
      <c r="M70" s="826">
        <v>0</v>
      </c>
      <c r="N70" s="826">
        <v>0</v>
      </c>
      <c r="O70" s="826">
        <v>0</v>
      </c>
      <c r="P70" s="826">
        <v>0</v>
      </c>
      <c r="Q70" s="826">
        <v>0</v>
      </c>
      <c r="R70" s="826">
        <v>0</v>
      </c>
      <c r="S70" s="826">
        <v>0</v>
      </c>
      <c r="T70" s="826">
        <v>0</v>
      </c>
      <c r="U70" s="826">
        <v>0</v>
      </c>
      <c r="V70" s="826">
        <v>0</v>
      </c>
      <c r="W70" s="826">
        <v>0</v>
      </c>
      <c r="X70" s="826">
        <v>0</v>
      </c>
      <c r="Y70" s="826">
        <v>0</v>
      </c>
      <c r="Z70" s="826">
        <v>0</v>
      </c>
      <c r="AA70" s="826">
        <v>0</v>
      </c>
      <c r="AB70" s="826">
        <v>0</v>
      </c>
      <c r="AC70" s="826">
        <v>0</v>
      </c>
      <c r="AD70" s="826">
        <v>0</v>
      </c>
      <c r="AE70" s="824">
        <v>0</v>
      </c>
      <c r="AF70" s="825">
        <v>0</v>
      </c>
      <c r="AG70" s="22"/>
      <c r="AH70" s="22"/>
      <c r="AI70" s="22"/>
      <c r="AJ70" s="22"/>
      <c r="AK70" s="22"/>
      <c r="AL70"/>
      <c r="AM70"/>
      <c r="AN70"/>
      <c r="AO70"/>
      <c r="AP70"/>
    </row>
    <row r="71" spans="2:42" s="7" customFormat="1" ht="21.9" customHeight="1" x14ac:dyDescent="0.25">
      <c r="B71" s="196"/>
      <c r="C71" s="226" t="str">
        <f>C14</f>
        <v>Patrol Rd</v>
      </c>
      <c r="D71" s="217" t="s">
        <v>32</v>
      </c>
      <c r="E71" s="827" cm="1">
        <f t="array" ref="E71:AF71">_xlfn.ANCHORARRAY(E46) * costLife</f>
        <v>0</v>
      </c>
      <c r="F71" s="827">
        <v>0</v>
      </c>
      <c r="G71" s="827">
        <v>0</v>
      </c>
      <c r="H71" s="827">
        <v>0</v>
      </c>
      <c r="I71" s="827">
        <v>0</v>
      </c>
      <c r="J71" s="827">
        <v>0</v>
      </c>
      <c r="K71" s="827">
        <v>0</v>
      </c>
      <c r="L71" s="827">
        <v>0</v>
      </c>
      <c r="M71" s="827">
        <v>0</v>
      </c>
      <c r="N71" s="827">
        <v>0</v>
      </c>
      <c r="O71" s="827">
        <v>0</v>
      </c>
      <c r="P71" s="827">
        <v>0</v>
      </c>
      <c r="Q71" s="827">
        <v>0</v>
      </c>
      <c r="R71" s="827">
        <v>0</v>
      </c>
      <c r="S71" s="827">
        <v>0</v>
      </c>
      <c r="T71" s="827">
        <v>0</v>
      </c>
      <c r="U71" s="827">
        <v>0</v>
      </c>
      <c r="V71" s="827">
        <v>0</v>
      </c>
      <c r="W71" s="827">
        <v>0</v>
      </c>
      <c r="X71" s="827">
        <v>0</v>
      </c>
      <c r="Y71" s="827">
        <v>0</v>
      </c>
      <c r="Z71" s="827">
        <v>0</v>
      </c>
      <c r="AA71" s="827">
        <v>0</v>
      </c>
      <c r="AB71" s="827">
        <v>0</v>
      </c>
      <c r="AC71" s="827">
        <v>0</v>
      </c>
      <c r="AD71" s="827">
        <v>0</v>
      </c>
      <c r="AE71" s="820">
        <v>0</v>
      </c>
      <c r="AF71" s="821">
        <v>0</v>
      </c>
      <c r="AG71" s="22"/>
      <c r="AH71" s="22"/>
      <c r="AI71" s="22"/>
      <c r="AJ71" s="22"/>
      <c r="AK71" s="22"/>
      <c r="AL71"/>
      <c r="AM71"/>
      <c r="AN71"/>
      <c r="AO71"/>
      <c r="AP71"/>
    </row>
    <row r="72" spans="2:42" s="7" customFormat="1" ht="21.9" customHeight="1" x14ac:dyDescent="0.25">
      <c r="B72" s="196"/>
      <c r="C72" s="225"/>
      <c r="D72" s="114" t="s">
        <v>33</v>
      </c>
      <c r="E72" s="820" cm="1">
        <f t="array" ref="E72:AF72">_xlfn.ANCHORARRAY(E47) * costInjury</f>
        <v>52166.666666666672</v>
      </c>
      <c r="F72" s="820">
        <v>62600</v>
      </c>
      <c r="G72" s="820">
        <v>75120</v>
      </c>
      <c r="H72" s="820">
        <v>90144</v>
      </c>
      <c r="I72" s="820">
        <v>108172.8</v>
      </c>
      <c r="J72" s="820">
        <v>129807.35999999999</v>
      </c>
      <c r="K72" s="820">
        <v>155768.83199999999</v>
      </c>
      <c r="L72" s="820">
        <v>186922.59839999999</v>
      </c>
      <c r="M72" s="820">
        <v>224307.11807999999</v>
      </c>
      <c r="N72" s="820">
        <v>269168.54169599997</v>
      </c>
      <c r="O72" s="820">
        <v>323002.25003519998</v>
      </c>
      <c r="P72" s="820">
        <v>387602.70004223997</v>
      </c>
      <c r="Q72" s="820">
        <v>465123.24005068798</v>
      </c>
      <c r="R72" s="820">
        <v>558147.88806082553</v>
      </c>
      <c r="S72" s="820">
        <v>669777.46567299054</v>
      </c>
      <c r="T72" s="820">
        <v>803732.95880758867</v>
      </c>
      <c r="U72" s="820">
        <v>964479.55056910648</v>
      </c>
      <c r="V72" s="820">
        <v>1157375.4606829276</v>
      </c>
      <c r="W72" s="820">
        <v>1388850.552819513</v>
      </c>
      <c r="X72" s="820">
        <v>1666620.6633834159</v>
      </c>
      <c r="Y72" s="820">
        <v>1999944.7960600988</v>
      </c>
      <c r="Z72" s="820">
        <v>2399933.7552721188</v>
      </c>
      <c r="AA72" s="820">
        <v>2879920.5063265418</v>
      </c>
      <c r="AB72" s="820">
        <v>3455904.6075918502</v>
      </c>
      <c r="AC72" s="820">
        <v>4147085.5291102203</v>
      </c>
      <c r="AD72" s="820">
        <v>4976502.6349322647</v>
      </c>
      <c r="AE72" s="820">
        <v>5971803.1619187184</v>
      </c>
      <c r="AF72" s="821">
        <v>7166163.7943024617</v>
      </c>
      <c r="AG72" s="22"/>
      <c r="AH72" s="22"/>
      <c r="AI72" s="22"/>
      <c r="AJ72" s="22"/>
      <c r="AK72" s="22"/>
      <c r="AL72"/>
      <c r="AM72"/>
      <c r="AN72"/>
      <c r="AO72"/>
      <c r="AP72"/>
    </row>
    <row r="73" spans="2:42" s="7" customFormat="1" ht="21.9" customHeight="1" x14ac:dyDescent="0.25">
      <c r="B73" s="196"/>
      <c r="C73" s="114"/>
      <c r="D73" s="122" t="s">
        <v>30</v>
      </c>
      <c r="E73" s="822" cm="1">
        <f t="array" ref="E73:AF73">_xlfn.ANCHORARRAY(E48) * costPDO</f>
        <v>0</v>
      </c>
      <c r="F73" s="822">
        <v>0</v>
      </c>
      <c r="G73" s="822">
        <v>0</v>
      </c>
      <c r="H73" s="822">
        <v>0</v>
      </c>
      <c r="I73" s="822">
        <v>0</v>
      </c>
      <c r="J73" s="822">
        <v>0</v>
      </c>
      <c r="K73" s="822">
        <v>0</v>
      </c>
      <c r="L73" s="822">
        <v>0</v>
      </c>
      <c r="M73" s="822">
        <v>0</v>
      </c>
      <c r="N73" s="822">
        <v>0</v>
      </c>
      <c r="O73" s="822">
        <v>0</v>
      </c>
      <c r="P73" s="822">
        <v>0</v>
      </c>
      <c r="Q73" s="822">
        <v>0</v>
      </c>
      <c r="R73" s="822">
        <v>0</v>
      </c>
      <c r="S73" s="822">
        <v>0</v>
      </c>
      <c r="T73" s="822">
        <v>0</v>
      </c>
      <c r="U73" s="822">
        <v>0</v>
      </c>
      <c r="V73" s="822">
        <v>0</v>
      </c>
      <c r="W73" s="822">
        <v>0</v>
      </c>
      <c r="X73" s="822">
        <v>0</v>
      </c>
      <c r="Y73" s="822">
        <v>0</v>
      </c>
      <c r="Z73" s="822">
        <v>0</v>
      </c>
      <c r="AA73" s="822">
        <v>0</v>
      </c>
      <c r="AB73" s="822">
        <v>0</v>
      </c>
      <c r="AC73" s="822">
        <v>0</v>
      </c>
      <c r="AD73" s="822">
        <v>0</v>
      </c>
      <c r="AE73" s="820">
        <v>0</v>
      </c>
      <c r="AF73" s="821">
        <v>0</v>
      </c>
      <c r="AG73" s="22"/>
      <c r="AH73" s="22"/>
      <c r="AI73" s="22"/>
      <c r="AJ73" s="22"/>
      <c r="AK73" s="22"/>
      <c r="AL73"/>
      <c r="AM73"/>
      <c r="AN73"/>
      <c r="AO73"/>
      <c r="AP73"/>
    </row>
    <row r="74" spans="2:42" s="7" customFormat="1" ht="21.9" customHeight="1" x14ac:dyDescent="0.25">
      <c r="B74" s="196"/>
      <c r="C74" s="225"/>
      <c r="D74" s="237" t="s">
        <v>25</v>
      </c>
      <c r="E74" s="826" cm="1">
        <f t="array" ref="E74:AF74">_xlfn.ANCHORARRAY(E71) +_xlfn.ANCHORARRAY( E72) +_xlfn.ANCHORARRAY( E73)</f>
        <v>52166.666666666672</v>
      </c>
      <c r="F74" s="826">
        <v>62600</v>
      </c>
      <c r="G74" s="826">
        <v>75120</v>
      </c>
      <c r="H74" s="826">
        <v>90144</v>
      </c>
      <c r="I74" s="826">
        <v>108172.8</v>
      </c>
      <c r="J74" s="826">
        <v>129807.35999999999</v>
      </c>
      <c r="K74" s="826">
        <v>155768.83199999999</v>
      </c>
      <c r="L74" s="826">
        <v>186922.59839999999</v>
      </c>
      <c r="M74" s="826">
        <v>224307.11807999999</v>
      </c>
      <c r="N74" s="826">
        <v>269168.54169599997</v>
      </c>
      <c r="O74" s="826">
        <v>323002.25003519998</v>
      </c>
      <c r="P74" s="826">
        <v>387602.70004223997</v>
      </c>
      <c r="Q74" s="826">
        <v>465123.24005068798</v>
      </c>
      <c r="R74" s="826">
        <v>558147.88806082553</v>
      </c>
      <c r="S74" s="826">
        <v>669777.46567299054</v>
      </c>
      <c r="T74" s="826">
        <v>803732.95880758867</v>
      </c>
      <c r="U74" s="826">
        <v>964479.55056910648</v>
      </c>
      <c r="V74" s="826">
        <v>1157375.4606829276</v>
      </c>
      <c r="W74" s="826">
        <v>1388850.552819513</v>
      </c>
      <c r="X74" s="826">
        <v>1666620.6633834159</v>
      </c>
      <c r="Y74" s="826">
        <v>1999944.7960600988</v>
      </c>
      <c r="Z74" s="826">
        <v>2399933.7552721188</v>
      </c>
      <c r="AA74" s="826">
        <v>2879920.5063265418</v>
      </c>
      <c r="AB74" s="826">
        <v>3455904.6075918502</v>
      </c>
      <c r="AC74" s="826">
        <v>4147085.5291102203</v>
      </c>
      <c r="AD74" s="826">
        <v>4976502.6349322647</v>
      </c>
      <c r="AE74" s="824">
        <v>5971803.1619187184</v>
      </c>
      <c r="AF74" s="825">
        <v>7166163.7943024617</v>
      </c>
      <c r="AG74" s="22"/>
      <c r="AH74" s="22"/>
      <c r="AI74" s="22"/>
      <c r="AJ74" s="22"/>
      <c r="AK74" s="22"/>
      <c r="AL74"/>
      <c r="AM74"/>
      <c r="AN74"/>
      <c r="AO74"/>
      <c r="AP74"/>
    </row>
    <row r="75" spans="2:42" s="7" customFormat="1" ht="21.9" customHeight="1" x14ac:dyDescent="0.25">
      <c r="B75" s="196"/>
      <c r="C75" s="226" t="str">
        <f>C17</f>
        <v>Williams St</v>
      </c>
      <c r="D75" s="217" t="s">
        <v>32</v>
      </c>
      <c r="E75" s="827" cm="1">
        <f t="array" ref="E75:AF75">_xlfn.ANCHORARRAY(E50) * costLife</f>
        <v>0</v>
      </c>
      <c r="F75" s="827">
        <v>0</v>
      </c>
      <c r="G75" s="827">
        <v>0</v>
      </c>
      <c r="H75" s="827">
        <v>0</v>
      </c>
      <c r="I75" s="827">
        <v>0</v>
      </c>
      <c r="J75" s="827">
        <v>0</v>
      </c>
      <c r="K75" s="827">
        <v>0</v>
      </c>
      <c r="L75" s="827">
        <v>0</v>
      </c>
      <c r="M75" s="827">
        <v>0</v>
      </c>
      <c r="N75" s="827">
        <v>0</v>
      </c>
      <c r="O75" s="827">
        <v>0</v>
      </c>
      <c r="P75" s="827">
        <v>0</v>
      </c>
      <c r="Q75" s="827">
        <v>0</v>
      </c>
      <c r="R75" s="827">
        <v>0</v>
      </c>
      <c r="S75" s="827">
        <v>0</v>
      </c>
      <c r="T75" s="827">
        <v>0</v>
      </c>
      <c r="U75" s="827">
        <v>0</v>
      </c>
      <c r="V75" s="827">
        <v>0</v>
      </c>
      <c r="W75" s="827">
        <v>0</v>
      </c>
      <c r="X75" s="827">
        <v>0</v>
      </c>
      <c r="Y75" s="827">
        <v>0</v>
      </c>
      <c r="Z75" s="827">
        <v>0</v>
      </c>
      <c r="AA75" s="827">
        <v>0</v>
      </c>
      <c r="AB75" s="827">
        <v>0</v>
      </c>
      <c r="AC75" s="827">
        <v>0</v>
      </c>
      <c r="AD75" s="827">
        <v>0</v>
      </c>
      <c r="AE75" s="820">
        <v>0</v>
      </c>
      <c r="AF75" s="821">
        <v>0</v>
      </c>
      <c r="AG75" s="22"/>
      <c r="AH75" s="22"/>
      <c r="AI75" s="22"/>
      <c r="AJ75" s="22"/>
      <c r="AK75" s="22"/>
      <c r="AL75"/>
      <c r="AM75"/>
      <c r="AN75"/>
      <c r="AO75"/>
      <c r="AP75"/>
    </row>
    <row r="76" spans="2:42" s="7" customFormat="1" ht="21.9" customHeight="1" x14ac:dyDescent="0.25">
      <c r="B76" s="196"/>
      <c r="C76" s="225"/>
      <c r="D76" s="114" t="s">
        <v>33</v>
      </c>
      <c r="E76" s="820" cm="1">
        <f t="array" ref="E76:AF76">_xlfn.ANCHORARRAY(E51) * costInjury</f>
        <v>0</v>
      </c>
      <c r="F76" s="820">
        <v>0</v>
      </c>
      <c r="G76" s="820">
        <v>0</v>
      </c>
      <c r="H76" s="820">
        <v>0</v>
      </c>
      <c r="I76" s="820">
        <v>0</v>
      </c>
      <c r="J76" s="820">
        <v>0</v>
      </c>
      <c r="K76" s="820">
        <v>0</v>
      </c>
      <c r="L76" s="820">
        <v>0</v>
      </c>
      <c r="M76" s="820">
        <v>0</v>
      </c>
      <c r="N76" s="820">
        <v>0</v>
      </c>
      <c r="O76" s="820">
        <v>0</v>
      </c>
      <c r="P76" s="820">
        <v>0</v>
      </c>
      <c r="Q76" s="820">
        <v>0</v>
      </c>
      <c r="R76" s="820">
        <v>0</v>
      </c>
      <c r="S76" s="820">
        <v>0</v>
      </c>
      <c r="T76" s="820">
        <v>0</v>
      </c>
      <c r="U76" s="820">
        <v>0</v>
      </c>
      <c r="V76" s="820">
        <v>0</v>
      </c>
      <c r="W76" s="820">
        <v>0</v>
      </c>
      <c r="X76" s="820">
        <v>0</v>
      </c>
      <c r="Y76" s="820">
        <v>0</v>
      </c>
      <c r="Z76" s="820">
        <v>0</v>
      </c>
      <c r="AA76" s="820">
        <v>0</v>
      </c>
      <c r="AB76" s="820">
        <v>0</v>
      </c>
      <c r="AC76" s="820">
        <v>0</v>
      </c>
      <c r="AD76" s="820">
        <v>0</v>
      </c>
      <c r="AE76" s="820">
        <v>0</v>
      </c>
      <c r="AF76" s="821">
        <v>0</v>
      </c>
      <c r="AG76" s="22"/>
      <c r="AH76" s="22"/>
      <c r="AI76" s="22"/>
      <c r="AJ76" s="22"/>
      <c r="AK76" s="22"/>
      <c r="AL76"/>
      <c r="AM76"/>
      <c r="AN76"/>
      <c r="AO76"/>
      <c r="AP76"/>
    </row>
    <row r="77" spans="2:42" s="7" customFormat="1" ht="21.9" customHeight="1" x14ac:dyDescent="0.25">
      <c r="B77" s="196"/>
      <c r="C77" s="114"/>
      <c r="D77" s="122" t="s">
        <v>30</v>
      </c>
      <c r="E77" s="822" cm="1">
        <f t="array" ref="E77:AF77">_xlfn.ANCHORARRAY(E52) * costPDO</f>
        <v>0</v>
      </c>
      <c r="F77" s="822">
        <v>0</v>
      </c>
      <c r="G77" s="822">
        <v>0</v>
      </c>
      <c r="H77" s="822">
        <v>0</v>
      </c>
      <c r="I77" s="822">
        <v>0</v>
      </c>
      <c r="J77" s="822">
        <v>0</v>
      </c>
      <c r="K77" s="822">
        <v>0</v>
      </c>
      <c r="L77" s="822">
        <v>0</v>
      </c>
      <c r="M77" s="822">
        <v>0</v>
      </c>
      <c r="N77" s="822">
        <v>0</v>
      </c>
      <c r="O77" s="822">
        <v>0</v>
      </c>
      <c r="P77" s="822">
        <v>0</v>
      </c>
      <c r="Q77" s="822">
        <v>0</v>
      </c>
      <c r="R77" s="822">
        <v>0</v>
      </c>
      <c r="S77" s="822">
        <v>0</v>
      </c>
      <c r="T77" s="822">
        <v>0</v>
      </c>
      <c r="U77" s="822">
        <v>0</v>
      </c>
      <c r="V77" s="822">
        <v>0</v>
      </c>
      <c r="W77" s="822">
        <v>0</v>
      </c>
      <c r="X77" s="822">
        <v>0</v>
      </c>
      <c r="Y77" s="822">
        <v>0</v>
      </c>
      <c r="Z77" s="822">
        <v>0</v>
      </c>
      <c r="AA77" s="822">
        <v>0</v>
      </c>
      <c r="AB77" s="822">
        <v>0</v>
      </c>
      <c r="AC77" s="822">
        <v>0</v>
      </c>
      <c r="AD77" s="822">
        <v>0</v>
      </c>
      <c r="AE77" s="820">
        <v>0</v>
      </c>
      <c r="AF77" s="821">
        <v>0</v>
      </c>
      <c r="AG77" s="22"/>
      <c r="AH77" s="22"/>
      <c r="AI77" s="22"/>
      <c r="AJ77" s="22"/>
      <c r="AK77" s="22"/>
      <c r="AL77"/>
      <c r="AM77"/>
      <c r="AN77"/>
      <c r="AO77"/>
      <c r="AP77"/>
    </row>
    <row r="78" spans="2:42" s="7" customFormat="1" ht="21.9" customHeight="1" x14ac:dyDescent="0.25">
      <c r="B78" s="196"/>
      <c r="C78" s="114"/>
      <c r="D78" s="237" t="s">
        <v>25</v>
      </c>
      <c r="E78" s="826" cm="1">
        <f t="array" ref="E78:AF78">_xlfn.ANCHORARRAY(E75) +_xlfn.ANCHORARRAY( E76) +_xlfn.ANCHORARRAY( E77)</f>
        <v>0</v>
      </c>
      <c r="F78" s="826">
        <v>0</v>
      </c>
      <c r="G78" s="826">
        <v>0</v>
      </c>
      <c r="H78" s="826">
        <v>0</v>
      </c>
      <c r="I78" s="826">
        <v>0</v>
      </c>
      <c r="J78" s="826">
        <v>0</v>
      </c>
      <c r="K78" s="826">
        <v>0</v>
      </c>
      <c r="L78" s="826">
        <v>0</v>
      </c>
      <c r="M78" s="826">
        <v>0</v>
      </c>
      <c r="N78" s="826">
        <v>0</v>
      </c>
      <c r="O78" s="826">
        <v>0</v>
      </c>
      <c r="P78" s="826">
        <v>0</v>
      </c>
      <c r="Q78" s="826">
        <v>0</v>
      </c>
      <c r="R78" s="826">
        <v>0</v>
      </c>
      <c r="S78" s="826">
        <v>0</v>
      </c>
      <c r="T78" s="826">
        <v>0</v>
      </c>
      <c r="U78" s="826">
        <v>0</v>
      </c>
      <c r="V78" s="826">
        <v>0</v>
      </c>
      <c r="W78" s="826">
        <v>0</v>
      </c>
      <c r="X78" s="826">
        <v>0</v>
      </c>
      <c r="Y78" s="826">
        <v>0</v>
      </c>
      <c r="Z78" s="826">
        <v>0</v>
      </c>
      <c r="AA78" s="826">
        <v>0</v>
      </c>
      <c r="AB78" s="826">
        <v>0</v>
      </c>
      <c r="AC78" s="826">
        <v>0</v>
      </c>
      <c r="AD78" s="826">
        <v>0</v>
      </c>
      <c r="AE78" s="824">
        <v>0</v>
      </c>
      <c r="AF78" s="825">
        <v>0</v>
      </c>
      <c r="AG78" s="22"/>
      <c r="AH78" s="22"/>
      <c r="AI78" s="22"/>
      <c r="AJ78" s="22"/>
      <c r="AK78" s="22"/>
      <c r="AL78"/>
      <c r="AM78"/>
      <c r="AN78"/>
      <c r="AO78"/>
      <c r="AP78"/>
    </row>
    <row r="79" spans="2:42" s="7" customFormat="1" ht="21.9" customHeight="1" x14ac:dyDescent="0.25">
      <c r="B79" s="196"/>
      <c r="C79" s="217" t="str">
        <f>C20</f>
        <v>SH-412B North</v>
      </c>
      <c r="D79" s="217" t="s">
        <v>32</v>
      </c>
      <c r="E79" s="827" cm="1">
        <f t="array" ref="E79:AF79">_xlfn.ANCHORARRAY(E54) * costLife</f>
        <v>0</v>
      </c>
      <c r="F79" s="827">
        <v>0</v>
      </c>
      <c r="G79" s="827">
        <v>0</v>
      </c>
      <c r="H79" s="827">
        <v>0</v>
      </c>
      <c r="I79" s="827">
        <v>0</v>
      </c>
      <c r="J79" s="827">
        <v>0</v>
      </c>
      <c r="K79" s="827">
        <v>0</v>
      </c>
      <c r="L79" s="827">
        <v>0</v>
      </c>
      <c r="M79" s="827">
        <v>0</v>
      </c>
      <c r="N79" s="827">
        <v>0</v>
      </c>
      <c r="O79" s="827">
        <v>0</v>
      </c>
      <c r="P79" s="827">
        <v>0</v>
      </c>
      <c r="Q79" s="827">
        <v>0</v>
      </c>
      <c r="R79" s="827">
        <v>0</v>
      </c>
      <c r="S79" s="827">
        <v>0</v>
      </c>
      <c r="T79" s="827">
        <v>0</v>
      </c>
      <c r="U79" s="827">
        <v>0</v>
      </c>
      <c r="V79" s="827">
        <v>0</v>
      </c>
      <c r="W79" s="827">
        <v>0</v>
      </c>
      <c r="X79" s="827">
        <v>0</v>
      </c>
      <c r="Y79" s="827">
        <v>0</v>
      </c>
      <c r="Z79" s="827">
        <v>0</v>
      </c>
      <c r="AA79" s="827">
        <v>0</v>
      </c>
      <c r="AB79" s="827">
        <v>0</v>
      </c>
      <c r="AC79" s="827">
        <v>0</v>
      </c>
      <c r="AD79" s="827">
        <v>0</v>
      </c>
      <c r="AE79" s="820">
        <v>0</v>
      </c>
      <c r="AF79" s="821">
        <v>0</v>
      </c>
      <c r="AG79" s="22"/>
      <c r="AH79" s="22"/>
      <c r="AI79" s="22"/>
      <c r="AJ79" s="22"/>
      <c r="AK79" s="22"/>
      <c r="AL79"/>
      <c r="AM79"/>
      <c r="AN79"/>
      <c r="AO79"/>
      <c r="AP79"/>
    </row>
    <row r="80" spans="2:42" s="7" customFormat="1" ht="21.9" customHeight="1" x14ac:dyDescent="0.25">
      <c r="B80" s="196"/>
      <c r="C80" s="114" t="str">
        <f>C21</f>
        <v>(Improvements)</v>
      </c>
      <c r="D80" s="114" t="s">
        <v>33</v>
      </c>
      <c r="E80" s="820" cm="1">
        <f t="array" ref="E80:AF80">_xlfn.ANCHORARRAY(E55) * costInjury</f>
        <v>550629.79382168734</v>
      </c>
      <c r="F80" s="820">
        <v>688599.99999999988</v>
      </c>
      <c r="G80" s="820">
        <v>861141.12479999987</v>
      </c>
      <c r="H80" s="820">
        <v>1076915.5341588859</v>
      </c>
      <c r="I80" s="820">
        <v>1346756.1057220094</v>
      </c>
      <c r="J80" s="820">
        <v>1684210.0896205623</v>
      </c>
      <c r="K80" s="820">
        <v>2106219.2433566069</v>
      </c>
      <c r="L80" s="820">
        <v>2633970.386725985</v>
      </c>
      <c r="M80" s="820">
        <v>3293959.0785871414</v>
      </c>
      <c r="N80" s="820">
        <v>4119319.8169905646</v>
      </c>
      <c r="O80" s="820">
        <v>5151489.5448942548</v>
      </c>
      <c r="P80" s="820">
        <v>6442287.9771793177</v>
      </c>
      <c r="Q80" s="820">
        <v>8056519.1910451856</v>
      </c>
      <c r="R80" s="820">
        <v>10075225.091706995</v>
      </c>
      <c r="S80" s="820">
        <v>12599754.09248583</v>
      </c>
      <c r="T80" s="820">
        <v>15756849.27593182</v>
      </c>
      <c r="U80" s="820">
        <v>19705011.485303503</v>
      </c>
      <c r="V80" s="820">
        <v>24642456.803153034</v>
      </c>
      <c r="W80" s="820">
        <v>30817067.919405479</v>
      </c>
      <c r="X80" s="820">
        <v>38538838.993835069</v>
      </c>
      <c r="Y80" s="820">
        <v>48195438.802842334</v>
      </c>
      <c r="Z80" s="820">
        <v>60271673.512792923</v>
      </c>
      <c r="AA80" s="820">
        <v>75373826.201546416</v>
      </c>
      <c r="AB80" s="820">
        <v>94260095.085215494</v>
      </c>
      <c r="AC80" s="820">
        <v>117878658.59052776</v>
      </c>
      <c r="AD80" s="820">
        <v>147415278.31623912</v>
      </c>
      <c r="AE80" s="820">
        <v>184352829.77338248</v>
      </c>
      <c r="AF80" s="821">
        <v>230545749.62403938</v>
      </c>
      <c r="AG80" s="22"/>
      <c r="AH80" s="22"/>
      <c r="AI80" s="22"/>
      <c r="AJ80" s="22"/>
      <c r="AK80" s="22"/>
      <c r="AL80"/>
      <c r="AM80"/>
      <c r="AN80"/>
      <c r="AO80"/>
      <c r="AP80"/>
    </row>
    <row r="81" spans="1:42" s="7" customFormat="1" ht="21.9" customHeight="1" x14ac:dyDescent="0.25">
      <c r="B81" s="196"/>
      <c r="C81" s="114"/>
      <c r="D81" s="122" t="s">
        <v>30</v>
      </c>
      <c r="E81" s="822" cm="1">
        <f t="array" ref="E81:AF81">_xlfn.ANCHORARRAY(E56) * costPDO</f>
        <v>17464.064329168825</v>
      </c>
      <c r="F81" s="822">
        <v>21840</v>
      </c>
      <c r="G81" s="822">
        <v>27312.405119999996</v>
      </c>
      <c r="H81" s="822">
        <v>34156.019846108153</v>
      </c>
      <c r="I81" s="822">
        <v>42714.425426907772</v>
      </c>
      <c r="J81" s="822">
        <v>53417.293577277203</v>
      </c>
      <c r="K81" s="822">
        <v>66801.957994348384</v>
      </c>
      <c r="L81" s="822">
        <v>83540.391005076264</v>
      </c>
      <c r="M81" s="822">
        <v>104472.93969843621</v>
      </c>
      <c r="N81" s="822">
        <v>130650.51525279398</v>
      </c>
      <c r="O81" s="822">
        <v>163387.35355865603</v>
      </c>
      <c r="P81" s="822">
        <v>204326.99596514134</v>
      </c>
      <c r="Q81" s="822">
        <v>255524.80269013485</v>
      </c>
      <c r="R81" s="822">
        <v>319551.14145059657</v>
      </c>
      <c r="S81" s="822">
        <v>399620.4318615896</v>
      </c>
      <c r="T81" s="822">
        <v>499752.5242322844</v>
      </c>
      <c r="U81" s="822">
        <v>624974.51472411933</v>
      </c>
      <c r="V81" s="822">
        <v>781573.12892951258</v>
      </c>
      <c r="W81" s="822">
        <v>977410.34469912248</v>
      </c>
      <c r="X81" s="822">
        <v>1222318.0999496921</v>
      </c>
      <c r="Y81" s="822">
        <v>1528591.9016178863</v>
      </c>
      <c r="Z81" s="822">
        <v>1911608.117222477</v>
      </c>
      <c r="AA81" s="822">
        <v>2390595.9399386784</v>
      </c>
      <c r="AB81" s="822">
        <v>2989602.7834172323</v>
      </c>
      <c r="AC81" s="822">
        <v>3738701.5736525212</v>
      </c>
      <c r="AD81" s="822">
        <v>4675500.5495594861</v>
      </c>
      <c r="AE81" s="820">
        <v>5847031.3712615073</v>
      </c>
      <c r="AF81" s="821">
        <v>7312110.3278957596</v>
      </c>
      <c r="AG81" s="22"/>
      <c r="AH81" s="22"/>
      <c r="AI81" s="22"/>
      <c r="AJ81" s="22"/>
      <c r="AK81" s="22"/>
      <c r="AL81"/>
      <c r="AM81"/>
      <c r="AN81"/>
      <c r="AO81"/>
      <c r="AP81"/>
    </row>
    <row r="82" spans="1:42" s="7" customFormat="1" ht="21.9" customHeight="1" x14ac:dyDescent="0.25">
      <c r="B82" s="196"/>
      <c r="C82" s="114"/>
      <c r="D82" s="237" t="s">
        <v>25</v>
      </c>
      <c r="E82" s="826" cm="1">
        <f t="array" ref="E82:AF82">_xlfn.ANCHORARRAY(E79) +_xlfn.ANCHORARRAY( E80) +_xlfn.ANCHORARRAY( E81)</f>
        <v>568093.85815085622</v>
      </c>
      <c r="F82" s="826">
        <v>710439.99999999988</v>
      </c>
      <c r="G82" s="826">
        <v>888453.52991999988</v>
      </c>
      <c r="H82" s="826">
        <v>1111071.554004994</v>
      </c>
      <c r="I82" s="826">
        <v>1389470.5311489173</v>
      </c>
      <c r="J82" s="826">
        <v>1737627.3831978394</v>
      </c>
      <c r="K82" s="826">
        <v>2173021.2013509553</v>
      </c>
      <c r="L82" s="826">
        <v>2717510.7777310614</v>
      </c>
      <c r="M82" s="826">
        <v>3398432.0182855777</v>
      </c>
      <c r="N82" s="826">
        <v>4249970.3322433587</v>
      </c>
      <c r="O82" s="826">
        <v>5314876.8984529106</v>
      </c>
      <c r="P82" s="826">
        <v>6646614.9731444586</v>
      </c>
      <c r="Q82" s="826">
        <v>8312043.9937353209</v>
      </c>
      <c r="R82" s="826">
        <v>10394776.233157592</v>
      </c>
      <c r="S82" s="826">
        <v>12999374.524347419</v>
      </c>
      <c r="T82" s="826">
        <v>16256601.800164105</v>
      </c>
      <c r="U82" s="826">
        <v>20329986.000027623</v>
      </c>
      <c r="V82" s="826">
        <v>25424029.932082549</v>
      </c>
      <c r="W82" s="826">
        <v>31794478.264104601</v>
      </c>
      <c r="X82" s="826">
        <v>39761157.093784764</v>
      </c>
      <c r="Y82" s="826">
        <v>49724030.704460219</v>
      </c>
      <c r="Z82" s="826">
        <v>62183281.630015403</v>
      </c>
      <c r="AA82" s="826">
        <v>77764422.141485095</v>
      </c>
      <c r="AB82" s="826">
        <v>97249697.868632734</v>
      </c>
      <c r="AC82" s="826">
        <v>121617360.16418028</v>
      </c>
      <c r="AD82" s="826">
        <v>152090778.86579859</v>
      </c>
      <c r="AE82" s="824">
        <v>190199861.14464399</v>
      </c>
      <c r="AF82" s="825">
        <v>237857859.95193514</v>
      </c>
      <c r="AG82" s="22"/>
      <c r="AH82" s="22"/>
      <c r="AI82" s="22"/>
      <c r="AJ82" s="22"/>
      <c r="AK82" s="22"/>
      <c r="AL82"/>
      <c r="AM82"/>
      <c r="AN82"/>
      <c r="AO82"/>
      <c r="AP82"/>
    </row>
    <row r="83" spans="1:42" s="7" customFormat="1" ht="21.9" customHeight="1" x14ac:dyDescent="0.25">
      <c r="B83" s="196"/>
      <c r="C83" s="217" t="str">
        <f>C23</f>
        <v>Zarrow St</v>
      </c>
      <c r="D83" s="217" t="s">
        <v>32</v>
      </c>
      <c r="E83" s="827" cm="1">
        <f t="array" ref="E83:AF83">_xlfn.ANCHORARRAY(E58) * costLife</f>
        <v>2597991.203486986</v>
      </c>
      <c r="F83" s="827">
        <v>2804580</v>
      </c>
      <c r="G83" s="827">
        <v>3027596.4621600001</v>
      </c>
      <c r="H83" s="827">
        <v>3268346.896035681</v>
      </c>
      <c r="I83" s="827">
        <v>3528241.4834125768</v>
      </c>
      <c r="J83" s="827">
        <v>3808802.541851568</v>
      </c>
      <c r="K83" s="827">
        <v>4111673.4415762159</v>
      </c>
      <c r="L83" s="827">
        <v>4438628.2314191014</v>
      </c>
      <c r="M83" s="827">
        <v>4791582.0302105732</v>
      </c>
      <c r="N83" s="827">
        <v>5172602.2444768781</v>
      </c>
      <c r="O83" s="827">
        <v>5583920.6781546883</v>
      </c>
      <c r="P83" s="827">
        <v>6027946.6052539786</v>
      </c>
      <c r="Q83" s="827">
        <v>6507280.882041635</v>
      </c>
      <c r="R83" s="827">
        <v>7024731.1814070772</v>
      </c>
      <c r="S83" s="827">
        <v>7583328.4386443254</v>
      </c>
      <c r="T83" s="827">
        <v>8186344.6049807379</v>
      </c>
      <c r="U83" s="827">
        <v>8837311.8128426671</v>
      </c>
      <c r="V83" s="827">
        <v>9540043.0651175007</v>
      </c>
      <c r="W83" s="827">
        <v>10298654.569598224</v>
      </c>
      <c r="X83" s="827">
        <v>11117589.849433251</v>
      </c>
      <c r="Y83" s="827">
        <v>12001645.770807052</v>
      </c>
      <c r="Z83" s="827">
        <v>12956000.640307268</v>
      </c>
      <c r="AA83" s="827">
        <v>13986244.536556982</v>
      </c>
      <c r="AB83" s="827">
        <v>15098412.053777946</v>
      </c>
      <c r="AC83" s="827">
        <v>16299017.649078298</v>
      </c>
      <c r="AD83" s="827">
        <v>17595093.800509475</v>
      </c>
      <c r="AE83" s="828">
        <v>18994232.199400924</v>
      </c>
      <c r="AF83" s="821">
        <v>20504628.218254354</v>
      </c>
      <c r="AG83" s="22"/>
      <c r="AH83" s="22"/>
      <c r="AI83" s="22"/>
      <c r="AJ83" s="22"/>
      <c r="AK83" s="22"/>
      <c r="AL83"/>
      <c r="AM83"/>
      <c r="AN83"/>
      <c r="AO83"/>
      <c r="AP83"/>
    </row>
    <row r="84" spans="1:42" s="7" customFormat="1" ht="21.9" customHeight="1" x14ac:dyDescent="0.25">
      <c r="B84" s="196"/>
      <c r="C84" s="114"/>
      <c r="D84" s="114" t="s">
        <v>33</v>
      </c>
      <c r="E84" s="828" cm="1">
        <f t="array" ref="E84:AF84">_xlfn.ANCHORARRAY(E59) * costInjury</f>
        <v>173966.42207205924</v>
      </c>
      <c r="F84" s="828">
        <v>187800</v>
      </c>
      <c r="G84" s="828">
        <v>202733.60560000001</v>
      </c>
      <c r="H84" s="828">
        <v>218854.71160583789</v>
      </c>
      <c r="I84" s="828">
        <v>236257.74646645202</v>
      </c>
      <c r="J84" s="828">
        <v>255044.64745513568</v>
      </c>
      <c r="K84" s="828">
        <v>275325.4577612381</v>
      </c>
      <c r="L84" s="828">
        <v>297218.97106180148</v>
      </c>
      <c r="M84" s="828">
        <v>320853.42734867457</v>
      </c>
      <c r="N84" s="828">
        <v>346367.26408687141</v>
      </c>
      <c r="O84" s="828">
        <v>373909.92710404063</v>
      </c>
      <c r="P84" s="828">
        <v>403642.74596078449</v>
      </c>
      <c r="Q84" s="828">
        <v>435739.87892925821</v>
      </c>
      <c r="R84" s="828">
        <v>470389.33311520761</v>
      </c>
      <c r="S84" s="828">
        <v>507794.06569875142</v>
      </c>
      <c r="T84" s="828">
        <v>548173.17274436192</v>
      </c>
      <c r="U84" s="828">
        <v>591763.17254343</v>
      </c>
      <c r="V84" s="828">
        <v>638819.39100652025</v>
      </c>
      <c r="W84" s="828">
        <v>689617.45722017076</v>
      </c>
      <c r="X84" s="828">
        <v>744454.91792837577</v>
      </c>
      <c r="Y84" s="828">
        <v>803652.9803954832</v>
      </c>
      <c r="Z84" s="828">
        <v>867558.39385922486</v>
      </c>
      <c r="AA84" s="828">
        <v>936545.48059438518</v>
      </c>
      <c r="AB84" s="828">
        <v>1011018.3284839436</v>
      </c>
      <c r="AC84" s="828">
        <v>1091413.1579405488</v>
      </c>
      <c r="AD84" s="828">
        <v>1178200.8770424372</v>
      </c>
      <c r="AE84" s="828">
        <v>1271889.8398503494</v>
      </c>
      <c r="AF84" s="821">
        <v>1373028.8240621292</v>
      </c>
      <c r="AG84" s="22"/>
      <c r="AH84" s="22"/>
      <c r="AI84" s="22"/>
      <c r="AJ84" s="22"/>
      <c r="AK84" s="22"/>
      <c r="AL84"/>
      <c r="AM84"/>
      <c r="AN84"/>
      <c r="AO84"/>
      <c r="AP84"/>
    </row>
    <row r="85" spans="1:42" s="7" customFormat="1" ht="21.9" customHeight="1" x14ac:dyDescent="0.25">
      <c r="B85" s="196"/>
      <c r="C85" s="114"/>
      <c r="D85" s="122" t="s">
        <v>30</v>
      </c>
      <c r="E85" s="822" cm="1">
        <f t="array" ref="E85:AF85">_xlfn.ANCHORARRAY(E60) * costPDO</f>
        <v>1685.9365717313517</v>
      </c>
      <c r="F85" s="822">
        <v>1820</v>
      </c>
      <c r="G85" s="822">
        <v>1964.7239733333336</v>
      </c>
      <c r="H85" s="822">
        <v>2120.9562040608362</v>
      </c>
      <c r="I85" s="822">
        <v>2289.6118134661483</v>
      </c>
      <c r="J85" s="822">
        <v>2471.6786920572254</v>
      </c>
      <c r="K85" s="822">
        <v>2668.2232860780268</v>
      </c>
      <c r="L85" s="822">
        <v>2880.3968441559036</v>
      </c>
      <c r="M85" s="822">
        <v>3109.4421606740557</v>
      </c>
      <c r="N85" s="822">
        <v>3356.7008553679761</v>
      </c>
      <c r="O85" s="822">
        <v>3623.6212317856975</v>
      </c>
      <c r="P85" s="822">
        <v>3911.7667606423211</v>
      </c>
      <c r="Q85" s="822">
        <v>4222.8252377595845</v>
      </c>
      <c r="R85" s="822">
        <v>4558.6186702325767</v>
      </c>
      <c r="S85" s="822">
        <v>4921.1139487312439</v>
      </c>
      <c r="T85" s="822">
        <v>5312.4343684490877</v>
      </c>
      <c r="U85" s="822">
        <v>5734.8720661823354</v>
      </c>
      <c r="V85" s="822">
        <v>6190.9014463890671</v>
      </c>
      <c r="W85" s="822">
        <v>6683.1936748706648</v>
      </c>
      <c r="X85" s="822">
        <v>7214.6323249714815</v>
      </c>
      <c r="Y85" s="822">
        <v>7788.3302679434473</v>
      </c>
      <c r="Z85" s="822">
        <v>8407.6479064099531</v>
      </c>
      <c r="AA85" s="822">
        <v>9076.2128577304647</v>
      </c>
      <c r="AB85" s="822">
        <v>9797.9412025600486</v>
      </c>
      <c r="AC85" s="822">
        <v>10577.060423066021</v>
      </c>
      <c r="AD85" s="822">
        <v>11418.134165161002</v>
      </c>
      <c r="AE85" s="828">
        <v>12326.088969795719</v>
      </c>
      <c r="AF85" s="821">
        <v>13306.243129888584</v>
      </c>
      <c r="AG85" s="22"/>
      <c r="AH85" s="22"/>
      <c r="AI85" s="22"/>
      <c r="AJ85" s="22"/>
      <c r="AK85" s="22"/>
      <c r="AL85"/>
      <c r="AM85"/>
      <c r="AN85"/>
      <c r="AO85"/>
      <c r="AP85"/>
    </row>
    <row r="86" spans="1:42" s="7" customFormat="1" ht="21.9" customHeight="1" x14ac:dyDescent="0.25">
      <c r="B86" s="196"/>
      <c r="C86" s="114"/>
      <c r="D86" s="237" t="s">
        <v>25</v>
      </c>
      <c r="E86" s="829" cm="1">
        <f t="array" ref="E86:AF86">_xlfn.ANCHORARRAY(E83) +_xlfn.ANCHORARRAY( E84) +_xlfn.ANCHORARRAY( E85)</f>
        <v>2773643.5621307762</v>
      </c>
      <c r="F86" s="826">
        <v>2994200</v>
      </c>
      <c r="G86" s="826">
        <v>3232294.7917333334</v>
      </c>
      <c r="H86" s="826">
        <v>3489322.56384558</v>
      </c>
      <c r="I86" s="826">
        <v>3766788.8416924952</v>
      </c>
      <c r="J86" s="826">
        <v>4066318.8679987611</v>
      </c>
      <c r="K86" s="826">
        <v>4389667.1226235321</v>
      </c>
      <c r="L86" s="826">
        <v>4738727.599325059</v>
      </c>
      <c r="M86" s="826">
        <v>5115544.8997199219</v>
      </c>
      <c r="N86" s="826">
        <v>5522326.2094191173</v>
      </c>
      <c r="O86" s="826">
        <v>5961454.2264905153</v>
      </c>
      <c r="P86" s="826">
        <v>6435501.1179754054</v>
      </c>
      <c r="Q86" s="826">
        <v>6947243.5862086527</v>
      </c>
      <c r="R86" s="826">
        <v>7499679.1331925178</v>
      </c>
      <c r="S86" s="826">
        <v>8096043.6182918083</v>
      </c>
      <c r="T86" s="826">
        <v>8739830.2120935488</v>
      </c>
      <c r="U86" s="826">
        <v>9434809.8574522808</v>
      </c>
      <c r="V86" s="826">
        <v>10185053.35757041</v>
      </c>
      <c r="W86" s="826">
        <v>10994955.220493264</v>
      </c>
      <c r="X86" s="826">
        <v>11869259.399686597</v>
      </c>
      <c r="Y86" s="826">
        <v>12813087.081470478</v>
      </c>
      <c r="Z86" s="826">
        <v>13831966.682072902</v>
      </c>
      <c r="AA86" s="826">
        <v>14931866.230009098</v>
      </c>
      <c r="AB86" s="826">
        <v>16119228.323464449</v>
      </c>
      <c r="AC86" s="826">
        <v>17401007.867441911</v>
      </c>
      <c r="AD86" s="826">
        <v>18784712.811717074</v>
      </c>
      <c r="AE86" s="824">
        <v>20278448.128221072</v>
      </c>
      <c r="AF86" s="825">
        <v>21890963.285446372</v>
      </c>
      <c r="AG86" s="22"/>
      <c r="AH86" s="22"/>
      <c r="AI86" s="22"/>
      <c r="AJ86" s="22"/>
      <c r="AK86" s="22"/>
      <c r="AL86"/>
      <c r="AM86"/>
      <c r="AN86"/>
      <c r="AO86"/>
      <c r="AP86"/>
    </row>
    <row r="87" spans="1:42" ht="21.9" customHeight="1" thickBot="1" x14ac:dyDescent="0.3">
      <c r="B87" s="198"/>
      <c r="C87" s="818" t="s">
        <v>25</v>
      </c>
      <c r="D87" s="830"/>
      <c r="E87" s="831" cm="1">
        <f t="array" ref="E87:AF87">_xlfn.ANCHORARRAY(E66)+_xlfn.ANCHORARRAY(E70)+_xlfn.ANCHORARRAY(E74)+_xlfn.ANCHORARRAY(E78)+_xlfn.ANCHORARRAY(E82)+_xlfn.ANCHORARRAY(E86)</f>
        <v>4053609.7001729803</v>
      </c>
      <c r="F87" s="831">
        <v>4472220</v>
      </c>
      <c r="G87" s="831">
        <v>4949229.8065900002</v>
      </c>
      <c r="H87" s="831">
        <v>5495601.4203357212</v>
      </c>
      <c r="I87" s="831">
        <v>6124745.4938267283</v>
      </c>
      <c r="J87" s="831">
        <v>6853108.6581600495</v>
      </c>
      <c r="K87" s="831">
        <v>7700905.8543267846</v>
      </c>
      <c r="L87" s="831">
        <v>8693033.3268203884</v>
      </c>
      <c r="M87" s="831">
        <v>9860207.2021579202</v>
      </c>
      <c r="N87" s="831">
        <v>11240383.779459309</v>
      </c>
      <c r="O87" s="831">
        <v>12880531.663175249</v>
      </c>
      <c r="P87" s="831">
        <v>14838843.369014133</v>
      </c>
      <c r="Q87" s="831">
        <v>17187495.907562949</v>
      </c>
      <c r="R87" s="831">
        <v>20016097.189216375</v>
      </c>
      <c r="S87" s="831">
        <v>23435989.265457809</v>
      </c>
      <c r="T87" s="831">
        <v>27585622.133779027</v>
      </c>
      <c r="U87" s="831">
        <v>32637265.22250171</v>
      </c>
      <c r="V87" s="831">
        <v>38805390.407773152</v>
      </c>
      <c r="W87" s="831">
        <v>46357143.836463191</v>
      </c>
      <c r="X87" s="831">
        <v>55625428.109332807</v>
      </c>
      <c r="Y87" s="831">
        <v>67025246.736820638</v>
      </c>
      <c r="Z87" s="831">
        <v>81074125.739065289</v>
      </c>
      <c r="AA87" s="831">
        <v>98417630.978984639</v>
      </c>
      <c r="AB87" s="831">
        <v>119861254.49038197</v>
      </c>
      <c r="AC87" s="831">
        <v>146410261.44254085</v>
      </c>
      <c r="AD87" s="831">
        <v>179319487.41037041</v>
      </c>
      <c r="AE87" s="832">
        <v>220155573.226946</v>
      </c>
      <c r="AF87" s="833">
        <v>270874746.80466747</v>
      </c>
      <c r="AG87" s="29"/>
      <c r="AH87" s="29"/>
      <c r="AI87" s="29"/>
      <c r="AJ87" s="29"/>
      <c r="AK87" s="29"/>
    </row>
    <row r="89" spans="1:42" ht="21.9" customHeight="1" x14ac:dyDescent="0.25">
      <c r="E89"/>
    </row>
    <row r="90" spans="1:42" ht="21.9" customHeight="1" x14ac:dyDescent="0.25">
      <c r="A90" s="223"/>
      <c r="B90" s="224" t="s">
        <v>492</v>
      </c>
      <c r="D90"/>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row>
    <row r="91" spans="1:42" ht="21.9" customHeight="1" thickBot="1" x14ac:dyDescent="0.3">
      <c r="D91"/>
      <c r="E91"/>
      <c r="F91"/>
      <c r="G91"/>
      <c r="H91"/>
      <c r="I91"/>
      <c r="J91"/>
      <c r="K91"/>
      <c r="L91"/>
      <c r="M91"/>
    </row>
    <row r="92" spans="1:42" s="6" customFormat="1" ht="21.9" customHeight="1" thickBot="1" x14ac:dyDescent="0.3">
      <c r="A92"/>
      <c r="B92" s="193"/>
      <c r="C92" s="459" t="s">
        <v>18</v>
      </c>
      <c r="D92" s="459" t="s">
        <v>37</v>
      </c>
      <c r="E92" s="462">
        <v>2021</v>
      </c>
      <c r="F92" s="462">
        <f>E92+1</f>
        <v>2022</v>
      </c>
      <c r="G92" s="462">
        <f t="shared" ref="G92:AF92" si="53">F92+1</f>
        <v>2023</v>
      </c>
      <c r="H92" s="462">
        <f t="shared" si="53"/>
        <v>2024</v>
      </c>
      <c r="I92" s="462">
        <f t="shared" si="53"/>
        <v>2025</v>
      </c>
      <c r="J92" s="462">
        <f t="shared" si="53"/>
        <v>2026</v>
      </c>
      <c r="K92" s="462">
        <f t="shared" si="53"/>
        <v>2027</v>
      </c>
      <c r="L92" s="462">
        <f t="shared" si="53"/>
        <v>2028</v>
      </c>
      <c r="M92" s="462">
        <f t="shared" si="53"/>
        <v>2029</v>
      </c>
      <c r="N92" s="462">
        <f t="shared" si="53"/>
        <v>2030</v>
      </c>
      <c r="O92" s="462">
        <f t="shared" si="53"/>
        <v>2031</v>
      </c>
      <c r="P92" s="462">
        <f t="shared" si="53"/>
        <v>2032</v>
      </c>
      <c r="Q92" s="462">
        <f t="shared" si="53"/>
        <v>2033</v>
      </c>
      <c r="R92" s="462">
        <f t="shared" si="53"/>
        <v>2034</v>
      </c>
      <c r="S92" s="462">
        <f t="shared" si="53"/>
        <v>2035</v>
      </c>
      <c r="T92" s="462">
        <f t="shared" si="53"/>
        <v>2036</v>
      </c>
      <c r="U92" s="462">
        <f t="shared" si="53"/>
        <v>2037</v>
      </c>
      <c r="V92" s="462">
        <f t="shared" si="53"/>
        <v>2038</v>
      </c>
      <c r="W92" s="462">
        <f t="shared" si="53"/>
        <v>2039</v>
      </c>
      <c r="X92" s="462">
        <f t="shared" si="53"/>
        <v>2040</v>
      </c>
      <c r="Y92" s="462">
        <f t="shared" si="53"/>
        <v>2041</v>
      </c>
      <c r="Z92" s="462">
        <f t="shared" si="53"/>
        <v>2042</v>
      </c>
      <c r="AA92" s="462">
        <f t="shared" si="53"/>
        <v>2043</v>
      </c>
      <c r="AB92" s="462">
        <f t="shared" si="53"/>
        <v>2044</v>
      </c>
      <c r="AC92" s="462">
        <f t="shared" si="53"/>
        <v>2045</v>
      </c>
      <c r="AD92" s="462">
        <f t="shared" si="53"/>
        <v>2046</v>
      </c>
      <c r="AE92" s="462">
        <f t="shared" si="53"/>
        <v>2047</v>
      </c>
      <c r="AF92" s="807">
        <f t="shared" si="53"/>
        <v>2048</v>
      </c>
      <c r="AG92" s="247"/>
      <c r="AH92" s="247"/>
      <c r="AI92" s="247"/>
      <c r="AJ92" s="247"/>
      <c r="AK92" s="247"/>
      <c r="AL92"/>
      <c r="AM92"/>
      <c r="AN92"/>
      <c r="AO92"/>
      <c r="AP92"/>
    </row>
    <row r="93" spans="1:42" s="7" customFormat="1" ht="21.9" customHeight="1" x14ac:dyDescent="0.25">
      <c r="B93" s="230" t="s">
        <v>379</v>
      </c>
      <c r="C93" s="245" t="str">
        <f>C8</f>
        <v>US-412/SH-412B</v>
      </c>
      <c r="D93" s="744" t="s">
        <v>32</v>
      </c>
      <c r="E93" s="701" cm="1">
        <f t="array" ref="E93:AF93">_xlfn.ANCHORARRAY(E38) * $M$19</f>
        <v>0</v>
      </c>
      <c r="F93" s="701">
        <v>0</v>
      </c>
      <c r="G93" s="701">
        <v>0</v>
      </c>
      <c r="H93" s="701">
        <v>0</v>
      </c>
      <c r="I93" s="701">
        <v>0</v>
      </c>
      <c r="J93" s="701">
        <v>0</v>
      </c>
      <c r="K93" s="701">
        <v>0</v>
      </c>
      <c r="L93" s="701">
        <v>0</v>
      </c>
      <c r="M93" s="701">
        <v>0</v>
      </c>
      <c r="N93" s="701">
        <v>0</v>
      </c>
      <c r="O93" s="701">
        <v>0</v>
      </c>
      <c r="P93" s="701">
        <v>0</v>
      </c>
      <c r="Q93" s="701">
        <v>0</v>
      </c>
      <c r="R93" s="701">
        <v>0</v>
      </c>
      <c r="S93" s="701">
        <v>0</v>
      </c>
      <c r="T93" s="701">
        <v>0</v>
      </c>
      <c r="U93" s="701">
        <v>0</v>
      </c>
      <c r="V93" s="701">
        <v>0</v>
      </c>
      <c r="W93" s="701">
        <v>0</v>
      </c>
      <c r="X93" s="701">
        <v>0</v>
      </c>
      <c r="Y93" s="701">
        <v>0</v>
      </c>
      <c r="Z93" s="701">
        <v>0</v>
      </c>
      <c r="AA93" s="701">
        <v>0</v>
      </c>
      <c r="AB93" s="701">
        <v>0</v>
      </c>
      <c r="AC93" s="701">
        <v>0</v>
      </c>
      <c r="AD93" s="701">
        <v>0</v>
      </c>
      <c r="AE93" s="701">
        <v>0</v>
      </c>
      <c r="AF93" s="726">
        <v>0</v>
      </c>
      <c r="AG93" s="17"/>
      <c r="AH93" s="17"/>
      <c r="AI93" s="17"/>
      <c r="AJ93" s="17"/>
      <c r="AK93" s="17"/>
      <c r="AL93"/>
      <c r="AM93"/>
      <c r="AN93"/>
      <c r="AO93"/>
      <c r="AP93"/>
    </row>
    <row r="94" spans="1:42" s="7" customFormat="1" ht="21.9" customHeight="1" x14ac:dyDescent="0.25">
      <c r="B94" s="229" t="s">
        <v>69</v>
      </c>
      <c r="C94" s="225" t="str">
        <f>C9</f>
        <v>(Interchange)</v>
      </c>
      <c r="D94" s="114" t="s">
        <v>33</v>
      </c>
      <c r="E94" s="552" cm="1">
        <f t="array" ref="E94:AF94">_xlfn.ANCHORARRAY(E39) * $M$19</f>
        <v>1.7293199427490293</v>
      </c>
      <c r="F94" s="552">
        <v>1.8480000000000001</v>
      </c>
      <c r="G94" s="552">
        <v>1.974824852</v>
      </c>
      <c r="H94" s="552">
        <v>2.110353461080531</v>
      </c>
      <c r="I94" s="552">
        <v>2.2551831501331421</v>
      </c>
      <c r="J94" s="552">
        <v>2.4099522352243379</v>
      </c>
      <c r="K94" s="552">
        <v>2.5753428388820194</v>
      </c>
      <c r="L94" s="552">
        <v>2.7520838964526209</v>
      </c>
      <c r="M94" s="552">
        <v>2.9409543687790203</v>
      </c>
      <c r="N94" s="552">
        <v>3.1427866753586478</v>
      </c>
      <c r="O94" s="552">
        <v>3.3584703631129402</v>
      </c>
      <c r="P94" s="552">
        <v>3.5889560269377152</v>
      </c>
      <c r="Q94" s="552">
        <v>3.8352594993137341</v>
      </c>
      <c r="R94" s="552">
        <v>4.0984663274425532</v>
      </c>
      <c r="S94" s="552">
        <v>4.3797365576400011</v>
      </c>
      <c r="T94" s="552">
        <v>4.6803098480738123</v>
      </c>
      <c r="U94" s="552">
        <v>5.0015109323790625</v>
      </c>
      <c r="V94" s="552">
        <v>5.3447554582315284</v>
      </c>
      <c r="W94" s="552">
        <v>5.7115562266116173</v>
      </c>
      <c r="X94" s="552">
        <v>6.1035298592575558</v>
      </c>
      <c r="Y94" s="552">
        <v>6.52240392369366</v>
      </c>
      <c r="Z94" s="552">
        <v>6.9700245472362283</v>
      </c>
      <c r="AA94" s="552">
        <v>7.4483645535347129</v>
      </c>
      <c r="AB94" s="552">
        <v>7.9595321575087858</v>
      </c>
      <c r="AC94" s="552">
        <v>8.505780257002991</v>
      </c>
      <c r="AD94" s="552">
        <v>9.0895163621106327</v>
      </c>
      <c r="AE94" s="552">
        <v>9.7133132059289551</v>
      </c>
      <c r="AF94" s="727">
        <v>10.379920083510981</v>
      </c>
      <c r="AG94" s="17"/>
      <c r="AH94" s="17"/>
      <c r="AI94" s="17"/>
      <c r="AJ94" s="17"/>
      <c r="AK94" s="17"/>
      <c r="AL94"/>
      <c r="AM94"/>
      <c r="AN94"/>
      <c r="AO94"/>
      <c r="AP94"/>
    </row>
    <row r="95" spans="1:42" s="7" customFormat="1" ht="21.9" customHeight="1" x14ac:dyDescent="0.25">
      <c r="B95" s="196"/>
      <c r="C95" s="114"/>
      <c r="D95" s="122" t="s">
        <v>30</v>
      </c>
      <c r="E95" s="813" cm="1">
        <f t="array" ref="E95:AF95">_xlfn.ANCHORARRAY(E40) * $M$19</f>
        <v>1.4148981349764784</v>
      </c>
      <c r="F95" s="813">
        <v>1.512</v>
      </c>
      <c r="G95" s="813">
        <v>1.6157657879999998</v>
      </c>
      <c r="H95" s="813">
        <v>1.7266528317931615</v>
      </c>
      <c r="I95" s="813">
        <v>1.8451498501089345</v>
      </c>
      <c r="J95" s="813">
        <v>1.9717791015471855</v>
      </c>
      <c r="K95" s="813">
        <v>2.1070986863580154</v>
      </c>
      <c r="L95" s="813">
        <v>2.2517050061885078</v>
      </c>
      <c r="M95" s="813">
        <v>2.4062353926373801</v>
      </c>
      <c r="N95" s="813">
        <v>2.5713709162025302</v>
      </c>
      <c r="O95" s="813">
        <v>2.7478393880014962</v>
      </c>
      <c r="P95" s="813">
        <v>2.9364185674944943</v>
      </c>
      <c r="Q95" s="813">
        <v>3.1379395903476004</v>
      </c>
      <c r="R95" s="813">
        <v>3.3532906315439068</v>
      </c>
      <c r="S95" s="813">
        <v>3.5834208198872739</v>
      </c>
      <c r="T95" s="813">
        <v>3.8293444211513008</v>
      </c>
      <c r="U95" s="813">
        <v>4.0921453083101422</v>
      </c>
      <c r="V95" s="813">
        <v>4.3729817385530687</v>
      </c>
      <c r="W95" s="813">
        <v>4.6730914581367777</v>
      </c>
      <c r="X95" s="813">
        <v>4.993797157574364</v>
      </c>
      <c r="Y95" s="813">
        <v>5.3365123012039026</v>
      </c>
      <c r="Z95" s="813">
        <v>5.702747356829641</v>
      </c>
      <c r="AA95" s="813">
        <v>6.0941164528920373</v>
      </c>
      <c r="AB95" s="813">
        <v>6.5123444925071885</v>
      </c>
      <c r="AC95" s="813">
        <v>6.9592747557297194</v>
      </c>
      <c r="AD95" s="813">
        <v>7.4368770235450636</v>
      </c>
      <c r="AE95" s="813">
        <v>7.9472562593964176</v>
      </c>
      <c r="AF95" s="834">
        <v>8.4926618865089836</v>
      </c>
      <c r="AG95" s="17"/>
      <c r="AH95" s="17"/>
      <c r="AI95" s="17"/>
      <c r="AJ95" s="17"/>
      <c r="AK95" s="17"/>
      <c r="AL95"/>
      <c r="AM95"/>
      <c r="AN95"/>
      <c r="AO95"/>
      <c r="AP95"/>
    </row>
    <row r="96" spans="1:42" s="7" customFormat="1" ht="21.9" customHeight="1" x14ac:dyDescent="0.25">
      <c r="B96" s="196"/>
      <c r="C96" s="122"/>
      <c r="D96" s="695" t="s">
        <v>25</v>
      </c>
      <c r="E96" s="814" cm="1">
        <f t="array" ref="E96:AF96">_xlfn.ANCHORARRAY(E41) * $M$19</f>
        <v>3.1442180777255073</v>
      </c>
      <c r="F96" s="814">
        <v>3.36</v>
      </c>
      <c r="G96" s="814">
        <v>3.5905906399999998</v>
      </c>
      <c r="H96" s="814">
        <v>3.8370062928736925</v>
      </c>
      <c r="I96" s="814">
        <v>4.1003330002420766</v>
      </c>
      <c r="J96" s="814">
        <v>4.3817313367715238</v>
      </c>
      <c r="K96" s="814">
        <v>4.6824415252400344</v>
      </c>
      <c r="L96" s="814">
        <v>5.0037889026411291</v>
      </c>
      <c r="M96" s="814">
        <v>5.3471897614164003</v>
      </c>
      <c r="N96" s="814">
        <v>5.714157591561178</v>
      </c>
      <c r="O96" s="814">
        <v>6.1063097511144369</v>
      </c>
      <c r="P96" s="814">
        <v>6.5253745944322095</v>
      </c>
      <c r="Q96" s="814">
        <v>6.9731990896613345</v>
      </c>
      <c r="R96" s="814">
        <v>7.4517569589864596</v>
      </c>
      <c r="S96" s="814">
        <v>7.963157377527275</v>
      </c>
      <c r="T96" s="814">
        <v>8.5096542692251145</v>
      </c>
      <c r="U96" s="814">
        <v>9.0936562406892048</v>
      </c>
      <c r="V96" s="814">
        <v>9.7177371967845954</v>
      </c>
      <c r="W96" s="814">
        <v>10.384647684748396</v>
      </c>
      <c r="X96" s="814">
        <v>11.097327016831919</v>
      </c>
      <c r="Y96" s="814">
        <v>11.858916224897563</v>
      </c>
      <c r="Z96" s="814">
        <v>12.67277190406587</v>
      </c>
      <c r="AA96" s="814">
        <v>13.542481006426749</v>
      </c>
      <c r="AB96" s="814">
        <v>14.471876650015973</v>
      </c>
      <c r="AC96" s="814">
        <v>15.465055012732709</v>
      </c>
      <c r="AD96" s="814">
        <v>16.526393385655698</v>
      </c>
      <c r="AE96" s="814">
        <v>17.660569465325374</v>
      </c>
      <c r="AF96" s="835">
        <v>18.872581970019965</v>
      </c>
      <c r="AG96" s="17"/>
      <c r="AH96" s="17"/>
      <c r="AI96" s="17"/>
      <c r="AJ96" s="17"/>
      <c r="AK96" s="17"/>
      <c r="AL96"/>
      <c r="AM96"/>
      <c r="AN96"/>
      <c r="AO96"/>
      <c r="AP96"/>
    </row>
    <row r="97" spans="2:42" s="7" customFormat="1" ht="21.9" customHeight="1" x14ac:dyDescent="0.25">
      <c r="B97" s="196"/>
      <c r="C97" s="225" t="str">
        <f>C11</f>
        <v>SH-412B</v>
      </c>
      <c r="D97" s="114" t="s">
        <v>32</v>
      </c>
      <c r="E97" s="552" cm="1">
        <f t="array" ref="E97:AF97">_xlfn.ANCHORARRAY(E42) *$M$20</f>
        <v>0</v>
      </c>
      <c r="F97" s="552">
        <v>0</v>
      </c>
      <c r="G97" s="552">
        <v>0</v>
      </c>
      <c r="H97" s="552">
        <v>0</v>
      </c>
      <c r="I97" s="552">
        <v>0</v>
      </c>
      <c r="J97" s="552">
        <v>0</v>
      </c>
      <c r="K97" s="552">
        <v>0</v>
      </c>
      <c r="L97" s="552">
        <v>0</v>
      </c>
      <c r="M97" s="552">
        <v>0</v>
      </c>
      <c r="N97" s="552">
        <v>0</v>
      </c>
      <c r="O97" s="552">
        <v>0</v>
      </c>
      <c r="P97" s="552">
        <v>0</v>
      </c>
      <c r="Q97" s="552">
        <v>0</v>
      </c>
      <c r="R97" s="552">
        <v>0</v>
      </c>
      <c r="S97" s="552">
        <v>0</v>
      </c>
      <c r="T97" s="552">
        <v>0</v>
      </c>
      <c r="U97" s="552">
        <v>0</v>
      </c>
      <c r="V97" s="552">
        <v>0</v>
      </c>
      <c r="W97" s="552">
        <v>0</v>
      </c>
      <c r="X97" s="552">
        <v>0</v>
      </c>
      <c r="Y97" s="552">
        <v>0</v>
      </c>
      <c r="Z97" s="552">
        <v>0</v>
      </c>
      <c r="AA97" s="552">
        <v>0</v>
      </c>
      <c r="AB97" s="552">
        <v>0</v>
      </c>
      <c r="AC97" s="552">
        <v>0</v>
      </c>
      <c r="AD97" s="552">
        <v>0</v>
      </c>
      <c r="AE97" s="552">
        <v>0</v>
      </c>
      <c r="AF97" s="727">
        <v>0</v>
      </c>
      <c r="AG97" s="17"/>
      <c r="AH97" s="17"/>
      <c r="AI97" s="17"/>
      <c r="AJ97" s="17"/>
      <c r="AK97" s="17"/>
      <c r="AL97"/>
      <c r="AM97"/>
      <c r="AN97"/>
      <c r="AO97"/>
      <c r="AP97"/>
    </row>
    <row r="98" spans="2:42" s="7" customFormat="1" ht="21.9" customHeight="1" x14ac:dyDescent="0.25">
      <c r="B98" s="196"/>
      <c r="C98" s="225" t="str">
        <f>C12</f>
        <v>(Roundabout)</v>
      </c>
      <c r="D98" s="114" t="s">
        <v>33</v>
      </c>
      <c r="E98" s="552" cm="1">
        <f t="array" ref="E98:AF98">_xlfn.ANCHORARRAY(E43) *$M$20</f>
        <v>0</v>
      </c>
      <c r="F98" s="552">
        <v>0</v>
      </c>
      <c r="G98" s="552">
        <v>0</v>
      </c>
      <c r="H98" s="552">
        <v>0</v>
      </c>
      <c r="I98" s="552">
        <v>0</v>
      </c>
      <c r="J98" s="552">
        <v>0</v>
      </c>
      <c r="K98" s="552">
        <v>0</v>
      </c>
      <c r="L98" s="552">
        <v>0</v>
      </c>
      <c r="M98" s="552">
        <v>0</v>
      </c>
      <c r="N98" s="552">
        <v>0</v>
      </c>
      <c r="O98" s="552">
        <v>0</v>
      </c>
      <c r="P98" s="552">
        <v>0</v>
      </c>
      <c r="Q98" s="552">
        <v>0</v>
      </c>
      <c r="R98" s="552">
        <v>0</v>
      </c>
      <c r="S98" s="552">
        <v>0</v>
      </c>
      <c r="T98" s="552">
        <v>0</v>
      </c>
      <c r="U98" s="552">
        <v>0</v>
      </c>
      <c r="V98" s="552">
        <v>0</v>
      </c>
      <c r="W98" s="552">
        <v>0</v>
      </c>
      <c r="X98" s="552">
        <v>0</v>
      </c>
      <c r="Y98" s="552">
        <v>0</v>
      </c>
      <c r="Z98" s="552">
        <v>0</v>
      </c>
      <c r="AA98" s="552">
        <v>0</v>
      </c>
      <c r="AB98" s="552">
        <v>0</v>
      </c>
      <c r="AC98" s="552">
        <v>0</v>
      </c>
      <c r="AD98" s="552">
        <v>0</v>
      </c>
      <c r="AE98" s="552">
        <v>0</v>
      </c>
      <c r="AF98" s="727">
        <v>0</v>
      </c>
      <c r="AG98" s="17"/>
      <c r="AH98" s="17"/>
      <c r="AI98" s="17"/>
      <c r="AJ98" s="17"/>
      <c r="AK98" s="17"/>
      <c r="AL98"/>
      <c r="AM98"/>
      <c r="AN98"/>
      <c r="AO98"/>
      <c r="AP98"/>
    </row>
    <row r="99" spans="2:42" s="7" customFormat="1" ht="21.9" customHeight="1" x14ac:dyDescent="0.25">
      <c r="B99" s="196"/>
      <c r="C99" s="114"/>
      <c r="D99" s="122" t="s">
        <v>30</v>
      </c>
      <c r="E99" s="562" cm="1">
        <f t="array" ref="E99:AF99">_xlfn.ANCHORARRAY(E44) *$M$20</f>
        <v>0</v>
      </c>
      <c r="F99" s="813">
        <v>0</v>
      </c>
      <c r="G99" s="813">
        <v>0</v>
      </c>
      <c r="H99" s="813">
        <v>0</v>
      </c>
      <c r="I99" s="813">
        <v>0</v>
      </c>
      <c r="J99" s="813">
        <v>0</v>
      </c>
      <c r="K99" s="813">
        <v>0</v>
      </c>
      <c r="L99" s="813">
        <v>0</v>
      </c>
      <c r="M99" s="813">
        <v>0</v>
      </c>
      <c r="N99" s="813">
        <v>0</v>
      </c>
      <c r="O99" s="813">
        <v>0</v>
      </c>
      <c r="P99" s="813">
        <v>0</v>
      </c>
      <c r="Q99" s="813">
        <v>0</v>
      </c>
      <c r="R99" s="813">
        <v>0</v>
      </c>
      <c r="S99" s="813">
        <v>0</v>
      </c>
      <c r="T99" s="813">
        <v>0</v>
      </c>
      <c r="U99" s="813">
        <v>0</v>
      </c>
      <c r="V99" s="813">
        <v>0</v>
      </c>
      <c r="W99" s="813">
        <v>0</v>
      </c>
      <c r="X99" s="813">
        <v>0</v>
      </c>
      <c r="Y99" s="813">
        <v>0</v>
      </c>
      <c r="Z99" s="813">
        <v>0</v>
      </c>
      <c r="AA99" s="813">
        <v>0</v>
      </c>
      <c r="AB99" s="813">
        <v>0</v>
      </c>
      <c r="AC99" s="813">
        <v>0</v>
      </c>
      <c r="AD99" s="813">
        <v>0</v>
      </c>
      <c r="AE99" s="813">
        <v>0</v>
      </c>
      <c r="AF99" s="834">
        <v>0</v>
      </c>
      <c r="AG99" s="17"/>
      <c r="AH99" s="17"/>
      <c r="AI99" s="17"/>
      <c r="AJ99" s="17"/>
      <c r="AK99" s="17"/>
      <c r="AL99"/>
      <c r="AM99"/>
      <c r="AN99"/>
      <c r="AO99"/>
      <c r="AP99"/>
    </row>
    <row r="100" spans="2:42" s="7" customFormat="1" ht="21.9" customHeight="1" x14ac:dyDescent="0.25">
      <c r="B100" s="196"/>
      <c r="C100" s="122"/>
      <c r="D100" s="695" t="s">
        <v>25</v>
      </c>
      <c r="E100" s="814" cm="1">
        <f t="array" ref="E100">_xlfn.ANCHORARRAY(E45) * $M$20</f>
        <v>0</v>
      </c>
      <c r="F100" s="814" cm="1">
        <f t="array" ref="F100">_xlfn.ANCHORARRAY(F45) * $M$20</f>
        <v>0</v>
      </c>
      <c r="G100" s="814" cm="1">
        <f t="array" ref="G100">_xlfn.ANCHORARRAY(G45) * $M$20</f>
        <v>0</v>
      </c>
      <c r="H100" s="814" cm="1">
        <f t="array" ref="H100">_xlfn.ANCHORARRAY(H45) * $M$20</f>
        <v>0</v>
      </c>
      <c r="I100" s="814" cm="1">
        <f t="array" ref="I100">_xlfn.ANCHORARRAY(I45) * $M$20</f>
        <v>0</v>
      </c>
      <c r="J100" s="814" cm="1">
        <f t="array" ref="J100">_xlfn.ANCHORARRAY(J45) * $M$20</f>
        <v>0</v>
      </c>
      <c r="K100" s="814" cm="1">
        <f t="array" ref="K100">_xlfn.ANCHORARRAY(K45) * $M$20</f>
        <v>0</v>
      </c>
      <c r="L100" s="814" cm="1">
        <f t="array" ref="L100">_xlfn.ANCHORARRAY(L45) * $M$20</f>
        <v>0</v>
      </c>
      <c r="M100" s="814" cm="1">
        <f t="array" ref="M100">_xlfn.ANCHORARRAY(M45) * $M$20</f>
        <v>0</v>
      </c>
      <c r="N100" s="814" cm="1">
        <f t="array" ref="N100">_xlfn.ANCHORARRAY(N45) * $M$20</f>
        <v>0</v>
      </c>
      <c r="O100" s="814" cm="1">
        <f t="array" ref="O100">_xlfn.ANCHORARRAY(O45) * $M$20</f>
        <v>0</v>
      </c>
      <c r="P100" s="814" cm="1">
        <f t="array" ref="P100">_xlfn.ANCHORARRAY(P45) * $M$20</f>
        <v>0</v>
      </c>
      <c r="Q100" s="814" cm="1">
        <f t="array" ref="Q100">_xlfn.ANCHORARRAY(Q45) * $M$20</f>
        <v>0</v>
      </c>
      <c r="R100" s="814" cm="1">
        <f t="array" ref="R100">_xlfn.ANCHORARRAY(R45) * $M$20</f>
        <v>0</v>
      </c>
      <c r="S100" s="814" cm="1">
        <f t="array" ref="S100">_xlfn.ANCHORARRAY(S45) * $M$20</f>
        <v>0</v>
      </c>
      <c r="T100" s="814" cm="1">
        <f t="array" ref="T100">_xlfn.ANCHORARRAY(T45) * $M$20</f>
        <v>0</v>
      </c>
      <c r="U100" s="814" cm="1">
        <f t="array" ref="U100">_xlfn.ANCHORARRAY(U45) * $M$20</f>
        <v>0</v>
      </c>
      <c r="V100" s="814" cm="1">
        <f t="array" ref="V100">_xlfn.ANCHORARRAY(V45) * $M$20</f>
        <v>0</v>
      </c>
      <c r="W100" s="814" cm="1">
        <f t="array" ref="W100">_xlfn.ANCHORARRAY(W45) * $M$20</f>
        <v>0</v>
      </c>
      <c r="X100" s="814" cm="1">
        <f t="array" ref="X100">_xlfn.ANCHORARRAY(X45) * $M$20</f>
        <v>0</v>
      </c>
      <c r="Y100" s="814" cm="1">
        <f t="array" ref="Y100">_xlfn.ANCHORARRAY(Y45) * $M$20</f>
        <v>0</v>
      </c>
      <c r="Z100" s="814" cm="1">
        <f t="array" ref="Z100">_xlfn.ANCHORARRAY(Z45) * $M$20</f>
        <v>0</v>
      </c>
      <c r="AA100" s="814" cm="1">
        <f t="array" ref="AA100">_xlfn.ANCHORARRAY(AA45) * $M$20</f>
        <v>0</v>
      </c>
      <c r="AB100" s="814" cm="1">
        <f t="array" ref="AB100">_xlfn.ANCHORARRAY(AB45) * $M$20</f>
        <v>0</v>
      </c>
      <c r="AC100" s="814" cm="1">
        <f t="array" ref="AC100">_xlfn.ANCHORARRAY(AC45) * $M$20</f>
        <v>0</v>
      </c>
      <c r="AD100" s="814" cm="1">
        <f t="array" ref="AD100">_xlfn.ANCHORARRAY(AD45) * $M$20</f>
        <v>0</v>
      </c>
      <c r="AE100" s="814" cm="1">
        <f t="array" ref="AE100">_xlfn.ANCHORARRAY(AE45) * $M$20</f>
        <v>0</v>
      </c>
      <c r="AF100" s="835" cm="1">
        <f t="array" ref="AF100">_xlfn.ANCHORARRAY(AF45) * $M$20</f>
        <v>0</v>
      </c>
      <c r="AG100" s="17"/>
      <c r="AH100" s="17"/>
      <c r="AI100" s="17"/>
      <c r="AJ100" s="17"/>
      <c r="AK100" s="17"/>
      <c r="AL100"/>
      <c r="AM100"/>
      <c r="AN100"/>
      <c r="AO100"/>
      <c r="AP100"/>
    </row>
    <row r="101" spans="2:42" s="7" customFormat="1" ht="21.9" customHeight="1" x14ac:dyDescent="0.25">
      <c r="B101" s="196"/>
      <c r="C101" s="225" t="str">
        <f>C14</f>
        <v>Patrol Rd</v>
      </c>
      <c r="D101" s="114" t="s">
        <v>32</v>
      </c>
      <c r="E101" s="552" cm="1">
        <f t="array" ref="E101:AF101">_xlfn.ANCHORARRAY(E46) * $M$21</f>
        <v>0</v>
      </c>
      <c r="F101" s="552">
        <v>0</v>
      </c>
      <c r="G101" s="552">
        <v>0</v>
      </c>
      <c r="H101" s="552">
        <v>0</v>
      </c>
      <c r="I101" s="552">
        <v>0</v>
      </c>
      <c r="J101" s="552">
        <v>0</v>
      </c>
      <c r="K101" s="552">
        <v>0</v>
      </c>
      <c r="L101" s="552">
        <v>0</v>
      </c>
      <c r="M101" s="552">
        <v>0</v>
      </c>
      <c r="N101" s="552">
        <v>0</v>
      </c>
      <c r="O101" s="552">
        <v>0</v>
      </c>
      <c r="P101" s="552">
        <v>0</v>
      </c>
      <c r="Q101" s="552">
        <v>0</v>
      </c>
      <c r="R101" s="552">
        <v>0</v>
      </c>
      <c r="S101" s="552">
        <v>0</v>
      </c>
      <c r="T101" s="552">
        <v>0</v>
      </c>
      <c r="U101" s="552">
        <v>0</v>
      </c>
      <c r="V101" s="552">
        <v>0</v>
      </c>
      <c r="W101" s="552">
        <v>0</v>
      </c>
      <c r="X101" s="552">
        <v>0</v>
      </c>
      <c r="Y101" s="552">
        <v>0</v>
      </c>
      <c r="Z101" s="552">
        <v>0</v>
      </c>
      <c r="AA101" s="552">
        <v>0</v>
      </c>
      <c r="AB101" s="552">
        <v>0</v>
      </c>
      <c r="AC101" s="552">
        <v>0</v>
      </c>
      <c r="AD101" s="552">
        <v>0</v>
      </c>
      <c r="AE101" s="552">
        <v>0</v>
      </c>
      <c r="AF101" s="727">
        <v>0</v>
      </c>
      <c r="AG101" s="17"/>
      <c r="AH101" s="17"/>
      <c r="AI101" s="17"/>
      <c r="AJ101" s="17"/>
      <c r="AK101" s="17"/>
      <c r="AL101"/>
      <c r="AM101"/>
      <c r="AN101"/>
      <c r="AO101"/>
      <c r="AP101"/>
    </row>
    <row r="102" spans="2:42" s="7" customFormat="1" ht="21.9" customHeight="1" x14ac:dyDescent="0.25">
      <c r="B102" s="196"/>
      <c r="C102" s="225"/>
      <c r="D102" s="114" t="s">
        <v>33</v>
      </c>
      <c r="E102" s="552" cm="1">
        <f t="array" ref="E102:AF102">_xlfn.ANCHORARRAY(E47) * $M$21</f>
        <v>0.13626367694512029</v>
      </c>
      <c r="F102" s="552">
        <v>0.16351641233414432</v>
      </c>
      <c r="G102" s="552">
        <v>0.19621969480097318</v>
      </c>
      <c r="H102" s="552">
        <v>0.2354636337611678</v>
      </c>
      <c r="I102" s="552">
        <v>0.28255636051340138</v>
      </c>
      <c r="J102" s="552">
        <v>0.33906763261608164</v>
      </c>
      <c r="K102" s="552">
        <v>0.40688115913929795</v>
      </c>
      <c r="L102" s="552">
        <v>0.48825739096715753</v>
      </c>
      <c r="M102" s="552">
        <v>0.58590886916058904</v>
      </c>
      <c r="N102" s="552">
        <v>0.70309064299270685</v>
      </c>
      <c r="O102" s="552">
        <v>0.84370877159124824</v>
      </c>
      <c r="P102" s="552">
        <v>1.0124505259094978</v>
      </c>
      <c r="Q102" s="552">
        <v>1.2149406310913975</v>
      </c>
      <c r="R102" s="552">
        <v>1.4579287573096766</v>
      </c>
      <c r="S102" s="552">
        <v>1.749514508771612</v>
      </c>
      <c r="T102" s="552">
        <v>2.0994174105259344</v>
      </c>
      <c r="U102" s="552">
        <v>2.5193008926311218</v>
      </c>
      <c r="V102" s="552">
        <v>3.0231610711573453</v>
      </c>
      <c r="W102" s="552">
        <v>3.627793285388814</v>
      </c>
      <c r="X102" s="552">
        <v>4.3533519424665776</v>
      </c>
      <c r="Y102" s="552">
        <v>5.2240223309598921</v>
      </c>
      <c r="Z102" s="552">
        <v>6.2688267971518714</v>
      </c>
      <c r="AA102" s="552">
        <v>7.5225921565822444</v>
      </c>
      <c r="AB102" s="552">
        <v>9.0271105878986919</v>
      </c>
      <c r="AC102" s="552">
        <v>10.832532705478432</v>
      </c>
      <c r="AD102" s="552">
        <v>12.999039246574117</v>
      </c>
      <c r="AE102" s="552">
        <v>15.598847095888944</v>
      </c>
      <c r="AF102" s="727">
        <v>18.718616515066731</v>
      </c>
      <c r="AG102" s="17"/>
      <c r="AH102" s="17"/>
      <c r="AI102" s="17"/>
      <c r="AJ102" s="17"/>
      <c r="AK102" s="17"/>
      <c r="AL102"/>
      <c r="AM102"/>
      <c r="AN102"/>
      <c r="AO102"/>
      <c r="AP102"/>
    </row>
    <row r="103" spans="2:42" s="7" customFormat="1" ht="21.9" customHeight="1" x14ac:dyDescent="0.25">
      <c r="B103" s="196"/>
      <c r="C103" s="114"/>
      <c r="D103" s="122" t="s">
        <v>30</v>
      </c>
      <c r="E103" s="813" cm="1">
        <f t="array" ref="E103:AF103">_xlfn.ANCHORARRAY(E48) * $M$21</f>
        <v>0</v>
      </c>
      <c r="F103" s="813">
        <v>0</v>
      </c>
      <c r="G103" s="813">
        <v>0</v>
      </c>
      <c r="H103" s="813">
        <v>0</v>
      </c>
      <c r="I103" s="813">
        <v>0</v>
      </c>
      <c r="J103" s="813">
        <v>0</v>
      </c>
      <c r="K103" s="813">
        <v>0</v>
      </c>
      <c r="L103" s="813">
        <v>0</v>
      </c>
      <c r="M103" s="813">
        <v>0</v>
      </c>
      <c r="N103" s="813">
        <v>0</v>
      </c>
      <c r="O103" s="813">
        <v>0</v>
      </c>
      <c r="P103" s="813">
        <v>0</v>
      </c>
      <c r="Q103" s="813">
        <v>0</v>
      </c>
      <c r="R103" s="813">
        <v>0</v>
      </c>
      <c r="S103" s="813">
        <v>0</v>
      </c>
      <c r="T103" s="813">
        <v>0</v>
      </c>
      <c r="U103" s="813">
        <v>0</v>
      </c>
      <c r="V103" s="813">
        <v>0</v>
      </c>
      <c r="W103" s="813">
        <v>0</v>
      </c>
      <c r="X103" s="813">
        <v>0</v>
      </c>
      <c r="Y103" s="813">
        <v>0</v>
      </c>
      <c r="Z103" s="813">
        <v>0</v>
      </c>
      <c r="AA103" s="813">
        <v>0</v>
      </c>
      <c r="AB103" s="813">
        <v>0</v>
      </c>
      <c r="AC103" s="813">
        <v>0</v>
      </c>
      <c r="AD103" s="813">
        <v>0</v>
      </c>
      <c r="AE103" s="813">
        <v>0</v>
      </c>
      <c r="AF103" s="834">
        <v>0</v>
      </c>
      <c r="AG103" s="17"/>
      <c r="AH103" s="17"/>
      <c r="AI103" s="17"/>
      <c r="AJ103" s="17"/>
      <c r="AK103" s="17"/>
      <c r="AL103"/>
      <c r="AM103"/>
      <c r="AN103"/>
      <c r="AO103"/>
      <c r="AP103"/>
    </row>
    <row r="104" spans="2:42" s="7" customFormat="1" ht="21.9" customHeight="1" x14ac:dyDescent="0.25">
      <c r="B104" s="196"/>
      <c r="C104" s="122"/>
      <c r="D104" s="695" t="s">
        <v>25</v>
      </c>
      <c r="E104" s="814" cm="1">
        <f t="array" ref="E104">_xlfn.ANCHORARRAY(E49) * $M$21</f>
        <v>0.13626367694512029</v>
      </c>
      <c r="F104" s="814" cm="1">
        <f t="array" ref="F104">_xlfn.ANCHORARRAY(F49) * $M$21</f>
        <v>0.16351641233414432</v>
      </c>
      <c r="G104" s="814" cm="1">
        <f t="array" ref="G104">_xlfn.ANCHORARRAY(G49) * $M$21</f>
        <v>0.19621969480097318</v>
      </c>
      <c r="H104" s="814" cm="1">
        <f t="array" ref="H104">_xlfn.ANCHORARRAY(H49) * $M$21</f>
        <v>0.2354636337611678</v>
      </c>
      <c r="I104" s="814" cm="1">
        <f t="array" ref="I104">_xlfn.ANCHORARRAY(I49) * $M$21</f>
        <v>0.28255636051340138</v>
      </c>
      <c r="J104" s="814" cm="1">
        <f t="array" ref="J104">_xlfn.ANCHORARRAY(J49) * $M$21</f>
        <v>0.33906763261608164</v>
      </c>
      <c r="K104" s="814" cm="1">
        <f t="array" ref="K104">_xlfn.ANCHORARRAY(K49) * $M$21</f>
        <v>0.40688115913929795</v>
      </c>
      <c r="L104" s="814" cm="1">
        <f t="array" ref="L104">_xlfn.ANCHORARRAY(L49) * $M$21</f>
        <v>0.48825739096715753</v>
      </c>
      <c r="M104" s="814" cm="1">
        <f t="array" ref="M104">_xlfn.ANCHORARRAY(M49) * $M$21</f>
        <v>0.58590886916058904</v>
      </c>
      <c r="N104" s="814" cm="1">
        <f t="array" ref="N104">_xlfn.ANCHORARRAY(N49) * $M$21</f>
        <v>0.70309064299270685</v>
      </c>
      <c r="O104" s="814" cm="1">
        <f t="array" ref="O104">_xlfn.ANCHORARRAY(O49) * $M$21</f>
        <v>0.84370877159124824</v>
      </c>
      <c r="P104" s="814" cm="1">
        <f t="array" ref="P104">_xlfn.ANCHORARRAY(P49) * $M$21</f>
        <v>1.0124505259094978</v>
      </c>
      <c r="Q104" s="814" cm="1">
        <f t="array" ref="Q104">_xlfn.ANCHORARRAY(Q49) * $M$21</f>
        <v>1.2149406310913975</v>
      </c>
      <c r="R104" s="814" cm="1">
        <f t="array" ref="R104">_xlfn.ANCHORARRAY(R49) * $M$21</f>
        <v>1.4579287573096766</v>
      </c>
      <c r="S104" s="814" cm="1">
        <f t="array" ref="S104">_xlfn.ANCHORARRAY(S49) * $M$21</f>
        <v>1.749514508771612</v>
      </c>
      <c r="T104" s="814" cm="1">
        <f t="array" ref="T104">_xlfn.ANCHORARRAY(T49) * $M$21</f>
        <v>2.0994174105259344</v>
      </c>
      <c r="U104" s="814" cm="1">
        <f t="array" ref="U104">_xlfn.ANCHORARRAY(U49) * $M$21</f>
        <v>2.5193008926311218</v>
      </c>
      <c r="V104" s="814" cm="1">
        <f t="array" ref="V104">_xlfn.ANCHORARRAY(V49) * $M$21</f>
        <v>3.0231610711573453</v>
      </c>
      <c r="W104" s="814" cm="1">
        <f t="array" ref="W104">_xlfn.ANCHORARRAY(W49) * $M$21</f>
        <v>3.627793285388814</v>
      </c>
      <c r="X104" s="814" cm="1">
        <f t="array" ref="X104">_xlfn.ANCHORARRAY(X49) * $M$21</f>
        <v>4.3533519424665776</v>
      </c>
      <c r="Y104" s="814" cm="1">
        <f t="array" ref="Y104">_xlfn.ANCHORARRAY(Y49) * $M$21</f>
        <v>5.2240223309598921</v>
      </c>
      <c r="Z104" s="814" cm="1">
        <f t="array" ref="Z104">_xlfn.ANCHORARRAY(Z49) * $M$21</f>
        <v>6.2688267971518714</v>
      </c>
      <c r="AA104" s="814" cm="1">
        <f t="array" ref="AA104">_xlfn.ANCHORARRAY(AA49) * $M$21</f>
        <v>7.5225921565822444</v>
      </c>
      <c r="AB104" s="814" cm="1">
        <f t="array" ref="AB104">_xlfn.ANCHORARRAY(AB49) * $M$21</f>
        <v>9.0271105878986919</v>
      </c>
      <c r="AC104" s="814" cm="1">
        <f t="array" ref="AC104">_xlfn.ANCHORARRAY(AC49) * $M$21</f>
        <v>10.832532705478432</v>
      </c>
      <c r="AD104" s="814" cm="1">
        <f t="array" ref="AD104">_xlfn.ANCHORARRAY(AD49) * $M$21</f>
        <v>12.999039246574117</v>
      </c>
      <c r="AE104" s="814" cm="1">
        <f t="array" ref="AE104">_xlfn.ANCHORARRAY(AE49) * $M$21</f>
        <v>15.598847095888944</v>
      </c>
      <c r="AF104" s="835" cm="1">
        <f t="array" ref="AF104">_xlfn.ANCHORARRAY(AF49) * $M$21</f>
        <v>18.718616515066731</v>
      </c>
      <c r="AG104" s="17"/>
      <c r="AH104" s="17"/>
      <c r="AI104" s="17"/>
      <c r="AJ104" s="17"/>
      <c r="AK104" s="17"/>
      <c r="AL104"/>
      <c r="AM104"/>
      <c r="AN104"/>
      <c r="AO104"/>
      <c r="AP104"/>
    </row>
    <row r="105" spans="2:42" s="7" customFormat="1" ht="21.9" customHeight="1" x14ac:dyDescent="0.25">
      <c r="B105" s="196"/>
      <c r="C105" s="225" t="str">
        <f>C17</f>
        <v>Williams St</v>
      </c>
      <c r="D105" s="114" t="s">
        <v>32</v>
      </c>
      <c r="E105" s="552" cm="1">
        <f t="array" ref="E105:AF105">_xlfn.ANCHORARRAY(E50) *$M$22</f>
        <v>0</v>
      </c>
      <c r="F105" s="552">
        <v>0</v>
      </c>
      <c r="G105" s="552">
        <v>0</v>
      </c>
      <c r="H105" s="552">
        <v>0</v>
      </c>
      <c r="I105" s="552">
        <v>0</v>
      </c>
      <c r="J105" s="552">
        <v>0</v>
      </c>
      <c r="K105" s="552">
        <v>0</v>
      </c>
      <c r="L105" s="552">
        <v>0</v>
      </c>
      <c r="M105" s="552">
        <v>0</v>
      </c>
      <c r="N105" s="552">
        <v>0</v>
      </c>
      <c r="O105" s="552">
        <v>0</v>
      </c>
      <c r="P105" s="552">
        <v>0</v>
      </c>
      <c r="Q105" s="552">
        <v>0</v>
      </c>
      <c r="R105" s="552">
        <v>0</v>
      </c>
      <c r="S105" s="552">
        <v>0</v>
      </c>
      <c r="T105" s="552">
        <v>0</v>
      </c>
      <c r="U105" s="552">
        <v>0</v>
      </c>
      <c r="V105" s="552">
        <v>0</v>
      </c>
      <c r="W105" s="552">
        <v>0</v>
      </c>
      <c r="X105" s="552">
        <v>0</v>
      </c>
      <c r="Y105" s="552">
        <v>0</v>
      </c>
      <c r="Z105" s="552">
        <v>0</v>
      </c>
      <c r="AA105" s="552">
        <v>0</v>
      </c>
      <c r="AB105" s="552">
        <v>0</v>
      </c>
      <c r="AC105" s="552">
        <v>0</v>
      </c>
      <c r="AD105" s="552">
        <v>0</v>
      </c>
      <c r="AE105" s="552">
        <v>0</v>
      </c>
      <c r="AF105" s="727">
        <v>0</v>
      </c>
      <c r="AG105" s="17"/>
      <c r="AH105" s="17"/>
      <c r="AI105" s="17"/>
      <c r="AJ105" s="17"/>
      <c r="AK105" s="17"/>
      <c r="AL105"/>
      <c r="AM105"/>
      <c r="AN105"/>
      <c r="AO105"/>
      <c r="AP105"/>
    </row>
    <row r="106" spans="2:42" s="7" customFormat="1" ht="21.9" customHeight="1" x14ac:dyDescent="0.25">
      <c r="B106" s="196"/>
      <c r="C106" s="225"/>
      <c r="D106" s="114" t="s">
        <v>33</v>
      </c>
      <c r="E106" s="552" cm="1">
        <f t="array" ref="E106:AF106">_xlfn.ANCHORARRAY(E51) *$M$22</f>
        <v>0</v>
      </c>
      <c r="F106" s="552">
        <v>0</v>
      </c>
      <c r="G106" s="552">
        <v>0</v>
      </c>
      <c r="H106" s="552">
        <v>0</v>
      </c>
      <c r="I106" s="552">
        <v>0</v>
      </c>
      <c r="J106" s="552">
        <v>0</v>
      </c>
      <c r="K106" s="552">
        <v>0</v>
      </c>
      <c r="L106" s="552">
        <v>0</v>
      </c>
      <c r="M106" s="552">
        <v>0</v>
      </c>
      <c r="N106" s="552">
        <v>0</v>
      </c>
      <c r="O106" s="552">
        <v>0</v>
      </c>
      <c r="P106" s="552">
        <v>0</v>
      </c>
      <c r="Q106" s="552">
        <v>0</v>
      </c>
      <c r="R106" s="552">
        <v>0</v>
      </c>
      <c r="S106" s="552">
        <v>0</v>
      </c>
      <c r="T106" s="552">
        <v>0</v>
      </c>
      <c r="U106" s="552">
        <v>0</v>
      </c>
      <c r="V106" s="552">
        <v>0</v>
      </c>
      <c r="W106" s="552">
        <v>0</v>
      </c>
      <c r="X106" s="552">
        <v>0</v>
      </c>
      <c r="Y106" s="552">
        <v>0</v>
      </c>
      <c r="Z106" s="552">
        <v>0</v>
      </c>
      <c r="AA106" s="552">
        <v>0</v>
      </c>
      <c r="AB106" s="552">
        <v>0</v>
      </c>
      <c r="AC106" s="552">
        <v>0</v>
      </c>
      <c r="AD106" s="552">
        <v>0</v>
      </c>
      <c r="AE106" s="552">
        <v>0</v>
      </c>
      <c r="AF106" s="727">
        <v>0</v>
      </c>
      <c r="AG106" s="17"/>
      <c r="AH106" s="17"/>
      <c r="AI106" s="17"/>
      <c r="AJ106" s="17"/>
      <c r="AK106" s="17"/>
      <c r="AL106"/>
      <c r="AM106"/>
      <c r="AN106"/>
      <c r="AO106"/>
      <c r="AP106"/>
    </row>
    <row r="107" spans="2:42" s="7" customFormat="1" ht="21.9" customHeight="1" x14ac:dyDescent="0.25">
      <c r="B107" s="196"/>
      <c r="C107" s="114"/>
      <c r="D107" s="122" t="s">
        <v>30</v>
      </c>
      <c r="E107" s="813" cm="1">
        <f t="array" ref="E107:AF107">_xlfn.ANCHORARRAY(E52) *$M$22</f>
        <v>0</v>
      </c>
      <c r="F107" s="813">
        <v>0</v>
      </c>
      <c r="G107" s="813">
        <v>0</v>
      </c>
      <c r="H107" s="813">
        <v>0</v>
      </c>
      <c r="I107" s="813">
        <v>0</v>
      </c>
      <c r="J107" s="813">
        <v>0</v>
      </c>
      <c r="K107" s="813">
        <v>0</v>
      </c>
      <c r="L107" s="813">
        <v>0</v>
      </c>
      <c r="M107" s="813">
        <v>0</v>
      </c>
      <c r="N107" s="813">
        <v>0</v>
      </c>
      <c r="O107" s="813">
        <v>0</v>
      </c>
      <c r="P107" s="813">
        <v>0</v>
      </c>
      <c r="Q107" s="813">
        <v>0</v>
      </c>
      <c r="R107" s="813">
        <v>0</v>
      </c>
      <c r="S107" s="813">
        <v>0</v>
      </c>
      <c r="T107" s="813">
        <v>0</v>
      </c>
      <c r="U107" s="813">
        <v>0</v>
      </c>
      <c r="V107" s="813">
        <v>0</v>
      </c>
      <c r="W107" s="813">
        <v>0</v>
      </c>
      <c r="X107" s="813">
        <v>0</v>
      </c>
      <c r="Y107" s="813">
        <v>0</v>
      </c>
      <c r="Z107" s="813">
        <v>0</v>
      </c>
      <c r="AA107" s="813">
        <v>0</v>
      </c>
      <c r="AB107" s="813">
        <v>0</v>
      </c>
      <c r="AC107" s="813">
        <v>0</v>
      </c>
      <c r="AD107" s="813">
        <v>0</v>
      </c>
      <c r="AE107" s="813">
        <v>0</v>
      </c>
      <c r="AF107" s="834">
        <v>0</v>
      </c>
      <c r="AG107" s="17"/>
      <c r="AH107" s="17"/>
      <c r="AI107" s="17"/>
      <c r="AJ107" s="17"/>
      <c r="AK107" s="17"/>
      <c r="AL107"/>
      <c r="AM107"/>
      <c r="AN107"/>
      <c r="AO107"/>
      <c r="AP107"/>
    </row>
    <row r="108" spans="2:42" s="7" customFormat="1" ht="21.9" customHeight="1" x14ac:dyDescent="0.25">
      <c r="B108" s="196"/>
      <c r="C108" s="122"/>
      <c r="D108" s="695" t="s">
        <v>25</v>
      </c>
      <c r="E108" s="814" cm="1">
        <f t="array" ref="E108">_xlfn.ANCHORARRAY(E53) *$M$22</f>
        <v>0</v>
      </c>
      <c r="F108" s="814" cm="1">
        <f t="array" ref="F108">_xlfn.ANCHORARRAY(F53) *$M$22</f>
        <v>0</v>
      </c>
      <c r="G108" s="814" cm="1">
        <f t="array" ref="G108">_xlfn.ANCHORARRAY(G53) *$M$22</f>
        <v>0</v>
      </c>
      <c r="H108" s="814" cm="1">
        <f t="array" ref="H108">_xlfn.ANCHORARRAY(H53) *$M$22</f>
        <v>0</v>
      </c>
      <c r="I108" s="814" cm="1">
        <f t="array" ref="I108">_xlfn.ANCHORARRAY(I53) *$M$22</f>
        <v>0</v>
      </c>
      <c r="J108" s="814" cm="1">
        <f t="array" ref="J108">_xlfn.ANCHORARRAY(J53) *$M$22</f>
        <v>0</v>
      </c>
      <c r="K108" s="814" cm="1">
        <f t="array" ref="K108">_xlfn.ANCHORARRAY(K53) *$M$22</f>
        <v>0</v>
      </c>
      <c r="L108" s="814" cm="1">
        <f t="array" ref="L108">_xlfn.ANCHORARRAY(L53) *$M$22</f>
        <v>0</v>
      </c>
      <c r="M108" s="814" cm="1">
        <f t="array" ref="M108">_xlfn.ANCHORARRAY(M53) *$M$22</f>
        <v>0</v>
      </c>
      <c r="N108" s="814" cm="1">
        <f t="array" ref="N108">_xlfn.ANCHORARRAY(N53) *$M$22</f>
        <v>0</v>
      </c>
      <c r="O108" s="814" cm="1">
        <f t="array" ref="O108">_xlfn.ANCHORARRAY(O53) *$M$22</f>
        <v>0</v>
      </c>
      <c r="P108" s="814" cm="1">
        <f t="array" ref="P108">_xlfn.ANCHORARRAY(P53) *$M$22</f>
        <v>0</v>
      </c>
      <c r="Q108" s="814" cm="1">
        <f t="array" ref="Q108">_xlfn.ANCHORARRAY(Q53) *$M$22</f>
        <v>0</v>
      </c>
      <c r="R108" s="814" cm="1">
        <f t="array" ref="R108">_xlfn.ANCHORARRAY(R53) *$M$22</f>
        <v>0</v>
      </c>
      <c r="S108" s="814" cm="1">
        <f t="array" ref="S108">_xlfn.ANCHORARRAY(S53) *$M$22</f>
        <v>0</v>
      </c>
      <c r="T108" s="814" cm="1">
        <f t="array" ref="T108">_xlfn.ANCHORARRAY(T53) *$M$22</f>
        <v>0</v>
      </c>
      <c r="U108" s="814" cm="1">
        <f t="array" ref="U108">_xlfn.ANCHORARRAY(U53) *$M$22</f>
        <v>0</v>
      </c>
      <c r="V108" s="814" cm="1">
        <f t="array" ref="V108">_xlfn.ANCHORARRAY(V53) *$M$22</f>
        <v>0</v>
      </c>
      <c r="W108" s="814" cm="1">
        <f t="array" ref="W108">_xlfn.ANCHORARRAY(W53) *$M$22</f>
        <v>0</v>
      </c>
      <c r="X108" s="814" cm="1">
        <f t="array" ref="X108">_xlfn.ANCHORARRAY(X53) *$M$22</f>
        <v>0</v>
      </c>
      <c r="Y108" s="814" cm="1">
        <f t="array" ref="Y108">_xlfn.ANCHORARRAY(Y53) *$M$22</f>
        <v>0</v>
      </c>
      <c r="Z108" s="814" cm="1">
        <f t="array" ref="Z108">_xlfn.ANCHORARRAY(Z53) *$M$22</f>
        <v>0</v>
      </c>
      <c r="AA108" s="814" cm="1">
        <f t="array" ref="AA108">_xlfn.ANCHORARRAY(AA53) *$M$22</f>
        <v>0</v>
      </c>
      <c r="AB108" s="814" cm="1">
        <f t="array" ref="AB108">_xlfn.ANCHORARRAY(AB53) *$M$22</f>
        <v>0</v>
      </c>
      <c r="AC108" s="814" cm="1">
        <f t="array" ref="AC108">_xlfn.ANCHORARRAY(AC53) *$M$22</f>
        <v>0</v>
      </c>
      <c r="AD108" s="814" cm="1">
        <f t="array" ref="AD108">_xlfn.ANCHORARRAY(AD53) *$M$22</f>
        <v>0</v>
      </c>
      <c r="AE108" s="814" cm="1">
        <f t="array" ref="AE108">_xlfn.ANCHORARRAY(AE53) *$M$22</f>
        <v>0</v>
      </c>
      <c r="AF108" s="835" cm="1">
        <f t="array" ref="AF108">_xlfn.ANCHORARRAY(AF53) *$M$22</f>
        <v>0</v>
      </c>
      <c r="AG108" s="17"/>
      <c r="AH108" s="17"/>
      <c r="AI108" s="17"/>
      <c r="AJ108" s="17"/>
      <c r="AK108" s="17"/>
      <c r="AL108"/>
      <c r="AM108"/>
      <c r="AN108"/>
      <c r="AO108"/>
      <c r="AP108"/>
    </row>
    <row r="109" spans="2:42" s="7" customFormat="1" ht="21.9" customHeight="1" x14ac:dyDescent="0.25">
      <c r="B109" s="196"/>
      <c r="C109" s="114" t="str">
        <f>C20</f>
        <v>SH-412B North</v>
      </c>
      <c r="D109" s="114" t="s">
        <v>32</v>
      </c>
      <c r="E109" s="552" cm="1">
        <f t="array" ref="E109:AF109">_xlfn.ANCHORARRAY(E54) * $M$23</f>
        <v>0</v>
      </c>
      <c r="F109" s="552">
        <v>0</v>
      </c>
      <c r="G109" s="552">
        <v>0</v>
      </c>
      <c r="H109" s="552">
        <v>0</v>
      </c>
      <c r="I109" s="552">
        <v>0</v>
      </c>
      <c r="J109" s="552">
        <v>0</v>
      </c>
      <c r="K109" s="552">
        <v>0</v>
      </c>
      <c r="L109" s="552">
        <v>0</v>
      </c>
      <c r="M109" s="552">
        <v>0</v>
      </c>
      <c r="N109" s="552">
        <v>0</v>
      </c>
      <c r="O109" s="552">
        <v>0</v>
      </c>
      <c r="P109" s="552">
        <v>0</v>
      </c>
      <c r="Q109" s="552">
        <v>0</v>
      </c>
      <c r="R109" s="552">
        <v>0</v>
      </c>
      <c r="S109" s="552">
        <v>0</v>
      </c>
      <c r="T109" s="552">
        <v>0</v>
      </c>
      <c r="U109" s="552">
        <v>0</v>
      </c>
      <c r="V109" s="552">
        <v>0</v>
      </c>
      <c r="W109" s="552">
        <v>0</v>
      </c>
      <c r="X109" s="552">
        <v>0</v>
      </c>
      <c r="Y109" s="552">
        <v>0</v>
      </c>
      <c r="Z109" s="552">
        <v>0</v>
      </c>
      <c r="AA109" s="552">
        <v>0</v>
      </c>
      <c r="AB109" s="552">
        <v>0</v>
      </c>
      <c r="AC109" s="552">
        <v>0</v>
      </c>
      <c r="AD109" s="552">
        <v>0</v>
      </c>
      <c r="AE109" s="552">
        <v>0</v>
      </c>
      <c r="AF109" s="727">
        <v>0</v>
      </c>
      <c r="AG109" s="17"/>
      <c r="AH109" s="17"/>
      <c r="AI109" s="17"/>
      <c r="AJ109" s="17"/>
      <c r="AK109" s="17"/>
      <c r="AL109"/>
      <c r="AM109"/>
      <c r="AN109"/>
      <c r="AO109"/>
      <c r="AP109"/>
    </row>
    <row r="110" spans="2:42" s="7" customFormat="1" ht="21.9" customHeight="1" x14ac:dyDescent="0.25">
      <c r="B110" s="196"/>
      <c r="C110" s="114" t="str">
        <f>C21</f>
        <v>(Improvements)</v>
      </c>
      <c r="D110" s="114" t="s">
        <v>33</v>
      </c>
      <c r="E110" s="552" cm="1">
        <f t="array" ref="E110:AF110">_xlfn.ANCHORARRAY(E55) * $M$23</f>
        <v>1.6255013721764828</v>
      </c>
      <c r="F110" s="552">
        <v>2.0327999999999999</v>
      </c>
      <c r="G110" s="552">
        <v>2.5421546303999998</v>
      </c>
      <c r="H110" s="552">
        <v>3.1791372318300661</v>
      </c>
      <c r="I110" s="552">
        <v>3.9757272897352616</v>
      </c>
      <c r="J110" s="552">
        <v>4.9719173252696471</v>
      </c>
      <c r="K110" s="552">
        <v>6.2177207056278112</v>
      </c>
      <c r="L110" s="552">
        <v>7.7756825473955598</v>
      </c>
      <c r="M110" s="552">
        <v>9.7240197719313706</v>
      </c>
      <c r="N110" s="552">
        <v>12.16054795814467</v>
      </c>
      <c r="O110" s="552">
        <v>15.207592138921061</v>
      </c>
      <c r="P110" s="552">
        <v>19.018128085986231</v>
      </c>
      <c r="Q110" s="552">
        <v>23.783462404235628</v>
      </c>
      <c r="R110" s="552">
        <v>29.742837011940139</v>
      </c>
      <c r="S110" s="552">
        <v>37.195440196347953</v>
      </c>
      <c r="T110" s="552">
        <v>46.515427255466463</v>
      </c>
      <c r="U110" s="552">
        <v>58.170704832014181</v>
      </c>
      <c r="V110" s="552">
        <v>72.746422000362315</v>
      </c>
      <c r="W110" s="552">
        <v>90.974347468149091</v>
      </c>
      <c r="X110" s="552">
        <v>113.76960776454825</v>
      </c>
      <c r="Y110" s="552">
        <v>142.27663084289557</v>
      </c>
      <c r="Z110" s="552">
        <v>177.92660167993822</v>
      </c>
      <c r="AA110" s="552">
        <v>222.50931440967699</v>
      </c>
      <c r="AB110" s="552">
        <v>278.26302830268088</v>
      </c>
      <c r="AC110" s="552">
        <v>347.986838778427</v>
      </c>
      <c r="AD110" s="552">
        <v>435.18120499745993</v>
      </c>
      <c r="AE110" s="552">
        <v>544.22368917126335</v>
      </c>
      <c r="AF110" s="727">
        <v>680.58873051952844</v>
      </c>
      <c r="AG110" s="17"/>
      <c r="AH110" s="17"/>
      <c r="AI110" s="17"/>
      <c r="AJ110" s="17"/>
      <c r="AK110" s="17"/>
      <c r="AL110"/>
      <c r="AM110"/>
      <c r="AN110"/>
      <c r="AO110"/>
      <c r="AP110"/>
    </row>
    <row r="111" spans="2:42" s="7" customFormat="1" ht="21.9" customHeight="1" x14ac:dyDescent="0.25">
      <c r="B111" s="196"/>
      <c r="C111" s="114"/>
      <c r="D111" s="122" t="s">
        <v>30</v>
      </c>
      <c r="E111" s="813" cm="1">
        <f t="array" ref="E111:AF111">_xlfn.ANCHORARRAY(E56) * $M$23</f>
        <v>1.773274224192527</v>
      </c>
      <c r="F111" s="813">
        <v>2.2176</v>
      </c>
      <c r="G111" s="813">
        <v>2.7732595968</v>
      </c>
      <c r="H111" s="813">
        <v>3.4681497074509817</v>
      </c>
      <c r="I111" s="813">
        <v>4.3371570433475588</v>
      </c>
      <c r="J111" s="813">
        <v>5.4239098093850702</v>
      </c>
      <c r="K111" s="813">
        <v>6.7829680425030672</v>
      </c>
      <c r="L111" s="813">
        <v>8.4825627789769751</v>
      </c>
      <c r="M111" s="813">
        <v>10.608021569379678</v>
      </c>
      <c r="N111" s="813">
        <v>13.266052317976005</v>
      </c>
      <c r="O111" s="813">
        <v>16.590100515186613</v>
      </c>
      <c r="P111" s="813">
        <v>20.747048821075889</v>
      </c>
      <c r="Q111" s="813">
        <v>25.94559535007523</v>
      </c>
      <c r="R111" s="813">
        <v>32.446731285752882</v>
      </c>
      <c r="S111" s="813">
        <v>40.57684385056141</v>
      </c>
      <c r="T111" s="813">
        <v>50.744102460508877</v>
      </c>
      <c r="U111" s="813">
        <v>63.45895072583366</v>
      </c>
      <c r="V111" s="813">
        <v>79.359733091304349</v>
      </c>
      <c r="W111" s="813">
        <v>99.244742692526287</v>
      </c>
      <c r="X111" s="813">
        <v>124.11229937950721</v>
      </c>
      <c r="Y111" s="813">
        <v>155.21087001043153</v>
      </c>
      <c r="Z111" s="813">
        <v>194.10174728720534</v>
      </c>
      <c r="AA111" s="813">
        <v>242.73743390146583</v>
      </c>
      <c r="AB111" s="813">
        <v>303.55966723928822</v>
      </c>
      <c r="AC111" s="813">
        <v>379.62200594010221</v>
      </c>
      <c r="AD111" s="813">
        <v>474.74313272450172</v>
      </c>
      <c r="AE111" s="813">
        <v>593.69857000501463</v>
      </c>
      <c r="AF111" s="834">
        <v>742.46043329403108</v>
      </c>
      <c r="AG111" s="17"/>
      <c r="AH111" s="17"/>
      <c r="AI111" s="17"/>
      <c r="AJ111" s="17"/>
      <c r="AK111" s="17"/>
      <c r="AL111"/>
      <c r="AM111"/>
      <c r="AN111"/>
      <c r="AO111"/>
      <c r="AP111"/>
    </row>
    <row r="112" spans="2:42" s="7" customFormat="1" ht="21.9" customHeight="1" x14ac:dyDescent="0.25">
      <c r="B112" s="196"/>
      <c r="C112" s="114"/>
      <c r="D112" s="695" t="s">
        <v>25</v>
      </c>
      <c r="E112" s="814" cm="1">
        <f t="array" ref="E112">_xlfn.ANCHORARRAY(E57) * $M$23</f>
        <v>3.3987755963690098</v>
      </c>
      <c r="F112" s="814" cm="1">
        <f t="array" ref="F112">_xlfn.ANCHORARRAY(F57) * $M$23</f>
        <v>4.2504</v>
      </c>
      <c r="G112" s="814" cm="1">
        <f t="array" ref="G112">_xlfn.ANCHORARRAY(G57) * $M$23</f>
        <v>5.3154142271999998</v>
      </c>
      <c r="H112" s="814" cm="1">
        <f t="array" ref="H112">_xlfn.ANCHORARRAY(H57) * $M$23</f>
        <v>6.6472869392810479</v>
      </c>
      <c r="I112" s="814" cm="1">
        <f t="array" ref="I112">_xlfn.ANCHORARRAY(I57) * $M$23</f>
        <v>8.3128843330828186</v>
      </c>
      <c r="J112" s="814" cm="1">
        <f t="array" ref="J112">_xlfn.ANCHORARRAY(J57) * $M$23</f>
        <v>10.395827134654718</v>
      </c>
      <c r="K112" s="814" cm="1">
        <f t="array" ref="K112">_xlfn.ANCHORARRAY(K57) * $M$23</f>
        <v>13.00068874813088</v>
      </c>
      <c r="L112" s="814" cm="1">
        <f t="array" ref="L112">_xlfn.ANCHORARRAY(L57) * $M$23</f>
        <v>16.258245326372535</v>
      </c>
      <c r="M112" s="814" cm="1">
        <f t="array" ref="M112">_xlfn.ANCHORARRAY(M57) * $M$23</f>
        <v>20.332041341311047</v>
      </c>
      <c r="N112" s="814" cm="1">
        <f t="array" ref="N112">_xlfn.ANCHORARRAY(N57) * $M$23</f>
        <v>25.426600276120677</v>
      </c>
      <c r="O112" s="814" cm="1">
        <f t="array" ref="O112">_xlfn.ANCHORARRAY(O57) * $M$23</f>
        <v>31.797692654107674</v>
      </c>
      <c r="P112" s="814" cm="1">
        <f t="array" ref="P112">_xlfn.ANCHORARRAY(P57) * $M$23</f>
        <v>39.76517690706212</v>
      </c>
      <c r="Q112" s="814" cm="1">
        <f t="array" ref="Q112">_xlfn.ANCHORARRAY(Q57) * $M$23</f>
        <v>49.729057754310858</v>
      </c>
      <c r="R112" s="814" cm="1">
        <f t="array" ref="R112">_xlfn.ANCHORARRAY(R57) * $M$23</f>
        <v>62.189568297693029</v>
      </c>
      <c r="S112" s="814" cm="1">
        <f t="array" ref="S112">_xlfn.ANCHORARRAY(S57) * $M$23</f>
        <v>77.772284046909363</v>
      </c>
      <c r="T112" s="814" cm="1">
        <f t="array" ref="T112">_xlfn.ANCHORARRAY(T57) * $M$23</f>
        <v>97.259529715975333</v>
      </c>
      <c r="U112" s="814" cm="1">
        <f t="array" ref="U112">_xlfn.ANCHORARRAY(U57) * $M$23</f>
        <v>121.62965555784783</v>
      </c>
      <c r="V112" s="814" cm="1">
        <f t="array" ref="V112">_xlfn.ANCHORARRAY(V57) * $M$23</f>
        <v>152.10615509166666</v>
      </c>
      <c r="W112" s="814" cm="1">
        <f t="array" ref="W112">_xlfn.ANCHORARRAY(W57) * $M$23</f>
        <v>190.21909016067539</v>
      </c>
      <c r="X112" s="814" cm="1">
        <f t="array" ref="X112">_xlfn.ANCHORARRAY(X57) * $M$23</f>
        <v>237.88190714405545</v>
      </c>
      <c r="Y112" s="814" cm="1">
        <f t="array" ref="Y112">_xlfn.ANCHORARRAY(Y57) * $M$23</f>
        <v>297.48750085332711</v>
      </c>
      <c r="Z112" s="814" cm="1">
        <f t="array" ref="Z112">_xlfn.ANCHORARRAY(Z57) * $M$23</f>
        <v>372.02834896714359</v>
      </c>
      <c r="AA112" s="814" cm="1">
        <f t="array" ref="AA112">_xlfn.ANCHORARRAY(AA57) * $M$23</f>
        <v>465.24674831114282</v>
      </c>
      <c r="AB112" s="814" cm="1">
        <f t="array" ref="AB112">_xlfn.ANCHORARRAY(AB57) * $M$23</f>
        <v>581.8226955419691</v>
      </c>
      <c r="AC112" s="814" cm="1">
        <f t="array" ref="AC112">_xlfn.ANCHORARRAY(AC57) * $M$23</f>
        <v>727.60884471852921</v>
      </c>
      <c r="AD112" s="814" cm="1">
        <f t="array" ref="AD112">_xlfn.ANCHORARRAY(AD57) * $M$23</f>
        <v>909.92433772196159</v>
      </c>
      <c r="AE112" s="814" cm="1">
        <f t="array" ref="AE112">_xlfn.ANCHORARRAY(AE57) * $M$23</f>
        <v>1137.9222591762782</v>
      </c>
      <c r="AF112" s="835" cm="1">
        <f t="array" ref="AF112">_xlfn.ANCHORARRAY(AF57) * $M$23</f>
        <v>1423.0491638135595</v>
      </c>
      <c r="AG112" s="17"/>
      <c r="AH112" s="17"/>
      <c r="AI112" s="17"/>
      <c r="AJ112" s="17"/>
      <c r="AK112" s="17"/>
      <c r="AL112"/>
      <c r="AM112"/>
      <c r="AN112"/>
      <c r="AO112"/>
      <c r="AP112"/>
    </row>
    <row r="113" spans="2:42" s="7" customFormat="1" ht="21.9" customHeight="1" x14ac:dyDescent="0.25">
      <c r="B113" s="196"/>
      <c r="C113" s="217" t="str">
        <f>C23</f>
        <v>Zarrow St</v>
      </c>
      <c r="D113" s="114" t="s">
        <v>32</v>
      </c>
      <c r="E113" s="552" cm="1">
        <f t="array" ref="E113:AF113">_xlfn.ANCHORARRAY(E58) * $M$24</f>
        <v>0.12802001879850153</v>
      </c>
      <c r="F113" s="552">
        <v>0.13819999999999999</v>
      </c>
      <c r="G113" s="552">
        <v>0.14918947973333332</v>
      </c>
      <c r="H113" s="552">
        <v>0.1610528282424217</v>
      </c>
      <c r="I113" s="552">
        <v>0.17385953440715476</v>
      </c>
      <c r="J113" s="552">
        <v>0.18768461277049919</v>
      </c>
      <c r="K113" s="552">
        <v>0.20260904293185894</v>
      </c>
      <c r="L113" s="552">
        <v>0.21872024388040981</v>
      </c>
      <c r="M113" s="552">
        <v>0.23611258604678817</v>
      </c>
      <c r="N113" s="552">
        <v>0.25488794407244741</v>
      </c>
      <c r="O113" s="552">
        <v>0.27515629353449639</v>
      </c>
      <c r="P113" s="552">
        <v>0.2970363551213015</v>
      </c>
      <c r="Q113" s="552">
        <v>0.32065629003207391</v>
      </c>
      <c r="R113" s="552">
        <v>0.34615445067370443</v>
      </c>
      <c r="S113" s="552">
        <v>0.37368019105200984</v>
      </c>
      <c r="T113" s="552">
        <v>0.40339474160421096</v>
      </c>
      <c r="U113" s="552">
        <v>0.43547215359692237</v>
      </c>
      <c r="V113" s="552">
        <v>0.47010031862141155</v>
      </c>
      <c r="W113" s="552">
        <v>0.5074820691577614</v>
      </c>
      <c r="X113" s="552">
        <v>0.54783636665442781</v>
      </c>
      <c r="Y113" s="552">
        <v>0.59139958408229909</v>
      </c>
      <c r="Z113" s="552">
        <v>0.63842689047574486</v>
      </c>
      <c r="AA113" s="552">
        <v>0.68919374557052204</v>
      </c>
      <c r="AB113" s="552">
        <v>0.743997513293296</v>
      </c>
      <c r="AC113" s="552">
        <v>0.80315920355369452</v>
      </c>
      <c r="AD113" s="552">
        <v>0.86702535254134638</v>
      </c>
      <c r="AE113" s="552">
        <v>0.9359700525416309</v>
      </c>
      <c r="AF113" s="727">
        <v>1.0103971431596714</v>
      </c>
      <c r="AG113" s="17"/>
      <c r="AH113" s="17"/>
      <c r="AI113" s="17"/>
      <c r="AJ113" s="17"/>
      <c r="AK113" s="17"/>
      <c r="AL113"/>
      <c r="AM113"/>
      <c r="AN113"/>
      <c r="AO113"/>
      <c r="AP113"/>
    </row>
    <row r="114" spans="2:42" s="7" customFormat="1" ht="21.9" customHeight="1" x14ac:dyDescent="0.25">
      <c r="B114" s="196"/>
      <c r="C114" s="114"/>
      <c r="D114" s="114" t="s">
        <v>33</v>
      </c>
      <c r="E114" s="552" cm="1">
        <f t="array" ref="E114:AF114">_xlfn.ANCHORARRAY(E59) * $M$24</f>
        <v>0.38406005639550456</v>
      </c>
      <c r="F114" s="552">
        <v>0.41459999999999997</v>
      </c>
      <c r="G114" s="552">
        <v>0.4475684392</v>
      </c>
      <c r="H114" s="552">
        <v>0.48315848472726508</v>
      </c>
      <c r="I114" s="552">
        <v>0.52157860322146432</v>
      </c>
      <c r="J114" s="552">
        <v>0.56305383831149758</v>
      </c>
      <c r="K114" s="552">
        <v>0.60782712879557677</v>
      </c>
      <c r="L114" s="552">
        <v>0.65616073164122946</v>
      </c>
      <c r="M114" s="552">
        <v>0.70833775814036448</v>
      </c>
      <c r="N114" s="552">
        <v>0.76466383221734224</v>
      </c>
      <c r="O114" s="552">
        <v>0.825468880603489</v>
      </c>
      <c r="P114" s="552">
        <v>0.89110906536390433</v>
      </c>
      <c r="Q114" s="552">
        <v>0.96196887009622178</v>
      </c>
      <c r="R114" s="552">
        <v>1.0384633520211133</v>
      </c>
      <c r="S114" s="552">
        <v>1.1210405731560293</v>
      </c>
      <c r="T114" s="552">
        <v>1.2101842248126329</v>
      </c>
      <c r="U114" s="552">
        <v>1.3064164607907671</v>
      </c>
      <c r="V114" s="552">
        <v>1.4103009558642348</v>
      </c>
      <c r="W114" s="552">
        <v>1.5224462074732841</v>
      </c>
      <c r="X114" s="552">
        <v>1.6435090999632831</v>
      </c>
      <c r="Y114" s="552">
        <v>1.7741987522468972</v>
      </c>
      <c r="Z114" s="552">
        <v>1.9152806714272343</v>
      </c>
      <c r="AA114" s="552">
        <v>2.067581236711566</v>
      </c>
      <c r="AB114" s="552">
        <v>2.2319925398798879</v>
      </c>
      <c r="AC114" s="552">
        <v>2.4094776106610838</v>
      </c>
      <c r="AD114" s="552">
        <v>2.6010760576240388</v>
      </c>
      <c r="AE114" s="552">
        <v>2.8079101576248924</v>
      </c>
      <c r="AF114" s="727">
        <v>3.0311914294790139</v>
      </c>
      <c r="AG114" s="17"/>
      <c r="AH114" s="17"/>
      <c r="AI114" s="17"/>
      <c r="AJ114" s="17"/>
      <c r="AK114" s="17"/>
      <c r="AL114"/>
      <c r="AM114"/>
      <c r="AN114"/>
      <c r="AO114"/>
      <c r="AP114"/>
    </row>
    <row r="115" spans="2:42" s="7" customFormat="1" ht="21.9" customHeight="1" x14ac:dyDescent="0.25">
      <c r="B115" s="196"/>
      <c r="C115" s="114"/>
      <c r="D115" s="122" t="s">
        <v>30</v>
      </c>
      <c r="E115" s="813" cm="1">
        <f t="array" ref="E115:AF115">_xlfn.ANCHORARRAY(E60) * $M$24</f>
        <v>0.12802001879850153</v>
      </c>
      <c r="F115" s="813">
        <v>0.13819999999999999</v>
      </c>
      <c r="G115" s="813">
        <v>0.14918947973333332</v>
      </c>
      <c r="H115" s="813">
        <v>0.1610528282424217</v>
      </c>
      <c r="I115" s="813">
        <v>0.17385953440715476</v>
      </c>
      <c r="J115" s="813">
        <v>0.18768461277049919</v>
      </c>
      <c r="K115" s="813">
        <v>0.20260904293185894</v>
      </c>
      <c r="L115" s="813">
        <v>0.21872024388040981</v>
      </c>
      <c r="M115" s="813">
        <v>0.23611258604678817</v>
      </c>
      <c r="N115" s="813">
        <v>0.25488794407244741</v>
      </c>
      <c r="O115" s="813">
        <v>0.27515629353449639</v>
      </c>
      <c r="P115" s="813">
        <v>0.2970363551213015</v>
      </c>
      <c r="Q115" s="813">
        <v>0.32065629003207391</v>
      </c>
      <c r="R115" s="813">
        <v>0.34615445067370443</v>
      </c>
      <c r="S115" s="813">
        <v>0.37368019105200984</v>
      </c>
      <c r="T115" s="813">
        <v>0.40339474160421096</v>
      </c>
      <c r="U115" s="813">
        <v>0.43547215359692237</v>
      </c>
      <c r="V115" s="813">
        <v>0.47010031862141155</v>
      </c>
      <c r="W115" s="813">
        <v>0.5074820691577614</v>
      </c>
      <c r="X115" s="813">
        <v>0.54783636665442781</v>
      </c>
      <c r="Y115" s="813">
        <v>0.59139958408229909</v>
      </c>
      <c r="Z115" s="813">
        <v>0.63842689047574486</v>
      </c>
      <c r="AA115" s="813">
        <v>0.68919374557052204</v>
      </c>
      <c r="AB115" s="813">
        <v>0.743997513293296</v>
      </c>
      <c r="AC115" s="813">
        <v>0.80315920355369452</v>
      </c>
      <c r="AD115" s="813">
        <v>0.86702535254134638</v>
      </c>
      <c r="AE115" s="813">
        <v>0.9359700525416309</v>
      </c>
      <c r="AF115" s="834">
        <v>1.0103971431596714</v>
      </c>
      <c r="AG115" s="17"/>
      <c r="AH115" s="17"/>
      <c r="AI115" s="17"/>
      <c r="AJ115" s="17"/>
      <c r="AK115" s="17"/>
      <c r="AL115"/>
      <c r="AM115"/>
      <c r="AN115"/>
      <c r="AO115"/>
      <c r="AP115"/>
    </row>
    <row r="116" spans="2:42" s="7" customFormat="1" ht="21.9" customHeight="1" x14ac:dyDescent="0.25">
      <c r="B116" s="196"/>
      <c r="C116" s="114"/>
      <c r="D116" s="695" t="s">
        <v>25</v>
      </c>
      <c r="E116" s="814" cm="1">
        <f t="array" ref="E116">_xlfn.ANCHORARRAY(E61) * $M$24</f>
        <v>0.64010009399250756</v>
      </c>
      <c r="F116" s="814" cm="1">
        <f t="array" ref="F116">_xlfn.ANCHORARRAY(F61) * $M$24</f>
        <v>0.69099999999999995</v>
      </c>
      <c r="G116" s="814" cm="1">
        <f t="array" ref="G116">_xlfn.ANCHORARRAY(G61) * $M$24</f>
        <v>0.74594739866666671</v>
      </c>
      <c r="H116" s="814" cm="1">
        <f t="array" ref="H116">_xlfn.ANCHORARRAY(H61) * $M$24</f>
        <v>0.80526414121210854</v>
      </c>
      <c r="I116" s="814" cm="1">
        <f t="array" ref="I116">_xlfn.ANCHORARRAY(I61) * $M$24</f>
        <v>0.86929767203577379</v>
      </c>
      <c r="J116" s="814" cm="1">
        <f t="array" ref="J116">_xlfn.ANCHORARRAY(J61) * $M$24</f>
        <v>0.93842306385249596</v>
      </c>
      <c r="K116" s="814" cm="1">
        <f t="array" ref="K116">_xlfn.ANCHORARRAY(K61) * $M$24</f>
        <v>1.0130452146592948</v>
      </c>
      <c r="L116" s="814" cm="1">
        <f t="array" ref="L116">_xlfn.ANCHORARRAY(L61) * $M$24</f>
        <v>1.093601219402049</v>
      </c>
      <c r="M116" s="814" cm="1">
        <f t="array" ref="M116">_xlfn.ANCHORARRAY(M61) * $M$24</f>
        <v>1.1805629302339409</v>
      </c>
      <c r="N116" s="814" cm="1">
        <f t="array" ref="N116">_xlfn.ANCHORARRAY(N61) * $M$24</f>
        <v>1.2744397203622371</v>
      </c>
      <c r="O116" s="814" cm="1">
        <f t="array" ref="O116">_xlfn.ANCHORARRAY(O61) * $M$24</f>
        <v>1.3757814676724818</v>
      </c>
      <c r="P116" s="814" cm="1">
        <f t="array" ref="P116">_xlfn.ANCHORARRAY(P61) * $M$24</f>
        <v>1.4851817756065073</v>
      </c>
      <c r="Q116" s="814" cm="1">
        <f t="array" ref="Q116">_xlfn.ANCHORARRAY(Q61) * $M$24</f>
        <v>1.6032814501603696</v>
      </c>
      <c r="R116" s="814" cm="1">
        <f t="array" ref="R116">_xlfn.ANCHORARRAY(R61) * $M$24</f>
        <v>1.7307722533685219</v>
      </c>
      <c r="S116" s="814" cm="1">
        <f t="array" ref="S116">_xlfn.ANCHORARRAY(S61) * $M$24</f>
        <v>1.8684009552600491</v>
      </c>
      <c r="T116" s="814" cm="1">
        <f t="array" ref="T116">_xlfn.ANCHORARRAY(T61) * $M$24</f>
        <v>2.0169737080210548</v>
      </c>
      <c r="U116" s="814" cm="1">
        <f t="array" ref="U116">_xlfn.ANCHORARRAY(U61) * $M$24</f>
        <v>2.1773607679846116</v>
      </c>
      <c r="V116" s="814" cm="1">
        <f t="array" ref="V116">_xlfn.ANCHORARRAY(V61) * $M$24</f>
        <v>2.3505015931070576</v>
      </c>
      <c r="W116" s="814" cm="1">
        <f t="array" ref="W116">_xlfn.ANCHORARRAY(W61) * $M$24</f>
        <v>2.5374103457888069</v>
      </c>
      <c r="X116" s="814" cm="1">
        <f t="array" ref="X116">_xlfn.ANCHORARRAY(X61) * $M$24</f>
        <v>2.7391818332721387</v>
      </c>
      <c r="Y116" s="814" cm="1">
        <f t="array" ref="Y116">_xlfn.ANCHORARRAY(Y61) * $M$24</f>
        <v>2.9569979204114953</v>
      </c>
      <c r="Z116" s="814" cm="1">
        <f t="array" ref="Z116">_xlfn.ANCHORARRAY(Z61) * $M$24</f>
        <v>3.1921344523787241</v>
      </c>
      <c r="AA116" s="814" cm="1">
        <f t="array" ref="AA116">_xlfn.ANCHORARRAY(AA61) * $M$24</f>
        <v>3.4459687278526099</v>
      </c>
      <c r="AB116" s="814" cm="1">
        <f t="array" ref="AB116">_xlfn.ANCHORARRAY(AB61) * $M$24</f>
        <v>3.7199875664664801</v>
      </c>
      <c r="AC116" s="814" cm="1">
        <f t="array" ref="AC116">_xlfn.ANCHORARRAY(AC61) * $M$24</f>
        <v>4.0157960177684728</v>
      </c>
      <c r="AD116" s="814" cm="1">
        <f t="array" ref="AD116">_xlfn.ANCHORARRAY(AD61) * $M$24</f>
        <v>4.3351267627067314</v>
      </c>
      <c r="AE116" s="814" cm="1">
        <f t="array" ref="AE116">_xlfn.ANCHORARRAY(AE61) * $M$24</f>
        <v>4.6798502627081549</v>
      </c>
      <c r="AF116" s="835" cm="1">
        <f t="array" ref="AF116">_xlfn.ANCHORARRAY(AF61) * $M$24</f>
        <v>5.0519857157983568</v>
      </c>
      <c r="AG116" s="17"/>
      <c r="AH116" s="17"/>
      <c r="AI116" s="17"/>
      <c r="AJ116" s="17"/>
      <c r="AK116" s="17"/>
      <c r="AL116"/>
      <c r="AM116"/>
      <c r="AN116"/>
      <c r="AO116"/>
      <c r="AP116"/>
    </row>
    <row r="117" spans="2:42" s="7" customFormat="1" ht="21.9" customHeight="1" thickBot="1" x14ac:dyDescent="0.3">
      <c r="B117" s="208"/>
      <c r="C117" s="818" t="s">
        <v>25</v>
      </c>
      <c r="D117" s="818"/>
      <c r="E117" s="819">
        <f>E96 + E100 + E104 + E108 + E112 + E116</f>
        <v>7.3193574450321455</v>
      </c>
      <c r="F117" s="819">
        <f t="shared" ref="F117:AF117" si="54">F96 + F100 + F104 + F108 + F112 + F116</f>
        <v>8.4649164123341443</v>
      </c>
      <c r="G117" s="819">
        <f t="shared" si="54"/>
        <v>9.8481719606676403</v>
      </c>
      <c r="H117" s="819">
        <f t="shared" si="54"/>
        <v>11.525021007128016</v>
      </c>
      <c r="I117" s="819">
        <f t="shared" si="54"/>
        <v>13.56507136587407</v>
      </c>
      <c r="J117" s="819">
        <f t="shared" si="54"/>
        <v>16.055049167894818</v>
      </c>
      <c r="K117" s="819">
        <f t="shared" si="54"/>
        <v>19.10305664716951</v>
      </c>
      <c r="L117" s="819">
        <f t="shared" si="54"/>
        <v>22.843892839382871</v>
      </c>
      <c r="M117" s="819">
        <f t="shared" si="54"/>
        <v>27.445702902121976</v>
      </c>
      <c r="N117" s="819">
        <f t="shared" si="54"/>
        <v>33.1182882310368</v>
      </c>
      <c r="O117" s="819">
        <f t="shared" si="54"/>
        <v>40.123492644485843</v>
      </c>
      <c r="P117" s="819">
        <f t="shared" si="54"/>
        <v>48.788183803010334</v>
      </c>
      <c r="Q117" s="819">
        <f t="shared" si="54"/>
        <v>59.520478925223955</v>
      </c>
      <c r="R117" s="819">
        <f t="shared" si="54"/>
        <v>72.830026267357695</v>
      </c>
      <c r="S117" s="819">
        <f t="shared" si="54"/>
        <v>89.353356888468298</v>
      </c>
      <c r="T117" s="819">
        <f t="shared" si="54"/>
        <v>109.88557510374744</v>
      </c>
      <c r="U117" s="819">
        <f t="shared" si="54"/>
        <v>135.41997345915277</v>
      </c>
      <c r="V117" s="819">
        <f t="shared" si="54"/>
        <v>167.19755495271565</v>
      </c>
      <c r="W117" s="819">
        <f t="shared" si="54"/>
        <v>206.76894147660141</v>
      </c>
      <c r="X117" s="819">
        <f t="shared" si="54"/>
        <v>256.07176793662609</v>
      </c>
      <c r="Y117" s="819">
        <f t="shared" si="54"/>
        <v>317.52743732959607</v>
      </c>
      <c r="Z117" s="819">
        <f t="shared" si="54"/>
        <v>394.16208212074002</v>
      </c>
      <c r="AA117" s="819">
        <f t="shared" si="54"/>
        <v>489.75779020200446</v>
      </c>
      <c r="AB117" s="819">
        <f t="shared" si="54"/>
        <v>609.0416703463502</v>
      </c>
      <c r="AC117" s="819">
        <f t="shared" si="54"/>
        <v>757.92222845450885</v>
      </c>
      <c r="AD117" s="819">
        <f t="shared" si="54"/>
        <v>943.78489711689815</v>
      </c>
      <c r="AE117" s="819">
        <f t="shared" si="54"/>
        <v>1175.8615260002007</v>
      </c>
      <c r="AF117" s="836">
        <f t="shared" si="54"/>
        <v>1465.6923480144446</v>
      </c>
      <c r="AG117" s="17"/>
      <c r="AH117" s="17"/>
      <c r="AI117" s="17"/>
      <c r="AJ117" s="17"/>
      <c r="AK117" s="17"/>
      <c r="AL117"/>
      <c r="AM117"/>
      <c r="AN117"/>
      <c r="AO117"/>
      <c r="AP117"/>
    </row>
    <row r="118" spans="2:42" s="7" customFormat="1" ht="21.9" customHeight="1" x14ac:dyDescent="0.25">
      <c r="B118" s="196" t="s">
        <v>709</v>
      </c>
      <c r="C118" s="225" t="str">
        <f>C8</f>
        <v>US-412/SH-412B</v>
      </c>
      <c r="D118" s="114" t="s">
        <v>32</v>
      </c>
      <c r="E118" s="820" cm="1">
        <f t="array" ref="E118:AF118">_xlfn.ANCHORARRAY(E93) * costLife</f>
        <v>0</v>
      </c>
      <c r="F118" s="820">
        <v>0</v>
      </c>
      <c r="G118" s="820">
        <v>0</v>
      </c>
      <c r="H118" s="820">
        <v>0</v>
      </c>
      <c r="I118" s="820">
        <v>0</v>
      </c>
      <c r="J118" s="820">
        <v>0</v>
      </c>
      <c r="K118" s="820">
        <v>0</v>
      </c>
      <c r="L118" s="820">
        <v>0</v>
      </c>
      <c r="M118" s="820">
        <v>0</v>
      </c>
      <c r="N118" s="820">
        <v>0</v>
      </c>
      <c r="O118" s="820">
        <v>0</v>
      </c>
      <c r="P118" s="820">
        <v>0</v>
      </c>
      <c r="Q118" s="820">
        <v>0</v>
      </c>
      <c r="R118" s="820">
        <v>0</v>
      </c>
      <c r="S118" s="820">
        <v>0</v>
      </c>
      <c r="T118" s="820">
        <v>0</v>
      </c>
      <c r="U118" s="820">
        <v>0</v>
      </c>
      <c r="V118" s="820">
        <v>0</v>
      </c>
      <c r="W118" s="820">
        <v>0</v>
      </c>
      <c r="X118" s="820">
        <v>0</v>
      </c>
      <c r="Y118" s="820">
        <v>0</v>
      </c>
      <c r="Z118" s="820">
        <v>0</v>
      </c>
      <c r="AA118" s="820">
        <v>0</v>
      </c>
      <c r="AB118" s="820">
        <v>0</v>
      </c>
      <c r="AC118" s="820">
        <v>0</v>
      </c>
      <c r="AD118" s="820">
        <v>0</v>
      </c>
      <c r="AE118" s="820">
        <v>0</v>
      </c>
      <c r="AF118" s="821">
        <v>0</v>
      </c>
      <c r="AG118" s="22"/>
      <c r="AH118" s="22"/>
      <c r="AI118" s="22"/>
      <c r="AJ118" s="22"/>
      <c r="AK118" s="22"/>
      <c r="AL118"/>
      <c r="AM118"/>
      <c r="AN118"/>
      <c r="AO118"/>
      <c r="AP118"/>
    </row>
    <row r="119" spans="2:42" s="7" customFormat="1" ht="21.9" customHeight="1" x14ac:dyDescent="0.25">
      <c r="B119" s="229" t="s">
        <v>380</v>
      </c>
      <c r="C119" s="114" t="str">
        <f>C9</f>
        <v>(Interchange)</v>
      </c>
      <c r="D119" s="114" t="s">
        <v>33</v>
      </c>
      <c r="E119" s="820" cm="1">
        <f t="array" ref="E119:AF119">_xlfn.ANCHORARRAY(E94) * costInjury</f>
        <v>541277.14208044624</v>
      </c>
      <c r="F119" s="820">
        <v>578424</v>
      </c>
      <c r="G119" s="820">
        <v>618120.17867599998</v>
      </c>
      <c r="H119" s="820">
        <v>660540.63331820618</v>
      </c>
      <c r="I119" s="820">
        <v>705872.32599167351</v>
      </c>
      <c r="J119" s="820">
        <v>754315.0496252178</v>
      </c>
      <c r="K119" s="820">
        <v>806082.30857007205</v>
      </c>
      <c r="L119" s="820">
        <v>861402.25958967034</v>
      </c>
      <c r="M119" s="820">
        <v>920518.71742783336</v>
      </c>
      <c r="N119" s="820">
        <v>983692.22938725678</v>
      </c>
      <c r="O119" s="820">
        <v>1051201.2236543503</v>
      </c>
      <c r="P119" s="820">
        <v>1123343.2364315048</v>
      </c>
      <c r="Q119" s="820">
        <v>1200436.2232851987</v>
      </c>
      <c r="R119" s="820">
        <v>1282819.9604895192</v>
      </c>
      <c r="S119" s="820">
        <v>1370857.5425413204</v>
      </c>
      <c r="T119" s="820">
        <v>1464936.9824471034</v>
      </c>
      <c r="U119" s="820">
        <v>1565472.9218346465</v>
      </c>
      <c r="V119" s="820">
        <v>1672908.4584264683</v>
      </c>
      <c r="W119" s="820">
        <v>1787717.0989294362</v>
      </c>
      <c r="X119" s="820">
        <v>1910404.8459476149</v>
      </c>
      <c r="Y119" s="820">
        <v>2041512.4281161155</v>
      </c>
      <c r="Z119" s="820">
        <v>2181617.6832849393</v>
      </c>
      <c r="AA119" s="820">
        <v>2331338.1052563651</v>
      </c>
      <c r="AB119" s="820">
        <v>2491333.56530025</v>
      </c>
      <c r="AC119" s="820">
        <v>2662309.220441936</v>
      </c>
      <c r="AD119" s="820">
        <v>2845018.6213406282</v>
      </c>
      <c r="AE119" s="820">
        <v>3040267.033455763</v>
      </c>
      <c r="AF119" s="821">
        <v>3248914.9861389371</v>
      </c>
      <c r="AG119" s="22"/>
      <c r="AH119" s="22"/>
      <c r="AI119" s="22"/>
      <c r="AJ119" s="22"/>
      <c r="AK119" s="22"/>
      <c r="AL119"/>
      <c r="AM119"/>
      <c r="AN119"/>
      <c r="AO119"/>
      <c r="AP119"/>
    </row>
    <row r="120" spans="2:42" s="7" customFormat="1" ht="21.9" customHeight="1" x14ac:dyDescent="0.25">
      <c r="B120" s="196"/>
      <c r="C120" s="114"/>
      <c r="D120" s="122" t="s">
        <v>30</v>
      </c>
      <c r="E120" s="822" cm="1">
        <f t="array" ref="E120:AF120">_xlfn.ANCHORARRAY(E95) * costPDO</f>
        <v>12875.573028285953</v>
      </c>
      <c r="F120" s="822">
        <v>13759.2</v>
      </c>
      <c r="G120" s="822">
        <v>14703.468670799999</v>
      </c>
      <c r="H120" s="822">
        <v>15712.540769317769</v>
      </c>
      <c r="I120" s="822">
        <v>16790.863635991303</v>
      </c>
      <c r="J120" s="822">
        <v>17943.189824079389</v>
      </c>
      <c r="K120" s="822">
        <v>19174.59804585794</v>
      </c>
      <c r="L120" s="822">
        <v>20490.515556315422</v>
      </c>
      <c r="M120" s="822">
        <v>21896.742073000158</v>
      </c>
      <c r="N120" s="822">
        <v>23399.475337443026</v>
      </c>
      <c r="O120" s="822">
        <v>25005.338430813616</v>
      </c>
      <c r="P120" s="822">
        <v>26721.408964199898</v>
      </c>
      <c r="Q120" s="822">
        <v>28555.250272163164</v>
      </c>
      <c r="R120" s="822">
        <v>30514.944747049551</v>
      </c>
      <c r="S120" s="822">
        <v>32609.129460974193</v>
      </c>
      <c r="T120" s="822">
        <v>34847.034232476835</v>
      </c>
      <c r="U120" s="822">
        <v>37238.522305622297</v>
      </c>
      <c r="V120" s="822">
        <v>39794.133820832925</v>
      </c>
      <c r="W120" s="822">
        <v>42525.132269044676</v>
      </c>
      <c r="X120" s="822">
        <v>45443.554133926715</v>
      </c>
      <c r="Y120" s="822">
        <v>48562.261940955512</v>
      </c>
      <c r="Z120" s="822">
        <v>51895.000947149732</v>
      </c>
      <c r="AA120" s="822">
        <v>55456.459721317537</v>
      </c>
      <c r="AB120" s="822">
        <v>59262.334881815412</v>
      </c>
      <c r="AC120" s="822">
        <v>63329.400277140448</v>
      </c>
      <c r="AD120" s="822">
        <v>67675.580914260077</v>
      </c>
      <c r="AE120" s="822">
        <v>72320.031960507404</v>
      </c>
      <c r="AF120" s="837">
        <v>77283.223167231758</v>
      </c>
      <c r="AG120" s="22"/>
      <c r="AH120" s="22"/>
      <c r="AI120" s="22"/>
      <c r="AJ120" s="22"/>
      <c r="AK120" s="22"/>
      <c r="AL120"/>
      <c r="AM120"/>
      <c r="AN120"/>
      <c r="AO120"/>
      <c r="AP120"/>
    </row>
    <row r="121" spans="2:42" s="7" customFormat="1" ht="21.9" customHeight="1" x14ac:dyDescent="0.25">
      <c r="B121" s="196"/>
      <c r="C121" s="122"/>
      <c r="D121" s="695" t="s">
        <v>25</v>
      </c>
      <c r="E121" s="823" cm="1">
        <f t="array" ref="E121:AF121">_xlfn.ANCHORARRAY(E118) +_xlfn.ANCHORARRAY( E119) +_xlfn.ANCHORARRAY( E120)</f>
        <v>554152.71510873223</v>
      </c>
      <c r="F121" s="823">
        <v>592183.19999999995</v>
      </c>
      <c r="G121" s="823">
        <v>632823.64734679996</v>
      </c>
      <c r="H121" s="823">
        <v>676253.17408752395</v>
      </c>
      <c r="I121" s="823">
        <v>722663.18962766486</v>
      </c>
      <c r="J121" s="823">
        <v>772258.23944929719</v>
      </c>
      <c r="K121" s="823">
        <v>825256.90661593003</v>
      </c>
      <c r="L121" s="823">
        <v>881892.77514598577</v>
      </c>
      <c r="M121" s="823">
        <v>942415.45950083353</v>
      </c>
      <c r="N121" s="823">
        <v>1007091.7047246998</v>
      </c>
      <c r="O121" s="823">
        <v>1076206.5620851638</v>
      </c>
      <c r="P121" s="823">
        <v>1150064.6453957048</v>
      </c>
      <c r="Q121" s="823">
        <v>1228991.4735573619</v>
      </c>
      <c r="R121" s="823">
        <v>1313334.9052365688</v>
      </c>
      <c r="S121" s="823">
        <v>1403466.6720022946</v>
      </c>
      <c r="T121" s="823">
        <v>1499784.0166795801</v>
      </c>
      <c r="U121" s="823">
        <v>1602711.4441402687</v>
      </c>
      <c r="V121" s="823">
        <v>1712702.5922473012</v>
      </c>
      <c r="W121" s="823">
        <v>1830242.2311984808</v>
      </c>
      <c r="X121" s="823">
        <v>1955848.4000815416</v>
      </c>
      <c r="Y121" s="823">
        <v>2090074.6900570709</v>
      </c>
      <c r="Z121" s="823">
        <v>2233512.6842320892</v>
      </c>
      <c r="AA121" s="823">
        <v>2386794.5649776827</v>
      </c>
      <c r="AB121" s="823">
        <v>2550595.9001820656</v>
      </c>
      <c r="AC121" s="823">
        <v>2725638.6207190766</v>
      </c>
      <c r="AD121" s="823">
        <v>2912694.2022548881</v>
      </c>
      <c r="AE121" s="823">
        <v>3112587.0654162704</v>
      </c>
      <c r="AF121" s="838">
        <v>3326198.2093061688</v>
      </c>
      <c r="AG121" s="22"/>
      <c r="AH121" s="22"/>
      <c r="AI121" s="22"/>
      <c r="AJ121" s="22"/>
      <c r="AK121" s="22"/>
      <c r="AL121"/>
      <c r="AM121"/>
      <c r="AN121"/>
      <c r="AO121"/>
      <c r="AP121"/>
    </row>
    <row r="122" spans="2:42" s="7" customFormat="1" ht="21.9" customHeight="1" x14ac:dyDescent="0.25">
      <c r="B122" s="196"/>
      <c r="C122" s="226" t="str">
        <f>C11</f>
        <v>SH-412B</v>
      </c>
      <c r="D122" s="217" t="s">
        <v>32</v>
      </c>
      <c r="E122" s="827" cm="1">
        <f t="array" ref="E122:AF122">_xlfn.ANCHORARRAY(E97) * costLife</f>
        <v>0</v>
      </c>
      <c r="F122" s="827">
        <v>0</v>
      </c>
      <c r="G122" s="827">
        <v>0</v>
      </c>
      <c r="H122" s="827">
        <v>0</v>
      </c>
      <c r="I122" s="827">
        <v>0</v>
      </c>
      <c r="J122" s="827">
        <v>0</v>
      </c>
      <c r="K122" s="827">
        <v>0</v>
      </c>
      <c r="L122" s="827">
        <v>0</v>
      </c>
      <c r="M122" s="827">
        <v>0</v>
      </c>
      <c r="N122" s="827">
        <v>0</v>
      </c>
      <c r="O122" s="827">
        <v>0</v>
      </c>
      <c r="P122" s="827">
        <v>0</v>
      </c>
      <c r="Q122" s="827">
        <v>0</v>
      </c>
      <c r="R122" s="827">
        <v>0</v>
      </c>
      <c r="S122" s="827">
        <v>0</v>
      </c>
      <c r="T122" s="827">
        <v>0</v>
      </c>
      <c r="U122" s="827">
        <v>0</v>
      </c>
      <c r="V122" s="827">
        <v>0</v>
      </c>
      <c r="W122" s="827">
        <v>0</v>
      </c>
      <c r="X122" s="827">
        <v>0</v>
      </c>
      <c r="Y122" s="827">
        <v>0</v>
      </c>
      <c r="Z122" s="827">
        <v>0</v>
      </c>
      <c r="AA122" s="827">
        <v>0</v>
      </c>
      <c r="AB122" s="827">
        <v>0</v>
      </c>
      <c r="AC122" s="827">
        <v>0</v>
      </c>
      <c r="AD122" s="827">
        <v>0</v>
      </c>
      <c r="AE122" s="827">
        <v>0</v>
      </c>
      <c r="AF122" s="840">
        <v>0</v>
      </c>
      <c r="AG122" s="22"/>
      <c r="AH122" s="22"/>
      <c r="AI122" s="22"/>
      <c r="AJ122" s="22"/>
      <c r="AK122" s="22"/>
      <c r="AL122"/>
      <c r="AM122"/>
      <c r="AN122"/>
      <c r="AO122"/>
      <c r="AP122"/>
    </row>
    <row r="123" spans="2:42" s="7" customFormat="1" ht="21.9" customHeight="1" x14ac:dyDescent="0.25">
      <c r="B123" s="196"/>
      <c r="C123" s="114" t="str">
        <f>C12</f>
        <v>(Roundabout)</v>
      </c>
      <c r="D123" s="114" t="s">
        <v>33</v>
      </c>
      <c r="E123" s="820" cm="1">
        <f t="array" ref="E123:AF123">_xlfn.ANCHORARRAY(E98) * costInjury</f>
        <v>0</v>
      </c>
      <c r="F123" s="820">
        <v>0</v>
      </c>
      <c r="G123" s="820">
        <v>0</v>
      </c>
      <c r="H123" s="820">
        <v>0</v>
      </c>
      <c r="I123" s="820">
        <v>0</v>
      </c>
      <c r="J123" s="820">
        <v>0</v>
      </c>
      <c r="K123" s="820">
        <v>0</v>
      </c>
      <c r="L123" s="820">
        <v>0</v>
      </c>
      <c r="M123" s="820">
        <v>0</v>
      </c>
      <c r="N123" s="820">
        <v>0</v>
      </c>
      <c r="O123" s="820">
        <v>0</v>
      </c>
      <c r="P123" s="820">
        <v>0</v>
      </c>
      <c r="Q123" s="820">
        <v>0</v>
      </c>
      <c r="R123" s="820">
        <v>0</v>
      </c>
      <c r="S123" s="820">
        <v>0</v>
      </c>
      <c r="T123" s="820">
        <v>0</v>
      </c>
      <c r="U123" s="820">
        <v>0</v>
      </c>
      <c r="V123" s="820">
        <v>0</v>
      </c>
      <c r="W123" s="820">
        <v>0</v>
      </c>
      <c r="X123" s="820">
        <v>0</v>
      </c>
      <c r="Y123" s="820">
        <v>0</v>
      </c>
      <c r="Z123" s="820">
        <v>0</v>
      </c>
      <c r="AA123" s="820">
        <v>0</v>
      </c>
      <c r="AB123" s="820">
        <v>0</v>
      </c>
      <c r="AC123" s="820">
        <v>0</v>
      </c>
      <c r="AD123" s="820">
        <v>0</v>
      </c>
      <c r="AE123" s="820">
        <v>0</v>
      </c>
      <c r="AF123" s="821">
        <v>0</v>
      </c>
      <c r="AG123" s="22"/>
      <c r="AH123" s="22"/>
      <c r="AI123" s="22"/>
      <c r="AJ123" s="22"/>
      <c r="AK123" s="22"/>
      <c r="AL123"/>
      <c r="AM123"/>
      <c r="AN123"/>
      <c r="AO123"/>
      <c r="AP123"/>
    </row>
    <row r="124" spans="2:42" s="7" customFormat="1" ht="21.9" customHeight="1" x14ac:dyDescent="0.25">
      <c r="B124" s="196"/>
      <c r="C124" s="114"/>
      <c r="D124" s="122" t="s">
        <v>30</v>
      </c>
      <c r="E124" s="822" cm="1">
        <f t="array" ref="E124:AF124">_xlfn.ANCHORARRAY(E99) * costPDO</f>
        <v>0</v>
      </c>
      <c r="F124" s="822">
        <v>0</v>
      </c>
      <c r="G124" s="822">
        <v>0</v>
      </c>
      <c r="H124" s="822">
        <v>0</v>
      </c>
      <c r="I124" s="822">
        <v>0</v>
      </c>
      <c r="J124" s="822">
        <v>0</v>
      </c>
      <c r="K124" s="822">
        <v>0</v>
      </c>
      <c r="L124" s="822">
        <v>0</v>
      </c>
      <c r="M124" s="822">
        <v>0</v>
      </c>
      <c r="N124" s="822">
        <v>0</v>
      </c>
      <c r="O124" s="822">
        <v>0</v>
      </c>
      <c r="P124" s="822">
        <v>0</v>
      </c>
      <c r="Q124" s="822">
        <v>0</v>
      </c>
      <c r="R124" s="822">
        <v>0</v>
      </c>
      <c r="S124" s="822">
        <v>0</v>
      </c>
      <c r="T124" s="822">
        <v>0</v>
      </c>
      <c r="U124" s="822">
        <v>0</v>
      </c>
      <c r="V124" s="822">
        <v>0</v>
      </c>
      <c r="W124" s="822">
        <v>0</v>
      </c>
      <c r="X124" s="822">
        <v>0</v>
      </c>
      <c r="Y124" s="822">
        <v>0</v>
      </c>
      <c r="Z124" s="822">
        <v>0</v>
      </c>
      <c r="AA124" s="822">
        <v>0</v>
      </c>
      <c r="AB124" s="822">
        <v>0</v>
      </c>
      <c r="AC124" s="822">
        <v>0</v>
      </c>
      <c r="AD124" s="822">
        <v>0</v>
      </c>
      <c r="AE124" s="822">
        <v>0</v>
      </c>
      <c r="AF124" s="837">
        <v>0</v>
      </c>
      <c r="AG124" s="22"/>
      <c r="AH124" s="22"/>
      <c r="AI124" s="22"/>
      <c r="AJ124" s="22"/>
      <c r="AK124" s="22"/>
      <c r="AL124"/>
      <c r="AM124"/>
      <c r="AN124"/>
      <c r="AO124"/>
      <c r="AP124"/>
    </row>
    <row r="125" spans="2:42" s="7" customFormat="1" ht="21.9" customHeight="1" x14ac:dyDescent="0.25">
      <c r="B125" s="196"/>
      <c r="C125" s="114"/>
      <c r="D125" s="237" t="s">
        <v>25</v>
      </c>
      <c r="E125" s="826" cm="1">
        <f t="array" ref="E125:AF125">_xlfn.ANCHORARRAY(E122) +_xlfn.ANCHORARRAY( E123) +_xlfn.ANCHORARRAY( E124)</f>
        <v>0</v>
      </c>
      <c r="F125" s="826">
        <v>0</v>
      </c>
      <c r="G125" s="826">
        <v>0</v>
      </c>
      <c r="H125" s="826">
        <v>0</v>
      </c>
      <c r="I125" s="826">
        <v>0</v>
      </c>
      <c r="J125" s="826">
        <v>0</v>
      </c>
      <c r="K125" s="826">
        <v>0</v>
      </c>
      <c r="L125" s="826">
        <v>0</v>
      </c>
      <c r="M125" s="826">
        <v>0</v>
      </c>
      <c r="N125" s="826">
        <v>0</v>
      </c>
      <c r="O125" s="826">
        <v>0</v>
      </c>
      <c r="P125" s="826">
        <v>0</v>
      </c>
      <c r="Q125" s="826">
        <v>0</v>
      </c>
      <c r="R125" s="826">
        <v>0</v>
      </c>
      <c r="S125" s="826">
        <v>0</v>
      </c>
      <c r="T125" s="826">
        <v>0</v>
      </c>
      <c r="U125" s="826">
        <v>0</v>
      </c>
      <c r="V125" s="826">
        <v>0</v>
      </c>
      <c r="W125" s="826">
        <v>0</v>
      </c>
      <c r="X125" s="826">
        <v>0</v>
      </c>
      <c r="Y125" s="826">
        <v>0</v>
      </c>
      <c r="Z125" s="826">
        <v>0</v>
      </c>
      <c r="AA125" s="826">
        <v>0</v>
      </c>
      <c r="AB125" s="826">
        <v>0</v>
      </c>
      <c r="AC125" s="826">
        <v>0</v>
      </c>
      <c r="AD125" s="826">
        <v>0</v>
      </c>
      <c r="AE125" s="826">
        <v>0</v>
      </c>
      <c r="AF125" s="839">
        <v>0</v>
      </c>
      <c r="AG125" s="22"/>
      <c r="AH125" s="22"/>
      <c r="AI125" s="22"/>
      <c r="AJ125" s="22"/>
      <c r="AK125" s="22"/>
      <c r="AL125"/>
      <c r="AM125"/>
      <c r="AN125"/>
      <c r="AO125"/>
      <c r="AP125"/>
    </row>
    <row r="126" spans="2:42" s="7" customFormat="1" ht="21.9" customHeight="1" x14ac:dyDescent="0.25">
      <c r="B126" s="196"/>
      <c r="C126" s="226" t="str">
        <f>C14</f>
        <v>Patrol Rd</v>
      </c>
      <c r="D126" s="217" t="s">
        <v>32</v>
      </c>
      <c r="E126" s="827" cm="1">
        <f t="array" ref="E126:AF126">_xlfn.ANCHORARRAY(E101) * costLife</f>
        <v>0</v>
      </c>
      <c r="F126" s="827">
        <v>0</v>
      </c>
      <c r="G126" s="827">
        <v>0</v>
      </c>
      <c r="H126" s="827">
        <v>0</v>
      </c>
      <c r="I126" s="827">
        <v>0</v>
      </c>
      <c r="J126" s="827">
        <v>0</v>
      </c>
      <c r="K126" s="827">
        <v>0</v>
      </c>
      <c r="L126" s="827">
        <v>0</v>
      </c>
      <c r="M126" s="827">
        <v>0</v>
      </c>
      <c r="N126" s="827">
        <v>0</v>
      </c>
      <c r="O126" s="827">
        <v>0</v>
      </c>
      <c r="P126" s="827">
        <v>0</v>
      </c>
      <c r="Q126" s="827">
        <v>0</v>
      </c>
      <c r="R126" s="827">
        <v>0</v>
      </c>
      <c r="S126" s="827">
        <v>0</v>
      </c>
      <c r="T126" s="827">
        <v>0</v>
      </c>
      <c r="U126" s="827">
        <v>0</v>
      </c>
      <c r="V126" s="827">
        <v>0</v>
      </c>
      <c r="W126" s="827">
        <v>0</v>
      </c>
      <c r="X126" s="827">
        <v>0</v>
      </c>
      <c r="Y126" s="827">
        <v>0</v>
      </c>
      <c r="Z126" s="827">
        <v>0</v>
      </c>
      <c r="AA126" s="827">
        <v>0</v>
      </c>
      <c r="AB126" s="827">
        <v>0</v>
      </c>
      <c r="AC126" s="827">
        <v>0</v>
      </c>
      <c r="AD126" s="827">
        <v>0</v>
      </c>
      <c r="AE126" s="827">
        <v>0</v>
      </c>
      <c r="AF126" s="840">
        <v>0</v>
      </c>
      <c r="AG126" s="22"/>
      <c r="AH126" s="22"/>
      <c r="AI126" s="22"/>
      <c r="AJ126" s="22"/>
      <c r="AK126" s="22"/>
      <c r="AL126"/>
      <c r="AM126"/>
      <c r="AN126"/>
      <c r="AO126"/>
      <c r="AP126"/>
    </row>
    <row r="127" spans="2:42" s="7" customFormat="1" ht="21.9" customHeight="1" x14ac:dyDescent="0.25">
      <c r="B127" s="196"/>
      <c r="C127" s="114"/>
      <c r="D127" s="114" t="s">
        <v>33</v>
      </c>
      <c r="E127" s="820" cm="1">
        <f t="array" ref="E127:AF127">_xlfn.ANCHORARRAY(E102) * costInjury</f>
        <v>42650.530883822648</v>
      </c>
      <c r="F127" s="820">
        <v>51180.637060587171</v>
      </c>
      <c r="G127" s="820">
        <v>61416.764472704606</v>
      </c>
      <c r="H127" s="820">
        <v>73700.117367245519</v>
      </c>
      <c r="I127" s="820">
        <v>88440.140840694628</v>
      </c>
      <c r="J127" s="820">
        <v>106128.16900883355</v>
      </c>
      <c r="K127" s="820">
        <v>127353.80281060026</v>
      </c>
      <c r="L127" s="820">
        <v>152824.56337272029</v>
      </c>
      <c r="M127" s="820">
        <v>183389.47604726438</v>
      </c>
      <c r="N127" s="820">
        <v>220067.37125671725</v>
      </c>
      <c r="O127" s="820">
        <v>264080.84550806071</v>
      </c>
      <c r="P127" s="820">
        <v>316897.01460967283</v>
      </c>
      <c r="Q127" s="820">
        <v>380276.41753160744</v>
      </c>
      <c r="R127" s="820">
        <v>456331.70103792881</v>
      </c>
      <c r="S127" s="820">
        <v>547598.04124551453</v>
      </c>
      <c r="T127" s="820">
        <v>657117.64949461748</v>
      </c>
      <c r="U127" s="820">
        <v>788541.17939354107</v>
      </c>
      <c r="V127" s="820">
        <v>946249.41527224914</v>
      </c>
      <c r="W127" s="820">
        <v>1135499.2983266988</v>
      </c>
      <c r="X127" s="820">
        <v>1362599.1579920389</v>
      </c>
      <c r="Y127" s="820">
        <v>1635118.9895904462</v>
      </c>
      <c r="Z127" s="820">
        <v>1962142.7875085357</v>
      </c>
      <c r="AA127" s="820">
        <v>2354571.3450102424</v>
      </c>
      <c r="AB127" s="820">
        <v>2825485.6140122907</v>
      </c>
      <c r="AC127" s="820">
        <v>3390582.736814749</v>
      </c>
      <c r="AD127" s="820">
        <v>4068699.2841776987</v>
      </c>
      <c r="AE127" s="820">
        <v>4882439.1410132395</v>
      </c>
      <c r="AF127" s="821">
        <v>5858926.9692158867</v>
      </c>
      <c r="AG127" s="22"/>
      <c r="AH127" s="22"/>
      <c r="AI127" s="22"/>
      <c r="AJ127" s="22"/>
      <c r="AK127" s="22"/>
      <c r="AL127"/>
      <c r="AM127"/>
      <c r="AN127"/>
      <c r="AO127"/>
      <c r="AP127"/>
    </row>
    <row r="128" spans="2:42" s="7" customFormat="1" ht="21.9" customHeight="1" x14ac:dyDescent="0.25">
      <c r="B128" s="196"/>
      <c r="C128" s="114"/>
      <c r="D128" s="122" t="s">
        <v>30</v>
      </c>
      <c r="E128" s="822" cm="1">
        <f t="array" ref="E128:AF128">_xlfn.ANCHORARRAY(E103) * costPDO</f>
        <v>0</v>
      </c>
      <c r="F128" s="822">
        <v>0</v>
      </c>
      <c r="G128" s="822">
        <v>0</v>
      </c>
      <c r="H128" s="822">
        <v>0</v>
      </c>
      <c r="I128" s="822">
        <v>0</v>
      </c>
      <c r="J128" s="822">
        <v>0</v>
      </c>
      <c r="K128" s="822">
        <v>0</v>
      </c>
      <c r="L128" s="822">
        <v>0</v>
      </c>
      <c r="M128" s="822">
        <v>0</v>
      </c>
      <c r="N128" s="822">
        <v>0</v>
      </c>
      <c r="O128" s="822">
        <v>0</v>
      </c>
      <c r="P128" s="822">
        <v>0</v>
      </c>
      <c r="Q128" s="822">
        <v>0</v>
      </c>
      <c r="R128" s="822">
        <v>0</v>
      </c>
      <c r="S128" s="822">
        <v>0</v>
      </c>
      <c r="T128" s="822">
        <v>0</v>
      </c>
      <c r="U128" s="822">
        <v>0</v>
      </c>
      <c r="V128" s="822">
        <v>0</v>
      </c>
      <c r="W128" s="822">
        <v>0</v>
      </c>
      <c r="X128" s="822">
        <v>0</v>
      </c>
      <c r="Y128" s="822">
        <v>0</v>
      </c>
      <c r="Z128" s="822">
        <v>0</v>
      </c>
      <c r="AA128" s="822">
        <v>0</v>
      </c>
      <c r="AB128" s="822">
        <v>0</v>
      </c>
      <c r="AC128" s="822">
        <v>0</v>
      </c>
      <c r="AD128" s="822">
        <v>0</v>
      </c>
      <c r="AE128" s="822">
        <v>0</v>
      </c>
      <c r="AF128" s="837">
        <v>0</v>
      </c>
      <c r="AG128" s="22"/>
      <c r="AH128" s="22"/>
      <c r="AI128" s="22"/>
      <c r="AJ128" s="22"/>
      <c r="AK128" s="22"/>
      <c r="AL128"/>
      <c r="AM128"/>
      <c r="AN128"/>
      <c r="AO128"/>
      <c r="AP128"/>
    </row>
    <row r="129" spans="2:42" s="7" customFormat="1" ht="21.9" customHeight="1" x14ac:dyDescent="0.25">
      <c r="B129" s="196"/>
      <c r="C129" s="114"/>
      <c r="D129" s="237" t="s">
        <v>25</v>
      </c>
      <c r="E129" s="826" cm="1">
        <f t="array" ref="E129:AF129">_xlfn.ANCHORARRAY(E126) +_xlfn.ANCHORARRAY( E127) +_xlfn.ANCHORARRAY( E128)</f>
        <v>42650.530883822648</v>
      </c>
      <c r="F129" s="826">
        <v>51180.637060587171</v>
      </c>
      <c r="G129" s="826">
        <v>61416.764472704606</v>
      </c>
      <c r="H129" s="826">
        <v>73700.117367245519</v>
      </c>
      <c r="I129" s="826">
        <v>88440.140840694628</v>
      </c>
      <c r="J129" s="826">
        <v>106128.16900883355</v>
      </c>
      <c r="K129" s="826">
        <v>127353.80281060026</v>
      </c>
      <c r="L129" s="826">
        <v>152824.56337272029</v>
      </c>
      <c r="M129" s="826">
        <v>183389.47604726438</v>
      </c>
      <c r="N129" s="826">
        <v>220067.37125671725</v>
      </c>
      <c r="O129" s="826">
        <v>264080.84550806071</v>
      </c>
      <c r="P129" s="826">
        <v>316897.01460967283</v>
      </c>
      <c r="Q129" s="826">
        <v>380276.41753160744</v>
      </c>
      <c r="R129" s="826">
        <v>456331.70103792881</v>
      </c>
      <c r="S129" s="826">
        <v>547598.04124551453</v>
      </c>
      <c r="T129" s="826">
        <v>657117.64949461748</v>
      </c>
      <c r="U129" s="826">
        <v>788541.17939354107</v>
      </c>
      <c r="V129" s="826">
        <v>946249.41527224914</v>
      </c>
      <c r="W129" s="826">
        <v>1135499.2983266988</v>
      </c>
      <c r="X129" s="826">
        <v>1362599.1579920389</v>
      </c>
      <c r="Y129" s="826">
        <v>1635118.9895904462</v>
      </c>
      <c r="Z129" s="826">
        <v>1962142.7875085357</v>
      </c>
      <c r="AA129" s="826">
        <v>2354571.3450102424</v>
      </c>
      <c r="AB129" s="826">
        <v>2825485.6140122907</v>
      </c>
      <c r="AC129" s="826">
        <v>3390582.736814749</v>
      </c>
      <c r="AD129" s="826">
        <v>4068699.2841776987</v>
      </c>
      <c r="AE129" s="826">
        <v>4882439.1410132395</v>
      </c>
      <c r="AF129" s="839">
        <v>5858926.9692158867</v>
      </c>
      <c r="AG129" s="22"/>
      <c r="AH129" s="22"/>
      <c r="AI129" s="22"/>
      <c r="AJ129" s="22"/>
      <c r="AK129" s="22"/>
      <c r="AL129"/>
      <c r="AM129"/>
      <c r="AN129"/>
      <c r="AO129"/>
      <c r="AP129"/>
    </row>
    <row r="130" spans="2:42" s="7" customFormat="1" ht="21.9" customHeight="1" x14ac:dyDescent="0.25">
      <c r="B130" s="196"/>
      <c r="C130" s="226" t="str">
        <f>C17</f>
        <v>Williams St</v>
      </c>
      <c r="D130" s="217" t="s">
        <v>32</v>
      </c>
      <c r="E130" s="827" cm="1">
        <f t="array" ref="E130:AF130">_xlfn.ANCHORARRAY(E105) * costLife</f>
        <v>0</v>
      </c>
      <c r="F130" s="827">
        <v>0</v>
      </c>
      <c r="G130" s="827">
        <v>0</v>
      </c>
      <c r="H130" s="827">
        <v>0</v>
      </c>
      <c r="I130" s="827">
        <v>0</v>
      </c>
      <c r="J130" s="827">
        <v>0</v>
      </c>
      <c r="K130" s="827">
        <v>0</v>
      </c>
      <c r="L130" s="827">
        <v>0</v>
      </c>
      <c r="M130" s="827">
        <v>0</v>
      </c>
      <c r="N130" s="827">
        <v>0</v>
      </c>
      <c r="O130" s="827">
        <v>0</v>
      </c>
      <c r="P130" s="827">
        <v>0</v>
      </c>
      <c r="Q130" s="827">
        <v>0</v>
      </c>
      <c r="R130" s="827">
        <v>0</v>
      </c>
      <c r="S130" s="827">
        <v>0</v>
      </c>
      <c r="T130" s="827">
        <v>0</v>
      </c>
      <c r="U130" s="827">
        <v>0</v>
      </c>
      <c r="V130" s="827">
        <v>0</v>
      </c>
      <c r="W130" s="827">
        <v>0</v>
      </c>
      <c r="X130" s="827">
        <v>0</v>
      </c>
      <c r="Y130" s="827">
        <v>0</v>
      </c>
      <c r="Z130" s="827">
        <v>0</v>
      </c>
      <c r="AA130" s="827">
        <v>0</v>
      </c>
      <c r="AB130" s="827">
        <v>0</v>
      </c>
      <c r="AC130" s="827">
        <v>0</v>
      </c>
      <c r="AD130" s="827">
        <v>0</v>
      </c>
      <c r="AE130" s="827">
        <v>0</v>
      </c>
      <c r="AF130" s="840">
        <v>0</v>
      </c>
      <c r="AG130" s="22"/>
      <c r="AH130" s="22"/>
      <c r="AI130" s="22"/>
      <c r="AJ130" s="22"/>
      <c r="AK130" s="22"/>
      <c r="AL130"/>
      <c r="AM130"/>
      <c r="AN130"/>
      <c r="AO130"/>
      <c r="AP130"/>
    </row>
    <row r="131" spans="2:42" s="7" customFormat="1" ht="21.9" customHeight="1" x14ac:dyDescent="0.25">
      <c r="B131" s="196"/>
      <c r="C131" s="114"/>
      <c r="D131" s="114" t="s">
        <v>33</v>
      </c>
      <c r="E131" s="820" cm="1">
        <f t="array" ref="E131:AF131">_xlfn.ANCHORARRAY(E106) * costInjury</f>
        <v>0</v>
      </c>
      <c r="F131" s="820">
        <v>0</v>
      </c>
      <c r="G131" s="820">
        <v>0</v>
      </c>
      <c r="H131" s="820">
        <v>0</v>
      </c>
      <c r="I131" s="820">
        <v>0</v>
      </c>
      <c r="J131" s="820">
        <v>0</v>
      </c>
      <c r="K131" s="820">
        <v>0</v>
      </c>
      <c r="L131" s="820">
        <v>0</v>
      </c>
      <c r="M131" s="820">
        <v>0</v>
      </c>
      <c r="N131" s="820">
        <v>0</v>
      </c>
      <c r="O131" s="820">
        <v>0</v>
      </c>
      <c r="P131" s="820">
        <v>0</v>
      </c>
      <c r="Q131" s="820">
        <v>0</v>
      </c>
      <c r="R131" s="820">
        <v>0</v>
      </c>
      <c r="S131" s="820">
        <v>0</v>
      </c>
      <c r="T131" s="820">
        <v>0</v>
      </c>
      <c r="U131" s="820">
        <v>0</v>
      </c>
      <c r="V131" s="820">
        <v>0</v>
      </c>
      <c r="W131" s="820">
        <v>0</v>
      </c>
      <c r="X131" s="820">
        <v>0</v>
      </c>
      <c r="Y131" s="820">
        <v>0</v>
      </c>
      <c r="Z131" s="820">
        <v>0</v>
      </c>
      <c r="AA131" s="820">
        <v>0</v>
      </c>
      <c r="AB131" s="820">
        <v>0</v>
      </c>
      <c r="AC131" s="820">
        <v>0</v>
      </c>
      <c r="AD131" s="820">
        <v>0</v>
      </c>
      <c r="AE131" s="820">
        <v>0</v>
      </c>
      <c r="AF131" s="821">
        <v>0</v>
      </c>
      <c r="AG131" s="22"/>
      <c r="AH131" s="22"/>
      <c r="AI131" s="22"/>
      <c r="AJ131" s="22"/>
      <c r="AK131" s="22"/>
      <c r="AL131"/>
      <c r="AM131"/>
      <c r="AN131"/>
      <c r="AO131"/>
      <c r="AP131"/>
    </row>
    <row r="132" spans="2:42" s="7" customFormat="1" ht="21.9" customHeight="1" x14ac:dyDescent="0.25">
      <c r="B132" s="196"/>
      <c r="C132" s="114"/>
      <c r="D132" s="122" t="s">
        <v>30</v>
      </c>
      <c r="E132" s="822" cm="1">
        <f t="array" ref="E132:AF132">_xlfn.ANCHORARRAY(E107) * costPDO</f>
        <v>0</v>
      </c>
      <c r="F132" s="822">
        <v>0</v>
      </c>
      <c r="G132" s="822">
        <v>0</v>
      </c>
      <c r="H132" s="822">
        <v>0</v>
      </c>
      <c r="I132" s="822">
        <v>0</v>
      </c>
      <c r="J132" s="822">
        <v>0</v>
      </c>
      <c r="K132" s="822">
        <v>0</v>
      </c>
      <c r="L132" s="822">
        <v>0</v>
      </c>
      <c r="M132" s="822">
        <v>0</v>
      </c>
      <c r="N132" s="822">
        <v>0</v>
      </c>
      <c r="O132" s="822">
        <v>0</v>
      </c>
      <c r="P132" s="822">
        <v>0</v>
      </c>
      <c r="Q132" s="822">
        <v>0</v>
      </c>
      <c r="R132" s="822">
        <v>0</v>
      </c>
      <c r="S132" s="822">
        <v>0</v>
      </c>
      <c r="T132" s="822">
        <v>0</v>
      </c>
      <c r="U132" s="822">
        <v>0</v>
      </c>
      <c r="V132" s="822">
        <v>0</v>
      </c>
      <c r="W132" s="822">
        <v>0</v>
      </c>
      <c r="X132" s="822">
        <v>0</v>
      </c>
      <c r="Y132" s="822">
        <v>0</v>
      </c>
      <c r="Z132" s="822">
        <v>0</v>
      </c>
      <c r="AA132" s="822">
        <v>0</v>
      </c>
      <c r="AB132" s="822">
        <v>0</v>
      </c>
      <c r="AC132" s="822">
        <v>0</v>
      </c>
      <c r="AD132" s="822">
        <v>0</v>
      </c>
      <c r="AE132" s="822">
        <v>0</v>
      </c>
      <c r="AF132" s="837">
        <v>0</v>
      </c>
      <c r="AG132" s="22"/>
      <c r="AH132" s="22"/>
      <c r="AI132" s="22"/>
      <c r="AJ132" s="22"/>
      <c r="AK132" s="22"/>
      <c r="AL132"/>
      <c r="AM132"/>
      <c r="AN132"/>
      <c r="AO132"/>
      <c r="AP132"/>
    </row>
    <row r="133" spans="2:42" s="7" customFormat="1" ht="21.9" customHeight="1" x14ac:dyDescent="0.25">
      <c r="B133" s="196"/>
      <c r="C133" s="114"/>
      <c r="D133" s="237" t="s">
        <v>25</v>
      </c>
      <c r="E133" s="826" cm="1">
        <f t="array" ref="E133:AF133">_xlfn.ANCHORARRAY(E130) +_xlfn.ANCHORARRAY( E131) +_xlfn.ANCHORARRAY( E132)</f>
        <v>0</v>
      </c>
      <c r="F133" s="826">
        <v>0</v>
      </c>
      <c r="G133" s="826">
        <v>0</v>
      </c>
      <c r="H133" s="826">
        <v>0</v>
      </c>
      <c r="I133" s="826">
        <v>0</v>
      </c>
      <c r="J133" s="826">
        <v>0</v>
      </c>
      <c r="K133" s="826">
        <v>0</v>
      </c>
      <c r="L133" s="826">
        <v>0</v>
      </c>
      <c r="M133" s="826">
        <v>0</v>
      </c>
      <c r="N133" s="826">
        <v>0</v>
      </c>
      <c r="O133" s="826">
        <v>0</v>
      </c>
      <c r="P133" s="826">
        <v>0</v>
      </c>
      <c r="Q133" s="826">
        <v>0</v>
      </c>
      <c r="R133" s="826">
        <v>0</v>
      </c>
      <c r="S133" s="826">
        <v>0</v>
      </c>
      <c r="T133" s="826">
        <v>0</v>
      </c>
      <c r="U133" s="826">
        <v>0</v>
      </c>
      <c r="V133" s="826">
        <v>0</v>
      </c>
      <c r="W133" s="826">
        <v>0</v>
      </c>
      <c r="X133" s="826">
        <v>0</v>
      </c>
      <c r="Y133" s="826">
        <v>0</v>
      </c>
      <c r="Z133" s="826">
        <v>0</v>
      </c>
      <c r="AA133" s="826">
        <v>0</v>
      </c>
      <c r="AB133" s="826">
        <v>0</v>
      </c>
      <c r="AC133" s="826">
        <v>0</v>
      </c>
      <c r="AD133" s="826">
        <v>0</v>
      </c>
      <c r="AE133" s="826">
        <v>0</v>
      </c>
      <c r="AF133" s="839">
        <v>0</v>
      </c>
      <c r="AG133" s="22"/>
      <c r="AH133" s="22"/>
      <c r="AI133" s="22"/>
      <c r="AJ133" s="22"/>
      <c r="AK133" s="22"/>
      <c r="AL133"/>
      <c r="AM133"/>
      <c r="AN133"/>
      <c r="AO133"/>
      <c r="AP133"/>
    </row>
    <row r="134" spans="2:42" s="7" customFormat="1" ht="21.9" customHeight="1" x14ac:dyDescent="0.25">
      <c r="B134" s="196"/>
      <c r="C134" s="226" t="str">
        <f>C20</f>
        <v>SH-412B North</v>
      </c>
      <c r="D134" s="217" t="s">
        <v>32</v>
      </c>
      <c r="E134" s="827" cm="1">
        <f t="array" ref="E134:AF134">_xlfn.ANCHORARRAY(E109) * costLife</f>
        <v>0</v>
      </c>
      <c r="F134" s="827">
        <v>0</v>
      </c>
      <c r="G134" s="827">
        <v>0</v>
      </c>
      <c r="H134" s="827">
        <v>0</v>
      </c>
      <c r="I134" s="827">
        <v>0</v>
      </c>
      <c r="J134" s="827">
        <v>0</v>
      </c>
      <c r="K134" s="827">
        <v>0</v>
      </c>
      <c r="L134" s="827">
        <v>0</v>
      </c>
      <c r="M134" s="827">
        <v>0</v>
      </c>
      <c r="N134" s="827">
        <v>0</v>
      </c>
      <c r="O134" s="827">
        <v>0</v>
      </c>
      <c r="P134" s="827">
        <v>0</v>
      </c>
      <c r="Q134" s="827">
        <v>0</v>
      </c>
      <c r="R134" s="827">
        <v>0</v>
      </c>
      <c r="S134" s="827">
        <v>0</v>
      </c>
      <c r="T134" s="827">
        <v>0</v>
      </c>
      <c r="U134" s="827">
        <v>0</v>
      </c>
      <c r="V134" s="827">
        <v>0</v>
      </c>
      <c r="W134" s="827">
        <v>0</v>
      </c>
      <c r="X134" s="827">
        <v>0</v>
      </c>
      <c r="Y134" s="827">
        <v>0</v>
      </c>
      <c r="Z134" s="827">
        <v>0</v>
      </c>
      <c r="AA134" s="827">
        <v>0</v>
      </c>
      <c r="AB134" s="827">
        <v>0</v>
      </c>
      <c r="AC134" s="827">
        <v>0</v>
      </c>
      <c r="AD134" s="827">
        <v>0</v>
      </c>
      <c r="AE134" s="827">
        <v>0</v>
      </c>
      <c r="AF134" s="840">
        <v>0</v>
      </c>
      <c r="AG134" s="22"/>
      <c r="AH134" s="22"/>
      <c r="AI134" s="22"/>
      <c r="AJ134" s="22"/>
      <c r="AK134" s="22"/>
      <c r="AL134"/>
      <c r="AM134"/>
      <c r="AN134"/>
      <c r="AO134"/>
      <c r="AP134"/>
    </row>
    <row r="135" spans="2:42" s="7" customFormat="1" ht="21.9" customHeight="1" x14ac:dyDescent="0.25">
      <c r="B135" s="196"/>
      <c r="C135" s="114" t="str">
        <f>+C21</f>
        <v>(Improvements)</v>
      </c>
      <c r="D135" s="114" t="s">
        <v>33</v>
      </c>
      <c r="E135" s="820" cm="1">
        <f t="array" ref="E135:AF135">_xlfn.ANCHORARRAY(E110) * costInjury</f>
        <v>508781.92949123913</v>
      </c>
      <c r="F135" s="820">
        <v>636266.4</v>
      </c>
      <c r="G135" s="820">
        <v>795694.39931519993</v>
      </c>
      <c r="H135" s="820">
        <v>995069.95356281067</v>
      </c>
      <c r="I135" s="820">
        <v>1244402.6416871368</v>
      </c>
      <c r="J135" s="820">
        <v>1556210.1228093996</v>
      </c>
      <c r="K135" s="820">
        <v>1946146.5808615049</v>
      </c>
      <c r="L135" s="820">
        <v>2433788.6373348101</v>
      </c>
      <c r="M135" s="820">
        <v>3043618.1886145188</v>
      </c>
      <c r="N135" s="820">
        <v>3806251.5108992821</v>
      </c>
      <c r="O135" s="820">
        <v>4759976.3394822925</v>
      </c>
      <c r="P135" s="820">
        <v>5952674.0909136897</v>
      </c>
      <c r="Q135" s="820">
        <v>7444223.7325257519</v>
      </c>
      <c r="R135" s="820">
        <v>9309507.984737264</v>
      </c>
      <c r="S135" s="820">
        <v>11642172.78145691</v>
      </c>
      <c r="T135" s="820">
        <v>14559328.730961002</v>
      </c>
      <c r="U135" s="820">
        <v>18207430.61242044</v>
      </c>
      <c r="V135" s="820">
        <v>22769630.086113404</v>
      </c>
      <c r="W135" s="820">
        <v>28474970.757530667</v>
      </c>
      <c r="X135" s="820">
        <v>35609887.2303036</v>
      </c>
      <c r="Y135" s="820">
        <v>44532585.453826316</v>
      </c>
      <c r="Z135" s="820">
        <v>55691026.325820662</v>
      </c>
      <c r="AA135" s="820">
        <v>69645415.410228893</v>
      </c>
      <c r="AB135" s="820">
        <v>87096327.858739123</v>
      </c>
      <c r="AC135" s="820">
        <v>108919880.53764765</v>
      </c>
      <c r="AD135" s="820">
        <v>136211717.16420496</v>
      </c>
      <c r="AE135" s="820">
        <v>170342014.71060541</v>
      </c>
      <c r="AF135" s="821">
        <v>213024272.65261239</v>
      </c>
      <c r="AG135" s="22"/>
      <c r="AH135" s="22"/>
      <c r="AI135" s="22"/>
      <c r="AJ135" s="22"/>
      <c r="AK135" s="22"/>
      <c r="AL135"/>
      <c r="AM135"/>
      <c r="AN135"/>
      <c r="AO135"/>
      <c r="AP135"/>
    </row>
    <row r="136" spans="2:42" s="7" customFormat="1" ht="21.9" customHeight="1" x14ac:dyDescent="0.25">
      <c r="B136" s="196"/>
      <c r="C136" s="114"/>
      <c r="D136" s="122" t="s">
        <v>30</v>
      </c>
      <c r="E136" s="822" cm="1">
        <f t="array" ref="E136:AF136">_xlfn.ANCHORARRAY(E111) * costPDO</f>
        <v>16136.795440151996</v>
      </c>
      <c r="F136" s="822">
        <v>20180.16</v>
      </c>
      <c r="G136" s="822">
        <v>25236.662330880001</v>
      </c>
      <c r="H136" s="822">
        <v>31560.162337803933</v>
      </c>
      <c r="I136" s="822">
        <v>39468.129094462784</v>
      </c>
      <c r="J136" s="822">
        <v>49357.579265404136</v>
      </c>
      <c r="K136" s="822">
        <v>61725.009186777912</v>
      </c>
      <c r="L136" s="822">
        <v>77191.32128869048</v>
      </c>
      <c r="M136" s="822">
        <v>96532.996281355081</v>
      </c>
      <c r="N136" s="822">
        <v>120721.07609358165</v>
      </c>
      <c r="O136" s="822">
        <v>150969.91468819819</v>
      </c>
      <c r="P136" s="822">
        <v>188798.1442717906</v>
      </c>
      <c r="Q136" s="822">
        <v>236104.9176856846</v>
      </c>
      <c r="R136" s="822">
        <v>295265.25470035122</v>
      </c>
      <c r="S136" s="822">
        <v>369249.27904010884</v>
      </c>
      <c r="T136" s="822">
        <v>461771.33239063079</v>
      </c>
      <c r="U136" s="822">
        <v>577476.45160508633</v>
      </c>
      <c r="V136" s="822">
        <v>722173.57113086956</v>
      </c>
      <c r="W136" s="822">
        <v>903127.15850198921</v>
      </c>
      <c r="X136" s="822">
        <v>1129421.9243535155</v>
      </c>
      <c r="Y136" s="822">
        <v>1412418.917094927</v>
      </c>
      <c r="Z136" s="822">
        <v>1766325.9003135685</v>
      </c>
      <c r="AA136" s="822">
        <v>2208910.6485033389</v>
      </c>
      <c r="AB136" s="822">
        <v>2762392.9718775228</v>
      </c>
      <c r="AC136" s="822">
        <v>3454560.2540549301</v>
      </c>
      <c r="AD136" s="822">
        <v>4320162.5077929655</v>
      </c>
      <c r="AE136" s="822">
        <v>5402656.9870456327</v>
      </c>
      <c r="AF136" s="837">
        <v>6756389.9429756831</v>
      </c>
      <c r="AG136" s="22"/>
      <c r="AH136" s="22"/>
      <c r="AI136" s="22"/>
      <c r="AJ136" s="22"/>
      <c r="AK136" s="22"/>
      <c r="AL136"/>
      <c r="AM136"/>
      <c r="AN136"/>
      <c r="AO136"/>
      <c r="AP136"/>
    </row>
    <row r="137" spans="2:42" s="7" customFormat="1" ht="21.9" customHeight="1" x14ac:dyDescent="0.25">
      <c r="B137" s="196"/>
      <c r="C137" s="114"/>
      <c r="D137" s="237" t="s">
        <v>25</v>
      </c>
      <c r="E137" s="826" cm="1">
        <f t="array" ref="E137:AF137">_xlfn.ANCHORARRAY(E134) +_xlfn.ANCHORARRAY( E135) +_xlfn.ANCHORARRAY( E136)</f>
        <v>524918.72493139119</v>
      </c>
      <c r="F137" s="826">
        <v>656446.56000000006</v>
      </c>
      <c r="G137" s="826">
        <v>820931.06164607988</v>
      </c>
      <c r="H137" s="826">
        <v>1026630.1159006146</v>
      </c>
      <c r="I137" s="826">
        <v>1283870.7707815997</v>
      </c>
      <c r="J137" s="826">
        <v>1605567.7020748036</v>
      </c>
      <c r="K137" s="826">
        <v>2007871.5900482829</v>
      </c>
      <c r="L137" s="826">
        <v>2510979.9586235005</v>
      </c>
      <c r="M137" s="826">
        <v>3140151.184895874</v>
      </c>
      <c r="N137" s="826">
        <v>3926972.5869928636</v>
      </c>
      <c r="O137" s="826">
        <v>4910946.2541704904</v>
      </c>
      <c r="P137" s="826">
        <v>6141472.2351854807</v>
      </c>
      <c r="Q137" s="826">
        <v>7680328.6502114367</v>
      </c>
      <c r="R137" s="826">
        <v>9604773.2394376155</v>
      </c>
      <c r="S137" s="826">
        <v>12011422.060497019</v>
      </c>
      <c r="T137" s="826">
        <v>15021100.063351633</v>
      </c>
      <c r="U137" s="826">
        <v>18784907.064025525</v>
      </c>
      <c r="V137" s="826">
        <v>23491803.657244273</v>
      </c>
      <c r="W137" s="826">
        <v>29378097.916032657</v>
      </c>
      <c r="X137" s="826">
        <v>36739309.154657118</v>
      </c>
      <c r="Y137" s="826">
        <v>45945004.370921239</v>
      </c>
      <c r="Z137" s="826">
        <v>57457352.226134233</v>
      </c>
      <c r="AA137" s="826">
        <v>71854326.058732226</v>
      </c>
      <c r="AB137" s="826">
        <v>89858720.830616653</v>
      </c>
      <c r="AC137" s="826">
        <v>112374440.79170258</v>
      </c>
      <c r="AD137" s="826">
        <v>140531879.67199793</v>
      </c>
      <c r="AE137" s="826">
        <v>175744671.69765106</v>
      </c>
      <c r="AF137" s="839">
        <v>219780662.59558806</v>
      </c>
      <c r="AG137" s="22"/>
      <c r="AH137" s="22"/>
      <c r="AI137" s="22"/>
      <c r="AJ137" s="22"/>
      <c r="AK137" s="22"/>
      <c r="AL137"/>
      <c r="AM137"/>
      <c r="AN137"/>
      <c r="AO137"/>
      <c r="AP137"/>
    </row>
    <row r="138" spans="2:42" s="7" customFormat="1" ht="21.9" customHeight="1" x14ac:dyDescent="0.25">
      <c r="B138" s="196"/>
      <c r="C138" s="226" t="str">
        <f>C23</f>
        <v>Zarrow St</v>
      </c>
      <c r="D138" s="217" t="s">
        <v>32</v>
      </c>
      <c r="E138" s="827" cm="1">
        <f t="array" ref="E138:AF138">_xlfn.ANCHORARRAY(E113) * costLife</f>
        <v>1795211.9216095072</v>
      </c>
      <c r="F138" s="827">
        <v>1937964.7799999998</v>
      </c>
      <c r="G138" s="827">
        <v>2092069.1553525599</v>
      </c>
      <c r="H138" s="827">
        <v>2258427.7051606551</v>
      </c>
      <c r="I138" s="827">
        <v>2438014.8650380904</v>
      </c>
      <c r="J138" s="827">
        <v>2631882.5564194331</v>
      </c>
      <c r="K138" s="827">
        <v>2841166.3481291649</v>
      </c>
      <c r="L138" s="827">
        <v>3067092.1079105986</v>
      </c>
      <c r="M138" s="827">
        <v>3310983.1828755056</v>
      </c>
      <c r="N138" s="827">
        <v>3574268.1509335227</v>
      </c>
      <c r="O138" s="827">
        <v>3858489.1886048894</v>
      </c>
      <c r="P138" s="827">
        <v>4165311.1042304989</v>
      </c>
      <c r="Q138" s="827">
        <v>4496531.0894907694</v>
      </c>
      <c r="R138" s="827">
        <v>4854089.2463522898</v>
      </c>
      <c r="S138" s="827">
        <v>5240079.9511032291</v>
      </c>
      <c r="T138" s="827">
        <v>5656764.1220416902</v>
      </c>
      <c r="U138" s="827">
        <v>6106582.4626742825</v>
      </c>
      <c r="V138" s="827">
        <v>6592169.7579961922</v>
      </c>
      <c r="W138" s="827">
        <v>7116370.3075923724</v>
      </c>
      <c r="X138" s="827">
        <v>7682254.5859583756</v>
      </c>
      <c r="Y138" s="827">
        <v>8293137.2276276723</v>
      </c>
      <c r="Z138" s="827">
        <v>8952596.4424523227</v>
      </c>
      <c r="AA138" s="827">
        <v>9664494.9747608732</v>
      </c>
      <c r="AB138" s="827">
        <v>10433002.72916056</v>
      </c>
      <c r="AC138" s="827">
        <v>11262621.195513103</v>
      </c>
      <c r="AD138" s="827">
        <v>12158209.816152046</v>
      </c>
      <c r="AE138" s="827">
        <v>13125014.449786035</v>
      </c>
      <c r="AF138" s="840">
        <v>14168698.098813757</v>
      </c>
      <c r="AG138" s="22"/>
      <c r="AH138" s="22"/>
      <c r="AI138" s="22"/>
      <c r="AJ138" s="22"/>
      <c r="AK138" s="22"/>
      <c r="AL138"/>
      <c r="AM138"/>
      <c r="AN138"/>
      <c r="AO138"/>
      <c r="AP138"/>
    </row>
    <row r="139" spans="2:42" s="7" customFormat="1" ht="21.9" customHeight="1" x14ac:dyDescent="0.25">
      <c r="B139" s="196"/>
      <c r="C139" s="225"/>
      <c r="D139" s="114" t="s">
        <v>33</v>
      </c>
      <c r="E139" s="828" cm="1">
        <f t="array" ref="E139:AF139">_xlfn.ANCHORARRAY(E114) * costInjury</f>
        <v>120210.79765179292</v>
      </c>
      <c r="F139" s="828">
        <v>129769.79999999999</v>
      </c>
      <c r="G139" s="828">
        <v>140088.9214696</v>
      </c>
      <c r="H139" s="828">
        <v>151228.60571963398</v>
      </c>
      <c r="I139" s="828">
        <v>163254.10280831833</v>
      </c>
      <c r="J139" s="828">
        <v>176235.85139149876</v>
      </c>
      <c r="K139" s="828">
        <v>190249.89131301554</v>
      </c>
      <c r="L139" s="828">
        <v>205378.30900370481</v>
      </c>
      <c r="M139" s="828">
        <v>221709.71829793407</v>
      </c>
      <c r="N139" s="828">
        <v>239339.77948402811</v>
      </c>
      <c r="O139" s="828">
        <v>258371.75962889206</v>
      </c>
      <c r="P139" s="828">
        <v>278917.13745890203</v>
      </c>
      <c r="Q139" s="828">
        <v>301096.25634011743</v>
      </c>
      <c r="R139" s="828">
        <v>325039.02918260847</v>
      </c>
      <c r="S139" s="828">
        <v>350885.69939783716</v>
      </c>
      <c r="T139" s="828">
        <v>378787.66236635408</v>
      </c>
      <c r="U139" s="828">
        <v>408908.35222751013</v>
      </c>
      <c r="V139" s="828">
        <v>441424.19918550551</v>
      </c>
      <c r="W139" s="828">
        <v>476525.6629391379</v>
      </c>
      <c r="X139" s="828">
        <v>514418.34828850761</v>
      </c>
      <c r="Y139" s="828">
        <v>555324.2094532788</v>
      </c>
      <c r="Z139" s="828">
        <v>599482.85015672434</v>
      </c>
      <c r="AA139" s="828">
        <v>647152.92709072016</v>
      </c>
      <c r="AB139" s="828">
        <v>698613.66498240491</v>
      </c>
      <c r="AC139" s="828">
        <v>754166.49213691917</v>
      </c>
      <c r="AD139" s="828">
        <v>814136.80603632412</v>
      </c>
      <c r="AE139" s="828">
        <v>878875.87933659134</v>
      </c>
      <c r="AF139" s="821">
        <v>948762.91742693132</v>
      </c>
      <c r="AG139" s="22"/>
      <c r="AH139" s="22"/>
      <c r="AI139" s="22"/>
      <c r="AJ139" s="22"/>
      <c r="AK139" s="22"/>
      <c r="AL139"/>
      <c r="AM139"/>
      <c r="AN139"/>
      <c r="AO139"/>
      <c r="AP139"/>
    </row>
    <row r="140" spans="2:42" s="7" customFormat="1" ht="21.9" customHeight="1" x14ac:dyDescent="0.25">
      <c r="B140" s="196"/>
      <c r="C140" s="114"/>
      <c r="D140" s="122" t="s">
        <v>30</v>
      </c>
      <c r="E140" s="822" cm="1">
        <f t="array" ref="E140:AF140">_xlfn.ANCHORARRAY(E115) * costPDO</f>
        <v>1164.9821710663639</v>
      </c>
      <c r="F140" s="822">
        <v>1257.6199999999999</v>
      </c>
      <c r="G140" s="822">
        <v>1357.6242655733333</v>
      </c>
      <c r="H140" s="822">
        <v>1465.5807370060375</v>
      </c>
      <c r="I140" s="822">
        <v>1582.1217631051084</v>
      </c>
      <c r="J140" s="822">
        <v>1707.9299762115427</v>
      </c>
      <c r="K140" s="822">
        <v>1843.7422906799163</v>
      </c>
      <c r="L140" s="822">
        <v>1990.3542193117294</v>
      </c>
      <c r="M140" s="822">
        <v>2148.6245330257725</v>
      </c>
      <c r="N140" s="822">
        <v>2319.4802910592716</v>
      </c>
      <c r="O140" s="822">
        <v>2503.9222711639172</v>
      </c>
      <c r="P140" s="822">
        <v>2703.0308316038436</v>
      </c>
      <c r="Q140" s="822">
        <v>2917.9722392918725</v>
      </c>
      <c r="R140" s="822">
        <v>3150.0055011307104</v>
      </c>
      <c r="S140" s="822">
        <v>3400.4897385732893</v>
      </c>
      <c r="T140" s="822">
        <v>3670.8921485983196</v>
      </c>
      <c r="U140" s="822">
        <v>3962.7965977319936</v>
      </c>
      <c r="V140" s="822">
        <v>4277.9128994548455</v>
      </c>
      <c r="W140" s="822">
        <v>4618.0868293356289</v>
      </c>
      <c r="X140" s="822">
        <v>4985.3109365552928</v>
      </c>
      <c r="Y140" s="822">
        <v>5381.7362151489215</v>
      </c>
      <c r="Z140" s="822">
        <v>5809.6847033292779</v>
      </c>
      <c r="AA140" s="822">
        <v>6271.6630846917506</v>
      </c>
      <c r="AB140" s="822">
        <v>6770.377370968994</v>
      </c>
      <c r="AC140" s="822">
        <v>7308.7487523386199</v>
      </c>
      <c r="AD140" s="822">
        <v>7889.9307081262523</v>
      </c>
      <c r="AE140" s="822">
        <v>8517.3274781288419</v>
      </c>
      <c r="AF140" s="837">
        <v>9194.6140027530109</v>
      </c>
      <c r="AG140" s="22"/>
      <c r="AH140" s="22"/>
      <c r="AI140" s="22"/>
      <c r="AJ140" s="22"/>
      <c r="AK140" s="22"/>
      <c r="AL140"/>
      <c r="AM140"/>
      <c r="AN140"/>
      <c r="AO140"/>
      <c r="AP140"/>
    </row>
    <row r="141" spans="2:42" s="7" customFormat="1" ht="21.9" customHeight="1" x14ac:dyDescent="0.25">
      <c r="B141" s="196"/>
      <c r="C141" s="114"/>
      <c r="D141" s="237" t="s">
        <v>25</v>
      </c>
      <c r="E141" s="829" cm="1">
        <f t="array" ref="E141:AF141">_xlfn.ANCHORARRAY(E138) +_xlfn.ANCHORARRAY( E139) +_xlfn.ANCHORARRAY( E140)</f>
        <v>1916587.7014323664</v>
      </c>
      <c r="F141" s="826">
        <v>2068992.2</v>
      </c>
      <c r="G141" s="826">
        <v>2233515.7010877333</v>
      </c>
      <c r="H141" s="826">
        <v>2411121.8916172949</v>
      </c>
      <c r="I141" s="826">
        <v>2602851.0896095135</v>
      </c>
      <c r="J141" s="826">
        <v>2809826.3377871434</v>
      </c>
      <c r="K141" s="826">
        <v>3033259.9817328602</v>
      </c>
      <c r="L141" s="826">
        <v>3274460.7711336152</v>
      </c>
      <c r="M141" s="826">
        <v>3534841.5257064654</v>
      </c>
      <c r="N141" s="826">
        <v>3815927.41070861</v>
      </c>
      <c r="O141" s="826">
        <v>4119364.8705049455</v>
      </c>
      <c r="P141" s="826">
        <v>4446931.272521005</v>
      </c>
      <c r="Q141" s="826">
        <v>4800545.3180701789</v>
      </c>
      <c r="R141" s="826">
        <v>5182278.2810360286</v>
      </c>
      <c r="S141" s="826">
        <v>5594366.1402396392</v>
      </c>
      <c r="T141" s="826">
        <v>6039222.6765566422</v>
      </c>
      <c r="U141" s="826">
        <v>6519453.6114995247</v>
      </c>
      <c r="V141" s="826">
        <v>7037871.8700811528</v>
      </c>
      <c r="W141" s="826">
        <v>7597514.0573608456</v>
      </c>
      <c r="X141" s="826">
        <v>8201658.2451834381</v>
      </c>
      <c r="Y141" s="826">
        <v>8853843.1732960995</v>
      </c>
      <c r="Z141" s="826">
        <v>9557888.9773123767</v>
      </c>
      <c r="AA141" s="826">
        <v>10317919.564936284</v>
      </c>
      <c r="AB141" s="826">
        <v>11138386.771513933</v>
      </c>
      <c r="AC141" s="826">
        <v>12024096.436402362</v>
      </c>
      <c r="AD141" s="826">
        <v>12980236.552896496</v>
      </c>
      <c r="AE141" s="826">
        <v>14012407.656600757</v>
      </c>
      <c r="AF141" s="839">
        <v>15126655.630243441</v>
      </c>
      <c r="AG141" s="22"/>
      <c r="AH141" s="22"/>
      <c r="AI141" s="22"/>
      <c r="AJ141" s="22"/>
      <c r="AK141" s="22"/>
      <c r="AL141"/>
      <c r="AM141"/>
      <c r="AN141"/>
      <c r="AO141"/>
      <c r="AP141"/>
    </row>
    <row r="142" spans="2:42" ht="21.9" customHeight="1" thickBot="1" x14ac:dyDescent="0.3">
      <c r="B142" s="198"/>
      <c r="C142" s="841" t="s">
        <v>25</v>
      </c>
      <c r="D142" s="830"/>
      <c r="E142" s="831" cm="1">
        <f t="array" ref="E142:AF142">_xlfn.ANCHORARRAY(E121)+_xlfn.ANCHORARRAY(E125)+_xlfn.ANCHORARRAY(E129)+_xlfn.ANCHORARRAY(E133)+_xlfn.ANCHORARRAY(E137)+_xlfn.ANCHORARRAY(E141)</f>
        <v>3038309.6723563122</v>
      </c>
      <c r="F142" s="831">
        <v>3368802.5970605873</v>
      </c>
      <c r="G142" s="831">
        <v>3748687.1745533179</v>
      </c>
      <c r="H142" s="831">
        <v>4187705.2989726788</v>
      </c>
      <c r="I142" s="831">
        <v>4697825.1908594724</v>
      </c>
      <c r="J142" s="831">
        <v>5293780.4483200777</v>
      </c>
      <c r="K142" s="831">
        <v>5993742.2812076733</v>
      </c>
      <c r="L142" s="831">
        <v>6820158.0682758223</v>
      </c>
      <c r="M142" s="831">
        <v>7800797.6461504372</v>
      </c>
      <c r="N142" s="831">
        <v>8970059.0736828912</v>
      </c>
      <c r="O142" s="831">
        <v>10370598.53226866</v>
      </c>
      <c r="P142" s="831">
        <v>12055365.167711863</v>
      </c>
      <c r="Q142" s="831">
        <v>14090141.859370586</v>
      </c>
      <c r="R142" s="831">
        <v>16556718.126748143</v>
      </c>
      <c r="S142" s="831">
        <v>19556852.91398447</v>
      </c>
      <c r="T142" s="831">
        <v>23217224.406082474</v>
      </c>
      <c r="U142" s="831">
        <v>27695613.299058862</v>
      </c>
      <c r="V142" s="831">
        <v>33188627.534844976</v>
      </c>
      <c r="W142" s="831">
        <v>39941353.502918683</v>
      </c>
      <c r="X142" s="831">
        <v>48259414.957914136</v>
      </c>
      <c r="Y142" s="831">
        <v>58524041.223864861</v>
      </c>
      <c r="Z142" s="831">
        <v>71210896.67518723</v>
      </c>
      <c r="AA142" s="831">
        <v>86913611.533656433</v>
      </c>
      <c r="AB142" s="831">
        <v>106373189.11632495</v>
      </c>
      <c r="AC142" s="831">
        <v>130514758.58563878</v>
      </c>
      <c r="AD142" s="831">
        <v>160493509.71132702</v>
      </c>
      <c r="AE142" s="831">
        <v>197752105.56068131</v>
      </c>
      <c r="AF142" s="842">
        <v>244092443.40435356</v>
      </c>
      <c r="AG142" s="29"/>
      <c r="AH142" s="29"/>
      <c r="AI142" s="29"/>
      <c r="AJ142" s="29"/>
      <c r="AK142" s="29"/>
    </row>
    <row r="143" spans="2:42" ht="21.9" customHeight="1" x14ac:dyDescent="0.25">
      <c r="D143" s="8"/>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row>
    <row r="145" spans="1:37" ht="21.9" customHeight="1" x14ac:dyDescent="0.25">
      <c r="A145" s="223"/>
      <c r="B145" s="224" t="s">
        <v>489</v>
      </c>
    </row>
    <row r="147" spans="1:37" ht="21.9" customHeight="1" thickBot="1" x14ac:dyDescent="0.3">
      <c r="B147" s="536" t="s">
        <v>381</v>
      </c>
    </row>
    <row r="148" spans="1:37" ht="21.9" customHeight="1" thickBot="1" x14ac:dyDescent="0.3">
      <c r="B148" s="843" t="s">
        <v>37</v>
      </c>
      <c r="C148" s="462"/>
      <c r="D148" s="807" t="s">
        <v>25</v>
      </c>
      <c r="E148" s="462">
        <v>2021</v>
      </c>
      <c r="F148" s="462">
        <f>E148+1</f>
        <v>2022</v>
      </c>
      <c r="G148" s="462">
        <f t="shared" ref="G148:AF148" si="55">F148+1</f>
        <v>2023</v>
      </c>
      <c r="H148" s="462">
        <f t="shared" si="55"/>
        <v>2024</v>
      </c>
      <c r="I148" s="462">
        <f t="shared" si="55"/>
        <v>2025</v>
      </c>
      <c r="J148" s="462">
        <f t="shared" si="55"/>
        <v>2026</v>
      </c>
      <c r="K148" s="462">
        <f t="shared" si="55"/>
        <v>2027</v>
      </c>
      <c r="L148" s="462">
        <f t="shared" si="55"/>
        <v>2028</v>
      </c>
      <c r="M148" s="462">
        <f t="shared" si="55"/>
        <v>2029</v>
      </c>
      <c r="N148" s="462">
        <f t="shared" si="55"/>
        <v>2030</v>
      </c>
      <c r="O148" s="462">
        <f t="shared" si="55"/>
        <v>2031</v>
      </c>
      <c r="P148" s="462">
        <f t="shared" si="55"/>
        <v>2032</v>
      </c>
      <c r="Q148" s="462">
        <f t="shared" si="55"/>
        <v>2033</v>
      </c>
      <c r="R148" s="462">
        <f t="shared" si="55"/>
        <v>2034</v>
      </c>
      <c r="S148" s="462">
        <f t="shared" si="55"/>
        <v>2035</v>
      </c>
      <c r="T148" s="462">
        <f t="shared" si="55"/>
        <v>2036</v>
      </c>
      <c r="U148" s="462">
        <f t="shared" si="55"/>
        <v>2037</v>
      </c>
      <c r="V148" s="462">
        <f t="shared" si="55"/>
        <v>2038</v>
      </c>
      <c r="W148" s="462">
        <f t="shared" si="55"/>
        <v>2039</v>
      </c>
      <c r="X148" s="462">
        <f t="shared" si="55"/>
        <v>2040</v>
      </c>
      <c r="Y148" s="462">
        <f t="shared" si="55"/>
        <v>2041</v>
      </c>
      <c r="Z148" s="462">
        <f t="shared" si="55"/>
        <v>2042</v>
      </c>
      <c r="AA148" s="462">
        <f t="shared" si="55"/>
        <v>2043</v>
      </c>
      <c r="AB148" s="462">
        <f t="shared" si="55"/>
        <v>2044</v>
      </c>
      <c r="AC148" s="462">
        <f t="shared" si="55"/>
        <v>2045</v>
      </c>
      <c r="AD148" s="462">
        <f t="shared" si="55"/>
        <v>2046</v>
      </c>
      <c r="AE148" s="462">
        <f t="shared" si="55"/>
        <v>2047</v>
      </c>
      <c r="AF148" s="807">
        <f t="shared" si="55"/>
        <v>2048</v>
      </c>
      <c r="AG148" s="247"/>
      <c r="AH148" s="247"/>
      <c r="AI148" s="247"/>
      <c r="AJ148" s="247"/>
      <c r="AK148" s="247"/>
    </row>
    <row r="149" spans="1:37" ht="21.9" customHeight="1" x14ac:dyDescent="0.25">
      <c r="B149" s="469" t="s">
        <v>32</v>
      </c>
      <c r="C149" s="114"/>
      <c r="D149" s="844">
        <f>SUM(_xlfn.ANCHORARRAY(E149))</f>
        <v>0</v>
      </c>
      <c r="E149" s="552" cm="1">
        <f t="array" ref="E149:AF149">IF(year &gt; endYear, (_xlfn.ANCHORARRAY(E38)+_xlfn.ANCHORARRAY(E42)+_xlfn.ANCHORARRAY(E46)+_xlfn.ANCHORARRAY(E50)) - (_xlfn.ANCHORARRAY(E93) +_xlfn.ANCHORARRAY(E97)+_xlfn.ANCHORARRAY(E101)+_xlfn.ANCHORARRAY(E105)), 0)</f>
        <v>0</v>
      </c>
      <c r="F149" s="552">
        <v>0</v>
      </c>
      <c r="G149" s="552">
        <v>0</v>
      </c>
      <c r="H149" s="552">
        <v>0</v>
      </c>
      <c r="I149" s="552">
        <v>0</v>
      </c>
      <c r="J149" s="552">
        <v>0</v>
      </c>
      <c r="K149" s="552">
        <v>0</v>
      </c>
      <c r="L149" s="552">
        <v>0</v>
      </c>
      <c r="M149" s="552">
        <v>0</v>
      </c>
      <c r="N149" s="552">
        <v>0</v>
      </c>
      <c r="O149" s="552">
        <v>0</v>
      </c>
      <c r="P149" s="552">
        <v>0</v>
      </c>
      <c r="Q149" s="552">
        <v>0</v>
      </c>
      <c r="R149" s="552">
        <v>0</v>
      </c>
      <c r="S149" s="552">
        <v>0</v>
      </c>
      <c r="T149" s="552">
        <v>0</v>
      </c>
      <c r="U149" s="552">
        <v>0</v>
      </c>
      <c r="V149" s="552">
        <v>0</v>
      </c>
      <c r="W149" s="552">
        <v>0</v>
      </c>
      <c r="X149" s="552">
        <v>0</v>
      </c>
      <c r="Y149" s="552">
        <v>0</v>
      </c>
      <c r="Z149" s="552">
        <v>0</v>
      </c>
      <c r="AA149" s="552">
        <v>0</v>
      </c>
      <c r="AB149" s="552">
        <v>0</v>
      </c>
      <c r="AC149" s="552">
        <v>0</v>
      </c>
      <c r="AD149" s="552">
        <v>0</v>
      </c>
      <c r="AE149" s="552">
        <v>0</v>
      </c>
      <c r="AF149" s="727">
        <v>0</v>
      </c>
      <c r="AG149" s="17"/>
      <c r="AH149" s="17"/>
      <c r="AI149" s="17"/>
      <c r="AJ149" s="17"/>
      <c r="AK149" s="17"/>
    </row>
    <row r="150" spans="1:37" ht="21.9" customHeight="1" x14ac:dyDescent="0.25">
      <c r="B150" s="469" t="s">
        <v>33</v>
      </c>
      <c r="C150" s="114"/>
      <c r="D150" s="844">
        <f t="shared" ref="D150:D152" si="56">SUM(_xlfn.ANCHORARRAY(E150))</f>
        <v>47.029053991179055</v>
      </c>
      <c r="E150" s="552" cm="1">
        <f t="array" ref="E150:AF150">IF(year &gt; endYear, (_xlfn.ANCHORARRAY(E39)+_xlfn.ANCHORARRAY(E43)+_xlfn.ANCHORARRAY(E47)+_xlfn.ANCHORARRAY(E51)) - (_xlfn.ANCHORARRAY(E94)+_xlfn.ANCHORARRAY(E98)+_xlfn.ANCHORARRAY(E102)+_xlfn.ANCHORARRAY(E106)), 0)</f>
        <v>0</v>
      </c>
      <c r="F150" s="552">
        <v>0</v>
      </c>
      <c r="G150" s="552">
        <v>0</v>
      </c>
      <c r="H150" s="552">
        <v>0</v>
      </c>
      <c r="I150" s="552">
        <v>0</v>
      </c>
      <c r="J150" s="552">
        <v>0</v>
      </c>
      <c r="K150" s="552">
        <v>0</v>
      </c>
      <c r="L150" s="552">
        <v>0</v>
      </c>
      <c r="M150" s="552">
        <v>0.69090907536874857</v>
      </c>
      <c r="N150" s="552">
        <v>0.75549878240894053</v>
      </c>
      <c r="O150" s="552">
        <v>0.82795593940169265</v>
      </c>
      <c r="P150" s="552">
        <v>0.90950743036816206</v>
      </c>
      <c r="Q150" s="552">
        <v>1.0016017292015045</v>
      </c>
      <c r="R150" s="552">
        <v>1.1059515851877233</v>
      </c>
      <c r="S150" s="552">
        <v>1.2245851335984002</v>
      </c>
      <c r="T150" s="552">
        <v>1.3599071086810905</v>
      </c>
      <c r="U150" s="552">
        <v>1.5147721713107352</v>
      </c>
      <c r="V150" s="552">
        <v>1.69257276545415</v>
      </c>
      <c r="W150" s="552">
        <v>1.8973443998276043</v>
      </c>
      <c r="X150" s="552">
        <v>2.1338918297595288</v>
      </c>
      <c r="Y150" s="552">
        <v>2.4079403085846884</v>
      </c>
      <c r="Z150" s="552">
        <v>2.7263169110261689</v>
      </c>
      <c r="AA150" s="552">
        <v>3.0971679307268758</v>
      </c>
      <c r="AB150" s="552">
        <v>3.5302195536850363</v>
      </c>
      <c r="AC150" s="552">
        <v>4.0370904488015569</v>
      </c>
      <c r="AD150" s="552">
        <v>4.6316666440298775</v>
      </c>
      <c r="AE150" s="552">
        <v>5.3305511292922745</v>
      </c>
      <c r="AF150" s="727">
        <v>6.1536031144642926</v>
      </c>
      <c r="AG150" s="17"/>
      <c r="AH150" s="17"/>
      <c r="AI150" s="17"/>
      <c r="AJ150" s="17"/>
      <c r="AK150" s="17"/>
    </row>
    <row r="151" spans="1:37" ht="21.9" customHeight="1" x14ac:dyDescent="0.25">
      <c r="B151" s="469" t="s">
        <v>30</v>
      </c>
      <c r="C151" s="114"/>
      <c r="D151" s="844">
        <f t="shared" si="56"/>
        <v>18.510412555895869</v>
      </c>
      <c r="E151" s="552" cm="1">
        <f t="array" ref="E151:AF151">IF(year &gt; endYear, (_xlfn.ANCHORARRAY(E40)+_xlfn.ANCHORARRAY(E44)+_xlfn.ANCHORARRAY(E48)+_xlfn.ANCHORARRAY(E52)) - (_xlfn.ANCHORARRAY(E95)+_xlfn.ANCHORARRAY(E99)+_xlfn.ANCHORARRAY(E103)+_xlfn.ANCHORARRAY(E107)), 0)</f>
        <v>0</v>
      </c>
      <c r="F151" s="552">
        <v>0</v>
      </c>
      <c r="G151" s="552">
        <v>0</v>
      </c>
      <c r="H151" s="552">
        <v>0</v>
      </c>
      <c r="I151" s="552">
        <v>0</v>
      </c>
      <c r="J151" s="552">
        <v>0</v>
      </c>
      <c r="K151" s="552">
        <v>0</v>
      </c>
      <c r="L151" s="552">
        <v>0</v>
      </c>
      <c r="M151" s="552">
        <v>0.45833055097854869</v>
      </c>
      <c r="N151" s="552">
        <v>0.48978493641952969</v>
      </c>
      <c r="O151" s="552">
        <v>0.52339797866695204</v>
      </c>
      <c r="P151" s="552">
        <v>0.5593178223799038</v>
      </c>
      <c r="Q151" s="552">
        <v>0.59770277911382896</v>
      </c>
      <c r="R151" s="552">
        <v>0.63872202505598263</v>
      </c>
      <c r="S151" s="552">
        <v>0.68255634664519516</v>
      </c>
      <c r="T151" s="552">
        <v>0.72939893736215256</v>
      </c>
      <c r="U151" s="552">
        <v>0.77945624920193168</v>
      </c>
      <c r="V151" s="552">
        <v>0.83294890258153664</v>
      </c>
      <c r="W151" s="552">
        <v>0.89011265869271927</v>
      </c>
      <c r="X151" s="552">
        <v>0.9511994585855934</v>
      </c>
      <c r="Y151" s="552">
        <v>1.0164785335626485</v>
      </c>
      <c r="Z151" s="552">
        <v>1.086237591777075</v>
      </c>
      <c r="AA151" s="552">
        <v>1.1607840862651502</v>
      </c>
      <c r="AB151" s="552">
        <v>1.2404465700013692</v>
      </c>
      <c r="AC151" s="552">
        <v>1.3255761439485187</v>
      </c>
      <c r="AD151" s="552">
        <v>1.416548004484774</v>
      </c>
      <c r="AE151" s="552">
        <v>1.5137630970278897</v>
      </c>
      <c r="AF151" s="727">
        <v>1.6176498831445691</v>
      </c>
      <c r="AG151" s="17"/>
      <c r="AH151" s="17"/>
      <c r="AI151" s="17"/>
      <c r="AJ151" s="17"/>
      <c r="AK151" s="17"/>
    </row>
    <row r="152" spans="1:37" ht="21.9" customHeight="1" thickBot="1" x14ac:dyDescent="0.3">
      <c r="B152" s="845" t="s">
        <v>25</v>
      </c>
      <c r="C152" s="846"/>
      <c r="D152" s="847">
        <f t="shared" si="56"/>
        <v>65.539466547074923</v>
      </c>
      <c r="E152" s="848" cm="1">
        <f t="array" ref="E152:AF152">_xlfn.ANCHORARRAY(E149) +_xlfn.ANCHORARRAY( E150) +_xlfn.ANCHORARRAY( E151)</f>
        <v>0</v>
      </c>
      <c r="F152" s="848">
        <v>0</v>
      </c>
      <c r="G152" s="848">
        <v>0</v>
      </c>
      <c r="H152" s="848">
        <v>0</v>
      </c>
      <c r="I152" s="848">
        <v>0</v>
      </c>
      <c r="J152" s="848">
        <v>0</v>
      </c>
      <c r="K152" s="848">
        <v>0</v>
      </c>
      <c r="L152" s="848">
        <v>0</v>
      </c>
      <c r="M152" s="848">
        <v>1.1492396263472973</v>
      </c>
      <c r="N152" s="848">
        <v>1.2452837188284702</v>
      </c>
      <c r="O152" s="848">
        <v>1.3513539180686447</v>
      </c>
      <c r="P152" s="848">
        <v>1.4688252527480659</v>
      </c>
      <c r="Q152" s="848">
        <v>1.5993045083153334</v>
      </c>
      <c r="R152" s="848">
        <v>1.7446736102437059</v>
      </c>
      <c r="S152" s="848">
        <v>1.9071414802435953</v>
      </c>
      <c r="T152" s="848">
        <v>2.0893060460432431</v>
      </c>
      <c r="U152" s="848">
        <v>2.2942284205126668</v>
      </c>
      <c r="V152" s="848">
        <v>2.5255216680356867</v>
      </c>
      <c r="W152" s="848">
        <v>2.7874570585203235</v>
      </c>
      <c r="X152" s="848">
        <v>3.0850912883451223</v>
      </c>
      <c r="Y152" s="848">
        <v>3.4244188421473369</v>
      </c>
      <c r="Z152" s="848">
        <v>3.8125545028032439</v>
      </c>
      <c r="AA152" s="848">
        <v>4.257952016992026</v>
      </c>
      <c r="AB152" s="848">
        <v>4.7706661236864054</v>
      </c>
      <c r="AC152" s="848">
        <v>5.3626665927500756</v>
      </c>
      <c r="AD152" s="848">
        <v>6.0482146485146515</v>
      </c>
      <c r="AE152" s="819">
        <v>6.8443142263201642</v>
      </c>
      <c r="AF152" s="836">
        <v>7.7712529976088618</v>
      </c>
      <c r="AG152" s="38"/>
      <c r="AH152" s="38"/>
      <c r="AI152" s="38"/>
      <c r="AJ152" s="38"/>
      <c r="AK152" s="38"/>
    </row>
    <row r="153" spans="1:37" ht="21.9" customHeight="1" x14ac:dyDescent="0.25">
      <c r="C153" s="8"/>
      <c r="D153" s="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row>
    <row r="154" spans="1:37" ht="21.9" customHeight="1" thickBot="1" x14ac:dyDescent="0.3">
      <c r="B154" s="536" t="s">
        <v>710</v>
      </c>
      <c r="C154" s="8"/>
      <c r="D154" s="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row>
    <row r="155" spans="1:37" ht="21.9" customHeight="1" thickBot="1" x14ac:dyDescent="0.3">
      <c r="B155" s="843" t="s">
        <v>18</v>
      </c>
      <c r="C155" s="462"/>
      <c r="D155" s="807" t="s">
        <v>133</v>
      </c>
      <c r="E155" s="462">
        <v>2021</v>
      </c>
      <c r="F155" s="462">
        <f>E155+1</f>
        <v>2022</v>
      </c>
      <c r="G155" s="462">
        <f t="shared" ref="G155:AF155" si="57">F155+1</f>
        <v>2023</v>
      </c>
      <c r="H155" s="462">
        <f t="shared" si="57"/>
        <v>2024</v>
      </c>
      <c r="I155" s="462">
        <f t="shared" si="57"/>
        <v>2025</v>
      </c>
      <c r="J155" s="462">
        <f t="shared" si="57"/>
        <v>2026</v>
      </c>
      <c r="K155" s="462">
        <f t="shared" si="57"/>
        <v>2027</v>
      </c>
      <c r="L155" s="462">
        <f t="shared" si="57"/>
        <v>2028</v>
      </c>
      <c r="M155" s="462">
        <f t="shared" si="57"/>
        <v>2029</v>
      </c>
      <c r="N155" s="462">
        <f t="shared" si="57"/>
        <v>2030</v>
      </c>
      <c r="O155" s="462">
        <f t="shared" si="57"/>
        <v>2031</v>
      </c>
      <c r="P155" s="462">
        <f t="shared" si="57"/>
        <v>2032</v>
      </c>
      <c r="Q155" s="462">
        <f t="shared" si="57"/>
        <v>2033</v>
      </c>
      <c r="R155" s="462">
        <f t="shared" si="57"/>
        <v>2034</v>
      </c>
      <c r="S155" s="462">
        <f t="shared" si="57"/>
        <v>2035</v>
      </c>
      <c r="T155" s="462">
        <f t="shared" si="57"/>
        <v>2036</v>
      </c>
      <c r="U155" s="462">
        <f t="shared" si="57"/>
        <v>2037</v>
      </c>
      <c r="V155" s="462">
        <f t="shared" si="57"/>
        <v>2038</v>
      </c>
      <c r="W155" s="462">
        <f t="shared" si="57"/>
        <v>2039</v>
      </c>
      <c r="X155" s="462">
        <f t="shared" si="57"/>
        <v>2040</v>
      </c>
      <c r="Y155" s="462">
        <f t="shared" si="57"/>
        <v>2041</v>
      </c>
      <c r="Z155" s="462">
        <f t="shared" si="57"/>
        <v>2042</v>
      </c>
      <c r="AA155" s="462">
        <f t="shared" si="57"/>
        <v>2043</v>
      </c>
      <c r="AB155" s="462">
        <f t="shared" si="57"/>
        <v>2044</v>
      </c>
      <c r="AC155" s="462">
        <f t="shared" si="57"/>
        <v>2045</v>
      </c>
      <c r="AD155" s="462">
        <f t="shared" si="57"/>
        <v>2046</v>
      </c>
      <c r="AE155" s="462">
        <f t="shared" si="57"/>
        <v>2047</v>
      </c>
      <c r="AF155" s="807">
        <f t="shared" si="57"/>
        <v>2048</v>
      </c>
      <c r="AG155" s="246"/>
      <c r="AH155" s="246"/>
      <c r="AI155" s="246"/>
      <c r="AJ155" s="246"/>
      <c r="AK155" s="246"/>
    </row>
    <row r="156" spans="1:37" ht="21.9" customHeight="1" x14ac:dyDescent="0.25">
      <c r="B156" s="849" t="s">
        <v>398</v>
      </c>
      <c r="C156" s="225"/>
      <c r="D156" s="850" cm="1">
        <f t="array" ref="D156">SUM(_xlfn.ANCHORARRAY(E156) * discountAnnual)</f>
        <v>4163285.1932960432</v>
      </c>
      <c r="E156" s="820" cm="1">
        <f t="array" ref="E156:AF156">IF(year &gt; endYear,_xlfn.ANCHORARRAY( E66) -_xlfn.ANCHORARRAY( E121), 0)</f>
        <v>0</v>
      </c>
      <c r="F156" s="820">
        <v>0</v>
      </c>
      <c r="G156" s="820">
        <v>0</v>
      </c>
      <c r="H156" s="820">
        <v>0</v>
      </c>
      <c r="I156" s="820">
        <v>0</v>
      </c>
      <c r="J156" s="820">
        <v>0</v>
      </c>
      <c r="K156" s="820">
        <v>0</v>
      </c>
      <c r="L156" s="820">
        <v>0</v>
      </c>
      <c r="M156" s="820">
        <v>179507.70657158748</v>
      </c>
      <c r="N156" s="820">
        <v>191826.99137613329</v>
      </c>
      <c r="O156" s="820">
        <v>204991.72611146001</v>
      </c>
      <c r="P156" s="820">
        <v>219059.93245632481</v>
      </c>
      <c r="Q156" s="820">
        <v>234093.6140109261</v>
      </c>
      <c r="R156" s="820">
        <v>250159.02956887032</v>
      </c>
      <c r="S156" s="820">
        <v>267326.98514329433</v>
      </c>
      <c r="T156" s="820">
        <v>285673.14603420603</v>
      </c>
      <c r="U156" s="820">
        <v>305278.37031243253</v>
      </c>
      <c r="V156" s="820">
        <v>326229.06518996228</v>
      </c>
      <c r="W156" s="820">
        <v>348617.56784732966</v>
      </c>
      <c r="X156" s="820">
        <v>372542.55239648442</v>
      </c>
      <c r="Y156" s="820">
        <v>398109.46477277577</v>
      </c>
      <c r="Z156" s="820">
        <v>425430.98747277865</v>
      </c>
      <c r="AA156" s="820">
        <v>454627.53618622525</v>
      </c>
      <c r="AB156" s="820">
        <v>485827.79051086958</v>
      </c>
      <c r="AC156" s="820">
        <v>519169.26108934823</v>
      </c>
      <c r="AD156" s="820">
        <v>554798.89566759812</v>
      </c>
      <c r="AE156" s="820">
        <v>592873.72674595611</v>
      </c>
      <c r="AF156" s="821">
        <v>633561.56367736543</v>
      </c>
      <c r="AG156" s="26"/>
      <c r="AH156" s="26"/>
      <c r="AI156" s="26"/>
      <c r="AJ156" s="26"/>
      <c r="AK156" s="26"/>
    </row>
    <row r="157" spans="1:37" ht="21.9" customHeight="1" x14ac:dyDescent="0.25">
      <c r="B157" s="469" t="s">
        <v>399</v>
      </c>
      <c r="C157" s="114"/>
      <c r="D157" s="821" cm="1">
        <f t="array" ref="D157">SUM(_xlfn.ANCHORARRAY(E157) * discountAnnual)</f>
        <v>0</v>
      </c>
      <c r="E157" s="820" cm="1">
        <f t="array" ref="E157:AF157">IF(year &gt; endYear,_xlfn.ANCHORARRAY( E70) -_xlfn.ANCHORARRAY( E125), 0)</f>
        <v>0</v>
      </c>
      <c r="F157" s="820">
        <v>0</v>
      </c>
      <c r="G157" s="820">
        <v>0</v>
      </c>
      <c r="H157" s="820">
        <v>0</v>
      </c>
      <c r="I157" s="820">
        <v>0</v>
      </c>
      <c r="J157" s="820">
        <v>0</v>
      </c>
      <c r="K157" s="820">
        <v>0</v>
      </c>
      <c r="L157" s="820">
        <v>0</v>
      </c>
      <c r="M157" s="820">
        <v>0</v>
      </c>
      <c r="N157" s="820">
        <v>0</v>
      </c>
      <c r="O157" s="820">
        <v>0</v>
      </c>
      <c r="P157" s="820">
        <v>0</v>
      </c>
      <c r="Q157" s="820">
        <v>0</v>
      </c>
      <c r="R157" s="820">
        <v>0</v>
      </c>
      <c r="S157" s="820">
        <v>0</v>
      </c>
      <c r="T157" s="820">
        <v>0</v>
      </c>
      <c r="U157" s="820">
        <v>0</v>
      </c>
      <c r="V157" s="820">
        <v>0</v>
      </c>
      <c r="W157" s="820">
        <v>0</v>
      </c>
      <c r="X157" s="820">
        <v>0</v>
      </c>
      <c r="Y157" s="820">
        <v>0</v>
      </c>
      <c r="Z157" s="820">
        <v>0</v>
      </c>
      <c r="AA157" s="820">
        <v>0</v>
      </c>
      <c r="AB157" s="820">
        <v>0</v>
      </c>
      <c r="AC157" s="820">
        <v>0</v>
      </c>
      <c r="AD157" s="820">
        <v>0</v>
      </c>
      <c r="AE157" s="820">
        <v>0</v>
      </c>
      <c r="AF157" s="821">
        <v>0</v>
      </c>
      <c r="AG157" s="26"/>
      <c r="AH157" s="26"/>
      <c r="AI157" s="26"/>
      <c r="AJ157" s="26"/>
      <c r="AK157" s="26"/>
    </row>
    <row r="158" spans="1:37" ht="21.9" customHeight="1" x14ac:dyDescent="0.25">
      <c r="B158" s="469" t="s">
        <v>400</v>
      </c>
      <c r="C158" s="114"/>
      <c r="D158" s="821" cm="1">
        <f t="array" ref="D158">SUM(_xlfn.ANCHORARRAY(E158) * discountAnnual)</f>
        <v>3995259.3245905042</v>
      </c>
      <c r="E158" s="820" cm="1">
        <f t="array" ref="E158:AF158">IF(year &gt; endYear,_xlfn.ANCHORARRAY( E74) -_xlfn.ANCHORARRAY( E129), 0)</f>
        <v>0</v>
      </c>
      <c r="F158" s="820">
        <v>0</v>
      </c>
      <c r="G158" s="820">
        <v>0</v>
      </c>
      <c r="H158" s="820">
        <v>0</v>
      </c>
      <c r="I158" s="820">
        <v>0</v>
      </c>
      <c r="J158" s="820">
        <v>0</v>
      </c>
      <c r="K158" s="820">
        <v>0</v>
      </c>
      <c r="L158" s="820">
        <v>0</v>
      </c>
      <c r="M158" s="820">
        <v>40917.642032735603</v>
      </c>
      <c r="N158" s="820">
        <v>49101.170439282723</v>
      </c>
      <c r="O158" s="820">
        <v>58921.404527139268</v>
      </c>
      <c r="P158" s="820">
        <v>70705.685432567145</v>
      </c>
      <c r="Q158" s="820">
        <v>84846.822519080539</v>
      </c>
      <c r="R158" s="820">
        <v>101816.18702289672</v>
      </c>
      <c r="S158" s="820">
        <v>122179.42442747601</v>
      </c>
      <c r="T158" s="820">
        <v>146615.30931297119</v>
      </c>
      <c r="U158" s="820">
        <v>175938.37117556541</v>
      </c>
      <c r="V158" s="820">
        <v>211126.04541067849</v>
      </c>
      <c r="W158" s="820">
        <v>253351.25449281419</v>
      </c>
      <c r="X158" s="820">
        <v>304021.50539137702</v>
      </c>
      <c r="Y158" s="820">
        <v>364825.80646965257</v>
      </c>
      <c r="Z158" s="820">
        <v>437790.96776358318</v>
      </c>
      <c r="AA158" s="820">
        <v>525349.16131629935</v>
      </c>
      <c r="AB158" s="820">
        <v>630418.99357955949</v>
      </c>
      <c r="AC158" s="820">
        <v>756502.7922954713</v>
      </c>
      <c r="AD158" s="820">
        <v>907803.35075456602</v>
      </c>
      <c r="AE158" s="820">
        <v>1089364.0209054789</v>
      </c>
      <c r="AF158" s="821">
        <v>1307236.825086575</v>
      </c>
      <c r="AG158" s="26"/>
      <c r="AH158" s="26"/>
      <c r="AI158" s="26"/>
      <c r="AJ158" s="26"/>
      <c r="AK158" s="26"/>
    </row>
    <row r="159" spans="1:37" ht="21.9" customHeight="1" x14ac:dyDescent="0.25">
      <c r="B159" s="469" t="s">
        <v>401</v>
      </c>
      <c r="C159" s="114"/>
      <c r="D159" s="821" cm="1">
        <f t="array" ref="D159">SUM(_xlfn.ANCHORARRAY(E159) * discountAnnual)</f>
        <v>0</v>
      </c>
      <c r="E159" s="820" cm="1">
        <f t="array" ref="E159:AF159">IF(year &gt; endYear,_xlfn.ANCHORARRAY( E78) -_xlfn.ANCHORARRAY( E133), 0)</f>
        <v>0</v>
      </c>
      <c r="F159" s="820">
        <v>0</v>
      </c>
      <c r="G159" s="820">
        <v>0</v>
      </c>
      <c r="H159" s="820">
        <v>0</v>
      </c>
      <c r="I159" s="820">
        <v>0</v>
      </c>
      <c r="J159" s="820">
        <v>0</v>
      </c>
      <c r="K159" s="820">
        <v>0</v>
      </c>
      <c r="L159" s="820">
        <v>0</v>
      </c>
      <c r="M159" s="820">
        <v>0</v>
      </c>
      <c r="N159" s="820">
        <v>0</v>
      </c>
      <c r="O159" s="820">
        <v>0</v>
      </c>
      <c r="P159" s="820">
        <v>0</v>
      </c>
      <c r="Q159" s="820">
        <v>0</v>
      </c>
      <c r="R159" s="820">
        <v>0</v>
      </c>
      <c r="S159" s="820">
        <v>0</v>
      </c>
      <c r="T159" s="820">
        <v>0</v>
      </c>
      <c r="U159" s="820">
        <v>0</v>
      </c>
      <c r="V159" s="820">
        <v>0</v>
      </c>
      <c r="W159" s="820">
        <v>0</v>
      </c>
      <c r="X159" s="820">
        <v>0</v>
      </c>
      <c r="Y159" s="820">
        <v>0</v>
      </c>
      <c r="Z159" s="820">
        <v>0</v>
      </c>
      <c r="AA159" s="820">
        <v>0</v>
      </c>
      <c r="AB159" s="820">
        <v>0</v>
      </c>
      <c r="AC159" s="820">
        <v>0</v>
      </c>
      <c r="AD159" s="820">
        <v>0</v>
      </c>
      <c r="AE159" s="820">
        <v>0</v>
      </c>
      <c r="AF159" s="821">
        <v>0</v>
      </c>
      <c r="AG159" s="26"/>
      <c r="AH159" s="26"/>
      <c r="AI159" s="26"/>
      <c r="AJ159" s="26"/>
      <c r="AK159" s="26"/>
    </row>
    <row r="160" spans="1:37" ht="21.9" customHeight="1" thickBot="1" x14ac:dyDescent="0.3">
      <c r="B160" s="845" t="s">
        <v>25</v>
      </c>
      <c r="C160" s="846"/>
      <c r="D160" s="851" cm="1">
        <f t="array" ref="D160">SUM(_xlfn.ANCHORARRAY(E160) * discountAnnual)</f>
        <v>8158544.5178865474</v>
      </c>
      <c r="E160" s="831" cm="1">
        <f t="array" ref="E160:AF160">_xlfn.ANCHORARRAY(E156)  +_xlfn.ANCHORARRAY( E157) +_xlfn.ANCHORARRAY( E158)+_xlfn.ANCHORARRAY( E159)</f>
        <v>0</v>
      </c>
      <c r="F160" s="831">
        <v>0</v>
      </c>
      <c r="G160" s="831">
        <v>0</v>
      </c>
      <c r="H160" s="831">
        <v>0</v>
      </c>
      <c r="I160" s="831">
        <v>0</v>
      </c>
      <c r="J160" s="831">
        <v>0</v>
      </c>
      <c r="K160" s="831">
        <v>0</v>
      </c>
      <c r="L160" s="831">
        <v>0</v>
      </c>
      <c r="M160" s="831">
        <v>220425.34860432308</v>
      </c>
      <c r="N160" s="831">
        <v>240928.16181541601</v>
      </c>
      <c r="O160" s="831">
        <v>263913.13063859928</v>
      </c>
      <c r="P160" s="831">
        <v>289765.61788889195</v>
      </c>
      <c r="Q160" s="831">
        <v>318940.43653000664</v>
      </c>
      <c r="R160" s="831">
        <v>351975.21659176704</v>
      </c>
      <c r="S160" s="831">
        <v>389506.40957077034</v>
      </c>
      <c r="T160" s="831">
        <v>432288.45534717722</v>
      </c>
      <c r="U160" s="831">
        <v>481216.74148799793</v>
      </c>
      <c r="V160" s="831">
        <v>537355.11060064076</v>
      </c>
      <c r="W160" s="831">
        <v>601968.82234014384</v>
      </c>
      <c r="X160" s="831">
        <v>676564.05778786144</v>
      </c>
      <c r="Y160" s="831">
        <v>762935.27124242834</v>
      </c>
      <c r="Z160" s="831">
        <v>863221.95523636183</v>
      </c>
      <c r="AA160" s="831">
        <v>979976.69750252459</v>
      </c>
      <c r="AB160" s="831">
        <v>1116246.7840904291</v>
      </c>
      <c r="AC160" s="831">
        <v>1275672.0533848195</v>
      </c>
      <c r="AD160" s="831">
        <v>1462602.2464221641</v>
      </c>
      <c r="AE160" s="852">
        <v>1682237.747651435</v>
      </c>
      <c r="AF160" s="853">
        <v>1940798.3887639404</v>
      </c>
      <c r="AG160" s="25"/>
      <c r="AH160" s="25"/>
      <c r="AI160" s="25"/>
      <c r="AJ160" s="25"/>
      <c r="AK160" s="25"/>
    </row>
    <row r="162" spans="1:37" ht="21.9" customHeight="1" thickBot="1" x14ac:dyDescent="0.3">
      <c r="B162" s="536" t="s">
        <v>711</v>
      </c>
      <c r="C162" s="8"/>
      <c r="D162" s="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row>
    <row r="163" spans="1:37" ht="21.9" customHeight="1" thickBot="1" x14ac:dyDescent="0.3">
      <c r="B163" s="843" t="s">
        <v>37</v>
      </c>
      <c r="C163" s="462"/>
      <c r="D163" s="807" t="s">
        <v>133</v>
      </c>
      <c r="E163" s="462">
        <v>2021</v>
      </c>
      <c r="F163" s="462">
        <f>E163+1</f>
        <v>2022</v>
      </c>
      <c r="G163" s="462">
        <f t="shared" ref="G163:AF163" si="58">F163+1</f>
        <v>2023</v>
      </c>
      <c r="H163" s="462">
        <f t="shared" si="58"/>
        <v>2024</v>
      </c>
      <c r="I163" s="462">
        <f t="shared" si="58"/>
        <v>2025</v>
      </c>
      <c r="J163" s="462">
        <f t="shared" si="58"/>
        <v>2026</v>
      </c>
      <c r="K163" s="462">
        <f t="shared" si="58"/>
        <v>2027</v>
      </c>
      <c r="L163" s="462">
        <f t="shared" si="58"/>
        <v>2028</v>
      </c>
      <c r="M163" s="462">
        <f t="shared" si="58"/>
        <v>2029</v>
      </c>
      <c r="N163" s="462">
        <f t="shared" si="58"/>
        <v>2030</v>
      </c>
      <c r="O163" s="462">
        <f t="shared" si="58"/>
        <v>2031</v>
      </c>
      <c r="P163" s="462">
        <f t="shared" si="58"/>
        <v>2032</v>
      </c>
      <c r="Q163" s="462">
        <f t="shared" si="58"/>
        <v>2033</v>
      </c>
      <c r="R163" s="462">
        <f t="shared" si="58"/>
        <v>2034</v>
      </c>
      <c r="S163" s="462">
        <f t="shared" si="58"/>
        <v>2035</v>
      </c>
      <c r="T163" s="462">
        <f t="shared" si="58"/>
        <v>2036</v>
      </c>
      <c r="U163" s="462">
        <f t="shared" si="58"/>
        <v>2037</v>
      </c>
      <c r="V163" s="462">
        <f t="shared" si="58"/>
        <v>2038</v>
      </c>
      <c r="W163" s="462">
        <f t="shared" si="58"/>
        <v>2039</v>
      </c>
      <c r="X163" s="462">
        <f t="shared" si="58"/>
        <v>2040</v>
      </c>
      <c r="Y163" s="462">
        <f t="shared" si="58"/>
        <v>2041</v>
      </c>
      <c r="Z163" s="462">
        <f t="shared" si="58"/>
        <v>2042</v>
      </c>
      <c r="AA163" s="462">
        <f t="shared" si="58"/>
        <v>2043</v>
      </c>
      <c r="AB163" s="462">
        <f t="shared" si="58"/>
        <v>2044</v>
      </c>
      <c r="AC163" s="462">
        <f t="shared" si="58"/>
        <v>2045</v>
      </c>
      <c r="AD163" s="462">
        <f t="shared" si="58"/>
        <v>2046</v>
      </c>
      <c r="AE163" s="462">
        <f t="shared" si="58"/>
        <v>2047</v>
      </c>
      <c r="AF163" s="807">
        <f t="shared" si="58"/>
        <v>2048</v>
      </c>
      <c r="AG163" s="246"/>
      <c r="AH163" s="246"/>
      <c r="AI163" s="246"/>
      <c r="AJ163" s="246"/>
      <c r="AK163" s="246"/>
    </row>
    <row r="164" spans="1:37" ht="21.9" customHeight="1" x14ac:dyDescent="0.25">
      <c r="B164" s="469" t="s">
        <v>32</v>
      </c>
      <c r="C164" s="225"/>
      <c r="D164" s="821" cm="1">
        <f t="array" ref="D164">SUM(_xlfn.ANCHORARRAY(E164) * discountAnnual)</f>
        <v>0</v>
      </c>
      <c r="E164" s="828" cm="1">
        <f t="array" ref="E164:AF164">_xlfn.ANCHORARRAY(E149) * costLife</f>
        <v>0</v>
      </c>
      <c r="F164" s="828">
        <v>0</v>
      </c>
      <c r="G164" s="828">
        <v>0</v>
      </c>
      <c r="H164" s="828">
        <v>0</v>
      </c>
      <c r="I164" s="828">
        <v>0</v>
      </c>
      <c r="J164" s="828">
        <v>0</v>
      </c>
      <c r="K164" s="828">
        <v>0</v>
      </c>
      <c r="L164" s="828">
        <v>0</v>
      </c>
      <c r="M164" s="828">
        <v>0</v>
      </c>
      <c r="N164" s="828">
        <v>0</v>
      </c>
      <c r="O164" s="828">
        <v>0</v>
      </c>
      <c r="P164" s="828">
        <v>0</v>
      </c>
      <c r="Q164" s="828">
        <v>0</v>
      </c>
      <c r="R164" s="828">
        <v>0</v>
      </c>
      <c r="S164" s="828">
        <v>0</v>
      </c>
      <c r="T164" s="828">
        <v>0</v>
      </c>
      <c r="U164" s="828">
        <v>0</v>
      </c>
      <c r="V164" s="828">
        <v>0</v>
      </c>
      <c r="W164" s="828">
        <v>0</v>
      </c>
      <c r="X164" s="828">
        <v>0</v>
      </c>
      <c r="Y164" s="828">
        <v>0</v>
      </c>
      <c r="Z164" s="828">
        <v>0</v>
      </c>
      <c r="AA164" s="828">
        <v>0</v>
      </c>
      <c r="AB164" s="828">
        <v>0</v>
      </c>
      <c r="AC164" s="828">
        <v>0</v>
      </c>
      <c r="AD164" s="828">
        <v>0</v>
      </c>
      <c r="AE164" s="828">
        <v>0</v>
      </c>
      <c r="AF164" s="821">
        <v>0</v>
      </c>
      <c r="AG164" s="26"/>
      <c r="AH164" s="26"/>
      <c r="AI164" s="26"/>
      <c r="AJ164" s="26"/>
      <c r="AK164" s="26"/>
    </row>
    <row r="165" spans="1:37" ht="21.9" customHeight="1" x14ac:dyDescent="0.25">
      <c r="B165" s="469" t="s">
        <v>33</v>
      </c>
      <c r="C165" s="225"/>
      <c r="D165" s="821" cm="1">
        <f t="array" ref="D165">SUM(_xlfn.ANCHORARRAY(E165) * discountAnnual)</f>
        <v>8061811.8283546604</v>
      </c>
      <c r="E165" s="828" cm="1">
        <f t="array" ref="E165:AF165">_xlfn.ANCHORARRAY(E150) * costInjury</f>
        <v>0</v>
      </c>
      <c r="F165" s="828">
        <v>0</v>
      </c>
      <c r="G165" s="828">
        <v>0</v>
      </c>
      <c r="H165" s="828">
        <v>0</v>
      </c>
      <c r="I165" s="828">
        <v>0</v>
      </c>
      <c r="J165" s="828">
        <v>0</v>
      </c>
      <c r="K165" s="828">
        <v>0</v>
      </c>
      <c r="L165" s="828">
        <v>0</v>
      </c>
      <c r="M165" s="828">
        <v>216254.5405904183</v>
      </c>
      <c r="N165" s="828">
        <v>236471.11889399838</v>
      </c>
      <c r="O165" s="828">
        <v>259150.20903272979</v>
      </c>
      <c r="P165" s="828">
        <v>284675.82570523472</v>
      </c>
      <c r="Q165" s="828">
        <v>313501.34124007088</v>
      </c>
      <c r="R165" s="828">
        <v>346162.84616375738</v>
      </c>
      <c r="S165" s="828">
        <v>383295.14681629924</v>
      </c>
      <c r="T165" s="828">
        <v>425650.92501718132</v>
      </c>
      <c r="U165" s="828">
        <v>474123.68962026009</v>
      </c>
      <c r="V165" s="828">
        <v>529775.27558714896</v>
      </c>
      <c r="W165" s="828">
        <v>593868.79714604013</v>
      </c>
      <c r="X165" s="828">
        <v>667908.14271473256</v>
      </c>
      <c r="Y165" s="828">
        <v>753685.31658700749</v>
      </c>
      <c r="Z165" s="828">
        <v>853337.19315119088</v>
      </c>
      <c r="AA165" s="828">
        <v>969413.56231751211</v>
      </c>
      <c r="AB165" s="828">
        <v>1104958.7203034163</v>
      </c>
      <c r="AC165" s="828">
        <v>1263609.3104748873</v>
      </c>
      <c r="AD165" s="828">
        <v>1449711.6595813516</v>
      </c>
      <c r="AE165" s="828">
        <v>1668462.5034684818</v>
      </c>
      <c r="AF165" s="821">
        <v>1926077.7748273236</v>
      </c>
      <c r="AG165" s="26"/>
      <c r="AH165" s="26"/>
      <c r="AI165" s="26"/>
      <c r="AJ165" s="26"/>
      <c r="AK165" s="26"/>
    </row>
    <row r="166" spans="1:37" ht="21.9" customHeight="1" x14ac:dyDescent="0.25">
      <c r="B166" s="469" t="s">
        <v>30</v>
      </c>
      <c r="C166" s="114"/>
      <c r="D166" s="821" cm="1">
        <f t="array" ref="D166">SUM(_xlfn.ANCHORARRAY(E166) * discountAnnual)</f>
        <v>96732.689531886266</v>
      </c>
      <c r="E166" s="828" cm="1">
        <f t="array" ref="E166:AF166">_xlfn.ANCHORARRAY(E151) * costPDO</f>
        <v>0</v>
      </c>
      <c r="F166" s="828">
        <v>0</v>
      </c>
      <c r="G166" s="828">
        <v>0</v>
      </c>
      <c r="H166" s="828">
        <v>0</v>
      </c>
      <c r="I166" s="828">
        <v>0</v>
      </c>
      <c r="J166" s="828">
        <v>0</v>
      </c>
      <c r="K166" s="828">
        <v>0</v>
      </c>
      <c r="L166" s="828">
        <v>0</v>
      </c>
      <c r="M166" s="828">
        <v>4170.8080139047934</v>
      </c>
      <c r="N166" s="828">
        <v>4457.0429214177202</v>
      </c>
      <c r="O166" s="828">
        <v>4762.9216058692637</v>
      </c>
      <c r="P166" s="828">
        <v>5089.792183657125</v>
      </c>
      <c r="Q166" s="828">
        <v>5439.0952899358435</v>
      </c>
      <c r="R166" s="828">
        <v>5812.3704280094416</v>
      </c>
      <c r="S166" s="828">
        <v>6211.2627544712759</v>
      </c>
      <c r="T166" s="828">
        <v>6637.5303299955885</v>
      </c>
      <c r="U166" s="828">
        <v>7093.0518677375785</v>
      </c>
      <c r="V166" s="828">
        <v>7579.8350134919838</v>
      </c>
      <c r="W166" s="828">
        <v>8100.025194103745</v>
      </c>
      <c r="X166" s="828">
        <v>8655.9150731288992</v>
      </c>
      <c r="Y166" s="828">
        <v>9249.9546554201006</v>
      </c>
      <c r="Z166" s="828">
        <v>9884.7620851713818</v>
      </c>
      <c r="AA166" s="828">
        <v>10563.135185012867</v>
      </c>
      <c r="AB166" s="828">
        <v>11288.063787012459</v>
      </c>
      <c r="AC166" s="828">
        <v>12062.742909931521</v>
      </c>
      <c r="AD166" s="828">
        <v>12890.586840811444</v>
      </c>
      <c r="AE166" s="828">
        <v>13775.244182953797</v>
      </c>
      <c r="AF166" s="821">
        <v>14720.613936615578</v>
      </c>
      <c r="AG166" s="26"/>
      <c r="AH166" s="26"/>
      <c r="AI166" s="26"/>
      <c r="AJ166" s="26"/>
      <c r="AK166" s="26"/>
    </row>
    <row r="167" spans="1:37" ht="21.9" customHeight="1" thickBot="1" x14ac:dyDescent="0.3">
      <c r="B167" s="845" t="s">
        <v>25</v>
      </c>
      <c r="C167" s="846"/>
      <c r="D167" s="842" cm="1">
        <f t="array" ref="D167">_xlfn.ANCHORARRAY(D164) +_xlfn.ANCHORARRAY( D165) +_xlfn.ANCHORARRAY( D166)</f>
        <v>8158544.5178865464</v>
      </c>
      <c r="E167" s="831" cm="1">
        <f t="array" ref="E167:AF167">_xlfn.ANCHORARRAY(E164) +_xlfn.ANCHORARRAY( E165) +_xlfn.ANCHORARRAY(E166)</f>
        <v>0</v>
      </c>
      <c r="F167" s="831">
        <v>0</v>
      </c>
      <c r="G167" s="831">
        <v>0</v>
      </c>
      <c r="H167" s="831">
        <v>0</v>
      </c>
      <c r="I167" s="831">
        <v>0</v>
      </c>
      <c r="J167" s="831">
        <v>0</v>
      </c>
      <c r="K167" s="831">
        <v>0</v>
      </c>
      <c r="L167" s="831">
        <v>0</v>
      </c>
      <c r="M167" s="831">
        <v>220425.34860432308</v>
      </c>
      <c r="N167" s="831">
        <v>240928.1618154161</v>
      </c>
      <c r="O167" s="831">
        <v>263913.13063859905</v>
      </c>
      <c r="P167" s="831">
        <v>289765.61788889184</v>
      </c>
      <c r="Q167" s="831">
        <v>318940.4365300067</v>
      </c>
      <c r="R167" s="831">
        <v>351975.2165917668</v>
      </c>
      <c r="S167" s="831">
        <v>389506.40957077051</v>
      </c>
      <c r="T167" s="831">
        <v>432288.45534717693</v>
      </c>
      <c r="U167" s="831">
        <v>481216.74148799764</v>
      </c>
      <c r="V167" s="831">
        <v>537355.110600641</v>
      </c>
      <c r="W167" s="831">
        <v>601968.82234014384</v>
      </c>
      <c r="X167" s="831">
        <v>676564.05778786144</v>
      </c>
      <c r="Y167" s="831">
        <v>762935.27124242764</v>
      </c>
      <c r="Z167" s="831">
        <v>863221.95523636229</v>
      </c>
      <c r="AA167" s="831">
        <v>979976.69750252494</v>
      </c>
      <c r="AB167" s="831">
        <v>1116246.7840904286</v>
      </c>
      <c r="AC167" s="831">
        <v>1275672.0533848188</v>
      </c>
      <c r="AD167" s="831">
        <v>1462602.246422163</v>
      </c>
      <c r="AE167" s="852">
        <v>1682237.7476514357</v>
      </c>
      <c r="AF167" s="853">
        <v>1940798.3887639393</v>
      </c>
      <c r="AG167" s="25"/>
      <c r="AH167" s="25"/>
      <c r="AI167" s="25"/>
      <c r="AJ167" s="25"/>
      <c r="AK167" s="25"/>
    </row>
    <row r="170" spans="1:37" ht="21.9" customHeight="1" x14ac:dyDescent="0.25">
      <c r="A170" s="223"/>
      <c r="B170" s="224" t="s">
        <v>491</v>
      </c>
    </row>
    <row r="172" spans="1:37" ht="21.9" customHeight="1" thickBot="1" x14ac:dyDescent="0.3">
      <c r="B172" s="536" t="s">
        <v>381</v>
      </c>
    </row>
    <row r="173" spans="1:37" ht="21.9" customHeight="1" thickBot="1" x14ac:dyDescent="0.3">
      <c r="B173" s="843" t="s">
        <v>37</v>
      </c>
      <c r="C173" s="462"/>
      <c r="D173" s="807" t="s">
        <v>25</v>
      </c>
      <c r="E173" s="462">
        <v>2021</v>
      </c>
      <c r="F173" s="462">
        <f>E173+1</f>
        <v>2022</v>
      </c>
      <c r="G173" s="462">
        <f t="shared" ref="G173:AF173" si="59">F173+1</f>
        <v>2023</v>
      </c>
      <c r="H173" s="462">
        <f t="shared" si="59"/>
        <v>2024</v>
      </c>
      <c r="I173" s="462">
        <f t="shared" si="59"/>
        <v>2025</v>
      </c>
      <c r="J173" s="462">
        <f t="shared" si="59"/>
        <v>2026</v>
      </c>
      <c r="K173" s="462">
        <f t="shared" si="59"/>
        <v>2027</v>
      </c>
      <c r="L173" s="462">
        <f t="shared" si="59"/>
        <v>2028</v>
      </c>
      <c r="M173" s="462">
        <f t="shared" si="59"/>
        <v>2029</v>
      </c>
      <c r="N173" s="462">
        <f t="shared" si="59"/>
        <v>2030</v>
      </c>
      <c r="O173" s="462">
        <f t="shared" si="59"/>
        <v>2031</v>
      </c>
      <c r="P173" s="462">
        <f t="shared" si="59"/>
        <v>2032</v>
      </c>
      <c r="Q173" s="462">
        <f t="shared" si="59"/>
        <v>2033</v>
      </c>
      <c r="R173" s="462">
        <f t="shared" si="59"/>
        <v>2034</v>
      </c>
      <c r="S173" s="462">
        <f t="shared" si="59"/>
        <v>2035</v>
      </c>
      <c r="T173" s="462">
        <f t="shared" si="59"/>
        <v>2036</v>
      </c>
      <c r="U173" s="462">
        <f t="shared" si="59"/>
        <v>2037</v>
      </c>
      <c r="V173" s="462">
        <f t="shared" si="59"/>
        <v>2038</v>
      </c>
      <c r="W173" s="462">
        <f t="shared" si="59"/>
        <v>2039</v>
      </c>
      <c r="X173" s="462">
        <f t="shared" si="59"/>
        <v>2040</v>
      </c>
      <c r="Y173" s="462">
        <f t="shared" si="59"/>
        <v>2041</v>
      </c>
      <c r="Z173" s="462">
        <f t="shared" si="59"/>
        <v>2042</v>
      </c>
      <c r="AA173" s="462">
        <f t="shared" si="59"/>
        <v>2043</v>
      </c>
      <c r="AB173" s="462">
        <f t="shared" si="59"/>
        <v>2044</v>
      </c>
      <c r="AC173" s="462">
        <f t="shared" si="59"/>
        <v>2045</v>
      </c>
      <c r="AD173" s="462">
        <f t="shared" si="59"/>
        <v>2046</v>
      </c>
      <c r="AE173" s="462">
        <f t="shared" si="59"/>
        <v>2047</v>
      </c>
      <c r="AF173" s="807">
        <f t="shared" si="59"/>
        <v>2048</v>
      </c>
    </row>
    <row r="174" spans="1:37" ht="21.9" customHeight="1" x14ac:dyDescent="0.25">
      <c r="B174" s="469" t="s">
        <v>32</v>
      </c>
      <c r="C174" s="114"/>
      <c r="D174" s="844">
        <f>SUM(_xlfn.ANCHORARRAY(E174))</f>
        <v>4.8060631357803203</v>
      </c>
      <c r="E174" s="552" cm="1">
        <f t="array" ref="E174:AF174">IF(year &gt; endYear, (_xlfn.ANCHORARRAY(E38)+_xlfn.ANCHORARRAY(E42)+_xlfn.ANCHORARRAY(E46)+_xlfn.ANCHORARRAY(E50)+_xlfn.ANCHORARRAY(E54)+_xlfn.ANCHORARRAY(E58)) - (_xlfn.ANCHORARRAY(E93) +_xlfn.ANCHORARRAY(E97)+_xlfn.ANCHORARRAY(E101)+_xlfn.ANCHORARRAY(E105)+_xlfn.ANCHORARRAY(E109)+_xlfn.ANCHORARRAY(E113)), 0)</f>
        <v>0</v>
      </c>
      <c r="F174" s="552">
        <v>0</v>
      </c>
      <c r="G174" s="552">
        <v>0</v>
      </c>
      <c r="H174" s="552">
        <v>0</v>
      </c>
      <c r="I174" s="552">
        <v>0</v>
      </c>
      <c r="J174" s="552">
        <v>0</v>
      </c>
      <c r="K174" s="552">
        <v>0</v>
      </c>
      <c r="L174" s="552">
        <v>0</v>
      </c>
      <c r="M174" s="552">
        <v>0.10558435468662455</v>
      </c>
      <c r="N174" s="552">
        <v>0.11398028179216535</v>
      </c>
      <c r="O174" s="552">
        <v>0.1230438418265693</v>
      </c>
      <c r="P174" s="552">
        <v>0.13282812407016237</v>
      </c>
      <c r="Q174" s="552">
        <v>0.14339043939205626</v>
      </c>
      <c r="R174" s="552">
        <v>0.15479265594526004</v>
      </c>
      <c r="S174" s="552">
        <v>0.16710156155581918</v>
      </c>
      <c r="T174" s="552">
        <v>0.18038925492865587</v>
      </c>
      <c r="U174" s="552">
        <v>0.19473356796157604</v>
      </c>
      <c r="V174" s="552">
        <v>0.21021852164112331</v>
      </c>
      <c r="W174" s="552">
        <v>0.2269348181906633</v>
      </c>
      <c r="X174" s="552">
        <v>0.24498037235342729</v>
      </c>
      <c r="Y174" s="552">
        <v>0.26446088492247533</v>
      </c>
      <c r="Z174" s="552">
        <v>0.28549046187699734</v>
      </c>
      <c r="AA174" s="552">
        <v>0.30819228275150701</v>
      </c>
      <c r="AB174" s="552">
        <v>0.33269932215286324</v>
      </c>
      <c r="AC174" s="552">
        <v>0.35915512865136279</v>
      </c>
      <c r="AD174" s="552">
        <v>0.38771466560821433</v>
      </c>
      <c r="AE174" s="552">
        <v>0.41854521886449214</v>
      </c>
      <c r="AF174" s="727">
        <v>0.45182737660830474</v>
      </c>
    </row>
    <row r="175" spans="1:37" ht="21.9" customHeight="1" x14ac:dyDescent="0.25">
      <c r="B175" s="469" t="s">
        <v>33</v>
      </c>
      <c r="C175" s="114"/>
      <c r="D175" s="844">
        <f t="shared" ref="D175:D177" si="60">SUM(_xlfn.ANCHORARRAY(E175))</f>
        <v>337.64346390158664</v>
      </c>
      <c r="E175" s="552" cm="1">
        <f t="array" ref="E175:AF175">IF(year &gt; endYear, (_xlfn.ANCHORARRAY(E39)+_xlfn.ANCHORARRAY(E43)+_xlfn.ANCHORARRAY(E47)+_xlfn.ANCHORARRAY(E51)+_xlfn.ANCHORARRAY(E55)+_xlfn.ANCHORARRAY(E59)) - (_xlfn.ANCHORARRAY(E94) +_xlfn.ANCHORARRAY(E98)+_xlfn.ANCHORARRAY(E102)+_xlfn.ANCHORARRAY(E106)+_xlfn.ANCHORARRAY(E110)+_xlfn.ANCHORARRAY(E114)), 0)</f>
        <v>0</v>
      </c>
      <c r="F175" s="552">
        <v>0</v>
      </c>
      <c r="G175" s="552">
        <v>0</v>
      </c>
      <c r="H175" s="552">
        <v>0</v>
      </c>
      <c r="I175" s="552">
        <v>0</v>
      </c>
      <c r="J175" s="552">
        <v>0</v>
      </c>
      <c r="K175" s="552">
        <v>0</v>
      </c>
      <c r="L175" s="552">
        <v>0</v>
      </c>
      <c r="M175" s="552">
        <v>1.8074732895008978</v>
      </c>
      <c r="N175" s="552">
        <v>2.0976578581090273</v>
      </c>
      <c r="O175" s="552">
        <v>2.447928376740709</v>
      </c>
      <c r="P175" s="552">
        <v>2.872253420040721</v>
      </c>
      <c r="Q175" s="552">
        <v>3.38798856980398</v>
      </c>
      <c r="R175" s="552">
        <v>4.0167100864731253</v>
      </c>
      <c r="S175" s="552">
        <v>4.7852550292208846</v>
      </c>
      <c r="T175" s="552">
        <v>5.7270191066006646</v>
      </c>
      <c r="U175" s="552">
        <v>6.8835763029368735</v>
      </c>
      <c r="V175" s="552">
        <v>8.3067002698012544</v>
      </c>
      <c r="W175" s="552">
        <v>10.060887390740859</v>
      </c>
      <c r="X175" s="552">
        <v>12.226506312735026</v>
      </c>
      <c r="Y175" s="552">
        <v>14.90372982921798</v>
      </c>
      <c r="Z175" s="552">
        <v>18.217443846089282</v>
      </c>
      <c r="AA175" s="552">
        <v>22.323376700123646</v>
      </c>
      <c r="AB175" s="552">
        <v>27.415752748502598</v>
      </c>
      <c r="AC175" s="552">
        <v>33.736849933414135</v>
      </c>
      <c r="AD175" s="552">
        <v>41.588935727225646</v>
      </c>
      <c r="AE175" s="552">
        <v>51.349174206898851</v>
      </c>
      <c r="AF175" s="727">
        <v>63.488244897410482</v>
      </c>
    </row>
    <row r="176" spans="1:37" ht="21.9" customHeight="1" x14ac:dyDescent="0.25">
      <c r="B176" s="469" t="s">
        <v>30</v>
      </c>
      <c r="C176" s="114"/>
      <c r="D176" s="844">
        <f t="shared" si="60"/>
        <v>324.62144351320353</v>
      </c>
      <c r="E176" s="552" cm="1">
        <f t="array" ref="E176:AF176">IF(year &gt; endYear, (_xlfn.ANCHORARRAY(E40)+_xlfn.ANCHORARRAY(E44)+_xlfn.ANCHORARRAY(E48)+_xlfn.ANCHORARRAY(E52)+_xlfn.ANCHORARRAY(E56)+_xlfn.ANCHORARRAY(E60)) - (_xlfn.ANCHORARRAY(E95) +_xlfn.ANCHORARRAY(E99)+_xlfn.ANCHORARRAY(E103)+_xlfn.ANCHORARRAY(E107)+_xlfn.ANCHORARRAY(E111)+_xlfn.ANCHORARRAY(E115)), 0)</f>
        <v>0</v>
      </c>
      <c r="F176" s="552">
        <v>0</v>
      </c>
      <c r="G176" s="552">
        <v>0</v>
      </c>
      <c r="H176" s="552">
        <v>0</v>
      </c>
      <c r="I176" s="552">
        <v>0</v>
      </c>
      <c r="J176" s="552">
        <v>0</v>
      </c>
      <c r="K176" s="552">
        <v>0</v>
      </c>
      <c r="L176" s="552">
        <v>0</v>
      </c>
      <c r="M176" s="552">
        <v>1.4364361602894764</v>
      </c>
      <c r="N176" s="552">
        <v>1.6949123785646982</v>
      </c>
      <c r="O176" s="552">
        <v>2.010995542521858</v>
      </c>
      <c r="P176" s="552">
        <v>2.3986131654996008</v>
      </c>
      <c r="Q176" s="552">
        <v>2.8751465156982228</v>
      </c>
      <c r="R176" s="552">
        <v>3.4622934447644695</v>
      </c>
      <c r="S176" s="552">
        <v>4.1871472292428606</v>
      </c>
      <c r="T176" s="552">
        <v>5.0835455375274705</v>
      </c>
      <c r="U176" s="552">
        <v>6.193757192881435</v>
      </c>
      <c r="V176" s="552">
        <v>7.5705913581394668</v>
      </c>
      <c r="W176" s="552">
        <v>9.2800349710738601</v>
      </c>
      <c r="X176" s="552">
        <v>11.404550775573796</v>
      </c>
      <c r="Y176" s="552">
        <v>14.047201453975163</v>
      </c>
      <c r="Z176" s="552">
        <v>17.33680683485278</v>
      </c>
      <c r="AA176" s="552">
        <v>21.434393010262738</v>
      </c>
      <c r="AB176" s="552">
        <v>26.541257050364095</v>
      </c>
      <c r="AC176" s="552">
        <v>32.909052107500031</v>
      </c>
      <c r="AD176" s="552">
        <v>40.852399127952367</v>
      </c>
      <c r="AE176" s="552">
        <v>50.764658229724773</v>
      </c>
      <c r="AF176" s="727">
        <v>63.137651426794378</v>
      </c>
    </row>
    <row r="177" spans="2:32" ht="21.9" customHeight="1" thickBot="1" x14ac:dyDescent="0.3">
      <c r="B177" s="845" t="s">
        <v>25</v>
      </c>
      <c r="C177" s="846"/>
      <c r="D177" s="847">
        <f t="shared" si="60"/>
        <v>667.07097055057045</v>
      </c>
      <c r="E177" s="848" cm="1">
        <f t="array" ref="E177:AF177">_xlfn.ANCHORARRAY(E174) +_xlfn.ANCHORARRAY( E175) +_xlfn.ANCHORARRAY( E176)</f>
        <v>0</v>
      </c>
      <c r="F177" s="848">
        <v>0</v>
      </c>
      <c r="G177" s="848">
        <v>0</v>
      </c>
      <c r="H177" s="848">
        <v>0</v>
      </c>
      <c r="I177" s="848">
        <v>0</v>
      </c>
      <c r="J177" s="848">
        <v>0</v>
      </c>
      <c r="K177" s="848">
        <v>0</v>
      </c>
      <c r="L177" s="848">
        <v>0</v>
      </c>
      <c r="M177" s="848">
        <v>3.3494938044769986</v>
      </c>
      <c r="N177" s="848">
        <v>3.9065505184658909</v>
      </c>
      <c r="O177" s="848">
        <v>4.5819677610891363</v>
      </c>
      <c r="P177" s="848">
        <v>5.4036947096104839</v>
      </c>
      <c r="Q177" s="848">
        <v>6.406525524894259</v>
      </c>
      <c r="R177" s="848">
        <v>7.6337961871828552</v>
      </c>
      <c r="S177" s="848">
        <v>9.1395038200195646</v>
      </c>
      <c r="T177" s="848">
        <v>10.990953899056791</v>
      </c>
      <c r="U177" s="848">
        <v>13.272067063779884</v>
      </c>
      <c r="V177" s="848">
        <v>16.087510149581846</v>
      </c>
      <c r="W177" s="848">
        <v>19.567857180005383</v>
      </c>
      <c r="X177" s="848">
        <v>23.87603746066225</v>
      </c>
      <c r="Y177" s="848">
        <v>29.215392168115617</v>
      </c>
      <c r="Z177" s="848">
        <v>35.839741142819058</v>
      </c>
      <c r="AA177" s="848">
        <v>44.06596199313789</v>
      </c>
      <c r="AB177" s="848">
        <v>54.289709121019555</v>
      </c>
      <c r="AC177" s="848">
        <v>67.005057169565532</v>
      </c>
      <c r="AD177" s="848">
        <v>82.829049520786228</v>
      </c>
      <c r="AE177" s="819">
        <v>102.53237765548812</v>
      </c>
      <c r="AF177" s="836">
        <v>127.07772370081317</v>
      </c>
    </row>
    <row r="178" spans="2:32" ht="21.9" customHeight="1" x14ac:dyDescent="0.25">
      <c r="C178" s="8"/>
      <c r="D178" s="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2:32" ht="21.9" customHeight="1" thickBot="1" x14ac:dyDescent="0.3">
      <c r="B179" s="536" t="s">
        <v>710</v>
      </c>
      <c r="C179" s="8"/>
      <c r="D179" s="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2:32" ht="21.9" customHeight="1" thickBot="1" x14ac:dyDescent="0.3">
      <c r="B180" s="843" t="s">
        <v>18</v>
      </c>
      <c r="C180" s="462"/>
      <c r="D180" s="807" t="s">
        <v>133</v>
      </c>
      <c r="E180" s="462">
        <v>2021</v>
      </c>
      <c r="F180" s="462">
        <f>E180+1</f>
        <v>2022</v>
      </c>
      <c r="G180" s="462">
        <f t="shared" ref="G180:AF180" si="61">F180+1</f>
        <v>2023</v>
      </c>
      <c r="H180" s="462">
        <f t="shared" si="61"/>
        <v>2024</v>
      </c>
      <c r="I180" s="462">
        <f t="shared" si="61"/>
        <v>2025</v>
      </c>
      <c r="J180" s="462">
        <f t="shared" si="61"/>
        <v>2026</v>
      </c>
      <c r="K180" s="462">
        <f t="shared" si="61"/>
        <v>2027</v>
      </c>
      <c r="L180" s="462">
        <f t="shared" si="61"/>
        <v>2028</v>
      </c>
      <c r="M180" s="462">
        <f t="shared" si="61"/>
        <v>2029</v>
      </c>
      <c r="N180" s="462">
        <f t="shared" si="61"/>
        <v>2030</v>
      </c>
      <c r="O180" s="462">
        <f t="shared" si="61"/>
        <v>2031</v>
      </c>
      <c r="P180" s="462">
        <f t="shared" si="61"/>
        <v>2032</v>
      </c>
      <c r="Q180" s="462">
        <f t="shared" si="61"/>
        <v>2033</v>
      </c>
      <c r="R180" s="462">
        <f t="shared" si="61"/>
        <v>2034</v>
      </c>
      <c r="S180" s="462">
        <f t="shared" si="61"/>
        <v>2035</v>
      </c>
      <c r="T180" s="462">
        <f t="shared" si="61"/>
        <v>2036</v>
      </c>
      <c r="U180" s="462">
        <f t="shared" si="61"/>
        <v>2037</v>
      </c>
      <c r="V180" s="462">
        <f t="shared" si="61"/>
        <v>2038</v>
      </c>
      <c r="W180" s="462">
        <f t="shared" si="61"/>
        <v>2039</v>
      </c>
      <c r="X180" s="462">
        <f t="shared" si="61"/>
        <v>2040</v>
      </c>
      <c r="Y180" s="462">
        <f t="shared" si="61"/>
        <v>2041</v>
      </c>
      <c r="Z180" s="462">
        <f t="shared" si="61"/>
        <v>2042</v>
      </c>
      <c r="AA180" s="462">
        <f t="shared" si="61"/>
        <v>2043</v>
      </c>
      <c r="AB180" s="462">
        <f t="shared" si="61"/>
        <v>2044</v>
      </c>
      <c r="AC180" s="462">
        <f t="shared" si="61"/>
        <v>2045</v>
      </c>
      <c r="AD180" s="462">
        <f t="shared" si="61"/>
        <v>2046</v>
      </c>
      <c r="AE180" s="462">
        <f t="shared" si="61"/>
        <v>2047</v>
      </c>
      <c r="AF180" s="807">
        <f t="shared" si="61"/>
        <v>2048</v>
      </c>
    </row>
    <row r="181" spans="2:32" ht="21.9" customHeight="1" x14ac:dyDescent="0.25">
      <c r="B181" s="849" t="s">
        <v>398</v>
      </c>
      <c r="C181" s="225"/>
      <c r="D181" s="850" cm="1">
        <f t="array" ref="D181">SUM(_xlfn.ANCHORARRAY(E181) * discountAnnual)</f>
        <v>4163285.1932960432</v>
      </c>
      <c r="E181" s="820" cm="1">
        <f t="array" ref="E181:AF181">IF(year &gt; endYear,_xlfn.ANCHORARRAY( E66) -_xlfn.ANCHORARRAY( E121), 0)</f>
        <v>0</v>
      </c>
      <c r="F181" s="820">
        <v>0</v>
      </c>
      <c r="G181" s="820">
        <v>0</v>
      </c>
      <c r="H181" s="820">
        <v>0</v>
      </c>
      <c r="I181" s="820">
        <v>0</v>
      </c>
      <c r="J181" s="820">
        <v>0</v>
      </c>
      <c r="K181" s="820">
        <v>0</v>
      </c>
      <c r="L181" s="820">
        <v>0</v>
      </c>
      <c r="M181" s="820">
        <v>179507.70657158748</v>
      </c>
      <c r="N181" s="820">
        <v>191826.99137613329</v>
      </c>
      <c r="O181" s="820">
        <v>204991.72611146001</v>
      </c>
      <c r="P181" s="820">
        <v>219059.93245632481</v>
      </c>
      <c r="Q181" s="820">
        <v>234093.6140109261</v>
      </c>
      <c r="R181" s="820">
        <v>250159.02956887032</v>
      </c>
      <c r="S181" s="820">
        <v>267326.98514329433</v>
      </c>
      <c r="T181" s="820">
        <v>285673.14603420603</v>
      </c>
      <c r="U181" s="820">
        <v>305278.37031243253</v>
      </c>
      <c r="V181" s="820">
        <v>326229.06518996228</v>
      </c>
      <c r="W181" s="820">
        <v>348617.56784732966</v>
      </c>
      <c r="X181" s="820">
        <v>372542.55239648442</v>
      </c>
      <c r="Y181" s="820">
        <v>398109.46477277577</v>
      </c>
      <c r="Z181" s="820">
        <v>425430.98747277865</v>
      </c>
      <c r="AA181" s="820">
        <v>454627.53618622525</v>
      </c>
      <c r="AB181" s="820">
        <v>485827.79051086958</v>
      </c>
      <c r="AC181" s="820">
        <v>519169.26108934823</v>
      </c>
      <c r="AD181" s="820">
        <v>554798.89566759812</v>
      </c>
      <c r="AE181" s="820">
        <v>592873.72674595611</v>
      </c>
      <c r="AF181" s="821">
        <v>633561.56367736543</v>
      </c>
    </row>
    <row r="182" spans="2:32" ht="21.9" customHeight="1" x14ac:dyDescent="0.25">
      <c r="B182" s="469" t="s">
        <v>399</v>
      </c>
      <c r="C182" s="114"/>
      <c r="D182" s="850" cm="1">
        <f t="array" ref="D182">SUM(_xlfn.ANCHORARRAY(E182) * discountAnnual)</f>
        <v>0</v>
      </c>
      <c r="E182" s="820" cm="1">
        <f t="array" ref="E182:AF182">IF(year &gt; endYear,_xlfn.ANCHORARRAY( E70) -_xlfn.ANCHORARRAY( E125), 0)</f>
        <v>0</v>
      </c>
      <c r="F182" s="820">
        <v>0</v>
      </c>
      <c r="G182" s="820">
        <v>0</v>
      </c>
      <c r="H182" s="820">
        <v>0</v>
      </c>
      <c r="I182" s="820">
        <v>0</v>
      </c>
      <c r="J182" s="820">
        <v>0</v>
      </c>
      <c r="K182" s="820">
        <v>0</v>
      </c>
      <c r="L182" s="820">
        <v>0</v>
      </c>
      <c r="M182" s="820">
        <v>0</v>
      </c>
      <c r="N182" s="820">
        <v>0</v>
      </c>
      <c r="O182" s="820">
        <v>0</v>
      </c>
      <c r="P182" s="820">
        <v>0</v>
      </c>
      <c r="Q182" s="820">
        <v>0</v>
      </c>
      <c r="R182" s="820">
        <v>0</v>
      </c>
      <c r="S182" s="820">
        <v>0</v>
      </c>
      <c r="T182" s="820">
        <v>0</v>
      </c>
      <c r="U182" s="820">
        <v>0</v>
      </c>
      <c r="V182" s="820">
        <v>0</v>
      </c>
      <c r="W182" s="820">
        <v>0</v>
      </c>
      <c r="X182" s="820">
        <v>0</v>
      </c>
      <c r="Y182" s="820">
        <v>0</v>
      </c>
      <c r="Z182" s="820">
        <v>0</v>
      </c>
      <c r="AA182" s="820">
        <v>0</v>
      </c>
      <c r="AB182" s="820">
        <v>0</v>
      </c>
      <c r="AC182" s="820">
        <v>0</v>
      </c>
      <c r="AD182" s="820">
        <v>0</v>
      </c>
      <c r="AE182" s="820">
        <v>0</v>
      </c>
      <c r="AF182" s="821">
        <v>0</v>
      </c>
    </row>
    <row r="183" spans="2:32" ht="21.9" customHeight="1" x14ac:dyDescent="0.25">
      <c r="B183" s="469" t="s">
        <v>400</v>
      </c>
      <c r="C183" s="114"/>
      <c r="D183" s="850" cm="1">
        <f t="array" ref="D183">SUM(_xlfn.ANCHORARRAY(E183) * discountAnnual)</f>
        <v>3995259.3245905042</v>
      </c>
      <c r="E183" s="820" cm="1">
        <f t="array" ref="E183:AF183">IF(year &gt; endYear,_xlfn.ANCHORARRAY( E74)-_xlfn.ANCHORARRAY( E129), 0)</f>
        <v>0</v>
      </c>
      <c r="F183" s="820">
        <v>0</v>
      </c>
      <c r="G183" s="820">
        <v>0</v>
      </c>
      <c r="H183" s="820">
        <v>0</v>
      </c>
      <c r="I183" s="820">
        <v>0</v>
      </c>
      <c r="J183" s="820">
        <v>0</v>
      </c>
      <c r="K183" s="820">
        <v>0</v>
      </c>
      <c r="L183" s="820">
        <v>0</v>
      </c>
      <c r="M183" s="820">
        <v>40917.642032735603</v>
      </c>
      <c r="N183" s="820">
        <v>49101.170439282723</v>
      </c>
      <c r="O183" s="820">
        <v>58921.404527139268</v>
      </c>
      <c r="P183" s="820">
        <v>70705.685432567145</v>
      </c>
      <c r="Q183" s="820">
        <v>84846.822519080539</v>
      </c>
      <c r="R183" s="820">
        <v>101816.18702289672</v>
      </c>
      <c r="S183" s="820">
        <v>122179.42442747601</v>
      </c>
      <c r="T183" s="820">
        <v>146615.30931297119</v>
      </c>
      <c r="U183" s="820">
        <v>175938.37117556541</v>
      </c>
      <c r="V183" s="820">
        <v>211126.04541067849</v>
      </c>
      <c r="W183" s="820">
        <v>253351.25449281419</v>
      </c>
      <c r="X183" s="820">
        <v>304021.50539137702</v>
      </c>
      <c r="Y183" s="820">
        <v>364825.80646965257</v>
      </c>
      <c r="Z183" s="820">
        <v>437790.96776358318</v>
      </c>
      <c r="AA183" s="820">
        <v>525349.16131629935</v>
      </c>
      <c r="AB183" s="820">
        <v>630418.99357955949</v>
      </c>
      <c r="AC183" s="820">
        <v>756502.7922954713</v>
      </c>
      <c r="AD183" s="820">
        <v>907803.35075456602</v>
      </c>
      <c r="AE183" s="820">
        <v>1089364.0209054789</v>
      </c>
      <c r="AF183" s="821">
        <v>1307236.825086575</v>
      </c>
    </row>
    <row r="184" spans="2:32" ht="21.9" customHeight="1" x14ac:dyDescent="0.25">
      <c r="B184" s="469" t="s">
        <v>401</v>
      </c>
      <c r="C184" s="114"/>
      <c r="D184" s="850" cm="1">
        <f t="array" ref="D184">SUM(_xlfn.ANCHORARRAY(E184) * discountAnnual)</f>
        <v>0</v>
      </c>
      <c r="E184" s="820" cm="1">
        <f t="array" ref="E184:AF184">IF(year &gt; endYear,_xlfn.ANCHORARRAY( E78) -_xlfn.ANCHORARRAY( E133), 0)</f>
        <v>0</v>
      </c>
      <c r="F184" s="820">
        <v>0</v>
      </c>
      <c r="G184" s="820">
        <v>0</v>
      </c>
      <c r="H184" s="820">
        <v>0</v>
      </c>
      <c r="I184" s="820">
        <v>0</v>
      </c>
      <c r="J184" s="820">
        <v>0</v>
      </c>
      <c r="K184" s="820">
        <v>0</v>
      </c>
      <c r="L184" s="820">
        <v>0</v>
      </c>
      <c r="M184" s="820">
        <v>0</v>
      </c>
      <c r="N184" s="820">
        <v>0</v>
      </c>
      <c r="O184" s="820">
        <v>0</v>
      </c>
      <c r="P184" s="820">
        <v>0</v>
      </c>
      <c r="Q184" s="820">
        <v>0</v>
      </c>
      <c r="R184" s="820">
        <v>0</v>
      </c>
      <c r="S184" s="820">
        <v>0</v>
      </c>
      <c r="T184" s="820">
        <v>0</v>
      </c>
      <c r="U184" s="820">
        <v>0</v>
      </c>
      <c r="V184" s="820">
        <v>0</v>
      </c>
      <c r="W184" s="820">
        <v>0</v>
      </c>
      <c r="X184" s="820">
        <v>0</v>
      </c>
      <c r="Y184" s="820">
        <v>0</v>
      </c>
      <c r="Z184" s="820">
        <v>0</v>
      </c>
      <c r="AA184" s="820">
        <v>0</v>
      </c>
      <c r="AB184" s="820">
        <v>0</v>
      </c>
      <c r="AC184" s="820">
        <v>0</v>
      </c>
      <c r="AD184" s="820">
        <v>0</v>
      </c>
      <c r="AE184" s="820">
        <v>0</v>
      </c>
      <c r="AF184" s="821">
        <v>0</v>
      </c>
    </row>
    <row r="185" spans="2:32" ht="21.9" customHeight="1" x14ac:dyDescent="0.25">
      <c r="B185" s="469" t="s">
        <v>402</v>
      </c>
      <c r="C185" s="114"/>
      <c r="D185" s="850" cm="1">
        <f t="array" ref="D185">SUM(_xlfn.ANCHORARRAY(E185) * discountAnnual)</f>
        <v>45573188.601274833</v>
      </c>
      <c r="E185" s="828" cm="1">
        <f t="array" ref="E185:AF185">IF(year &gt; endYear,_xlfn.ANCHORARRAY( E82) -_xlfn.ANCHORARRAY( E137), 0)</f>
        <v>0</v>
      </c>
      <c r="F185" s="820">
        <v>0</v>
      </c>
      <c r="G185" s="820">
        <v>0</v>
      </c>
      <c r="H185" s="820">
        <v>0</v>
      </c>
      <c r="I185" s="820">
        <v>0</v>
      </c>
      <c r="J185" s="820">
        <v>0</v>
      </c>
      <c r="K185" s="820">
        <v>0</v>
      </c>
      <c r="L185" s="820">
        <v>0</v>
      </c>
      <c r="M185" s="820">
        <v>258280.83338970365</v>
      </c>
      <c r="N185" s="820">
        <v>322997.74525049515</v>
      </c>
      <c r="O185" s="820">
        <v>403930.64428242017</v>
      </c>
      <c r="P185" s="820">
        <v>505142.73795897793</v>
      </c>
      <c r="Q185" s="820">
        <v>631715.34352388419</v>
      </c>
      <c r="R185" s="820">
        <v>790002.9937199764</v>
      </c>
      <c r="S185" s="820">
        <v>987952.46385039948</v>
      </c>
      <c r="T185" s="820">
        <v>1235501.7368124723</v>
      </c>
      <c r="U185" s="820">
        <v>1545078.936002098</v>
      </c>
      <c r="V185" s="820">
        <v>1932226.2748382762</v>
      </c>
      <c r="W185" s="820">
        <v>2416380.348071944</v>
      </c>
      <c r="X185" s="820">
        <v>3021847.9391276464</v>
      </c>
      <c r="Y185" s="820">
        <v>3779026.3335389793</v>
      </c>
      <c r="Z185" s="820">
        <v>4725929.4038811699</v>
      </c>
      <c r="AA185" s="820">
        <v>5910096.0827528685</v>
      </c>
      <c r="AB185" s="820">
        <v>7390977.0380160809</v>
      </c>
      <c r="AC185" s="820">
        <v>9242919.3724776953</v>
      </c>
      <c r="AD185" s="820">
        <v>11558899.193800658</v>
      </c>
      <c r="AE185" s="820">
        <v>14455189.446992934</v>
      </c>
      <c r="AF185" s="821">
        <v>18077197.356347084</v>
      </c>
    </row>
    <row r="186" spans="2:32" ht="21.9" customHeight="1" x14ac:dyDescent="0.25">
      <c r="B186" s="469" t="s">
        <v>490</v>
      </c>
      <c r="C186" s="114"/>
      <c r="D186" s="850" cm="1">
        <f t="array" ref="D186">SUM(_xlfn.ANCHORARRAY(E186) * discountAnnual)</f>
        <v>40922389.184050806</v>
      </c>
      <c r="E186" s="820" cm="1">
        <f t="array" ref="E186:AF186">IF(year &gt; endYear,_xlfn.ANCHORARRAY( E86) -_xlfn.ANCHORARRAY( E141), 0)</f>
        <v>0</v>
      </c>
      <c r="F186" s="820">
        <v>0</v>
      </c>
      <c r="G186" s="820">
        <v>0</v>
      </c>
      <c r="H186" s="820">
        <v>0</v>
      </c>
      <c r="I186" s="820">
        <v>0</v>
      </c>
      <c r="J186" s="820">
        <v>0</v>
      </c>
      <c r="K186" s="820">
        <v>0</v>
      </c>
      <c r="L186" s="820">
        <v>0</v>
      </c>
      <c r="M186" s="820">
        <v>1580703.3740134565</v>
      </c>
      <c r="N186" s="820">
        <v>1706398.7987105073</v>
      </c>
      <c r="O186" s="820">
        <v>1842089.3559855698</v>
      </c>
      <c r="P186" s="820">
        <v>1988569.8454544004</v>
      </c>
      <c r="Q186" s="820">
        <v>2146698.2681384739</v>
      </c>
      <c r="R186" s="820">
        <v>2317400.8521564892</v>
      </c>
      <c r="S186" s="820">
        <v>2501677.4780521691</v>
      </c>
      <c r="T186" s="820">
        <v>2700607.5355369067</v>
      </c>
      <c r="U186" s="820">
        <v>2915356.2459527561</v>
      </c>
      <c r="V186" s="820">
        <v>3147181.487489257</v>
      </c>
      <c r="W186" s="820">
        <v>3397441.1631324189</v>
      </c>
      <c r="X186" s="820">
        <v>3667601.1545031592</v>
      </c>
      <c r="Y186" s="820">
        <v>3959243.9081743788</v>
      </c>
      <c r="Z186" s="820">
        <v>4274077.7047605254</v>
      </c>
      <c r="AA186" s="820">
        <v>4613946.6650728136</v>
      </c>
      <c r="AB186" s="820">
        <v>4980841.5519505162</v>
      </c>
      <c r="AC186" s="820">
        <v>5376911.4310395494</v>
      </c>
      <c r="AD186" s="820">
        <v>5804476.2588205785</v>
      </c>
      <c r="AE186" s="820">
        <v>6266040.4716203157</v>
      </c>
      <c r="AF186" s="821">
        <v>6764307.6552029308</v>
      </c>
    </row>
    <row r="187" spans="2:32" ht="21.9" customHeight="1" thickBot="1" x14ac:dyDescent="0.3">
      <c r="B187" s="845" t="s">
        <v>25</v>
      </c>
      <c r="C187" s="846"/>
      <c r="D187" s="851" cm="1">
        <f t="array" ref="D187">SUM(_xlfn.ANCHORARRAY(E187) * discountAnnual)</f>
        <v>94654122.303212181</v>
      </c>
      <c r="E187" s="831" cm="1">
        <f t="array" ref="E187:AF187">_xlfn.ANCHORARRAY(E181) +_xlfn.ANCHORARRAY( E182) +_xlfn.ANCHORARRAY( E183)+_xlfn.ANCHORARRAY( E184) +_xlfn.ANCHORARRAY( E185) +_xlfn.ANCHORARRAY( E186)</f>
        <v>0</v>
      </c>
      <c r="F187" s="831">
        <v>0</v>
      </c>
      <c r="G187" s="831">
        <v>0</v>
      </c>
      <c r="H187" s="831">
        <v>0</v>
      </c>
      <c r="I187" s="831">
        <v>0</v>
      </c>
      <c r="J187" s="831">
        <v>0</v>
      </c>
      <c r="K187" s="831">
        <v>0</v>
      </c>
      <c r="L187" s="831">
        <v>0</v>
      </c>
      <c r="M187" s="831">
        <v>2059409.5560074833</v>
      </c>
      <c r="N187" s="831">
        <v>2270324.7057764186</v>
      </c>
      <c r="O187" s="831">
        <v>2509933.1309065893</v>
      </c>
      <c r="P187" s="831">
        <v>2783478.2013022704</v>
      </c>
      <c r="Q187" s="831">
        <v>3097354.0481923646</v>
      </c>
      <c r="R187" s="831">
        <v>3459379.0624682326</v>
      </c>
      <c r="S187" s="831">
        <v>3879136.3514733389</v>
      </c>
      <c r="T187" s="831">
        <v>4368397.7276965566</v>
      </c>
      <c r="U187" s="831">
        <v>4941651.9234428518</v>
      </c>
      <c r="V187" s="831">
        <v>5616762.8729281742</v>
      </c>
      <c r="W187" s="831">
        <v>6415790.3335445067</v>
      </c>
      <c r="X187" s="831">
        <v>7366013.1514186673</v>
      </c>
      <c r="Y187" s="831">
        <v>8501205.5129557867</v>
      </c>
      <c r="Z187" s="831">
        <v>9863229.0638780575</v>
      </c>
      <c r="AA187" s="831">
        <v>11504019.445328206</v>
      </c>
      <c r="AB187" s="831">
        <v>13488065.374057027</v>
      </c>
      <c r="AC187" s="831">
        <v>15895502.856902065</v>
      </c>
      <c r="AD187" s="831">
        <v>18825977.699043401</v>
      </c>
      <c r="AE187" s="852">
        <v>22403467.666264683</v>
      </c>
      <c r="AF187" s="853">
        <v>26782303.400313959</v>
      </c>
    </row>
    <row r="189" spans="2:32" ht="21.9" customHeight="1" thickBot="1" x14ac:dyDescent="0.3">
      <c r="B189" s="536" t="s">
        <v>711</v>
      </c>
      <c r="C189" s="8"/>
      <c r="D189" s="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2:32" ht="21.9" customHeight="1" thickBot="1" x14ac:dyDescent="0.3">
      <c r="B190" s="843" t="s">
        <v>18</v>
      </c>
      <c r="C190" s="462"/>
      <c r="D190" s="807" t="s">
        <v>133</v>
      </c>
      <c r="E190" s="462">
        <v>2021</v>
      </c>
      <c r="F190" s="462">
        <f>E190+1</f>
        <v>2022</v>
      </c>
      <c r="G190" s="462">
        <f t="shared" ref="G190:AF190" si="62">F190+1</f>
        <v>2023</v>
      </c>
      <c r="H190" s="462">
        <f t="shared" si="62"/>
        <v>2024</v>
      </c>
      <c r="I190" s="462">
        <f t="shared" si="62"/>
        <v>2025</v>
      </c>
      <c r="J190" s="462">
        <f t="shared" si="62"/>
        <v>2026</v>
      </c>
      <c r="K190" s="462">
        <f t="shared" si="62"/>
        <v>2027</v>
      </c>
      <c r="L190" s="462">
        <f t="shared" si="62"/>
        <v>2028</v>
      </c>
      <c r="M190" s="462">
        <f t="shared" si="62"/>
        <v>2029</v>
      </c>
      <c r="N190" s="462">
        <f t="shared" si="62"/>
        <v>2030</v>
      </c>
      <c r="O190" s="462">
        <f t="shared" si="62"/>
        <v>2031</v>
      </c>
      <c r="P190" s="462">
        <f t="shared" si="62"/>
        <v>2032</v>
      </c>
      <c r="Q190" s="462">
        <f t="shared" si="62"/>
        <v>2033</v>
      </c>
      <c r="R190" s="462">
        <f t="shared" si="62"/>
        <v>2034</v>
      </c>
      <c r="S190" s="462">
        <f t="shared" si="62"/>
        <v>2035</v>
      </c>
      <c r="T190" s="462">
        <f t="shared" si="62"/>
        <v>2036</v>
      </c>
      <c r="U190" s="462">
        <f t="shared" si="62"/>
        <v>2037</v>
      </c>
      <c r="V190" s="462">
        <f t="shared" si="62"/>
        <v>2038</v>
      </c>
      <c r="W190" s="462">
        <f t="shared" si="62"/>
        <v>2039</v>
      </c>
      <c r="X190" s="462">
        <f t="shared" si="62"/>
        <v>2040</v>
      </c>
      <c r="Y190" s="462">
        <f t="shared" si="62"/>
        <v>2041</v>
      </c>
      <c r="Z190" s="462">
        <f t="shared" si="62"/>
        <v>2042</v>
      </c>
      <c r="AA190" s="462">
        <f t="shared" si="62"/>
        <v>2043</v>
      </c>
      <c r="AB190" s="462">
        <f t="shared" si="62"/>
        <v>2044</v>
      </c>
      <c r="AC190" s="462">
        <f t="shared" si="62"/>
        <v>2045</v>
      </c>
      <c r="AD190" s="462">
        <f t="shared" si="62"/>
        <v>2046</v>
      </c>
      <c r="AE190" s="462">
        <f t="shared" si="62"/>
        <v>2047</v>
      </c>
      <c r="AF190" s="807">
        <f t="shared" si="62"/>
        <v>2048</v>
      </c>
    </row>
    <row r="191" spans="2:32" ht="21.9" customHeight="1" x14ac:dyDescent="0.25">
      <c r="B191" s="469" t="s">
        <v>32</v>
      </c>
      <c r="C191" s="225"/>
      <c r="D191" s="850" cm="1">
        <f t="array" ref="D191">SUM(_xlfn.ANCHORARRAY(E191) * discountAnnual)</f>
        <v>38330810.987176932</v>
      </c>
      <c r="E191" s="820" cm="1">
        <f t="array" ref="E191:AF191">_xlfn.ANCHORARRAY(E174) * costLife</f>
        <v>0</v>
      </c>
      <c r="F191" s="820">
        <v>0</v>
      </c>
      <c r="G191" s="820">
        <v>0</v>
      </c>
      <c r="H191" s="820">
        <v>0</v>
      </c>
      <c r="I191" s="820">
        <v>0</v>
      </c>
      <c r="J191" s="820">
        <v>0</v>
      </c>
      <c r="K191" s="820">
        <v>0</v>
      </c>
      <c r="L191" s="820">
        <v>0</v>
      </c>
      <c r="M191" s="820">
        <v>1480598.8473350673</v>
      </c>
      <c r="N191" s="820">
        <v>1598334.0935433556</v>
      </c>
      <c r="O191" s="820">
        <v>1725431.4895497987</v>
      </c>
      <c r="P191" s="820">
        <v>1862635.50102348</v>
      </c>
      <c r="Q191" s="820">
        <v>2010749.7925508658</v>
      </c>
      <c r="R191" s="820">
        <v>2170641.935054787</v>
      </c>
      <c r="S191" s="820">
        <v>2343248.4875410968</v>
      </c>
      <c r="T191" s="820">
        <v>2529580.4829390487</v>
      </c>
      <c r="U191" s="820">
        <v>2730729.3501683846</v>
      </c>
      <c r="V191" s="820">
        <v>2947873.3071213081</v>
      </c>
      <c r="W191" s="820">
        <v>3182284.2620058525</v>
      </c>
      <c r="X191" s="820">
        <v>3435335.2634748756</v>
      </c>
      <c r="Y191" s="820">
        <v>3708508.5431793793</v>
      </c>
      <c r="Z191" s="820">
        <v>4003404.1978549459</v>
      </c>
      <c r="AA191" s="820">
        <v>4321749.5617961073</v>
      </c>
      <c r="AB191" s="820">
        <v>4665409.3246173859</v>
      </c>
      <c r="AC191" s="820">
        <v>5036396.4535651952</v>
      </c>
      <c r="AD191" s="820">
        <v>5436883.9843574287</v>
      </c>
      <c r="AE191" s="820">
        <v>5869217.7496148869</v>
      </c>
      <c r="AF191" s="821">
        <v>6335930.1194405966</v>
      </c>
    </row>
    <row r="192" spans="2:32" ht="21.9" customHeight="1" x14ac:dyDescent="0.25">
      <c r="B192" s="469" t="s">
        <v>33</v>
      </c>
      <c r="C192" s="225"/>
      <c r="D192" s="850" cm="1">
        <f t="array" ref="D192">SUM(_xlfn.ANCHORARRAY(E192) * discountAnnual)</f>
        <v>54800715.548636518</v>
      </c>
      <c r="E192" s="820" cm="1">
        <f t="array" ref="E192:AF192">_xlfn.ANCHORARRAY(E175) * costInjury</f>
        <v>0</v>
      </c>
      <c r="F192" s="820">
        <v>0</v>
      </c>
      <c r="G192" s="820">
        <v>0</v>
      </c>
      <c r="H192" s="820">
        <v>0</v>
      </c>
      <c r="I192" s="820">
        <v>0</v>
      </c>
      <c r="J192" s="820">
        <v>0</v>
      </c>
      <c r="K192" s="820">
        <v>0</v>
      </c>
      <c r="L192" s="820">
        <v>0</v>
      </c>
      <c r="M192" s="820">
        <v>565739.13961378101</v>
      </c>
      <c r="N192" s="820">
        <v>656566.90958812553</v>
      </c>
      <c r="O192" s="820">
        <v>766201.58191984193</v>
      </c>
      <c r="P192" s="820">
        <v>899015.32047274569</v>
      </c>
      <c r="Q192" s="820">
        <v>1060440.4223486457</v>
      </c>
      <c r="R192" s="820">
        <v>1257230.2570660883</v>
      </c>
      <c r="S192" s="820">
        <v>1497784.8241461369</v>
      </c>
      <c r="T192" s="820">
        <v>1792556.9803660081</v>
      </c>
      <c r="U192" s="820">
        <v>2154559.3828192414</v>
      </c>
      <c r="V192" s="820">
        <v>2599997.1844477928</v>
      </c>
      <c r="W192" s="820">
        <v>3149057.7533018892</v>
      </c>
      <c r="X192" s="820">
        <v>3826896.4758860632</v>
      </c>
      <c r="Y192" s="820">
        <v>4664867.4365452277</v>
      </c>
      <c r="Z192" s="820">
        <v>5702059.9238259448</v>
      </c>
      <c r="AA192" s="820">
        <v>6987216.9071387015</v>
      </c>
      <c r="AB192" s="820">
        <v>8581130.6102813128</v>
      </c>
      <c r="AC192" s="820">
        <v>10559634.029158624</v>
      </c>
      <c r="AD192" s="820">
        <v>13017336.882621627</v>
      </c>
      <c r="AE192" s="820">
        <v>16072291.526759341</v>
      </c>
      <c r="AF192" s="821">
        <v>19871820.652889479</v>
      </c>
    </row>
    <row r="193" spans="2:32" ht="21.9" customHeight="1" x14ac:dyDescent="0.25">
      <c r="B193" s="469" t="s">
        <v>30</v>
      </c>
      <c r="C193" s="114"/>
      <c r="D193" s="821" cm="1">
        <f t="array" ref="D193">SUM(_xlfn.ANCHORARRAY(E193) * discountAnnual)</f>
        <v>1522595.7673987234</v>
      </c>
      <c r="E193" s="820" cm="1">
        <f t="array" ref="E193:AF193">_xlfn.ANCHORARRAY(E176) * costPDO</f>
        <v>0</v>
      </c>
      <c r="F193" s="820">
        <v>0</v>
      </c>
      <c r="G193" s="820">
        <v>0</v>
      </c>
      <c r="H193" s="820">
        <v>0</v>
      </c>
      <c r="I193" s="820">
        <v>0</v>
      </c>
      <c r="J193" s="820">
        <v>0</v>
      </c>
      <c r="K193" s="820">
        <v>0</v>
      </c>
      <c r="L193" s="820">
        <v>0</v>
      </c>
      <c r="M193" s="820">
        <v>13071.569058634235</v>
      </c>
      <c r="N193" s="820">
        <v>15423.702644938754</v>
      </c>
      <c r="O193" s="820">
        <v>18300.059436948908</v>
      </c>
      <c r="P193" s="820">
        <v>21827.379806046367</v>
      </c>
      <c r="Q193" s="820">
        <v>26163.833292853826</v>
      </c>
      <c r="R193" s="820">
        <v>31506.870347356671</v>
      </c>
      <c r="S193" s="820">
        <v>38103.039786110035</v>
      </c>
      <c r="T193" s="820">
        <v>46260.264391499979</v>
      </c>
      <c r="U193" s="820">
        <v>56363.190455221062</v>
      </c>
      <c r="V193" s="820">
        <v>68892.381359069142</v>
      </c>
      <c r="W193" s="820">
        <v>84448.318236772131</v>
      </c>
      <c r="X193" s="820">
        <v>103781.41205772154</v>
      </c>
      <c r="Y193" s="820">
        <v>127829.53323117398</v>
      </c>
      <c r="Z193" s="820">
        <v>157764.9421971603</v>
      </c>
      <c r="AA193" s="820">
        <v>195052.97639339091</v>
      </c>
      <c r="AB193" s="820">
        <v>241525.43915831327</v>
      </c>
      <c r="AC193" s="820">
        <v>299472.37417825026</v>
      </c>
      <c r="AD193" s="820">
        <v>371756.83206436655</v>
      </c>
      <c r="AE193" s="820">
        <v>461958.38989049545</v>
      </c>
      <c r="AF193" s="821">
        <v>574552.62798382889</v>
      </c>
    </row>
    <row r="194" spans="2:32" ht="21.9" customHeight="1" thickBot="1" x14ac:dyDescent="0.3">
      <c r="B194" s="845" t="s">
        <v>25</v>
      </c>
      <c r="C194" s="846"/>
      <c r="D194" s="851" cm="1">
        <f t="array" ref="D194">_xlfn.ANCHORARRAY(D191) +_xlfn.ANCHORARRAY( D192) +_xlfn.ANCHORARRAY( D193)</f>
        <v>94654122.303212181</v>
      </c>
      <c r="E194" s="831" cm="1">
        <f t="array" ref="E194:AF194">_xlfn.ANCHORARRAY(E191) +_xlfn.ANCHORARRAY( E192) +_xlfn.ANCHORARRAY( E193)</f>
        <v>0</v>
      </c>
      <c r="F194" s="831">
        <v>0</v>
      </c>
      <c r="G194" s="831">
        <v>0</v>
      </c>
      <c r="H194" s="831">
        <v>0</v>
      </c>
      <c r="I194" s="831">
        <v>0</v>
      </c>
      <c r="J194" s="831">
        <v>0</v>
      </c>
      <c r="K194" s="831">
        <v>0</v>
      </c>
      <c r="L194" s="831">
        <v>0</v>
      </c>
      <c r="M194" s="831">
        <v>2059409.5560074826</v>
      </c>
      <c r="N194" s="831">
        <v>2270324.7057764195</v>
      </c>
      <c r="O194" s="831">
        <v>2509933.1309065893</v>
      </c>
      <c r="P194" s="831">
        <v>2783478.2013022723</v>
      </c>
      <c r="Q194" s="831">
        <v>3097354.0481923656</v>
      </c>
      <c r="R194" s="831">
        <v>3459379.0624682321</v>
      </c>
      <c r="S194" s="831">
        <v>3879136.351473344</v>
      </c>
      <c r="T194" s="831">
        <v>4368397.7276965566</v>
      </c>
      <c r="U194" s="831">
        <v>4941651.9234428462</v>
      </c>
      <c r="V194" s="831">
        <v>5616762.8729281705</v>
      </c>
      <c r="W194" s="831">
        <v>6415790.3335445132</v>
      </c>
      <c r="X194" s="831">
        <v>7366013.1514186608</v>
      </c>
      <c r="Y194" s="831">
        <v>8501205.5129557811</v>
      </c>
      <c r="Z194" s="831">
        <v>9863229.0638780519</v>
      </c>
      <c r="AA194" s="831">
        <v>11504019.445328198</v>
      </c>
      <c r="AB194" s="831">
        <v>13488065.374057012</v>
      </c>
      <c r="AC194" s="831">
        <v>15895502.856902068</v>
      </c>
      <c r="AD194" s="831">
        <v>18825977.699043423</v>
      </c>
      <c r="AE194" s="852">
        <v>22403467.666264724</v>
      </c>
      <c r="AF194" s="853">
        <v>26782303.400313903</v>
      </c>
    </row>
  </sheetData>
  <mergeCells count="9">
    <mergeCell ref="P21:S21"/>
    <mergeCell ref="P22:S22"/>
    <mergeCell ref="P23:S23"/>
    <mergeCell ref="P24:S24"/>
    <mergeCell ref="P16:S16"/>
    <mergeCell ref="P17:S17"/>
    <mergeCell ref="P18:S18"/>
    <mergeCell ref="P19:S19"/>
    <mergeCell ref="P20:S20"/>
  </mergeCells>
  <hyperlinks>
    <hyperlink ref="B32" location="'Accident Data'!A1" display="Source: Accident Data" xr:uid="{A410E664-DF8B-4813-BC4B-FC07675FE4DF}"/>
    <hyperlink ref="P17" r:id="rId1" xr:uid="{FB0D02AA-B65B-4D84-9BE4-22BB288E3AC7}"/>
    <hyperlink ref="P19" r:id="rId2" xr:uid="{F94283FF-98AE-4573-97FA-BEBA09776FC4}"/>
    <hyperlink ref="P20" r:id="rId3" xr:uid="{DA970AB9-D649-4BE5-9F5C-41ADE4245F58}"/>
    <hyperlink ref="P18" r:id="rId4" xr:uid="{AF346457-6647-409C-AC27-F90F3343E3C9}"/>
    <hyperlink ref="P24" r:id="rId5" xr:uid="{B79CCB3A-7C3C-4AE4-92D6-66ADB393254D}"/>
    <hyperlink ref="P21" r:id="rId6" xr:uid="{ECBE7E13-9B0A-43B0-8D9E-6176292A13D9}"/>
    <hyperlink ref="P23" r:id="rId7" xr:uid="{59469426-3B92-4083-9DDA-E159EEA90330}"/>
  </hyperlinks>
  <pageMargins left="0.7" right="0.7" top="0.75" bottom="0.75" header="0.3" footer="0.3"/>
  <pageSetup orientation="portrait" horizontalDpi="90" verticalDpi="90"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C4BE7-3846-4196-997F-63950000EDD1}">
  <sheetPr>
    <tabColor theme="4" tint="-0.249977111117893"/>
  </sheetPr>
  <dimension ref="A1:AO690"/>
  <sheetViews>
    <sheetView topLeftCell="A652" zoomScale="60" zoomScaleNormal="60" workbookViewId="0">
      <selection activeCell="F688" sqref="F688"/>
    </sheetView>
  </sheetViews>
  <sheetFormatPr defaultColWidth="11.59765625" defaultRowHeight="21.9" customHeight="1" x14ac:dyDescent="0.25"/>
  <cols>
    <col min="1" max="1" width="3.3984375" customWidth="1"/>
    <col min="2" max="2" width="50.59765625" customWidth="1"/>
    <col min="3" max="3" width="16.59765625" bestFit="1" customWidth="1"/>
    <col min="4" max="4" width="16.59765625" customWidth="1"/>
    <col min="5" max="6" width="19" customWidth="1"/>
    <col min="7" max="7" width="22.09765625" bestFit="1" customWidth="1"/>
    <col min="8" max="8" width="19.59765625" bestFit="1" customWidth="1"/>
    <col min="9" max="9" width="15.19921875" style="2" bestFit="1" customWidth="1"/>
    <col min="10" max="10" width="14.69921875" style="2" customWidth="1"/>
    <col min="11" max="11" width="14.5" style="2" bestFit="1" customWidth="1"/>
    <col min="12" max="12" width="15.59765625" style="2" bestFit="1" customWidth="1"/>
    <col min="13" max="13" width="14.69921875" style="2" customWidth="1"/>
    <col min="14" max="17" width="15.59765625" style="2" bestFit="1" customWidth="1"/>
    <col min="18" max="18" width="16.8984375" style="2" bestFit="1" customWidth="1"/>
    <col min="19" max="19" width="16.8984375" bestFit="1" customWidth="1"/>
    <col min="20" max="22" width="18" bestFit="1" customWidth="1"/>
    <col min="23" max="34" width="19.09765625" bestFit="1" customWidth="1"/>
    <col min="35" max="41" width="14.69921875" customWidth="1"/>
  </cols>
  <sheetData>
    <row r="1" spans="1:28" ht="21.9" customHeight="1" x14ac:dyDescent="0.25">
      <c r="F1" s="12"/>
      <c r="G1" s="12"/>
      <c r="H1" s="12"/>
      <c r="I1" s="12"/>
      <c r="J1" s="12"/>
      <c r="K1" s="12"/>
      <c r="L1" s="12"/>
      <c r="M1" s="12"/>
      <c r="N1" s="12"/>
      <c r="O1" s="12"/>
      <c r="P1" s="12"/>
      <c r="Q1" s="12"/>
      <c r="R1" s="12"/>
      <c r="S1" s="12"/>
      <c r="T1" s="12"/>
      <c r="U1" s="12"/>
      <c r="V1" s="12"/>
      <c r="W1" s="12"/>
      <c r="X1" s="12"/>
      <c r="Y1" s="12"/>
      <c r="Z1" s="12"/>
      <c r="AA1" s="12"/>
      <c r="AB1" s="12"/>
    </row>
    <row r="2" spans="1:28" ht="22.8" x14ac:dyDescent="0.25">
      <c r="B2" s="371" t="s">
        <v>13</v>
      </c>
      <c r="C2" s="10"/>
      <c r="D2" s="10"/>
      <c r="E2" s="10"/>
      <c r="F2" s="12"/>
      <c r="G2" s="12"/>
      <c r="H2" s="12"/>
      <c r="I2" s="12"/>
      <c r="J2" s="12"/>
      <c r="K2" s="12"/>
      <c r="L2" s="12"/>
      <c r="M2" s="12"/>
      <c r="N2" s="12"/>
      <c r="O2" s="12"/>
      <c r="P2" s="12"/>
      <c r="Q2" s="12"/>
      <c r="R2" s="12"/>
      <c r="S2" s="12"/>
      <c r="T2" s="12"/>
      <c r="U2" s="12"/>
      <c r="V2" s="12"/>
      <c r="W2" s="12"/>
      <c r="X2" s="12"/>
      <c r="Y2" s="12"/>
      <c r="Z2" s="12"/>
      <c r="AA2" s="12"/>
      <c r="AB2" s="12"/>
    </row>
    <row r="3" spans="1:28" ht="21.9" customHeight="1" x14ac:dyDescent="0.25">
      <c r="E3" s="12"/>
      <c r="F3" s="12"/>
      <c r="G3" s="12"/>
      <c r="H3" s="12"/>
      <c r="I3" s="12"/>
      <c r="J3" s="12"/>
      <c r="K3" s="12"/>
      <c r="L3" s="12"/>
      <c r="M3" s="12"/>
      <c r="N3" s="12"/>
      <c r="O3" s="12"/>
      <c r="P3" s="12"/>
      <c r="Q3" s="12"/>
      <c r="R3" s="12"/>
      <c r="S3" s="12"/>
      <c r="T3" s="12"/>
      <c r="U3" s="12"/>
      <c r="V3" s="12"/>
      <c r="W3" s="12"/>
      <c r="X3" s="12"/>
      <c r="Y3" s="12"/>
      <c r="Z3" s="12"/>
      <c r="AA3" s="12"/>
    </row>
    <row r="4" spans="1:28" ht="21.9" customHeight="1" x14ac:dyDescent="0.25">
      <c r="A4" s="526"/>
      <c r="B4" s="527" t="s">
        <v>0</v>
      </c>
      <c r="E4" s="12"/>
      <c r="F4" s="12"/>
      <c r="G4" s="12"/>
      <c r="H4" s="12"/>
      <c r="I4" s="12"/>
      <c r="J4" s="12"/>
      <c r="K4" s="12"/>
      <c r="L4" s="12"/>
      <c r="M4" s="12"/>
      <c r="N4" s="12"/>
      <c r="O4" s="12"/>
      <c r="P4" s="12"/>
      <c r="Q4" s="12"/>
      <c r="R4" s="12"/>
      <c r="S4" s="12"/>
      <c r="T4" s="12"/>
      <c r="U4" s="12"/>
      <c r="V4" s="12"/>
      <c r="W4" s="12"/>
      <c r="X4" s="12"/>
      <c r="Y4" s="12"/>
      <c r="Z4" s="12"/>
      <c r="AA4" s="12"/>
    </row>
    <row r="5" spans="1:28" ht="21.9" customHeight="1" x14ac:dyDescent="0.25">
      <c r="A5" s="14"/>
      <c r="B5" s="15"/>
      <c r="C5" s="15"/>
      <c r="D5" s="15"/>
      <c r="E5" s="12"/>
      <c r="F5" s="12"/>
      <c r="G5" s="12"/>
      <c r="H5" s="12"/>
      <c r="I5" s="12"/>
      <c r="J5" s="12"/>
      <c r="K5" s="12"/>
      <c r="L5" s="12"/>
      <c r="M5" s="12"/>
      <c r="N5" s="12"/>
      <c r="O5" s="12"/>
      <c r="P5" s="12"/>
      <c r="Q5" s="12"/>
      <c r="R5" s="12"/>
      <c r="S5" s="12"/>
      <c r="T5" s="12"/>
      <c r="U5" s="12"/>
      <c r="V5" s="12"/>
      <c r="W5" s="12"/>
      <c r="X5" s="12"/>
      <c r="Y5" s="12"/>
      <c r="Z5" s="12"/>
      <c r="AA5" s="12"/>
    </row>
    <row r="6" spans="1:28" ht="21.9" customHeight="1" thickBot="1" x14ac:dyDescent="0.3">
      <c r="A6" s="14"/>
      <c r="B6" s="536" t="s">
        <v>31</v>
      </c>
      <c r="F6" s="2"/>
      <c r="G6" s="2"/>
      <c r="H6" s="2"/>
      <c r="O6"/>
      <c r="P6"/>
      <c r="Q6" s="12"/>
      <c r="R6" s="12"/>
      <c r="S6" s="12"/>
      <c r="T6" s="12"/>
      <c r="U6" s="12"/>
      <c r="V6" s="12"/>
      <c r="W6" s="12"/>
      <c r="X6" s="12"/>
      <c r="Y6" s="12"/>
      <c r="Z6" s="12"/>
      <c r="AA6" s="12"/>
    </row>
    <row r="7" spans="1:28" ht="40.35" customHeight="1" thickBot="1" x14ac:dyDescent="0.3">
      <c r="B7" s="843" t="s">
        <v>1</v>
      </c>
      <c r="C7" s="462" t="s">
        <v>2</v>
      </c>
      <c r="D7" s="807" t="s">
        <v>3</v>
      </c>
      <c r="H7" s="2"/>
      <c r="P7"/>
      <c r="Q7"/>
      <c r="R7"/>
      <c r="S7" s="12"/>
      <c r="T7" s="12"/>
      <c r="U7" s="12"/>
      <c r="V7" s="12"/>
      <c r="W7" s="12"/>
      <c r="X7" s="12"/>
      <c r="Y7" s="12"/>
    </row>
    <row r="8" spans="1:28" s="4" customFormat="1" ht="21.9" customHeight="1" x14ac:dyDescent="0.25">
      <c r="A8"/>
      <c r="B8" s="469" t="s">
        <v>153</v>
      </c>
      <c r="C8" s="225" t="s">
        <v>129</v>
      </c>
      <c r="D8" s="654">
        <f>Inputs!$E$18</f>
        <v>2</v>
      </c>
      <c r="G8"/>
      <c r="S8" s="13"/>
      <c r="T8" s="13"/>
      <c r="U8" s="13"/>
      <c r="V8" s="13"/>
      <c r="W8" s="13"/>
      <c r="X8" s="13"/>
      <c r="Y8" s="13"/>
    </row>
    <row r="9" spans="1:28" ht="21.9" customHeight="1" x14ac:dyDescent="0.25">
      <c r="B9" s="469" t="s">
        <v>154</v>
      </c>
      <c r="C9" s="225" t="s">
        <v>129</v>
      </c>
      <c r="D9" s="654">
        <f>Inputs!$E$19</f>
        <v>2</v>
      </c>
      <c r="H9" s="2"/>
      <c r="M9"/>
      <c r="N9"/>
      <c r="O9"/>
      <c r="P9"/>
      <c r="Q9"/>
      <c r="R9"/>
      <c r="S9" s="12"/>
      <c r="T9" s="12"/>
      <c r="U9" s="12"/>
      <c r="V9" s="12"/>
      <c r="W9" s="12"/>
      <c r="X9" s="12"/>
      <c r="Y9" s="12"/>
    </row>
    <row r="10" spans="1:28" ht="21.9" customHeight="1" x14ac:dyDescent="0.25">
      <c r="B10" s="849" t="s">
        <v>148</v>
      </c>
      <c r="C10" s="225" t="s">
        <v>128</v>
      </c>
      <c r="D10" s="1099">
        <v>0.33</v>
      </c>
      <c r="H10" s="2"/>
      <c r="M10"/>
      <c r="N10"/>
      <c r="O10"/>
      <c r="P10"/>
      <c r="Q10"/>
      <c r="R10"/>
      <c r="S10" s="12"/>
      <c r="T10" s="12"/>
      <c r="U10" s="12"/>
      <c r="V10" s="12"/>
      <c r="W10" s="12"/>
      <c r="X10" s="12"/>
      <c r="Y10" s="12"/>
    </row>
    <row r="11" spans="1:28" ht="21.9" customHeight="1" x14ac:dyDescent="0.25">
      <c r="B11" s="469" t="s">
        <v>175</v>
      </c>
      <c r="C11" s="114" t="s">
        <v>11</v>
      </c>
      <c r="D11" s="1100">
        <f>occupancyAutos</f>
        <v>1.67</v>
      </c>
      <c r="H11" s="2"/>
      <c r="M11"/>
      <c r="N11"/>
      <c r="O11"/>
      <c r="P11"/>
      <c r="Q11"/>
      <c r="R11"/>
      <c r="S11" s="12"/>
      <c r="T11" s="12"/>
      <c r="U11" s="12"/>
      <c r="V11" s="12"/>
      <c r="W11" s="12"/>
      <c r="X11" s="12"/>
      <c r="Y11" s="12"/>
    </row>
    <row r="12" spans="1:28" ht="21.9" customHeight="1" x14ac:dyDescent="0.25">
      <c r="B12" s="469" t="s">
        <v>174</v>
      </c>
      <c r="C12" s="114" t="s">
        <v>11</v>
      </c>
      <c r="D12" s="1100">
        <f>occupancyTrucks</f>
        <v>1</v>
      </c>
      <c r="H12" s="2"/>
      <c r="M12"/>
      <c r="N12"/>
      <c r="O12"/>
      <c r="P12"/>
      <c r="Q12"/>
      <c r="R12"/>
      <c r="S12" s="12"/>
      <c r="T12" s="12"/>
      <c r="U12" s="12"/>
      <c r="V12" s="12"/>
      <c r="W12" s="12"/>
      <c r="X12" s="12"/>
      <c r="Y12" s="12"/>
    </row>
    <row r="13" spans="1:28" ht="21.9" customHeight="1" x14ac:dyDescent="0.25">
      <c r="B13" s="469" t="s">
        <v>179</v>
      </c>
      <c r="C13" s="114" t="str">
        <f>Inputs!D23</f>
        <v>2022$/hour</v>
      </c>
      <c r="D13" s="1101">
        <f>VTTSAutos</f>
        <v>19.600000000000001</v>
      </c>
      <c r="H13" s="2"/>
      <c r="M13"/>
      <c r="N13"/>
      <c r="O13"/>
      <c r="P13"/>
      <c r="Q13"/>
      <c r="R13"/>
      <c r="S13" s="12"/>
      <c r="T13" s="12"/>
      <c r="U13" s="12"/>
      <c r="V13" s="12"/>
      <c r="W13" s="12"/>
      <c r="X13" s="12"/>
      <c r="Y13" s="12"/>
    </row>
    <row r="14" spans="1:28" ht="21.9" customHeight="1" thickBot="1" x14ac:dyDescent="0.3">
      <c r="B14" s="768" t="s">
        <v>180</v>
      </c>
      <c r="C14" s="274" t="str">
        <f>Inputs!D24</f>
        <v>2022$/hour</v>
      </c>
      <c r="D14" s="1102">
        <f>VTTSTrucks</f>
        <v>33.5</v>
      </c>
      <c r="H14" s="2"/>
      <c r="M14"/>
      <c r="N14"/>
      <c r="O14"/>
      <c r="P14"/>
      <c r="Q14"/>
      <c r="R14"/>
      <c r="S14" s="12"/>
      <c r="T14" s="12"/>
      <c r="U14" s="12"/>
      <c r="V14" s="12"/>
      <c r="W14" s="12"/>
      <c r="X14" s="12"/>
      <c r="Y14" s="12"/>
    </row>
    <row r="15" spans="1:28" ht="21.9" customHeight="1" x14ac:dyDescent="0.25">
      <c r="B15" s="460"/>
      <c r="C15" s="460"/>
      <c r="D15" s="12"/>
      <c r="E15" s="12"/>
      <c r="F15" s="12"/>
      <c r="G15" s="12"/>
      <c r="I15"/>
      <c r="J15"/>
      <c r="K15"/>
      <c r="L15"/>
      <c r="M15"/>
      <c r="N15"/>
      <c r="O15"/>
      <c r="P15"/>
      <c r="Q15"/>
      <c r="R15"/>
      <c r="S15" s="12"/>
      <c r="T15" s="12"/>
      <c r="U15" s="12"/>
      <c r="V15" s="12"/>
      <c r="W15" s="12"/>
      <c r="X15" s="12"/>
      <c r="Y15" s="12"/>
    </row>
    <row r="16" spans="1:28" ht="21.9" customHeight="1" x14ac:dyDescent="0.25">
      <c r="D16" s="12"/>
      <c r="E16" s="12"/>
      <c r="F16" s="12"/>
      <c r="G16" s="12"/>
      <c r="I16"/>
      <c r="J16"/>
      <c r="K16"/>
      <c r="L16"/>
      <c r="M16"/>
      <c r="N16"/>
      <c r="O16" s="12"/>
      <c r="P16" s="12"/>
      <c r="Q16" s="12"/>
      <c r="R16" s="12"/>
      <c r="S16" s="12"/>
      <c r="T16" s="12"/>
      <c r="U16" s="12"/>
      <c r="V16" s="12"/>
      <c r="W16" s="12"/>
      <c r="X16" s="12"/>
      <c r="Y16" s="12"/>
    </row>
    <row r="17" spans="1:41" ht="21.9" customHeight="1" x14ac:dyDescent="0.25">
      <c r="D17" s="12"/>
      <c r="E17" s="12"/>
      <c r="F17" s="12"/>
      <c r="G17" s="12"/>
      <c r="I17"/>
      <c r="J17"/>
      <c r="K17"/>
      <c r="L17"/>
      <c r="M17"/>
      <c r="N17"/>
      <c r="O17" s="12"/>
      <c r="P17" s="12"/>
      <c r="Q17" s="12"/>
      <c r="R17" s="12"/>
      <c r="S17" s="12"/>
      <c r="T17" s="12"/>
      <c r="U17" s="12"/>
      <c r="V17" s="12"/>
      <c r="W17" s="12"/>
      <c r="X17" s="12"/>
      <c r="Y17" s="12"/>
    </row>
    <row r="18" spans="1:41" ht="21.9" customHeight="1" thickBot="1" x14ac:dyDescent="0.3">
      <c r="B18" s="1330" t="s">
        <v>178</v>
      </c>
      <c r="C18" s="1330"/>
      <c r="D18" s="1330"/>
      <c r="E18" s="1330"/>
      <c r="F18" s="1330"/>
      <c r="G18" s="1330"/>
      <c r="H18" s="1330"/>
      <c r="I18" s="1330"/>
      <c r="J18" s="1330"/>
      <c r="K18" s="1330"/>
      <c r="L18"/>
      <c r="M18"/>
      <c r="N18"/>
      <c r="O18" s="12"/>
      <c r="P18" s="12"/>
      <c r="Q18" s="12"/>
      <c r="R18" s="12"/>
      <c r="S18" s="12"/>
      <c r="T18" s="12"/>
      <c r="U18" s="12"/>
      <c r="V18" s="12"/>
      <c r="W18" s="12"/>
      <c r="X18" s="12"/>
      <c r="Y18" s="12"/>
    </row>
    <row r="19" spans="1:41" ht="21.9" customHeight="1" thickBot="1" x14ac:dyDescent="0.3">
      <c r="B19" s="843" t="s">
        <v>1</v>
      </c>
      <c r="C19" s="1093" t="str">
        <f>Inputs!D34</f>
        <v>US 412</v>
      </c>
      <c r="D19" s="1093" t="str">
        <f>Inputs!E34</f>
        <v>SH 412B</v>
      </c>
      <c r="E19" s="1093" t="str">
        <f>Inputs!F34</f>
        <v>Patrol Rd</v>
      </c>
      <c r="F19" s="1093" t="str">
        <f>Inputs!G34</f>
        <v>Williams St</v>
      </c>
      <c r="G19" s="1093" t="str">
        <f>Inputs!H34</f>
        <v>US 69</v>
      </c>
      <c r="H19" s="1093" t="str">
        <f>Inputs!I34</f>
        <v>Zarrow Rd</v>
      </c>
      <c r="I19" s="1093" t="str">
        <f>Inputs!J34</f>
        <v>Rocket Rd</v>
      </c>
      <c r="J19" s="1093" t="str">
        <f>Inputs!K34</f>
        <v>Armin Rd</v>
      </c>
      <c r="K19" s="1094" t="str">
        <f>Inputs!L34</f>
        <v>SH 69A</v>
      </c>
      <c r="L19"/>
      <c r="M19"/>
      <c r="N19"/>
      <c r="O19" s="12"/>
      <c r="P19" s="12"/>
      <c r="Q19" s="12"/>
      <c r="R19" s="12"/>
      <c r="S19" s="12"/>
      <c r="T19" s="12"/>
      <c r="U19" s="12"/>
      <c r="V19" s="12"/>
      <c r="W19" s="12"/>
      <c r="X19" s="12"/>
      <c r="Y19" s="12"/>
    </row>
    <row r="20" spans="1:41" ht="21.9" customHeight="1" x14ac:dyDescent="0.25">
      <c r="B20" s="469" t="s">
        <v>478</v>
      </c>
      <c r="C20" s="1095">
        <f>Inputs!D35</f>
        <v>0.22</v>
      </c>
      <c r="D20" s="1095">
        <f>Inputs!E35</f>
        <v>0.2</v>
      </c>
      <c r="E20" s="1095">
        <f>Inputs!F35</f>
        <v>0.2</v>
      </c>
      <c r="F20" s="1095">
        <f>Inputs!G35</f>
        <v>0.2</v>
      </c>
      <c r="G20" s="1095">
        <f>Inputs!H35</f>
        <v>0.28000000000000003</v>
      </c>
      <c r="H20" s="1095">
        <f>Inputs!I35</f>
        <v>0.2</v>
      </c>
      <c r="I20" s="1095">
        <f>Inputs!J35</f>
        <v>0.2</v>
      </c>
      <c r="J20" s="1095">
        <f>Inputs!K35</f>
        <v>0.2</v>
      </c>
      <c r="K20" s="1096">
        <f>Inputs!L35</f>
        <v>0.2</v>
      </c>
      <c r="L20"/>
      <c r="M20"/>
      <c r="N20"/>
      <c r="O20" s="12"/>
      <c r="P20" s="12"/>
      <c r="Q20" s="12"/>
      <c r="R20" s="12"/>
      <c r="S20" s="12"/>
      <c r="T20" s="12"/>
      <c r="U20" s="12"/>
      <c r="V20" s="12"/>
      <c r="W20" s="12"/>
      <c r="X20" s="12"/>
      <c r="Y20" s="12"/>
    </row>
    <row r="21" spans="1:41" ht="21.9" customHeight="1" thickBot="1" x14ac:dyDescent="0.3">
      <c r="B21" s="768" t="s">
        <v>479</v>
      </c>
      <c r="C21" s="1097">
        <f>Inputs!D36</f>
        <v>0.78</v>
      </c>
      <c r="D21" s="1097">
        <f>Inputs!E36</f>
        <v>0.8</v>
      </c>
      <c r="E21" s="1097">
        <f>Inputs!F36</f>
        <v>0.8</v>
      </c>
      <c r="F21" s="1097">
        <f>Inputs!G36</f>
        <v>0.8</v>
      </c>
      <c r="G21" s="1097">
        <f>Inputs!H36</f>
        <v>0.72</v>
      </c>
      <c r="H21" s="1097">
        <f>Inputs!I36</f>
        <v>0.8</v>
      </c>
      <c r="I21" s="1097">
        <f>Inputs!J36</f>
        <v>0.8</v>
      </c>
      <c r="J21" s="1097">
        <f>Inputs!K36</f>
        <v>0.8</v>
      </c>
      <c r="K21" s="1098">
        <f>Inputs!L36</f>
        <v>0.8</v>
      </c>
      <c r="L21"/>
      <c r="M21"/>
      <c r="N21"/>
      <c r="O21" s="12"/>
      <c r="P21" s="12"/>
      <c r="Q21" s="12"/>
      <c r="R21" s="12"/>
      <c r="S21" s="12"/>
      <c r="T21" s="12"/>
      <c r="U21" s="12"/>
      <c r="V21" s="12"/>
      <c r="W21" s="12"/>
      <c r="X21" s="12"/>
      <c r="Y21" s="12"/>
    </row>
    <row r="22" spans="1:41" ht="21.9" customHeight="1" x14ac:dyDescent="0.25">
      <c r="E22" s="12"/>
      <c r="F22" s="12"/>
      <c r="G22" s="12"/>
      <c r="I22"/>
      <c r="J22"/>
      <c r="K22"/>
      <c r="L22" s="30"/>
      <c r="M22"/>
      <c r="N22"/>
      <c r="O22" s="12"/>
      <c r="P22" s="12"/>
      <c r="Q22" s="12"/>
      <c r="R22" s="12"/>
      <c r="S22" s="12"/>
      <c r="T22" s="12"/>
      <c r="U22" s="12"/>
      <c r="V22" s="12"/>
      <c r="W22" s="12"/>
      <c r="X22" s="12"/>
      <c r="Y22" s="12"/>
    </row>
    <row r="23" spans="1:41" ht="21.9" customHeight="1" x14ac:dyDescent="0.25">
      <c r="G23" s="12"/>
      <c r="H23" s="12"/>
      <c r="I23" s="12"/>
      <c r="J23"/>
      <c r="K23"/>
      <c r="L23"/>
      <c r="M23"/>
      <c r="N23" s="30"/>
      <c r="O23"/>
      <c r="P23"/>
      <c r="Q23" s="12"/>
      <c r="R23" s="12"/>
      <c r="S23" s="12"/>
      <c r="T23" s="12"/>
      <c r="U23" s="12"/>
      <c r="V23" s="12"/>
      <c r="W23" s="12"/>
      <c r="X23" s="12"/>
      <c r="Y23" s="12"/>
      <c r="Z23" s="12"/>
      <c r="AA23" s="12"/>
    </row>
    <row r="24" spans="1:41" ht="21.9" customHeight="1" x14ac:dyDescent="0.25">
      <c r="A24" s="526"/>
      <c r="B24" s="527" t="s">
        <v>9</v>
      </c>
      <c r="G24" s="12"/>
      <c r="H24" s="12"/>
      <c r="I24" s="12"/>
      <c r="J24"/>
      <c r="K24"/>
      <c r="L24"/>
      <c r="M24"/>
      <c r="N24" s="12"/>
      <c r="O24" s="12"/>
      <c r="P24" s="12"/>
      <c r="Q24" s="12"/>
      <c r="R24" s="12"/>
      <c r="S24" s="12"/>
      <c r="T24" s="12"/>
      <c r="U24" s="12"/>
      <c r="V24" s="12"/>
      <c r="W24" s="12"/>
      <c r="X24" s="12"/>
      <c r="Y24" s="12"/>
      <c r="Z24" s="12"/>
      <c r="AA24" s="12"/>
      <c r="AB24" s="12"/>
      <c r="AC24" s="12"/>
    </row>
    <row r="25" spans="1:41" ht="21.9" customHeight="1" x14ac:dyDescent="0.25">
      <c r="B25" s="1"/>
      <c r="C25" s="1"/>
      <c r="D25" s="1"/>
      <c r="E25" s="1"/>
      <c r="F25" s="1"/>
      <c r="G25" s="12"/>
      <c r="H25" s="12"/>
      <c r="I25" s="12"/>
      <c r="J25" s="12"/>
      <c r="K25" s="12"/>
      <c r="L25" s="12"/>
      <c r="M25" s="12"/>
      <c r="N25" s="12"/>
      <c r="O25" s="12"/>
      <c r="P25" s="12"/>
      <c r="Q25" s="12"/>
      <c r="R25" s="12"/>
      <c r="S25" s="12"/>
      <c r="T25" s="12"/>
      <c r="U25" s="12"/>
      <c r="V25" s="12"/>
      <c r="W25" s="12"/>
      <c r="X25" s="12"/>
      <c r="Y25" s="12"/>
      <c r="Z25" s="12"/>
      <c r="AA25" s="12"/>
      <c r="AB25" s="12"/>
      <c r="AC25" s="12"/>
    </row>
    <row r="26" spans="1:41" ht="21.9" customHeight="1" x14ac:dyDescent="0.25">
      <c r="B26" s="191" t="s">
        <v>13</v>
      </c>
      <c r="C26" s="1"/>
      <c r="D26" s="1"/>
      <c r="E26" s="1"/>
      <c r="F26" s="1"/>
      <c r="G26" s="12"/>
      <c r="H26" s="12"/>
      <c r="I26" s="12"/>
      <c r="J26" s="12"/>
      <c r="K26" s="12"/>
      <c r="L26" s="12"/>
      <c r="M26" s="12"/>
      <c r="N26" s="12"/>
      <c r="O26" s="12"/>
      <c r="P26" s="12"/>
      <c r="Q26" s="12"/>
      <c r="R26" s="12"/>
      <c r="S26" s="12"/>
      <c r="T26" s="12"/>
      <c r="U26" s="12"/>
      <c r="V26" s="12"/>
      <c r="W26" s="12"/>
      <c r="X26" s="12"/>
      <c r="Y26" s="12"/>
      <c r="Z26" s="12"/>
      <c r="AA26" s="12"/>
      <c r="AB26" s="12"/>
      <c r="AC26" s="12"/>
    </row>
    <row r="27" spans="1:41" ht="21.9" customHeight="1" thickBot="1" x14ac:dyDescent="0.3">
      <c r="B27" s="9" t="s">
        <v>246</v>
      </c>
      <c r="C27" s="1"/>
      <c r="D27" s="1"/>
      <c r="E27" s="1"/>
      <c r="F27" s="1"/>
      <c r="G27" s="1"/>
      <c r="H27" s="12"/>
      <c r="I27" s="12"/>
      <c r="J27" s="12"/>
      <c r="K27" s="12"/>
      <c r="L27" s="12"/>
      <c r="M27" s="12"/>
      <c r="N27" s="12"/>
      <c r="O27" s="12"/>
      <c r="P27" s="12"/>
      <c r="Q27" s="12"/>
      <c r="R27" s="12"/>
      <c r="S27" s="12"/>
      <c r="T27" s="12"/>
      <c r="U27" s="12"/>
      <c r="V27" s="12"/>
      <c r="W27" s="12"/>
      <c r="X27" s="12"/>
      <c r="Y27" s="12"/>
      <c r="Z27" s="12"/>
      <c r="AA27" s="12"/>
      <c r="AB27" s="12"/>
      <c r="AC27" s="12"/>
      <c r="AD27" s="12"/>
    </row>
    <row r="28" spans="1:41" s="7" customFormat="1" ht="21.9" customHeight="1" thickBot="1" x14ac:dyDescent="0.3">
      <c r="B28" s="231"/>
      <c r="C28" s="462" t="s">
        <v>2</v>
      </c>
      <c r="D28" s="462"/>
      <c r="E28" s="462" t="s">
        <v>312</v>
      </c>
      <c r="F28" s="1326" t="s">
        <v>18</v>
      </c>
      <c r="G28" s="1326"/>
      <c r="H28" s="462" t="s">
        <v>24</v>
      </c>
      <c r="I28" s="738">
        <v>2023</v>
      </c>
      <c r="J28" s="244">
        <v>2024</v>
      </c>
      <c r="K28" s="244">
        <v>2025</v>
      </c>
      <c r="L28" s="244">
        <v>2026</v>
      </c>
      <c r="M28" s="244">
        <v>2027</v>
      </c>
      <c r="N28" s="244">
        <v>2028</v>
      </c>
      <c r="O28" s="244">
        <v>2029</v>
      </c>
      <c r="P28" s="244">
        <v>2030</v>
      </c>
      <c r="Q28" s="244">
        <v>2031</v>
      </c>
      <c r="R28" s="244">
        <v>2032</v>
      </c>
      <c r="S28" s="244">
        <v>2033</v>
      </c>
      <c r="T28" s="244">
        <v>2034</v>
      </c>
      <c r="U28" s="244">
        <v>2035</v>
      </c>
      <c r="V28" s="244">
        <v>2036</v>
      </c>
      <c r="W28" s="244">
        <v>2037</v>
      </c>
      <c r="X28" s="244">
        <v>2038</v>
      </c>
      <c r="Y28" s="244">
        <v>2039</v>
      </c>
      <c r="Z28" s="244">
        <v>2040</v>
      </c>
      <c r="AA28" s="244">
        <v>2041</v>
      </c>
      <c r="AB28" s="244">
        <v>2042</v>
      </c>
      <c r="AC28" s="244">
        <v>2043</v>
      </c>
      <c r="AD28" s="244">
        <v>2044</v>
      </c>
      <c r="AE28" s="244">
        <v>2045</v>
      </c>
      <c r="AF28" s="244">
        <v>2046</v>
      </c>
      <c r="AG28" s="244">
        <v>2047</v>
      </c>
      <c r="AH28" s="473">
        <v>2048</v>
      </c>
      <c r="AI28" s="461"/>
      <c r="AJ28" s="461"/>
      <c r="AK28" s="461"/>
      <c r="AL28" s="461"/>
      <c r="AM28" s="461"/>
      <c r="AN28" s="461"/>
      <c r="AO28" s="461"/>
    </row>
    <row r="29" spans="1:41" ht="21.9" customHeight="1" x14ac:dyDescent="0.25">
      <c r="B29" s="196" t="s">
        <v>210</v>
      </c>
      <c r="C29" s="114" t="s">
        <v>156</v>
      </c>
      <c r="D29" s="237" t="s">
        <v>23</v>
      </c>
      <c r="E29" s="1327" t="s">
        <v>315</v>
      </c>
      <c r="F29" s="114" t="s">
        <v>316</v>
      </c>
      <c r="G29" s="114" t="s">
        <v>276</v>
      </c>
      <c r="H29" s="552" t="s">
        <v>23</v>
      </c>
      <c r="I29" s="552">
        <f>'Volume and Speed'!H169</f>
        <v>7729.1874665658033</v>
      </c>
      <c r="J29" s="701">
        <f>'Volume and Speed'!I169</f>
        <v>8084.7873062069702</v>
      </c>
      <c r="K29" s="701">
        <f>'Volume and Speed'!J169</f>
        <v>8584.1389546318933</v>
      </c>
      <c r="L29" s="701">
        <f>'Volume and Speed'!K169</f>
        <v>9316.7166099328369</v>
      </c>
      <c r="M29" s="701">
        <f>'Volume and Speed'!L169</f>
        <v>10049.64259391449</v>
      </c>
      <c r="N29" s="701">
        <f>'Volume and Speed'!M169</f>
        <v>10782.755228228734</v>
      </c>
      <c r="O29" s="701">
        <f>'Volume and Speed'!N169</f>
        <v>11515.882580199897</v>
      </c>
      <c r="P29" s="701">
        <f>'Volume and Speed'!O169</f>
        <v>12250.1152377543</v>
      </c>
      <c r="Q29" s="701">
        <f>'Volume and Speed'!P169</f>
        <v>12976.622926974398</v>
      </c>
      <c r="R29" s="701">
        <f>'Volume and Speed'!Q169</f>
        <v>13704.836217693541</v>
      </c>
      <c r="S29" s="701">
        <f>'Volume and Speed'!R169</f>
        <v>14435.443026870733</v>
      </c>
      <c r="T29" s="701">
        <f>'Volume and Speed'!S169</f>
        <v>15170.080709932754</v>
      </c>
      <c r="U29" s="701">
        <f>'Volume and Speed'!T169</f>
        <v>15911.571483158426</v>
      </c>
      <c r="V29" s="701">
        <f>'Volume and Speed'!U169</f>
        <v>16418.849523497396</v>
      </c>
      <c r="W29" s="701">
        <f>'Volume and Speed'!V169</f>
        <v>16789.741901957248</v>
      </c>
      <c r="X29" s="701">
        <f>'Volume and Speed'!W169</f>
        <v>17164.260012042734</v>
      </c>
      <c r="Y29" s="701">
        <f>'Volume and Speed'!X169</f>
        <v>17543.159625710894</v>
      </c>
      <c r="Z29" s="701">
        <f>'Volume and Speed'!Y169</f>
        <v>17927.491153132396</v>
      </c>
      <c r="AA29" s="701">
        <f>'Volume and Speed'!Z169</f>
        <v>18317.992615400999</v>
      </c>
      <c r="AB29" s="701">
        <f>'Volume and Speed'!AA169</f>
        <v>18716.216395094671</v>
      </c>
      <c r="AC29" s="701">
        <f>'Volume and Speed'!AB169</f>
        <v>19123.280763913892</v>
      </c>
      <c r="AD29" s="701">
        <f>'Volume and Speed'!AC169</f>
        <v>19541.028254748882</v>
      </c>
      <c r="AE29" s="701">
        <f>'Volume and Speed'!AD169</f>
        <v>19971.592870554276</v>
      </c>
      <c r="AF29" s="701">
        <f>'Volume and Speed'!AE169</f>
        <v>20416.892390069082</v>
      </c>
      <c r="AG29" s="701">
        <f>'Volume and Speed'!AF169</f>
        <v>20879.722155626376</v>
      </c>
      <c r="AH29" s="726">
        <f>'Volume and Speed'!AG169</f>
        <v>21363.308889628879</v>
      </c>
      <c r="AI29" s="18"/>
      <c r="AJ29" s="18"/>
      <c r="AK29" s="18"/>
      <c r="AL29" s="18"/>
      <c r="AM29" s="18"/>
      <c r="AN29" s="18"/>
    </row>
    <row r="30" spans="1:41" ht="21.9" customHeight="1" x14ac:dyDescent="0.25">
      <c r="B30" s="229" t="s">
        <v>480</v>
      </c>
      <c r="C30" s="690"/>
      <c r="D30" s="690"/>
      <c r="E30" s="1325"/>
      <c r="F30" s="114" t="s">
        <v>276</v>
      </c>
      <c r="G30" s="114" t="s">
        <v>274</v>
      </c>
      <c r="H30" s="552" t="s">
        <v>23</v>
      </c>
      <c r="I30" s="552">
        <f>'Volume and Speed'!H170</f>
        <v>248534.35639268748</v>
      </c>
      <c r="J30" s="552">
        <f>'Volume and Speed'!I170</f>
        <v>262302.30573530879</v>
      </c>
      <c r="K30" s="552">
        <f>'Volume and Speed'!J170</f>
        <v>278268.47729485313</v>
      </c>
      <c r="L30" s="552">
        <f>'Volume and Speed'!K170</f>
        <v>308061.00202394067</v>
      </c>
      <c r="M30" s="552">
        <f>'Volume and Speed'!L170</f>
        <v>337865.59085961472</v>
      </c>
      <c r="N30" s="552">
        <f>'Volume and Speed'!M170</f>
        <v>367678.01952059992</v>
      </c>
      <c r="O30" s="552">
        <f>'Volume and Speed'!N170</f>
        <v>397478.79538865009</v>
      </c>
      <c r="P30" s="552">
        <f>'Volume and Speed'!O170</f>
        <v>427317.99144907924</v>
      </c>
      <c r="Q30" s="552">
        <f>'Volume and Speed'!P170</f>
        <v>462714.70916572853</v>
      </c>
      <c r="R30" s="552">
        <f>'Volume and Speed'!Q170</f>
        <v>498176.09839275398</v>
      </c>
      <c r="S30" s="552">
        <f>'Volume and Speed'!R170</f>
        <v>533732.60139720526</v>
      </c>
      <c r="T30" s="552">
        <f>'Volume and Speed'!S170</f>
        <v>569483.48129835492</v>
      </c>
      <c r="U30" s="552">
        <f>'Volume and Speed'!T170</f>
        <v>605615.56045362353</v>
      </c>
      <c r="V30" s="552">
        <f>'Volume and Speed'!U170</f>
        <v>627844.82577248884</v>
      </c>
      <c r="W30" s="552">
        <f>'Volume and Speed'!V170</f>
        <v>642225.72602179437</v>
      </c>
      <c r="X30" s="552">
        <f>'Volume and Speed'!W170</f>
        <v>656753.8729596081</v>
      </c>
      <c r="Y30" s="552">
        <f>'Volume and Speed'!X170</f>
        <v>671460.37329841731</v>
      </c>
      <c r="Z30" s="552">
        <f>'Volume and Speed'!Y170</f>
        <v>686392.0971199359</v>
      </c>
      <c r="AA30" s="552">
        <f>'Volume and Speed'!Z170</f>
        <v>701572.53648554999</v>
      </c>
      <c r="AB30" s="552">
        <f>'Volume and Speed'!AA170</f>
        <v>717073.10868574912</v>
      </c>
      <c r="AC30" s="552">
        <f>'Volume and Speed'!AB170</f>
        <v>732932.94914367609</v>
      </c>
      <c r="AD30" s="552">
        <f>'Volume and Speed'!AC170</f>
        <v>749232.18150036258</v>
      </c>
      <c r="AE30" s="552">
        <f>'Volume and Speed'!AD170</f>
        <v>766063.63161397201</v>
      </c>
      <c r="AF30" s="552">
        <f>'Volume and Speed'!AE170</f>
        <v>783499.3861543166</v>
      </c>
      <c r="AG30" s="552">
        <f>'Volume and Speed'!AF170</f>
        <v>801659.9916589295</v>
      </c>
      <c r="AH30" s="727">
        <f>'Volume and Speed'!AG170</f>
        <v>820684.94573569903</v>
      </c>
      <c r="AI30" s="18"/>
      <c r="AJ30" s="18"/>
      <c r="AK30" s="18"/>
      <c r="AL30" s="18"/>
      <c r="AM30" s="18"/>
      <c r="AN30" s="18"/>
    </row>
    <row r="31" spans="1:41" ht="21.9" customHeight="1" x14ac:dyDescent="0.25">
      <c r="B31" s="229"/>
      <c r="C31" s="690"/>
      <c r="D31" s="690"/>
      <c r="E31" s="1325"/>
      <c r="F31" s="114" t="s">
        <v>274</v>
      </c>
      <c r="G31" s="114" t="s">
        <v>317</v>
      </c>
      <c r="H31" s="552" t="s">
        <v>23</v>
      </c>
      <c r="I31" s="552">
        <f>'Volume and Speed'!H171</f>
        <v>5796.8799869015402</v>
      </c>
      <c r="J31" s="552">
        <f>'Volume and Speed'!I171</f>
        <v>6038.9483671703838</v>
      </c>
      <c r="K31" s="552">
        <f>'Volume and Speed'!J171</f>
        <v>6338.5511137390477</v>
      </c>
      <c r="L31" s="552">
        <f>'Volume and Speed'!K171</f>
        <v>6741.9189452338151</v>
      </c>
      <c r="M31" s="552">
        <f>'Volume and Speed'!L171</f>
        <v>7145.4330416557295</v>
      </c>
      <c r="N31" s="552">
        <f>'Volume and Speed'!M171</f>
        <v>7548.901089941457</v>
      </c>
      <c r="O31" s="552">
        <f>'Volume and Speed'!N171</f>
        <v>7952.2762177653422</v>
      </c>
      <c r="P31" s="552">
        <f>'Volume and Speed'!O171</f>
        <v>8355.9470964504126</v>
      </c>
      <c r="Q31" s="552">
        <f>'Volume and Speed'!P171</f>
        <v>8747.0663421217796</v>
      </c>
      <c r="R31" s="552">
        <f>'Volume and Speed'!Q171</f>
        <v>9138.3435391500389</v>
      </c>
      <c r="S31" s="552">
        <f>'Volume and Speed'!R171</f>
        <v>9529.4950774832178</v>
      </c>
      <c r="T31" s="552">
        <f>'Volume and Speed'!S171</f>
        <v>9920.6746953398251</v>
      </c>
      <c r="U31" s="552">
        <f>'Volume and Speed'!T171</f>
        <v>10312.18456382061</v>
      </c>
      <c r="V31" s="552">
        <f>'Volume and Speed'!U171</f>
        <v>10599.497720416426</v>
      </c>
      <c r="W31" s="552">
        <f>'Volume and Speed'!V171</f>
        <v>10841.702077867954</v>
      </c>
      <c r="X31" s="552">
        <f>'Volume and Speed'!W171</f>
        <v>11083.940531226839</v>
      </c>
      <c r="Y31" s="552">
        <f>'Volume and Speed'!X171</f>
        <v>11326.220572259681</v>
      </c>
      <c r="Z31" s="552">
        <f>'Volume and Speed'!Y171</f>
        <v>11568.647852419308</v>
      </c>
      <c r="AA31" s="552">
        <f>'Volume and Speed'!Z171</f>
        <v>11811.039519467329</v>
      </c>
      <c r="AB31" s="552">
        <f>'Volume and Speed'!AA171</f>
        <v>12053.601582611032</v>
      </c>
      <c r="AC31" s="552">
        <f>'Volume and Speed'!AB171</f>
        <v>12296.155239175545</v>
      </c>
      <c r="AD31" s="552">
        <f>'Volume and Speed'!AC171</f>
        <v>12538.814553545863</v>
      </c>
      <c r="AE31" s="552">
        <f>'Volume and Speed'!AD171</f>
        <v>12781.696712180172</v>
      </c>
      <c r="AF31" s="552">
        <f>'Volume and Speed'!AE171</f>
        <v>13024.631561028047</v>
      </c>
      <c r="AG31" s="552">
        <f>'Volume and Speed'!AF171</f>
        <v>13267.74348112418</v>
      </c>
      <c r="AH31" s="727">
        <f>'Volume and Speed'!AG171</f>
        <v>13511.161548778193</v>
      </c>
      <c r="AI31" s="18"/>
      <c r="AJ31" s="18"/>
      <c r="AK31" s="18"/>
      <c r="AL31" s="18"/>
      <c r="AM31" s="18"/>
      <c r="AN31" s="18"/>
    </row>
    <row r="32" spans="1:41" ht="21.9" customHeight="1" x14ac:dyDescent="0.25">
      <c r="B32" s="229"/>
      <c r="C32" s="690"/>
      <c r="D32" s="690"/>
      <c r="E32" s="1325" t="s">
        <v>274</v>
      </c>
      <c r="F32" s="217" t="s">
        <v>275</v>
      </c>
      <c r="G32" s="217" t="s">
        <v>318</v>
      </c>
      <c r="H32" s="558" t="s">
        <v>23</v>
      </c>
      <c r="I32" s="558">
        <f>'Volume and Speed'!H172</f>
        <v>63558.967875434799</v>
      </c>
      <c r="J32" s="558">
        <f>'Volume and Speed'!I172</f>
        <v>70506.189586411652</v>
      </c>
      <c r="K32" s="558">
        <f>'Volume and Speed'!J172</f>
        <v>77866.575009707012</v>
      </c>
      <c r="L32" s="558">
        <f>'Volume and Speed'!K172</f>
        <v>101408.7853050522</v>
      </c>
      <c r="M32" s="558">
        <f>'Volume and Speed'!L172</f>
        <v>131882.17668619051</v>
      </c>
      <c r="N32" s="558">
        <f>'Volume and Speed'!M172</f>
        <v>201867.29734886976</v>
      </c>
      <c r="O32" s="558">
        <f>'Volume and Speed'!N172</f>
        <v>442110.45311180304</v>
      </c>
      <c r="P32" s="558">
        <f>'Volume and Speed'!O172</f>
        <v>501668.6505572056</v>
      </c>
      <c r="Q32" s="558">
        <f>'Volume and Speed'!P172</f>
        <v>581600.54832240893</v>
      </c>
      <c r="R32" s="558">
        <f>'Volume and Speed'!Q172</f>
        <v>661630.3357861184</v>
      </c>
      <c r="S32" s="558">
        <f>'Volume and Speed'!R172</f>
        <v>741842.98422179429</v>
      </c>
      <c r="T32" s="558">
        <f>'Volume and Speed'!S172</f>
        <v>822726.14942529844</v>
      </c>
      <c r="U32" s="558">
        <f>'Volume and Speed'!T172</f>
        <v>905536.83120009012</v>
      </c>
      <c r="V32" s="558">
        <f>'Volume and Speed'!U172</f>
        <v>951964.69950250024</v>
      </c>
      <c r="W32" s="558">
        <f>'Volume and Speed'!V172</f>
        <v>976376.86147359805</v>
      </c>
      <c r="X32" s="558">
        <f>'Volume and Speed'!W172</f>
        <v>998592.31671729451</v>
      </c>
      <c r="Y32" s="558">
        <f>'Volume and Speed'!X172</f>
        <v>1021646.0610166647</v>
      </c>
      <c r="Z32" s="558">
        <f>'Volume and Speed'!Y172</f>
        <v>1045722.2826192693</v>
      </c>
      <c r="AA32" s="558">
        <f>'Volume and Speed'!Z172</f>
        <v>1070950.9532621377</v>
      </c>
      <c r="AB32" s="558">
        <f>'Volume and Speed'!AA172</f>
        <v>1097579.1192085417</v>
      </c>
      <c r="AC32" s="558">
        <f>'Volume and Speed'!AB172</f>
        <v>1125810.1108644316</v>
      </c>
      <c r="AD32" s="558">
        <f>'Volume and Speed'!AC172</f>
        <v>1155920.1504738398</v>
      </c>
      <c r="AE32" s="558">
        <f>'Volume and Speed'!AD172</f>
        <v>1188269.6988153968</v>
      </c>
      <c r="AF32" s="558">
        <f>'Volume and Speed'!AE172</f>
        <v>1223184.4962086298</v>
      </c>
      <c r="AG32" s="558">
        <f>'Volume and Speed'!AF172</f>
        <v>1261060.7552679675</v>
      </c>
      <c r="AH32" s="728">
        <f>'Volume and Speed'!AG172</f>
        <v>1302425.236269681</v>
      </c>
      <c r="AI32" s="18"/>
      <c r="AJ32" s="18"/>
      <c r="AK32" s="18"/>
      <c r="AL32" s="18"/>
      <c r="AM32" s="18"/>
      <c r="AN32" s="18"/>
    </row>
    <row r="33" spans="2:40" ht="21.9" customHeight="1" x14ac:dyDescent="0.25">
      <c r="B33" s="229"/>
      <c r="C33" s="690"/>
      <c r="D33" s="690"/>
      <c r="E33" s="1325"/>
      <c r="F33" s="114" t="s">
        <v>318</v>
      </c>
      <c r="G33" s="114" t="s">
        <v>308</v>
      </c>
      <c r="H33" s="552" t="s">
        <v>23</v>
      </c>
      <c r="I33" s="552">
        <f>'Volume and Speed'!H173</f>
        <v>8848.4899221904034</v>
      </c>
      <c r="J33" s="552">
        <f>'Volume and Speed'!I173</f>
        <v>10024.32102519535</v>
      </c>
      <c r="K33" s="552">
        <f>'Volume and Speed'!J173</f>
        <v>11200.922391659791</v>
      </c>
      <c r="L33" s="552">
        <f>'Volume and Speed'!K173</f>
        <v>15183.564677023034</v>
      </c>
      <c r="M33" s="552">
        <f>'Volume and Speed'!L173</f>
        <v>19188.178667345175</v>
      </c>
      <c r="N33" s="552">
        <f>'Volume and Speed'!M173</f>
        <v>23347.745142094449</v>
      </c>
      <c r="O33" s="552">
        <f>'Volume and Speed'!N173</f>
        <v>28270.993104940895</v>
      </c>
      <c r="P33" s="552">
        <f>'Volume and Speed'!O173</f>
        <v>36268.948044129225</v>
      </c>
      <c r="Q33" s="552">
        <f>'Volume and Speed'!P173</f>
        <v>74370.115324857732</v>
      </c>
      <c r="R33" s="552">
        <f>'Volume and Speed'!Q173</f>
        <v>99513.177268464555</v>
      </c>
      <c r="S33" s="552">
        <f>'Volume and Speed'!R173</f>
        <v>113560.3975697046</v>
      </c>
      <c r="T33" s="552">
        <f>'Volume and Speed'!S173</f>
        <v>127615.98292453427</v>
      </c>
      <c r="U33" s="552">
        <f>'Volume and Speed'!T173</f>
        <v>141711.16422756689</v>
      </c>
      <c r="V33" s="552">
        <f>'Volume and Speed'!U173</f>
        <v>149413.71042654075</v>
      </c>
      <c r="W33" s="552">
        <f>'Volume and Speed'!V173</f>
        <v>152222.94489885215</v>
      </c>
      <c r="X33" s="552">
        <f>'Volume and Speed'!W173</f>
        <v>154979.47045211639</v>
      </c>
      <c r="Y33" s="552">
        <f>'Volume and Speed'!X173</f>
        <v>157747.11634040895</v>
      </c>
      <c r="Z33" s="552">
        <f>'Volume and Speed'!Y173</f>
        <v>160529.48557834589</v>
      </c>
      <c r="AA33" s="552">
        <f>'Volume and Speed'!Z173</f>
        <v>163325.43389144694</v>
      </c>
      <c r="AB33" s="552">
        <f>'Volume and Speed'!AA173</f>
        <v>166140.76039952616</v>
      </c>
      <c r="AC33" s="552">
        <f>'Volume and Speed'!AB173</f>
        <v>168975.07505592602</v>
      </c>
      <c r="AD33" s="552">
        <f>'Volume and Speed'!AC173</f>
        <v>171833.20474931266</v>
      </c>
      <c r="AE33" s="552">
        <f>'Volume and Speed'!AD173</f>
        <v>174720.66194816615</v>
      </c>
      <c r="AF33" s="552">
        <f>'Volume and Speed'!AE173</f>
        <v>177638.42375077444</v>
      </c>
      <c r="AG33" s="552">
        <f>'Volume and Speed'!AF173</f>
        <v>180592.76546764589</v>
      </c>
      <c r="AH33" s="727">
        <f>'Volume and Speed'!AG173</f>
        <v>183590.97062093503</v>
      </c>
      <c r="AI33" s="18"/>
      <c r="AJ33" s="18"/>
      <c r="AK33" s="18"/>
      <c r="AL33" s="18"/>
      <c r="AM33" s="18"/>
      <c r="AN33" s="18"/>
    </row>
    <row r="34" spans="2:40" ht="21.9" customHeight="1" x14ac:dyDescent="0.25">
      <c r="B34" s="229"/>
      <c r="C34" s="690"/>
      <c r="D34" s="690"/>
      <c r="E34" s="1321"/>
      <c r="F34" s="250" t="s">
        <v>308</v>
      </c>
      <c r="G34" s="250" t="s">
        <v>319</v>
      </c>
      <c r="H34" s="562" t="s">
        <v>23</v>
      </c>
      <c r="I34" s="562">
        <f>'Volume and Speed'!H174</f>
        <v>125559.46488394152</v>
      </c>
      <c r="J34" s="562">
        <f>'Volume and Speed'!I174</f>
        <v>130527.37626162461</v>
      </c>
      <c r="K34" s="562">
        <f>'Volume and Speed'!J174</f>
        <v>135643.06411432326</v>
      </c>
      <c r="L34" s="562">
        <f>'Volume and Speed'!K174</f>
        <v>146207.97644973267</v>
      </c>
      <c r="M34" s="562">
        <f>'Volume and Speed'!L174</f>
        <v>158145.19113463513</v>
      </c>
      <c r="N34" s="562">
        <f>'Volume and Speed'!M174</f>
        <v>172438.27294926243</v>
      </c>
      <c r="O34" s="562">
        <f>'Volume and Speed'!N174</f>
        <v>190672.71069821756</v>
      </c>
      <c r="P34" s="562">
        <f>'Volume and Speed'!O174</f>
        <v>215360.31431897223</v>
      </c>
      <c r="Q34" s="562">
        <f>'Volume and Speed'!P174</f>
        <v>267690.92536249326</v>
      </c>
      <c r="R34" s="562">
        <f>'Volume and Speed'!Q174</f>
        <v>356585.11020655674</v>
      </c>
      <c r="S34" s="562">
        <f>'Volume and Speed'!R174</f>
        <v>479630.64327155764</v>
      </c>
      <c r="T34" s="562">
        <f>'Volume and Speed'!S174</f>
        <v>507309.19989502075</v>
      </c>
      <c r="U34" s="562">
        <f>'Volume and Speed'!T174</f>
        <v>535013.90868260374</v>
      </c>
      <c r="V34" s="562">
        <f>'Volume and Speed'!U174</f>
        <v>553018.17477486166</v>
      </c>
      <c r="W34" s="562">
        <f>'Volume and Speed'!V174</f>
        <v>563276.75520423392</v>
      </c>
      <c r="X34" s="562">
        <f>'Volume and Speed'!W174</f>
        <v>573533.7958714515</v>
      </c>
      <c r="Y34" s="562">
        <f>'Volume and Speed'!X174</f>
        <v>583791.79885993362</v>
      </c>
      <c r="Z34" s="562">
        <f>'Volume and Speed'!Y174</f>
        <v>594057.38379971078</v>
      </c>
      <c r="AA34" s="562">
        <f>'Volume and Speed'!Z174</f>
        <v>604317.85035638441</v>
      </c>
      <c r="AB34" s="562">
        <f>'Volume and Speed'!AA174</f>
        <v>614586.3146569978</v>
      </c>
      <c r="AC34" s="562">
        <f>'Volume and Speed'!AB174</f>
        <v>624850.14503133669</v>
      </c>
      <c r="AD34" s="562">
        <f>'Volume and Speed'!AC174</f>
        <v>635116.07397930138</v>
      </c>
      <c r="AE34" s="562">
        <f>'Volume and Speed'!AD174</f>
        <v>645390.89582501375</v>
      </c>
      <c r="AF34" s="562">
        <f>'Volume and Speed'!AE174</f>
        <v>655662.10509908409</v>
      </c>
      <c r="AG34" s="562">
        <f>'Volume and Speed'!AF174</f>
        <v>665936.56846405962</v>
      </c>
      <c r="AH34" s="729">
        <f>'Volume and Speed'!AG174</f>
        <v>676221.24408065528</v>
      </c>
      <c r="AI34" s="18"/>
      <c r="AJ34" s="18"/>
      <c r="AK34" s="18"/>
      <c r="AL34" s="18"/>
      <c r="AM34" s="18"/>
      <c r="AN34" s="18"/>
    </row>
    <row r="35" spans="2:40" ht="21.9" customHeight="1" x14ac:dyDescent="0.25">
      <c r="B35" s="229"/>
      <c r="C35" s="690"/>
      <c r="D35" s="690"/>
      <c r="E35" s="114" t="s">
        <v>320</v>
      </c>
      <c r="F35" s="114" t="s">
        <v>318</v>
      </c>
      <c r="G35" s="114" t="s">
        <v>308</v>
      </c>
      <c r="H35" s="552" t="s">
        <v>23</v>
      </c>
      <c r="I35" s="552">
        <f>'Volume and Speed'!H175</f>
        <v>845.0738916256156</v>
      </c>
      <c r="J35" s="552">
        <f>'Volume and Speed'!I175</f>
        <v>1368.1746305418719</v>
      </c>
      <c r="K35" s="552">
        <f>'Volume and Speed'!J175</f>
        <v>3903.3963054187179</v>
      </c>
      <c r="L35" s="552">
        <f>'Volume and Speed'!K175</f>
        <v>8252.991625615763</v>
      </c>
      <c r="M35" s="552">
        <f>'Volume and Speed'!L175</f>
        <v>12605.967241379316</v>
      </c>
      <c r="N35" s="552">
        <f>'Volume and Speed'!M175</f>
        <v>16957.252709359815</v>
      </c>
      <c r="O35" s="552">
        <f>'Volume and Speed'!N175</f>
        <v>21306.848029559216</v>
      </c>
      <c r="P35" s="552">
        <f>'Volume and Speed'!O175</f>
        <v>25663.203940906547</v>
      </c>
      <c r="Q35" s="552">
        <f>'Volume and Speed'!P175</f>
        <v>28003.21354684986</v>
      </c>
      <c r="R35" s="552">
        <f>'Volume and Speed'!Q175</f>
        <v>30346.603448401314</v>
      </c>
      <c r="S35" s="552">
        <f>'Volume and Speed'!R175</f>
        <v>32687.458128362923</v>
      </c>
      <c r="T35" s="552">
        <f>'Volume and Speed'!S175</f>
        <v>35027.467734597987</v>
      </c>
      <c r="U35" s="552">
        <f>'Volume and Speed'!T175</f>
        <v>37373.39285838302</v>
      </c>
      <c r="V35" s="552">
        <f>'Volume and Speed'!U175</f>
        <v>37896.493597504159</v>
      </c>
      <c r="W35" s="552">
        <f>'Volume and Speed'!V175</f>
        <v>38419.594336655631</v>
      </c>
      <c r="X35" s="552">
        <f>'Volume and Speed'!W175</f>
        <v>38942.695075841373</v>
      </c>
      <c r="Y35" s="552">
        <f>'Volume and Speed'!X175</f>
        <v>39465.795815065874</v>
      </c>
      <c r="Z35" s="552">
        <f>'Volume and Speed'!Y175</f>
        <v>39991.431776010759</v>
      </c>
      <c r="AA35" s="552">
        <f>'Volume and Speed'!Z175</f>
        <v>40514.532515328377</v>
      </c>
      <c r="AB35" s="552">
        <f>'Volume and Speed'!AA175</f>
        <v>41040.168476378531</v>
      </c>
      <c r="AC35" s="552">
        <f>'Volume and Speed'!AB175</f>
        <v>41563.269215813838</v>
      </c>
      <c r="AD35" s="552">
        <f>'Volume and Speed'!AC175</f>
        <v>42086.369955318762</v>
      </c>
      <c r="AE35" s="552">
        <f>'Volume and Speed'!AD175</f>
        <v>42612.005916579888</v>
      </c>
      <c r="AF35" s="552">
        <f>'Volume and Speed'!AE175</f>
        <v>43135.106656250209</v>
      </c>
      <c r="AG35" s="552">
        <f>'Volume and Speed'!AF175</f>
        <v>43658.207396017744</v>
      </c>
      <c r="AH35" s="727">
        <f>'Volume and Speed'!AG175</f>
        <v>44183.843357573438</v>
      </c>
      <c r="AI35" s="18"/>
      <c r="AJ35" s="18"/>
      <c r="AK35" s="18"/>
      <c r="AL35" s="18"/>
      <c r="AM35" s="18"/>
      <c r="AN35" s="18"/>
    </row>
    <row r="36" spans="2:40" ht="21.9" customHeight="1" x14ac:dyDescent="0.25">
      <c r="B36" s="229"/>
      <c r="C36" s="690"/>
      <c r="D36" s="690"/>
      <c r="E36" s="1325" t="s">
        <v>308</v>
      </c>
      <c r="F36" s="217" t="s">
        <v>276</v>
      </c>
      <c r="G36" s="217" t="s">
        <v>320</v>
      </c>
      <c r="H36" s="558" t="s">
        <v>23</v>
      </c>
      <c r="I36" s="558">
        <f>'Volume and Speed'!H176</f>
        <v>2427.3399014778324</v>
      </c>
      <c r="J36" s="558">
        <f>'Volume and Speed'!I176</f>
        <v>2427.3399014778324</v>
      </c>
      <c r="K36" s="558">
        <f>'Volume and Speed'!J176</f>
        <v>28402.304202663148</v>
      </c>
      <c r="L36" s="558">
        <f>'Volume and Speed'!K176</f>
        <v>54377.288071326489</v>
      </c>
      <c r="M36" s="558">
        <f>'Volume and Speed'!L176</f>
        <v>80375.520621015647</v>
      </c>
      <c r="N36" s="558">
        <f>'Volume and Speed'!M176</f>
        <v>106380.4264777769</v>
      </c>
      <c r="O36" s="558">
        <f>'Volume and Speed'!N176</f>
        <v>132671.26807387476</v>
      </c>
      <c r="P36" s="558">
        <f>'Volume and Speed'!O176</f>
        <v>160818.56875726747</v>
      </c>
      <c r="Q36" s="558">
        <f>'Volume and Speed'!P176</f>
        <v>160818.60025303785</v>
      </c>
      <c r="R36" s="558">
        <f>'Volume and Speed'!Q176</f>
        <v>160818.60025303785</v>
      </c>
      <c r="S36" s="558">
        <f>'Volume and Speed'!R176</f>
        <v>160818.60025303785</v>
      </c>
      <c r="T36" s="558">
        <f>'Volume and Speed'!S176</f>
        <v>160818.60025303785</v>
      </c>
      <c r="U36" s="558">
        <f>'Volume and Speed'!T176</f>
        <v>160818.60025303785</v>
      </c>
      <c r="V36" s="558">
        <f>'Volume and Speed'!U176</f>
        <v>160818.60025303785</v>
      </c>
      <c r="W36" s="558">
        <f>'Volume and Speed'!V176</f>
        <v>160818.60025303785</v>
      </c>
      <c r="X36" s="558">
        <f>'Volume and Speed'!W176</f>
        <v>160818.60025303785</v>
      </c>
      <c r="Y36" s="558">
        <f>'Volume and Speed'!X176</f>
        <v>160818.60025303785</v>
      </c>
      <c r="Z36" s="558">
        <f>'Volume and Speed'!Y176</f>
        <v>160818.60025303785</v>
      </c>
      <c r="AA36" s="558">
        <f>'Volume and Speed'!Z176</f>
        <v>160818.60025303785</v>
      </c>
      <c r="AB36" s="558">
        <f>'Volume and Speed'!AA176</f>
        <v>160818.60025303785</v>
      </c>
      <c r="AC36" s="558">
        <f>'Volume and Speed'!AB176</f>
        <v>160818.60025303785</v>
      </c>
      <c r="AD36" s="558">
        <f>'Volume and Speed'!AC176</f>
        <v>160818.60025303785</v>
      </c>
      <c r="AE36" s="558">
        <f>'Volume and Speed'!AD176</f>
        <v>160818.60025303785</v>
      </c>
      <c r="AF36" s="558">
        <f>'Volume and Speed'!AE176</f>
        <v>160818.60025303785</v>
      </c>
      <c r="AG36" s="558">
        <f>'Volume and Speed'!AF176</f>
        <v>160818.60025303785</v>
      </c>
      <c r="AH36" s="728">
        <f>'Volume and Speed'!AG176</f>
        <v>160818.60025303785</v>
      </c>
      <c r="AI36" s="18"/>
      <c r="AJ36" s="18"/>
      <c r="AK36" s="18"/>
      <c r="AL36" s="18"/>
      <c r="AM36" s="18"/>
      <c r="AN36" s="18"/>
    </row>
    <row r="37" spans="2:40" ht="21.9" customHeight="1" x14ac:dyDescent="0.25">
      <c r="B37" s="229"/>
      <c r="C37" s="690"/>
      <c r="D37" s="690"/>
      <c r="E37" s="1325"/>
      <c r="F37" s="114" t="s">
        <v>320</v>
      </c>
      <c r="G37" s="114" t="s">
        <v>282</v>
      </c>
      <c r="H37" s="552" t="s">
        <v>23</v>
      </c>
      <c r="I37" s="552">
        <f>'Volume and Speed'!H177</f>
        <v>609.32249322493226</v>
      </c>
      <c r="J37" s="552">
        <f>'Volume and Speed'!I177</f>
        <v>1157.7127371273928</v>
      </c>
      <c r="K37" s="552">
        <f>'Volume and Speed'!J177</f>
        <v>1706.1029810313298</v>
      </c>
      <c r="L37" s="552">
        <f>'Volume and Speed'!K177</f>
        <v>3711.3279211226895</v>
      </c>
      <c r="M37" s="552">
        <f>'Volume and Speed'!L177</f>
        <v>5713.7841011732671</v>
      </c>
      <c r="N37" s="552">
        <f>'Volume and Speed'!M177</f>
        <v>7721.8025851664997</v>
      </c>
      <c r="O37" s="552">
        <f>'Volume and Speed'!N177</f>
        <v>9727.3170940721266</v>
      </c>
      <c r="P37" s="552">
        <f>'Volume and Speed'!O177</f>
        <v>11734.698664997861</v>
      </c>
      <c r="Q37" s="552">
        <f>'Volume and Speed'!P177</f>
        <v>15262.466014643802</v>
      </c>
      <c r="R37" s="552">
        <f>'Volume and Speed'!Q177</f>
        <v>19121.093263708819</v>
      </c>
      <c r="S37" s="552">
        <f>'Volume and Speed'!R177</f>
        <v>24922.384304188461</v>
      </c>
      <c r="T37" s="552">
        <f>'Volume and Speed'!S177</f>
        <v>39296.571122363246</v>
      </c>
      <c r="U37" s="552">
        <f>'Volume and Speed'!T177</f>
        <v>84448.29738882622</v>
      </c>
      <c r="V37" s="552">
        <f>'Volume and Speed'!U177</f>
        <v>96465.817331057231</v>
      </c>
      <c r="W37" s="552">
        <f>'Volume and Speed'!V177</f>
        <v>98154.114881290327</v>
      </c>
      <c r="X37" s="552">
        <f>'Volume and Speed'!W177</f>
        <v>99850.462946157</v>
      </c>
      <c r="Y37" s="552">
        <f>'Volume and Speed'!X177</f>
        <v>101546.88338784526</v>
      </c>
      <c r="Z37" s="552">
        <f>'Volume and Speed'!Y177</f>
        <v>103243.38639999263</v>
      </c>
      <c r="AA37" s="552">
        <f>'Volume and Speed'!Z177</f>
        <v>104939.98547009901</v>
      </c>
      <c r="AB37" s="552">
        <f>'Volume and Speed'!AA177</f>
        <v>106636.69600968946</v>
      </c>
      <c r="AC37" s="552">
        <f>'Volume and Speed'!AB177</f>
        <v>108333.53559033727</v>
      </c>
      <c r="AD37" s="552">
        <f>'Volume and Speed'!AC177</f>
        <v>110030.52420408341</v>
      </c>
      <c r="AE37" s="552">
        <f>'Volume and Speed'!AD177</f>
        <v>111719.11844708066</v>
      </c>
      <c r="AF37" s="552">
        <f>'Volume and Speed'!AE177</f>
        <v>113416.46929399075</v>
      </c>
      <c r="AG37" s="552">
        <f>'Volume and Speed'!AF177</f>
        <v>115114.05241819441</v>
      </c>
      <c r="AH37" s="727">
        <f>'Volume and Speed'!AG177</f>
        <v>116811.8947542941</v>
      </c>
      <c r="AI37" s="18"/>
      <c r="AJ37" s="18"/>
      <c r="AK37" s="18"/>
      <c r="AL37" s="18"/>
      <c r="AM37" s="18"/>
      <c r="AN37" s="18"/>
    </row>
    <row r="38" spans="2:40" ht="21.9" customHeight="1" x14ac:dyDescent="0.25">
      <c r="B38" s="229"/>
      <c r="C38" s="690"/>
      <c r="D38" s="690"/>
      <c r="E38" s="1325"/>
      <c r="F38" s="114" t="s">
        <v>282</v>
      </c>
      <c r="G38" s="114" t="s">
        <v>321</v>
      </c>
      <c r="H38" s="552" t="s">
        <v>23</v>
      </c>
      <c r="I38" s="552">
        <f>'Volume and Speed'!H178</f>
        <v>1944.8905109489051</v>
      </c>
      <c r="J38" s="552">
        <f>'Volume and Speed'!I178</f>
        <v>3694.4491849148417</v>
      </c>
      <c r="K38" s="552">
        <f>'Volume and Speed'!J178</f>
        <v>5443.4243917274944</v>
      </c>
      <c r="L38" s="552">
        <f>'Volume and Speed'!K178</f>
        <v>11841.919683698419</v>
      </c>
      <c r="M38" s="552">
        <f>'Volume and Speed'!L178</f>
        <v>18240.674294418233</v>
      </c>
      <c r="N38" s="552">
        <f>'Volume and Speed'!M178</f>
        <v>24647.597445648662</v>
      </c>
      <c r="O38" s="552">
        <f>'Volume and Speed'!N178</f>
        <v>31046.092742205441</v>
      </c>
      <c r="P38" s="552">
        <f>'Volume and Speed'!O178</f>
        <v>37448.477849380193</v>
      </c>
      <c r="Q38" s="552">
        <f>'Volume and Speed'!P178</f>
        <v>48575.002619196712</v>
      </c>
      <c r="R38" s="552">
        <f>'Volume and Speed'!Q178</f>
        <v>59696.994595945587</v>
      </c>
      <c r="S38" s="552">
        <f>'Volume and Speed'!R178</f>
        <v>70822.712667400236</v>
      </c>
      <c r="T38" s="552">
        <f>'Volume and Speed'!S178</f>
        <v>81949.409253229096</v>
      </c>
      <c r="U38" s="552">
        <f>'Volume and Speed'!T178</f>
        <v>93084.697667375454</v>
      </c>
      <c r="V38" s="552">
        <f>'Volume and Speed'!U178</f>
        <v>99558.187935970171</v>
      </c>
      <c r="W38" s="552">
        <f>'Volume and Speed'!V178</f>
        <v>101308.13439753474</v>
      </c>
      <c r="X38" s="552">
        <f>'Volume and Speed'!W178</f>
        <v>103058.15393440919</v>
      </c>
      <c r="Y38" s="552">
        <f>'Volume and Speed'!X178</f>
        <v>104808.25872726183</v>
      </c>
      <c r="Z38" s="552">
        <f>'Volume and Speed'!Y178</f>
        <v>106557.87901676691</v>
      </c>
      <c r="AA38" s="552">
        <f>'Volume and Speed'!Z178</f>
        <v>108308.19809500566</v>
      </c>
      <c r="AB38" s="552">
        <f>'Volume and Speed'!AA178</f>
        <v>110058.06667410745</v>
      </c>
      <c r="AC38" s="552">
        <f>'Volume and Speed'!AB178</f>
        <v>111808.6729500283</v>
      </c>
      <c r="AD38" s="552">
        <f>'Volume and Speed'!AC178</f>
        <v>113559.45665396267</v>
      </c>
      <c r="AE38" s="552">
        <f>'Volume and Speed'!AD178</f>
        <v>115309.86040708634</v>
      </c>
      <c r="AF38" s="552">
        <f>'Volume and Speed'!AE178</f>
        <v>117061.08217818968</v>
      </c>
      <c r="AG38" s="552">
        <f>'Volume and Speed'!AF178</f>
        <v>118812.57203019604</v>
      </c>
      <c r="AH38" s="727">
        <f>'Volume and Speed'!AG178</f>
        <v>120563.78397835894</v>
      </c>
      <c r="AI38" s="18"/>
      <c r="AJ38" s="18"/>
      <c r="AK38" s="18"/>
      <c r="AL38" s="18"/>
      <c r="AM38" s="18"/>
      <c r="AN38" s="18"/>
    </row>
    <row r="39" spans="2:40" ht="21.9" customHeight="1" x14ac:dyDescent="0.25">
      <c r="B39" s="229"/>
      <c r="C39" s="690"/>
      <c r="D39" s="690"/>
      <c r="E39" s="1325"/>
      <c r="F39" s="250" t="s">
        <v>321</v>
      </c>
      <c r="G39" s="250" t="s">
        <v>274</v>
      </c>
      <c r="H39" s="562" t="s">
        <v>23</v>
      </c>
      <c r="I39" s="562">
        <f>'Volume and Speed'!H179</f>
        <v>2797.4452554744526</v>
      </c>
      <c r="J39" s="562">
        <f>'Volume and Speed'!I179</f>
        <v>5313.9337591240865</v>
      </c>
      <c r="K39" s="562">
        <f>'Volume and Speed'!J179</f>
        <v>7829.5830291970815</v>
      </c>
      <c r="L39" s="562">
        <f>'Volume and Speed'!K179</f>
        <v>17032.898175182658</v>
      </c>
      <c r="M39" s="562">
        <f>'Volume and Speed'!L179</f>
        <v>26236.586313889238</v>
      </c>
      <c r="N39" s="562">
        <f>'Volume and Speed'!M179</f>
        <v>35452.023723193284</v>
      </c>
      <c r="O39" s="562">
        <f>'Volume and Speed'!N179</f>
        <v>44655.338875774964</v>
      </c>
      <c r="P39" s="562">
        <f>'Volume and Speed'!O179</f>
        <v>53864.248961437275</v>
      </c>
      <c r="Q39" s="562">
        <f>'Volume and Speed'!P179</f>
        <v>69868.154452269242</v>
      </c>
      <c r="R39" s="562">
        <f>'Volume and Speed'!Q179</f>
        <v>85865.540172250505</v>
      </c>
      <c r="S39" s="562">
        <f>'Volume and Speed'!R179</f>
        <v>101868.2853435209</v>
      </c>
      <c r="T39" s="562">
        <f>'Volume and Speed'!S179</f>
        <v>117872.43796697336</v>
      </c>
      <c r="U39" s="562">
        <f>'Volume and Speed'!T179</f>
        <v>133888.94869964963</v>
      </c>
      <c r="V39" s="562">
        <f>'Volume and Speed'!U179</f>
        <v>143200.13333255984</v>
      </c>
      <c r="W39" s="562">
        <f>'Volume and Speed'!V179</f>
        <v>145717.17961289245</v>
      </c>
      <c r="X39" s="562">
        <f>'Volume and Speed'!W179</f>
        <v>148234.33100154746</v>
      </c>
      <c r="Y39" s="562">
        <f>'Volume and Speed'!X179</f>
        <v>150751.60501866427</v>
      </c>
      <c r="Z39" s="562">
        <f>'Volume and Speed'!Y179</f>
        <v>153268.18214740447</v>
      </c>
      <c r="AA39" s="562">
        <f>'Volume and Speed'!Z179</f>
        <v>155785.76438322733</v>
      </c>
      <c r="AB39" s="562">
        <f>'Volume and Speed'!AA179</f>
        <v>158302.69864083949</v>
      </c>
      <c r="AC39" s="562">
        <f>'Volume and Speed'!AB179</f>
        <v>160820.69396921879</v>
      </c>
      <c r="AD39" s="562">
        <f>'Volume and Speed'!AC179</f>
        <v>163338.94450227509</v>
      </c>
      <c r="AE39" s="562">
        <f>'Volume and Speed'!AD179</f>
        <v>165856.64853074061</v>
      </c>
      <c r="AF39" s="562">
        <f>'Volume and Speed'!AE179</f>
        <v>168375.52916040982</v>
      </c>
      <c r="AG39" s="562">
        <f>'Volume and Speed'!AF179</f>
        <v>170894.79538589844</v>
      </c>
      <c r="AH39" s="729">
        <f>'Volume and Speed'!AG179</f>
        <v>173413.6618866807</v>
      </c>
      <c r="AI39" s="18"/>
      <c r="AJ39" s="18"/>
      <c r="AK39" s="18"/>
      <c r="AL39" s="18"/>
      <c r="AM39" s="18"/>
      <c r="AN39" s="18"/>
    </row>
    <row r="40" spans="2:40" ht="21.9" customHeight="1" x14ac:dyDescent="0.25">
      <c r="B40" s="229"/>
      <c r="C40" s="690"/>
      <c r="D40" s="690"/>
      <c r="E40" s="114" t="s">
        <v>282</v>
      </c>
      <c r="F40" s="114" t="s">
        <v>308</v>
      </c>
      <c r="G40" s="114" t="s">
        <v>324</v>
      </c>
      <c r="H40" s="568" t="s">
        <v>23</v>
      </c>
      <c r="I40" s="568">
        <f>'Volume and Speed'!H181</f>
        <v>23633.09448058578</v>
      </c>
      <c r="J40" s="568">
        <f>'Volume and Speed'!I181</f>
        <v>24519.073374646814</v>
      </c>
      <c r="K40" s="568">
        <f>'Volume and Speed'!J181</f>
        <v>25874.301149443396</v>
      </c>
      <c r="L40" s="568">
        <f>'Volume and Speed'!K181</f>
        <v>30180.130979470505</v>
      </c>
      <c r="M40" s="568">
        <f>'Volume and Speed'!L181</f>
        <v>34486.652765956373</v>
      </c>
      <c r="N40" s="568">
        <f>'Volume and Speed'!M181</f>
        <v>38797.884877333439</v>
      </c>
      <c r="O40" s="568">
        <f>'Volume and Speed'!N181</f>
        <v>43104.189945641367</v>
      </c>
      <c r="P40" s="568">
        <f>'Volume and Speed'!O181</f>
        <v>47415.524788910538</v>
      </c>
      <c r="Q40" s="568">
        <f>'Volume and Speed'!P181</f>
        <v>53099.428778932408</v>
      </c>
      <c r="R40" s="568">
        <f>'Volume and Speed'!Q181</f>
        <v>58791.344057388756</v>
      </c>
      <c r="S40" s="568">
        <f>'Volume and Speed'!R181</f>
        <v>64508.68977286118</v>
      </c>
      <c r="T40" s="568">
        <f>'Volume and Speed'!S181</f>
        <v>70278.383623713496</v>
      </c>
      <c r="U40" s="568">
        <f>'Volume and Speed'!T181</f>
        <v>76167.387352677208</v>
      </c>
      <c r="V40" s="568">
        <f>'Volume and Speed'!U181</f>
        <v>79060.75061328501</v>
      </c>
      <c r="W40" s="568">
        <f>'Volume and Speed'!V181</f>
        <v>80015.242483406531</v>
      </c>
      <c r="X40" s="568">
        <f>'Volume and Speed'!W181</f>
        <v>80977.817138111888</v>
      </c>
      <c r="Y40" s="568">
        <f>'Volume and Speed'!X181</f>
        <v>81949.324719841461</v>
      </c>
      <c r="Z40" s="568">
        <f>'Volume and Speed'!Y181</f>
        <v>82931.715630512714</v>
      </c>
      <c r="AA40" s="568">
        <f>'Volume and Speed'!Z181</f>
        <v>83923.966208696715</v>
      </c>
      <c r="AB40" s="568">
        <f>'Volume and Speed'!AA181</f>
        <v>84929.240299015277</v>
      </c>
      <c r="AC40" s="568">
        <f>'Volume and Speed'!AB181</f>
        <v>85946.656613924861</v>
      </c>
      <c r="AD40" s="568">
        <f>'Volume and Speed'!AC181</f>
        <v>86978.557584241469</v>
      </c>
      <c r="AE40" s="568">
        <f>'Volume and Speed'!AD181</f>
        <v>88027.460045619126</v>
      </c>
      <c r="AF40" s="568">
        <f>'Volume and Speed'!AE181</f>
        <v>89092.735247375706</v>
      </c>
      <c r="AG40" s="568">
        <f>'Volume and Speed'!AF181</f>
        <v>90177.1372691078</v>
      </c>
      <c r="AH40" s="730">
        <f>'Volume and Speed'!AG181</f>
        <v>91283.641447311471</v>
      </c>
      <c r="AI40" s="18"/>
      <c r="AJ40" s="18"/>
      <c r="AK40" s="18"/>
      <c r="AL40" s="18"/>
      <c r="AM40" s="18"/>
      <c r="AN40" s="18"/>
    </row>
    <row r="41" spans="2:40" ht="21.9" customHeight="1" x14ac:dyDescent="0.25">
      <c r="B41" s="229"/>
      <c r="C41" s="690"/>
      <c r="D41" s="690"/>
      <c r="E41" s="273" t="s">
        <v>321</v>
      </c>
      <c r="F41" s="273" t="s">
        <v>318</v>
      </c>
      <c r="G41" s="273" t="s">
        <v>308</v>
      </c>
      <c r="H41" s="552" t="s">
        <v>23</v>
      </c>
      <c r="I41" s="552" t="e">
        <f>'Volume and Speed'!H182</f>
        <v>#DIV/0!</v>
      </c>
      <c r="J41" s="552" t="e">
        <f>'Volume and Speed'!I182</f>
        <v>#DIV/0!</v>
      </c>
      <c r="K41" s="552" t="e">
        <f>'Volume and Speed'!J182</f>
        <v>#DIV/0!</v>
      </c>
      <c r="L41" s="552" t="e">
        <f>'Volume and Speed'!K182</f>
        <v>#DIV/0!</v>
      </c>
      <c r="M41" s="552" t="e">
        <f>'Volume and Speed'!L182</f>
        <v>#DIV/0!</v>
      </c>
      <c r="N41" s="552" t="e">
        <f>'Volume and Speed'!M182</f>
        <v>#DIV/0!</v>
      </c>
      <c r="O41" s="552" t="e">
        <f>'Volume and Speed'!N182</f>
        <v>#DIV/0!</v>
      </c>
      <c r="P41" s="552" t="e">
        <f>'Volume and Speed'!O182</f>
        <v>#DIV/0!</v>
      </c>
      <c r="Q41" s="552" t="e">
        <f>'Volume and Speed'!P182</f>
        <v>#DIV/0!</v>
      </c>
      <c r="R41" s="552" t="e">
        <f>'Volume and Speed'!Q182</f>
        <v>#DIV/0!</v>
      </c>
      <c r="S41" s="552" t="e">
        <f>'Volume and Speed'!R182</f>
        <v>#DIV/0!</v>
      </c>
      <c r="T41" s="552" t="e">
        <f>'Volume and Speed'!S182</f>
        <v>#DIV/0!</v>
      </c>
      <c r="U41" s="552" t="e">
        <f>'Volume and Speed'!T182</f>
        <v>#DIV/0!</v>
      </c>
      <c r="V41" s="552" t="e">
        <f>'Volume and Speed'!U182</f>
        <v>#DIV/0!</v>
      </c>
      <c r="W41" s="552" t="e">
        <f>'Volume and Speed'!V182</f>
        <v>#DIV/0!</v>
      </c>
      <c r="X41" s="552" t="e">
        <f>'Volume and Speed'!W182</f>
        <v>#DIV/0!</v>
      </c>
      <c r="Y41" s="552" t="e">
        <f>'Volume and Speed'!X182</f>
        <v>#DIV/0!</v>
      </c>
      <c r="Z41" s="552" t="e">
        <f>'Volume and Speed'!Y182</f>
        <v>#DIV/0!</v>
      </c>
      <c r="AA41" s="552" t="e">
        <f>'Volume and Speed'!Z182</f>
        <v>#DIV/0!</v>
      </c>
      <c r="AB41" s="552" t="e">
        <f>'Volume and Speed'!AA182</f>
        <v>#DIV/0!</v>
      </c>
      <c r="AC41" s="552" t="e">
        <f>'Volume and Speed'!AB182</f>
        <v>#DIV/0!</v>
      </c>
      <c r="AD41" s="552" t="e">
        <f>'Volume and Speed'!AC182</f>
        <v>#DIV/0!</v>
      </c>
      <c r="AE41" s="552" t="e">
        <f>'Volume and Speed'!AD182</f>
        <v>#DIV/0!</v>
      </c>
      <c r="AF41" s="552" t="e">
        <f>'Volume and Speed'!AE182</f>
        <v>#DIV/0!</v>
      </c>
      <c r="AG41" s="552" t="e">
        <f>'Volume and Speed'!AF182</f>
        <v>#DIV/0!</v>
      </c>
      <c r="AH41" s="727" t="e">
        <f>'Volume and Speed'!AG182</f>
        <v>#DIV/0!</v>
      </c>
      <c r="AI41" s="18"/>
      <c r="AJ41" s="18"/>
      <c r="AK41" s="18"/>
      <c r="AL41" s="18"/>
      <c r="AM41" s="18"/>
      <c r="AN41" s="18"/>
    </row>
    <row r="42" spans="2:40" ht="21.9" customHeight="1" x14ac:dyDescent="0.25">
      <c r="B42" s="229"/>
      <c r="C42" s="690"/>
      <c r="D42" s="690"/>
      <c r="E42" s="273" t="s">
        <v>333</v>
      </c>
      <c r="F42" s="273" t="s">
        <v>319</v>
      </c>
      <c r="G42" s="273" t="s">
        <v>308</v>
      </c>
      <c r="H42" s="568" t="s">
        <v>23</v>
      </c>
      <c r="I42" s="568">
        <f>'Volume and Speed'!H183</f>
        <v>38197.078466007326</v>
      </c>
      <c r="J42" s="568">
        <f>'Volume and Speed'!I183</f>
        <v>38787.701676608493</v>
      </c>
      <c r="K42" s="568">
        <f>'Volume and Speed'!J183</f>
        <v>39758.239466186773</v>
      </c>
      <c r="L42" s="568">
        <f>'Volume and Speed'!K183</f>
        <v>43058.272499378974</v>
      </c>
      <c r="M42" s="568">
        <f>'Volume and Speed'!L183</f>
        <v>46362.671092908626</v>
      </c>
      <c r="N42" s="568">
        <f>'Volume and Speed'!M183</f>
        <v>49678.533147442737</v>
      </c>
      <c r="O42" s="568">
        <f>'Volume and Speed'!N183</f>
        <v>53004.232813576353</v>
      </c>
      <c r="P42" s="568">
        <f>'Volume and Speed'!O183</f>
        <v>56358.785966977055</v>
      </c>
      <c r="Q42" s="568">
        <f>'Volume and Speed'!P183</f>
        <v>60391.161751330976</v>
      </c>
      <c r="R42" s="568">
        <f>'Volume and Speed'!Q183</f>
        <v>64534.08935172543</v>
      </c>
      <c r="S42" s="568">
        <f>'Volume and Speed'!R183</f>
        <v>68874.982277832503</v>
      </c>
      <c r="T42" s="568">
        <f>'Volume and Speed'!S183</f>
        <v>73547.775421747909</v>
      </c>
      <c r="U42" s="568">
        <f>'Volume and Speed'!T183</f>
        <v>78778.263897458717</v>
      </c>
      <c r="V42" s="568">
        <f>'Volume and Speed'!U183</f>
        <v>81117.982310185049</v>
      </c>
      <c r="W42" s="568">
        <f>'Volume and Speed'!V183</f>
        <v>82033.802621573719</v>
      </c>
      <c r="X42" s="568">
        <f>'Volume and Speed'!W183</f>
        <v>82975.213750848823</v>
      </c>
      <c r="Y42" s="568">
        <f>'Volume and Speed'!X183</f>
        <v>83944.019801817427</v>
      </c>
      <c r="Z42" s="568">
        <f>'Volume and Speed'!Y183</f>
        <v>84944.133466263709</v>
      </c>
      <c r="AA42" s="568">
        <f>'Volume and Speed'!Z183</f>
        <v>85973.63805769688</v>
      </c>
      <c r="AB42" s="568">
        <f>'Volume and Speed'!AA183</f>
        <v>87038.763738324546</v>
      </c>
      <c r="AC42" s="568">
        <f>'Volume and Speed'!AB183</f>
        <v>88137.591777313864</v>
      </c>
      <c r="AD42" s="568">
        <f>'Volume and Speed'!AC183</f>
        <v>89274.6077211136</v>
      </c>
      <c r="AE42" s="568">
        <f>'Volume and Speed'!AD183</f>
        <v>90454.744150680301</v>
      </c>
      <c r="AF42" s="568">
        <f>'Volume and Speed'!AE183</f>
        <v>91676.062382647899</v>
      </c>
      <c r="AG42" s="568">
        <f>'Volume and Speed'!AF183</f>
        <v>92943.723206527065</v>
      </c>
      <c r="AH42" s="730">
        <f>'Volume and Speed'!AG183</f>
        <v>94263.422506250587</v>
      </c>
      <c r="AI42" s="18"/>
      <c r="AJ42" s="18"/>
      <c r="AK42" s="18"/>
      <c r="AL42" s="18"/>
      <c r="AM42" s="18"/>
      <c r="AN42" s="18"/>
    </row>
    <row r="43" spans="2:40" ht="21.9" customHeight="1" x14ac:dyDescent="0.25">
      <c r="B43" s="229"/>
      <c r="C43" s="690"/>
      <c r="D43" s="690"/>
      <c r="E43" s="114" t="s">
        <v>319</v>
      </c>
      <c r="F43" s="114" t="s">
        <v>276</v>
      </c>
      <c r="G43" s="114" t="s">
        <v>333</v>
      </c>
      <c r="H43" s="552" t="s">
        <v>23</v>
      </c>
      <c r="I43" s="552">
        <f>'Volume and Speed'!H184</f>
        <v>78280.009329269713</v>
      </c>
      <c r="J43" s="552">
        <f>'Volume and Speed'!I184</f>
        <v>81190.853510209563</v>
      </c>
      <c r="K43" s="552">
        <f>'Volume and Speed'!J184</f>
        <v>84289.414333601148</v>
      </c>
      <c r="L43" s="552">
        <f>'Volume and Speed'!K184</f>
        <v>91163.430144710408</v>
      </c>
      <c r="M43" s="552">
        <f>'Volume and Speed'!L184</f>
        <v>98039.183511947311</v>
      </c>
      <c r="N43" s="552">
        <f>'Volume and Speed'!M184</f>
        <v>104918.72384701518</v>
      </c>
      <c r="O43" s="552">
        <f>'Volume and Speed'!N184</f>
        <v>111792.83860394906</v>
      </c>
      <c r="P43" s="552">
        <f>'Volume and Speed'!O184</f>
        <v>118673.07656608545</v>
      </c>
      <c r="Q43" s="552">
        <f>'Volume and Speed'!P184</f>
        <v>127923.19707694344</v>
      </c>
      <c r="R43" s="552">
        <f>'Volume and Speed'!Q184</f>
        <v>137174.29505765002</v>
      </c>
      <c r="S43" s="552">
        <f>'Volume and Speed'!R184</f>
        <v>146426.09564143448</v>
      </c>
      <c r="T43" s="552">
        <f>'Volume and Speed'!S184</f>
        <v>155679.85803830452</v>
      </c>
      <c r="U43" s="552">
        <f>'Volume and Speed'!T184</f>
        <v>164945.63598670904</v>
      </c>
      <c r="V43" s="552">
        <f>'Volume and Speed'!U184</f>
        <v>170422.42959602139</v>
      </c>
      <c r="W43" s="552">
        <f>'Volume and Speed'!V184</f>
        <v>173338.01113856389</v>
      </c>
      <c r="X43" s="552">
        <f>'Volume and Speed'!W184</f>
        <v>176254.45924532952</v>
      </c>
      <c r="Y43" s="552">
        <f>'Volume and Speed'!X184</f>
        <v>179171.91405326826</v>
      </c>
      <c r="Z43" s="552">
        <f>'Volume and Speed'!Y184</f>
        <v>182092.10556914788</v>
      </c>
      <c r="AA43" s="552">
        <f>'Volume and Speed'!Z184</f>
        <v>185012.07637403641</v>
      </c>
      <c r="AB43" s="552">
        <f>'Volume and Speed'!AA184</f>
        <v>187935.17463816286</v>
      </c>
      <c r="AC43" s="552">
        <f>'Volume and Speed'!AB184</f>
        <v>190858.49243962837</v>
      </c>
      <c r="AD43" s="552">
        <f>'Volume and Speed'!AC184</f>
        <v>193783.86631654477</v>
      </c>
      <c r="AE43" s="552">
        <f>'Volume and Speed'!AD184</f>
        <v>196713.17174540175</v>
      </c>
      <c r="AF43" s="552">
        <f>'Volume and Speed'!AE184</f>
        <v>199643.59794563675</v>
      </c>
      <c r="AG43" s="552">
        <f>'Volume and Speed'!AF184</f>
        <v>202577.09992577104</v>
      </c>
      <c r="AH43" s="727">
        <f>'Volume and Speed'!AG184</f>
        <v>205515.68652155064</v>
      </c>
      <c r="AI43" s="18"/>
      <c r="AJ43" s="18"/>
      <c r="AK43" s="18"/>
      <c r="AL43" s="18"/>
      <c r="AM43" s="18"/>
      <c r="AN43" s="18"/>
    </row>
    <row r="44" spans="2:40" ht="21.9" customHeight="1" x14ac:dyDescent="0.25">
      <c r="B44" s="229"/>
      <c r="C44" s="690"/>
      <c r="D44" s="690"/>
      <c r="E44" s="114"/>
      <c r="F44" s="114" t="s">
        <v>333</v>
      </c>
      <c r="G44" s="114" t="s">
        <v>323</v>
      </c>
      <c r="H44" s="552" t="s">
        <v>23</v>
      </c>
      <c r="I44" s="552">
        <f>'Volume and Speed'!H185</f>
        <v>11400.437782222565</v>
      </c>
      <c r="J44" s="552">
        <f>'Volume and Speed'!I185</f>
        <v>11806.128378996213</v>
      </c>
      <c r="K44" s="552">
        <f>'Volume and Speed'!J185</f>
        <v>12247.640362110924</v>
      </c>
      <c r="L44" s="552">
        <f>'Volume and Speed'!K185</f>
        <v>13091.767873076355</v>
      </c>
      <c r="M44" s="552">
        <f>'Volume and Speed'!L185</f>
        <v>13936.225486271333</v>
      </c>
      <c r="N44" s="552">
        <f>'Volume and Speed'!M185</f>
        <v>14780.803260826724</v>
      </c>
      <c r="O44" s="552">
        <f>'Volume and Speed'!N185</f>
        <v>15624.931283193164</v>
      </c>
      <c r="P44" s="552">
        <f>'Volume and Speed'!O185</f>
        <v>16469.764770078036</v>
      </c>
      <c r="Q44" s="552">
        <f>'Volume and Speed'!P185</f>
        <v>17628.861928601709</v>
      </c>
      <c r="R44" s="552">
        <f>'Volume and Speed'!Q185</f>
        <v>18788.186554666616</v>
      </c>
      <c r="S44" s="552">
        <f>'Volume and Speed'!R185</f>
        <v>19947.140510292887</v>
      </c>
      <c r="T44" s="552">
        <f>'Volume and Speed'!S185</f>
        <v>21106.251902296699</v>
      </c>
      <c r="U44" s="552">
        <f>'Volume and Speed'!T185</f>
        <v>22266.275683845386</v>
      </c>
      <c r="V44" s="552">
        <f>'Volume and Speed'!U185</f>
        <v>23022.258880295725</v>
      </c>
      <c r="W44" s="552">
        <f>'Volume and Speed'!V185</f>
        <v>23427.969563151717</v>
      </c>
      <c r="X44" s="552">
        <f>'Volume and Speed'!W185</f>
        <v>23833.684046212758</v>
      </c>
      <c r="Y44" s="552">
        <f>'Volume and Speed'!X185</f>
        <v>24239.402964396966</v>
      </c>
      <c r="Z44" s="552">
        <f>'Volume and Speed'!Y185</f>
        <v>24645.277064200309</v>
      </c>
      <c r="AA44" s="552">
        <f>'Volume and Speed'!Z185</f>
        <v>25051.007141048562</v>
      </c>
      <c r="AB44" s="552">
        <f>'Volume and Speed'!AA185</f>
        <v>25456.894184896628</v>
      </c>
      <c r="AC44" s="552">
        <f>'Volume and Speed'!AB185</f>
        <v>25862.639229839548</v>
      </c>
      <c r="AD44" s="552">
        <f>'Volume and Speed'!AC185</f>
        <v>26268.393523855757</v>
      </c>
      <c r="AE44" s="552">
        <f>'Volume and Speed'!AD185</f>
        <v>26674.308492651951</v>
      </c>
      <c r="AF44" s="552">
        <f>'Volume and Speed'!AE185</f>
        <v>27080.08564330318</v>
      </c>
      <c r="AG44" s="552">
        <f>'Volume and Speed'!AF185</f>
        <v>27485.87678359522</v>
      </c>
      <c r="AH44" s="727">
        <f>'Volume and Speed'!AG185</f>
        <v>27891.833968325656</v>
      </c>
      <c r="AI44" s="18"/>
      <c r="AJ44" s="18"/>
      <c r="AK44" s="18"/>
      <c r="AL44" s="18"/>
      <c r="AM44" s="18"/>
      <c r="AN44" s="18"/>
    </row>
    <row r="45" spans="2:40" ht="21.9" customHeight="1" x14ac:dyDescent="0.25">
      <c r="B45" s="229"/>
      <c r="C45" s="690"/>
      <c r="D45" s="690"/>
      <c r="E45" s="114"/>
      <c r="F45" s="114" t="s">
        <v>323</v>
      </c>
      <c r="G45" s="114" t="s">
        <v>322</v>
      </c>
      <c r="H45" s="552" t="s">
        <v>23</v>
      </c>
      <c r="I45" s="552">
        <f>'Volume and Speed'!H186</f>
        <v>3433.8483209342858</v>
      </c>
      <c r="J45" s="552">
        <f>'Volume and Speed'!I186</f>
        <v>3556.0436355247189</v>
      </c>
      <c r="K45" s="552">
        <f>'Volume and Speed'!J186</f>
        <v>3689.0284718334487</v>
      </c>
      <c r="L45" s="552">
        <f>'Volume and Speed'!K186</f>
        <v>3943.2824276163747</v>
      </c>
      <c r="M45" s="552">
        <f>'Volume and Speed'!L186</f>
        <v>4197.6358576581533</v>
      </c>
      <c r="N45" s="552">
        <f>'Volume and Speed'!M186</f>
        <v>4452.0255619205445</v>
      </c>
      <c r="O45" s="552">
        <f>'Volume and Speed'!N186</f>
        <v>4706.279936765297</v>
      </c>
      <c r="P45" s="552">
        <f>'Volume and Speed'!O186</f>
        <v>4960.7470264788089</v>
      </c>
      <c r="Q45" s="552">
        <f>'Volume and Speed'!P186</f>
        <v>5309.8721703291685</v>
      </c>
      <c r="R45" s="552">
        <f>'Volume and Speed'!Q186</f>
        <v>5659.0671024203148</v>
      </c>
      <c r="S45" s="552">
        <f>'Volume and Speed'!R186</f>
        <v>6008.1526385856014</v>
      </c>
      <c r="T45" s="552">
        <f>'Volume and Speed'!S186</f>
        <v>6357.2894459015833</v>
      </c>
      <c r="U45" s="552">
        <f>'Volume and Speed'!T186</f>
        <v>6706.7074706583762</v>
      </c>
      <c r="V45" s="552">
        <f>'Volume and Speed'!U186</f>
        <v>6934.427142831888</v>
      </c>
      <c r="W45" s="552">
        <f>'Volume and Speed'!V186</f>
        <v>7056.6389167371663</v>
      </c>
      <c r="X45" s="552">
        <f>'Volume and Speed'!W186</f>
        <v>7178.8538046778394</v>
      </c>
      <c r="Y45" s="552">
        <f>'Volume and Speed'!X186</f>
        <v>7301.0723269304381</v>
      </c>
      <c r="Z45" s="552">
        <f>'Volume and Speed'!Y186</f>
        <v>7423.3402726972454</v>
      </c>
      <c r="AA45" s="552">
        <f>'Volume and Speed'!Z186</f>
        <v>7545.5679387919208</v>
      </c>
      <c r="AB45" s="552">
        <f>'Volume and Speed'!AA186</f>
        <v>7667.8464914109654</v>
      </c>
      <c r="AC45" s="552">
        <f>'Volume and Speed'!AB186</f>
        <v>7790.0864229428898</v>
      </c>
      <c r="AD45" s="552">
        <f>'Volume and Speed'!AC186</f>
        <v>7912.3339335241653</v>
      </c>
      <c r="AE45" s="552">
        <f>'Volume and Speed'!AD186</f>
        <v>8034.6353689286843</v>
      </c>
      <c r="AF45" s="552">
        <f>'Volume and Speed'!AE186</f>
        <v>8156.9016091231179</v>
      </c>
      <c r="AG45" s="552">
        <f>'Volume and Speed'!AF186</f>
        <v>8279.1793129717662</v>
      </c>
      <c r="AH45" s="727">
        <f>'Volume and Speed'!AG186</f>
        <v>8401.5153417500132</v>
      </c>
      <c r="AI45" s="18"/>
      <c r="AJ45" s="18"/>
      <c r="AK45" s="18"/>
      <c r="AL45" s="18"/>
      <c r="AM45" s="18"/>
      <c r="AN45" s="18"/>
    </row>
    <row r="46" spans="2:40" ht="21.9" customHeight="1" x14ac:dyDescent="0.25">
      <c r="B46" s="229"/>
      <c r="C46" s="690"/>
      <c r="D46" s="690"/>
      <c r="E46" s="114"/>
      <c r="F46" s="114" t="s">
        <v>322</v>
      </c>
      <c r="G46" s="114" t="s">
        <v>326</v>
      </c>
      <c r="H46" s="552" t="s">
        <v>23</v>
      </c>
      <c r="I46" s="552">
        <f>'Volume and Speed'!H187</f>
        <v>8810.531796712874</v>
      </c>
      <c r="J46" s="552">
        <f>'Volume and Speed'!I187</f>
        <v>9113.9518310066778</v>
      </c>
      <c r="K46" s="552">
        <f>'Volume and Speed'!J187</f>
        <v>9452.4671524416226</v>
      </c>
      <c r="L46" s="552">
        <f>'Volume and Speed'!K187</f>
        <v>10043.815378820018</v>
      </c>
      <c r="M46" s="552">
        <f>'Volume and Speed'!L187</f>
        <v>10635.516040047187</v>
      </c>
      <c r="N46" s="552">
        <f>'Volume and Speed'!M187</f>
        <v>11227.011144839924</v>
      </c>
      <c r="O46" s="552">
        <f>'Volume and Speed'!N187</f>
        <v>11818.359444201098</v>
      </c>
      <c r="P46" s="552">
        <f>'Volume and Speed'!O187</f>
        <v>12410.309855034069</v>
      </c>
      <c r="Q46" s="552">
        <f>'Volume and Speed'!P187</f>
        <v>13172.685501389058</v>
      </c>
      <c r="R46" s="552">
        <f>'Volume and Speed'!Q187</f>
        <v>13935.487248994046</v>
      </c>
      <c r="S46" s="552">
        <f>'Volume and Speed'!R187</f>
        <v>14697.71673957955</v>
      </c>
      <c r="T46" s="552">
        <f>'Volume and Speed'!S187</f>
        <v>15460.093762521028</v>
      </c>
      <c r="U46" s="552">
        <f>'Volume and Speed'!T187</f>
        <v>16223.117980148212</v>
      </c>
      <c r="V46" s="552">
        <f>'Volume and Speed'!U187</f>
        <v>16732.266679989007</v>
      </c>
      <c r="W46" s="552">
        <f>'Volume and Speed'!V187</f>
        <v>17035.688797979175</v>
      </c>
      <c r="X46" s="552">
        <f>'Volume and Speed'!W187</f>
        <v>17339.111322810615</v>
      </c>
      <c r="Y46" s="552">
        <f>'Volume and Speed'!X187</f>
        <v>17642.534324528846</v>
      </c>
      <c r="Z46" s="552">
        <f>'Volume and Speed'!Y187</f>
        <v>17946.134096546943</v>
      </c>
      <c r="AA46" s="552">
        <f>'Volume and Speed'!Z187</f>
        <v>18249.558305966853</v>
      </c>
      <c r="AB46" s="552">
        <f>'Volume and Speed'!AA187</f>
        <v>18553.159484858144</v>
      </c>
      <c r="AC46" s="552">
        <f>'Volume and Speed'!AB187</f>
        <v>18856.585327137323</v>
      </c>
      <c r="AD46" s="552">
        <f>'Volume and Speed'!AC187</f>
        <v>19160.012183827504</v>
      </c>
      <c r="AE46" s="552">
        <f>'Volume and Speed'!AD187</f>
        <v>19463.61642725009</v>
      </c>
      <c r="AF46" s="552">
        <f>'Volume and Speed'!AE187</f>
        <v>19767.045804755748</v>
      </c>
      <c r="AG46" s="552">
        <f>'Volume and Speed'!AF187</f>
        <v>20070.476732709874</v>
      </c>
      <c r="AH46" s="727">
        <f>'Volume and Speed'!AG187</f>
        <v>20374.085657424625</v>
      </c>
      <c r="AI46" s="18"/>
      <c r="AJ46" s="18"/>
      <c r="AK46" s="18"/>
      <c r="AL46" s="18"/>
      <c r="AM46" s="18"/>
      <c r="AN46" s="18"/>
    </row>
    <row r="47" spans="2:40" ht="21.9" customHeight="1" x14ac:dyDescent="0.25">
      <c r="B47" s="229"/>
      <c r="C47" s="690"/>
      <c r="D47" s="690"/>
      <c r="E47" s="114"/>
      <c r="F47" s="114" t="s">
        <v>326</v>
      </c>
      <c r="G47" s="114" t="s">
        <v>274</v>
      </c>
      <c r="H47" s="552" t="s">
        <v>23</v>
      </c>
      <c r="I47" s="552">
        <f>'Volume and Speed'!H188</f>
        <v>60064.136465598429</v>
      </c>
      <c r="J47" s="552">
        <f>'Volume and Speed'!I188</f>
        <v>62132.645227186324</v>
      </c>
      <c r="K47" s="552">
        <f>'Volume and Speed'!J188</f>
        <v>64440.409471085368</v>
      </c>
      <c r="L47" s="552">
        <f>'Volume and Speed'!K188</f>
        <v>68471.814244865018</v>
      </c>
      <c r="M47" s="552">
        <f>'Volume and Speed'!L188</f>
        <v>72505.621618125049</v>
      </c>
      <c r="N47" s="552">
        <f>'Volume and Speed'!M188</f>
        <v>76538.027551602223</v>
      </c>
      <c r="O47" s="552">
        <f>'Volume and Speed'!N188</f>
        <v>80569.432508266211</v>
      </c>
      <c r="P47" s="552">
        <f>'Volume and Speed'!O188</f>
        <v>84604.941994095308</v>
      </c>
      <c r="Q47" s="552">
        <f>'Volume and Speed'!P188</f>
        <v>89802.292549359641</v>
      </c>
      <c r="R47" s="552">
        <f>'Volume and Speed'!Q188</f>
        <v>95002.546853268796</v>
      </c>
      <c r="S47" s="552">
        <f>'Volume and Speed'!R188</f>
        <v>100198.89805967978</v>
      </c>
      <c r="T47" s="552">
        <f>'Volume and Speed'!S188</f>
        <v>105396.25206447215</v>
      </c>
      <c r="U47" s="552">
        <f>'Volume and Speed'!T188</f>
        <v>110598.01350153459</v>
      </c>
      <c r="V47" s="552">
        <f>'Volume and Speed'!U188</f>
        <v>114069.02673592247</v>
      </c>
      <c r="W47" s="552">
        <f>'Volume and Speed'!V188</f>
        <v>116137.5407189542</v>
      </c>
      <c r="X47" s="552">
        <f>'Volume and Speed'!W188</f>
        <v>118206.05572147173</v>
      </c>
      <c r="Y47" s="552">
        <f>'Volume and Speed'!X188</f>
        <v>120274.57191899909</v>
      </c>
      <c r="Z47" s="552">
        <f>'Volume and Speed'!Y188</f>
        <v>122344.29080169319</v>
      </c>
      <c r="AA47" s="552">
        <f>'Volume and Speed'!Z188</f>
        <v>124412.81002554749</v>
      </c>
      <c r="AB47" s="552">
        <f>'Volume and Speed'!AA188</f>
        <v>126482.53243366377</v>
      </c>
      <c r="AC47" s="552">
        <f>'Volume and Speed'!AB188</f>
        <v>128551.05574922892</v>
      </c>
      <c r="AD47" s="552">
        <f>'Volume and Speed'!AC188</f>
        <v>130619.58160676232</v>
      </c>
      <c r="AE47" s="552">
        <f>'Volume and Speed'!AD188</f>
        <v>132689.31169415393</v>
      </c>
      <c r="AF47" s="552">
        <f>'Volume and Speed'!AE188</f>
        <v>134757.84386848891</v>
      </c>
      <c r="AG47" s="552">
        <f>'Volume and Speed'!AF188</f>
        <v>136826.37992802507</v>
      </c>
      <c r="AH47" s="727">
        <f>'Volume and Speed'!AG188</f>
        <v>138896.1217460625</v>
      </c>
      <c r="AI47" s="18"/>
      <c r="AJ47" s="18"/>
      <c r="AK47" s="18"/>
      <c r="AL47" s="18"/>
      <c r="AM47" s="18"/>
      <c r="AN47" s="18"/>
    </row>
    <row r="48" spans="2:40" ht="21.9" customHeight="1" thickBot="1" x14ac:dyDescent="0.3">
      <c r="B48" s="229"/>
      <c r="C48" s="690"/>
      <c r="D48" s="690"/>
      <c r="E48" s="114"/>
      <c r="F48" s="114" t="s">
        <v>274</v>
      </c>
      <c r="G48" s="114" t="s">
        <v>317</v>
      </c>
      <c r="H48" s="552" t="s">
        <v>23</v>
      </c>
      <c r="I48" s="552">
        <f>'Volume and Speed'!H189</f>
        <v>1500.0830564292053</v>
      </c>
      <c r="J48" s="552">
        <f>'Volume and Speed'!I189</f>
        <v>1551.7437752912656</v>
      </c>
      <c r="K48" s="552">
        <f>'Volume and Speed'!J189</f>
        <v>1609.3800495227442</v>
      </c>
      <c r="L48" s="552">
        <f>'Volume and Speed'!K189</f>
        <v>1710.0648363691214</v>
      </c>
      <c r="M48" s="552">
        <f>'Volume and Speed'!L189</f>
        <v>1810.8110437986652</v>
      </c>
      <c r="N48" s="552">
        <f>'Volume and Speed'!M189</f>
        <v>1911.5246127112996</v>
      </c>
      <c r="O48" s="552">
        <f>'Volume and Speed'!N189</f>
        <v>2012.2170180552548</v>
      </c>
      <c r="P48" s="552">
        <f>'Volume and Speed'!O189</f>
        <v>2113.018032168542</v>
      </c>
      <c r="Q48" s="552">
        <f>'Volume and Speed'!P189</f>
        <v>2242.8546654303955</v>
      </c>
      <c r="R48" s="552">
        <f>'Volume and Speed'!Q189</f>
        <v>2372.7908265518699</v>
      </c>
      <c r="S48" s="552">
        <f>'Volume and Speed'!R189</f>
        <v>2502.6741129155048</v>
      </c>
      <c r="T48" s="552">
        <f>'Volume and Speed'!S189</f>
        <v>2632.6544447469569</v>
      </c>
      <c r="U48" s="552">
        <f>'Volume and Speed'!T189</f>
        <v>2762.8584629255365</v>
      </c>
      <c r="V48" s="552">
        <f>'Volume and Speed'!U189</f>
        <v>2849.8329880862361</v>
      </c>
      <c r="W48" s="552">
        <f>'Volume and Speed'!V189</f>
        <v>2901.7112190266398</v>
      </c>
      <c r="X48" s="552">
        <f>'Volume and Speed'!W189</f>
        <v>2953.6319191542279</v>
      </c>
      <c r="Y48" s="552">
        <f>'Volume and Speed'!X189</f>
        <v>3005.6024003527627</v>
      </c>
      <c r="Z48" s="552">
        <f>'Volume and Speed'!Y189</f>
        <v>3057.6613051908512</v>
      </c>
      <c r="AA48" s="552">
        <f>'Volume and Speed'!Z189</f>
        <v>3109.7578554788602</v>
      </c>
      <c r="AB48" s="552">
        <f>'Volume and Speed'!AA189</f>
        <v>3161.9636204442731</v>
      </c>
      <c r="AC48" s="552">
        <f>'Volume and Speed'!AB189</f>
        <v>3214.2306210040351</v>
      </c>
      <c r="AD48" s="552">
        <f>'Volume and Speed'!AC189</f>
        <v>3266.603513501359</v>
      </c>
      <c r="AE48" s="552">
        <f>'Volume and Speed'!AD189</f>
        <v>3319.1291775564114</v>
      </c>
      <c r="AF48" s="552">
        <f>'Volume and Speed'!AE189</f>
        <v>3371.7652119500112</v>
      </c>
      <c r="AG48" s="552">
        <f>'Volume and Speed'!AF189</f>
        <v>3424.5630939496477</v>
      </c>
      <c r="AH48" s="727">
        <f>'Volume and Speed'!AG189</f>
        <v>3477.577426893617</v>
      </c>
      <c r="AI48" s="18"/>
      <c r="AJ48" s="18"/>
      <c r="AK48" s="18"/>
      <c r="AL48" s="18"/>
      <c r="AM48" s="18"/>
      <c r="AN48" s="18"/>
    </row>
    <row r="49" spans="2:41" ht="21.9" customHeight="1" thickBot="1" x14ac:dyDescent="0.3">
      <c r="B49" s="465"/>
      <c r="C49" s="731"/>
      <c r="D49" s="731"/>
      <c r="E49" s="706"/>
      <c r="F49" s="706"/>
      <c r="G49" s="706"/>
      <c r="H49" s="732" t="s">
        <v>481</v>
      </c>
      <c r="I49" s="732">
        <f t="shared" ref="I49:AH49" si="0">SUM(I29:I40)+SUM(I42:I48)</f>
        <v>693970.63827823347</v>
      </c>
      <c r="J49" s="732">
        <f t="shared" si="0"/>
        <v>734103.67990457395</v>
      </c>
      <c r="K49" s="732">
        <f t="shared" si="0"/>
        <v>806547.42024517723</v>
      </c>
      <c r="L49" s="732">
        <f t="shared" si="0"/>
        <v>943798.96787216805</v>
      </c>
      <c r="M49" s="732">
        <f t="shared" si="0"/>
        <v>1089423.0629719442</v>
      </c>
      <c r="N49" s="732">
        <f t="shared" si="0"/>
        <v>1277126.6282238339</v>
      </c>
      <c r="O49" s="732">
        <f t="shared" si="0"/>
        <v>1640040.4574707113</v>
      </c>
      <c r="P49" s="732">
        <f t="shared" si="0"/>
        <v>1833757.3338774082</v>
      </c>
      <c r="Q49" s="732">
        <f t="shared" si="0"/>
        <v>2100197.7787528988</v>
      </c>
      <c r="R49" s="732">
        <f t="shared" si="0"/>
        <v>2390854.5401967471</v>
      </c>
      <c r="S49" s="732">
        <f t="shared" si="0"/>
        <v>2707015.3550143074</v>
      </c>
      <c r="T49" s="732">
        <f t="shared" si="0"/>
        <v>2937648.6139823869</v>
      </c>
      <c r="U49" s="732">
        <f t="shared" si="0"/>
        <v>3202163.4178140918</v>
      </c>
      <c r="V49" s="732">
        <f t="shared" si="0"/>
        <v>3341407.9651170517</v>
      </c>
      <c r="W49" s="732">
        <f t="shared" si="0"/>
        <v>3408097.9605191071</v>
      </c>
      <c r="X49" s="732">
        <f t="shared" si="0"/>
        <v>3472730.72670335</v>
      </c>
      <c r="Y49" s="732">
        <f t="shared" si="0"/>
        <v>3538434.3154254057</v>
      </c>
      <c r="Z49" s="732">
        <f t="shared" si="0"/>
        <v>3605461.5259222793</v>
      </c>
      <c r="AA49" s="732">
        <f t="shared" si="0"/>
        <v>3673941.2687543491</v>
      </c>
      <c r="AB49" s="732">
        <f t="shared" si="0"/>
        <v>3744230.9258733499</v>
      </c>
      <c r="AC49" s="732">
        <f t="shared" si="0"/>
        <v>3816549.8262579157</v>
      </c>
      <c r="AD49" s="732">
        <f t="shared" si="0"/>
        <v>3891279.3054631599</v>
      </c>
      <c r="AE49" s="732">
        <f t="shared" si="0"/>
        <v>3968890.788442051</v>
      </c>
      <c r="AF49" s="732">
        <f t="shared" si="0"/>
        <v>4049778.7604190614</v>
      </c>
      <c r="AG49" s="732">
        <f t="shared" si="0"/>
        <v>4134480.2102313545</v>
      </c>
      <c r="AH49" s="733">
        <f t="shared" si="0"/>
        <v>4223692.535990891</v>
      </c>
      <c r="AI49" s="18"/>
      <c r="AJ49" s="18"/>
      <c r="AK49" s="18"/>
      <c r="AL49" s="18"/>
      <c r="AM49" s="18"/>
      <c r="AN49" s="18"/>
    </row>
    <row r="50" spans="2:41" ht="21.9" customHeight="1" thickBot="1" x14ac:dyDescent="0.3">
      <c r="B50" s="9"/>
      <c r="C50" s="9"/>
      <c r="D50" s="9"/>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18"/>
      <c r="AJ50" s="18"/>
      <c r="AK50" s="18"/>
      <c r="AL50" s="18"/>
      <c r="AM50" s="18"/>
      <c r="AN50" s="18"/>
    </row>
    <row r="51" spans="2:41" s="7" customFormat="1" ht="21.9" customHeight="1" thickBot="1" x14ac:dyDescent="0.3">
      <c r="B51" s="231"/>
      <c r="C51" s="462" t="s">
        <v>2</v>
      </c>
      <c r="D51" s="462"/>
      <c r="E51" s="462" t="s">
        <v>312</v>
      </c>
      <c r="F51" s="1326" t="s">
        <v>18</v>
      </c>
      <c r="G51" s="1326"/>
      <c r="H51" s="462" t="s">
        <v>24</v>
      </c>
      <c r="I51" s="738">
        <v>2023</v>
      </c>
      <c r="J51" s="738">
        <v>2024</v>
      </c>
      <c r="K51" s="738">
        <v>2025</v>
      </c>
      <c r="L51" s="738">
        <v>2026</v>
      </c>
      <c r="M51" s="738">
        <v>2027</v>
      </c>
      <c r="N51" s="738">
        <v>2028</v>
      </c>
      <c r="O51" s="738">
        <v>2029</v>
      </c>
      <c r="P51" s="738">
        <v>2030</v>
      </c>
      <c r="Q51" s="738">
        <v>2031</v>
      </c>
      <c r="R51" s="738">
        <v>2032</v>
      </c>
      <c r="S51" s="738">
        <v>2033</v>
      </c>
      <c r="T51" s="738">
        <v>2034</v>
      </c>
      <c r="U51" s="738">
        <v>2035</v>
      </c>
      <c r="V51" s="738">
        <v>2036</v>
      </c>
      <c r="W51" s="738">
        <v>2037</v>
      </c>
      <c r="X51" s="738">
        <v>2038</v>
      </c>
      <c r="Y51" s="738">
        <v>2039</v>
      </c>
      <c r="Z51" s="738">
        <v>2040</v>
      </c>
      <c r="AA51" s="738">
        <v>2041</v>
      </c>
      <c r="AB51" s="738">
        <v>2042</v>
      </c>
      <c r="AC51" s="738">
        <v>2043</v>
      </c>
      <c r="AD51" s="738">
        <v>2044</v>
      </c>
      <c r="AE51" s="738">
        <v>2045</v>
      </c>
      <c r="AF51" s="738">
        <v>2046</v>
      </c>
      <c r="AG51" s="738">
        <v>2047</v>
      </c>
      <c r="AH51" s="737">
        <v>2048</v>
      </c>
      <c r="AI51" s="461"/>
      <c r="AJ51" s="461"/>
      <c r="AK51" s="461"/>
      <c r="AL51" s="461"/>
      <c r="AM51" s="461"/>
      <c r="AN51" s="461"/>
      <c r="AO51" s="461"/>
    </row>
    <row r="52" spans="2:41" ht="21.9" customHeight="1" x14ac:dyDescent="0.25">
      <c r="B52" s="196" t="s">
        <v>210</v>
      </c>
      <c r="C52" s="114" t="s">
        <v>156</v>
      </c>
      <c r="D52" s="237" t="s">
        <v>23</v>
      </c>
      <c r="E52" s="1327" t="s">
        <v>315</v>
      </c>
      <c r="F52" s="114" t="s">
        <v>316</v>
      </c>
      <c r="G52" s="114" t="s">
        <v>276</v>
      </c>
      <c r="H52" s="114" t="s">
        <v>20</v>
      </c>
      <c r="I52" s="552">
        <f t="shared" ref="I52:AH52" si="1">I29*$C$20</f>
        <v>1700.4212426444767</v>
      </c>
      <c r="J52" s="552">
        <f t="shared" si="1"/>
        <v>1778.6532073655335</v>
      </c>
      <c r="K52" s="552">
        <f t="shared" si="1"/>
        <v>1888.5105700190165</v>
      </c>
      <c r="L52" s="552">
        <f t="shared" si="1"/>
        <v>2049.6776541852241</v>
      </c>
      <c r="M52" s="552">
        <f t="shared" si="1"/>
        <v>2210.9213706611877</v>
      </c>
      <c r="N52" s="552">
        <f t="shared" si="1"/>
        <v>2372.2061502103215</v>
      </c>
      <c r="O52" s="552">
        <f t="shared" si="1"/>
        <v>2533.4941676439776</v>
      </c>
      <c r="P52" s="552">
        <f t="shared" si="1"/>
        <v>2695.0253523059459</v>
      </c>
      <c r="Q52" s="552">
        <f t="shared" si="1"/>
        <v>2854.8570439343675</v>
      </c>
      <c r="R52" s="552">
        <f t="shared" si="1"/>
        <v>3015.0639678925791</v>
      </c>
      <c r="S52" s="552">
        <f t="shared" si="1"/>
        <v>3175.7974659115612</v>
      </c>
      <c r="T52" s="552">
        <f t="shared" si="1"/>
        <v>3337.4177561852057</v>
      </c>
      <c r="U52" s="552">
        <f t="shared" si="1"/>
        <v>3500.5457262948539</v>
      </c>
      <c r="V52" s="552">
        <f t="shared" si="1"/>
        <v>3612.1468951694274</v>
      </c>
      <c r="W52" s="552">
        <f t="shared" si="1"/>
        <v>3693.7432184305944</v>
      </c>
      <c r="X52" s="552">
        <f t="shared" si="1"/>
        <v>3776.1372026494014</v>
      </c>
      <c r="Y52" s="552">
        <f t="shared" si="1"/>
        <v>3859.4951176563968</v>
      </c>
      <c r="Z52" s="552">
        <f t="shared" si="1"/>
        <v>3944.0480536891273</v>
      </c>
      <c r="AA52" s="552">
        <f t="shared" si="1"/>
        <v>4029.9583753882198</v>
      </c>
      <c r="AB52" s="552">
        <f t="shared" si="1"/>
        <v>4117.5676069208275</v>
      </c>
      <c r="AC52" s="552">
        <f t="shared" si="1"/>
        <v>4207.1217680610562</v>
      </c>
      <c r="AD52" s="552">
        <f t="shared" si="1"/>
        <v>4299.0262160447537</v>
      </c>
      <c r="AE52" s="552">
        <f t="shared" si="1"/>
        <v>4393.7504315219403</v>
      </c>
      <c r="AF52" s="552">
        <f t="shared" si="1"/>
        <v>4491.7163258151986</v>
      </c>
      <c r="AG52" s="552">
        <f t="shared" si="1"/>
        <v>4593.5388742378027</v>
      </c>
      <c r="AH52" s="727">
        <f t="shared" si="1"/>
        <v>4699.9279557183536</v>
      </c>
      <c r="AI52" s="18"/>
      <c r="AJ52" s="18"/>
      <c r="AK52" s="18"/>
      <c r="AL52" s="18"/>
      <c r="AM52" s="18"/>
      <c r="AN52" s="18"/>
    </row>
    <row r="53" spans="2:41" ht="21.9" customHeight="1" x14ac:dyDescent="0.25">
      <c r="B53" s="463" t="s">
        <v>185</v>
      </c>
      <c r="C53" s="114"/>
      <c r="D53" s="237"/>
      <c r="E53" s="1327"/>
      <c r="F53" s="114"/>
      <c r="G53" s="114"/>
      <c r="H53" s="122" t="s">
        <v>19</v>
      </c>
      <c r="I53" s="552">
        <f t="shared" ref="I53:AH53" si="2">I29*$C$21</f>
        <v>6028.7662239213269</v>
      </c>
      <c r="J53" s="552">
        <f t="shared" si="2"/>
        <v>6306.1340988414368</v>
      </c>
      <c r="K53" s="552">
        <f t="shared" si="2"/>
        <v>6695.6283846128772</v>
      </c>
      <c r="L53" s="552">
        <f t="shared" si="2"/>
        <v>7267.0389557476128</v>
      </c>
      <c r="M53" s="552">
        <f t="shared" si="2"/>
        <v>7838.7212232533029</v>
      </c>
      <c r="N53" s="552">
        <f t="shared" si="2"/>
        <v>8410.5490780184136</v>
      </c>
      <c r="O53" s="552">
        <f t="shared" si="2"/>
        <v>8982.3884125559198</v>
      </c>
      <c r="P53" s="552">
        <f t="shared" si="2"/>
        <v>9555.0898854483548</v>
      </c>
      <c r="Q53" s="552">
        <f t="shared" si="2"/>
        <v>10121.765883040031</v>
      </c>
      <c r="R53" s="552">
        <f t="shared" si="2"/>
        <v>10689.772249800963</v>
      </c>
      <c r="S53" s="552">
        <f t="shared" si="2"/>
        <v>11259.645560959172</v>
      </c>
      <c r="T53" s="552">
        <f t="shared" si="2"/>
        <v>11832.662953747549</v>
      </c>
      <c r="U53" s="552">
        <f t="shared" si="2"/>
        <v>12411.025756863573</v>
      </c>
      <c r="V53" s="552">
        <f t="shared" si="2"/>
        <v>12806.70262832797</v>
      </c>
      <c r="W53" s="552">
        <f t="shared" si="2"/>
        <v>13095.998683526654</v>
      </c>
      <c r="X53" s="552">
        <f t="shared" si="2"/>
        <v>13388.122809393333</v>
      </c>
      <c r="Y53" s="552">
        <f t="shared" si="2"/>
        <v>13683.664508054499</v>
      </c>
      <c r="Z53" s="552">
        <f t="shared" si="2"/>
        <v>13983.44309944327</v>
      </c>
      <c r="AA53" s="552">
        <f t="shared" si="2"/>
        <v>14288.034240012779</v>
      </c>
      <c r="AB53" s="552">
        <f t="shared" si="2"/>
        <v>14598.648788173843</v>
      </c>
      <c r="AC53" s="552">
        <f t="shared" si="2"/>
        <v>14916.158995852837</v>
      </c>
      <c r="AD53" s="552">
        <f t="shared" si="2"/>
        <v>15242.00203870413</v>
      </c>
      <c r="AE53" s="552">
        <f t="shared" si="2"/>
        <v>15577.842439032336</v>
      </c>
      <c r="AF53" s="552">
        <f t="shared" si="2"/>
        <v>15925.176064253885</v>
      </c>
      <c r="AG53" s="552">
        <f t="shared" si="2"/>
        <v>16286.183281388574</v>
      </c>
      <c r="AH53" s="727">
        <f t="shared" si="2"/>
        <v>16663.380933910525</v>
      </c>
      <c r="AI53" s="18"/>
      <c r="AJ53" s="18"/>
      <c r="AK53" s="18"/>
      <c r="AL53" s="18"/>
      <c r="AM53" s="18"/>
      <c r="AN53" s="18"/>
    </row>
    <row r="54" spans="2:41" ht="21.9" customHeight="1" x14ac:dyDescent="0.25">
      <c r="B54" s="196"/>
      <c r="C54" s="114"/>
      <c r="D54" s="237"/>
      <c r="E54" s="1327"/>
      <c r="F54" s="114"/>
      <c r="G54" s="114"/>
      <c r="H54" s="695" t="s">
        <v>25</v>
      </c>
      <c r="I54" s="552">
        <f t="shared" ref="I54:AH54" si="3">SUM(I52:I53)</f>
        <v>7729.1874665658033</v>
      </c>
      <c r="J54" s="552">
        <f t="shared" si="3"/>
        <v>8084.7873062069702</v>
      </c>
      <c r="K54" s="552">
        <f t="shared" si="3"/>
        <v>8584.1389546318933</v>
      </c>
      <c r="L54" s="552">
        <f t="shared" si="3"/>
        <v>9316.7166099328369</v>
      </c>
      <c r="M54" s="552">
        <f t="shared" si="3"/>
        <v>10049.64259391449</v>
      </c>
      <c r="N54" s="552">
        <f t="shared" si="3"/>
        <v>10782.755228228736</v>
      </c>
      <c r="O54" s="552">
        <f t="shared" si="3"/>
        <v>11515.882580199897</v>
      </c>
      <c r="P54" s="552">
        <f t="shared" si="3"/>
        <v>12250.1152377543</v>
      </c>
      <c r="Q54" s="552">
        <f t="shared" si="3"/>
        <v>12976.622926974398</v>
      </c>
      <c r="R54" s="552">
        <f t="shared" si="3"/>
        <v>13704.836217693541</v>
      </c>
      <c r="S54" s="552">
        <f t="shared" si="3"/>
        <v>14435.443026870733</v>
      </c>
      <c r="T54" s="552">
        <f t="shared" si="3"/>
        <v>15170.080709932754</v>
      </c>
      <c r="U54" s="552">
        <f t="shared" si="3"/>
        <v>15911.571483158426</v>
      </c>
      <c r="V54" s="552">
        <f t="shared" si="3"/>
        <v>16418.849523497396</v>
      </c>
      <c r="W54" s="552">
        <f t="shared" si="3"/>
        <v>16789.741901957248</v>
      </c>
      <c r="X54" s="552">
        <f t="shared" si="3"/>
        <v>17164.260012042734</v>
      </c>
      <c r="Y54" s="552">
        <f t="shared" si="3"/>
        <v>17543.159625710894</v>
      </c>
      <c r="Z54" s="552">
        <f t="shared" si="3"/>
        <v>17927.491153132396</v>
      </c>
      <c r="AA54" s="552">
        <f t="shared" si="3"/>
        <v>18317.992615400999</v>
      </c>
      <c r="AB54" s="552">
        <f t="shared" si="3"/>
        <v>18716.216395094671</v>
      </c>
      <c r="AC54" s="552">
        <f t="shared" si="3"/>
        <v>19123.280763913892</v>
      </c>
      <c r="AD54" s="552">
        <f t="shared" si="3"/>
        <v>19541.028254748882</v>
      </c>
      <c r="AE54" s="552">
        <f t="shared" si="3"/>
        <v>19971.592870554276</v>
      </c>
      <c r="AF54" s="552">
        <f t="shared" si="3"/>
        <v>20416.892390069082</v>
      </c>
      <c r="AG54" s="552">
        <f t="shared" si="3"/>
        <v>20879.722155626376</v>
      </c>
      <c r="AH54" s="727">
        <f t="shared" si="3"/>
        <v>21363.308889628879</v>
      </c>
      <c r="AI54" s="18"/>
      <c r="AJ54" s="18"/>
      <c r="AK54" s="18"/>
      <c r="AL54" s="18"/>
      <c r="AM54" s="18"/>
      <c r="AN54" s="18"/>
    </row>
    <row r="55" spans="2:41" ht="21.9" customHeight="1" x14ac:dyDescent="0.25">
      <c r="B55" s="194"/>
      <c r="C55" s="690"/>
      <c r="D55" s="690"/>
      <c r="E55" s="1327"/>
      <c r="F55" s="114" t="s">
        <v>276</v>
      </c>
      <c r="G55" s="114" t="s">
        <v>274</v>
      </c>
      <c r="H55" s="114" t="s">
        <v>20</v>
      </c>
      <c r="I55" s="552">
        <f t="shared" ref="I55:AH55" si="4">I30*$C$20</f>
        <v>54677.558406391247</v>
      </c>
      <c r="J55" s="552">
        <f t="shared" si="4"/>
        <v>57706.507261767933</v>
      </c>
      <c r="K55" s="552">
        <f t="shared" si="4"/>
        <v>61219.065004867691</v>
      </c>
      <c r="L55" s="552">
        <f t="shared" si="4"/>
        <v>67773.420445266951</v>
      </c>
      <c r="M55" s="552">
        <f t="shared" si="4"/>
        <v>74330.429989115233</v>
      </c>
      <c r="N55" s="552">
        <f t="shared" si="4"/>
        <v>80889.164294531976</v>
      </c>
      <c r="O55" s="552">
        <f t="shared" si="4"/>
        <v>87445.334985503025</v>
      </c>
      <c r="P55" s="552">
        <f t="shared" si="4"/>
        <v>94009.95811879744</v>
      </c>
      <c r="Q55" s="552">
        <f t="shared" si="4"/>
        <v>101797.23601646027</v>
      </c>
      <c r="R55" s="552">
        <f t="shared" si="4"/>
        <v>109598.74164640588</v>
      </c>
      <c r="S55" s="552">
        <f t="shared" si="4"/>
        <v>117421.17230738516</v>
      </c>
      <c r="T55" s="552">
        <f t="shared" si="4"/>
        <v>125286.36588563808</v>
      </c>
      <c r="U55" s="552">
        <f t="shared" si="4"/>
        <v>133235.42329979717</v>
      </c>
      <c r="V55" s="552">
        <f t="shared" si="4"/>
        <v>138125.86166994754</v>
      </c>
      <c r="W55" s="552">
        <f t="shared" si="4"/>
        <v>141289.65972479476</v>
      </c>
      <c r="X55" s="552">
        <f t="shared" si="4"/>
        <v>144485.85205111379</v>
      </c>
      <c r="Y55" s="552">
        <f t="shared" si="4"/>
        <v>147721.28212565181</v>
      </c>
      <c r="Z55" s="552">
        <f t="shared" si="4"/>
        <v>151006.26136638591</v>
      </c>
      <c r="AA55" s="552">
        <f t="shared" si="4"/>
        <v>154345.958026821</v>
      </c>
      <c r="AB55" s="552">
        <f t="shared" si="4"/>
        <v>157756.08391086481</v>
      </c>
      <c r="AC55" s="552">
        <f t="shared" si="4"/>
        <v>161245.24881160873</v>
      </c>
      <c r="AD55" s="552">
        <f t="shared" si="4"/>
        <v>164831.07993007978</v>
      </c>
      <c r="AE55" s="552">
        <f t="shared" si="4"/>
        <v>168533.99895507385</v>
      </c>
      <c r="AF55" s="552">
        <f t="shared" si="4"/>
        <v>172369.86495394964</v>
      </c>
      <c r="AG55" s="552">
        <f t="shared" si="4"/>
        <v>176365.1981649645</v>
      </c>
      <c r="AH55" s="727">
        <f t="shared" si="4"/>
        <v>180550.68806185378</v>
      </c>
      <c r="AI55" s="18"/>
      <c r="AJ55" s="18"/>
      <c r="AK55" s="18"/>
      <c r="AL55" s="18"/>
      <c r="AM55" s="18"/>
      <c r="AN55" s="18"/>
    </row>
    <row r="56" spans="2:41" ht="21.9" customHeight="1" x14ac:dyDescent="0.25">
      <c r="B56" s="463"/>
      <c r="C56" s="690"/>
      <c r="D56" s="690"/>
      <c r="E56" s="1327"/>
      <c r="F56" s="114"/>
      <c r="G56" s="114"/>
      <c r="H56" s="122" t="s">
        <v>19</v>
      </c>
      <c r="I56" s="552">
        <f t="shared" ref="I56:AH56" si="5">I30*$C$21</f>
        <v>193856.79798629624</v>
      </c>
      <c r="J56" s="552">
        <f t="shared" si="5"/>
        <v>204595.79847354087</v>
      </c>
      <c r="K56" s="552">
        <f t="shared" si="5"/>
        <v>217049.41228998546</v>
      </c>
      <c r="L56" s="552">
        <f t="shared" si="5"/>
        <v>240287.58157867374</v>
      </c>
      <c r="M56" s="552">
        <f t="shared" si="5"/>
        <v>263535.1608704995</v>
      </c>
      <c r="N56" s="552">
        <f t="shared" si="5"/>
        <v>286788.85522606794</v>
      </c>
      <c r="O56" s="552">
        <f t="shared" si="5"/>
        <v>310033.4604031471</v>
      </c>
      <c r="P56" s="552">
        <f t="shared" si="5"/>
        <v>333308.03333028185</v>
      </c>
      <c r="Q56" s="552">
        <f t="shared" si="5"/>
        <v>360917.47314926825</v>
      </c>
      <c r="R56" s="552">
        <f t="shared" si="5"/>
        <v>388577.35674634814</v>
      </c>
      <c r="S56" s="552">
        <f t="shared" si="5"/>
        <v>416311.42908982013</v>
      </c>
      <c r="T56" s="552">
        <f t="shared" si="5"/>
        <v>444197.11541271687</v>
      </c>
      <c r="U56" s="552">
        <f t="shared" si="5"/>
        <v>472380.13715382636</v>
      </c>
      <c r="V56" s="552">
        <f t="shared" si="5"/>
        <v>489718.96410254133</v>
      </c>
      <c r="W56" s="552">
        <f t="shared" si="5"/>
        <v>500936.06629699963</v>
      </c>
      <c r="X56" s="552">
        <f t="shared" si="5"/>
        <v>512268.02090849431</v>
      </c>
      <c r="Y56" s="552">
        <f t="shared" si="5"/>
        <v>523739.09117276553</v>
      </c>
      <c r="Z56" s="552">
        <f t="shared" si="5"/>
        <v>535385.83575355005</v>
      </c>
      <c r="AA56" s="552">
        <f t="shared" si="5"/>
        <v>547226.57845872897</v>
      </c>
      <c r="AB56" s="552">
        <f t="shared" si="5"/>
        <v>559317.02477488434</v>
      </c>
      <c r="AC56" s="552">
        <f t="shared" si="5"/>
        <v>571687.70033206732</v>
      </c>
      <c r="AD56" s="552">
        <f t="shared" si="5"/>
        <v>584401.10157028283</v>
      </c>
      <c r="AE56" s="552">
        <f t="shared" si="5"/>
        <v>597529.63265889825</v>
      </c>
      <c r="AF56" s="552">
        <f t="shared" si="5"/>
        <v>611129.52120036702</v>
      </c>
      <c r="AG56" s="552">
        <f t="shared" si="5"/>
        <v>625294.79349396506</v>
      </c>
      <c r="AH56" s="727">
        <f t="shared" si="5"/>
        <v>640134.25767384528</v>
      </c>
      <c r="AI56" s="18"/>
      <c r="AJ56" s="18"/>
      <c r="AK56" s="18"/>
      <c r="AL56" s="18"/>
      <c r="AM56" s="18"/>
      <c r="AN56" s="18"/>
    </row>
    <row r="57" spans="2:41" ht="21.9" customHeight="1" x14ac:dyDescent="0.25">
      <c r="B57" s="463"/>
      <c r="C57" s="690"/>
      <c r="D57" s="690"/>
      <c r="E57" s="1327"/>
      <c r="F57" s="114"/>
      <c r="G57" s="114"/>
      <c r="H57" s="695" t="s">
        <v>25</v>
      </c>
      <c r="I57" s="552">
        <f t="shared" ref="I57:AH57" si="6">SUM(I55:I56)</f>
        <v>248534.35639268748</v>
      </c>
      <c r="J57" s="552">
        <f t="shared" si="6"/>
        <v>262302.30573530879</v>
      </c>
      <c r="K57" s="552">
        <f t="shared" si="6"/>
        <v>278268.47729485313</v>
      </c>
      <c r="L57" s="552">
        <f t="shared" si="6"/>
        <v>308061.00202394067</v>
      </c>
      <c r="M57" s="552">
        <f t="shared" si="6"/>
        <v>337865.59085961472</v>
      </c>
      <c r="N57" s="552">
        <f t="shared" si="6"/>
        <v>367678.01952059992</v>
      </c>
      <c r="O57" s="552">
        <f t="shared" si="6"/>
        <v>397478.79538865015</v>
      </c>
      <c r="P57" s="552">
        <f t="shared" si="6"/>
        <v>427317.9914490793</v>
      </c>
      <c r="Q57" s="552">
        <f t="shared" si="6"/>
        <v>462714.70916572853</v>
      </c>
      <c r="R57" s="552">
        <f t="shared" si="6"/>
        <v>498176.09839275404</v>
      </c>
      <c r="S57" s="552">
        <f t="shared" si="6"/>
        <v>533732.60139720526</v>
      </c>
      <c r="T57" s="552">
        <f t="shared" si="6"/>
        <v>569483.48129835492</v>
      </c>
      <c r="U57" s="552">
        <f t="shared" si="6"/>
        <v>605615.56045362353</v>
      </c>
      <c r="V57" s="552">
        <f t="shared" si="6"/>
        <v>627844.82577248884</v>
      </c>
      <c r="W57" s="552">
        <f t="shared" si="6"/>
        <v>642225.72602179437</v>
      </c>
      <c r="X57" s="552">
        <f t="shared" si="6"/>
        <v>656753.8729596081</v>
      </c>
      <c r="Y57" s="552">
        <f t="shared" si="6"/>
        <v>671460.37329841731</v>
      </c>
      <c r="Z57" s="552">
        <f t="shared" si="6"/>
        <v>686392.09711993602</v>
      </c>
      <c r="AA57" s="552">
        <f t="shared" si="6"/>
        <v>701572.53648554999</v>
      </c>
      <c r="AB57" s="552">
        <f t="shared" si="6"/>
        <v>717073.10868574912</v>
      </c>
      <c r="AC57" s="552">
        <f t="shared" si="6"/>
        <v>732932.94914367609</v>
      </c>
      <c r="AD57" s="552">
        <f t="shared" si="6"/>
        <v>749232.18150036258</v>
      </c>
      <c r="AE57" s="552">
        <f t="shared" si="6"/>
        <v>766063.63161397213</v>
      </c>
      <c r="AF57" s="552">
        <f t="shared" si="6"/>
        <v>783499.3861543166</v>
      </c>
      <c r="AG57" s="552">
        <f t="shared" si="6"/>
        <v>801659.9916589295</v>
      </c>
      <c r="AH57" s="727">
        <f t="shared" si="6"/>
        <v>820684.94573569903</v>
      </c>
      <c r="AI57" s="18"/>
      <c r="AJ57" s="18"/>
      <c r="AK57" s="18"/>
      <c r="AL57" s="18"/>
      <c r="AM57" s="18"/>
      <c r="AN57" s="18"/>
    </row>
    <row r="58" spans="2:41" ht="21.9" customHeight="1" x14ac:dyDescent="0.25">
      <c r="B58" s="463"/>
      <c r="C58" s="690"/>
      <c r="D58" s="690"/>
      <c r="E58" s="1327"/>
      <c r="F58" s="114" t="s">
        <v>274</v>
      </c>
      <c r="G58" s="114" t="s">
        <v>317</v>
      </c>
      <c r="H58" s="114" t="s">
        <v>20</v>
      </c>
      <c r="I58" s="552">
        <f t="shared" ref="I58:AH58" si="7">I31*$C$20</f>
        <v>1275.3135971183387</v>
      </c>
      <c r="J58" s="552">
        <f t="shared" si="7"/>
        <v>1328.5686407774845</v>
      </c>
      <c r="K58" s="552">
        <f t="shared" si="7"/>
        <v>1394.4812450225904</v>
      </c>
      <c r="L58" s="552">
        <f t="shared" si="7"/>
        <v>1483.2221679514394</v>
      </c>
      <c r="M58" s="552">
        <f t="shared" si="7"/>
        <v>1571.9952691642604</v>
      </c>
      <c r="N58" s="552">
        <f t="shared" si="7"/>
        <v>1660.7582397871206</v>
      </c>
      <c r="O58" s="552">
        <f t="shared" si="7"/>
        <v>1749.5007679083753</v>
      </c>
      <c r="P58" s="552">
        <f t="shared" si="7"/>
        <v>1838.3083612190908</v>
      </c>
      <c r="Q58" s="552">
        <f t="shared" si="7"/>
        <v>1924.3545952667914</v>
      </c>
      <c r="R58" s="552">
        <f t="shared" si="7"/>
        <v>2010.4355786130086</v>
      </c>
      <c r="S58" s="552">
        <f t="shared" si="7"/>
        <v>2096.488917046308</v>
      </c>
      <c r="T58" s="552">
        <f t="shared" si="7"/>
        <v>2182.5484329747615</v>
      </c>
      <c r="U58" s="552">
        <f t="shared" si="7"/>
        <v>2268.6806040405345</v>
      </c>
      <c r="V58" s="552">
        <f t="shared" si="7"/>
        <v>2331.8894984916137</v>
      </c>
      <c r="W58" s="552">
        <f t="shared" si="7"/>
        <v>2385.17445713095</v>
      </c>
      <c r="X58" s="552">
        <f t="shared" si="7"/>
        <v>2438.4669168699047</v>
      </c>
      <c r="Y58" s="552">
        <f t="shared" si="7"/>
        <v>2491.7685258971296</v>
      </c>
      <c r="Z58" s="552">
        <f t="shared" si="7"/>
        <v>2545.1025275322477</v>
      </c>
      <c r="AA58" s="552">
        <f t="shared" si="7"/>
        <v>2598.4286942828126</v>
      </c>
      <c r="AB58" s="552">
        <f t="shared" si="7"/>
        <v>2651.7923481744269</v>
      </c>
      <c r="AC58" s="552">
        <f t="shared" si="7"/>
        <v>2705.1541526186197</v>
      </c>
      <c r="AD58" s="552">
        <f t="shared" si="7"/>
        <v>2758.5392017800896</v>
      </c>
      <c r="AE58" s="552">
        <f t="shared" si="7"/>
        <v>2811.9732766796378</v>
      </c>
      <c r="AF58" s="552">
        <f t="shared" si="7"/>
        <v>2865.4189434261702</v>
      </c>
      <c r="AG58" s="552">
        <f t="shared" si="7"/>
        <v>2918.9035658473194</v>
      </c>
      <c r="AH58" s="727">
        <f t="shared" si="7"/>
        <v>2972.4555407312023</v>
      </c>
      <c r="AI58" s="18"/>
      <c r="AJ58" s="18"/>
      <c r="AK58" s="18"/>
      <c r="AL58" s="18"/>
      <c r="AM58" s="18"/>
      <c r="AN58" s="18"/>
    </row>
    <row r="59" spans="2:41" ht="21.9" customHeight="1" x14ac:dyDescent="0.25">
      <c r="B59" s="463"/>
      <c r="C59" s="690"/>
      <c r="D59" s="690"/>
      <c r="E59" s="1327"/>
      <c r="F59" s="114"/>
      <c r="G59" s="114"/>
      <c r="H59" s="122" t="s">
        <v>19</v>
      </c>
      <c r="I59" s="552">
        <f t="shared" ref="I59:AH59" si="8">I31*$C$21</f>
        <v>4521.5663897832019</v>
      </c>
      <c r="J59" s="552">
        <f t="shared" si="8"/>
        <v>4710.3797263928991</v>
      </c>
      <c r="K59" s="552">
        <f t="shared" si="8"/>
        <v>4944.0698687164577</v>
      </c>
      <c r="L59" s="552">
        <f t="shared" si="8"/>
        <v>5258.6967772823755</v>
      </c>
      <c r="M59" s="552">
        <f t="shared" si="8"/>
        <v>5573.4377724914693</v>
      </c>
      <c r="N59" s="552">
        <f t="shared" si="8"/>
        <v>5888.1428501543369</v>
      </c>
      <c r="O59" s="552">
        <f t="shared" si="8"/>
        <v>6202.7754498569675</v>
      </c>
      <c r="P59" s="552">
        <f t="shared" si="8"/>
        <v>6517.6387352313222</v>
      </c>
      <c r="Q59" s="552">
        <f t="shared" si="8"/>
        <v>6822.7117468549886</v>
      </c>
      <c r="R59" s="552">
        <f t="shared" si="8"/>
        <v>7127.9079605370307</v>
      </c>
      <c r="S59" s="552">
        <f t="shared" si="8"/>
        <v>7433.0061604369102</v>
      </c>
      <c r="T59" s="552">
        <f t="shared" si="8"/>
        <v>7738.1262623650637</v>
      </c>
      <c r="U59" s="552">
        <f t="shared" si="8"/>
        <v>8043.5039597800769</v>
      </c>
      <c r="V59" s="552">
        <f t="shared" si="8"/>
        <v>8267.6082219248128</v>
      </c>
      <c r="W59" s="552">
        <f t="shared" si="8"/>
        <v>8456.5276207370043</v>
      </c>
      <c r="X59" s="552">
        <f t="shared" si="8"/>
        <v>8645.4736143569353</v>
      </c>
      <c r="Y59" s="552">
        <f t="shared" si="8"/>
        <v>8834.4520463625522</v>
      </c>
      <c r="Z59" s="552">
        <f t="shared" si="8"/>
        <v>9023.5453248870599</v>
      </c>
      <c r="AA59" s="552">
        <f t="shared" si="8"/>
        <v>9212.6108251845162</v>
      </c>
      <c r="AB59" s="552">
        <f t="shared" si="8"/>
        <v>9401.809234436605</v>
      </c>
      <c r="AC59" s="552">
        <f t="shared" si="8"/>
        <v>9591.0010865569257</v>
      </c>
      <c r="AD59" s="552">
        <f t="shared" si="8"/>
        <v>9780.2753517657729</v>
      </c>
      <c r="AE59" s="552">
        <f t="shared" si="8"/>
        <v>9969.7234355005348</v>
      </c>
      <c r="AF59" s="552">
        <f t="shared" si="8"/>
        <v>10159.212617601877</v>
      </c>
      <c r="AG59" s="552">
        <f t="shared" si="8"/>
        <v>10348.839915276862</v>
      </c>
      <c r="AH59" s="727">
        <f t="shared" si="8"/>
        <v>10538.706008046991</v>
      </c>
      <c r="AI59" s="18"/>
      <c r="AJ59" s="18"/>
      <c r="AK59" s="18"/>
      <c r="AL59" s="18"/>
      <c r="AM59" s="18"/>
      <c r="AN59" s="18"/>
    </row>
    <row r="60" spans="2:41" ht="21.9" customHeight="1" x14ac:dyDescent="0.25">
      <c r="B60" s="229"/>
      <c r="C60" s="690"/>
      <c r="D60" s="690"/>
      <c r="E60" s="1327"/>
      <c r="F60" s="114"/>
      <c r="G60" s="114"/>
      <c r="H60" s="696" t="s">
        <v>25</v>
      </c>
      <c r="I60" s="552">
        <f t="shared" ref="I60:AH60" si="9">SUM(I58:I59)</f>
        <v>5796.8799869015402</v>
      </c>
      <c r="J60" s="552">
        <f t="shared" si="9"/>
        <v>6038.9483671703838</v>
      </c>
      <c r="K60" s="552">
        <f t="shared" si="9"/>
        <v>6338.5511137390477</v>
      </c>
      <c r="L60" s="552">
        <f t="shared" si="9"/>
        <v>6741.9189452338151</v>
      </c>
      <c r="M60" s="552">
        <f t="shared" si="9"/>
        <v>7145.4330416557295</v>
      </c>
      <c r="N60" s="552">
        <f t="shared" si="9"/>
        <v>7548.901089941457</v>
      </c>
      <c r="O60" s="552">
        <f t="shared" si="9"/>
        <v>7952.2762177653431</v>
      </c>
      <c r="P60" s="552">
        <f t="shared" si="9"/>
        <v>8355.9470964504126</v>
      </c>
      <c r="Q60" s="552">
        <f t="shared" si="9"/>
        <v>8747.0663421217796</v>
      </c>
      <c r="R60" s="552">
        <f t="shared" si="9"/>
        <v>9138.3435391500389</v>
      </c>
      <c r="S60" s="552">
        <f t="shared" si="9"/>
        <v>9529.4950774832178</v>
      </c>
      <c r="T60" s="552">
        <f t="shared" si="9"/>
        <v>9920.6746953398251</v>
      </c>
      <c r="U60" s="552">
        <f t="shared" si="9"/>
        <v>10312.18456382061</v>
      </c>
      <c r="V60" s="552">
        <f t="shared" si="9"/>
        <v>10599.497720416426</v>
      </c>
      <c r="W60" s="552">
        <f t="shared" si="9"/>
        <v>10841.702077867954</v>
      </c>
      <c r="X60" s="552">
        <f t="shared" si="9"/>
        <v>11083.940531226839</v>
      </c>
      <c r="Y60" s="552">
        <f t="shared" si="9"/>
        <v>11326.220572259681</v>
      </c>
      <c r="Z60" s="552">
        <f t="shared" si="9"/>
        <v>11568.647852419308</v>
      </c>
      <c r="AA60" s="552">
        <f t="shared" si="9"/>
        <v>11811.039519467329</v>
      </c>
      <c r="AB60" s="552">
        <f t="shared" si="9"/>
        <v>12053.601582611032</v>
      </c>
      <c r="AC60" s="552">
        <f t="shared" si="9"/>
        <v>12296.155239175545</v>
      </c>
      <c r="AD60" s="552">
        <f t="shared" si="9"/>
        <v>12538.814553545863</v>
      </c>
      <c r="AE60" s="552">
        <f t="shared" si="9"/>
        <v>12781.696712180172</v>
      </c>
      <c r="AF60" s="552">
        <f t="shared" si="9"/>
        <v>13024.631561028047</v>
      </c>
      <c r="AG60" s="552">
        <f t="shared" si="9"/>
        <v>13267.74348112418</v>
      </c>
      <c r="AH60" s="727">
        <f t="shared" si="9"/>
        <v>13511.161548778193</v>
      </c>
      <c r="AI60" s="18"/>
      <c r="AJ60" s="18"/>
      <c r="AK60" s="18"/>
      <c r="AL60" s="18"/>
      <c r="AM60" s="18"/>
      <c r="AN60" s="18"/>
    </row>
    <row r="61" spans="2:41" ht="21.9" customHeight="1" x14ac:dyDescent="0.25">
      <c r="B61" s="229"/>
      <c r="C61" s="690"/>
      <c r="D61" s="690"/>
      <c r="E61" s="1325" t="s">
        <v>274</v>
      </c>
      <c r="F61" s="217" t="s">
        <v>275</v>
      </c>
      <c r="G61" s="217" t="s">
        <v>318</v>
      </c>
      <c r="H61" s="114" t="s">
        <v>20</v>
      </c>
      <c r="I61" s="558">
        <f t="shared" ref="I61:AH61" si="10">I32*$D$20</f>
        <v>12711.79357508696</v>
      </c>
      <c r="J61" s="558">
        <f t="shared" si="10"/>
        <v>14101.237917282331</v>
      </c>
      <c r="K61" s="558">
        <f t="shared" si="10"/>
        <v>15573.315001941402</v>
      </c>
      <c r="L61" s="558">
        <f t="shared" si="10"/>
        <v>20281.757061010441</v>
      </c>
      <c r="M61" s="558">
        <f t="shared" si="10"/>
        <v>26376.435337238101</v>
      </c>
      <c r="N61" s="558">
        <f t="shared" si="10"/>
        <v>40373.459469773952</v>
      </c>
      <c r="O61" s="558">
        <f t="shared" si="10"/>
        <v>88422.090622360614</v>
      </c>
      <c r="P61" s="558">
        <f t="shared" si="10"/>
        <v>100333.73011144112</v>
      </c>
      <c r="Q61" s="558">
        <f t="shared" si="10"/>
        <v>116320.10966448179</v>
      </c>
      <c r="R61" s="558">
        <f t="shared" si="10"/>
        <v>132326.06715722368</v>
      </c>
      <c r="S61" s="558">
        <f t="shared" si="10"/>
        <v>148368.59684435886</v>
      </c>
      <c r="T61" s="558">
        <f t="shared" si="10"/>
        <v>164545.2298850597</v>
      </c>
      <c r="U61" s="558">
        <f t="shared" si="10"/>
        <v>181107.36624001805</v>
      </c>
      <c r="V61" s="558">
        <f t="shared" si="10"/>
        <v>190392.93990050006</v>
      </c>
      <c r="W61" s="558">
        <f t="shared" si="10"/>
        <v>195275.37229471962</v>
      </c>
      <c r="X61" s="558">
        <f t="shared" si="10"/>
        <v>199718.46334345892</v>
      </c>
      <c r="Y61" s="558">
        <f t="shared" si="10"/>
        <v>204329.21220333295</v>
      </c>
      <c r="Z61" s="558">
        <f t="shared" si="10"/>
        <v>209144.45652385388</v>
      </c>
      <c r="AA61" s="558">
        <f t="shared" si="10"/>
        <v>214190.19065242755</v>
      </c>
      <c r="AB61" s="558">
        <f t="shared" si="10"/>
        <v>219515.82384170836</v>
      </c>
      <c r="AC61" s="558">
        <f t="shared" si="10"/>
        <v>225162.02217288633</v>
      </c>
      <c r="AD61" s="558">
        <f t="shared" si="10"/>
        <v>231184.03009476798</v>
      </c>
      <c r="AE61" s="558">
        <f t="shared" si="10"/>
        <v>237653.93976307937</v>
      </c>
      <c r="AF61" s="558">
        <f t="shared" si="10"/>
        <v>244636.89924172597</v>
      </c>
      <c r="AG61" s="558">
        <f t="shared" si="10"/>
        <v>252212.15105359349</v>
      </c>
      <c r="AH61" s="728">
        <f t="shared" si="10"/>
        <v>260485.04725393621</v>
      </c>
      <c r="AI61" s="18"/>
      <c r="AJ61" s="18"/>
      <c r="AK61" s="18"/>
      <c r="AL61" s="18"/>
      <c r="AM61" s="18"/>
      <c r="AN61" s="18"/>
    </row>
    <row r="62" spans="2:41" ht="21.9" customHeight="1" x14ac:dyDescent="0.25">
      <c r="B62" s="229"/>
      <c r="C62" s="690"/>
      <c r="D62" s="690"/>
      <c r="E62" s="1325"/>
      <c r="F62" s="114"/>
      <c r="G62" s="114"/>
      <c r="H62" s="122" t="s">
        <v>19</v>
      </c>
      <c r="I62" s="552">
        <f t="shared" ref="I62:AH62" si="11">I32*$D$21</f>
        <v>50847.17430034784</v>
      </c>
      <c r="J62" s="552">
        <f t="shared" si="11"/>
        <v>56404.951669129325</v>
      </c>
      <c r="K62" s="552">
        <f t="shared" si="11"/>
        <v>62293.26000776561</v>
      </c>
      <c r="L62" s="552">
        <f t="shared" si="11"/>
        <v>81127.028244041765</v>
      </c>
      <c r="M62" s="552">
        <f t="shared" si="11"/>
        <v>105505.7413489524</v>
      </c>
      <c r="N62" s="552">
        <f t="shared" si="11"/>
        <v>161493.83787909581</v>
      </c>
      <c r="O62" s="552">
        <f t="shared" si="11"/>
        <v>353688.36248944246</v>
      </c>
      <c r="P62" s="552">
        <f t="shared" si="11"/>
        <v>401334.9204457645</v>
      </c>
      <c r="Q62" s="552">
        <f t="shared" si="11"/>
        <v>465280.43865792715</v>
      </c>
      <c r="R62" s="552">
        <f t="shared" si="11"/>
        <v>529304.2686288947</v>
      </c>
      <c r="S62" s="552">
        <f t="shared" si="11"/>
        <v>593474.38737743546</v>
      </c>
      <c r="T62" s="552">
        <f t="shared" si="11"/>
        <v>658180.9195402388</v>
      </c>
      <c r="U62" s="552">
        <f t="shared" si="11"/>
        <v>724429.46496007219</v>
      </c>
      <c r="V62" s="552">
        <f t="shared" si="11"/>
        <v>761571.75960200024</v>
      </c>
      <c r="W62" s="552">
        <f t="shared" si="11"/>
        <v>781101.48917887849</v>
      </c>
      <c r="X62" s="552">
        <f t="shared" si="11"/>
        <v>798873.85337383568</v>
      </c>
      <c r="Y62" s="552">
        <f t="shared" si="11"/>
        <v>817316.8488133318</v>
      </c>
      <c r="Z62" s="552">
        <f t="shared" si="11"/>
        <v>836577.82609541551</v>
      </c>
      <c r="AA62" s="552">
        <f t="shared" si="11"/>
        <v>856760.76260971022</v>
      </c>
      <c r="AB62" s="552">
        <f t="shared" si="11"/>
        <v>878063.29536683345</v>
      </c>
      <c r="AC62" s="552">
        <f t="shared" si="11"/>
        <v>900648.0886915453</v>
      </c>
      <c r="AD62" s="552">
        <f t="shared" si="11"/>
        <v>924736.12037907192</v>
      </c>
      <c r="AE62" s="552">
        <f t="shared" si="11"/>
        <v>950615.75905231747</v>
      </c>
      <c r="AF62" s="552">
        <f t="shared" si="11"/>
        <v>978547.59696690389</v>
      </c>
      <c r="AG62" s="552">
        <f t="shared" si="11"/>
        <v>1008848.604214374</v>
      </c>
      <c r="AH62" s="727">
        <f t="shared" si="11"/>
        <v>1041940.1890157448</v>
      </c>
      <c r="AI62" s="18"/>
      <c r="AJ62" s="18"/>
      <c r="AK62" s="18"/>
      <c r="AL62" s="18"/>
      <c r="AM62" s="18"/>
      <c r="AN62" s="18"/>
    </row>
    <row r="63" spans="2:41" ht="21.9" customHeight="1" x14ac:dyDescent="0.25">
      <c r="B63" s="229"/>
      <c r="C63" s="690"/>
      <c r="D63" s="690"/>
      <c r="E63" s="1325"/>
      <c r="F63" s="114"/>
      <c r="G63" s="114"/>
      <c r="H63" s="695" t="s">
        <v>25</v>
      </c>
      <c r="I63" s="552">
        <f t="shared" ref="I63:AH63" si="12">SUM(I61:I62)</f>
        <v>63558.967875434799</v>
      </c>
      <c r="J63" s="552">
        <f t="shared" si="12"/>
        <v>70506.189586411652</v>
      </c>
      <c r="K63" s="552">
        <f t="shared" si="12"/>
        <v>77866.575009707012</v>
      </c>
      <c r="L63" s="552">
        <f t="shared" si="12"/>
        <v>101408.78530505221</v>
      </c>
      <c r="M63" s="552">
        <f t="shared" si="12"/>
        <v>131882.17668619051</v>
      </c>
      <c r="N63" s="552">
        <f t="shared" si="12"/>
        <v>201867.29734886976</v>
      </c>
      <c r="O63" s="552">
        <f t="shared" si="12"/>
        <v>442110.45311180304</v>
      </c>
      <c r="P63" s="552">
        <f t="shared" si="12"/>
        <v>501668.6505572056</v>
      </c>
      <c r="Q63" s="552">
        <f t="shared" si="12"/>
        <v>581600.54832240893</v>
      </c>
      <c r="R63" s="552">
        <f t="shared" si="12"/>
        <v>661630.3357861184</v>
      </c>
      <c r="S63" s="552">
        <f t="shared" si="12"/>
        <v>741842.98422179429</v>
      </c>
      <c r="T63" s="552">
        <f t="shared" si="12"/>
        <v>822726.14942529844</v>
      </c>
      <c r="U63" s="552">
        <f t="shared" si="12"/>
        <v>905536.83120009024</v>
      </c>
      <c r="V63" s="552">
        <f t="shared" si="12"/>
        <v>951964.69950250024</v>
      </c>
      <c r="W63" s="552">
        <f t="shared" si="12"/>
        <v>976376.86147359805</v>
      </c>
      <c r="X63" s="552">
        <f t="shared" si="12"/>
        <v>998592.31671729463</v>
      </c>
      <c r="Y63" s="552">
        <f t="shared" si="12"/>
        <v>1021646.0610166647</v>
      </c>
      <c r="Z63" s="552">
        <f t="shared" si="12"/>
        <v>1045722.2826192693</v>
      </c>
      <c r="AA63" s="552">
        <f t="shared" si="12"/>
        <v>1070950.9532621377</v>
      </c>
      <c r="AB63" s="552">
        <f t="shared" si="12"/>
        <v>1097579.1192085417</v>
      </c>
      <c r="AC63" s="552">
        <f t="shared" si="12"/>
        <v>1125810.1108644316</v>
      </c>
      <c r="AD63" s="552">
        <f t="shared" si="12"/>
        <v>1155920.1504738398</v>
      </c>
      <c r="AE63" s="552">
        <f t="shared" si="12"/>
        <v>1188269.6988153968</v>
      </c>
      <c r="AF63" s="552">
        <f t="shared" si="12"/>
        <v>1223184.4962086298</v>
      </c>
      <c r="AG63" s="552">
        <f t="shared" si="12"/>
        <v>1261060.7552679675</v>
      </c>
      <c r="AH63" s="727">
        <f t="shared" si="12"/>
        <v>1302425.236269681</v>
      </c>
      <c r="AI63" s="18"/>
      <c r="AJ63" s="18"/>
      <c r="AK63" s="18"/>
      <c r="AL63" s="18"/>
      <c r="AM63" s="18"/>
      <c r="AN63" s="18"/>
    </row>
    <row r="64" spans="2:41" ht="21.9" customHeight="1" x14ac:dyDescent="0.25">
      <c r="B64" s="229"/>
      <c r="C64" s="690"/>
      <c r="D64" s="690"/>
      <c r="E64" s="1325"/>
      <c r="F64" s="114" t="s">
        <v>318</v>
      </c>
      <c r="G64" s="114" t="s">
        <v>308</v>
      </c>
      <c r="H64" s="114" t="s">
        <v>20</v>
      </c>
      <c r="I64" s="552">
        <f t="shared" ref="I64:AH64" si="13">I33*$D$20</f>
        <v>1769.6979844380808</v>
      </c>
      <c r="J64" s="552">
        <f t="shared" si="13"/>
        <v>2004.8642050390699</v>
      </c>
      <c r="K64" s="552">
        <f t="shared" si="13"/>
        <v>2240.1844783319584</v>
      </c>
      <c r="L64" s="552">
        <f t="shared" si="13"/>
        <v>3036.7129354046069</v>
      </c>
      <c r="M64" s="552">
        <f t="shared" si="13"/>
        <v>3837.6357334690351</v>
      </c>
      <c r="N64" s="552">
        <f t="shared" si="13"/>
        <v>4669.54902841889</v>
      </c>
      <c r="O64" s="552">
        <f t="shared" si="13"/>
        <v>5654.1986209881798</v>
      </c>
      <c r="P64" s="552">
        <f t="shared" si="13"/>
        <v>7253.7896088258458</v>
      </c>
      <c r="Q64" s="552">
        <f t="shared" si="13"/>
        <v>14874.023064971547</v>
      </c>
      <c r="R64" s="552">
        <f t="shared" si="13"/>
        <v>19902.635453692914</v>
      </c>
      <c r="S64" s="552">
        <f t="shared" si="13"/>
        <v>22712.07951394092</v>
      </c>
      <c r="T64" s="552">
        <f t="shared" si="13"/>
        <v>25523.196584906855</v>
      </c>
      <c r="U64" s="552">
        <f t="shared" si="13"/>
        <v>28342.232845513379</v>
      </c>
      <c r="V64" s="552">
        <f t="shared" si="13"/>
        <v>29882.742085308153</v>
      </c>
      <c r="W64" s="552">
        <f t="shared" si="13"/>
        <v>30444.588979770429</v>
      </c>
      <c r="X64" s="552">
        <f t="shared" si="13"/>
        <v>30995.89409042328</v>
      </c>
      <c r="Y64" s="552">
        <f t="shared" si="13"/>
        <v>31549.423268081791</v>
      </c>
      <c r="Z64" s="552">
        <f t="shared" si="13"/>
        <v>32105.89711566918</v>
      </c>
      <c r="AA64" s="552">
        <f t="shared" si="13"/>
        <v>32665.086778289391</v>
      </c>
      <c r="AB64" s="552">
        <f t="shared" si="13"/>
        <v>33228.15207990523</v>
      </c>
      <c r="AC64" s="552">
        <f t="shared" si="13"/>
        <v>33795.015011185205</v>
      </c>
      <c r="AD64" s="552">
        <f t="shared" si="13"/>
        <v>34366.640949862536</v>
      </c>
      <c r="AE64" s="552">
        <f t="shared" si="13"/>
        <v>34944.132389633232</v>
      </c>
      <c r="AF64" s="552">
        <f t="shared" si="13"/>
        <v>35527.684750154891</v>
      </c>
      <c r="AG64" s="552">
        <f t="shared" si="13"/>
        <v>36118.553093529183</v>
      </c>
      <c r="AH64" s="727">
        <f t="shared" si="13"/>
        <v>36718.194124187008</v>
      </c>
      <c r="AI64" s="18"/>
      <c r="AJ64" s="18"/>
      <c r="AK64" s="18"/>
      <c r="AL64" s="18"/>
      <c r="AM64" s="18"/>
      <c r="AN64" s="18"/>
    </row>
    <row r="65" spans="2:40" ht="21.9" customHeight="1" x14ac:dyDescent="0.25">
      <c r="B65" s="229"/>
      <c r="C65" s="690"/>
      <c r="D65" s="690"/>
      <c r="E65" s="1325"/>
      <c r="F65" s="114"/>
      <c r="G65" s="114"/>
      <c r="H65" s="122" t="s">
        <v>19</v>
      </c>
      <c r="I65" s="552">
        <f t="shared" ref="I65:AH65" si="14">I33*$D$21</f>
        <v>7078.7919377523231</v>
      </c>
      <c r="J65" s="552">
        <f t="shared" si="14"/>
        <v>8019.4568201562797</v>
      </c>
      <c r="K65" s="552">
        <f t="shared" si="14"/>
        <v>8960.7379133278337</v>
      </c>
      <c r="L65" s="552">
        <f t="shared" si="14"/>
        <v>12146.851741618428</v>
      </c>
      <c r="M65" s="552">
        <f t="shared" si="14"/>
        <v>15350.542933876141</v>
      </c>
      <c r="N65" s="552">
        <f t="shared" si="14"/>
        <v>18678.19611367556</v>
      </c>
      <c r="O65" s="552">
        <f t="shared" si="14"/>
        <v>22616.794483952719</v>
      </c>
      <c r="P65" s="552">
        <f t="shared" si="14"/>
        <v>29015.158435303383</v>
      </c>
      <c r="Q65" s="552">
        <f t="shared" si="14"/>
        <v>59496.092259886187</v>
      </c>
      <c r="R65" s="552">
        <f t="shared" si="14"/>
        <v>79610.541814771655</v>
      </c>
      <c r="S65" s="552">
        <f t="shared" si="14"/>
        <v>90848.318055763681</v>
      </c>
      <c r="T65" s="552">
        <f t="shared" si="14"/>
        <v>102092.78633962742</v>
      </c>
      <c r="U65" s="552">
        <f t="shared" si="14"/>
        <v>113368.93138205352</v>
      </c>
      <c r="V65" s="552">
        <f t="shared" si="14"/>
        <v>119530.96834123261</v>
      </c>
      <c r="W65" s="552">
        <f t="shared" si="14"/>
        <v>121778.35591908172</v>
      </c>
      <c r="X65" s="552">
        <f t="shared" si="14"/>
        <v>123983.57636169312</v>
      </c>
      <c r="Y65" s="552">
        <f t="shared" si="14"/>
        <v>126197.69307232717</v>
      </c>
      <c r="Z65" s="552">
        <f t="shared" si="14"/>
        <v>128423.58846267672</v>
      </c>
      <c r="AA65" s="552">
        <f t="shared" si="14"/>
        <v>130660.34711315756</v>
      </c>
      <c r="AB65" s="552">
        <f t="shared" si="14"/>
        <v>132912.60831962092</v>
      </c>
      <c r="AC65" s="552">
        <f t="shared" si="14"/>
        <v>135180.06004474082</v>
      </c>
      <c r="AD65" s="552">
        <f t="shared" si="14"/>
        <v>137466.56379945014</v>
      </c>
      <c r="AE65" s="552">
        <f t="shared" si="14"/>
        <v>139776.52955853293</v>
      </c>
      <c r="AF65" s="552">
        <f t="shared" si="14"/>
        <v>142110.73900061956</v>
      </c>
      <c r="AG65" s="552">
        <f t="shared" si="14"/>
        <v>144474.21237411673</v>
      </c>
      <c r="AH65" s="727">
        <f t="shared" si="14"/>
        <v>146872.77649674803</v>
      </c>
      <c r="AI65" s="18"/>
      <c r="AJ65" s="18"/>
      <c r="AK65" s="18"/>
      <c r="AL65" s="18"/>
      <c r="AM65" s="18"/>
      <c r="AN65" s="18"/>
    </row>
    <row r="66" spans="2:40" ht="21.9" customHeight="1" x14ac:dyDescent="0.25">
      <c r="B66" s="229"/>
      <c r="C66" s="690"/>
      <c r="D66" s="690"/>
      <c r="E66" s="1325"/>
      <c r="F66" s="114"/>
      <c r="G66" s="114"/>
      <c r="H66" s="695" t="s">
        <v>25</v>
      </c>
      <c r="I66" s="552">
        <f t="shared" ref="I66:AH66" si="15">SUM(I64:I65)</f>
        <v>8848.4899221904034</v>
      </c>
      <c r="J66" s="552">
        <f t="shared" si="15"/>
        <v>10024.32102519535</v>
      </c>
      <c r="K66" s="552">
        <f t="shared" si="15"/>
        <v>11200.922391659791</v>
      </c>
      <c r="L66" s="552">
        <f t="shared" si="15"/>
        <v>15183.564677023034</v>
      </c>
      <c r="M66" s="552">
        <f t="shared" si="15"/>
        <v>19188.178667345175</v>
      </c>
      <c r="N66" s="552">
        <f t="shared" si="15"/>
        <v>23347.745142094449</v>
      </c>
      <c r="O66" s="552">
        <f t="shared" si="15"/>
        <v>28270.993104940899</v>
      </c>
      <c r="P66" s="552">
        <f t="shared" si="15"/>
        <v>36268.948044129225</v>
      </c>
      <c r="Q66" s="552">
        <f t="shared" si="15"/>
        <v>74370.115324857732</v>
      </c>
      <c r="R66" s="552">
        <f t="shared" si="15"/>
        <v>99513.177268464569</v>
      </c>
      <c r="S66" s="552">
        <f t="shared" si="15"/>
        <v>113560.3975697046</v>
      </c>
      <c r="T66" s="552">
        <f t="shared" si="15"/>
        <v>127615.98292453427</v>
      </c>
      <c r="U66" s="552">
        <f t="shared" si="15"/>
        <v>141711.16422756689</v>
      </c>
      <c r="V66" s="552">
        <f t="shared" si="15"/>
        <v>149413.71042654075</v>
      </c>
      <c r="W66" s="552">
        <f t="shared" si="15"/>
        <v>152222.94489885215</v>
      </c>
      <c r="X66" s="552">
        <f t="shared" si="15"/>
        <v>154979.47045211639</v>
      </c>
      <c r="Y66" s="552">
        <f t="shared" si="15"/>
        <v>157747.11634040895</v>
      </c>
      <c r="Z66" s="552">
        <f t="shared" si="15"/>
        <v>160529.48557834589</v>
      </c>
      <c r="AA66" s="552">
        <f t="shared" si="15"/>
        <v>163325.43389144697</v>
      </c>
      <c r="AB66" s="552">
        <f t="shared" si="15"/>
        <v>166140.76039952616</v>
      </c>
      <c r="AC66" s="552">
        <f t="shared" si="15"/>
        <v>168975.07505592602</v>
      </c>
      <c r="AD66" s="552">
        <f t="shared" si="15"/>
        <v>171833.20474931269</v>
      </c>
      <c r="AE66" s="552">
        <f t="shared" si="15"/>
        <v>174720.66194816615</v>
      </c>
      <c r="AF66" s="552">
        <f t="shared" si="15"/>
        <v>177638.42375077447</v>
      </c>
      <c r="AG66" s="552">
        <f t="shared" si="15"/>
        <v>180592.76546764592</v>
      </c>
      <c r="AH66" s="727">
        <f t="shared" si="15"/>
        <v>183590.97062093503</v>
      </c>
      <c r="AI66" s="18"/>
      <c r="AJ66" s="18"/>
      <c r="AK66" s="18"/>
      <c r="AL66" s="18"/>
      <c r="AM66" s="18"/>
      <c r="AN66" s="18"/>
    </row>
    <row r="67" spans="2:40" ht="21.9" customHeight="1" x14ac:dyDescent="0.25">
      <c r="B67" s="229"/>
      <c r="C67" s="690"/>
      <c r="D67" s="690"/>
      <c r="E67" s="1325"/>
      <c r="F67" s="114" t="s">
        <v>308</v>
      </c>
      <c r="G67" s="114" t="s">
        <v>319</v>
      </c>
      <c r="H67" s="114" t="s">
        <v>20</v>
      </c>
      <c r="I67" s="552">
        <f t="shared" ref="I67:AH67" si="16">I34*$D$20</f>
        <v>25111.892976788306</v>
      </c>
      <c r="J67" s="552">
        <f t="shared" si="16"/>
        <v>26105.475252324923</v>
      </c>
      <c r="K67" s="552">
        <f t="shared" si="16"/>
        <v>27128.612822864656</v>
      </c>
      <c r="L67" s="552">
        <f t="shared" si="16"/>
        <v>29241.595289946534</v>
      </c>
      <c r="M67" s="552">
        <f t="shared" si="16"/>
        <v>31629.038226927027</v>
      </c>
      <c r="N67" s="552">
        <f t="shared" si="16"/>
        <v>34487.654589852486</v>
      </c>
      <c r="O67" s="552">
        <f t="shared" si="16"/>
        <v>38134.542139643512</v>
      </c>
      <c r="P67" s="552">
        <f t="shared" si="16"/>
        <v>43072.062863794446</v>
      </c>
      <c r="Q67" s="552">
        <f t="shared" si="16"/>
        <v>53538.185072498658</v>
      </c>
      <c r="R67" s="552">
        <f t="shared" si="16"/>
        <v>71317.022041311357</v>
      </c>
      <c r="S67" s="552">
        <f t="shared" si="16"/>
        <v>95926.128654311527</v>
      </c>
      <c r="T67" s="552">
        <f t="shared" si="16"/>
        <v>101461.83997900416</v>
      </c>
      <c r="U67" s="552">
        <f t="shared" si="16"/>
        <v>107002.78173652076</v>
      </c>
      <c r="V67" s="552">
        <f t="shared" si="16"/>
        <v>110603.63495497234</v>
      </c>
      <c r="W67" s="552">
        <f t="shared" si="16"/>
        <v>112655.35104084678</v>
      </c>
      <c r="X67" s="552">
        <f t="shared" si="16"/>
        <v>114706.7591742903</v>
      </c>
      <c r="Y67" s="552">
        <f t="shared" si="16"/>
        <v>116758.35977198672</v>
      </c>
      <c r="Z67" s="552">
        <f t="shared" si="16"/>
        <v>118811.47675994216</v>
      </c>
      <c r="AA67" s="552">
        <f t="shared" si="16"/>
        <v>120863.57007127689</v>
      </c>
      <c r="AB67" s="552">
        <f t="shared" si="16"/>
        <v>122917.26293139957</v>
      </c>
      <c r="AC67" s="552">
        <f t="shared" si="16"/>
        <v>124970.02900626734</v>
      </c>
      <c r="AD67" s="552">
        <f t="shared" si="16"/>
        <v>127023.21479586029</v>
      </c>
      <c r="AE67" s="552">
        <f t="shared" si="16"/>
        <v>129078.17916500276</v>
      </c>
      <c r="AF67" s="552">
        <f t="shared" si="16"/>
        <v>131132.42101981683</v>
      </c>
      <c r="AG67" s="552">
        <f t="shared" si="16"/>
        <v>133187.31369281193</v>
      </c>
      <c r="AH67" s="727">
        <f t="shared" si="16"/>
        <v>135244.24881613106</v>
      </c>
      <c r="AI67" s="18"/>
      <c r="AJ67" s="18"/>
      <c r="AK67" s="18"/>
      <c r="AL67" s="18"/>
      <c r="AM67" s="18"/>
      <c r="AN67" s="18"/>
    </row>
    <row r="68" spans="2:40" ht="21.9" customHeight="1" x14ac:dyDescent="0.25">
      <c r="B68" s="229"/>
      <c r="C68" s="690"/>
      <c r="D68" s="690"/>
      <c r="E68" s="1325"/>
      <c r="F68" s="114"/>
      <c r="G68" s="114"/>
      <c r="H68" s="114" t="s">
        <v>19</v>
      </c>
      <c r="I68" s="552">
        <f t="shared" ref="I68:AH68" si="17">I34*$D$21</f>
        <v>100447.57190715322</v>
      </c>
      <c r="J68" s="552">
        <f t="shared" si="17"/>
        <v>104421.90100929969</v>
      </c>
      <c r="K68" s="552">
        <f t="shared" si="17"/>
        <v>108514.45129145862</v>
      </c>
      <c r="L68" s="552">
        <f t="shared" si="17"/>
        <v>116966.38115978613</v>
      </c>
      <c r="M68" s="552">
        <f t="shared" si="17"/>
        <v>126516.15290770811</v>
      </c>
      <c r="N68" s="552">
        <f t="shared" si="17"/>
        <v>137950.61835940994</v>
      </c>
      <c r="O68" s="552">
        <f t="shared" si="17"/>
        <v>152538.16855857405</v>
      </c>
      <c r="P68" s="552">
        <f t="shared" si="17"/>
        <v>172288.25145517779</v>
      </c>
      <c r="Q68" s="552">
        <f t="shared" si="17"/>
        <v>214152.74028999463</v>
      </c>
      <c r="R68" s="552">
        <f t="shared" si="17"/>
        <v>285268.08816524543</v>
      </c>
      <c r="S68" s="552">
        <f t="shared" si="17"/>
        <v>383704.51461724611</v>
      </c>
      <c r="T68" s="552">
        <f t="shared" si="17"/>
        <v>405847.35991601663</v>
      </c>
      <c r="U68" s="552">
        <f t="shared" si="17"/>
        <v>428011.12694608304</v>
      </c>
      <c r="V68" s="552">
        <f t="shared" si="17"/>
        <v>442414.53981988935</v>
      </c>
      <c r="W68" s="552">
        <f t="shared" si="17"/>
        <v>450621.40416338714</v>
      </c>
      <c r="X68" s="552">
        <f t="shared" si="17"/>
        <v>458827.03669716121</v>
      </c>
      <c r="Y68" s="552">
        <f t="shared" si="17"/>
        <v>467033.4390879469</v>
      </c>
      <c r="Z68" s="552">
        <f t="shared" si="17"/>
        <v>475245.90703976864</v>
      </c>
      <c r="AA68" s="552">
        <f t="shared" si="17"/>
        <v>483454.28028510755</v>
      </c>
      <c r="AB68" s="552">
        <f t="shared" si="17"/>
        <v>491669.05172559828</v>
      </c>
      <c r="AC68" s="552">
        <f t="shared" si="17"/>
        <v>499880.11602506938</v>
      </c>
      <c r="AD68" s="552">
        <f t="shared" si="17"/>
        <v>508092.85918344115</v>
      </c>
      <c r="AE68" s="552">
        <f t="shared" si="17"/>
        <v>516312.71666001104</v>
      </c>
      <c r="AF68" s="552">
        <f t="shared" si="17"/>
        <v>524529.68407926732</v>
      </c>
      <c r="AG68" s="552">
        <f t="shared" si="17"/>
        <v>532749.25477124774</v>
      </c>
      <c r="AH68" s="727">
        <f t="shared" si="17"/>
        <v>540976.99526452424</v>
      </c>
      <c r="AI68" s="18"/>
      <c r="AJ68" s="18"/>
      <c r="AK68" s="18"/>
      <c r="AL68" s="18"/>
      <c r="AM68" s="18"/>
      <c r="AN68" s="18"/>
    </row>
    <row r="69" spans="2:40" ht="21.9" customHeight="1" x14ac:dyDescent="0.25">
      <c r="B69" s="229"/>
      <c r="C69" s="690"/>
      <c r="D69" s="690"/>
      <c r="E69" s="1321"/>
      <c r="F69" s="250"/>
      <c r="G69" s="250"/>
      <c r="H69" s="696" t="s">
        <v>25</v>
      </c>
      <c r="I69" s="562">
        <f t="shared" ref="I69:AH69" si="18">SUM(I67:I68)</f>
        <v>125559.46488394153</v>
      </c>
      <c r="J69" s="562">
        <f t="shared" si="18"/>
        <v>130527.37626162461</v>
      </c>
      <c r="K69" s="562">
        <f t="shared" si="18"/>
        <v>135643.06411432329</v>
      </c>
      <c r="L69" s="562">
        <f t="shared" si="18"/>
        <v>146207.97644973267</v>
      </c>
      <c r="M69" s="562">
        <f t="shared" si="18"/>
        <v>158145.19113463513</v>
      </c>
      <c r="N69" s="562">
        <f t="shared" si="18"/>
        <v>172438.27294926243</v>
      </c>
      <c r="O69" s="562">
        <f t="shared" si="18"/>
        <v>190672.71069821756</v>
      </c>
      <c r="P69" s="562">
        <f t="shared" si="18"/>
        <v>215360.31431897223</v>
      </c>
      <c r="Q69" s="562">
        <f t="shared" si="18"/>
        <v>267690.92536249326</v>
      </c>
      <c r="R69" s="562">
        <f t="shared" si="18"/>
        <v>356585.1102065568</v>
      </c>
      <c r="S69" s="562">
        <f t="shared" si="18"/>
        <v>479630.64327155764</v>
      </c>
      <c r="T69" s="562">
        <f t="shared" si="18"/>
        <v>507309.19989502081</v>
      </c>
      <c r="U69" s="562">
        <f t="shared" si="18"/>
        <v>535013.90868260385</v>
      </c>
      <c r="V69" s="562">
        <f t="shared" si="18"/>
        <v>553018.17477486166</v>
      </c>
      <c r="W69" s="562">
        <f t="shared" si="18"/>
        <v>563276.75520423392</v>
      </c>
      <c r="X69" s="562">
        <f t="shared" si="18"/>
        <v>573533.7958714515</v>
      </c>
      <c r="Y69" s="562">
        <f t="shared" si="18"/>
        <v>583791.79885993362</v>
      </c>
      <c r="Z69" s="562">
        <f t="shared" si="18"/>
        <v>594057.38379971078</v>
      </c>
      <c r="AA69" s="562">
        <f t="shared" si="18"/>
        <v>604317.85035638441</v>
      </c>
      <c r="AB69" s="562">
        <f t="shared" si="18"/>
        <v>614586.3146569978</v>
      </c>
      <c r="AC69" s="562">
        <f t="shared" si="18"/>
        <v>624850.14503133669</v>
      </c>
      <c r="AD69" s="562">
        <f t="shared" si="18"/>
        <v>635116.07397930138</v>
      </c>
      <c r="AE69" s="562">
        <f t="shared" si="18"/>
        <v>645390.89582501375</v>
      </c>
      <c r="AF69" s="562">
        <f t="shared" si="18"/>
        <v>655662.10509908409</v>
      </c>
      <c r="AG69" s="562">
        <f t="shared" si="18"/>
        <v>665936.56846405962</v>
      </c>
      <c r="AH69" s="729">
        <f t="shared" si="18"/>
        <v>676221.24408065528</v>
      </c>
      <c r="AI69" s="18"/>
      <c r="AJ69" s="18"/>
      <c r="AK69" s="18"/>
      <c r="AL69" s="18"/>
      <c r="AM69" s="18"/>
      <c r="AN69" s="18"/>
    </row>
    <row r="70" spans="2:40" ht="21.9" customHeight="1" x14ac:dyDescent="0.25">
      <c r="B70" s="229"/>
      <c r="C70" s="690"/>
      <c r="D70" s="690"/>
      <c r="E70" s="114" t="s">
        <v>320</v>
      </c>
      <c r="F70" s="114" t="s">
        <v>318</v>
      </c>
      <c r="G70" s="114" t="s">
        <v>308</v>
      </c>
      <c r="H70" s="114" t="s">
        <v>20</v>
      </c>
      <c r="I70" s="552">
        <f t="shared" ref="I70:AH70" si="19">I35*$E$20</f>
        <v>169.01477832512313</v>
      </c>
      <c r="J70" s="552">
        <f t="shared" si="19"/>
        <v>273.63492610837437</v>
      </c>
      <c r="K70" s="552">
        <f t="shared" si="19"/>
        <v>780.67926108374365</v>
      </c>
      <c r="L70" s="552">
        <f t="shared" si="19"/>
        <v>1650.5983251231528</v>
      </c>
      <c r="M70" s="552">
        <f t="shared" si="19"/>
        <v>2521.1934482758634</v>
      </c>
      <c r="N70" s="552">
        <f t="shared" si="19"/>
        <v>3391.4505418719632</v>
      </c>
      <c r="O70" s="552">
        <f t="shared" si="19"/>
        <v>4261.3696059118438</v>
      </c>
      <c r="P70" s="552">
        <f t="shared" si="19"/>
        <v>5132.6407881813102</v>
      </c>
      <c r="Q70" s="552">
        <f t="shared" si="19"/>
        <v>5600.6427093699722</v>
      </c>
      <c r="R70" s="552">
        <f t="shared" si="19"/>
        <v>6069.3206896802631</v>
      </c>
      <c r="S70" s="552">
        <f t="shared" si="19"/>
        <v>6537.4916256725846</v>
      </c>
      <c r="T70" s="552">
        <f t="shared" si="19"/>
        <v>7005.493546919598</v>
      </c>
      <c r="U70" s="552">
        <f t="shared" si="19"/>
        <v>7474.6785716766044</v>
      </c>
      <c r="V70" s="552">
        <f t="shared" si="19"/>
        <v>7579.2987195008318</v>
      </c>
      <c r="W70" s="552">
        <f t="shared" si="19"/>
        <v>7683.9188673311264</v>
      </c>
      <c r="X70" s="552">
        <f t="shared" si="19"/>
        <v>7788.539015168275</v>
      </c>
      <c r="Y70" s="552">
        <f t="shared" si="19"/>
        <v>7893.1591630131752</v>
      </c>
      <c r="Z70" s="552">
        <f t="shared" si="19"/>
        <v>7998.2863552021518</v>
      </c>
      <c r="AA70" s="552">
        <f t="shared" si="19"/>
        <v>8102.9065030656757</v>
      </c>
      <c r="AB70" s="552">
        <f t="shared" si="19"/>
        <v>8208.0336952757061</v>
      </c>
      <c r="AC70" s="552">
        <f t="shared" si="19"/>
        <v>8312.6538431627687</v>
      </c>
      <c r="AD70" s="552">
        <f t="shared" si="19"/>
        <v>8417.273991063752</v>
      </c>
      <c r="AE70" s="552">
        <f t="shared" si="19"/>
        <v>8522.4011833159784</v>
      </c>
      <c r="AF70" s="552">
        <f t="shared" si="19"/>
        <v>8627.0213312500418</v>
      </c>
      <c r="AG70" s="552">
        <f t="shared" si="19"/>
        <v>8731.6414792035484</v>
      </c>
      <c r="AH70" s="727">
        <f t="shared" si="19"/>
        <v>8836.7686715146883</v>
      </c>
      <c r="AI70" s="18"/>
      <c r="AJ70" s="18"/>
      <c r="AK70" s="18"/>
      <c r="AL70" s="18"/>
      <c r="AM70" s="18"/>
      <c r="AN70" s="18"/>
    </row>
    <row r="71" spans="2:40" ht="21.9" customHeight="1" x14ac:dyDescent="0.25">
      <c r="B71" s="229"/>
      <c r="C71" s="690"/>
      <c r="D71" s="690"/>
      <c r="E71" s="114"/>
      <c r="F71" s="114"/>
      <c r="G71" s="114"/>
      <c r="H71" s="122" t="s">
        <v>19</v>
      </c>
      <c r="I71" s="552">
        <f t="shared" ref="I71:AH71" si="20">I35*$E$21</f>
        <v>676.05911330049253</v>
      </c>
      <c r="J71" s="552">
        <f t="shared" si="20"/>
        <v>1094.5397044334975</v>
      </c>
      <c r="K71" s="552">
        <f t="shared" si="20"/>
        <v>3122.7170443349746</v>
      </c>
      <c r="L71" s="552">
        <f t="shared" si="20"/>
        <v>6602.3933004926112</v>
      </c>
      <c r="M71" s="552">
        <f t="shared" si="20"/>
        <v>10084.773793103453</v>
      </c>
      <c r="N71" s="552">
        <f t="shared" si="20"/>
        <v>13565.802167487853</v>
      </c>
      <c r="O71" s="552">
        <f t="shared" si="20"/>
        <v>17045.478423647375</v>
      </c>
      <c r="P71" s="552">
        <f t="shared" si="20"/>
        <v>20530.563152725241</v>
      </c>
      <c r="Q71" s="552">
        <f t="shared" si="20"/>
        <v>22402.570837479889</v>
      </c>
      <c r="R71" s="552">
        <f t="shared" si="20"/>
        <v>24277.282758721052</v>
      </c>
      <c r="S71" s="552">
        <f t="shared" si="20"/>
        <v>26149.966502690339</v>
      </c>
      <c r="T71" s="552">
        <f t="shared" si="20"/>
        <v>28021.974187678392</v>
      </c>
      <c r="U71" s="552">
        <f t="shared" si="20"/>
        <v>29898.714286706418</v>
      </c>
      <c r="V71" s="552">
        <f t="shared" si="20"/>
        <v>30317.194878003327</v>
      </c>
      <c r="W71" s="552">
        <f t="shared" si="20"/>
        <v>30735.675469324506</v>
      </c>
      <c r="X71" s="552">
        <f t="shared" si="20"/>
        <v>31154.1560606731</v>
      </c>
      <c r="Y71" s="552">
        <f t="shared" si="20"/>
        <v>31572.636652052701</v>
      </c>
      <c r="Z71" s="552">
        <f t="shared" si="20"/>
        <v>31993.145420808607</v>
      </c>
      <c r="AA71" s="552">
        <f t="shared" si="20"/>
        <v>32411.626012262703</v>
      </c>
      <c r="AB71" s="552">
        <f t="shared" si="20"/>
        <v>32832.134781102824</v>
      </c>
      <c r="AC71" s="552">
        <f t="shared" si="20"/>
        <v>33250.615372651075</v>
      </c>
      <c r="AD71" s="552">
        <f t="shared" si="20"/>
        <v>33669.095964255008</v>
      </c>
      <c r="AE71" s="552">
        <f t="shared" si="20"/>
        <v>34089.604733263914</v>
      </c>
      <c r="AF71" s="552">
        <f t="shared" si="20"/>
        <v>34508.085325000167</v>
      </c>
      <c r="AG71" s="552">
        <f t="shared" si="20"/>
        <v>34926.565916814194</v>
      </c>
      <c r="AH71" s="727">
        <f t="shared" si="20"/>
        <v>35347.074686058753</v>
      </c>
      <c r="AI71" s="18"/>
      <c r="AJ71" s="18"/>
      <c r="AK71" s="18"/>
      <c r="AL71" s="18"/>
      <c r="AM71" s="18"/>
      <c r="AN71" s="18"/>
    </row>
    <row r="72" spans="2:40" ht="21.9" customHeight="1" x14ac:dyDescent="0.25">
      <c r="B72" s="229"/>
      <c r="C72" s="690"/>
      <c r="D72" s="690"/>
      <c r="E72" s="114"/>
      <c r="F72" s="114"/>
      <c r="G72" s="114"/>
      <c r="H72" s="696" t="s">
        <v>25</v>
      </c>
      <c r="I72" s="552">
        <f t="shared" ref="I72:AH72" si="21">SUM(I70:I71)</f>
        <v>845.07389162561572</v>
      </c>
      <c r="J72" s="552">
        <f t="shared" si="21"/>
        <v>1368.1746305418719</v>
      </c>
      <c r="K72" s="552">
        <f t="shared" si="21"/>
        <v>3903.3963054187184</v>
      </c>
      <c r="L72" s="552">
        <f t="shared" si="21"/>
        <v>8252.991625615763</v>
      </c>
      <c r="M72" s="552">
        <f t="shared" si="21"/>
        <v>12605.967241379316</v>
      </c>
      <c r="N72" s="552">
        <f t="shared" si="21"/>
        <v>16957.252709359815</v>
      </c>
      <c r="O72" s="552">
        <f t="shared" si="21"/>
        <v>21306.84802955922</v>
      </c>
      <c r="P72" s="552">
        <f t="shared" si="21"/>
        <v>25663.203940906551</v>
      </c>
      <c r="Q72" s="552">
        <f t="shared" si="21"/>
        <v>28003.21354684986</v>
      </c>
      <c r="R72" s="552">
        <f t="shared" si="21"/>
        <v>30346.603448401314</v>
      </c>
      <c r="S72" s="552">
        <f t="shared" si="21"/>
        <v>32687.458128362923</v>
      </c>
      <c r="T72" s="552">
        <f t="shared" si="21"/>
        <v>35027.467734597987</v>
      </c>
      <c r="U72" s="552">
        <f t="shared" si="21"/>
        <v>37373.39285838302</v>
      </c>
      <c r="V72" s="552">
        <f t="shared" si="21"/>
        <v>37896.493597504159</v>
      </c>
      <c r="W72" s="552">
        <f t="shared" si="21"/>
        <v>38419.594336655631</v>
      </c>
      <c r="X72" s="552">
        <f t="shared" si="21"/>
        <v>38942.695075841373</v>
      </c>
      <c r="Y72" s="552">
        <f t="shared" si="21"/>
        <v>39465.795815065874</v>
      </c>
      <c r="Z72" s="552">
        <f t="shared" si="21"/>
        <v>39991.431776010759</v>
      </c>
      <c r="AA72" s="552">
        <f t="shared" si="21"/>
        <v>40514.532515328377</v>
      </c>
      <c r="AB72" s="552">
        <f t="shared" si="21"/>
        <v>41040.168476378531</v>
      </c>
      <c r="AC72" s="552">
        <f t="shared" si="21"/>
        <v>41563.269215813845</v>
      </c>
      <c r="AD72" s="552">
        <f t="shared" si="21"/>
        <v>42086.369955318762</v>
      </c>
      <c r="AE72" s="552">
        <f t="shared" si="21"/>
        <v>42612.005916579888</v>
      </c>
      <c r="AF72" s="552">
        <f t="shared" si="21"/>
        <v>43135.106656250209</v>
      </c>
      <c r="AG72" s="552">
        <f t="shared" si="21"/>
        <v>43658.207396017744</v>
      </c>
      <c r="AH72" s="727">
        <f t="shared" si="21"/>
        <v>44183.843357573438</v>
      </c>
      <c r="AI72" s="18"/>
      <c r="AJ72" s="18"/>
      <c r="AK72" s="18"/>
      <c r="AL72" s="18"/>
      <c r="AM72" s="18"/>
      <c r="AN72" s="18"/>
    </row>
    <row r="73" spans="2:40" ht="21.9" customHeight="1" x14ac:dyDescent="0.25">
      <c r="B73" s="229"/>
      <c r="C73" s="690"/>
      <c r="D73" s="690"/>
      <c r="E73" s="1325" t="s">
        <v>308</v>
      </c>
      <c r="F73" s="217" t="s">
        <v>276</v>
      </c>
      <c r="G73" s="217" t="s">
        <v>320</v>
      </c>
      <c r="H73" s="114" t="s">
        <v>20</v>
      </c>
      <c r="I73" s="558">
        <f t="shared" ref="I73:AH73" si="22">I36*$F$20</f>
        <v>485.46798029556652</v>
      </c>
      <c r="J73" s="558">
        <f t="shared" si="22"/>
        <v>485.46798029556652</v>
      </c>
      <c r="K73" s="558">
        <f t="shared" si="22"/>
        <v>5680.4608405326298</v>
      </c>
      <c r="L73" s="558">
        <f t="shared" si="22"/>
        <v>10875.457614265299</v>
      </c>
      <c r="M73" s="558">
        <f t="shared" si="22"/>
        <v>16075.10412420313</v>
      </c>
      <c r="N73" s="558">
        <f t="shared" si="22"/>
        <v>21276.085295555382</v>
      </c>
      <c r="O73" s="558">
        <f t="shared" si="22"/>
        <v>26534.253614774952</v>
      </c>
      <c r="P73" s="558">
        <f t="shared" si="22"/>
        <v>32163.713751453495</v>
      </c>
      <c r="Q73" s="558">
        <f t="shared" si="22"/>
        <v>32163.720050607571</v>
      </c>
      <c r="R73" s="558">
        <f t="shared" si="22"/>
        <v>32163.720050607571</v>
      </c>
      <c r="S73" s="558">
        <f t="shared" si="22"/>
        <v>32163.720050607571</v>
      </c>
      <c r="T73" s="558">
        <f t="shared" si="22"/>
        <v>32163.720050607571</v>
      </c>
      <c r="U73" s="558">
        <f t="shared" si="22"/>
        <v>32163.720050607571</v>
      </c>
      <c r="V73" s="558">
        <f t="shared" si="22"/>
        <v>32163.720050607571</v>
      </c>
      <c r="W73" s="558">
        <f t="shared" si="22"/>
        <v>32163.720050607571</v>
      </c>
      <c r="X73" s="558">
        <f t="shared" si="22"/>
        <v>32163.720050607571</v>
      </c>
      <c r="Y73" s="558">
        <f t="shared" si="22"/>
        <v>32163.720050607571</v>
      </c>
      <c r="Z73" s="558">
        <f t="shared" si="22"/>
        <v>32163.720050607571</v>
      </c>
      <c r="AA73" s="558">
        <f t="shared" si="22"/>
        <v>32163.720050607571</v>
      </c>
      <c r="AB73" s="558">
        <f t="shared" si="22"/>
        <v>32163.720050607571</v>
      </c>
      <c r="AC73" s="558">
        <f t="shared" si="22"/>
        <v>32163.720050607571</v>
      </c>
      <c r="AD73" s="558">
        <f t="shared" si="22"/>
        <v>32163.720050607571</v>
      </c>
      <c r="AE73" s="558">
        <f t="shared" si="22"/>
        <v>32163.720050607571</v>
      </c>
      <c r="AF73" s="558">
        <f t="shared" si="22"/>
        <v>32163.720050607571</v>
      </c>
      <c r="AG73" s="558">
        <f t="shared" si="22"/>
        <v>32163.720050607571</v>
      </c>
      <c r="AH73" s="728">
        <f t="shared" si="22"/>
        <v>32163.720050607571</v>
      </c>
      <c r="AI73" s="18"/>
      <c r="AJ73" s="18"/>
      <c r="AK73" s="18"/>
      <c r="AL73" s="18"/>
      <c r="AM73" s="18"/>
      <c r="AN73" s="18"/>
    </row>
    <row r="74" spans="2:40" ht="21.9" customHeight="1" x14ac:dyDescent="0.25">
      <c r="B74" s="229"/>
      <c r="C74" s="690"/>
      <c r="D74" s="690"/>
      <c r="E74" s="1325"/>
      <c r="F74" s="114"/>
      <c r="G74" s="114"/>
      <c r="H74" s="122" t="s">
        <v>19</v>
      </c>
      <c r="I74" s="552">
        <f t="shared" ref="I74:AH74" si="23">I36*$F$21</f>
        <v>1941.8719211822661</v>
      </c>
      <c r="J74" s="552">
        <f t="shared" si="23"/>
        <v>1941.8719211822661</v>
      </c>
      <c r="K74" s="552">
        <f t="shared" si="23"/>
        <v>22721.843362130519</v>
      </c>
      <c r="L74" s="552">
        <f t="shared" si="23"/>
        <v>43501.830457061194</v>
      </c>
      <c r="M74" s="552">
        <f t="shared" si="23"/>
        <v>64300.416496812519</v>
      </c>
      <c r="N74" s="552">
        <f t="shared" si="23"/>
        <v>85104.341182221528</v>
      </c>
      <c r="O74" s="552">
        <f t="shared" si="23"/>
        <v>106137.01445909981</v>
      </c>
      <c r="P74" s="552">
        <f t="shared" si="23"/>
        <v>128654.85500581398</v>
      </c>
      <c r="Q74" s="552">
        <f t="shared" si="23"/>
        <v>128654.88020243029</v>
      </c>
      <c r="R74" s="552">
        <f t="shared" si="23"/>
        <v>128654.88020243029</v>
      </c>
      <c r="S74" s="552">
        <f t="shared" si="23"/>
        <v>128654.88020243029</v>
      </c>
      <c r="T74" s="552">
        <f t="shared" si="23"/>
        <v>128654.88020243029</v>
      </c>
      <c r="U74" s="552">
        <f t="shared" si="23"/>
        <v>128654.88020243029</v>
      </c>
      <c r="V74" s="552">
        <f t="shared" si="23"/>
        <v>128654.88020243029</v>
      </c>
      <c r="W74" s="552">
        <f t="shared" si="23"/>
        <v>128654.88020243029</v>
      </c>
      <c r="X74" s="552">
        <f t="shared" si="23"/>
        <v>128654.88020243029</v>
      </c>
      <c r="Y74" s="552">
        <f t="shared" si="23"/>
        <v>128654.88020243029</v>
      </c>
      <c r="Z74" s="552">
        <f t="shared" si="23"/>
        <v>128654.88020243029</v>
      </c>
      <c r="AA74" s="552">
        <f t="shared" si="23"/>
        <v>128654.88020243029</v>
      </c>
      <c r="AB74" s="552">
        <f t="shared" si="23"/>
        <v>128654.88020243029</v>
      </c>
      <c r="AC74" s="552">
        <f t="shared" si="23"/>
        <v>128654.88020243029</v>
      </c>
      <c r="AD74" s="552">
        <f t="shared" si="23"/>
        <v>128654.88020243029</v>
      </c>
      <c r="AE74" s="552">
        <f t="shared" si="23"/>
        <v>128654.88020243029</v>
      </c>
      <c r="AF74" s="552">
        <f t="shared" si="23"/>
        <v>128654.88020243029</v>
      </c>
      <c r="AG74" s="552">
        <f t="shared" si="23"/>
        <v>128654.88020243029</v>
      </c>
      <c r="AH74" s="727">
        <f t="shared" si="23"/>
        <v>128654.88020243029</v>
      </c>
      <c r="AI74" s="18"/>
      <c r="AJ74" s="18"/>
      <c r="AK74" s="18"/>
      <c r="AL74" s="18"/>
      <c r="AM74" s="18"/>
      <c r="AN74" s="18"/>
    </row>
    <row r="75" spans="2:40" ht="21.9" customHeight="1" x14ac:dyDescent="0.25">
      <c r="B75" s="229"/>
      <c r="C75" s="690"/>
      <c r="D75" s="690"/>
      <c r="E75" s="1325"/>
      <c r="F75" s="114"/>
      <c r="G75" s="114"/>
      <c r="H75" s="695" t="s">
        <v>25</v>
      </c>
      <c r="I75" s="552">
        <f t="shared" ref="I75:AH75" si="24">SUM(I73:I74)</f>
        <v>2427.3399014778324</v>
      </c>
      <c r="J75" s="552">
        <f t="shared" si="24"/>
        <v>2427.3399014778324</v>
      </c>
      <c r="K75" s="552">
        <f t="shared" si="24"/>
        <v>28402.304202663148</v>
      </c>
      <c r="L75" s="552">
        <f t="shared" si="24"/>
        <v>54377.288071326489</v>
      </c>
      <c r="M75" s="552">
        <f t="shared" si="24"/>
        <v>80375.520621015647</v>
      </c>
      <c r="N75" s="552">
        <f t="shared" si="24"/>
        <v>106380.42647777691</v>
      </c>
      <c r="O75" s="552">
        <f t="shared" si="24"/>
        <v>132671.26807387476</v>
      </c>
      <c r="P75" s="552">
        <f t="shared" si="24"/>
        <v>160818.56875726747</v>
      </c>
      <c r="Q75" s="552">
        <f t="shared" si="24"/>
        <v>160818.60025303785</v>
      </c>
      <c r="R75" s="552">
        <f t="shared" si="24"/>
        <v>160818.60025303785</v>
      </c>
      <c r="S75" s="552">
        <f t="shared" si="24"/>
        <v>160818.60025303785</v>
      </c>
      <c r="T75" s="552">
        <f t="shared" si="24"/>
        <v>160818.60025303785</v>
      </c>
      <c r="U75" s="552">
        <f t="shared" si="24"/>
        <v>160818.60025303785</v>
      </c>
      <c r="V75" s="552">
        <f t="shared" si="24"/>
        <v>160818.60025303785</v>
      </c>
      <c r="W75" s="552">
        <f t="shared" si="24"/>
        <v>160818.60025303785</v>
      </c>
      <c r="X75" s="552">
        <f t="shared" si="24"/>
        <v>160818.60025303785</v>
      </c>
      <c r="Y75" s="552">
        <f t="shared" si="24"/>
        <v>160818.60025303785</v>
      </c>
      <c r="Z75" s="552">
        <f t="shared" si="24"/>
        <v>160818.60025303785</v>
      </c>
      <c r="AA75" s="552">
        <f t="shared" si="24"/>
        <v>160818.60025303785</v>
      </c>
      <c r="AB75" s="552">
        <f t="shared" si="24"/>
        <v>160818.60025303785</v>
      </c>
      <c r="AC75" s="552">
        <f t="shared" si="24"/>
        <v>160818.60025303785</v>
      </c>
      <c r="AD75" s="552">
        <f t="shared" si="24"/>
        <v>160818.60025303785</v>
      </c>
      <c r="AE75" s="552">
        <f t="shared" si="24"/>
        <v>160818.60025303785</v>
      </c>
      <c r="AF75" s="552">
        <f t="shared" si="24"/>
        <v>160818.60025303785</v>
      </c>
      <c r="AG75" s="552">
        <f t="shared" si="24"/>
        <v>160818.60025303785</v>
      </c>
      <c r="AH75" s="727">
        <f t="shared" si="24"/>
        <v>160818.60025303785</v>
      </c>
      <c r="AI75" s="18"/>
      <c r="AJ75" s="18"/>
      <c r="AK75" s="18"/>
      <c r="AL75" s="18"/>
      <c r="AM75" s="18"/>
      <c r="AN75" s="18"/>
    </row>
    <row r="76" spans="2:40" ht="21.9" customHeight="1" x14ac:dyDescent="0.25">
      <c r="B76" s="229"/>
      <c r="C76" s="690"/>
      <c r="D76" s="690"/>
      <c r="E76" s="1325"/>
      <c r="F76" s="114" t="s">
        <v>320</v>
      </c>
      <c r="G76" s="114" t="s">
        <v>282</v>
      </c>
      <c r="H76" s="114" t="s">
        <v>20</v>
      </c>
      <c r="I76" s="552">
        <f t="shared" ref="I76:AH76" si="25">I37*$F$20</f>
        <v>121.86449864498645</v>
      </c>
      <c r="J76" s="552">
        <f t="shared" si="25"/>
        <v>231.54254742547857</v>
      </c>
      <c r="K76" s="552">
        <f t="shared" si="25"/>
        <v>341.22059620626601</v>
      </c>
      <c r="L76" s="552">
        <f t="shared" si="25"/>
        <v>742.26558422453797</v>
      </c>
      <c r="M76" s="552">
        <f t="shared" si="25"/>
        <v>1142.7568202346536</v>
      </c>
      <c r="N76" s="552">
        <f t="shared" si="25"/>
        <v>1544.3605170333001</v>
      </c>
      <c r="O76" s="552">
        <f t="shared" si="25"/>
        <v>1945.4634188144255</v>
      </c>
      <c r="P76" s="552">
        <f t="shared" si="25"/>
        <v>2346.9397329995722</v>
      </c>
      <c r="Q76" s="552">
        <f t="shared" si="25"/>
        <v>3052.4932029287606</v>
      </c>
      <c r="R76" s="552">
        <f t="shared" si="25"/>
        <v>3824.2186527417639</v>
      </c>
      <c r="S76" s="552">
        <f t="shared" si="25"/>
        <v>4984.4768608376926</v>
      </c>
      <c r="T76" s="552">
        <f t="shared" si="25"/>
        <v>7859.3142244726496</v>
      </c>
      <c r="U76" s="552">
        <f t="shared" si="25"/>
        <v>16889.659477765246</v>
      </c>
      <c r="V76" s="552">
        <f t="shared" si="25"/>
        <v>19293.163466211448</v>
      </c>
      <c r="W76" s="552">
        <f t="shared" si="25"/>
        <v>19630.822976258067</v>
      </c>
      <c r="X76" s="552">
        <f t="shared" si="25"/>
        <v>19970.092589231401</v>
      </c>
      <c r="Y76" s="552">
        <f t="shared" si="25"/>
        <v>20309.376677569053</v>
      </c>
      <c r="Z76" s="552">
        <f t="shared" si="25"/>
        <v>20648.677279998527</v>
      </c>
      <c r="AA76" s="552">
        <f t="shared" si="25"/>
        <v>20987.997094019804</v>
      </c>
      <c r="AB76" s="552">
        <f t="shared" si="25"/>
        <v>21327.339201937895</v>
      </c>
      <c r="AC76" s="552">
        <f t="shared" si="25"/>
        <v>21666.707118067454</v>
      </c>
      <c r="AD76" s="552">
        <f t="shared" si="25"/>
        <v>22006.104840816683</v>
      </c>
      <c r="AE76" s="552">
        <f t="shared" si="25"/>
        <v>22343.823689416135</v>
      </c>
      <c r="AF76" s="552">
        <f t="shared" si="25"/>
        <v>22683.293858798152</v>
      </c>
      <c r="AG76" s="552">
        <f t="shared" si="25"/>
        <v>23022.810483638881</v>
      </c>
      <c r="AH76" s="727">
        <f t="shared" si="25"/>
        <v>23362.378950858823</v>
      </c>
      <c r="AI76" s="18"/>
      <c r="AJ76" s="18"/>
      <c r="AK76" s="18"/>
      <c r="AL76" s="18"/>
      <c r="AM76" s="18"/>
      <c r="AN76" s="18"/>
    </row>
    <row r="77" spans="2:40" ht="21.9" customHeight="1" x14ac:dyDescent="0.25">
      <c r="B77" s="229"/>
      <c r="C77" s="690"/>
      <c r="D77" s="690"/>
      <c r="E77" s="1325"/>
      <c r="F77" s="114"/>
      <c r="G77" s="114"/>
      <c r="H77" s="122" t="s">
        <v>19</v>
      </c>
      <c r="I77" s="552">
        <f t="shared" ref="I77:AH77" si="26">I37*$F$21</f>
        <v>487.45799457994582</v>
      </c>
      <c r="J77" s="552">
        <f t="shared" si="26"/>
        <v>926.1701897019143</v>
      </c>
      <c r="K77" s="552">
        <f t="shared" si="26"/>
        <v>1364.882384825064</v>
      </c>
      <c r="L77" s="552">
        <f t="shared" si="26"/>
        <v>2969.0623368981519</v>
      </c>
      <c r="M77" s="552">
        <f t="shared" si="26"/>
        <v>4571.0272809386142</v>
      </c>
      <c r="N77" s="552">
        <f t="shared" si="26"/>
        <v>6177.4420681332003</v>
      </c>
      <c r="O77" s="552">
        <f t="shared" si="26"/>
        <v>7781.853675257702</v>
      </c>
      <c r="P77" s="552">
        <f t="shared" si="26"/>
        <v>9387.758931998289</v>
      </c>
      <c r="Q77" s="552">
        <f t="shared" si="26"/>
        <v>12209.972811715043</v>
      </c>
      <c r="R77" s="552">
        <f t="shared" si="26"/>
        <v>15296.874610967056</v>
      </c>
      <c r="S77" s="552">
        <f t="shared" si="26"/>
        <v>19937.90744335077</v>
      </c>
      <c r="T77" s="552">
        <f t="shared" si="26"/>
        <v>31437.256897890598</v>
      </c>
      <c r="U77" s="552">
        <f t="shared" si="26"/>
        <v>67558.637911060985</v>
      </c>
      <c r="V77" s="552">
        <f t="shared" si="26"/>
        <v>77172.653864845794</v>
      </c>
      <c r="W77" s="552">
        <f t="shared" si="26"/>
        <v>78523.291905032267</v>
      </c>
      <c r="X77" s="552">
        <f t="shared" si="26"/>
        <v>79880.370356925603</v>
      </c>
      <c r="Y77" s="552">
        <f t="shared" si="26"/>
        <v>81237.506710276211</v>
      </c>
      <c r="Z77" s="552">
        <f t="shared" si="26"/>
        <v>82594.709119994106</v>
      </c>
      <c r="AA77" s="552">
        <f t="shared" si="26"/>
        <v>83951.988376079215</v>
      </c>
      <c r="AB77" s="552">
        <f t="shared" si="26"/>
        <v>85309.356807751581</v>
      </c>
      <c r="AC77" s="552">
        <f t="shared" si="26"/>
        <v>86666.828472269815</v>
      </c>
      <c r="AD77" s="552">
        <f t="shared" si="26"/>
        <v>88024.41936326673</v>
      </c>
      <c r="AE77" s="552">
        <f t="shared" si="26"/>
        <v>89375.294757664538</v>
      </c>
      <c r="AF77" s="552">
        <f t="shared" si="26"/>
        <v>90733.175435192607</v>
      </c>
      <c r="AG77" s="552">
        <f t="shared" si="26"/>
        <v>92091.241934555524</v>
      </c>
      <c r="AH77" s="727">
        <f t="shared" si="26"/>
        <v>93449.515803435293</v>
      </c>
      <c r="AI77" s="18"/>
      <c r="AJ77" s="18"/>
      <c r="AK77" s="18"/>
      <c r="AL77" s="18"/>
      <c r="AM77" s="18"/>
      <c r="AN77" s="18"/>
    </row>
    <row r="78" spans="2:40" ht="21.9" customHeight="1" x14ac:dyDescent="0.25">
      <c r="B78" s="229"/>
      <c r="C78" s="690"/>
      <c r="D78" s="690"/>
      <c r="E78" s="1325"/>
      <c r="F78" s="114"/>
      <c r="G78" s="114"/>
      <c r="H78" s="695" t="s">
        <v>25</v>
      </c>
      <c r="I78" s="552">
        <f t="shared" ref="I78:AH78" si="27">SUM(I76:I77)</f>
        <v>609.32249322493226</v>
      </c>
      <c r="J78" s="552">
        <f t="shared" si="27"/>
        <v>1157.7127371273928</v>
      </c>
      <c r="K78" s="552">
        <f t="shared" si="27"/>
        <v>1706.10298103133</v>
      </c>
      <c r="L78" s="552">
        <f t="shared" si="27"/>
        <v>3711.32792112269</v>
      </c>
      <c r="M78" s="552">
        <f t="shared" si="27"/>
        <v>5713.784101173268</v>
      </c>
      <c r="N78" s="552">
        <f t="shared" si="27"/>
        <v>7721.8025851665006</v>
      </c>
      <c r="O78" s="552">
        <f t="shared" si="27"/>
        <v>9727.3170940721284</v>
      </c>
      <c r="P78" s="552">
        <f t="shared" si="27"/>
        <v>11734.698664997861</v>
      </c>
      <c r="Q78" s="552">
        <f t="shared" si="27"/>
        <v>15262.466014643804</v>
      </c>
      <c r="R78" s="552">
        <f t="shared" si="27"/>
        <v>19121.093263708819</v>
      </c>
      <c r="S78" s="552">
        <f t="shared" si="27"/>
        <v>24922.384304188461</v>
      </c>
      <c r="T78" s="552">
        <f t="shared" si="27"/>
        <v>39296.571122363246</v>
      </c>
      <c r="U78" s="552">
        <f t="shared" si="27"/>
        <v>84448.297388826235</v>
      </c>
      <c r="V78" s="552">
        <f t="shared" si="27"/>
        <v>96465.817331057246</v>
      </c>
      <c r="W78" s="552">
        <f t="shared" si="27"/>
        <v>98154.114881290327</v>
      </c>
      <c r="X78" s="552">
        <f t="shared" si="27"/>
        <v>99850.462946157</v>
      </c>
      <c r="Y78" s="552">
        <f t="shared" si="27"/>
        <v>101546.88338784527</v>
      </c>
      <c r="Z78" s="552">
        <f t="shared" si="27"/>
        <v>103243.38639999263</v>
      </c>
      <c r="AA78" s="552">
        <f t="shared" si="27"/>
        <v>104939.98547009903</v>
      </c>
      <c r="AB78" s="552">
        <f t="shared" si="27"/>
        <v>106636.69600968948</v>
      </c>
      <c r="AC78" s="552">
        <f t="shared" si="27"/>
        <v>108333.53559033727</v>
      </c>
      <c r="AD78" s="552">
        <f t="shared" si="27"/>
        <v>110030.52420408341</v>
      </c>
      <c r="AE78" s="552">
        <f t="shared" si="27"/>
        <v>111719.11844708068</v>
      </c>
      <c r="AF78" s="552">
        <f t="shared" si="27"/>
        <v>113416.46929399075</v>
      </c>
      <c r="AG78" s="552">
        <f t="shared" si="27"/>
        <v>115114.05241819441</v>
      </c>
      <c r="AH78" s="727">
        <f t="shared" si="27"/>
        <v>116811.89475429412</v>
      </c>
      <c r="AI78" s="18"/>
      <c r="AJ78" s="18"/>
      <c r="AK78" s="18"/>
      <c r="AL78" s="18"/>
      <c r="AM78" s="18"/>
      <c r="AN78" s="18"/>
    </row>
    <row r="79" spans="2:40" ht="21.9" customHeight="1" x14ac:dyDescent="0.25">
      <c r="B79" s="229"/>
      <c r="C79" s="690"/>
      <c r="D79" s="690"/>
      <c r="E79" s="1325"/>
      <c r="F79" s="114" t="s">
        <v>282</v>
      </c>
      <c r="G79" s="114" t="s">
        <v>321</v>
      </c>
      <c r="H79" s="114" t="s">
        <v>20</v>
      </c>
      <c r="I79" s="552">
        <f t="shared" ref="I79:AH79" si="28">I38*$F$20</f>
        <v>388.97810218978105</v>
      </c>
      <c r="J79" s="552">
        <f t="shared" si="28"/>
        <v>738.8898369829684</v>
      </c>
      <c r="K79" s="552">
        <f t="shared" si="28"/>
        <v>1088.6848783454989</v>
      </c>
      <c r="L79" s="552">
        <f t="shared" si="28"/>
        <v>2368.383936739684</v>
      </c>
      <c r="M79" s="552">
        <f t="shared" si="28"/>
        <v>3648.1348588836468</v>
      </c>
      <c r="N79" s="552">
        <f t="shared" si="28"/>
        <v>4929.5194891297324</v>
      </c>
      <c r="O79" s="552">
        <f t="shared" si="28"/>
        <v>6209.2185484410884</v>
      </c>
      <c r="P79" s="552">
        <f t="shared" si="28"/>
        <v>7489.6955698760394</v>
      </c>
      <c r="Q79" s="552">
        <f t="shared" si="28"/>
        <v>9715.0005238393423</v>
      </c>
      <c r="R79" s="552">
        <f t="shared" si="28"/>
        <v>11939.398919189118</v>
      </c>
      <c r="S79" s="552">
        <f t="shared" si="28"/>
        <v>14164.542533480047</v>
      </c>
      <c r="T79" s="552">
        <f t="shared" si="28"/>
        <v>16389.881850645819</v>
      </c>
      <c r="U79" s="552">
        <f t="shared" si="28"/>
        <v>18616.939533475092</v>
      </c>
      <c r="V79" s="552">
        <f t="shared" si="28"/>
        <v>19911.637587194036</v>
      </c>
      <c r="W79" s="552">
        <f t="shared" si="28"/>
        <v>20261.626879506948</v>
      </c>
      <c r="X79" s="552">
        <f t="shared" si="28"/>
        <v>20611.63078688184</v>
      </c>
      <c r="Y79" s="552">
        <f t="shared" si="28"/>
        <v>20961.651745452367</v>
      </c>
      <c r="Z79" s="552">
        <f t="shared" si="28"/>
        <v>21311.575803353382</v>
      </c>
      <c r="AA79" s="552">
        <f t="shared" si="28"/>
        <v>21661.639619001133</v>
      </c>
      <c r="AB79" s="552">
        <f t="shared" si="28"/>
        <v>22011.613334821493</v>
      </c>
      <c r="AC79" s="552">
        <f t="shared" si="28"/>
        <v>22361.734590005661</v>
      </c>
      <c r="AD79" s="552">
        <f t="shared" si="28"/>
        <v>22711.891330792536</v>
      </c>
      <c r="AE79" s="552">
        <f t="shared" si="28"/>
        <v>23061.972081417269</v>
      </c>
      <c r="AF79" s="552">
        <f t="shared" si="28"/>
        <v>23412.216435637936</v>
      </c>
      <c r="AG79" s="552">
        <f t="shared" si="28"/>
        <v>23762.514406039209</v>
      </c>
      <c r="AH79" s="727">
        <f t="shared" si="28"/>
        <v>24112.75679567179</v>
      </c>
      <c r="AI79" s="18"/>
      <c r="AJ79" s="18"/>
      <c r="AK79" s="18"/>
      <c r="AL79" s="18"/>
      <c r="AM79" s="18"/>
      <c r="AN79" s="18"/>
    </row>
    <row r="80" spans="2:40" ht="21.9" customHeight="1" x14ac:dyDescent="0.25">
      <c r="B80" s="229"/>
      <c r="C80" s="690"/>
      <c r="D80" s="690"/>
      <c r="E80" s="1325"/>
      <c r="F80" s="114"/>
      <c r="G80" s="114"/>
      <c r="H80" s="122" t="s">
        <v>19</v>
      </c>
      <c r="I80" s="552">
        <f t="shared" ref="I80:AH80" si="29">I38*$F$21</f>
        <v>1555.9124087591242</v>
      </c>
      <c r="J80" s="552">
        <f t="shared" si="29"/>
        <v>2955.5593479318736</v>
      </c>
      <c r="K80" s="552">
        <f t="shared" si="29"/>
        <v>4354.7395133819955</v>
      </c>
      <c r="L80" s="552">
        <f t="shared" si="29"/>
        <v>9473.5357469587361</v>
      </c>
      <c r="M80" s="552">
        <f t="shared" si="29"/>
        <v>14592.539435534587</v>
      </c>
      <c r="N80" s="552">
        <f t="shared" si="29"/>
        <v>19718.07795651893</v>
      </c>
      <c r="O80" s="552">
        <f t="shared" si="29"/>
        <v>24836.874193764354</v>
      </c>
      <c r="P80" s="552">
        <f t="shared" si="29"/>
        <v>29958.782279504157</v>
      </c>
      <c r="Q80" s="552">
        <f t="shared" si="29"/>
        <v>38860.002095357369</v>
      </c>
      <c r="R80" s="552">
        <f t="shared" si="29"/>
        <v>47757.595676756471</v>
      </c>
      <c r="S80" s="552">
        <f t="shared" si="29"/>
        <v>56658.17013392019</v>
      </c>
      <c r="T80" s="552">
        <f t="shared" si="29"/>
        <v>65559.527402583277</v>
      </c>
      <c r="U80" s="552">
        <f t="shared" si="29"/>
        <v>74467.758133900366</v>
      </c>
      <c r="V80" s="552">
        <f t="shared" si="29"/>
        <v>79646.550348776145</v>
      </c>
      <c r="W80" s="552">
        <f t="shared" si="29"/>
        <v>81046.507518027793</v>
      </c>
      <c r="X80" s="552">
        <f t="shared" si="29"/>
        <v>82446.523147527361</v>
      </c>
      <c r="Y80" s="552">
        <f t="shared" si="29"/>
        <v>83846.606981809469</v>
      </c>
      <c r="Z80" s="552">
        <f t="shared" si="29"/>
        <v>85246.303213413528</v>
      </c>
      <c r="AA80" s="552">
        <f t="shared" si="29"/>
        <v>86646.558476004531</v>
      </c>
      <c r="AB80" s="552">
        <f t="shared" si="29"/>
        <v>88046.453339285974</v>
      </c>
      <c r="AC80" s="552">
        <f t="shared" si="29"/>
        <v>89446.938360022643</v>
      </c>
      <c r="AD80" s="552">
        <f t="shared" si="29"/>
        <v>90847.565323170144</v>
      </c>
      <c r="AE80" s="552">
        <f t="shared" si="29"/>
        <v>92247.888325669075</v>
      </c>
      <c r="AF80" s="552">
        <f t="shared" si="29"/>
        <v>93648.865742551745</v>
      </c>
      <c r="AG80" s="552">
        <f t="shared" si="29"/>
        <v>95050.057624156834</v>
      </c>
      <c r="AH80" s="727">
        <f t="shared" si="29"/>
        <v>96451.027182687161</v>
      </c>
      <c r="AI80" s="18"/>
      <c r="AJ80" s="18"/>
      <c r="AK80" s="18"/>
      <c r="AL80" s="18"/>
      <c r="AM80" s="18"/>
      <c r="AN80" s="18"/>
    </row>
    <row r="81" spans="2:40" ht="21.9" customHeight="1" x14ac:dyDescent="0.25">
      <c r="B81" s="229"/>
      <c r="C81" s="690"/>
      <c r="D81" s="690"/>
      <c r="E81" s="1325"/>
      <c r="F81" s="114"/>
      <c r="G81" s="114"/>
      <c r="H81" s="695" t="s">
        <v>25</v>
      </c>
      <c r="I81" s="552">
        <f t="shared" ref="I81:AH81" si="30">SUM(I79:I80)</f>
        <v>1944.8905109489053</v>
      </c>
      <c r="J81" s="552">
        <f t="shared" si="30"/>
        <v>3694.4491849148421</v>
      </c>
      <c r="K81" s="552">
        <f t="shared" si="30"/>
        <v>5443.4243917274944</v>
      </c>
      <c r="L81" s="552">
        <f t="shared" si="30"/>
        <v>11841.919683698419</v>
      </c>
      <c r="M81" s="552">
        <f t="shared" si="30"/>
        <v>18240.674294418233</v>
      </c>
      <c r="N81" s="552">
        <f t="shared" si="30"/>
        <v>24647.597445648662</v>
      </c>
      <c r="O81" s="552">
        <f t="shared" si="30"/>
        <v>31046.092742205441</v>
      </c>
      <c r="P81" s="552">
        <f t="shared" si="30"/>
        <v>37448.4778493802</v>
      </c>
      <c r="Q81" s="552">
        <f t="shared" si="30"/>
        <v>48575.002619196712</v>
      </c>
      <c r="R81" s="552">
        <f t="shared" si="30"/>
        <v>59696.994595945587</v>
      </c>
      <c r="S81" s="552">
        <f t="shared" si="30"/>
        <v>70822.712667400236</v>
      </c>
      <c r="T81" s="552">
        <f t="shared" si="30"/>
        <v>81949.409253229096</v>
      </c>
      <c r="U81" s="552">
        <f t="shared" si="30"/>
        <v>93084.697667375454</v>
      </c>
      <c r="V81" s="552">
        <f t="shared" si="30"/>
        <v>99558.187935970185</v>
      </c>
      <c r="W81" s="552">
        <f t="shared" si="30"/>
        <v>101308.13439753474</v>
      </c>
      <c r="X81" s="552">
        <f t="shared" si="30"/>
        <v>103058.1539344092</v>
      </c>
      <c r="Y81" s="552">
        <f t="shared" si="30"/>
        <v>104808.25872726184</v>
      </c>
      <c r="Z81" s="552">
        <f t="shared" si="30"/>
        <v>106557.87901676691</v>
      </c>
      <c r="AA81" s="552">
        <f t="shared" si="30"/>
        <v>108308.19809500566</v>
      </c>
      <c r="AB81" s="552">
        <f t="shared" si="30"/>
        <v>110058.06667410747</v>
      </c>
      <c r="AC81" s="552">
        <f t="shared" si="30"/>
        <v>111808.6729500283</v>
      </c>
      <c r="AD81" s="552">
        <f t="shared" si="30"/>
        <v>113559.45665396268</v>
      </c>
      <c r="AE81" s="552">
        <f t="shared" si="30"/>
        <v>115309.86040708635</v>
      </c>
      <c r="AF81" s="552">
        <f t="shared" si="30"/>
        <v>117061.08217818968</v>
      </c>
      <c r="AG81" s="552">
        <f t="shared" si="30"/>
        <v>118812.57203019604</v>
      </c>
      <c r="AH81" s="727">
        <f t="shared" si="30"/>
        <v>120563.78397835896</v>
      </c>
      <c r="AI81" s="18"/>
      <c r="AJ81" s="18"/>
      <c r="AK81" s="18"/>
      <c r="AL81" s="18"/>
      <c r="AM81" s="18"/>
      <c r="AN81" s="18"/>
    </row>
    <row r="82" spans="2:40" ht="21.9" customHeight="1" x14ac:dyDescent="0.25">
      <c r="B82" s="229"/>
      <c r="C82" s="690"/>
      <c r="D82" s="690"/>
      <c r="E82" s="1325"/>
      <c r="F82" s="114" t="s">
        <v>321</v>
      </c>
      <c r="G82" s="114" t="s">
        <v>274</v>
      </c>
      <c r="H82" s="114" t="s">
        <v>20</v>
      </c>
      <c r="I82" s="552">
        <f t="shared" ref="I82:AH82" si="31">I39*$F$20</f>
        <v>559.48905109489056</v>
      </c>
      <c r="J82" s="552">
        <f t="shared" si="31"/>
        <v>1062.7867518248174</v>
      </c>
      <c r="K82" s="552">
        <f t="shared" si="31"/>
        <v>1565.9166058394164</v>
      </c>
      <c r="L82" s="552">
        <f t="shared" si="31"/>
        <v>3406.5796350365317</v>
      </c>
      <c r="M82" s="552">
        <f t="shared" si="31"/>
        <v>5247.3172627778476</v>
      </c>
      <c r="N82" s="552">
        <f t="shared" si="31"/>
        <v>7090.4047446386576</v>
      </c>
      <c r="O82" s="552">
        <f t="shared" si="31"/>
        <v>8931.0677751549938</v>
      </c>
      <c r="P82" s="552">
        <f t="shared" si="31"/>
        <v>10772.849792287456</v>
      </c>
      <c r="Q82" s="552">
        <f t="shared" si="31"/>
        <v>13973.630890453849</v>
      </c>
      <c r="R82" s="552">
        <f t="shared" si="31"/>
        <v>17173.108034450102</v>
      </c>
      <c r="S82" s="552">
        <f t="shared" si="31"/>
        <v>20373.657068704182</v>
      </c>
      <c r="T82" s="552">
        <f t="shared" si="31"/>
        <v>23574.487593394675</v>
      </c>
      <c r="U82" s="552">
        <f t="shared" si="31"/>
        <v>26777.789739929925</v>
      </c>
      <c r="V82" s="552">
        <f t="shared" si="31"/>
        <v>28640.026666511971</v>
      </c>
      <c r="W82" s="552">
        <f t="shared" si="31"/>
        <v>29143.43592257849</v>
      </c>
      <c r="X82" s="552">
        <f t="shared" si="31"/>
        <v>29646.866200309494</v>
      </c>
      <c r="Y82" s="552">
        <f t="shared" si="31"/>
        <v>30150.321003732854</v>
      </c>
      <c r="Z82" s="552">
        <f t="shared" si="31"/>
        <v>30653.636429480895</v>
      </c>
      <c r="AA82" s="552">
        <f t="shared" si="31"/>
        <v>31157.152876645468</v>
      </c>
      <c r="AB82" s="552">
        <f t="shared" si="31"/>
        <v>31660.5397281679</v>
      </c>
      <c r="AC82" s="552">
        <f t="shared" si="31"/>
        <v>32164.138793843758</v>
      </c>
      <c r="AD82" s="552">
        <f t="shared" si="31"/>
        <v>32667.78890045502</v>
      </c>
      <c r="AE82" s="552">
        <f t="shared" si="31"/>
        <v>33171.329706148121</v>
      </c>
      <c r="AF82" s="552">
        <f t="shared" si="31"/>
        <v>33675.105832081965</v>
      </c>
      <c r="AG82" s="552">
        <f t="shared" si="31"/>
        <v>34178.959077179687</v>
      </c>
      <c r="AH82" s="727">
        <f t="shared" si="31"/>
        <v>34682.732377336142</v>
      </c>
      <c r="AI82" s="18"/>
      <c r="AJ82" s="18"/>
      <c r="AK82" s="18"/>
      <c r="AL82" s="18"/>
      <c r="AM82" s="18"/>
      <c r="AN82" s="18"/>
    </row>
    <row r="83" spans="2:40" ht="21.9" customHeight="1" x14ac:dyDescent="0.25">
      <c r="B83" s="229"/>
      <c r="C83" s="690"/>
      <c r="D83" s="690"/>
      <c r="E83" s="1325"/>
      <c r="F83" s="114"/>
      <c r="G83" s="114"/>
      <c r="H83" s="114" t="s">
        <v>19</v>
      </c>
      <c r="I83" s="552">
        <f t="shared" ref="I83:AH83" si="32">I39*$F$21</f>
        <v>2237.9562043795622</v>
      </c>
      <c r="J83" s="552">
        <f t="shared" si="32"/>
        <v>4251.1470072992697</v>
      </c>
      <c r="K83" s="552">
        <f t="shared" si="32"/>
        <v>6263.6664233576657</v>
      </c>
      <c r="L83" s="552">
        <f t="shared" si="32"/>
        <v>13626.318540146127</v>
      </c>
      <c r="M83" s="552">
        <f t="shared" si="32"/>
        <v>20989.269051111391</v>
      </c>
      <c r="N83" s="552">
        <f t="shared" si="32"/>
        <v>28361.61897855463</v>
      </c>
      <c r="O83" s="552">
        <f t="shared" si="32"/>
        <v>35724.271100619975</v>
      </c>
      <c r="P83" s="552">
        <f t="shared" si="32"/>
        <v>43091.399169149823</v>
      </c>
      <c r="Q83" s="552">
        <f t="shared" si="32"/>
        <v>55894.523561815397</v>
      </c>
      <c r="R83" s="552">
        <f t="shared" si="32"/>
        <v>68692.43213780041</v>
      </c>
      <c r="S83" s="552">
        <f t="shared" si="32"/>
        <v>81494.628274816729</v>
      </c>
      <c r="T83" s="552">
        <f t="shared" si="32"/>
        <v>94297.9503735787</v>
      </c>
      <c r="U83" s="552">
        <f t="shared" si="32"/>
        <v>107111.1589597197</v>
      </c>
      <c r="V83" s="552">
        <f t="shared" si="32"/>
        <v>114560.10666604788</v>
      </c>
      <c r="W83" s="552">
        <f t="shared" si="32"/>
        <v>116573.74369031396</v>
      </c>
      <c r="X83" s="552">
        <f t="shared" si="32"/>
        <v>118587.46480123798</v>
      </c>
      <c r="Y83" s="552">
        <f t="shared" si="32"/>
        <v>120601.28401493141</v>
      </c>
      <c r="Z83" s="552">
        <f t="shared" si="32"/>
        <v>122614.54571792358</v>
      </c>
      <c r="AA83" s="552">
        <f t="shared" si="32"/>
        <v>124628.61150658187</v>
      </c>
      <c r="AB83" s="552">
        <f t="shared" si="32"/>
        <v>126642.1589126716</v>
      </c>
      <c r="AC83" s="552">
        <f t="shared" si="32"/>
        <v>128656.55517537503</v>
      </c>
      <c r="AD83" s="552">
        <f t="shared" si="32"/>
        <v>130671.15560182008</v>
      </c>
      <c r="AE83" s="552">
        <f t="shared" si="32"/>
        <v>132685.31882459248</v>
      </c>
      <c r="AF83" s="552">
        <f t="shared" si="32"/>
        <v>134700.42332832786</v>
      </c>
      <c r="AG83" s="552">
        <f t="shared" si="32"/>
        <v>136715.83630871875</v>
      </c>
      <c r="AH83" s="727">
        <f t="shared" si="32"/>
        <v>138730.92950934457</v>
      </c>
      <c r="AI83" s="18"/>
      <c r="AJ83" s="18"/>
      <c r="AK83" s="18"/>
      <c r="AL83" s="18"/>
      <c r="AM83" s="18"/>
      <c r="AN83" s="18"/>
    </row>
    <row r="84" spans="2:40" ht="21.9" customHeight="1" x14ac:dyDescent="0.25">
      <c r="B84" s="229"/>
      <c r="C84" s="690"/>
      <c r="D84" s="690"/>
      <c r="E84" s="1325"/>
      <c r="F84" s="250"/>
      <c r="G84" s="250"/>
      <c r="H84" s="696" t="s">
        <v>25</v>
      </c>
      <c r="I84" s="562">
        <f t="shared" ref="I84:AH84" si="33">SUM(I82:I83)</f>
        <v>2797.445255474453</v>
      </c>
      <c r="J84" s="562">
        <f t="shared" si="33"/>
        <v>5313.9337591240874</v>
      </c>
      <c r="K84" s="562">
        <f t="shared" si="33"/>
        <v>7829.5830291970824</v>
      </c>
      <c r="L84" s="562">
        <f t="shared" si="33"/>
        <v>17032.898175182658</v>
      </c>
      <c r="M84" s="562">
        <f t="shared" si="33"/>
        <v>26236.586313889238</v>
      </c>
      <c r="N84" s="562">
        <f t="shared" si="33"/>
        <v>35452.023723193284</v>
      </c>
      <c r="O84" s="562">
        <f t="shared" si="33"/>
        <v>44655.338875774971</v>
      </c>
      <c r="P84" s="562">
        <f t="shared" si="33"/>
        <v>53864.248961437275</v>
      </c>
      <c r="Q84" s="562">
        <f t="shared" si="33"/>
        <v>69868.154452269242</v>
      </c>
      <c r="R84" s="562">
        <f t="shared" si="33"/>
        <v>85865.540172250505</v>
      </c>
      <c r="S84" s="562">
        <f t="shared" si="33"/>
        <v>101868.28534352091</v>
      </c>
      <c r="T84" s="562">
        <f t="shared" si="33"/>
        <v>117872.43796697338</v>
      </c>
      <c r="U84" s="562">
        <f t="shared" si="33"/>
        <v>133888.94869964963</v>
      </c>
      <c r="V84" s="562">
        <f t="shared" si="33"/>
        <v>143200.13333255984</v>
      </c>
      <c r="W84" s="562">
        <f t="shared" si="33"/>
        <v>145717.17961289245</v>
      </c>
      <c r="X84" s="562">
        <f t="shared" si="33"/>
        <v>148234.33100154746</v>
      </c>
      <c r="Y84" s="562">
        <f t="shared" si="33"/>
        <v>150751.60501866427</v>
      </c>
      <c r="Z84" s="562">
        <f t="shared" si="33"/>
        <v>153268.18214740447</v>
      </c>
      <c r="AA84" s="562">
        <f t="shared" si="33"/>
        <v>155785.76438322733</v>
      </c>
      <c r="AB84" s="562">
        <f t="shared" si="33"/>
        <v>158302.69864083949</v>
      </c>
      <c r="AC84" s="562">
        <f t="shared" si="33"/>
        <v>160820.69396921879</v>
      </c>
      <c r="AD84" s="562">
        <f t="shared" si="33"/>
        <v>163338.94450227509</v>
      </c>
      <c r="AE84" s="562">
        <f t="shared" si="33"/>
        <v>165856.64853074061</v>
      </c>
      <c r="AF84" s="562">
        <f t="shared" si="33"/>
        <v>168375.52916040982</v>
      </c>
      <c r="AG84" s="562">
        <f t="shared" si="33"/>
        <v>170894.79538589844</v>
      </c>
      <c r="AH84" s="729">
        <f t="shared" si="33"/>
        <v>173413.6618866807</v>
      </c>
      <c r="AI84" s="18"/>
      <c r="AJ84" s="18"/>
      <c r="AK84" s="18"/>
      <c r="AL84" s="18"/>
      <c r="AM84" s="18"/>
      <c r="AN84" s="18"/>
    </row>
    <row r="85" spans="2:40" ht="21.9" customHeight="1" x14ac:dyDescent="0.25">
      <c r="B85" s="229"/>
      <c r="C85" s="690"/>
      <c r="D85" s="690"/>
      <c r="E85" s="114" t="s">
        <v>282</v>
      </c>
      <c r="F85" s="114" t="s">
        <v>308</v>
      </c>
      <c r="G85" s="114" t="s">
        <v>324</v>
      </c>
      <c r="H85" s="114" t="s">
        <v>20</v>
      </c>
      <c r="I85" s="552">
        <f t="shared" ref="I85:AH85" si="34">I40*$H$20</f>
        <v>4726.6188961171565</v>
      </c>
      <c r="J85" s="552">
        <f t="shared" si="34"/>
        <v>4903.8146749293628</v>
      </c>
      <c r="K85" s="552">
        <f t="shared" si="34"/>
        <v>5174.8602298886799</v>
      </c>
      <c r="L85" s="552">
        <f t="shared" si="34"/>
        <v>6036.026195894101</v>
      </c>
      <c r="M85" s="552">
        <f t="shared" si="34"/>
        <v>6897.3305531912747</v>
      </c>
      <c r="N85" s="552">
        <f t="shared" si="34"/>
        <v>7759.5769754666881</v>
      </c>
      <c r="O85" s="552">
        <f t="shared" si="34"/>
        <v>8620.837989128273</v>
      </c>
      <c r="P85" s="552">
        <f t="shared" si="34"/>
        <v>9483.1049577821086</v>
      </c>
      <c r="Q85" s="552">
        <f t="shared" si="34"/>
        <v>10619.885755786483</v>
      </c>
      <c r="R85" s="552">
        <f t="shared" si="34"/>
        <v>11758.268811477752</v>
      </c>
      <c r="S85" s="552">
        <f t="shared" si="34"/>
        <v>12901.737954572236</v>
      </c>
      <c r="T85" s="552">
        <f t="shared" si="34"/>
        <v>14055.6767247427</v>
      </c>
      <c r="U85" s="552">
        <f t="shared" si="34"/>
        <v>15233.477470535443</v>
      </c>
      <c r="V85" s="552">
        <f t="shared" si="34"/>
        <v>15812.150122657004</v>
      </c>
      <c r="W85" s="552">
        <f t="shared" si="34"/>
        <v>16003.048496681307</v>
      </c>
      <c r="X85" s="552">
        <f t="shared" si="34"/>
        <v>16195.563427622379</v>
      </c>
      <c r="Y85" s="552">
        <f t="shared" si="34"/>
        <v>16389.864943968292</v>
      </c>
      <c r="Z85" s="552">
        <f t="shared" si="34"/>
        <v>16586.343126102543</v>
      </c>
      <c r="AA85" s="552">
        <f t="shared" si="34"/>
        <v>16784.793241739342</v>
      </c>
      <c r="AB85" s="552">
        <f t="shared" si="34"/>
        <v>16985.848059803055</v>
      </c>
      <c r="AC85" s="552">
        <f t="shared" si="34"/>
        <v>17189.331322784972</v>
      </c>
      <c r="AD85" s="552">
        <f t="shared" si="34"/>
        <v>17395.711516848296</v>
      </c>
      <c r="AE85" s="552">
        <f t="shared" si="34"/>
        <v>17605.492009123827</v>
      </c>
      <c r="AF85" s="552">
        <f t="shared" si="34"/>
        <v>17818.547049475143</v>
      </c>
      <c r="AG85" s="552">
        <f t="shared" si="34"/>
        <v>18035.427453821561</v>
      </c>
      <c r="AH85" s="727">
        <f t="shared" si="34"/>
        <v>18256.728289462295</v>
      </c>
      <c r="AI85" s="18"/>
      <c r="AJ85" s="18"/>
      <c r="AK85" s="18"/>
      <c r="AL85" s="18"/>
      <c r="AM85" s="18"/>
      <c r="AN85" s="18"/>
    </row>
    <row r="86" spans="2:40" ht="21.9" customHeight="1" x14ac:dyDescent="0.25">
      <c r="B86" s="229"/>
      <c r="C86" s="690"/>
      <c r="D86" s="690"/>
      <c r="E86" s="114"/>
      <c r="F86" s="114"/>
      <c r="G86" s="114"/>
      <c r="H86" s="122" t="s">
        <v>19</v>
      </c>
      <c r="I86" s="552">
        <f t="shared" ref="I86:AH86" si="35">I40*$H$21</f>
        <v>18906.475584468626</v>
      </c>
      <c r="J86" s="552">
        <f t="shared" si="35"/>
        <v>19615.258699717451</v>
      </c>
      <c r="K86" s="552">
        <f t="shared" si="35"/>
        <v>20699.44091955472</v>
      </c>
      <c r="L86" s="552">
        <f t="shared" si="35"/>
        <v>24144.104783576404</v>
      </c>
      <c r="M86" s="552">
        <f t="shared" si="35"/>
        <v>27589.322212765099</v>
      </c>
      <c r="N86" s="552">
        <f t="shared" si="35"/>
        <v>31038.307901866752</v>
      </c>
      <c r="O86" s="552">
        <f t="shared" si="35"/>
        <v>34483.351956513092</v>
      </c>
      <c r="P86" s="552">
        <f t="shared" si="35"/>
        <v>37932.419831128434</v>
      </c>
      <c r="Q86" s="552">
        <f t="shared" si="35"/>
        <v>42479.543023145932</v>
      </c>
      <c r="R86" s="552">
        <f t="shared" si="35"/>
        <v>47033.075245911008</v>
      </c>
      <c r="S86" s="552">
        <f t="shared" si="35"/>
        <v>51606.951818288944</v>
      </c>
      <c r="T86" s="552">
        <f t="shared" si="35"/>
        <v>56222.706898970799</v>
      </c>
      <c r="U86" s="552">
        <f t="shared" si="35"/>
        <v>60933.909882141772</v>
      </c>
      <c r="V86" s="552">
        <f t="shared" si="35"/>
        <v>63248.600490628014</v>
      </c>
      <c r="W86" s="552">
        <f t="shared" si="35"/>
        <v>64012.193986725229</v>
      </c>
      <c r="X86" s="552">
        <f t="shared" si="35"/>
        <v>64782.253710489516</v>
      </c>
      <c r="Y86" s="552">
        <f t="shared" si="35"/>
        <v>65559.459775873169</v>
      </c>
      <c r="Z86" s="552">
        <f t="shared" si="35"/>
        <v>66345.372504410174</v>
      </c>
      <c r="AA86" s="552">
        <f t="shared" si="35"/>
        <v>67139.172966957369</v>
      </c>
      <c r="AB86" s="552">
        <f t="shared" si="35"/>
        <v>67943.392239212219</v>
      </c>
      <c r="AC86" s="552">
        <f t="shared" si="35"/>
        <v>68757.325291139889</v>
      </c>
      <c r="AD86" s="552">
        <f t="shared" si="35"/>
        <v>69582.846067393184</v>
      </c>
      <c r="AE86" s="552">
        <f t="shared" si="35"/>
        <v>70421.968036495309</v>
      </c>
      <c r="AF86" s="552">
        <f t="shared" si="35"/>
        <v>71274.18819790057</v>
      </c>
      <c r="AG86" s="552">
        <f t="shared" si="35"/>
        <v>72141.709815286245</v>
      </c>
      <c r="AH86" s="727">
        <f t="shared" si="35"/>
        <v>73026.91315784918</v>
      </c>
      <c r="AI86" s="18"/>
      <c r="AJ86" s="18"/>
      <c r="AK86" s="18"/>
      <c r="AL86" s="18"/>
      <c r="AM86" s="18"/>
      <c r="AN86" s="18"/>
    </row>
    <row r="87" spans="2:40" ht="21.9" customHeight="1" x14ac:dyDescent="0.25">
      <c r="B87" s="229"/>
      <c r="C87" s="690"/>
      <c r="D87" s="690"/>
      <c r="E87" s="114"/>
      <c r="F87" s="114"/>
      <c r="G87" s="114"/>
      <c r="H87" s="696" t="s">
        <v>25</v>
      </c>
      <c r="I87" s="552">
        <f t="shared" ref="I87:AH87" si="36">SUM(I85:I86)</f>
        <v>23633.094480585783</v>
      </c>
      <c r="J87" s="552">
        <f t="shared" si="36"/>
        <v>24519.073374646814</v>
      </c>
      <c r="K87" s="552">
        <f t="shared" si="36"/>
        <v>25874.301149443399</v>
      </c>
      <c r="L87" s="552">
        <f t="shared" si="36"/>
        <v>30180.130979470505</v>
      </c>
      <c r="M87" s="552">
        <f t="shared" si="36"/>
        <v>34486.652765956373</v>
      </c>
      <c r="N87" s="552">
        <f t="shared" si="36"/>
        <v>38797.884877333439</v>
      </c>
      <c r="O87" s="552">
        <f t="shared" si="36"/>
        <v>43104.189945641367</v>
      </c>
      <c r="P87" s="552">
        <f t="shared" si="36"/>
        <v>47415.524788910545</v>
      </c>
      <c r="Q87" s="552">
        <f t="shared" si="36"/>
        <v>53099.428778932415</v>
      </c>
      <c r="R87" s="552">
        <f t="shared" si="36"/>
        <v>58791.344057388764</v>
      </c>
      <c r="S87" s="552">
        <f t="shared" si="36"/>
        <v>64508.68977286118</v>
      </c>
      <c r="T87" s="552">
        <f t="shared" si="36"/>
        <v>70278.383623713496</v>
      </c>
      <c r="U87" s="552">
        <f t="shared" si="36"/>
        <v>76167.387352677208</v>
      </c>
      <c r="V87" s="552">
        <f t="shared" si="36"/>
        <v>79060.750613285025</v>
      </c>
      <c r="W87" s="552">
        <f t="shared" si="36"/>
        <v>80015.242483406531</v>
      </c>
      <c r="X87" s="552">
        <f t="shared" si="36"/>
        <v>80977.817138111888</v>
      </c>
      <c r="Y87" s="552">
        <f t="shared" si="36"/>
        <v>81949.324719841461</v>
      </c>
      <c r="Z87" s="552">
        <f t="shared" si="36"/>
        <v>82931.715630512714</v>
      </c>
      <c r="AA87" s="552">
        <f t="shared" si="36"/>
        <v>83923.966208696715</v>
      </c>
      <c r="AB87" s="552">
        <f t="shared" si="36"/>
        <v>84929.240299015277</v>
      </c>
      <c r="AC87" s="552">
        <f t="shared" si="36"/>
        <v>85946.656613924861</v>
      </c>
      <c r="AD87" s="552">
        <f t="shared" si="36"/>
        <v>86978.557584241484</v>
      </c>
      <c r="AE87" s="552">
        <f t="shared" si="36"/>
        <v>88027.46004561914</v>
      </c>
      <c r="AF87" s="552">
        <f t="shared" si="36"/>
        <v>89092.735247375706</v>
      </c>
      <c r="AG87" s="552">
        <f t="shared" si="36"/>
        <v>90177.1372691078</v>
      </c>
      <c r="AH87" s="727">
        <f t="shared" si="36"/>
        <v>91283.641447311471</v>
      </c>
      <c r="AI87" s="18"/>
      <c r="AJ87" s="18"/>
      <c r="AK87" s="18"/>
      <c r="AL87" s="18"/>
      <c r="AM87" s="18"/>
      <c r="AN87" s="18"/>
    </row>
    <row r="88" spans="2:40" ht="21.9" customHeight="1" x14ac:dyDescent="0.25">
      <c r="B88" s="229"/>
      <c r="C88" s="690"/>
      <c r="D88" s="690"/>
      <c r="E88" s="217" t="s">
        <v>321</v>
      </c>
      <c r="F88" s="217" t="s">
        <v>318</v>
      </c>
      <c r="G88" s="217" t="s">
        <v>308</v>
      </c>
      <c r="H88" s="114" t="s">
        <v>20</v>
      </c>
      <c r="I88" s="552" t="e">
        <f t="shared" ref="I88:AH88" si="37">I41*$I$20</f>
        <v>#DIV/0!</v>
      </c>
      <c r="J88" s="552" t="e">
        <f t="shared" si="37"/>
        <v>#DIV/0!</v>
      </c>
      <c r="K88" s="552" t="e">
        <f t="shared" si="37"/>
        <v>#DIV/0!</v>
      </c>
      <c r="L88" s="552" t="e">
        <f t="shared" si="37"/>
        <v>#DIV/0!</v>
      </c>
      <c r="M88" s="552" t="e">
        <f t="shared" si="37"/>
        <v>#DIV/0!</v>
      </c>
      <c r="N88" s="552" t="e">
        <f t="shared" si="37"/>
        <v>#DIV/0!</v>
      </c>
      <c r="O88" s="552" t="e">
        <f t="shared" si="37"/>
        <v>#DIV/0!</v>
      </c>
      <c r="P88" s="552" t="e">
        <f t="shared" si="37"/>
        <v>#DIV/0!</v>
      </c>
      <c r="Q88" s="552" t="e">
        <f t="shared" si="37"/>
        <v>#DIV/0!</v>
      </c>
      <c r="R88" s="552" t="e">
        <f t="shared" si="37"/>
        <v>#DIV/0!</v>
      </c>
      <c r="S88" s="552" t="e">
        <f t="shared" si="37"/>
        <v>#DIV/0!</v>
      </c>
      <c r="T88" s="552" t="e">
        <f t="shared" si="37"/>
        <v>#DIV/0!</v>
      </c>
      <c r="U88" s="552" t="e">
        <f t="shared" si="37"/>
        <v>#DIV/0!</v>
      </c>
      <c r="V88" s="552" t="e">
        <f t="shared" si="37"/>
        <v>#DIV/0!</v>
      </c>
      <c r="W88" s="552" t="e">
        <f t="shared" si="37"/>
        <v>#DIV/0!</v>
      </c>
      <c r="X88" s="552" t="e">
        <f t="shared" si="37"/>
        <v>#DIV/0!</v>
      </c>
      <c r="Y88" s="552" t="e">
        <f t="shared" si="37"/>
        <v>#DIV/0!</v>
      </c>
      <c r="Z88" s="552" t="e">
        <f t="shared" si="37"/>
        <v>#DIV/0!</v>
      </c>
      <c r="AA88" s="552" t="e">
        <f t="shared" si="37"/>
        <v>#DIV/0!</v>
      </c>
      <c r="AB88" s="552" t="e">
        <f t="shared" si="37"/>
        <v>#DIV/0!</v>
      </c>
      <c r="AC88" s="552" t="e">
        <f t="shared" si="37"/>
        <v>#DIV/0!</v>
      </c>
      <c r="AD88" s="552" t="e">
        <f t="shared" si="37"/>
        <v>#DIV/0!</v>
      </c>
      <c r="AE88" s="552" t="e">
        <f t="shared" si="37"/>
        <v>#DIV/0!</v>
      </c>
      <c r="AF88" s="552" t="e">
        <f t="shared" si="37"/>
        <v>#DIV/0!</v>
      </c>
      <c r="AG88" s="552" t="e">
        <f t="shared" si="37"/>
        <v>#DIV/0!</v>
      </c>
      <c r="AH88" s="727" t="e">
        <f t="shared" si="37"/>
        <v>#DIV/0!</v>
      </c>
      <c r="AI88" s="18"/>
      <c r="AJ88" s="18"/>
      <c r="AK88" s="18"/>
      <c r="AL88" s="18"/>
      <c r="AM88" s="18"/>
      <c r="AN88" s="18"/>
    </row>
    <row r="89" spans="2:40" ht="21.9" customHeight="1" x14ac:dyDescent="0.25">
      <c r="B89" s="229"/>
      <c r="C89" s="690"/>
      <c r="D89" s="690"/>
      <c r="E89" s="114"/>
      <c r="F89" s="114"/>
      <c r="G89" s="114"/>
      <c r="H89" s="122" t="s">
        <v>19</v>
      </c>
      <c r="I89" s="552" t="e">
        <f t="shared" ref="I89:AH89" si="38">I41*$I$21</f>
        <v>#DIV/0!</v>
      </c>
      <c r="J89" s="552" t="e">
        <f t="shared" si="38"/>
        <v>#DIV/0!</v>
      </c>
      <c r="K89" s="552" t="e">
        <f t="shared" si="38"/>
        <v>#DIV/0!</v>
      </c>
      <c r="L89" s="552" t="e">
        <f t="shared" si="38"/>
        <v>#DIV/0!</v>
      </c>
      <c r="M89" s="552" t="e">
        <f t="shared" si="38"/>
        <v>#DIV/0!</v>
      </c>
      <c r="N89" s="552" t="e">
        <f t="shared" si="38"/>
        <v>#DIV/0!</v>
      </c>
      <c r="O89" s="552" t="e">
        <f t="shared" si="38"/>
        <v>#DIV/0!</v>
      </c>
      <c r="P89" s="552" t="e">
        <f t="shared" si="38"/>
        <v>#DIV/0!</v>
      </c>
      <c r="Q89" s="552" t="e">
        <f t="shared" si="38"/>
        <v>#DIV/0!</v>
      </c>
      <c r="R89" s="552" t="e">
        <f t="shared" si="38"/>
        <v>#DIV/0!</v>
      </c>
      <c r="S89" s="552" t="e">
        <f t="shared" si="38"/>
        <v>#DIV/0!</v>
      </c>
      <c r="T89" s="552" t="e">
        <f t="shared" si="38"/>
        <v>#DIV/0!</v>
      </c>
      <c r="U89" s="552" t="e">
        <f t="shared" si="38"/>
        <v>#DIV/0!</v>
      </c>
      <c r="V89" s="552" t="e">
        <f t="shared" si="38"/>
        <v>#DIV/0!</v>
      </c>
      <c r="W89" s="552" t="e">
        <f t="shared" si="38"/>
        <v>#DIV/0!</v>
      </c>
      <c r="X89" s="552" t="e">
        <f t="shared" si="38"/>
        <v>#DIV/0!</v>
      </c>
      <c r="Y89" s="552" t="e">
        <f t="shared" si="38"/>
        <v>#DIV/0!</v>
      </c>
      <c r="Z89" s="552" t="e">
        <f t="shared" si="38"/>
        <v>#DIV/0!</v>
      </c>
      <c r="AA89" s="552" t="e">
        <f t="shared" si="38"/>
        <v>#DIV/0!</v>
      </c>
      <c r="AB89" s="552" t="e">
        <f t="shared" si="38"/>
        <v>#DIV/0!</v>
      </c>
      <c r="AC89" s="552" t="e">
        <f t="shared" si="38"/>
        <v>#DIV/0!</v>
      </c>
      <c r="AD89" s="552" t="e">
        <f t="shared" si="38"/>
        <v>#DIV/0!</v>
      </c>
      <c r="AE89" s="552" t="e">
        <f t="shared" si="38"/>
        <v>#DIV/0!</v>
      </c>
      <c r="AF89" s="552" t="e">
        <f t="shared" si="38"/>
        <v>#DIV/0!</v>
      </c>
      <c r="AG89" s="552" t="e">
        <f t="shared" si="38"/>
        <v>#DIV/0!</v>
      </c>
      <c r="AH89" s="727" t="e">
        <f t="shared" si="38"/>
        <v>#DIV/0!</v>
      </c>
      <c r="AI89" s="18"/>
      <c r="AJ89" s="18"/>
      <c r="AK89" s="18"/>
      <c r="AL89" s="18"/>
      <c r="AM89" s="18"/>
      <c r="AN89" s="18"/>
    </row>
    <row r="90" spans="2:40" ht="21.9" customHeight="1" x14ac:dyDescent="0.25">
      <c r="B90" s="229"/>
      <c r="C90" s="690"/>
      <c r="D90" s="690"/>
      <c r="E90" s="250"/>
      <c r="F90" s="250"/>
      <c r="G90" s="250"/>
      <c r="H90" s="696" t="s">
        <v>25</v>
      </c>
      <c r="I90" s="552" t="e">
        <f t="shared" ref="I90:AH90" si="39">SUM(I88:I89)</f>
        <v>#DIV/0!</v>
      </c>
      <c r="J90" s="552" t="e">
        <f t="shared" si="39"/>
        <v>#DIV/0!</v>
      </c>
      <c r="K90" s="552" t="e">
        <f t="shared" si="39"/>
        <v>#DIV/0!</v>
      </c>
      <c r="L90" s="552" t="e">
        <f t="shared" si="39"/>
        <v>#DIV/0!</v>
      </c>
      <c r="M90" s="552" t="e">
        <f t="shared" si="39"/>
        <v>#DIV/0!</v>
      </c>
      <c r="N90" s="552" t="e">
        <f t="shared" si="39"/>
        <v>#DIV/0!</v>
      </c>
      <c r="O90" s="552" t="e">
        <f t="shared" si="39"/>
        <v>#DIV/0!</v>
      </c>
      <c r="P90" s="552" t="e">
        <f t="shared" si="39"/>
        <v>#DIV/0!</v>
      </c>
      <c r="Q90" s="552" t="e">
        <f t="shared" si="39"/>
        <v>#DIV/0!</v>
      </c>
      <c r="R90" s="552" t="e">
        <f t="shared" si="39"/>
        <v>#DIV/0!</v>
      </c>
      <c r="S90" s="552" t="e">
        <f t="shared" si="39"/>
        <v>#DIV/0!</v>
      </c>
      <c r="T90" s="552" t="e">
        <f t="shared" si="39"/>
        <v>#DIV/0!</v>
      </c>
      <c r="U90" s="552" t="e">
        <f t="shared" si="39"/>
        <v>#DIV/0!</v>
      </c>
      <c r="V90" s="552" t="e">
        <f t="shared" si="39"/>
        <v>#DIV/0!</v>
      </c>
      <c r="W90" s="552" t="e">
        <f t="shared" si="39"/>
        <v>#DIV/0!</v>
      </c>
      <c r="X90" s="552" t="e">
        <f t="shared" si="39"/>
        <v>#DIV/0!</v>
      </c>
      <c r="Y90" s="552" t="e">
        <f t="shared" si="39"/>
        <v>#DIV/0!</v>
      </c>
      <c r="Z90" s="552" t="e">
        <f t="shared" si="39"/>
        <v>#DIV/0!</v>
      </c>
      <c r="AA90" s="552" t="e">
        <f t="shared" si="39"/>
        <v>#DIV/0!</v>
      </c>
      <c r="AB90" s="552" t="e">
        <f t="shared" si="39"/>
        <v>#DIV/0!</v>
      </c>
      <c r="AC90" s="552" t="e">
        <f t="shared" si="39"/>
        <v>#DIV/0!</v>
      </c>
      <c r="AD90" s="552" t="e">
        <f t="shared" si="39"/>
        <v>#DIV/0!</v>
      </c>
      <c r="AE90" s="552" t="e">
        <f t="shared" si="39"/>
        <v>#DIV/0!</v>
      </c>
      <c r="AF90" s="552" t="e">
        <f t="shared" si="39"/>
        <v>#DIV/0!</v>
      </c>
      <c r="AG90" s="552" t="e">
        <f t="shared" si="39"/>
        <v>#DIV/0!</v>
      </c>
      <c r="AH90" s="727" t="e">
        <f t="shared" si="39"/>
        <v>#DIV/0!</v>
      </c>
      <c r="AI90" s="18"/>
      <c r="AJ90" s="18"/>
      <c r="AK90" s="18"/>
      <c r="AL90" s="18"/>
      <c r="AM90" s="18"/>
      <c r="AN90" s="18"/>
    </row>
    <row r="91" spans="2:40" ht="21.9" customHeight="1" x14ac:dyDescent="0.25">
      <c r="B91" s="229"/>
      <c r="C91" s="690"/>
      <c r="D91" s="690"/>
      <c r="E91" s="217" t="s">
        <v>333</v>
      </c>
      <c r="F91" s="217" t="s">
        <v>319</v>
      </c>
      <c r="G91" s="217" t="s">
        <v>308</v>
      </c>
      <c r="H91" s="114" t="s">
        <v>20</v>
      </c>
      <c r="I91" s="552">
        <f t="shared" ref="I91:AH91" si="40">I42*$J$20</f>
        <v>7639.4156932014657</v>
      </c>
      <c r="J91" s="552">
        <f t="shared" si="40"/>
        <v>7757.5403353216989</v>
      </c>
      <c r="K91" s="552">
        <f t="shared" si="40"/>
        <v>7951.6478932373548</v>
      </c>
      <c r="L91" s="552">
        <f t="shared" si="40"/>
        <v>8611.6544998757945</v>
      </c>
      <c r="M91" s="552">
        <f t="shared" si="40"/>
        <v>9272.5342185817262</v>
      </c>
      <c r="N91" s="552">
        <f t="shared" si="40"/>
        <v>9935.7066294885481</v>
      </c>
      <c r="O91" s="552">
        <f t="shared" si="40"/>
        <v>10600.846562715271</v>
      </c>
      <c r="P91" s="552">
        <f t="shared" si="40"/>
        <v>11271.757193395411</v>
      </c>
      <c r="Q91" s="552">
        <f t="shared" si="40"/>
        <v>12078.232350266197</v>
      </c>
      <c r="R91" s="552">
        <f t="shared" si="40"/>
        <v>12906.817870345087</v>
      </c>
      <c r="S91" s="552">
        <f t="shared" si="40"/>
        <v>13774.996455566501</v>
      </c>
      <c r="T91" s="552">
        <f t="shared" si="40"/>
        <v>14709.555084349582</v>
      </c>
      <c r="U91" s="552">
        <f t="shared" si="40"/>
        <v>15755.652779491744</v>
      </c>
      <c r="V91" s="552">
        <f t="shared" si="40"/>
        <v>16223.59646203701</v>
      </c>
      <c r="W91" s="552">
        <f t="shared" si="40"/>
        <v>16406.760524314745</v>
      </c>
      <c r="X91" s="552">
        <f t="shared" si="40"/>
        <v>16595.042750169767</v>
      </c>
      <c r="Y91" s="552">
        <f t="shared" si="40"/>
        <v>16788.803960363486</v>
      </c>
      <c r="Z91" s="552">
        <f t="shared" si="40"/>
        <v>16988.826693252744</v>
      </c>
      <c r="AA91" s="552">
        <f t="shared" si="40"/>
        <v>17194.727611539376</v>
      </c>
      <c r="AB91" s="552">
        <f t="shared" si="40"/>
        <v>17407.752747664908</v>
      </c>
      <c r="AC91" s="552">
        <f t="shared" si="40"/>
        <v>17627.518355462773</v>
      </c>
      <c r="AD91" s="552">
        <f t="shared" si="40"/>
        <v>17854.921544222721</v>
      </c>
      <c r="AE91" s="552">
        <f t="shared" si="40"/>
        <v>18090.948830136062</v>
      </c>
      <c r="AF91" s="552">
        <f t="shared" si="40"/>
        <v>18335.212476529581</v>
      </c>
      <c r="AG91" s="552">
        <f t="shared" si="40"/>
        <v>18588.744641305413</v>
      </c>
      <c r="AH91" s="727">
        <f t="shared" si="40"/>
        <v>18852.684501250118</v>
      </c>
      <c r="AI91" s="18"/>
      <c r="AJ91" s="18"/>
      <c r="AK91" s="18"/>
      <c r="AL91" s="18"/>
      <c r="AM91" s="18"/>
      <c r="AN91" s="18"/>
    </row>
    <row r="92" spans="2:40" ht="21.9" customHeight="1" x14ac:dyDescent="0.25">
      <c r="B92" s="229"/>
      <c r="C92" s="690"/>
      <c r="D92" s="690"/>
      <c r="E92" s="114"/>
      <c r="F92" s="114"/>
      <c r="G92" s="114"/>
      <c r="H92" s="122" t="s">
        <v>19</v>
      </c>
      <c r="I92" s="552">
        <f t="shared" ref="I92:AH92" si="41">I42*$J$21</f>
        <v>30557.662772805863</v>
      </c>
      <c r="J92" s="552">
        <f t="shared" si="41"/>
        <v>31030.161341286796</v>
      </c>
      <c r="K92" s="552">
        <f t="shared" si="41"/>
        <v>31806.591572949419</v>
      </c>
      <c r="L92" s="552">
        <f t="shared" si="41"/>
        <v>34446.617999503178</v>
      </c>
      <c r="M92" s="552">
        <f t="shared" si="41"/>
        <v>37090.136874326905</v>
      </c>
      <c r="N92" s="552">
        <f t="shared" si="41"/>
        <v>39742.826517954192</v>
      </c>
      <c r="O92" s="552">
        <f t="shared" si="41"/>
        <v>42403.386250861084</v>
      </c>
      <c r="P92" s="552">
        <f t="shared" si="41"/>
        <v>45087.028773581646</v>
      </c>
      <c r="Q92" s="552">
        <f t="shared" si="41"/>
        <v>48312.929401064786</v>
      </c>
      <c r="R92" s="552">
        <f t="shared" si="41"/>
        <v>51627.271481380347</v>
      </c>
      <c r="S92" s="552">
        <f t="shared" si="41"/>
        <v>55099.985822266004</v>
      </c>
      <c r="T92" s="552">
        <f t="shared" si="41"/>
        <v>58838.220337398328</v>
      </c>
      <c r="U92" s="552">
        <f t="shared" si="41"/>
        <v>63022.611117966975</v>
      </c>
      <c r="V92" s="552">
        <f t="shared" si="41"/>
        <v>64894.385848148042</v>
      </c>
      <c r="W92" s="552">
        <f t="shared" si="41"/>
        <v>65627.042097258978</v>
      </c>
      <c r="X92" s="552">
        <f t="shared" si="41"/>
        <v>66380.171000679067</v>
      </c>
      <c r="Y92" s="552">
        <f t="shared" si="41"/>
        <v>67155.215841453944</v>
      </c>
      <c r="Z92" s="552">
        <f t="shared" si="41"/>
        <v>67955.306773010976</v>
      </c>
      <c r="AA92" s="552">
        <f t="shared" si="41"/>
        <v>68778.910446157504</v>
      </c>
      <c r="AB92" s="552">
        <f t="shared" si="41"/>
        <v>69631.010990659634</v>
      </c>
      <c r="AC92" s="552">
        <f t="shared" si="41"/>
        <v>70510.073421851092</v>
      </c>
      <c r="AD92" s="552">
        <f t="shared" si="41"/>
        <v>71419.686176890886</v>
      </c>
      <c r="AE92" s="552">
        <f t="shared" si="41"/>
        <v>72363.795320544246</v>
      </c>
      <c r="AF92" s="552">
        <f t="shared" si="41"/>
        <v>73340.849906118325</v>
      </c>
      <c r="AG92" s="552">
        <f t="shared" si="41"/>
        <v>74354.978565221652</v>
      </c>
      <c r="AH92" s="727">
        <f t="shared" si="41"/>
        <v>75410.738005000472</v>
      </c>
      <c r="AI92" s="18"/>
      <c r="AJ92" s="18"/>
      <c r="AK92" s="18"/>
      <c r="AL92" s="18"/>
      <c r="AM92" s="18"/>
      <c r="AN92" s="18"/>
    </row>
    <row r="93" spans="2:40" ht="21.9" customHeight="1" x14ac:dyDescent="0.25">
      <c r="B93" s="229"/>
      <c r="C93" s="690"/>
      <c r="D93" s="690"/>
      <c r="E93" s="250"/>
      <c r="F93" s="250"/>
      <c r="G93" s="250"/>
      <c r="H93" s="696" t="s">
        <v>25</v>
      </c>
      <c r="I93" s="552">
        <f t="shared" ref="I93:AH93" si="42">SUM(I91:I92)</f>
        <v>38197.078466007326</v>
      </c>
      <c r="J93" s="552">
        <f t="shared" si="42"/>
        <v>38787.701676608493</v>
      </c>
      <c r="K93" s="552">
        <f t="shared" si="42"/>
        <v>39758.239466186773</v>
      </c>
      <c r="L93" s="552">
        <f t="shared" si="42"/>
        <v>43058.272499378974</v>
      </c>
      <c r="M93" s="552">
        <f t="shared" si="42"/>
        <v>46362.671092908633</v>
      </c>
      <c r="N93" s="552">
        <f t="shared" si="42"/>
        <v>49678.533147442737</v>
      </c>
      <c r="O93" s="552">
        <f t="shared" si="42"/>
        <v>53004.232813576353</v>
      </c>
      <c r="P93" s="552">
        <f t="shared" si="42"/>
        <v>56358.785966977055</v>
      </c>
      <c r="Q93" s="552">
        <f t="shared" si="42"/>
        <v>60391.161751330983</v>
      </c>
      <c r="R93" s="552">
        <f t="shared" si="42"/>
        <v>64534.08935172543</v>
      </c>
      <c r="S93" s="552">
        <f t="shared" si="42"/>
        <v>68874.982277832503</v>
      </c>
      <c r="T93" s="552">
        <f t="shared" si="42"/>
        <v>73547.775421747909</v>
      </c>
      <c r="U93" s="552">
        <f t="shared" si="42"/>
        <v>78778.263897458717</v>
      </c>
      <c r="V93" s="552">
        <f t="shared" si="42"/>
        <v>81117.982310185049</v>
      </c>
      <c r="W93" s="552">
        <f t="shared" si="42"/>
        <v>82033.802621573719</v>
      </c>
      <c r="X93" s="552">
        <f t="shared" si="42"/>
        <v>82975.213750848838</v>
      </c>
      <c r="Y93" s="552">
        <f t="shared" si="42"/>
        <v>83944.019801817427</v>
      </c>
      <c r="Z93" s="552">
        <f t="shared" si="42"/>
        <v>84944.133466263724</v>
      </c>
      <c r="AA93" s="552">
        <f t="shared" si="42"/>
        <v>85973.63805769688</v>
      </c>
      <c r="AB93" s="552">
        <f t="shared" si="42"/>
        <v>87038.763738324546</v>
      </c>
      <c r="AC93" s="552">
        <f t="shared" si="42"/>
        <v>88137.591777313864</v>
      </c>
      <c r="AD93" s="552">
        <f t="shared" si="42"/>
        <v>89274.6077211136</v>
      </c>
      <c r="AE93" s="552">
        <f t="shared" si="42"/>
        <v>90454.744150680315</v>
      </c>
      <c r="AF93" s="552">
        <f t="shared" si="42"/>
        <v>91676.062382647913</v>
      </c>
      <c r="AG93" s="552">
        <f t="shared" si="42"/>
        <v>92943.723206527065</v>
      </c>
      <c r="AH93" s="727">
        <f t="shared" si="42"/>
        <v>94263.422506250587</v>
      </c>
      <c r="AI93" s="18"/>
      <c r="AJ93" s="18"/>
      <c r="AK93" s="18"/>
      <c r="AL93" s="18"/>
      <c r="AM93" s="18"/>
      <c r="AN93" s="18"/>
    </row>
    <row r="94" spans="2:40" ht="21.9" customHeight="1" x14ac:dyDescent="0.25">
      <c r="B94" s="229"/>
      <c r="C94" s="690"/>
      <c r="D94" s="690"/>
      <c r="E94" s="114" t="s">
        <v>319</v>
      </c>
      <c r="F94" s="114" t="s">
        <v>276</v>
      </c>
      <c r="G94" s="114" t="s">
        <v>333</v>
      </c>
      <c r="H94" s="114" t="s">
        <v>20</v>
      </c>
      <c r="I94" s="552">
        <f t="shared" ref="I94:AH94" si="43">I43*$K$20</f>
        <v>15656.001865853943</v>
      </c>
      <c r="J94" s="552">
        <f t="shared" si="43"/>
        <v>16238.170702041913</v>
      </c>
      <c r="K94" s="552">
        <f t="shared" si="43"/>
        <v>16857.882866720229</v>
      </c>
      <c r="L94" s="552">
        <f t="shared" si="43"/>
        <v>18232.686028942084</v>
      </c>
      <c r="M94" s="552">
        <f t="shared" si="43"/>
        <v>19607.836702389464</v>
      </c>
      <c r="N94" s="552">
        <f t="shared" si="43"/>
        <v>20983.744769403038</v>
      </c>
      <c r="O94" s="552">
        <f t="shared" si="43"/>
        <v>22358.567720789812</v>
      </c>
      <c r="P94" s="552">
        <f t="shared" si="43"/>
        <v>23734.615313217091</v>
      </c>
      <c r="Q94" s="552">
        <f t="shared" si="43"/>
        <v>25584.63941538869</v>
      </c>
      <c r="R94" s="552">
        <f t="shared" si="43"/>
        <v>27434.859011530003</v>
      </c>
      <c r="S94" s="552">
        <f t="shared" si="43"/>
        <v>29285.219128286899</v>
      </c>
      <c r="T94" s="552">
        <f t="shared" si="43"/>
        <v>31135.971607660904</v>
      </c>
      <c r="U94" s="552">
        <f t="shared" si="43"/>
        <v>32989.127197341812</v>
      </c>
      <c r="V94" s="552">
        <f t="shared" si="43"/>
        <v>34084.485919204279</v>
      </c>
      <c r="W94" s="552">
        <f t="shared" si="43"/>
        <v>34667.602227712778</v>
      </c>
      <c r="X94" s="552">
        <f t="shared" si="43"/>
        <v>35250.891849065905</v>
      </c>
      <c r="Y94" s="552">
        <f t="shared" si="43"/>
        <v>35834.382810653653</v>
      </c>
      <c r="Z94" s="552">
        <f t="shared" si="43"/>
        <v>36418.42111382958</v>
      </c>
      <c r="AA94" s="552">
        <f t="shared" si="43"/>
        <v>37002.415274807281</v>
      </c>
      <c r="AB94" s="552">
        <f t="shared" si="43"/>
        <v>37587.034927632572</v>
      </c>
      <c r="AC94" s="552">
        <f t="shared" si="43"/>
        <v>38171.698487925678</v>
      </c>
      <c r="AD94" s="552">
        <f t="shared" si="43"/>
        <v>38756.773263308954</v>
      </c>
      <c r="AE94" s="552">
        <f t="shared" si="43"/>
        <v>39342.634349080356</v>
      </c>
      <c r="AF94" s="552">
        <f t="shared" si="43"/>
        <v>39928.719589127351</v>
      </c>
      <c r="AG94" s="552">
        <f t="shared" si="43"/>
        <v>40515.419985154207</v>
      </c>
      <c r="AH94" s="727">
        <f t="shared" si="43"/>
        <v>41103.137304310134</v>
      </c>
      <c r="AI94" s="18"/>
      <c r="AJ94" s="18"/>
      <c r="AK94" s="18"/>
      <c r="AL94" s="18"/>
      <c r="AM94" s="18"/>
      <c r="AN94" s="18"/>
    </row>
    <row r="95" spans="2:40" ht="21.9" customHeight="1" x14ac:dyDescent="0.25">
      <c r="B95" s="229"/>
      <c r="C95" s="690"/>
      <c r="D95" s="690"/>
      <c r="E95" s="114"/>
      <c r="F95" s="114"/>
      <c r="G95" s="114"/>
      <c r="H95" s="122" t="s">
        <v>19</v>
      </c>
      <c r="I95" s="552">
        <f t="shared" ref="I95:AH95" si="44">I43*$K$21</f>
        <v>62624.007463415772</v>
      </c>
      <c r="J95" s="552">
        <f t="shared" si="44"/>
        <v>64952.68280816765</v>
      </c>
      <c r="K95" s="552">
        <f t="shared" si="44"/>
        <v>67431.531466880915</v>
      </c>
      <c r="L95" s="552">
        <f t="shared" si="44"/>
        <v>72930.744115768335</v>
      </c>
      <c r="M95" s="552">
        <f t="shared" si="44"/>
        <v>78431.346809557857</v>
      </c>
      <c r="N95" s="552">
        <f t="shared" si="44"/>
        <v>83934.979077612152</v>
      </c>
      <c r="O95" s="552">
        <f t="shared" si="44"/>
        <v>89434.270883159246</v>
      </c>
      <c r="P95" s="552">
        <f t="shared" si="44"/>
        <v>94938.461252868365</v>
      </c>
      <c r="Q95" s="552">
        <f t="shared" si="44"/>
        <v>102338.55766155476</v>
      </c>
      <c r="R95" s="552">
        <f t="shared" si="44"/>
        <v>109739.43604612001</v>
      </c>
      <c r="S95" s="552">
        <f t="shared" si="44"/>
        <v>117140.8765131476</v>
      </c>
      <c r="T95" s="552">
        <f t="shared" si="44"/>
        <v>124543.88643064362</v>
      </c>
      <c r="U95" s="552">
        <f t="shared" si="44"/>
        <v>131956.50878936725</v>
      </c>
      <c r="V95" s="552">
        <f t="shared" si="44"/>
        <v>136337.94367681711</v>
      </c>
      <c r="W95" s="552">
        <f t="shared" si="44"/>
        <v>138670.40891085111</v>
      </c>
      <c r="X95" s="552">
        <f t="shared" si="44"/>
        <v>141003.56739626362</v>
      </c>
      <c r="Y95" s="552">
        <f t="shared" si="44"/>
        <v>143337.53124261461</v>
      </c>
      <c r="Z95" s="552">
        <f t="shared" si="44"/>
        <v>145673.68445531832</v>
      </c>
      <c r="AA95" s="552">
        <f t="shared" si="44"/>
        <v>148009.66109922912</v>
      </c>
      <c r="AB95" s="552">
        <f t="shared" si="44"/>
        <v>150348.13971053029</v>
      </c>
      <c r="AC95" s="552">
        <f t="shared" si="44"/>
        <v>152686.79395170271</v>
      </c>
      <c r="AD95" s="552">
        <f t="shared" si="44"/>
        <v>155027.09305323582</v>
      </c>
      <c r="AE95" s="552">
        <f t="shared" si="44"/>
        <v>157370.53739632142</v>
      </c>
      <c r="AF95" s="552">
        <f t="shared" si="44"/>
        <v>159714.87835650941</v>
      </c>
      <c r="AG95" s="552">
        <f t="shared" si="44"/>
        <v>162061.67994061683</v>
      </c>
      <c r="AH95" s="727">
        <f t="shared" si="44"/>
        <v>164412.54921724054</v>
      </c>
      <c r="AI95" s="18"/>
      <c r="AJ95" s="18"/>
      <c r="AK95" s="18"/>
      <c r="AL95" s="18"/>
      <c r="AM95" s="18"/>
      <c r="AN95" s="18"/>
    </row>
    <row r="96" spans="2:40" ht="21.9" customHeight="1" x14ac:dyDescent="0.25">
      <c r="B96" s="229"/>
      <c r="C96" s="690"/>
      <c r="D96" s="690"/>
      <c r="E96" s="114"/>
      <c r="F96" s="114"/>
      <c r="G96" s="114"/>
      <c r="H96" s="696" t="s">
        <v>25</v>
      </c>
      <c r="I96" s="552">
        <f t="shared" ref="I96:AH96" si="45">SUM(I94:I95)</f>
        <v>78280.009329269713</v>
      </c>
      <c r="J96" s="552">
        <f t="shared" si="45"/>
        <v>81190.853510209563</v>
      </c>
      <c r="K96" s="552">
        <f t="shared" si="45"/>
        <v>84289.414333601148</v>
      </c>
      <c r="L96" s="552">
        <f t="shared" si="45"/>
        <v>91163.430144710423</v>
      </c>
      <c r="M96" s="552">
        <f t="shared" si="45"/>
        <v>98039.183511947325</v>
      </c>
      <c r="N96" s="552">
        <f t="shared" si="45"/>
        <v>104918.72384701519</v>
      </c>
      <c r="O96" s="552">
        <f t="shared" si="45"/>
        <v>111792.83860394906</v>
      </c>
      <c r="P96" s="552">
        <f t="shared" si="45"/>
        <v>118673.07656608545</v>
      </c>
      <c r="Q96" s="552">
        <f t="shared" si="45"/>
        <v>127923.19707694346</v>
      </c>
      <c r="R96" s="552">
        <f t="shared" si="45"/>
        <v>137174.29505765002</v>
      </c>
      <c r="S96" s="552">
        <f t="shared" si="45"/>
        <v>146426.09564143448</v>
      </c>
      <c r="T96" s="552">
        <f t="shared" si="45"/>
        <v>155679.85803830452</v>
      </c>
      <c r="U96" s="552">
        <f t="shared" si="45"/>
        <v>164945.63598670907</v>
      </c>
      <c r="V96" s="552">
        <f t="shared" si="45"/>
        <v>170422.42959602139</v>
      </c>
      <c r="W96" s="552">
        <f t="shared" si="45"/>
        <v>173338.01113856389</v>
      </c>
      <c r="X96" s="552">
        <f t="shared" si="45"/>
        <v>176254.45924532952</v>
      </c>
      <c r="Y96" s="552">
        <f t="shared" si="45"/>
        <v>179171.91405326826</v>
      </c>
      <c r="Z96" s="552">
        <f t="shared" si="45"/>
        <v>182092.10556914791</v>
      </c>
      <c r="AA96" s="552">
        <f t="shared" si="45"/>
        <v>185012.07637403641</v>
      </c>
      <c r="AB96" s="552">
        <f t="shared" si="45"/>
        <v>187935.17463816286</v>
      </c>
      <c r="AC96" s="552">
        <f t="shared" si="45"/>
        <v>190858.4924396284</v>
      </c>
      <c r="AD96" s="552">
        <f t="shared" si="45"/>
        <v>193783.86631654477</v>
      </c>
      <c r="AE96" s="552">
        <f t="shared" si="45"/>
        <v>196713.17174540178</v>
      </c>
      <c r="AF96" s="552">
        <f t="shared" si="45"/>
        <v>199643.59794563675</v>
      </c>
      <c r="AG96" s="552">
        <f t="shared" si="45"/>
        <v>202577.09992577104</v>
      </c>
      <c r="AH96" s="727">
        <f t="shared" si="45"/>
        <v>205515.68652155067</v>
      </c>
      <c r="AI96" s="18"/>
      <c r="AJ96" s="18"/>
      <c r="AK96" s="18"/>
      <c r="AL96" s="18"/>
      <c r="AM96" s="18"/>
      <c r="AN96" s="18"/>
    </row>
    <row r="97" spans="2:40" ht="21.9" customHeight="1" x14ac:dyDescent="0.25">
      <c r="B97" s="229"/>
      <c r="C97" s="690"/>
      <c r="D97" s="690"/>
      <c r="E97" s="114"/>
      <c r="F97" s="114" t="s">
        <v>333</v>
      </c>
      <c r="G97" s="114" t="s">
        <v>323</v>
      </c>
      <c r="H97" s="114" t="s">
        <v>20</v>
      </c>
      <c r="I97" s="552">
        <f t="shared" ref="I97:AH97" si="46">I44*$K$20</f>
        <v>2280.0875564445132</v>
      </c>
      <c r="J97" s="552">
        <f t="shared" si="46"/>
        <v>2361.2256757992427</v>
      </c>
      <c r="K97" s="552">
        <f t="shared" si="46"/>
        <v>2449.5280724221848</v>
      </c>
      <c r="L97" s="552">
        <f t="shared" si="46"/>
        <v>2618.3535746152711</v>
      </c>
      <c r="M97" s="552">
        <f t="shared" si="46"/>
        <v>2787.2450972542665</v>
      </c>
      <c r="N97" s="552">
        <f t="shared" si="46"/>
        <v>2956.1606521653448</v>
      </c>
      <c r="O97" s="552">
        <f t="shared" si="46"/>
        <v>3124.9862566386328</v>
      </c>
      <c r="P97" s="552">
        <f t="shared" si="46"/>
        <v>3293.9529540156072</v>
      </c>
      <c r="Q97" s="552">
        <f t="shared" si="46"/>
        <v>3525.7723857203418</v>
      </c>
      <c r="R97" s="552">
        <f t="shared" si="46"/>
        <v>3757.6373109333235</v>
      </c>
      <c r="S97" s="552">
        <f t="shared" si="46"/>
        <v>3989.4281020585777</v>
      </c>
      <c r="T97" s="552">
        <f t="shared" si="46"/>
        <v>4221.2503804593398</v>
      </c>
      <c r="U97" s="552">
        <f t="shared" si="46"/>
        <v>4453.2551367690776</v>
      </c>
      <c r="V97" s="552">
        <f t="shared" si="46"/>
        <v>4604.4517760591452</v>
      </c>
      <c r="W97" s="552">
        <f t="shared" si="46"/>
        <v>4685.5939126303438</v>
      </c>
      <c r="X97" s="552">
        <f t="shared" si="46"/>
        <v>4766.7368092425522</v>
      </c>
      <c r="Y97" s="552">
        <f t="shared" si="46"/>
        <v>4847.8805928793936</v>
      </c>
      <c r="Z97" s="552">
        <f t="shared" si="46"/>
        <v>4929.0554128400618</v>
      </c>
      <c r="AA97" s="552">
        <f t="shared" si="46"/>
        <v>5010.2014282097125</v>
      </c>
      <c r="AB97" s="552">
        <f t="shared" si="46"/>
        <v>5091.3788369793256</v>
      </c>
      <c r="AC97" s="552">
        <f t="shared" si="46"/>
        <v>5172.5278459679103</v>
      </c>
      <c r="AD97" s="552">
        <f t="shared" si="46"/>
        <v>5253.6787047711514</v>
      </c>
      <c r="AE97" s="552">
        <f t="shared" si="46"/>
        <v>5334.8616985303906</v>
      </c>
      <c r="AF97" s="552">
        <f t="shared" si="46"/>
        <v>5416.0171286606364</v>
      </c>
      <c r="AG97" s="552">
        <f t="shared" si="46"/>
        <v>5497.1753567190444</v>
      </c>
      <c r="AH97" s="727">
        <f t="shared" si="46"/>
        <v>5578.3667936651318</v>
      </c>
      <c r="AI97" s="18"/>
      <c r="AJ97" s="18"/>
      <c r="AK97" s="18"/>
      <c r="AL97" s="18"/>
      <c r="AM97" s="18"/>
      <c r="AN97" s="18"/>
    </row>
    <row r="98" spans="2:40" ht="21.9" customHeight="1" x14ac:dyDescent="0.25">
      <c r="B98" s="229"/>
      <c r="C98" s="690"/>
      <c r="D98" s="690"/>
      <c r="E98" s="114"/>
      <c r="F98" s="114"/>
      <c r="G98" s="114"/>
      <c r="H98" s="122" t="s">
        <v>19</v>
      </c>
      <c r="I98" s="552">
        <f t="shared" ref="I98:AH98" si="47">I44*$K$21</f>
        <v>9120.3502257780528</v>
      </c>
      <c r="J98" s="552">
        <f t="shared" si="47"/>
        <v>9444.9027031969708</v>
      </c>
      <c r="K98" s="552">
        <f t="shared" si="47"/>
        <v>9798.1122896887391</v>
      </c>
      <c r="L98" s="552">
        <f t="shared" si="47"/>
        <v>10473.414298461084</v>
      </c>
      <c r="M98" s="552">
        <f t="shared" si="47"/>
        <v>11148.980389017066</v>
      </c>
      <c r="N98" s="552">
        <f t="shared" si="47"/>
        <v>11824.642608661379</v>
      </c>
      <c r="O98" s="552">
        <f t="shared" si="47"/>
        <v>12499.945026554531</v>
      </c>
      <c r="P98" s="552">
        <f t="shared" si="47"/>
        <v>13175.811816062429</v>
      </c>
      <c r="Q98" s="552">
        <f t="shared" si="47"/>
        <v>14103.089542881367</v>
      </c>
      <c r="R98" s="552">
        <f t="shared" si="47"/>
        <v>15030.549243733294</v>
      </c>
      <c r="S98" s="552">
        <f t="shared" si="47"/>
        <v>15957.712408234311</v>
      </c>
      <c r="T98" s="552">
        <f t="shared" si="47"/>
        <v>16885.001521837359</v>
      </c>
      <c r="U98" s="552">
        <f t="shared" si="47"/>
        <v>17813.02054707631</v>
      </c>
      <c r="V98" s="552">
        <f t="shared" si="47"/>
        <v>18417.807104236581</v>
      </c>
      <c r="W98" s="552">
        <f t="shared" si="47"/>
        <v>18742.375650521375</v>
      </c>
      <c r="X98" s="552">
        <f t="shared" si="47"/>
        <v>19066.947236970209</v>
      </c>
      <c r="Y98" s="552">
        <f t="shared" si="47"/>
        <v>19391.522371517574</v>
      </c>
      <c r="Z98" s="552">
        <f t="shared" si="47"/>
        <v>19716.221651360247</v>
      </c>
      <c r="AA98" s="552">
        <f t="shared" si="47"/>
        <v>20040.80571283885</v>
      </c>
      <c r="AB98" s="552">
        <f t="shared" si="47"/>
        <v>20365.515347917302</v>
      </c>
      <c r="AC98" s="552">
        <f t="shared" si="47"/>
        <v>20690.111383871641</v>
      </c>
      <c r="AD98" s="552">
        <f t="shared" si="47"/>
        <v>21014.714819084606</v>
      </c>
      <c r="AE98" s="552">
        <f t="shared" si="47"/>
        <v>21339.446794121563</v>
      </c>
      <c r="AF98" s="552">
        <f t="shared" si="47"/>
        <v>21664.068514642546</v>
      </c>
      <c r="AG98" s="552">
        <f t="shared" si="47"/>
        <v>21988.701426876178</v>
      </c>
      <c r="AH98" s="727">
        <f t="shared" si="47"/>
        <v>22313.467174660527</v>
      </c>
      <c r="AI98" s="18"/>
      <c r="AJ98" s="18"/>
      <c r="AK98" s="18"/>
      <c r="AL98" s="18"/>
      <c r="AM98" s="18"/>
      <c r="AN98" s="18"/>
    </row>
    <row r="99" spans="2:40" ht="21.9" customHeight="1" x14ac:dyDescent="0.25">
      <c r="B99" s="229"/>
      <c r="C99" s="690"/>
      <c r="D99" s="690"/>
      <c r="E99" s="114"/>
      <c r="F99" s="114"/>
      <c r="G99" s="114"/>
      <c r="H99" s="696" t="s">
        <v>25</v>
      </c>
      <c r="I99" s="552">
        <f t="shared" ref="I99:AH99" si="48">SUM(I97:I98)</f>
        <v>11400.437782222565</v>
      </c>
      <c r="J99" s="552">
        <f t="shared" si="48"/>
        <v>11806.128378996214</v>
      </c>
      <c r="K99" s="552">
        <f t="shared" si="48"/>
        <v>12247.640362110924</v>
      </c>
      <c r="L99" s="552">
        <f t="shared" si="48"/>
        <v>13091.767873076355</v>
      </c>
      <c r="M99" s="552">
        <f t="shared" si="48"/>
        <v>13936.225486271333</v>
      </c>
      <c r="N99" s="552">
        <f t="shared" si="48"/>
        <v>14780.803260826724</v>
      </c>
      <c r="O99" s="552">
        <f t="shared" si="48"/>
        <v>15624.931283193164</v>
      </c>
      <c r="P99" s="552">
        <f t="shared" si="48"/>
        <v>16469.764770078036</v>
      </c>
      <c r="Q99" s="552">
        <f t="shared" si="48"/>
        <v>17628.861928601709</v>
      </c>
      <c r="R99" s="552">
        <f t="shared" si="48"/>
        <v>18788.186554666616</v>
      </c>
      <c r="S99" s="552">
        <f t="shared" si="48"/>
        <v>19947.140510292887</v>
      </c>
      <c r="T99" s="552">
        <f t="shared" si="48"/>
        <v>21106.251902296699</v>
      </c>
      <c r="U99" s="552">
        <f t="shared" si="48"/>
        <v>22266.275683845386</v>
      </c>
      <c r="V99" s="552">
        <f t="shared" si="48"/>
        <v>23022.258880295725</v>
      </c>
      <c r="W99" s="552">
        <f t="shared" si="48"/>
        <v>23427.969563151717</v>
      </c>
      <c r="X99" s="552">
        <f t="shared" si="48"/>
        <v>23833.684046212762</v>
      </c>
      <c r="Y99" s="552">
        <f t="shared" si="48"/>
        <v>24239.40296439697</v>
      </c>
      <c r="Z99" s="552">
        <f t="shared" si="48"/>
        <v>24645.277064200309</v>
      </c>
      <c r="AA99" s="552">
        <f t="shared" si="48"/>
        <v>25051.007141048562</v>
      </c>
      <c r="AB99" s="552">
        <f t="shared" si="48"/>
        <v>25456.894184896628</v>
      </c>
      <c r="AC99" s="552">
        <f t="shared" si="48"/>
        <v>25862.639229839551</v>
      </c>
      <c r="AD99" s="552">
        <f t="shared" si="48"/>
        <v>26268.393523855757</v>
      </c>
      <c r="AE99" s="552">
        <f t="shared" si="48"/>
        <v>26674.308492651951</v>
      </c>
      <c r="AF99" s="552">
        <f t="shared" si="48"/>
        <v>27080.08564330318</v>
      </c>
      <c r="AG99" s="552">
        <f t="shared" si="48"/>
        <v>27485.876783595224</v>
      </c>
      <c r="AH99" s="727">
        <f t="shared" si="48"/>
        <v>27891.83396832566</v>
      </c>
      <c r="AI99" s="18"/>
      <c r="AJ99" s="18"/>
      <c r="AK99" s="18"/>
      <c r="AL99" s="18"/>
      <c r="AM99" s="18"/>
      <c r="AN99" s="18"/>
    </row>
    <row r="100" spans="2:40" ht="21.9" customHeight="1" x14ac:dyDescent="0.25">
      <c r="B100" s="229"/>
      <c r="C100" s="690"/>
      <c r="D100" s="690"/>
      <c r="E100" s="114"/>
      <c r="F100" s="114" t="s">
        <v>323</v>
      </c>
      <c r="G100" s="114" t="s">
        <v>322</v>
      </c>
      <c r="H100" s="114" t="s">
        <v>20</v>
      </c>
      <c r="I100" s="552">
        <f t="shared" ref="I100:AH100" si="49">I45*$K$20</f>
        <v>686.7696641868572</v>
      </c>
      <c r="J100" s="552">
        <f t="shared" si="49"/>
        <v>711.20872710494382</v>
      </c>
      <c r="K100" s="552">
        <f t="shared" si="49"/>
        <v>737.80569436668975</v>
      </c>
      <c r="L100" s="552">
        <f t="shared" si="49"/>
        <v>788.65648552327502</v>
      </c>
      <c r="M100" s="552">
        <f t="shared" si="49"/>
        <v>839.52717153163076</v>
      </c>
      <c r="N100" s="552">
        <f t="shared" si="49"/>
        <v>890.40511238410897</v>
      </c>
      <c r="O100" s="552">
        <f t="shared" si="49"/>
        <v>941.25598735305948</v>
      </c>
      <c r="P100" s="552">
        <f t="shared" si="49"/>
        <v>992.14940529576188</v>
      </c>
      <c r="Q100" s="552">
        <f t="shared" si="49"/>
        <v>1061.9744340658337</v>
      </c>
      <c r="R100" s="552">
        <f t="shared" si="49"/>
        <v>1131.813420484063</v>
      </c>
      <c r="S100" s="552">
        <f t="shared" si="49"/>
        <v>1201.6305277171202</v>
      </c>
      <c r="T100" s="552">
        <f t="shared" si="49"/>
        <v>1271.4578891803167</v>
      </c>
      <c r="U100" s="552">
        <f t="shared" si="49"/>
        <v>1341.3414941316753</v>
      </c>
      <c r="V100" s="552">
        <f t="shared" si="49"/>
        <v>1386.8854285663776</v>
      </c>
      <c r="W100" s="552">
        <f t="shared" si="49"/>
        <v>1411.3277833474333</v>
      </c>
      <c r="X100" s="552">
        <f t="shared" si="49"/>
        <v>1435.770760935568</v>
      </c>
      <c r="Y100" s="552">
        <f t="shared" si="49"/>
        <v>1460.2144653860878</v>
      </c>
      <c r="Z100" s="552">
        <f t="shared" si="49"/>
        <v>1484.6680545394493</v>
      </c>
      <c r="AA100" s="552">
        <f t="shared" si="49"/>
        <v>1509.1135877583843</v>
      </c>
      <c r="AB100" s="552">
        <f t="shared" si="49"/>
        <v>1533.5692982821931</v>
      </c>
      <c r="AC100" s="552">
        <f t="shared" si="49"/>
        <v>1558.0172845885781</v>
      </c>
      <c r="AD100" s="552">
        <f t="shared" si="49"/>
        <v>1582.4667867048331</v>
      </c>
      <c r="AE100" s="552">
        <f t="shared" si="49"/>
        <v>1606.9270737857369</v>
      </c>
      <c r="AF100" s="552">
        <f t="shared" si="49"/>
        <v>1631.3803218246237</v>
      </c>
      <c r="AG100" s="552">
        <f t="shared" si="49"/>
        <v>1655.8358625943533</v>
      </c>
      <c r="AH100" s="727">
        <f t="shared" si="49"/>
        <v>1680.3030683500028</v>
      </c>
      <c r="AI100" s="18"/>
      <c r="AJ100" s="18"/>
      <c r="AK100" s="18"/>
      <c r="AL100" s="18"/>
      <c r="AM100" s="18"/>
      <c r="AN100" s="18"/>
    </row>
    <row r="101" spans="2:40" ht="21.9" customHeight="1" x14ac:dyDescent="0.25">
      <c r="B101" s="229"/>
      <c r="C101" s="690"/>
      <c r="D101" s="690"/>
      <c r="E101" s="114"/>
      <c r="F101" s="114"/>
      <c r="G101" s="114"/>
      <c r="H101" s="122" t="s">
        <v>19</v>
      </c>
      <c r="I101" s="552">
        <f t="shared" ref="I101:AH101" si="50">I45*$K$21</f>
        <v>2747.0786567474288</v>
      </c>
      <c r="J101" s="552">
        <f t="shared" si="50"/>
        <v>2844.8349084197753</v>
      </c>
      <c r="K101" s="552">
        <f t="shared" si="50"/>
        <v>2951.222777466759</v>
      </c>
      <c r="L101" s="552">
        <f t="shared" si="50"/>
        <v>3154.6259420931001</v>
      </c>
      <c r="M101" s="552">
        <f t="shared" si="50"/>
        <v>3358.108686126523</v>
      </c>
      <c r="N101" s="552">
        <f t="shared" si="50"/>
        <v>3561.6204495364359</v>
      </c>
      <c r="O101" s="552">
        <f t="shared" si="50"/>
        <v>3765.0239494122379</v>
      </c>
      <c r="P101" s="552">
        <f t="shared" si="50"/>
        <v>3968.5976211830475</v>
      </c>
      <c r="Q101" s="552">
        <f t="shared" si="50"/>
        <v>4247.897736263335</v>
      </c>
      <c r="R101" s="552">
        <f t="shared" si="50"/>
        <v>4527.2536819362522</v>
      </c>
      <c r="S101" s="552">
        <f t="shared" si="50"/>
        <v>4806.5221108684809</v>
      </c>
      <c r="T101" s="552">
        <f t="shared" si="50"/>
        <v>5085.8315567212667</v>
      </c>
      <c r="U101" s="552">
        <f t="shared" si="50"/>
        <v>5365.3659765267012</v>
      </c>
      <c r="V101" s="552">
        <f t="shared" si="50"/>
        <v>5547.5417142655106</v>
      </c>
      <c r="W101" s="552">
        <f t="shared" si="50"/>
        <v>5645.3111333897332</v>
      </c>
      <c r="X101" s="552">
        <f t="shared" si="50"/>
        <v>5743.0830437422719</v>
      </c>
      <c r="Y101" s="552">
        <f t="shared" si="50"/>
        <v>5840.8578615443512</v>
      </c>
      <c r="Z101" s="552">
        <f t="shared" si="50"/>
        <v>5938.672218157797</v>
      </c>
      <c r="AA101" s="552">
        <f t="shared" si="50"/>
        <v>6036.454351033537</v>
      </c>
      <c r="AB101" s="552">
        <f t="shared" si="50"/>
        <v>6134.2771931287725</v>
      </c>
      <c r="AC101" s="552">
        <f t="shared" si="50"/>
        <v>6232.0691383543126</v>
      </c>
      <c r="AD101" s="552">
        <f t="shared" si="50"/>
        <v>6329.8671468193324</v>
      </c>
      <c r="AE101" s="552">
        <f t="shared" si="50"/>
        <v>6427.7082951429475</v>
      </c>
      <c r="AF101" s="552">
        <f t="shared" si="50"/>
        <v>6525.5212872984948</v>
      </c>
      <c r="AG101" s="552">
        <f t="shared" si="50"/>
        <v>6623.3434503774133</v>
      </c>
      <c r="AH101" s="727">
        <f t="shared" si="50"/>
        <v>6721.2122734000113</v>
      </c>
      <c r="AI101" s="18"/>
      <c r="AJ101" s="18"/>
      <c r="AK101" s="18"/>
      <c r="AL101" s="18"/>
      <c r="AM101" s="18"/>
      <c r="AN101" s="18"/>
    </row>
    <row r="102" spans="2:40" ht="21.9" customHeight="1" x14ac:dyDescent="0.25">
      <c r="B102" s="229"/>
      <c r="C102" s="690"/>
      <c r="D102" s="690"/>
      <c r="E102" s="114"/>
      <c r="F102" s="114"/>
      <c r="G102" s="114"/>
      <c r="H102" s="696" t="s">
        <v>25</v>
      </c>
      <c r="I102" s="552">
        <f t="shared" ref="I102:AH102" si="51">SUM(I100:I101)</f>
        <v>3433.8483209342858</v>
      </c>
      <c r="J102" s="552">
        <f t="shared" si="51"/>
        <v>3556.0436355247193</v>
      </c>
      <c r="K102" s="552">
        <f t="shared" si="51"/>
        <v>3689.0284718334487</v>
      </c>
      <c r="L102" s="552">
        <f t="shared" si="51"/>
        <v>3943.2824276163751</v>
      </c>
      <c r="M102" s="552">
        <f t="shared" si="51"/>
        <v>4197.6358576581533</v>
      </c>
      <c r="N102" s="552">
        <f t="shared" si="51"/>
        <v>4452.0255619205445</v>
      </c>
      <c r="O102" s="552">
        <f t="shared" si="51"/>
        <v>4706.279936765297</v>
      </c>
      <c r="P102" s="552">
        <f t="shared" si="51"/>
        <v>4960.7470264788099</v>
      </c>
      <c r="Q102" s="552">
        <f t="shared" si="51"/>
        <v>5309.8721703291685</v>
      </c>
      <c r="R102" s="552">
        <f t="shared" si="51"/>
        <v>5659.0671024203148</v>
      </c>
      <c r="S102" s="552">
        <f t="shared" si="51"/>
        <v>6008.1526385856014</v>
      </c>
      <c r="T102" s="552">
        <f t="shared" si="51"/>
        <v>6357.2894459015833</v>
      </c>
      <c r="U102" s="552">
        <f t="shared" si="51"/>
        <v>6706.7074706583762</v>
      </c>
      <c r="V102" s="552">
        <f t="shared" si="51"/>
        <v>6934.427142831888</v>
      </c>
      <c r="W102" s="552">
        <f t="shared" si="51"/>
        <v>7056.6389167371663</v>
      </c>
      <c r="X102" s="552">
        <f t="shared" si="51"/>
        <v>7178.8538046778394</v>
      </c>
      <c r="Y102" s="552">
        <f t="shared" si="51"/>
        <v>7301.072326930439</v>
      </c>
      <c r="Z102" s="552">
        <f t="shared" si="51"/>
        <v>7423.3402726972463</v>
      </c>
      <c r="AA102" s="552">
        <f t="shared" si="51"/>
        <v>7545.5679387919208</v>
      </c>
      <c r="AB102" s="552">
        <f t="shared" si="51"/>
        <v>7667.8464914109654</v>
      </c>
      <c r="AC102" s="552">
        <f t="shared" si="51"/>
        <v>7790.0864229428907</v>
      </c>
      <c r="AD102" s="552">
        <f t="shared" si="51"/>
        <v>7912.3339335241653</v>
      </c>
      <c r="AE102" s="552">
        <f t="shared" si="51"/>
        <v>8034.6353689286843</v>
      </c>
      <c r="AF102" s="552">
        <f t="shared" si="51"/>
        <v>8156.9016091231188</v>
      </c>
      <c r="AG102" s="552">
        <f t="shared" si="51"/>
        <v>8279.1793129717662</v>
      </c>
      <c r="AH102" s="727">
        <f t="shared" si="51"/>
        <v>8401.5153417500151</v>
      </c>
      <c r="AI102" s="18"/>
      <c r="AJ102" s="18"/>
      <c r="AK102" s="18"/>
      <c r="AL102" s="18"/>
      <c r="AM102" s="18"/>
      <c r="AN102" s="18"/>
    </row>
    <row r="103" spans="2:40" ht="21.9" customHeight="1" x14ac:dyDescent="0.25">
      <c r="B103" s="229"/>
      <c r="C103" s="690"/>
      <c r="D103" s="690"/>
      <c r="E103" s="114"/>
      <c r="F103" s="114" t="s">
        <v>322</v>
      </c>
      <c r="G103" s="114" t="s">
        <v>326</v>
      </c>
      <c r="H103" s="114" t="s">
        <v>20</v>
      </c>
      <c r="I103" s="552">
        <f t="shared" ref="I103:AH103" si="52">I46*$K$20</f>
        <v>1762.1063593425749</v>
      </c>
      <c r="J103" s="552">
        <f t="shared" si="52"/>
        <v>1822.7903662013357</v>
      </c>
      <c r="K103" s="552">
        <f t="shared" si="52"/>
        <v>1890.4934304883245</v>
      </c>
      <c r="L103" s="552">
        <f t="shared" si="52"/>
        <v>2008.7630757640036</v>
      </c>
      <c r="M103" s="552">
        <f t="shared" si="52"/>
        <v>2127.1032080094374</v>
      </c>
      <c r="N103" s="552">
        <f t="shared" si="52"/>
        <v>2245.4022289679847</v>
      </c>
      <c r="O103" s="552">
        <f t="shared" si="52"/>
        <v>2363.6718888402197</v>
      </c>
      <c r="P103" s="552">
        <f t="shared" si="52"/>
        <v>2482.061971006814</v>
      </c>
      <c r="Q103" s="552">
        <f t="shared" si="52"/>
        <v>2634.537100277812</v>
      </c>
      <c r="R103" s="552">
        <f t="shared" si="52"/>
        <v>2787.0974497988095</v>
      </c>
      <c r="S103" s="552">
        <f t="shared" si="52"/>
        <v>2939.5433479159101</v>
      </c>
      <c r="T103" s="552">
        <f t="shared" si="52"/>
        <v>3092.0187525042056</v>
      </c>
      <c r="U103" s="552">
        <f t="shared" si="52"/>
        <v>3244.6235960296426</v>
      </c>
      <c r="V103" s="552">
        <f t="shared" si="52"/>
        <v>3346.4533359978013</v>
      </c>
      <c r="W103" s="552">
        <f t="shared" si="52"/>
        <v>3407.1377595958352</v>
      </c>
      <c r="X103" s="552">
        <f t="shared" si="52"/>
        <v>3467.8222645621231</v>
      </c>
      <c r="Y103" s="552">
        <f t="shared" si="52"/>
        <v>3528.5068649057694</v>
      </c>
      <c r="Z103" s="552">
        <f t="shared" si="52"/>
        <v>3589.2268193093887</v>
      </c>
      <c r="AA103" s="552">
        <f t="shared" si="52"/>
        <v>3649.9116611933709</v>
      </c>
      <c r="AB103" s="552">
        <f t="shared" si="52"/>
        <v>3710.631896971629</v>
      </c>
      <c r="AC103" s="552">
        <f t="shared" si="52"/>
        <v>3771.317065427465</v>
      </c>
      <c r="AD103" s="552">
        <f t="shared" si="52"/>
        <v>3832.002436765501</v>
      </c>
      <c r="AE103" s="552">
        <f t="shared" si="52"/>
        <v>3892.723285450018</v>
      </c>
      <c r="AF103" s="552">
        <f t="shared" si="52"/>
        <v>3953.4091609511497</v>
      </c>
      <c r="AG103" s="552">
        <f t="shared" si="52"/>
        <v>4014.0953465419752</v>
      </c>
      <c r="AH103" s="727">
        <f t="shared" si="52"/>
        <v>4074.8171314849251</v>
      </c>
      <c r="AI103" s="18"/>
      <c r="AJ103" s="18"/>
      <c r="AK103" s="18"/>
      <c r="AL103" s="18"/>
      <c r="AM103" s="18"/>
      <c r="AN103" s="18"/>
    </row>
    <row r="104" spans="2:40" ht="21.9" customHeight="1" x14ac:dyDescent="0.25">
      <c r="B104" s="229"/>
      <c r="C104" s="690"/>
      <c r="D104" s="690"/>
      <c r="E104" s="114"/>
      <c r="F104" s="114"/>
      <c r="G104" s="114"/>
      <c r="H104" s="122" t="s">
        <v>19</v>
      </c>
      <c r="I104" s="552">
        <f t="shared" ref="I104:AH104" si="53">I46*$K$21</f>
        <v>7048.4254373702997</v>
      </c>
      <c r="J104" s="552">
        <f t="shared" si="53"/>
        <v>7291.1614648053428</v>
      </c>
      <c r="K104" s="552">
        <f t="shared" si="53"/>
        <v>7561.9737219532981</v>
      </c>
      <c r="L104" s="552">
        <f t="shared" si="53"/>
        <v>8035.0523030560144</v>
      </c>
      <c r="M104" s="552">
        <f t="shared" si="53"/>
        <v>8508.4128320377495</v>
      </c>
      <c r="N104" s="552">
        <f t="shared" si="53"/>
        <v>8981.6089158719387</v>
      </c>
      <c r="O104" s="552">
        <f t="shared" si="53"/>
        <v>9454.6875553608788</v>
      </c>
      <c r="P104" s="552">
        <f t="shared" si="53"/>
        <v>9928.2478840272561</v>
      </c>
      <c r="Q104" s="552">
        <f t="shared" si="53"/>
        <v>10538.148401111248</v>
      </c>
      <c r="R104" s="552">
        <f t="shared" si="53"/>
        <v>11148.389799195238</v>
      </c>
      <c r="S104" s="552">
        <f t="shared" si="53"/>
        <v>11758.17339166364</v>
      </c>
      <c r="T104" s="552">
        <f t="shared" si="53"/>
        <v>12368.075010016822</v>
      </c>
      <c r="U104" s="552">
        <f t="shared" si="53"/>
        <v>12978.49438411857</v>
      </c>
      <c r="V104" s="552">
        <f t="shared" si="53"/>
        <v>13385.813343991205</v>
      </c>
      <c r="W104" s="552">
        <f t="shared" si="53"/>
        <v>13628.551038383341</v>
      </c>
      <c r="X104" s="552">
        <f t="shared" si="53"/>
        <v>13871.289058248492</v>
      </c>
      <c r="Y104" s="552">
        <f t="shared" si="53"/>
        <v>14114.027459623077</v>
      </c>
      <c r="Z104" s="552">
        <f t="shared" si="53"/>
        <v>14356.907277237555</v>
      </c>
      <c r="AA104" s="552">
        <f t="shared" si="53"/>
        <v>14599.646644773484</v>
      </c>
      <c r="AB104" s="552">
        <f t="shared" si="53"/>
        <v>14842.527587886516</v>
      </c>
      <c r="AC104" s="552">
        <f t="shared" si="53"/>
        <v>15085.26826170986</v>
      </c>
      <c r="AD104" s="552">
        <f t="shared" si="53"/>
        <v>15328.009747062004</v>
      </c>
      <c r="AE104" s="552">
        <f t="shared" si="53"/>
        <v>15570.893141800072</v>
      </c>
      <c r="AF104" s="552">
        <f t="shared" si="53"/>
        <v>15813.636643804599</v>
      </c>
      <c r="AG104" s="552">
        <f t="shared" si="53"/>
        <v>16056.381386167901</v>
      </c>
      <c r="AH104" s="727">
        <f t="shared" si="53"/>
        <v>16299.2685259397</v>
      </c>
      <c r="AI104" s="18"/>
      <c r="AJ104" s="18"/>
      <c r="AK104" s="18"/>
      <c r="AL104" s="18"/>
      <c r="AM104" s="18"/>
      <c r="AN104" s="18"/>
    </row>
    <row r="105" spans="2:40" ht="21.9" customHeight="1" x14ac:dyDescent="0.25">
      <c r="B105" s="229"/>
      <c r="C105" s="690"/>
      <c r="D105" s="690"/>
      <c r="E105" s="114"/>
      <c r="F105" s="114"/>
      <c r="G105" s="114"/>
      <c r="H105" s="696" t="s">
        <v>25</v>
      </c>
      <c r="I105" s="552">
        <f t="shared" ref="I105:AH105" si="54">SUM(I103:I104)</f>
        <v>8810.531796712874</v>
      </c>
      <c r="J105" s="552">
        <f t="shared" si="54"/>
        <v>9113.9518310066778</v>
      </c>
      <c r="K105" s="552">
        <f t="shared" si="54"/>
        <v>9452.4671524416226</v>
      </c>
      <c r="L105" s="552">
        <f t="shared" si="54"/>
        <v>10043.815378820018</v>
      </c>
      <c r="M105" s="552">
        <f t="shared" si="54"/>
        <v>10635.516040047187</v>
      </c>
      <c r="N105" s="552">
        <f t="shared" si="54"/>
        <v>11227.011144839924</v>
      </c>
      <c r="O105" s="552">
        <f t="shared" si="54"/>
        <v>11818.359444201098</v>
      </c>
      <c r="P105" s="552">
        <f t="shared" si="54"/>
        <v>12410.309855034069</v>
      </c>
      <c r="Q105" s="552">
        <f t="shared" si="54"/>
        <v>13172.68550138906</v>
      </c>
      <c r="R105" s="552">
        <f t="shared" si="54"/>
        <v>13935.487248994048</v>
      </c>
      <c r="S105" s="552">
        <f t="shared" si="54"/>
        <v>14697.716739579551</v>
      </c>
      <c r="T105" s="552">
        <f t="shared" si="54"/>
        <v>15460.093762521028</v>
      </c>
      <c r="U105" s="552">
        <f t="shared" si="54"/>
        <v>16223.117980148214</v>
      </c>
      <c r="V105" s="552">
        <f t="shared" si="54"/>
        <v>16732.266679989007</v>
      </c>
      <c r="W105" s="552">
        <f t="shared" si="54"/>
        <v>17035.688797979175</v>
      </c>
      <c r="X105" s="552">
        <f t="shared" si="54"/>
        <v>17339.111322810615</v>
      </c>
      <c r="Y105" s="552">
        <f t="shared" si="54"/>
        <v>17642.534324528846</v>
      </c>
      <c r="Z105" s="552">
        <f t="shared" si="54"/>
        <v>17946.134096546943</v>
      </c>
      <c r="AA105" s="552">
        <f t="shared" si="54"/>
        <v>18249.558305966853</v>
      </c>
      <c r="AB105" s="552">
        <f t="shared" si="54"/>
        <v>18553.159484858144</v>
      </c>
      <c r="AC105" s="552">
        <f t="shared" si="54"/>
        <v>18856.585327137323</v>
      </c>
      <c r="AD105" s="552">
        <f t="shared" si="54"/>
        <v>19160.012183827504</v>
      </c>
      <c r="AE105" s="552">
        <f t="shared" si="54"/>
        <v>19463.61642725009</v>
      </c>
      <c r="AF105" s="552">
        <f t="shared" si="54"/>
        <v>19767.045804755748</v>
      </c>
      <c r="AG105" s="552">
        <f t="shared" si="54"/>
        <v>20070.476732709874</v>
      </c>
      <c r="AH105" s="727">
        <f t="shared" si="54"/>
        <v>20374.085657424625</v>
      </c>
      <c r="AI105" s="18"/>
      <c r="AJ105" s="18"/>
      <c r="AK105" s="18"/>
      <c r="AL105" s="18"/>
      <c r="AM105" s="18"/>
      <c r="AN105" s="18"/>
    </row>
    <row r="106" spans="2:40" ht="21.9" customHeight="1" x14ac:dyDescent="0.25">
      <c r="B106" s="229"/>
      <c r="C106" s="690"/>
      <c r="D106" s="690"/>
      <c r="E106" s="114"/>
      <c r="F106" s="114" t="s">
        <v>326</v>
      </c>
      <c r="G106" s="114" t="s">
        <v>274</v>
      </c>
      <c r="H106" s="114" t="s">
        <v>20</v>
      </c>
      <c r="I106" s="552">
        <f t="shared" ref="I106:AH106" si="55">I47*$K$20</f>
        <v>12012.827293119686</v>
      </c>
      <c r="J106" s="552">
        <f t="shared" si="55"/>
        <v>12426.529045437266</v>
      </c>
      <c r="K106" s="552">
        <f t="shared" si="55"/>
        <v>12888.081894217074</v>
      </c>
      <c r="L106" s="552">
        <f t="shared" si="55"/>
        <v>13694.362848973004</v>
      </c>
      <c r="M106" s="552">
        <f t="shared" si="55"/>
        <v>14501.12432362501</v>
      </c>
      <c r="N106" s="552">
        <f t="shared" si="55"/>
        <v>15307.605510320445</v>
      </c>
      <c r="O106" s="552">
        <f t="shared" si="55"/>
        <v>16113.886501653244</v>
      </c>
      <c r="P106" s="552">
        <f t="shared" si="55"/>
        <v>16920.988398819063</v>
      </c>
      <c r="Q106" s="552">
        <f t="shared" si="55"/>
        <v>17960.458509871929</v>
      </c>
      <c r="R106" s="552">
        <f t="shared" si="55"/>
        <v>19000.509370653759</v>
      </c>
      <c r="S106" s="552">
        <f t="shared" si="55"/>
        <v>20039.779611935955</v>
      </c>
      <c r="T106" s="552">
        <f t="shared" si="55"/>
        <v>21079.250412894431</v>
      </c>
      <c r="U106" s="552">
        <f t="shared" si="55"/>
        <v>22119.602700306918</v>
      </c>
      <c r="V106" s="552">
        <f t="shared" si="55"/>
        <v>22813.805347184494</v>
      </c>
      <c r="W106" s="552">
        <f t="shared" si="55"/>
        <v>23227.508143790841</v>
      </c>
      <c r="X106" s="552">
        <f t="shared" si="55"/>
        <v>23641.211144294346</v>
      </c>
      <c r="Y106" s="552">
        <f t="shared" si="55"/>
        <v>24054.91438379982</v>
      </c>
      <c r="Z106" s="552">
        <f t="shared" si="55"/>
        <v>24468.858160338641</v>
      </c>
      <c r="AA106" s="552">
        <f t="shared" si="55"/>
        <v>24882.562005109499</v>
      </c>
      <c r="AB106" s="552">
        <f t="shared" si="55"/>
        <v>25296.506486732756</v>
      </c>
      <c r="AC106" s="552">
        <f t="shared" si="55"/>
        <v>25710.211149845785</v>
      </c>
      <c r="AD106" s="552">
        <f t="shared" si="55"/>
        <v>26123.916321352466</v>
      </c>
      <c r="AE106" s="552">
        <f t="shared" si="55"/>
        <v>26537.86233883079</v>
      </c>
      <c r="AF106" s="552">
        <f t="shared" si="55"/>
        <v>26951.568773697785</v>
      </c>
      <c r="AG106" s="552">
        <f t="shared" si="55"/>
        <v>27365.275985605014</v>
      </c>
      <c r="AH106" s="727">
        <f t="shared" si="55"/>
        <v>27779.224349212502</v>
      </c>
      <c r="AI106" s="18"/>
      <c r="AJ106" s="18"/>
      <c r="AK106" s="18"/>
      <c r="AL106" s="18"/>
      <c r="AM106" s="18"/>
      <c r="AN106" s="18"/>
    </row>
    <row r="107" spans="2:40" ht="21.9" customHeight="1" x14ac:dyDescent="0.25">
      <c r="B107" s="229"/>
      <c r="C107" s="690"/>
      <c r="D107" s="690"/>
      <c r="E107" s="114"/>
      <c r="F107" s="114"/>
      <c r="G107" s="114"/>
      <c r="H107" s="122" t="s">
        <v>19</v>
      </c>
      <c r="I107" s="552">
        <f t="shared" ref="I107:AH107" si="56">I47*$K$21</f>
        <v>48051.309172478745</v>
      </c>
      <c r="J107" s="552">
        <f t="shared" si="56"/>
        <v>49706.116181749065</v>
      </c>
      <c r="K107" s="552">
        <f t="shared" si="56"/>
        <v>51552.327576868294</v>
      </c>
      <c r="L107" s="552">
        <f t="shared" si="56"/>
        <v>54777.451395892014</v>
      </c>
      <c r="M107" s="552">
        <f t="shared" si="56"/>
        <v>58004.497294500041</v>
      </c>
      <c r="N107" s="552">
        <f t="shared" si="56"/>
        <v>61230.422041281781</v>
      </c>
      <c r="O107" s="552">
        <f t="shared" si="56"/>
        <v>64455.546006612974</v>
      </c>
      <c r="P107" s="552">
        <f t="shared" si="56"/>
        <v>67683.953595276253</v>
      </c>
      <c r="Q107" s="552">
        <f t="shared" si="56"/>
        <v>71841.834039487716</v>
      </c>
      <c r="R107" s="552">
        <f t="shared" si="56"/>
        <v>76002.037482615036</v>
      </c>
      <c r="S107" s="552">
        <f t="shared" si="56"/>
        <v>80159.118447743822</v>
      </c>
      <c r="T107" s="552">
        <f t="shared" si="56"/>
        <v>84317.001651577724</v>
      </c>
      <c r="U107" s="552">
        <f t="shared" si="56"/>
        <v>88478.41080122767</v>
      </c>
      <c r="V107" s="552">
        <f t="shared" si="56"/>
        <v>91255.221388737977</v>
      </c>
      <c r="W107" s="552">
        <f t="shared" si="56"/>
        <v>92910.032575163365</v>
      </c>
      <c r="X107" s="552">
        <f t="shared" si="56"/>
        <v>94564.844577177384</v>
      </c>
      <c r="Y107" s="552">
        <f t="shared" si="56"/>
        <v>96219.65753519928</v>
      </c>
      <c r="Z107" s="552">
        <f t="shared" si="56"/>
        <v>97875.432641354564</v>
      </c>
      <c r="AA107" s="552">
        <f t="shared" si="56"/>
        <v>99530.248020437997</v>
      </c>
      <c r="AB107" s="552">
        <f t="shared" si="56"/>
        <v>101186.02594693103</v>
      </c>
      <c r="AC107" s="552">
        <f t="shared" si="56"/>
        <v>102840.84459938314</v>
      </c>
      <c r="AD107" s="552">
        <f t="shared" si="56"/>
        <v>104495.66528540986</v>
      </c>
      <c r="AE107" s="552">
        <f t="shared" si="56"/>
        <v>106151.44935532316</v>
      </c>
      <c r="AF107" s="552">
        <f t="shared" si="56"/>
        <v>107806.27509479114</v>
      </c>
      <c r="AG107" s="552">
        <f t="shared" si="56"/>
        <v>109461.10394242006</v>
      </c>
      <c r="AH107" s="727">
        <f t="shared" si="56"/>
        <v>111116.89739685001</v>
      </c>
      <c r="AI107" s="18"/>
      <c r="AJ107" s="18"/>
      <c r="AK107" s="18"/>
      <c r="AL107" s="18"/>
      <c r="AM107" s="18"/>
      <c r="AN107" s="18"/>
    </row>
    <row r="108" spans="2:40" ht="21.9" customHeight="1" x14ac:dyDescent="0.25">
      <c r="B108" s="229"/>
      <c r="C108" s="690"/>
      <c r="D108" s="690"/>
      <c r="E108" s="114"/>
      <c r="F108" s="114"/>
      <c r="G108" s="114"/>
      <c r="H108" s="696" t="s">
        <v>25</v>
      </c>
      <c r="I108" s="552">
        <f t="shared" ref="I108:AH108" si="57">SUM(I106:I107)</f>
        <v>60064.136465598429</v>
      </c>
      <c r="J108" s="552">
        <f t="shared" si="57"/>
        <v>62132.645227186331</v>
      </c>
      <c r="K108" s="552">
        <f t="shared" si="57"/>
        <v>64440.409471085368</v>
      </c>
      <c r="L108" s="552">
        <f t="shared" si="57"/>
        <v>68471.814244865018</v>
      </c>
      <c r="M108" s="552">
        <f t="shared" si="57"/>
        <v>72505.621618125049</v>
      </c>
      <c r="N108" s="552">
        <f t="shared" si="57"/>
        <v>76538.027551602223</v>
      </c>
      <c r="O108" s="552">
        <f t="shared" si="57"/>
        <v>80569.432508266211</v>
      </c>
      <c r="P108" s="552">
        <f t="shared" si="57"/>
        <v>84604.941994095308</v>
      </c>
      <c r="Q108" s="552">
        <f t="shared" si="57"/>
        <v>89802.292549359641</v>
      </c>
      <c r="R108" s="552">
        <f t="shared" si="57"/>
        <v>95002.546853268796</v>
      </c>
      <c r="S108" s="552">
        <f t="shared" si="57"/>
        <v>100198.89805967978</v>
      </c>
      <c r="T108" s="552">
        <f t="shared" si="57"/>
        <v>105396.25206447215</v>
      </c>
      <c r="U108" s="552">
        <f t="shared" si="57"/>
        <v>110598.01350153459</v>
      </c>
      <c r="V108" s="552">
        <f t="shared" si="57"/>
        <v>114069.02673592247</v>
      </c>
      <c r="W108" s="552">
        <f t="shared" si="57"/>
        <v>116137.5407189542</v>
      </c>
      <c r="X108" s="552">
        <f t="shared" si="57"/>
        <v>118206.05572147173</v>
      </c>
      <c r="Y108" s="552">
        <f t="shared" si="57"/>
        <v>120274.57191899911</v>
      </c>
      <c r="Z108" s="552">
        <f t="shared" si="57"/>
        <v>122344.29080169321</v>
      </c>
      <c r="AA108" s="552">
        <f t="shared" si="57"/>
        <v>124412.8100255475</v>
      </c>
      <c r="AB108" s="552">
        <f t="shared" si="57"/>
        <v>126482.53243366379</v>
      </c>
      <c r="AC108" s="552">
        <f t="shared" si="57"/>
        <v>128551.05574922892</v>
      </c>
      <c r="AD108" s="552">
        <f t="shared" si="57"/>
        <v>130619.58160676234</v>
      </c>
      <c r="AE108" s="552">
        <f t="shared" si="57"/>
        <v>132689.31169415393</v>
      </c>
      <c r="AF108" s="552">
        <f t="shared" si="57"/>
        <v>134757.84386848891</v>
      </c>
      <c r="AG108" s="552">
        <f t="shared" si="57"/>
        <v>136826.37992802507</v>
      </c>
      <c r="AH108" s="727">
        <f t="shared" si="57"/>
        <v>138896.1217460625</v>
      </c>
      <c r="AI108" s="18"/>
      <c r="AJ108" s="18"/>
      <c r="AK108" s="18"/>
      <c r="AL108" s="18"/>
      <c r="AM108" s="18"/>
      <c r="AN108" s="18"/>
    </row>
    <row r="109" spans="2:40" ht="21.9" customHeight="1" x14ac:dyDescent="0.25">
      <c r="B109" s="229"/>
      <c r="C109" s="690"/>
      <c r="D109" s="690"/>
      <c r="E109" s="114"/>
      <c r="F109" s="114" t="s">
        <v>274</v>
      </c>
      <c r="G109" s="114" t="s">
        <v>317</v>
      </c>
      <c r="H109" s="114" t="s">
        <v>20</v>
      </c>
      <c r="I109" s="552">
        <f t="shared" ref="I109:AH109" si="58">I48*$K$20</f>
        <v>300.01661128584107</v>
      </c>
      <c r="J109" s="552">
        <f t="shared" si="58"/>
        <v>310.34875505825312</v>
      </c>
      <c r="K109" s="552">
        <f t="shared" si="58"/>
        <v>321.87600990454888</v>
      </c>
      <c r="L109" s="552">
        <f t="shared" si="58"/>
        <v>342.0129672738243</v>
      </c>
      <c r="M109" s="552">
        <f t="shared" si="58"/>
        <v>362.16220875973306</v>
      </c>
      <c r="N109" s="552">
        <f t="shared" si="58"/>
        <v>382.30492254225993</v>
      </c>
      <c r="O109" s="552">
        <f t="shared" si="58"/>
        <v>402.443403611051</v>
      </c>
      <c r="P109" s="552">
        <f t="shared" si="58"/>
        <v>422.60360643370842</v>
      </c>
      <c r="Q109" s="552">
        <f t="shared" si="58"/>
        <v>448.57093308607909</v>
      </c>
      <c r="R109" s="552">
        <f t="shared" si="58"/>
        <v>474.55816531037402</v>
      </c>
      <c r="S109" s="552">
        <f t="shared" si="58"/>
        <v>500.534822583101</v>
      </c>
      <c r="T109" s="552">
        <f t="shared" si="58"/>
        <v>526.5308889493914</v>
      </c>
      <c r="U109" s="552">
        <f t="shared" si="58"/>
        <v>552.57169258510737</v>
      </c>
      <c r="V109" s="552">
        <f t="shared" si="58"/>
        <v>569.9665976172472</v>
      </c>
      <c r="W109" s="552">
        <f t="shared" si="58"/>
        <v>580.34224380532794</v>
      </c>
      <c r="X109" s="552">
        <f t="shared" si="58"/>
        <v>590.72638383084563</v>
      </c>
      <c r="Y109" s="552">
        <f t="shared" si="58"/>
        <v>601.12048007055262</v>
      </c>
      <c r="Z109" s="552">
        <f t="shared" si="58"/>
        <v>611.5322610381703</v>
      </c>
      <c r="AA109" s="552">
        <f t="shared" si="58"/>
        <v>621.95157109577212</v>
      </c>
      <c r="AB109" s="552">
        <f t="shared" si="58"/>
        <v>632.39272408885472</v>
      </c>
      <c r="AC109" s="552">
        <f t="shared" si="58"/>
        <v>642.84612420080703</v>
      </c>
      <c r="AD109" s="552">
        <f t="shared" si="58"/>
        <v>653.3207027002718</v>
      </c>
      <c r="AE109" s="552">
        <f t="shared" si="58"/>
        <v>663.82583551128232</v>
      </c>
      <c r="AF109" s="552">
        <f t="shared" si="58"/>
        <v>674.35304239000232</v>
      </c>
      <c r="AG109" s="552">
        <f t="shared" si="58"/>
        <v>684.91261878992964</v>
      </c>
      <c r="AH109" s="727">
        <f t="shared" si="58"/>
        <v>695.5154853787235</v>
      </c>
      <c r="AI109" s="18"/>
      <c r="AJ109" s="18"/>
      <c r="AK109" s="18"/>
      <c r="AL109" s="18"/>
      <c r="AM109" s="18"/>
      <c r="AN109" s="18"/>
    </row>
    <row r="110" spans="2:40" ht="21.9" customHeight="1" x14ac:dyDescent="0.25">
      <c r="B110" s="229"/>
      <c r="C110" s="690"/>
      <c r="D110" s="690"/>
      <c r="E110" s="114"/>
      <c r="F110" s="114"/>
      <c r="G110" s="114"/>
      <c r="H110" s="122" t="s">
        <v>19</v>
      </c>
      <c r="I110" s="552">
        <f t="shared" ref="I110:AH110" si="59">I48*$K$21</f>
        <v>1200.0664451433643</v>
      </c>
      <c r="J110" s="552">
        <f t="shared" si="59"/>
        <v>1241.3950202330125</v>
      </c>
      <c r="K110" s="552">
        <f t="shared" si="59"/>
        <v>1287.5040396181955</v>
      </c>
      <c r="L110" s="552">
        <f t="shared" si="59"/>
        <v>1368.0518690952972</v>
      </c>
      <c r="M110" s="552">
        <f t="shared" si="59"/>
        <v>1448.6488350389322</v>
      </c>
      <c r="N110" s="552">
        <f t="shared" si="59"/>
        <v>1529.2196901690397</v>
      </c>
      <c r="O110" s="552">
        <f t="shared" si="59"/>
        <v>1609.773614444204</v>
      </c>
      <c r="P110" s="552">
        <f t="shared" si="59"/>
        <v>1690.4144257348337</v>
      </c>
      <c r="Q110" s="552">
        <f t="shared" si="59"/>
        <v>1794.2837323443164</v>
      </c>
      <c r="R110" s="552">
        <f t="shared" si="59"/>
        <v>1898.2326612414961</v>
      </c>
      <c r="S110" s="552">
        <f t="shared" si="59"/>
        <v>2002.139290332404</v>
      </c>
      <c r="T110" s="552">
        <f t="shared" si="59"/>
        <v>2106.1235557975656</v>
      </c>
      <c r="U110" s="552">
        <f t="shared" si="59"/>
        <v>2210.2867703404295</v>
      </c>
      <c r="V110" s="552">
        <f t="shared" si="59"/>
        <v>2279.8663904689888</v>
      </c>
      <c r="W110" s="552">
        <f t="shared" si="59"/>
        <v>2321.3689752213118</v>
      </c>
      <c r="X110" s="552">
        <f t="shared" si="59"/>
        <v>2362.9055353233825</v>
      </c>
      <c r="Y110" s="552">
        <f t="shared" si="59"/>
        <v>2404.4819202822105</v>
      </c>
      <c r="Z110" s="552">
        <f t="shared" si="59"/>
        <v>2446.1290441526812</v>
      </c>
      <c r="AA110" s="552">
        <f t="shared" si="59"/>
        <v>2487.8062843830885</v>
      </c>
      <c r="AB110" s="552">
        <f t="shared" si="59"/>
        <v>2529.5708963554189</v>
      </c>
      <c r="AC110" s="552">
        <f t="shared" si="59"/>
        <v>2571.3844968032281</v>
      </c>
      <c r="AD110" s="552">
        <f t="shared" si="59"/>
        <v>2613.2828108010872</v>
      </c>
      <c r="AE110" s="552">
        <f t="shared" si="59"/>
        <v>2655.3033420451293</v>
      </c>
      <c r="AF110" s="552">
        <f t="shared" si="59"/>
        <v>2697.4121695600093</v>
      </c>
      <c r="AG110" s="552">
        <f t="shared" si="59"/>
        <v>2739.6504751597186</v>
      </c>
      <c r="AH110" s="727">
        <f t="shared" si="59"/>
        <v>2782.061941514894</v>
      </c>
      <c r="AI110" s="18"/>
      <c r="AJ110" s="18"/>
      <c r="AK110" s="18"/>
      <c r="AL110" s="18"/>
      <c r="AM110" s="18"/>
      <c r="AN110" s="18"/>
    </row>
    <row r="111" spans="2:40" ht="21.9" customHeight="1" thickBot="1" x14ac:dyDescent="0.3">
      <c r="B111" s="464"/>
      <c r="C111" s="739"/>
      <c r="D111" s="739"/>
      <c r="E111" s="274"/>
      <c r="F111" s="274"/>
      <c r="G111" s="274"/>
      <c r="H111" s="740" t="s">
        <v>25</v>
      </c>
      <c r="I111" s="710">
        <f t="shared" ref="I111:AH111" si="60">SUM(I109:I110)</f>
        <v>1500.0830564292053</v>
      </c>
      <c r="J111" s="710">
        <f t="shared" si="60"/>
        <v>1551.7437752912656</v>
      </c>
      <c r="K111" s="710">
        <f t="shared" si="60"/>
        <v>1609.3800495227445</v>
      </c>
      <c r="L111" s="710">
        <f t="shared" si="60"/>
        <v>1710.0648363691216</v>
      </c>
      <c r="M111" s="710">
        <f t="shared" si="60"/>
        <v>1810.8110437986652</v>
      </c>
      <c r="N111" s="710">
        <f t="shared" si="60"/>
        <v>1911.5246127112996</v>
      </c>
      <c r="O111" s="710">
        <f t="shared" si="60"/>
        <v>2012.217018055255</v>
      </c>
      <c r="P111" s="710">
        <f t="shared" si="60"/>
        <v>2113.018032168542</v>
      </c>
      <c r="Q111" s="710">
        <f t="shared" si="60"/>
        <v>2242.8546654303955</v>
      </c>
      <c r="R111" s="710">
        <f t="shared" si="60"/>
        <v>2372.7908265518699</v>
      </c>
      <c r="S111" s="710">
        <f t="shared" si="60"/>
        <v>2502.6741129155052</v>
      </c>
      <c r="T111" s="710">
        <f t="shared" si="60"/>
        <v>2632.6544447469569</v>
      </c>
      <c r="U111" s="710">
        <f t="shared" si="60"/>
        <v>2762.858462925537</v>
      </c>
      <c r="V111" s="710">
        <f t="shared" si="60"/>
        <v>2849.8329880862361</v>
      </c>
      <c r="W111" s="710">
        <f t="shared" si="60"/>
        <v>2901.7112190266398</v>
      </c>
      <c r="X111" s="710">
        <f t="shared" si="60"/>
        <v>2953.6319191542279</v>
      </c>
      <c r="Y111" s="710">
        <f t="shared" si="60"/>
        <v>3005.6024003527632</v>
      </c>
      <c r="Z111" s="710">
        <f t="shared" si="60"/>
        <v>3057.6613051908516</v>
      </c>
      <c r="AA111" s="710">
        <f t="shared" si="60"/>
        <v>3109.7578554788606</v>
      </c>
      <c r="AB111" s="710">
        <f t="shared" si="60"/>
        <v>3161.9636204442736</v>
      </c>
      <c r="AC111" s="710">
        <f t="shared" si="60"/>
        <v>3214.2306210040351</v>
      </c>
      <c r="AD111" s="710">
        <f t="shared" si="60"/>
        <v>3266.603513501359</v>
      </c>
      <c r="AE111" s="710">
        <f t="shared" si="60"/>
        <v>3319.1291775564114</v>
      </c>
      <c r="AF111" s="710">
        <f t="shared" si="60"/>
        <v>3371.7652119500117</v>
      </c>
      <c r="AG111" s="710">
        <f t="shared" si="60"/>
        <v>3424.5630939496482</v>
      </c>
      <c r="AH111" s="741">
        <f t="shared" si="60"/>
        <v>3477.5774268936175</v>
      </c>
      <c r="AI111" s="18"/>
      <c r="AJ111" s="18"/>
      <c r="AK111" s="18"/>
      <c r="AL111" s="18"/>
      <c r="AM111" s="18"/>
      <c r="AN111" s="18"/>
    </row>
    <row r="112" spans="2:40" ht="21.9" customHeight="1" thickBot="1" x14ac:dyDescent="0.3">
      <c r="B112" s="464"/>
      <c r="C112" s="739"/>
      <c r="D112" s="739"/>
      <c r="E112" s="274"/>
      <c r="F112" s="274"/>
      <c r="G112" s="274"/>
      <c r="H112" s="742" t="s">
        <v>481</v>
      </c>
      <c r="I112" s="742">
        <f>SUM(I54,I57,I60,I63,I66,I69,I72,I75,I78,I81,I84,I87,I93,I96,I99,I102,I105,I108,I111)</f>
        <v>693970.63827823359</v>
      </c>
      <c r="J112" s="742">
        <f t="shared" ref="J112:AH112" si="61">SUM(J54,J57,J60,J63,J66,J69,J72,J75,J78,J81,J84,J87,J93,J96,J99,J102,J105,J108,J111)</f>
        <v>734103.67990457395</v>
      </c>
      <c r="K112" s="742">
        <f t="shared" si="61"/>
        <v>806547.42024517723</v>
      </c>
      <c r="L112" s="742">
        <f t="shared" si="61"/>
        <v>943798.96787216817</v>
      </c>
      <c r="M112" s="742">
        <f t="shared" si="61"/>
        <v>1089423.062971944</v>
      </c>
      <c r="N112" s="742">
        <f t="shared" si="61"/>
        <v>1277126.6282238341</v>
      </c>
      <c r="O112" s="742">
        <f t="shared" si="61"/>
        <v>1640040.4574707116</v>
      </c>
      <c r="P112" s="742">
        <f t="shared" si="61"/>
        <v>1833757.3338774079</v>
      </c>
      <c r="Q112" s="742">
        <f t="shared" si="61"/>
        <v>2100197.7787528988</v>
      </c>
      <c r="R112" s="742">
        <f t="shared" si="61"/>
        <v>2390854.5401967475</v>
      </c>
      <c r="S112" s="742">
        <f t="shared" si="61"/>
        <v>2707015.3550143074</v>
      </c>
      <c r="T112" s="742">
        <f t="shared" si="61"/>
        <v>2937648.6139823874</v>
      </c>
      <c r="U112" s="742">
        <f t="shared" si="61"/>
        <v>3202163.4178140922</v>
      </c>
      <c r="V112" s="742">
        <f t="shared" si="61"/>
        <v>3341407.9651170517</v>
      </c>
      <c r="W112" s="742">
        <f t="shared" si="61"/>
        <v>3408097.9605191066</v>
      </c>
      <c r="X112" s="742">
        <f t="shared" si="61"/>
        <v>3472730.72670335</v>
      </c>
      <c r="Y112" s="742">
        <f t="shared" si="61"/>
        <v>3538434.3154254053</v>
      </c>
      <c r="Z112" s="742">
        <f t="shared" si="61"/>
        <v>3605461.5259222798</v>
      </c>
      <c r="AA112" s="742">
        <f t="shared" si="61"/>
        <v>3673941.2687543491</v>
      </c>
      <c r="AB112" s="742">
        <f t="shared" si="61"/>
        <v>3744230.9258733499</v>
      </c>
      <c r="AC112" s="742">
        <f t="shared" si="61"/>
        <v>3816549.8262579166</v>
      </c>
      <c r="AD112" s="742">
        <f t="shared" si="61"/>
        <v>3891279.3054631604</v>
      </c>
      <c r="AE112" s="742">
        <f t="shared" si="61"/>
        <v>3968890.7884420515</v>
      </c>
      <c r="AF112" s="742">
        <f t="shared" si="61"/>
        <v>4049778.7604190614</v>
      </c>
      <c r="AG112" s="742">
        <f t="shared" si="61"/>
        <v>4134480.2102313545</v>
      </c>
      <c r="AH112" s="742">
        <f t="shared" si="61"/>
        <v>4223692.535990891</v>
      </c>
      <c r="AI112" s="18"/>
      <c r="AJ112" s="18"/>
      <c r="AK112" s="18"/>
      <c r="AL112" s="18"/>
      <c r="AM112" s="18"/>
      <c r="AN112" s="18"/>
    </row>
    <row r="113" spans="2:41" ht="21.9" customHeight="1" x14ac:dyDescent="0.25">
      <c r="B113" s="9"/>
      <c r="C113" s="690"/>
      <c r="D113" s="690"/>
      <c r="E113" s="114"/>
      <c r="F113" s="114"/>
      <c r="G113" s="114"/>
      <c r="H113" s="743"/>
      <c r="I113" s="743"/>
      <c r="J113" s="743"/>
      <c r="K113" s="743"/>
      <c r="L113" s="743"/>
      <c r="M113" s="743"/>
      <c r="N113" s="743"/>
      <c r="O113" s="743"/>
      <c r="P113" s="743"/>
      <c r="Q113" s="743"/>
      <c r="R113" s="743"/>
      <c r="S113" s="743"/>
      <c r="T113" s="743"/>
      <c r="U113" s="743"/>
      <c r="V113" s="743"/>
      <c r="W113" s="743"/>
      <c r="X113" s="743"/>
      <c r="Y113" s="743"/>
      <c r="Z113" s="743"/>
      <c r="AA113" s="743"/>
      <c r="AB113" s="743"/>
      <c r="AC113" s="743"/>
      <c r="AD113" s="743"/>
      <c r="AE113" s="743"/>
      <c r="AF113" s="743"/>
      <c r="AG113" s="743"/>
      <c r="AH113" s="743"/>
      <c r="AI113" s="18"/>
      <c r="AJ113" s="18"/>
      <c r="AK113" s="18"/>
      <c r="AL113" s="18"/>
      <c r="AM113" s="18"/>
      <c r="AN113" s="18"/>
    </row>
    <row r="114" spans="2:41" ht="21.9" customHeight="1" thickBot="1" x14ac:dyDescent="0.3">
      <c r="B114" s="9"/>
      <c r="C114" s="690"/>
      <c r="D114" s="690"/>
      <c r="E114" s="114"/>
      <c r="F114" s="114"/>
      <c r="G114" s="114"/>
      <c r="H114" s="743"/>
      <c r="I114" s="743"/>
      <c r="J114" s="743"/>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18"/>
      <c r="AJ114" s="18"/>
      <c r="AK114" s="18"/>
      <c r="AL114" s="18"/>
      <c r="AM114" s="18"/>
      <c r="AN114" s="18"/>
    </row>
    <row r="115" spans="2:41" s="7" customFormat="1" ht="21.9" customHeight="1" thickBot="1" x14ac:dyDescent="0.3">
      <c r="B115" s="231"/>
      <c r="C115" s="462" t="s">
        <v>2</v>
      </c>
      <c r="D115" s="462"/>
      <c r="E115" s="462" t="s">
        <v>312</v>
      </c>
      <c r="F115" s="1326" t="s">
        <v>18</v>
      </c>
      <c r="G115" s="1326"/>
      <c r="H115" s="462" t="s">
        <v>24</v>
      </c>
      <c r="I115" s="738">
        <v>2023</v>
      </c>
      <c r="J115" s="738">
        <v>2024</v>
      </c>
      <c r="K115" s="738">
        <v>2025</v>
      </c>
      <c r="L115" s="738">
        <v>2026</v>
      </c>
      <c r="M115" s="738">
        <v>2027</v>
      </c>
      <c r="N115" s="738">
        <v>2028</v>
      </c>
      <c r="O115" s="738">
        <v>2029</v>
      </c>
      <c r="P115" s="738">
        <v>2030</v>
      </c>
      <c r="Q115" s="738">
        <v>2031</v>
      </c>
      <c r="R115" s="738">
        <v>2032</v>
      </c>
      <c r="S115" s="738">
        <v>2033</v>
      </c>
      <c r="T115" s="738">
        <v>2034</v>
      </c>
      <c r="U115" s="738">
        <v>2035</v>
      </c>
      <c r="V115" s="738">
        <v>2036</v>
      </c>
      <c r="W115" s="738">
        <v>2037</v>
      </c>
      <c r="X115" s="738">
        <v>2038</v>
      </c>
      <c r="Y115" s="738">
        <v>2039</v>
      </c>
      <c r="Z115" s="738">
        <v>2040</v>
      </c>
      <c r="AA115" s="738">
        <v>2041</v>
      </c>
      <c r="AB115" s="738">
        <v>2042</v>
      </c>
      <c r="AC115" s="738">
        <v>2043</v>
      </c>
      <c r="AD115" s="738">
        <v>2044</v>
      </c>
      <c r="AE115" s="738">
        <v>2045</v>
      </c>
      <c r="AF115" s="738">
        <v>2046</v>
      </c>
      <c r="AG115" s="738">
        <v>2047</v>
      </c>
      <c r="AH115" s="737">
        <v>2048</v>
      </c>
      <c r="AI115" s="461"/>
      <c r="AJ115" s="461"/>
      <c r="AK115" s="461"/>
      <c r="AL115" s="461"/>
      <c r="AM115" s="461"/>
      <c r="AN115" s="461"/>
      <c r="AO115" s="461"/>
    </row>
    <row r="116" spans="2:41" ht="21.9" customHeight="1" x14ac:dyDescent="0.25">
      <c r="B116" s="196" t="s">
        <v>211</v>
      </c>
      <c r="C116" s="114" t="s">
        <v>130</v>
      </c>
      <c r="D116" s="237" t="s">
        <v>23</v>
      </c>
      <c r="E116" s="1327" t="s">
        <v>315</v>
      </c>
      <c r="F116" s="114" t="s">
        <v>316</v>
      </c>
      <c r="G116" s="114" t="s">
        <v>276</v>
      </c>
      <c r="H116" s="114" t="s">
        <v>20</v>
      </c>
      <c r="I116" s="552">
        <f t="shared" ref="I116:AH116" si="62">I52*$D$11</f>
        <v>2839.7034752162758</v>
      </c>
      <c r="J116" s="552">
        <f t="shared" si="62"/>
        <v>2970.3508563004407</v>
      </c>
      <c r="K116" s="552">
        <f t="shared" si="62"/>
        <v>3153.8126519317575</v>
      </c>
      <c r="L116" s="552">
        <f t="shared" si="62"/>
        <v>3422.9616824893242</v>
      </c>
      <c r="M116" s="552">
        <f t="shared" si="62"/>
        <v>3692.2386890041835</v>
      </c>
      <c r="N116" s="552">
        <f t="shared" si="62"/>
        <v>3961.5842708512369</v>
      </c>
      <c r="O116" s="552">
        <f t="shared" si="62"/>
        <v>4230.9352599654421</v>
      </c>
      <c r="P116" s="552">
        <f t="shared" si="62"/>
        <v>4500.6923383509293</v>
      </c>
      <c r="Q116" s="552">
        <f t="shared" si="62"/>
        <v>4767.6112633703933</v>
      </c>
      <c r="R116" s="552">
        <f t="shared" si="62"/>
        <v>5035.1568263806066</v>
      </c>
      <c r="S116" s="552">
        <f t="shared" si="62"/>
        <v>5303.5817680723067</v>
      </c>
      <c r="T116" s="552">
        <f t="shared" si="62"/>
        <v>5573.4876528292934</v>
      </c>
      <c r="U116" s="552">
        <f t="shared" si="62"/>
        <v>5845.9113629124058</v>
      </c>
      <c r="V116" s="552">
        <f t="shared" si="62"/>
        <v>6032.285314932943</v>
      </c>
      <c r="W116" s="552">
        <f t="shared" si="62"/>
        <v>6168.5511747790924</v>
      </c>
      <c r="X116" s="552">
        <f t="shared" si="62"/>
        <v>6306.1491284245003</v>
      </c>
      <c r="Y116" s="552">
        <f t="shared" si="62"/>
        <v>6445.3568464861828</v>
      </c>
      <c r="Z116" s="552">
        <f t="shared" si="62"/>
        <v>6586.5602496608426</v>
      </c>
      <c r="AA116" s="552">
        <f t="shared" si="62"/>
        <v>6730.0304868983267</v>
      </c>
      <c r="AB116" s="552">
        <f t="shared" si="62"/>
        <v>6876.3379035577818</v>
      </c>
      <c r="AC116" s="552">
        <f t="shared" si="62"/>
        <v>7025.8933526619639</v>
      </c>
      <c r="AD116" s="552">
        <f t="shared" si="62"/>
        <v>7179.3737807947382</v>
      </c>
      <c r="AE116" s="552">
        <f t="shared" si="62"/>
        <v>7337.5632206416403</v>
      </c>
      <c r="AF116" s="552">
        <f t="shared" si="62"/>
        <v>7501.1662641113817</v>
      </c>
      <c r="AG116" s="552">
        <f t="shared" si="62"/>
        <v>7671.2099199771301</v>
      </c>
      <c r="AH116" s="727">
        <f t="shared" si="62"/>
        <v>7848.8796860496504</v>
      </c>
      <c r="AI116" s="18"/>
      <c r="AJ116" s="18"/>
      <c r="AK116" s="18"/>
      <c r="AL116" s="18"/>
      <c r="AM116" s="18"/>
      <c r="AN116" s="18"/>
    </row>
    <row r="117" spans="2:41" ht="21.9" customHeight="1" x14ac:dyDescent="0.25">
      <c r="B117" s="463" t="s">
        <v>158</v>
      </c>
      <c r="C117" s="690"/>
      <c r="D117" s="237"/>
      <c r="E117" s="1327"/>
      <c r="F117" s="114"/>
      <c r="G117" s="114"/>
      <c r="H117" s="122" t="s">
        <v>19</v>
      </c>
      <c r="I117" s="552">
        <f t="shared" ref="I117:AH117" si="63">I53*$D$12</f>
        <v>6028.7662239213269</v>
      </c>
      <c r="J117" s="552">
        <f t="shared" si="63"/>
        <v>6306.1340988414368</v>
      </c>
      <c r="K117" s="552">
        <f t="shared" si="63"/>
        <v>6695.6283846128772</v>
      </c>
      <c r="L117" s="552">
        <f t="shared" si="63"/>
        <v>7267.0389557476128</v>
      </c>
      <c r="M117" s="552">
        <f t="shared" si="63"/>
        <v>7838.7212232533029</v>
      </c>
      <c r="N117" s="552">
        <f t="shared" si="63"/>
        <v>8410.5490780184136</v>
      </c>
      <c r="O117" s="552">
        <f t="shared" si="63"/>
        <v>8982.3884125559198</v>
      </c>
      <c r="P117" s="552">
        <f t="shared" si="63"/>
        <v>9555.0898854483548</v>
      </c>
      <c r="Q117" s="552">
        <f t="shared" si="63"/>
        <v>10121.765883040031</v>
      </c>
      <c r="R117" s="552">
        <f t="shared" si="63"/>
        <v>10689.772249800963</v>
      </c>
      <c r="S117" s="552">
        <f t="shared" si="63"/>
        <v>11259.645560959172</v>
      </c>
      <c r="T117" s="552">
        <f t="shared" si="63"/>
        <v>11832.662953747549</v>
      </c>
      <c r="U117" s="552">
        <f t="shared" si="63"/>
        <v>12411.025756863573</v>
      </c>
      <c r="V117" s="552">
        <f t="shared" si="63"/>
        <v>12806.70262832797</v>
      </c>
      <c r="W117" s="552">
        <f t="shared" si="63"/>
        <v>13095.998683526654</v>
      </c>
      <c r="X117" s="552">
        <f t="shared" si="63"/>
        <v>13388.122809393333</v>
      </c>
      <c r="Y117" s="552">
        <f t="shared" si="63"/>
        <v>13683.664508054499</v>
      </c>
      <c r="Z117" s="552">
        <f t="shared" si="63"/>
        <v>13983.44309944327</v>
      </c>
      <c r="AA117" s="552">
        <f t="shared" si="63"/>
        <v>14288.034240012779</v>
      </c>
      <c r="AB117" s="552">
        <f t="shared" si="63"/>
        <v>14598.648788173843</v>
      </c>
      <c r="AC117" s="552">
        <f t="shared" si="63"/>
        <v>14916.158995852837</v>
      </c>
      <c r="AD117" s="552">
        <f t="shared" si="63"/>
        <v>15242.00203870413</v>
      </c>
      <c r="AE117" s="552">
        <f t="shared" si="63"/>
        <v>15577.842439032336</v>
      </c>
      <c r="AF117" s="552">
        <f t="shared" si="63"/>
        <v>15925.176064253885</v>
      </c>
      <c r="AG117" s="552">
        <f t="shared" si="63"/>
        <v>16286.183281388574</v>
      </c>
      <c r="AH117" s="727">
        <f t="shared" si="63"/>
        <v>16663.380933910525</v>
      </c>
      <c r="AI117" s="18"/>
      <c r="AJ117" s="18"/>
      <c r="AK117" s="18"/>
      <c r="AL117" s="18"/>
      <c r="AM117" s="18"/>
      <c r="AN117" s="18"/>
    </row>
    <row r="118" spans="2:41" ht="21.9" customHeight="1" x14ac:dyDescent="0.25">
      <c r="B118" s="196"/>
      <c r="C118" s="114"/>
      <c r="D118" s="237"/>
      <c r="E118" s="1327"/>
      <c r="F118" s="114"/>
      <c r="G118" s="114"/>
      <c r="H118" s="695" t="s">
        <v>25</v>
      </c>
      <c r="I118" s="552">
        <f t="shared" ref="I118" si="64">SUM(I116:I117)</f>
        <v>8868.4696991376022</v>
      </c>
      <c r="J118" s="552">
        <f t="shared" ref="J118" si="65">SUM(J116:J117)</f>
        <v>9276.4849551418774</v>
      </c>
      <c r="K118" s="552">
        <f t="shared" ref="K118" si="66">SUM(K116:K117)</f>
        <v>9849.4410365446347</v>
      </c>
      <c r="L118" s="552">
        <f t="shared" ref="L118" si="67">SUM(L116:L117)</f>
        <v>10690.000638236937</v>
      </c>
      <c r="M118" s="552">
        <f t="shared" ref="M118" si="68">SUM(M116:M117)</f>
        <v>11530.959912257487</v>
      </c>
      <c r="N118" s="552">
        <f t="shared" ref="N118" si="69">SUM(N116:N117)</f>
        <v>12372.133348869651</v>
      </c>
      <c r="O118" s="552">
        <f t="shared" ref="O118" si="70">SUM(O116:O117)</f>
        <v>13213.323672521361</v>
      </c>
      <c r="P118" s="552">
        <f t="shared" ref="P118" si="71">SUM(P116:P117)</f>
        <v>14055.782223799284</v>
      </c>
      <c r="Q118" s="552">
        <f t="shared" ref="Q118" si="72">SUM(Q116:Q117)</f>
        <v>14889.377146410425</v>
      </c>
      <c r="R118" s="552">
        <f t="shared" ref="R118" si="73">SUM(R116:R117)</f>
        <v>15724.929076181568</v>
      </c>
      <c r="S118" s="552">
        <f t="shared" ref="S118" si="74">SUM(S116:S117)</f>
        <v>16563.227329031477</v>
      </c>
      <c r="T118" s="552">
        <f t="shared" ref="T118" si="75">SUM(T116:T117)</f>
        <v>17406.150606576841</v>
      </c>
      <c r="U118" s="552">
        <f t="shared" ref="U118" si="76">SUM(U116:U117)</f>
        <v>18256.937119775979</v>
      </c>
      <c r="V118" s="552">
        <f t="shared" ref="V118" si="77">SUM(V116:V117)</f>
        <v>18838.987943260912</v>
      </c>
      <c r="W118" s="552">
        <f t="shared" ref="W118" si="78">SUM(W116:W117)</f>
        <v>19264.549858305745</v>
      </c>
      <c r="X118" s="552">
        <f t="shared" ref="X118" si="79">SUM(X116:X117)</f>
        <v>19694.271937817834</v>
      </c>
      <c r="Y118" s="552">
        <f t="shared" ref="Y118" si="80">SUM(Y116:Y117)</f>
        <v>20129.02135454068</v>
      </c>
      <c r="Z118" s="552">
        <f t="shared" ref="Z118" si="81">SUM(Z116:Z117)</f>
        <v>20570.00334910411</v>
      </c>
      <c r="AA118" s="552">
        <f t="shared" ref="AA118" si="82">SUM(AA116:AA117)</f>
        <v>21018.064726911107</v>
      </c>
      <c r="AB118" s="552">
        <f t="shared" ref="AB118" si="83">SUM(AB116:AB117)</f>
        <v>21474.986691731625</v>
      </c>
      <c r="AC118" s="552">
        <f t="shared" ref="AC118" si="84">SUM(AC116:AC117)</f>
        <v>21942.052348514801</v>
      </c>
      <c r="AD118" s="552">
        <f t="shared" ref="AD118" si="85">SUM(AD116:AD117)</f>
        <v>22421.37581949887</v>
      </c>
      <c r="AE118" s="552">
        <f t="shared" ref="AE118" si="86">SUM(AE116:AE117)</f>
        <v>22915.405659673976</v>
      </c>
      <c r="AF118" s="552">
        <f t="shared" ref="AF118" si="87">SUM(AF116:AF117)</f>
        <v>23426.342328365266</v>
      </c>
      <c r="AG118" s="552">
        <f t="shared" ref="AG118" si="88">SUM(AG116:AG117)</f>
        <v>23957.393201365703</v>
      </c>
      <c r="AH118" s="727">
        <f t="shared" ref="AH118" si="89">SUM(AH116:AH117)</f>
        <v>24512.260619960176</v>
      </c>
      <c r="AI118" s="18"/>
      <c r="AJ118" s="18"/>
      <c r="AK118" s="18"/>
      <c r="AL118" s="18"/>
      <c r="AM118" s="18"/>
      <c r="AN118" s="18"/>
    </row>
    <row r="119" spans="2:41" ht="21.9" customHeight="1" x14ac:dyDescent="0.25">
      <c r="B119" s="194"/>
      <c r="C119" s="690"/>
      <c r="D119" s="690"/>
      <c r="E119" s="1327"/>
      <c r="F119" s="114" t="s">
        <v>276</v>
      </c>
      <c r="G119" s="114" t="s">
        <v>274</v>
      </c>
      <c r="H119" s="114" t="s">
        <v>20</v>
      </c>
      <c r="I119" s="552">
        <f t="shared" ref="I119:AH119" si="90">I55*$D$11</f>
        <v>91311.52253867338</v>
      </c>
      <c r="J119" s="552">
        <f t="shared" si="90"/>
        <v>96369.867127152436</v>
      </c>
      <c r="K119" s="552">
        <f t="shared" si="90"/>
        <v>102235.83855812903</v>
      </c>
      <c r="L119" s="552">
        <f t="shared" si="90"/>
        <v>113181.6121435958</v>
      </c>
      <c r="M119" s="552">
        <f t="shared" si="90"/>
        <v>124131.81808182244</v>
      </c>
      <c r="N119" s="552">
        <f t="shared" si="90"/>
        <v>135084.90437186838</v>
      </c>
      <c r="O119" s="552">
        <f t="shared" si="90"/>
        <v>146033.70942579003</v>
      </c>
      <c r="P119" s="552">
        <f t="shared" si="90"/>
        <v>156996.63005839172</v>
      </c>
      <c r="Q119" s="552">
        <f t="shared" si="90"/>
        <v>170001.38414748866</v>
      </c>
      <c r="R119" s="552">
        <f t="shared" si="90"/>
        <v>183029.8985494978</v>
      </c>
      <c r="S119" s="552">
        <f t="shared" si="90"/>
        <v>196093.3577533332</v>
      </c>
      <c r="T119" s="552">
        <f t="shared" si="90"/>
        <v>209228.23102901559</v>
      </c>
      <c r="U119" s="552">
        <f t="shared" si="90"/>
        <v>222503.15691066126</v>
      </c>
      <c r="V119" s="552">
        <f t="shared" si="90"/>
        <v>230670.18898881238</v>
      </c>
      <c r="W119" s="552">
        <f t="shared" si="90"/>
        <v>235953.73174040724</v>
      </c>
      <c r="X119" s="552">
        <f t="shared" si="90"/>
        <v>241291.37292536002</v>
      </c>
      <c r="Y119" s="552">
        <f t="shared" si="90"/>
        <v>246694.54114983851</v>
      </c>
      <c r="Z119" s="552">
        <f t="shared" si="90"/>
        <v>252180.45648186444</v>
      </c>
      <c r="AA119" s="552">
        <f t="shared" si="90"/>
        <v>257757.74990479107</v>
      </c>
      <c r="AB119" s="552">
        <f t="shared" si="90"/>
        <v>263452.66013114422</v>
      </c>
      <c r="AC119" s="552">
        <f t="shared" si="90"/>
        <v>269279.56551538658</v>
      </c>
      <c r="AD119" s="552">
        <f t="shared" si="90"/>
        <v>275267.90348323324</v>
      </c>
      <c r="AE119" s="552">
        <f t="shared" si="90"/>
        <v>281451.77825497329</v>
      </c>
      <c r="AF119" s="552">
        <f t="shared" si="90"/>
        <v>287857.67447309586</v>
      </c>
      <c r="AG119" s="552">
        <f t="shared" si="90"/>
        <v>294529.88093549071</v>
      </c>
      <c r="AH119" s="727">
        <f t="shared" si="90"/>
        <v>301519.6490632958</v>
      </c>
      <c r="AI119" s="18"/>
      <c r="AJ119" s="18"/>
      <c r="AK119" s="18"/>
      <c r="AL119" s="18"/>
      <c r="AM119" s="18"/>
      <c r="AN119" s="18"/>
    </row>
    <row r="120" spans="2:41" ht="21.9" customHeight="1" x14ac:dyDescent="0.25">
      <c r="B120" s="463"/>
      <c r="C120" s="690"/>
      <c r="D120" s="690"/>
      <c r="E120" s="1327"/>
      <c r="F120" s="114"/>
      <c r="G120" s="114"/>
      <c r="H120" s="122" t="s">
        <v>19</v>
      </c>
      <c r="I120" s="552">
        <f t="shared" ref="I120:AH120" si="91">I56*$D$12</f>
        <v>193856.79798629624</v>
      </c>
      <c r="J120" s="552">
        <f t="shared" si="91"/>
        <v>204595.79847354087</v>
      </c>
      <c r="K120" s="552">
        <f t="shared" si="91"/>
        <v>217049.41228998546</v>
      </c>
      <c r="L120" s="552">
        <f t="shared" si="91"/>
        <v>240287.58157867374</v>
      </c>
      <c r="M120" s="552">
        <f t="shared" si="91"/>
        <v>263535.1608704995</v>
      </c>
      <c r="N120" s="552">
        <f t="shared" si="91"/>
        <v>286788.85522606794</v>
      </c>
      <c r="O120" s="552">
        <f t="shared" si="91"/>
        <v>310033.4604031471</v>
      </c>
      <c r="P120" s="552">
        <f t="shared" si="91"/>
        <v>333308.03333028185</v>
      </c>
      <c r="Q120" s="552">
        <f t="shared" si="91"/>
        <v>360917.47314926825</v>
      </c>
      <c r="R120" s="552">
        <f t="shared" si="91"/>
        <v>388577.35674634814</v>
      </c>
      <c r="S120" s="552">
        <f t="shared" si="91"/>
        <v>416311.42908982013</v>
      </c>
      <c r="T120" s="552">
        <f t="shared" si="91"/>
        <v>444197.11541271687</v>
      </c>
      <c r="U120" s="552">
        <f t="shared" si="91"/>
        <v>472380.13715382636</v>
      </c>
      <c r="V120" s="552">
        <f t="shared" si="91"/>
        <v>489718.96410254133</v>
      </c>
      <c r="W120" s="552">
        <f t="shared" si="91"/>
        <v>500936.06629699963</v>
      </c>
      <c r="X120" s="552">
        <f t="shared" si="91"/>
        <v>512268.02090849431</v>
      </c>
      <c r="Y120" s="552">
        <f t="shared" si="91"/>
        <v>523739.09117276553</v>
      </c>
      <c r="Z120" s="552">
        <f t="shared" si="91"/>
        <v>535385.83575355005</v>
      </c>
      <c r="AA120" s="552">
        <f t="shared" si="91"/>
        <v>547226.57845872897</v>
      </c>
      <c r="AB120" s="552">
        <f t="shared" si="91"/>
        <v>559317.02477488434</v>
      </c>
      <c r="AC120" s="552">
        <f t="shared" si="91"/>
        <v>571687.70033206732</v>
      </c>
      <c r="AD120" s="552">
        <f t="shared" si="91"/>
        <v>584401.10157028283</v>
      </c>
      <c r="AE120" s="552">
        <f t="shared" si="91"/>
        <v>597529.63265889825</v>
      </c>
      <c r="AF120" s="552">
        <f t="shared" si="91"/>
        <v>611129.52120036702</v>
      </c>
      <c r="AG120" s="552">
        <f t="shared" si="91"/>
        <v>625294.79349396506</v>
      </c>
      <c r="AH120" s="727">
        <f t="shared" si="91"/>
        <v>640134.25767384528</v>
      </c>
      <c r="AI120" s="18"/>
      <c r="AJ120" s="18"/>
      <c r="AK120" s="18"/>
      <c r="AL120" s="18"/>
      <c r="AM120" s="18"/>
      <c r="AN120" s="18"/>
    </row>
    <row r="121" spans="2:41" ht="21.9" customHeight="1" x14ac:dyDescent="0.25">
      <c r="B121" s="463"/>
      <c r="C121" s="690"/>
      <c r="D121" s="690"/>
      <c r="E121" s="1327"/>
      <c r="F121" s="114"/>
      <c r="G121" s="114"/>
      <c r="H121" s="695" t="s">
        <v>25</v>
      </c>
      <c r="I121" s="552">
        <f t="shared" ref="I121" si="92">SUM(I119:I120)</f>
        <v>285168.3205249696</v>
      </c>
      <c r="J121" s="552">
        <f t="shared" ref="J121" si="93">SUM(J119:J120)</f>
        <v>300965.66560069332</v>
      </c>
      <c r="K121" s="552">
        <f t="shared" ref="K121" si="94">SUM(K119:K120)</f>
        <v>319285.25084811449</v>
      </c>
      <c r="L121" s="552">
        <f t="shared" ref="L121" si="95">SUM(L119:L120)</f>
        <v>353469.19372226956</v>
      </c>
      <c r="M121" s="552">
        <f t="shared" ref="M121" si="96">SUM(M119:M120)</f>
        <v>387666.97895232192</v>
      </c>
      <c r="N121" s="552">
        <f t="shared" ref="N121" si="97">SUM(N119:N120)</f>
        <v>421873.7595979363</v>
      </c>
      <c r="O121" s="552">
        <f t="shared" ref="O121" si="98">SUM(O119:O120)</f>
        <v>456067.16982893716</v>
      </c>
      <c r="P121" s="552">
        <f t="shared" ref="P121" si="99">SUM(P119:P120)</f>
        <v>490304.66338867357</v>
      </c>
      <c r="Q121" s="552">
        <f t="shared" ref="Q121" si="100">SUM(Q119:Q120)</f>
        <v>530918.85729675693</v>
      </c>
      <c r="R121" s="552">
        <f t="shared" ref="R121" si="101">SUM(R119:R120)</f>
        <v>571607.25529584591</v>
      </c>
      <c r="S121" s="552">
        <f t="shared" ref="S121" si="102">SUM(S119:S120)</f>
        <v>612404.7868431533</v>
      </c>
      <c r="T121" s="552">
        <f t="shared" ref="T121" si="103">SUM(T119:T120)</f>
        <v>653425.34644173249</v>
      </c>
      <c r="U121" s="552">
        <f t="shared" ref="U121" si="104">SUM(U119:U120)</f>
        <v>694883.29406448756</v>
      </c>
      <c r="V121" s="552">
        <f t="shared" ref="V121" si="105">SUM(V119:V120)</f>
        <v>720389.15309135371</v>
      </c>
      <c r="W121" s="552">
        <f t="shared" ref="W121" si="106">SUM(W119:W120)</f>
        <v>736889.79803740687</v>
      </c>
      <c r="X121" s="552">
        <f t="shared" ref="X121" si="107">SUM(X119:X120)</f>
        <v>753559.39383385435</v>
      </c>
      <c r="Y121" s="552">
        <f t="shared" ref="Y121" si="108">SUM(Y119:Y120)</f>
        <v>770433.63232260407</v>
      </c>
      <c r="Z121" s="552">
        <f t="shared" ref="Z121" si="109">SUM(Z119:Z120)</f>
        <v>787566.2922354145</v>
      </c>
      <c r="AA121" s="552">
        <f t="shared" ref="AA121" si="110">SUM(AA119:AA120)</f>
        <v>804984.32836352009</v>
      </c>
      <c r="AB121" s="552">
        <f t="shared" ref="AB121" si="111">SUM(AB119:AB120)</f>
        <v>822769.68490602856</v>
      </c>
      <c r="AC121" s="552">
        <f t="shared" ref="AC121" si="112">SUM(AC119:AC120)</f>
        <v>840967.26584745385</v>
      </c>
      <c r="AD121" s="552">
        <f t="shared" ref="AD121" si="113">SUM(AD119:AD120)</f>
        <v>859669.00505351601</v>
      </c>
      <c r="AE121" s="552">
        <f t="shared" ref="AE121" si="114">SUM(AE119:AE120)</f>
        <v>878981.4109138716</v>
      </c>
      <c r="AF121" s="552">
        <f t="shared" ref="AF121" si="115">SUM(AF119:AF120)</f>
        <v>898987.19567346293</v>
      </c>
      <c r="AG121" s="552">
        <f t="shared" ref="AG121" si="116">SUM(AG119:AG120)</f>
        <v>919824.67442945577</v>
      </c>
      <c r="AH121" s="727">
        <f t="shared" ref="AH121" si="117">SUM(AH119:AH120)</f>
        <v>941653.90673714108</v>
      </c>
      <c r="AI121" s="18"/>
      <c r="AJ121" s="18"/>
      <c r="AK121" s="18"/>
      <c r="AL121" s="18"/>
      <c r="AM121" s="18"/>
      <c r="AN121" s="18"/>
    </row>
    <row r="122" spans="2:41" ht="21.9" customHeight="1" x14ac:dyDescent="0.25">
      <c r="B122" s="463"/>
      <c r="C122" s="690"/>
      <c r="D122" s="690"/>
      <c r="E122" s="1327"/>
      <c r="F122" s="114" t="s">
        <v>274</v>
      </c>
      <c r="G122" s="114" t="s">
        <v>317</v>
      </c>
      <c r="H122" s="114" t="s">
        <v>20</v>
      </c>
      <c r="I122" s="552">
        <f t="shared" ref="I122:AH122" si="118">I58*$D$11</f>
        <v>2129.7737071876254</v>
      </c>
      <c r="J122" s="552">
        <f t="shared" si="118"/>
        <v>2218.709630098399</v>
      </c>
      <c r="K122" s="552">
        <f t="shared" si="118"/>
        <v>2328.7836791877257</v>
      </c>
      <c r="L122" s="552">
        <f t="shared" si="118"/>
        <v>2476.9810204789037</v>
      </c>
      <c r="M122" s="552">
        <f t="shared" si="118"/>
        <v>2625.2320995043146</v>
      </c>
      <c r="N122" s="552">
        <f t="shared" si="118"/>
        <v>2773.4662604444911</v>
      </c>
      <c r="O122" s="552">
        <f t="shared" si="118"/>
        <v>2921.6662824069867</v>
      </c>
      <c r="P122" s="552">
        <f t="shared" si="118"/>
        <v>3069.9749632358817</v>
      </c>
      <c r="Q122" s="552">
        <f t="shared" si="118"/>
        <v>3213.6721740955413</v>
      </c>
      <c r="R122" s="552">
        <f t="shared" si="118"/>
        <v>3357.4274162837241</v>
      </c>
      <c r="S122" s="552">
        <f t="shared" si="118"/>
        <v>3501.1364914673341</v>
      </c>
      <c r="T122" s="552">
        <f t="shared" si="118"/>
        <v>3644.8558830678517</v>
      </c>
      <c r="U122" s="552">
        <f t="shared" si="118"/>
        <v>3788.6966087476926</v>
      </c>
      <c r="V122" s="552">
        <f t="shared" si="118"/>
        <v>3894.2554624809945</v>
      </c>
      <c r="W122" s="552">
        <f t="shared" si="118"/>
        <v>3983.2413434086866</v>
      </c>
      <c r="X122" s="552">
        <f t="shared" si="118"/>
        <v>4072.2397511727409</v>
      </c>
      <c r="Y122" s="552">
        <f t="shared" si="118"/>
        <v>4161.2534382482063</v>
      </c>
      <c r="Z122" s="552">
        <f t="shared" si="118"/>
        <v>4250.3212209788535</v>
      </c>
      <c r="AA122" s="552">
        <f t="shared" si="118"/>
        <v>4339.3759194522972</v>
      </c>
      <c r="AB122" s="552">
        <f t="shared" si="118"/>
        <v>4428.4932214512928</v>
      </c>
      <c r="AC122" s="552">
        <f t="shared" si="118"/>
        <v>4517.6074348730945</v>
      </c>
      <c r="AD122" s="552">
        <f t="shared" si="118"/>
        <v>4606.7604669727498</v>
      </c>
      <c r="AE122" s="552">
        <f t="shared" si="118"/>
        <v>4695.9953720549947</v>
      </c>
      <c r="AF122" s="552">
        <f t="shared" si="118"/>
        <v>4785.2496355217045</v>
      </c>
      <c r="AG122" s="552">
        <f t="shared" si="118"/>
        <v>4874.5689549650233</v>
      </c>
      <c r="AH122" s="727">
        <f t="shared" si="118"/>
        <v>4964.0007530211078</v>
      </c>
      <c r="AI122" s="18"/>
      <c r="AJ122" s="18"/>
      <c r="AK122" s="18"/>
      <c r="AL122" s="18"/>
      <c r="AM122" s="18"/>
      <c r="AN122" s="18"/>
    </row>
    <row r="123" spans="2:41" ht="21.9" customHeight="1" x14ac:dyDescent="0.25">
      <c r="B123" s="463"/>
      <c r="C123" s="690"/>
      <c r="D123" s="690"/>
      <c r="E123" s="1327"/>
      <c r="F123" s="114"/>
      <c r="G123" s="114"/>
      <c r="H123" s="122" t="s">
        <v>19</v>
      </c>
      <c r="I123" s="552">
        <f t="shared" ref="I123:AH123" si="119">I59*$D$12</f>
        <v>4521.5663897832019</v>
      </c>
      <c r="J123" s="552">
        <f t="shared" si="119"/>
        <v>4710.3797263928991</v>
      </c>
      <c r="K123" s="552">
        <f t="shared" si="119"/>
        <v>4944.0698687164577</v>
      </c>
      <c r="L123" s="552">
        <f t="shared" si="119"/>
        <v>5258.6967772823755</v>
      </c>
      <c r="M123" s="552">
        <f t="shared" si="119"/>
        <v>5573.4377724914693</v>
      </c>
      <c r="N123" s="552">
        <f t="shared" si="119"/>
        <v>5888.1428501543369</v>
      </c>
      <c r="O123" s="552">
        <f t="shared" si="119"/>
        <v>6202.7754498569675</v>
      </c>
      <c r="P123" s="552">
        <f t="shared" si="119"/>
        <v>6517.6387352313222</v>
      </c>
      <c r="Q123" s="552">
        <f t="shared" si="119"/>
        <v>6822.7117468549886</v>
      </c>
      <c r="R123" s="552">
        <f t="shared" si="119"/>
        <v>7127.9079605370307</v>
      </c>
      <c r="S123" s="552">
        <f t="shared" si="119"/>
        <v>7433.0061604369102</v>
      </c>
      <c r="T123" s="552">
        <f t="shared" si="119"/>
        <v>7738.1262623650637</v>
      </c>
      <c r="U123" s="552">
        <f t="shared" si="119"/>
        <v>8043.5039597800769</v>
      </c>
      <c r="V123" s="552">
        <f t="shared" si="119"/>
        <v>8267.6082219248128</v>
      </c>
      <c r="W123" s="552">
        <f t="shared" si="119"/>
        <v>8456.5276207370043</v>
      </c>
      <c r="X123" s="552">
        <f t="shared" si="119"/>
        <v>8645.4736143569353</v>
      </c>
      <c r="Y123" s="552">
        <f t="shared" si="119"/>
        <v>8834.4520463625522</v>
      </c>
      <c r="Z123" s="552">
        <f t="shared" si="119"/>
        <v>9023.5453248870599</v>
      </c>
      <c r="AA123" s="552">
        <f t="shared" si="119"/>
        <v>9212.6108251845162</v>
      </c>
      <c r="AB123" s="552">
        <f t="shared" si="119"/>
        <v>9401.809234436605</v>
      </c>
      <c r="AC123" s="552">
        <f t="shared" si="119"/>
        <v>9591.0010865569257</v>
      </c>
      <c r="AD123" s="552">
        <f t="shared" si="119"/>
        <v>9780.2753517657729</v>
      </c>
      <c r="AE123" s="552">
        <f t="shared" si="119"/>
        <v>9969.7234355005348</v>
      </c>
      <c r="AF123" s="552">
        <f t="shared" si="119"/>
        <v>10159.212617601877</v>
      </c>
      <c r="AG123" s="552">
        <f t="shared" si="119"/>
        <v>10348.839915276862</v>
      </c>
      <c r="AH123" s="727">
        <f t="shared" si="119"/>
        <v>10538.706008046991</v>
      </c>
      <c r="AI123" s="18"/>
      <c r="AJ123" s="18"/>
      <c r="AK123" s="18"/>
      <c r="AL123" s="18"/>
      <c r="AM123" s="18"/>
      <c r="AN123" s="18"/>
    </row>
    <row r="124" spans="2:41" ht="21.9" customHeight="1" x14ac:dyDescent="0.25">
      <c r="B124" s="229"/>
      <c r="C124" s="690"/>
      <c r="D124" s="690"/>
      <c r="E124" s="1327"/>
      <c r="F124" s="114"/>
      <c r="G124" s="114"/>
      <c r="H124" s="696" t="s">
        <v>25</v>
      </c>
      <c r="I124" s="552">
        <f t="shared" ref="I124" si="120">SUM(I122:I123)</f>
        <v>6651.3400969708273</v>
      </c>
      <c r="J124" s="552">
        <f t="shared" ref="J124" si="121">SUM(J122:J123)</f>
        <v>6929.0893564912985</v>
      </c>
      <c r="K124" s="552">
        <f t="shared" ref="K124" si="122">SUM(K122:K123)</f>
        <v>7272.8535479041839</v>
      </c>
      <c r="L124" s="552">
        <f t="shared" ref="L124" si="123">SUM(L122:L123)</f>
        <v>7735.6777977612792</v>
      </c>
      <c r="M124" s="552">
        <f t="shared" ref="M124" si="124">SUM(M122:M123)</f>
        <v>8198.669871995784</v>
      </c>
      <c r="N124" s="552">
        <f t="shared" ref="N124" si="125">SUM(N122:N123)</f>
        <v>8661.6091105988271</v>
      </c>
      <c r="O124" s="552">
        <f t="shared" ref="O124" si="126">SUM(O122:O123)</f>
        <v>9124.4417322639547</v>
      </c>
      <c r="P124" s="552">
        <f t="shared" ref="P124" si="127">SUM(P122:P123)</f>
        <v>9587.6136984672048</v>
      </c>
      <c r="Q124" s="552">
        <f t="shared" ref="Q124" si="128">SUM(Q122:Q123)</f>
        <v>10036.38392095053</v>
      </c>
      <c r="R124" s="552">
        <f t="shared" ref="R124" si="129">SUM(R122:R123)</f>
        <v>10485.335376820754</v>
      </c>
      <c r="S124" s="552">
        <f t="shared" ref="S124" si="130">SUM(S122:S123)</f>
        <v>10934.142651904243</v>
      </c>
      <c r="T124" s="552">
        <f t="shared" ref="T124" si="131">SUM(T122:T123)</f>
        <v>11382.982145432916</v>
      </c>
      <c r="U124" s="552">
        <f t="shared" ref="U124" si="132">SUM(U122:U123)</f>
        <v>11832.200568527769</v>
      </c>
      <c r="V124" s="552">
        <f t="shared" ref="V124" si="133">SUM(V122:V123)</f>
        <v>12161.863684405807</v>
      </c>
      <c r="W124" s="552">
        <f t="shared" ref="W124" si="134">SUM(W122:W123)</f>
        <v>12439.768964145691</v>
      </c>
      <c r="X124" s="552">
        <f t="shared" ref="X124" si="135">SUM(X122:X123)</f>
        <v>12717.713365529677</v>
      </c>
      <c r="Y124" s="552">
        <f t="shared" ref="Y124" si="136">SUM(Y122:Y123)</f>
        <v>12995.705484610759</v>
      </c>
      <c r="Z124" s="552">
        <f t="shared" ref="Z124" si="137">SUM(Z122:Z123)</f>
        <v>13273.866545865912</v>
      </c>
      <c r="AA124" s="552">
        <f t="shared" ref="AA124" si="138">SUM(AA122:AA123)</f>
        <v>13551.986744636813</v>
      </c>
      <c r="AB124" s="552">
        <f t="shared" ref="AB124" si="139">SUM(AB122:AB123)</f>
        <v>13830.302455887897</v>
      </c>
      <c r="AC124" s="552">
        <f t="shared" ref="AC124" si="140">SUM(AC122:AC123)</f>
        <v>14108.60852143002</v>
      </c>
      <c r="AD124" s="552">
        <f t="shared" ref="AD124" si="141">SUM(AD122:AD123)</f>
        <v>14387.035818738523</v>
      </c>
      <c r="AE124" s="552">
        <f t="shared" ref="AE124" si="142">SUM(AE122:AE123)</f>
        <v>14665.71880755553</v>
      </c>
      <c r="AF124" s="552">
        <f t="shared" ref="AF124" si="143">SUM(AF122:AF123)</f>
        <v>14944.462253123582</v>
      </c>
      <c r="AG124" s="552">
        <f t="shared" ref="AG124" si="144">SUM(AG122:AG123)</f>
        <v>15223.408870241885</v>
      </c>
      <c r="AH124" s="727">
        <f t="shared" ref="AH124" si="145">SUM(AH122:AH123)</f>
        <v>15502.706761068099</v>
      </c>
      <c r="AI124" s="18"/>
      <c r="AJ124" s="18"/>
      <c r="AK124" s="18"/>
      <c r="AL124" s="18"/>
      <c r="AM124" s="18"/>
      <c r="AN124" s="18"/>
    </row>
    <row r="125" spans="2:41" ht="21.9" customHeight="1" x14ac:dyDescent="0.25">
      <c r="B125" s="229"/>
      <c r="C125" s="690"/>
      <c r="D125" s="690"/>
      <c r="E125" s="1325" t="s">
        <v>274</v>
      </c>
      <c r="F125" s="217" t="s">
        <v>275</v>
      </c>
      <c r="G125" s="217" t="s">
        <v>318</v>
      </c>
      <c r="H125" s="114" t="s">
        <v>20</v>
      </c>
      <c r="I125" s="552">
        <f t="shared" ref="I125:AH125" si="146">I61*$D$11</f>
        <v>21228.695270395223</v>
      </c>
      <c r="J125" s="552">
        <f t="shared" si="146"/>
        <v>23549.067321861494</v>
      </c>
      <c r="K125" s="552">
        <f t="shared" si="146"/>
        <v>26007.436053242141</v>
      </c>
      <c r="L125" s="552">
        <f t="shared" si="146"/>
        <v>33870.534291887438</v>
      </c>
      <c r="M125" s="552">
        <f t="shared" si="146"/>
        <v>44048.647013187627</v>
      </c>
      <c r="N125" s="552">
        <f t="shared" si="146"/>
        <v>67423.677314522502</v>
      </c>
      <c r="O125" s="552">
        <f t="shared" si="146"/>
        <v>147664.89133934223</v>
      </c>
      <c r="P125" s="552">
        <f t="shared" si="146"/>
        <v>167557.32928610666</v>
      </c>
      <c r="Q125" s="552">
        <f t="shared" si="146"/>
        <v>194254.58313968458</v>
      </c>
      <c r="R125" s="552">
        <f t="shared" si="146"/>
        <v>220984.53215256354</v>
      </c>
      <c r="S125" s="552">
        <f t="shared" si="146"/>
        <v>247775.55673007929</v>
      </c>
      <c r="T125" s="552">
        <f t="shared" si="146"/>
        <v>274790.53390804969</v>
      </c>
      <c r="U125" s="552">
        <f t="shared" si="146"/>
        <v>302449.30162083014</v>
      </c>
      <c r="V125" s="552">
        <f t="shared" si="146"/>
        <v>317956.20963383507</v>
      </c>
      <c r="W125" s="552">
        <f t="shared" si="146"/>
        <v>326109.87173218175</v>
      </c>
      <c r="X125" s="552">
        <f t="shared" si="146"/>
        <v>333529.83378357638</v>
      </c>
      <c r="Y125" s="552">
        <f t="shared" si="146"/>
        <v>341229.78437956603</v>
      </c>
      <c r="Z125" s="552">
        <f t="shared" si="146"/>
        <v>349271.24239483598</v>
      </c>
      <c r="AA125" s="552">
        <f t="shared" si="146"/>
        <v>357697.61838955397</v>
      </c>
      <c r="AB125" s="552">
        <f t="shared" si="146"/>
        <v>366591.42581565294</v>
      </c>
      <c r="AC125" s="552">
        <f t="shared" si="146"/>
        <v>376020.57702872017</v>
      </c>
      <c r="AD125" s="552">
        <f t="shared" si="146"/>
        <v>386077.33025826252</v>
      </c>
      <c r="AE125" s="552">
        <f t="shared" si="146"/>
        <v>396882.07940434251</v>
      </c>
      <c r="AF125" s="552">
        <f t="shared" si="146"/>
        <v>408543.62173368235</v>
      </c>
      <c r="AG125" s="552">
        <f t="shared" si="146"/>
        <v>421194.29225950112</v>
      </c>
      <c r="AH125" s="727">
        <f t="shared" si="146"/>
        <v>435010.02891407342</v>
      </c>
      <c r="AI125" s="18"/>
      <c r="AJ125" s="18"/>
      <c r="AK125" s="18"/>
      <c r="AL125" s="18"/>
      <c r="AM125" s="18"/>
      <c r="AN125" s="18"/>
    </row>
    <row r="126" spans="2:41" ht="21.9" customHeight="1" x14ac:dyDescent="0.25">
      <c r="B126" s="229"/>
      <c r="C126" s="690"/>
      <c r="D126" s="690"/>
      <c r="E126" s="1325"/>
      <c r="F126" s="114"/>
      <c r="G126" s="114"/>
      <c r="H126" s="122" t="s">
        <v>19</v>
      </c>
      <c r="I126" s="552">
        <f t="shared" ref="I126:AH126" si="147">I62*$D$12</f>
        <v>50847.17430034784</v>
      </c>
      <c r="J126" s="552">
        <f t="shared" si="147"/>
        <v>56404.951669129325</v>
      </c>
      <c r="K126" s="552">
        <f t="shared" si="147"/>
        <v>62293.26000776561</v>
      </c>
      <c r="L126" s="552">
        <f t="shared" si="147"/>
        <v>81127.028244041765</v>
      </c>
      <c r="M126" s="552">
        <f t="shared" si="147"/>
        <v>105505.7413489524</v>
      </c>
      <c r="N126" s="552">
        <f t="shared" si="147"/>
        <v>161493.83787909581</v>
      </c>
      <c r="O126" s="552">
        <f t="shared" si="147"/>
        <v>353688.36248944246</v>
      </c>
      <c r="P126" s="552">
        <f t="shared" si="147"/>
        <v>401334.9204457645</v>
      </c>
      <c r="Q126" s="552">
        <f t="shared" si="147"/>
        <v>465280.43865792715</v>
      </c>
      <c r="R126" s="552">
        <f t="shared" si="147"/>
        <v>529304.2686288947</v>
      </c>
      <c r="S126" s="552">
        <f t="shared" si="147"/>
        <v>593474.38737743546</v>
      </c>
      <c r="T126" s="552">
        <f t="shared" si="147"/>
        <v>658180.9195402388</v>
      </c>
      <c r="U126" s="552">
        <f t="shared" si="147"/>
        <v>724429.46496007219</v>
      </c>
      <c r="V126" s="552">
        <f t="shared" si="147"/>
        <v>761571.75960200024</v>
      </c>
      <c r="W126" s="552">
        <f t="shared" si="147"/>
        <v>781101.48917887849</v>
      </c>
      <c r="X126" s="552">
        <f t="shared" si="147"/>
        <v>798873.85337383568</v>
      </c>
      <c r="Y126" s="552">
        <f t="shared" si="147"/>
        <v>817316.8488133318</v>
      </c>
      <c r="Z126" s="552">
        <f t="shared" si="147"/>
        <v>836577.82609541551</v>
      </c>
      <c r="AA126" s="552">
        <f t="shared" si="147"/>
        <v>856760.76260971022</v>
      </c>
      <c r="AB126" s="552">
        <f t="shared" si="147"/>
        <v>878063.29536683345</v>
      </c>
      <c r="AC126" s="552">
        <f t="shared" si="147"/>
        <v>900648.0886915453</v>
      </c>
      <c r="AD126" s="552">
        <f t="shared" si="147"/>
        <v>924736.12037907192</v>
      </c>
      <c r="AE126" s="552">
        <f t="shared" si="147"/>
        <v>950615.75905231747</v>
      </c>
      <c r="AF126" s="552">
        <f t="shared" si="147"/>
        <v>978547.59696690389</v>
      </c>
      <c r="AG126" s="552">
        <f t="shared" si="147"/>
        <v>1008848.604214374</v>
      </c>
      <c r="AH126" s="727">
        <f t="shared" si="147"/>
        <v>1041940.1890157448</v>
      </c>
      <c r="AI126" s="18"/>
      <c r="AJ126" s="18"/>
      <c r="AK126" s="18"/>
      <c r="AL126" s="18"/>
      <c r="AM126" s="18"/>
      <c r="AN126" s="18"/>
    </row>
    <row r="127" spans="2:41" ht="21.9" customHeight="1" x14ac:dyDescent="0.25">
      <c r="B127" s="229"/>
      <c r="C127" s="690"/>
      <c r="D127" s="690"/>
      <c r="E127" s="1325"/>
      <c r="F127" s="114"/>
      <c r="G127" s="114"/>
      <c r="H127" s="695" t="s">
        <v>25</v>
      </c>
      <c r="I127" s="552">
        <f t="shared" ref="I127" si="148">SUM(I125:I126)</f>
        <v>72075.86957074306</v>
      </c>
      <c r="J127" s="552">
        <f t="shared" ref="J127" si="149">SUM(J125:J126)</f>
        <v>79954.018990990822</v>
      </c>
      <c r="K127" s="552">
        <f t="shared" ref="K127" si="150">SUM(K125:K126)</f>
        <v>88300.696061007751</v>
      </c>
      <c r="L127" s="552">
        <f t="shared" ref="L127" si="151">SUM(L125:L126)</f>
        <v>114997.5625359292</v>
      </c>
      <c r="M127" s="552">
        <f t="shared" ref="M127" si="152">SUM(M125:M126)</f>
        <v>149554.38836214005</v>
      </c>
      <c r="N127" s="552">
        <f t="shared" ref="N127" si="153">SUM(N125:N126)</f>
        <v>228917.51519361831</v>
      </c>
      <c r="O127" s="552">
        <f t="shared" ref="O127" si="154">SUM(O125:O126)</f>
        <v>501353.25382878468</v>
      </c>
      <c r="P127" s="552">
        <f t="shared" ref="P127" si="155">SUM(P125:P126)</f>
        <v>568892.24973187118</v>
      </c>
      <c r="Q127" s="552">
        <f t="shared" ref="Q127" si="156">SUM(Q125:Q126)</f>
        <v>659535.02179761173</v>
      </c>
      <c r="R127" s="552">
        <f t="shared" ref="R127" si="157">SUM(R125:R126)</f>
        <v>750288.80078145827</v>
      </c>
      <c r="S127" s="552">
        <f t="shared" ref="S127" si="158">SUM(S125:S126)</f>
        <v>841249.94410751481</v>
      </c>
      <c r="T127" s="552">
        <f t="shared" ref="T127" si="159">SUM(T125:T126)</f>
        <v>932971.45344828849</v>
      </c>
      <c r="U127" s="552">
        <f t="shared" ref="U127" si="160">SUM(U125:U126)</f>
        <v>1026878.7665809023</v>
      </c>
      <c r="V127" s="552">
        <f t="shared" ref="V127" si="161">SUM(V125:V126)</f>
        <v>1079527.9692358354</v>
      </c>
      <c r="W127" s="552">
        <f t="shared" ref="W127" si="162">SUM(W125:W126)</f>
        <v>1107211.3609110601</v>
      </c>
      <c r="X127" s="552">
        <f t="shared" ref="X127" si="163">SUM(X125:X126)</f>
        <v>1132403.6871574121</v>
      </c>
      <c r="Y127" s="552">
        <f t="shared" ref="Y127" si="164">SUM(Y125:Y126)</f>
        <v>1158546.6331928978</v>
      </c>
      <c r="Z127" s="552">
        <f t="shared" ref="Z127" si="165">SUM(Z125:Z126)</f>
        <v>1185849.0684902514</v>
      </c>
      <c r="AA127" s="552">
        <f t="shared" ref="AA127" si="166">SUM(AA125:AA126)</f>
        <v>1214458.3809992643</v>
      </c>
      <c r="AB127" s="552">
        <f t="shared" ref="AB127" si="167">SUM(AB125:AB126)</f>
        <v>1244654.7211824865</v>
      </c>
      <c r="AC127" s="552">
        <f t="shared" ref="AC127" si="168">SUM(AC125:AC126)</f>
        <v>1276668.6657202654</v>
      </c>
      <c r="AD127" s="552">
        <f t="shared" ref="AD127" si="169">SUM(AD125:AD126)</f>
        <v>1310813.4506373345</v>
      </c>
      <c r="AE127" s="552">
        <f t="shared" ref="AE127" si="170">SUM(AE125:AE126)</f>
        <v>1347497.83845666</v>
      </c>
      <c r="AF127" s="552">
        <f t="shared" ref="AF127" si="171">SUM(AF125:AF126)</f>
        <v>1387091.2187005864</v>
      </c>
      <c r="AG127" s="552">
        <f t="shared" ref="AG127" si="172">SUM(AG125:AG126)</f>
        <v>1430042.896473875</v>
      </c>
      <c r="AH127" s="727">
        <f t="shared" ref="AH127" si="173">SUM(AH125:AH126)</f>
        <v>1476950.2179298182</v>
      </c>
      <c r="AI127" s="18"/>
      <c r="AJ127" s="18"/>
      <c r="AK127" s="18"/>
      <c r="AL127" s="18"/>
      <c r="AM127" s="18"/>
      <c r="AN127" s="18"/>
    </row>
    <row r="128" spans="2:41" ht="21.9" customHeight="1" x14ac:dyDescent="0.25">
      <c r="B128" s="229"/>
      <c r="C128" s="690"/>
      <c r="D128" s="690"/>
      <c r="E128" s="1325"/>
      <c r="F128" s="114" t="s">
        <v>318</v>
      </c>
      <c r="G128" s="114" t="s">
        <v>308</v>
      </c>
      <c r="H128" s="114" t="s">
        <v>20</v>
      </c>
      <c r="I128" s="552">
        <f t="shared" ref="I128:AH128" si="174">I64*$D$11</f>
        <v>2955.3956340115947</v>
      </c>
      <c r="J128" s="552">
        <f t="shared" si="174"/>
        <v>3348.1232224152468</v>
      </c>
      <c r="K128" s="552">
        <f t="shared" si="174"/>
        <v>3741.1080788143704</v>
      </c>
      <c r="L128" s="552">
        <f t="shared" si="174"/>
        <v>5071.3106021256935</v>
      </c>
      <c r="M128" s="552">
        <f t="shared" si="174"/>
        <v>6408.851674893288</v>
      </c>
      <c r="N128" s="552">
        <f t="shared" si="174"/>
        <v>7798.146877459546</v>
      </c>
      <c r="O128" s="552">
        <f t="shared" si="174"/>
        <v>9442.5116970502604</v>
      </c>
      <c r="P128" s="552">
        <f t="shared" si="174"/>
        <v>12113.828646739163</v>
      </c>
      <c r="Q128" s="552">
        <f t="shared" si="174"/>
        <v>24839.618518502481</v>
      </c>
      <c r="R128" s="552">
        <f t="shared" si="174"/>
        <v>33237.401207667164</v>
      </c>
      <c r="S128" s="552">
        <f t="shared" si="174"/>
        <v>37929.172788281336</v>
      </c>
      <c r="T128" s="552">
        <f t="shared" si="174"/>
        <v>42623.738296794443</v>
      </c>
      <c r="U128" s="552">
        <f t="shared" si="174"/>
        <v>47331.528852007345</v>
      </c>
      <c r="V128" s="552">
        <f t="shared" si="174"/>
        <v>49904.179282464611</v>
      </c>
      <c r="W128" s="552">
        <f t="shared" si="174"/>
        <v>50842.463596216614</v>
      </c>
      <c r="X128" s="552">
        <f t="shared" si="174"/>
        <v>51763.143131006873</v>
      </c>
      <c r="Y128" s="552">
        <f t="shared" si="174"/>
        <v>52687.536857696592</v>
      </c>
      <c r="Z128" s="552">
        <f t="shared" si="174"/>
        <v>53616.848183167531</v>
      </c>
      <c r="AA128" s="552">
        <f t="shared" si="174"/>
        <v>54550.694919743284</v>
      </c>
      <c r="AB128" s="552">
        <f t="shared" si="174"/>
        <v>55491.013973441732</v>
      </c>
      <c r="AC128" s="552">
        <f t="shared" si="174"/>
        <v>56437.675068679288</v>
      </c>
      <c r="AD128" s="552">
        <f t="shared" si="174"/>
        <v>57392.290386270433</v>
      </c>
      <c r="AE128" s="552">
        <f t="shared" si="174"/>
        <v>58356.701090687493</v>
      </c>
      <c r="AF128" s="552">
        <f t="shared" si="174"/>
        <v>59331.233532758662</v>
      </c>
      <c r="AG128" s="552">
        <f t="shared" si="174"/>
        <v>60317.98366619373</v>
      </c>
      <c r="AH128" s="727">
        <f t="shared" si="174"/>
        <v>61319.384187392301</v>
      </c>
      <c r="AI128" s="18"/>
      <c r="AJ128" s="18"/>
      <c r="AK128" s="18"/>
      <c r="AL128" s="18"/>
      <c r="AM128" s="18"/>
      <c r="AN128" s="18"/>
    </row>
    <row r="129" spans="2:40" ht="21.9" customHeight="1" x14ac:dyDescent="0.25">
      <c r="B129" s="229"/>
      <c r="C129" s="690"/>
      <c r="D129" s="690"/>
      <c r="E129" s="1325"/>
      <c r="F129" s="114"/>
      <c r="G129" s="114"/>
      <c r="H129" s="122" t="s">
        <v>19</v>
      </c>
      <c r="I129" s="552">
        <f t="shared" ref="I129:AH129" si="175">I65*$D$12</f>
        <v>7078.7919377523231</v>
      </c>
      <c r="J129" s="552">
        <f t="shared" si="175"/>
        <v>8019.4568201562797</v>
      </c>
      <c r="K129" s="552">
        <f t="shared" si="175"/>
        <v>8960.7379133278337</v>
      </c>
      <c r="L129" s="552">
        <f t="shared" si="175"/>
        <v>12146.851741618428</v>
      </c>
      <c r="M129" s="552">
        <f t="shared" si="175"/>
        <v>15350.542933876141</v>
      </c>
      <c r="N129" s="552">
        <f t="shared" si="175"/>
        <v>18678.19611367556</v>
      </c>
      <c r="O129" s="552">
        <f t="shared" si="175"/>
        <v>22616.794483952719</v>
      </c>
      <c r="P129" s="552">
        <f t="shared" si="175"/>
        <v>29015.158435303383</v>
      </c>
      <c r="Q129" s="552">
        <f t="shared" si="175"/>
        <v>59496.092259886187</v>
      </c>
      <c r="R129" s="552">
        <f t="shared" si="175"/>
        <v>79610.541814771655</v>
      </c>
      <c r="S129" s="552">
        <f t="shared" si="175"/>
        <v>90848.318055763681</v>
      </c>
      <c r="T129" s="552">
        <f t="shared" si="175"/>
        <v>102092.78633962742</v>
      </c>
      <c r="U129" s="552">
        <f t="shared" si="175"/>
        <v>113368.93138205352</v>
      </c>
      <c r="V129" s="552">
        <f t="shared" si="175"/>
        <v>119530.96834123261</v>
      </c>
      <c r="W129" s="552">
        <f t="shared" si="175"/>
        <v>121778.35591908172</v>
      </c>
      <c r="X129" s="552">
        <f t="shared" si="175"/>
        <v>123983.57636169312</v>
      </c>
      <c r="Y129" s="552">
        <f t="shared" si="175"/>
        <v>126197.69307232717</v>
      </c>
      <c r="Z129" s="552">
        <f t="shared" si="175"/>
        <v>128423.58846267672</v>
      </c>
      <c r="AA129" s="552">
        <f t="shared" si="175"/>
        <v>130660.34711315756</v>
      </c>
      <c r="AB129" s="552">
        <f t="shared" si="175"/>
        <v>132912.60831962092</v>
      </c>
      <c r="AC129" s="552">
        <f t="shared" si="175"/>
        <v>135180.06004474082</v>
      </c>
      <c r="AD129" s="552">
        <f t="shared" si="175"/>
        <v>137466.56379945014</v>
      </c>
      <c r="AE129" s="552">
        <f t="shared" si="175"/>
        <v>139776.52955853293</v>
      </c>
      <c r="AF129" s="552">
        <f t="shared" si="175"/>
        <v>142110.73900061956</v>
      </c>
      <c r="AG129" s="552">
        <f t="shared" si="175"/>
        <v>144474.21237411673</v>
      </c>
      <c r="AH129" s="727">
        <f t="shared" si="175"/>
        <v>146872.77649674803</v>
      </c>
      <c r="AI129" s="18"/>
      <c r="AJ129" s="18"/>
      <c r="AK129" s="18"/>
      <c r="AL129" s="18"/>
      <c r="AM129" s="18"/>
      <c r="AN129" s="18"/>
    </row>
    <row r="130" spans="2:40" ht="21.9" customHeight="1" x14ac:dyDescent="0.25">
      <c r="B130" s="229"/>
      <c r="C130" s="690"/>
      <c r="D130" s="690"/>
      <c r="E130" s="1325"/>
      <c r="F130" s="114"/>
      <c r="G130" s="114"/>
      <c r="H130" s="695" t="s">
        <v>25</v>
      </c>
      <c r="I130" s="552">
        <f t="shared" ref="I130" si="176">SUM(I128:I129)</f>
        <v>10034.187571763918</v>
      </c>
      <c r="J130" s="552">
        <f t="shared" ref="J130" si="177">SUM(J128:J129)</f>
        <v>11367.580042571526</v>
      </c>
      <c r="K130" s="552">
        <f t="shared" ref="K130" si="178">SUM(K128:K129)</f>
        <v>12701.845992142204</v>
      </c>
      <c r="L130" s="552">
        <f t="shared" ref="L130" si="179">SUM(L128:L129)</f>
        <v>17218.162343744123</v>
      </c>
      <c r="M130" s="552">
        <f t="shared" ref="M130" si="180">SUM(M128:M129)</f>
        <v>21759.394608769428</v>
      </c>
      <c r="N130" s="552">
        <f t="shared" ref="N130" si="181">SUM(N128:N129)</f>
        <v>26476.342991135105</v>
      </c>
      <c r="O130" s="552">
        <f t="shared" ref="O130" si="182">SUM(O128:O129)</f>
        <v>32059.306181002979</v>
      </c>
      <c r="P130" s="552">
        <f t="shared" ref="P130" si="183">SUM(P128:P129)</f>
        <v>41128.987082042542</v>
      </c>
      <c r="Q130" s="552">
        <f t="shared" ref="Q130" si="184">SUM(Q128:Q129)</f>
        <v>84335.71077838866</v>
      </c>
      <c r="R130" s="552">
        <f t="shared" ref="R130" si="185">SUM(R128:R129)</f>
        <v>112847.94302243882</v>
      </c>
      <c r="S130" s="552">
        <f t="shared" ref="S130" si="186">SUM(S128:S129)</f>
        <v>128777.49084404501</v>
      </c>
      <c r="T130" s="552">
        <f t="shared" ref="T130" si="187">SUM(T128:T129)</f>
        <v>144716.52463642188</v>
      </c>
      <c r="U130" s="552">
        <f t="shared" ref="U130" si="188">SUM(U128:U129)</f>
        <v>160700.46023406085</v>
      </c>
      <c r="V130" s="552">
        <f t="shared" ref="V130" si="189">SUM(V128:V129)</f>
        <v>169435.14762369724</v>
      </c>
      <c r="W130" s="552">
        <f t="shared" ref="W130" si="190">SUM(W128:W129)</f>
        <v>172620.81951529832</v>
      </c>
      <c r="X130" s="552">
        <f t="shared" ref="X130" si="191">SUM(X128:X129)</f>
        <v>175746.71949270001</v>
      </c>
      <c r="Y130" s="552">
        <f t="shared" ref="Y130" si="192">SUM(Y128:Y129)</f>
        <v>178885.22993002375</v>
      </c>
      <c r="Z130" s="552">
        <f t="shared" ref="Z130" si="193">SUM(Z128:Z129)</f>
        <v>182040.43664584425</v>
      </c>
      <c r="AA130" s="552">
        <f t="shared" ref="AA130" si="194">SUM(AA128:AA129)</f>
        <v>185211.04203290085</v>
      </c>
      <c r="AB130" s="552">
        <f t="shared" ref="AB130" si="195">SUM(AB128:AB129)</f>
        <v>188403.62229306265</v>
      </c>
      <c r="AC130" s="552">
        <f t="shared" ref="AC130" si="196">SUM(AC128:AC129)</f>
        <v>191617.73511342012</v>
      </c>
      <c r="AD130" s="552">
        <f t="shared" ref="AD130" si="197">SUM(AD128:AD129)</f>
        <v>194858.85418572059</v>
      </c>
      <c r="AE130" s="552">
        <f t="shared" ref="AE130" si="198">SUM(AE128:AE129)</f>
        <v>198133.23064922041</v>
      </c>
      <c r="AF130" s="552">
        <f t="shared" ref="AF130" si="199">SUM(AF128:AF129)</f>
        <v>201441.97253337823</v>
      </c>
      <c r="AG130" s="552">
        <f t="shared" ref="AG130" si="200">SUM(AG128:AG129)</f>
        <v>204792.19604031046</v>
      </c>
      <c r="AH130" s="727">
        <f t="shared" ref="AH130" si="201">SUM(AH128:AH129)</f>
        <v>208192.16068414034</v>
      </c>
      <c r="AI130" s="18"/>
      <c r="AJ130" s="18"/>
      <c r="AK130" s="18"/>
      <c r="AL130" s="18"/>
      <c r="AM130" s="18"/>
      <c r="AN130" s="18"/>
    </row>
    <row r="131" spans="2:40" ht="21.9" customHeight="1" x14ac:dyDescent="0.25">
      <c r="B131" s="229"/>
      <c r="C131" s="690"/>
      <c r="D131" s="690"/>
      <c r="E131" s="1325"/>
      <c r="F131" s="114" t="s">
        <v>308</v>
      </c>
      <c r="G131" s="114" t="s">
        <v>319</v>
      </c>
      <c r="H131" s="114" t="s">
        <v>20</v>
      </c>
      <c r="I131" s="552">
        <f t="shared" ref="I131:AH131" si="202">I67*$D$11</f>
        <v>41936.86127123647</v>
      </c>
      <c r="J131" s="552">
        <f t="shared" si="202"/>
        <v>43596.143671382619</v>
      </c>
      <c r="K131" s="552">
        <f t="shared" si="202"/>
        <v>45304.78341418397</v>
      </c>
      <c r="L131" s="552">
        <f t="shared" si="202"/>
        <v>48833.464134210706</v>
      </c>
      <c r="M131" s="552">
        <f t="shared" si="202"/>
        <v>52820.493838968134</v>
      </c>
      <c r="N131" s="552">
        <f t="shared" si="202"/>
        <v>57594.383165053645</v>
      </c>
      <c r="O131" s="552">
        <f t="shared" si="202"/>
        <v>63684.685373204666</v>
      </c>
      <c r="P131" s="552">
        <f t="shared" si="202"/>
        <v>71930.344982536728</v>
      </c>
      <c r="Q131" s="552">
        <f t="shared" si="202"/>
        <v>89408.769071072762</v>
      </c>
      <c r="R131" s="552">
        <f t="shared" si="202"/>
        <v>119099.42680898996</v>
      </c>
      <c r="S131" s="552">
        <f t="shared" si="202"/>
        <v>160196.63485270026</v>
      </c>
      <c r="T131" s="552">
        <f t="shared" si="202"/>
        <v>169441.27276493693</v>
      </c>
      <c r="U131" s="552">
        <f t="shared" si="202"/>
        <v>178694.64549998965</v>
      </c>
      <c r="V131" s="552">
        <f t="shared" si="202"/>
        <v>184708.07037480379</v>
      </c>
      <c r="W131" s="552">
        <f t="shared" si="202"/>
        <v>188134.43623821411</v>
      </c>
      <c r="X131" s="552">
        <f t="shared" si="202"/>
        <v>191560.28782106479</v>
      </c>
      <c r="Y131" s="552">
        <f t="shared" si="202"/>
        <v>194986.46081921781</v>
      </c>
      <c r="Z131" s="552">
        <f t="shared" si="202"/>
        <v>198415.16618910339</v>
      </c>
      <c r="AA131" s="552">
        <f t="shared" si="202"/>
        <v>201842.1620190324</v>
      </c>
      <c r="AB131" s="552">
        <f t="shared" si="202"/>
        <v>205271.82909543728</v>
      </c>
      <c r="AC131" s="552">
        <f t="shared" si="202"/>
        <v>208699.94844046645</v>
      </c>
      <c r="AD131" s="552">
        <f t="shared" si="202"/>
        <v>212128.76870908667</v>
      </c>
      <c r="AE131" s="552">
        <f t="shared" si="202"/>
        <v>215560.5592055546</v>
      </c>
      <c r="AF131" s="552">
        <f t="shared" si="202"/>
        <v>218991.1431030941</v>
      </c>
      <c r="AG131" s="552">
        <f t="shared" si="202"/>
        <v>222422.81386699592</v>
      </c>
      <c r="AH131" s="727">
        <f t="shared" si="202"/>
        <v>225857.89552293887</v>
      </c>
      <c r="AI131" s="18"/>
      <c r="AJ131" s="18"/>
      <c r="AK131" s="18"/>
      <c r="AL131" s="18"/>
      <c r="AM131" s="18"/>
      <c r="AN131" s="18"/>
    </row>
    <row r="132" spans="2:40" ht="21.9" customHeight="1" x14ac:dyDescent="0.25">
      <c r="B132" s="229"/>
      <c r="C132" s="690"/>
      <c r="D132" s="690"/>
      <c r="E132" s="1325"/>
      <c r="F132" s="114"/>
      <c r="G132" s="114"/>
      <c r="H132" s="114" t="s">
        <v>19</v>
      </c>
      <c r="I132" s="552">
        <f t="shared" ref="I132:AH132" si="203">I68*$D$12</f>
        <v>100447.57190715322</v>
      </c>
      <c r="J132" s="552">
        <f t="shared" si="203"/>
        <v>104421.90100929969</v>
      </c>
      <c r="K132" s="552">
        <f t="shared" si="203"/>
        <v>108514.45129145862</v>
      </c>
      <c r="L132" s="552">
        <f t="shared" si="203"/>
        <v>116966.38115978613</v>
      </c>
      <c r="M132" s="552">
        <f t="shared" si="203"/>
        <v>126516.15290770811</v>
      </c>
      <c r="N132" s="552">
        <f t="shared" si="203"/>
        <v>137950.61835940994</v>
      </c>
      <c r="O132" s="552">
        <f t="shared" si="203"/>
        <v>152538.16855857405</v>
      </c>
      <c r="P132" s="552">
        <f t="shared" si="203"/>
        <v>172288.25145517779</v>
      </c>
      <c r="Q132" s="552">
        <f t="shared" si="203"/>
        <v>214152.74028999463</v>
      </c>
      <c r="R132" s="552">
        <f t="shared" si="203"/>
        <v>285268.08816524543</v>
      </c>
      <c r="S132" s="552">
        <f t="shared" si="203"/>
        <v>383704.51461724611</v>
      </c>
      <c r="T132" s="552">
        <f t="shared" si="203"/>
        <v>405847.35991601663</v>
      </c>
      <c r="U132" s="552">
        <f t="shared" si="203"/>
        <v>428011.12694608304</v>
      </c>
      <c r="V132" s="552">
        <f t="shared" si="203"/>
        <v>442414.53981988935</v>
      </c>
      <c r="W132" s="552">
        <f t="shared" si="203"/>
        <v>450621.40416338714</v>
      </c>
      <c r="X132" s="552">
        <f t="shared" si="203"/>
        <v>458827.03669716121</v>
      </c>
      <c r="Y132" s="552">
        <f t="shared" si="203"/>
        <v>467033.4390879469</v>
      </c>
      <c r="Z132" s="552">
        <f t="shared" si="203"/>
        <v>475245.90703976864</v>
      </c>
      <c r="AA132" s="552">
        <f t="shared" si="203"/>
        <v>483454.28028510755</v>
      </c>
      <c r="AB132" s="552">
        <f t="shared" si="203"/>
        <v>491669.05172559828</v>
      </c>
      <c r="AC132" s="552">
        <f t="shared" si="203"/>
        <v>499880.11602506938</v>
      </c>
      <c r="AD132" s="552">
        <f t="shared" si="203"/>
        <v>508092.85918344115</v>
      </c>
      <c r="AE132" s="552">
        <f t="shared" si="203"/>
        <v>516312.71666001104</v>
      </c>
      <c r="AF132" s="552">
        <f t="shared" si="203"/>
        <v>524529.68407926732</v>
      </c>
      <c r="AG132" s="552">
        <f t="shared" si="203"/>
        <v>532749.25477124774</v>
      </c>
      <c r="AH132" s="727">
        <f t="shared" si="203"/>
        <v>540976.99526452424</v>
      </c>
      <c r="AI132" s="18"/>
      <c r="AJ132" s="18"/>
      <c r="AK132" s="18"/>
      <c r="AL132" s="18"/>
      <c r="AM132" s="18"/>
      <c r="AN132" s="18"/>
    </row>
    <row r="133" spans="2:40" ht="21.9" customHeight="1" x14ac:dyDescent="0.25">
      <c r="B133" s="229"/>
      <c r="C133" s="690"/>
      <c r="D133" s="690"/>
      <c r="E133" s="1321"/>
      <c r="F133" s="250"/>
      <c r="G133" s="250"/>
      <c r="H133" s="696" t="s">
        <v>25</v>
      </c>
      <c r="I133" s="562">
        <f t="shared" ref="I133" si="204">SUM(I131:I132)</f>
        <v>142384.43317838968</v>
      </c>
      <c r="J133" s="562">
        <f t="shared" ref="J133" si="205">SUM(J131:J132)</f>
        <v>148018.0446806823</v>
      </c>
      <c r="K133" s="562">
        <f t="shared" ref="K133" si="206">SUM(K131:K132)</f>
        <v>153819.23470564259</v>
      </c>
      <c r="L133" s="562">
        <f t="shared" ref="L133" si="207">SUM(L131:L132)</f>
        <v>165799.84529399686</v>
      </c>
      <c r="M133" s="562">
        <f t="shared" ref="M133" si="208">SUM(M131:M132)</f>
        <v>179336.64674667624</v>
      </c>
      <c r="N133" s="562">
        <f t="shared" ref="N133" si="209">SUM(N131:N132)</f>
        <v>195545.00152446359</v>
      </c>
      <c r="O133" s="562">
        <f t="shared" ref="O133" si="210">SUM(O131:O132)</f>
        <v>216222.85393177872</v>
      </c>
      <c r="P133" s="562">
        <f t="shared" ref="P133" si="211">SUM(P131:P132)</f>
        <v>244218.59643771453</v>
      </c>
      <c r="Q133" s="562">
        <f t="shared" ref="Q133" si="212">SUM(Q131:Q132)</f>
        <v>303561.50936106738</v>
      </c>
      <c r="R133" s="562">
        <f t="shared" ref="R133" si="213">SUM(R131:R132)</f>
        <v>404367.51497423538</v>
      </c>
      <c r="S133" s="562">
        <f t="shared" ref="S133" si="214">SUM(S131:S132)</f>
        <v>543901.14946994639</v>
      </c>
      <c r="T133" s="562">
        <f t="shared" ref="T133" si="215">SUM(T131:T132)</f>
        <v>575288.6326809536</v>
      </c>
      <c r="U133" s="562">
        <f t="shared" ref="U133" si="216">SUM(U131:U132)</f>
        <v>606705.77244607266</v>
      </c>
      <c r="V133" s="562">
        <f t="shared" ref="V133" si="217">SUM(V131:V132)</f>
        <v>627122.61019469309</v>
      </c>
      <c r="W133" s="562">
        <f t="shared" ref="W133" si="218">SUM(W131:W132)</f>
        <v>638755.84040160128</v>
      </c>
      <c r="X133" s="562">
        <f t="shared" ref="X133" si="219">SUM(X131:X132)</f>
        <v>650387.32451822597</v>
      </c>
      <c r="Y133" s="562">
        <f t="shared" ref="Y133" si="220">SUM(Y131:Y132)</f>
        <v>662019.89990716474</v>
      </c>
      <c r="Z133" s="562">
        <f t="shared" ref="Z133" si="221">SUM(Z131:Z132)</f>
        <v>673661.07322887203</v>
      </c>
      <c r="AA133" s="562">
        <f t="shared" ref="AA133" si="222">SUM(AA131:AA132)</f>
        <v>685296.44230413996</v>
      </c>
      <c r="AB133" s="562">
        <f t="shared" ref="AB133" si="223">SUM(AB131:AB132)</f>
        <v>696940.88082103559</v>
      </c>
      <c r="AC133" s="562">
        <f t="shared" ref="AC133" si="224">SUM(AC131:AC132)</f>
        <v>708580.0644655358</v>
      </c>
      <c r="AD133" s="562">
        <f t="shared" ref="AD133" si="225">SUM(AD131:AD132)</f>
        <v>720221.62789252785</v>
      </c>
      <c r="AE133" s="562">
        <f t="shared" ref="AE133" si="226">SUM(AE131:AE132)</f>
        <v>731873.27586556564</v>
      </c>
      <c r="AF133" s="562">
        <f t="shared" ref="AF133" si="227">SUM(AF131:AF132)</f>
        <v>743520.82718236139</v>
      </c>
      <c r="AG133" s="562">
        <f t="shared" ref="AG133" si="228">SUM(AG131:AG132)</f>
        <v>755172.06863824371</v>
      </c>
      <c r="AH133" s="729">
        <f t="shared" ref="AH133" si="229">SUM(AH131:AH132)</f>
        <v>766834.89078746317</v>
      </c>
      <c r="AI133" s="18"/>
      <c r="AJ133" s="18"/>
      <c r="AK133" s="18"/>
      <c r="AL133" s="18"/>
      <c r="AM133" s="18"/>
      <c r="AN133" s="18"/>
    </row>
    <row r="134" spans="2:40" ht="21.9" customHeight="1" x14ac:dyDescent="0.25">
      <c r="B134" s="229"/>
      <c r="C134" s="690"/>
      <c r="D134" s="690"/>
      <c r="E134" s="114" t="s">
        <v>320</v>
      </c>
      <c r="F134" s="114" t="s">
        <v>318</v>
      </c>
      <c r="G134" s="114" t="s">
        <v>308</v>
      </c>
      <c r="H134" s="114" t="s">
        <v>20</v>
      </c>
      <c r="I134" s="552">
        <f t="shared" ref="I134:AH134" si="230">I70*$D$11</f>
        <v>282.25467980295559</v>
      </c>
      <c r="J134" s="552">
        <f t="shared" si="230"/>
        <v>456.97032660098517</v>
      </c>
      <c r="K134" s="552">
        <f t="shared" si="230"/>
        <v>1303.7343660098518</v>
      </c>
      <c r="L134" s="552">
        <f t="shared" si="230"/>
        <v>2756.4992029556652</v>
      </c>
      <c r="M134" s="552">
        <f t="shared" si="230"/>
        <v>4210.3930586206916</v>
      </c>
      <c r="N134" s="552">
        <f t="shared" si="230"/>
        <v>5663.7224049261786</v>
      </c>
      <c r="O134" s="552">
        <f t="shared" si="230"/>
        <v>7116.4872418727791</v>
      </c>
      <c r="P134" s="552">
        <f t="shared" si="230"/>
        <v>8571.5101162627871</v>
      </c>
      <c r="Q134" s="552">
        <f t="shared" si="230"/>
        <v>9353.073324647854</v>
      </c>
      <c r="R134" s="552">
        <f t="shared" si="230"/>
        <v>10135.765551766039</v>
      </c>
      <c r="S134" s="552">
        <f t="shared" si="230"/>
        <v>10917.611014873215</v>
      </c>
      <c r="T134" s="552">
        <f t="shared" si="230"/>
        <v>11699.174223355729</v>
      </c>
      <c r="U134" s="552">
        <f t="shared" si="230"/>
        <v>12482.713214699928</v>
      </c>
      <c r="V134" s="552">
        <f t="shared" si="230"/>
        <v>12657.428861566388</v>
      </c>
      <c r="W134" s="552">
        <f t="shared" si="230"/>
        <v>12832.14450844298</v>
      </c>
      <c r="X134" s="552">
        <f t="shared" si="230"/>
        <v>13006.860155331018</v>
      </c>
      <c r="Y134" s="552">
        <f t="shared" si="230"/>
        <v>13181.575802232002</v>
      </c>
      <c r="Z134" s="552">
        <f t="shared" si="230"/>
        <v>13357.138213187593</v>
      </c>
      <c r="AA134" s="552">
        <f t="shared" si="230"/>
        <v>13531.853860119678</v>
      </c>
      <c r="AB134" s="552">
        <f t="shared" si="230"/>
        <v>13707.416271110429</v>
      </c>
      <c r="AC134" s="552">
        <f t="shared" si="230"/>
        <v>13882.131918081823</v>
      </c>
      <c r="AD134" s="552">
        <f t="shared" si="230"/>
        <v>14056.847565076465</v>
      </c>
      <c r="AE134" s="552">
        <f t="shared" si="230"/>
        <v>14232.409976137684</v>
      </c>
      <c r="AF134" s="552">
        <f t="shared" si="230"/>
        <v>14407.125623187569</v>
      </c>
      <c r="AG134" s="552">
        <f t="shared" si="230"/>
        <v>14581.841270269926</v>
      </c>
      <c r="AH134" s="727">
        <f t="shared" si="230"/>
        <v>14757.403681429529</v>
      </c>
      <c r="AI134" s="18"/>
      <c r="AJ134" s="18"/>
      <c r="AK134" s="18"/>
      <c r="AL134" s="18"/>
      <c r="AM134" s="18"/>
      <c r="AN134" s="18"/>
    </row>
    <row r="135" spans="2:40" ht="21.9" customHeight="1" x14ac:dyDescent="0.25">
      <c r="B135" s="229"/>
      <c r="C135" s="690"/>
      <c r="D135" s="690"/>
      <c r="E135" s="114"/>
      <c r="F135" s="114"/>
      <c r="G135" s="114"/>
      <c r="H135" s="122" t="s">
        <v>19</v>
      </c>
      <c r="I135" s="552">
        <f t="shared" ref="I135:AH135" si="231">I71*$D$12</f>
        <v>676.05911330049253</v>
      </c>
      <c r="J135" s="552">
        <f t="shared" si="231"/>
        <v>1094.5397044334975</v>
      </c>
      <c r="K135" s="552">
        <f t="shared" si="231"/>
        <v>3122.7170443349746</v>
      </c>
      <c r="L135" s="552">
        <f t="shared" si="231"/>
        <v>6602.3933004926112</v>
      </c>
      <c r="M135" s="552">
        <f t="shared" si="231"/>
        <v>10084.773793103453</v>
      </c>
      <c r="N135" s="552">
        <f t="shared" si="231"/>
        <v>13565.802167487853</v>
      </c>
      <c r="O135" s="552">
        <f t="shared" si="231"/>
        <v>17045.478423647375</v>
      </c>
      <c r="P135" s="552">
        <f t="shared" si="231"/>
        <v>20530.563152725241</v>
      </c>
      <c r="Q135" s="552">
        <f t="shared" si="231"/>
        <v>22402.570837479889</v>
      </c>
      <c r="R135" s="552">
        <f t="shared" si="231"/>
        <v>24277.282758721052</v>
      </c>
      <c r="S135" s="552">
        <f t="shared" si="231"/>
        <v>26149.966502690339</v>
      </c>
      <c r="T135" s="552">
        <f t="shared" si="231"/>
        <v>28021.974187678392</v>
      </c>
      <c r="U135" s="552">
        <f t="shared" si="231"/>
        <v>29898.714286706418</v>
      </c>
      <c r="V135" s="552">
        <f t="shared" si="231"/>
        <v>30317.194878003327</v>
      </c>
      <c r="W135" s="552">
        <f t="shared" si="231"/>
        <v>30735.675469324506</v>
      </c>
      <c r="X135" s="552">
        <f t="shared" si="231"/>
        <v>31154.1560606731</v>
      </c>
      <c r="Y135" s="552">
        <f t="shared" si="231"/>
        <v>31572.636652052701</v>
      </c>
      <c r="Z135" s="552">
        <f t="shared" si="231"/>
        <v>31993.145420808607</v>
      </c>
      <c r="AA135" s="552">
        <f t="shared" si="231"/>
        <v>32411.626012262703</v>
      </c>
      <c r="AB135" s="552">
        <f t="shared" si="231"/>
        <v>32832.134781102824</v>
      </c>
      <c r="AC135" s="552">
        <f t="shared" si="231"/>
        <v>33250.615372651075</v>
      </c>
      <c r="AD135" s="552">
        <f t="shared" si="231"/>
        <v>33669.095964255008</v>
      </c>
      <c r="AE135" s="552">
        <f t="shared" si="231"/>
        <v>34089.604733263914</v>
      </c>
      <c r="AF135" s="552">
        <f t="shared" si="231"/>
        <v>34508.085325000167</v>
      </c>
      <c r="AG135" s="552">
        <f t="shared" si="231"/>
        <v>34926.565916814194</v>
      </c>
      <c r="AH135" s="727">
        <f t="shared" si="231"/>
        <v>35347.074686058753</v>
      </c>
      <c r="AI135" s="18"/>
      <c r="AJ135" s="18"/>
      <c r="AK135" s="18"/>
      <c r="AL135" s="18"/>
      <c r="AM135" s="18"/>
      <c r="AN135" s="18"/>
    </row>
    <row r="136" spans="2:40" ht="21.9" customHeight="1" x14ac:dyDescent="0.25">
      <c r="B136" s="229"/>
      <c r="C136" s="690"/>
      <c r="D136" s="690"/>
      <c r="E136" s="114"/>
      <c r="F136" s="114"/>
      <c r="G136" s="114"/>
      <c r="H136" s="696" t="s">
        <v>25</v>
      </c>
      <c r="I136" s="552">
        <f t="shared" ref="I136" si="232">SUM(I134:I135)</f>
        <v>958.31379310344812</v>
      </c>
      <c r="J136" s="552">
        <f t="shared" ref="J136" si="233">SUM(J134:J135)</f>
        <v>1551.5100310344826</v>
      </c>
      <c r="K136" s="552">
        <f t="shared" ref="K136" si="234">SUM(K134:K135)</f>
        <v>4426.4514103448264</v>
      </c>
      <c r="L136" s="552">
        <f t="shared" ref="L136" si="235">SUM(L134:L135)</f>
        <v>9358.8925034482763</v>
      </c>
      <c r="M136" s="552">
        <f t="shared" ref="M136" si="236">SUM(M134:M135)</f>
        <v>14295.166851724145</v>
      </c>
      <c r="N136" s="552">
        <f t="shared" ref="N136" si="237">SUM(N134:N135)</f>
        <v>19229.524572414033</v>
      </c>
      <c r="O136" s="552">
        <f t="shared" ref="O136" si="238">SUM(O134:O135)</f>
        <v>24161.965665520154</v>
      </c>
      <c r="P136" s="552">
        <f t="shared" ref="P136" si="239">SUM(P134:P135)</f>
        <v>29102.073268988028</v>
      </c>
      <c r="Q136" s="552">
        <f t="shared" ref="Q136" si="240">SUM(Q134:Q135)</f>
        <v>31755.644162127741</v>
      </c>
      <c r="R136" s="552">
        <f t="shared" ref="R136" si="241">SUM(R134:R135)</f>
        <v>34413.048310487095</v>
      </c>
      <c r="S136" s="552">
        <f t="shared" ref="S136" si="242">SUM(S134:S135)</f>
        <v>37067.57751756355</v>
      </c>
      <c r="T136" s="552">
        <f t="shared" ref="T136" si="243">SUM(T134:T135)</f>
        <v>39721.148411034119</v>
      </c>
      <c r="U136" s="552">
        <f t="shared" ref="U136" si="244">SUM(U134:U135)</f>
        <v>42381.427501406346</v>
      </c>
      <c r="V136" s="552">
        <f t="shared" ref="V136" si="245">SUM(V134:V135)</f>
        <v>42974.623739569717</v>
      </c>
      <c r="W136" s="552">
        <f t="shared" ref="W136" si="246">SUM(W134:W135)</f>
        <v>43567.819977767489</v>
      </c>
      <c r="X136" s="552">
        <f t="shared" ref="X136" si="247">SUM(X134:X135)</f>
        <v>44161.016216004122</v>
      </c>
      <c r="Y136" s="552">
        <f t="shared" ref="Y136" si="248">SUM(Y134:Y135)</f>
        <v>44754.212454284701</v>
      </c>
      <c r="Z136" s="552">
        <f t="shared" ref="Z136" si="249">SUM(Z134:Z135)</f>
        <v>45350.283633996201</v>
      </c>
      <c r="AA136" s="552">
        <f t="shared" ref="AA136" si="250">SUM(AA134:AA135)</f>
        <v>45943.479872382377</v>
      </c>
      <c r="AB136" s="552">
        <f t="shared" ref="AB136" si="251">SUM(AB134:AB135)</f>
        <v>46539.551052213254</v>
      </c>
      <c r="AC136" s="552">
        <f t="shared" ref="AC136" si="252">SUM(AC134:AC135)</f>
        <v>47132.747290732899</v>
      </c>
      <c r="AD136" s="552">
        <f t="shared" ref="AD136" si="253">SUM(AD134:AD135)</f>
        <v>47725.943529331475</v>
      </c>
      <c r="AE136" s="552">
        <f t="shared" ref="AE136" si="254">SUM(AE134:AE135)</f>
        <v>48322.014709401599</v>
      </c>
      <c r="AF136" s="552">
        <f t="shared" ref="AF136" si="255">SUM(AF134:AF135)</f>
        <v>48915.210948187734</v>
      </c>
      <c r="AG136" s="552">
        <f t="shared" ref="AG136" si="256">SUM(AG134:AG135)</f>
        <v>49508.407187084122</v>
      </c>
      <c r="AH136" s="727">
        <f t="shared" ref="AH136" si="257">SUM(AH134:AH135)</f>
        <v>50104.478367488278</v>
      </c>
      <c r="AI136" s="18"/>
      <c r="AJ136" s="18"/>
      <c r="AK136" s="18"/>
      <c r="AL136" s="18"/>
      <c r="AM136" s="18"/>
      <c r="AN136" s="18"/>
    </row>
    <row r="137" spans="2:40" ht="21.9" customHeight="1" x14ac:dyDescent="0.25">
      <c r="B137" s="229"/>
      <c r="C137" s="690"/>
      <c r="D137" s="690"/>
      <c r="E137" s="1325" t="s">
        <v>308</v>
      </c>
      <c r="F137" s="217" t="s">
        <v>276</v>
      </c>
      <c r="G137" s="217" t="s">
        <v>320</v>
      </c>
      <c r="H137" s="114" t="s">
        <v>20</v>
      </c>
      <c r="I137" s="552">
        <f t="shared" ref="I137:AH137" si="258">I73*$D$11</f>
        <v>810.73152709359601</v>
      </c>
      <c r="J137" s="552">
        <f t="shared" si="258"/>
        <v>810.73152709359601</v>
      </c>
      <c r="K137" s="552">
        <f t="shared" si="258"/>
        <v>9486.3696036894908</v>
      </c>
      <c r="L137" s="552">
        <f t="shared" si="258"/>
        <v>18162.014215823048</v>
      </c>
      <c r="M137" s="552">
        <f t="shared" si="258"/>
        <v>26845.423887419227</v>
      </c>
      <c r="N137" s="552">
        <f t="shared" si="258"/>
        <v>35531.062443577488</v>
      </c>
      <c r="O137" s="552">
        <f t="shared" si="258"/>
        <v>44312.203536674169</v>
      </c>
      <c r="P137" s="552">
        <f t="shared" si="258"/>
        <v>53713.401964927332</v>
      </c>
      <c r="Q137" s="552">
        <f t="shared" si="258"/>
        <v>53713.412484514643</v>
      </c>
      <c r="R137" s="552">
        <f t="shared" si="258"/>
        <v>53713.412484514643</v>
      </c>
      <c r="S137" s="552">
        <f t="shared" si="258"/>
        <v>53713.412484514643</v>
      </c>
      <c r="T137" s="552">
        <f t="shared" si="258"/>
        <v>53713.412484514643</v>
      </c>
      <c r="U137" s="552">
        <f t="shared" si="258"/>
        <v>53713.412484514643</v>
      </c>
      <c r="V137" s="552">
        <f t="shared" si="258"/>
        <v>53713.412484514643</v>
      </c>
      <c r="W137" s="552">
        <f t="shared" si="258"/>
        <v>53713.412484514643</v>
      </c>
      <c r="X137" s="552">
        <f t="shared" si="258"/>
        <v>53713.412484514643</v>
      </c>
      <c r="Y137" s="552">
        <f t="shared" si="258"/>
        <v>53713.412484514643</v>
      </c>
      <c r="Z137" s="552">
        <f t="shared" si="258"/>
        <v>53713.412484514643</v>
      </c>
      <c r="AA137" s="552">
        <f t="shared" si="258"/>
        <v>53713.412484514643</v>
      </c>
      <c r="AB137" s="552">
        <f t="shared" si="258"/>
        <v>53713.412484514643</v>
      </c>
      <c r="AC137" s="552">
        <f t="shared" si="258"/>
        <v>53713.412484514643</v>
      </c>
      <c r="AD137" s="552">
        <f t="shared" si="258"/>
        <v>53713.412484514643</v>
      </c>
      <c r="AE137" s="552">
        <f t="shared" si="258"/>
        <v>53713.412484514643</v>
      </c>
      <c r="AF137" s="552">
        <f t="shared" si="258"/>
        <v>53713.412484514643</v>
      </c>
      <c r="AG137" s="552">
        <f t="shared" si="258"/>
        <v>53713.412484514643</v>
      </c>
      <c r="AH137" s="727">
        <f t="shared" si="258"/>
        <v>53713.412484514643</v>
      </c>
      <c r="AI137" s="18"/>
      <c r="AJ137" s="18"/>
      <c r="AK137" s="18"/>
      <c r="AL137" s="18"/>
      <c r="AM137" s="18"/>
      <c r="AN137" s="18"/>
    </row>
    <row r="138" spans="2:40" ht="21.9" customHeight="1" x14ac:dyDescent="0.25">
      <c r="B138" s="229"/>
      <c r="C138" s="690"/>
      <c r="D138" s="690"/>
      <c r="E138" s="1325"/>
      <c r="F138" s="114"/>
      <c r="G138" s="114"/>
      <c r="H138" s="122" t="s">
        <v>19</v>
      </c>
      <c r="I138" s="552">
        <f t="shared" ref="I138:AH138" si="259">I74*$D$12</f>
        <v>1941.8719211822661</v>
      </c>
      <c r="J138" s="552">
        <f t="shared" si="259"/>
        <v>1941.8719211822661</v>
      </c>
      <c r="K138" s="552">
        <f t="shared" si="259"/>
        <v>22721.843362130519</v>
      </c>
      <c r="L138" s="552">
        <f t="shared" si="259"/>
        <v>43501.830457061194</v>
      </c>
      <c r="M138" s="552">
        <f t="shared" si="259"/>
        <v>64300.416496812519</v>
      </c>
      <c r="N138" s="552">
        <f t="shared" si="259"/>
        <v>85104.341182221528</v>
      </c>
      <c r="O138" s="552">
        <f t="shared" si="259"/>
        <v>106137.01445909981</v>
      </c>
      <c r="P138" s="552">
        <f t="shared" si="259"/>
        <v>128654.85500581398</v>
      </c>
      <c r="Q138" s="552">
        <f t="shared" si="259"/>
        <v>128654.88020243029</v>
      </c>
      <c r="R138" s="552">
        <f t="shared" si="259"/>
        <v>128654.88020243029</v>
      </c>
      <c r="S138" s="552">
        <f t="shared" si="259"/>
        <v>128654.88020243029</v>
      </c>
      <c r="T138" s="552">
        <f t="shared" si="259"/>
        <v>128654.88020243029</v>
      </c>
      <c r="U138" s="552">
        <f t="shared" si="259"/>
        <v>128654.88020243029</v>
      </c>
      <c r="V138" s="552">
        <f t="shared" si="259"/>
        <v>128654.88020243029</v>
      </c>
      <c r="W138" s="552">
        <f t="shared" si="259"/>
        <v>128654.88020243029</v>
      </c>
      <c r="X138" s="552">
        <f t="shared" si="259"/>
        <v>128654.88020243029</v>
      </c>
      <c r="Y138" s="552">
        <f t="shared" si="259"/>
        <v>128654.88020243029</v>
      </c>
      <c r="Z138" s="552">
        <f t="shared" si="259"/>
        <v>128654.88020243029</v>
      </c>
      <c r="AA138" s="552">
        <f t="shared" si="259"/>
        <v>128654.88020243029</v>
      </c>
      <c r="AB138" s="552">
        <f t="shared" si="259"/>
        <v>128654.88020243029</v>
      </c>
      <c r="AC138" s="552">
        <f t="shared" si="259"/>
        <v>128654.88020243029</v>
      </c>
      <c r="AD138" s="552">
        <f t="shared" si="259"/>
        <v>128654.88020243029</v>
      </c>
      <c r="AE138" s="552">
        <f t="shared" si="259"/>
        <v>128654.88020243029</v>
      </c>
      <c r="AF138" s="552">
        <f t="shared" si="259"/>
        <v>128654.88020243029</v>
      </c>
      <c r="AG138" s="552">
        <f t="shared" si="259"/>
        <v>128654.88020243029</v>
      </c>
      <c r="AH138" s="727">
        <f t="shared" si="259"/>
        <v>128654.88020243029</v>
      </c>
      <c r="AI138" s="18"/>
      <c r="AJ138" s="18"/>
      <c r="AK138" s="18"/>
      <c r="AL138" s="18"/>
      <c r="AM138" s="18"/>
      <c r="AN138" s="18"/>
    </row>
    <row r="139" spans="2:40" ht="21.9" customHeight="1" x14ac:dyDescent="0.25">
      <c r="B139" s="229"/>
      <c r="C139" s="690"/>
      <c r="D139" s="690"/>
      <c r="E139" s="1325"/>
      <c r="F139" s="114"/>
      <c r="G139" s="114"/>
      <c r="H139" s="695" t="s">
        <v>25</v>
      </c>
      <c r="I139" s="552">
        <f t="shared" ref="I139" si="260">SUM(I137:I138)</f>
        <v>2752.6034482758623</v>
      </c>
      <c r="J139" s="552">
        <f t="shared" ref="J139" si="261">SUM(J137:J138)</f>
        <v>2752.6034482758623</v>
      </c>
      <c r="K139" s="552">
        <f t="shared" ref="K139" si="262">SUM(K137:K138)</f>
        <v>32208.21296582001</v>
      </c>
      <c r="L139" s="552">
        <f t="shared" ref="L139" si="263">SUM(L137:L138)</f>
        <v>61663.844672884239</v>
      </c>
      <c r="M139" s="552">
        <f t="shared" ref="M139" si="264">SUM(M137:M138)</f>
        <v>91145.840384231749</v>
      </c>
      <c r="N139" s="552">
        <f t="shared" ref="N139" si="265">SUM(N137:N138)</f>
        <v>120635.40362579902</v>
      </c>
      <c r="O139" s="552">
        <f t="shared" ref="O139" si="266">SUM(O137:O138)</f>
        <v>150449.21799577397</v>
      </c>
      <c r="P139" s="552">
        <f t="shared" ref="P139" si="267">SUM(P137:P138)</f>
        <v>182368.25697074132</v>
      </c>
      <c r="Q139" s="552">
        <f t="shared" ref="Q139" si="268">SUM(Q137:Q138)</f>
        <v>182368.29268694494</v>
      </c>
      <c r="R139" s="552">
        <f t="shared" ref="R139" si="269">SUM(R137:R138)</f>
        <v>182368.29268694494</v>
      </c>
      <c r="S139" s="552">
        <f t="shared" ref="S139" si="270">SUM(S137:S138)</f>
        <v>182368.29268694494</v>
      </c>
      <c r="T139" s="552">
        <f t="shared" ref="T139" si="271">SUM(T137:T138)</f>
        <v>182368.29268694494</v>
      </c>
      <c r="U139" s="552">
        <f t="shared" ref="U139" si="272">SUM(U137:U138)</f>
        <v>182368.29268694494</v>
      </c>
      <c r="V139" s="552">
        <f t="shared" ref="V139" si="273">SUM(V137:V138)</f>
        <v>182368.29268694494</v>
      </c>
      <c r="W139" s="552">
        <f t="shared" ref="W139" si="274">SUM(W137:W138)</f>
        <v>182368.29268694494</v>
      </c>
      <c r="X139" s="552">
        <f t="shared" ref="X139" si="275">SUM(X137:X138)</f>
        <v>182368.29268694494</v>
      </c>
      <c r="Y139" s="552">
        <f t="shared" ref="Y139" si="276">SUM(Y137:Y138)</f>
        <v>182368.29268694494</v>
      </c>
      <c r="Z139" s="552">
        <f t="shared" ref="Z139" si="277">SUM(Z137:Z138)</f>
        <v>182368.29268694494</v>
      </c>
      <c r="AA139" s="552">
        <f t="shared" ref="AA139" si="278">SUM(AA137:AA138)</f>
        <v>182368.29268694494</v>
      </c>
      <c r="AB139" s="552">
        <f t="shared" ref="AB139" si="279">SUM(AB137:AB138)</f>
        <v>182368.29268694494</v>
      </c>
      <c r="AC139" s="552">
        <f t="shared" ref="AC139" si="280">SUM(AC137:AC138)</f>
        <v>182368.29268694494</v>
      </c>
      <c r="AD139" s="552">
        <f t="shared" ref="AD139" si="281">SUM(AD137:AD138)</f>
        <v>182368.29268694494</v>
      </c>
      <c r="AE139" s="552">
        <f t="shared" ref="AE139" si="282">SUM(AE137:AE138)</f>
        <v>182368.29268694494</v>
      </c>
      <c r="AF139" s="552">
        <f t="shared" ref="AF139" si="283">SUM(AF137:AF138)</f>
        <v>182368.29268694494</v>
      </c>
      <c r="AG139" s="552">
        <f t="shared" ref="AG139" si="284">SUM(AG137:AG138)</f>
        <v>182368.29268694494</v>
      </c>
      <c r="AH139" s="727">
        <f t="shared" ref="AH139" si="285">SUM(AH137:AH138)</f>
        <v>182368.29268694494</v>
      </c>
      <c r="AI139" s="18"/>
      <c r="AJ139" s="18"/>
      <c r="AK139" s="18"/>
      <c r="AL139" s="18"/>
      <c r="AM139" s="18"/>
      <c r="AN139" s="18"/>
    </row>
    <row r="140" spans="2:40" ht="21.9" customHeight="1" x14ac:dyDescent="0.25">
      <c r="B140" s="229"/>
      <c r="C140" s="690"/>
      <c r="D140" s="690"/>
      <c r="E140" s="1325"/>
      <c r="F140" s="114" t="s">
        <v>320</v>
      </c>
      <c r="G140" s="114" t="s">
        <v>282</v>
      </c>
      <c r="H140" s="114" t="s">
        <v>20</v>
      </c>
      <c r="I140" s="552">
        <f t="shared" ref="I140:AH140" si="286">I76*$D$11</f>
        <v>203.51371273712738</v>
      </c>
      <c r="J140" s="552">
        <f t="shared" si="286"/>
        <v>386.67605420054917</v>
      </c>
      <c r="K140" s="552">
        <f t="shared" si="286"/>
        <v>569.8383956644642</v>
      </c>
      <c r="L140" s="552">
        <f t="shared" si="286"/>
        <v>1239.5835256549783</v>
      </c>
      <c r="M140" s="552">
        <f t="shared" si="286"/>
        <v>1908.4038897918713</v>
      </c>
      <c r="N140" s="552">
        <f t="shared" si="286"/>
        <v>2579.0820634456109</v>
      </c>
      <c r="O140" s="552">
        <f t="shared" si="286"/>
        <v>3248.9239094200902</v>
      </c>
      <c r="P140" s="552">
        <f t="shared" si="286"/>
        <v>3919.3893541092857</v>
      </c>
      <c r="Q140" s="552">
        <f t="shared" si="286"/>
        <v>5097.6636488910299</v>
      </c>
      <c r="R140" s="552">
        <f t="shared" si="286"/>
        <v>6386.4451500787454</v>
      </c>
      <c r="S140" s="552">
        <f t="shared" si="286"/>
        <v>8324.0763575989458</v>
      </c>
      <c r="T140" s="552">
        <f t="shared" si="286"/>
        <v>13125.054754869325</v>
      </c>
      <c r="U140" s="552">
        <f t="shared" si="286"/>
        <v>28205.731327867961</v>
      </c>
      <c r="V140" s="552">
        <f t="shared" si="286"/>
        <v>32219.582988573118</v>
      </c>
      <c r="W140" s="552">
        <f t="shared" si="286"/>
        <v>32783.474370350967</v>
      </c>
      <c r="X140" s="552">
        <f t="shared" si="286"/>
        <v>33350.05462401644</v>
      </c>
      <c r="Y140" s="552">
        <f t="shared" si="286"/>
        <v>33916.659051540315</v>
      </c>
      <c r="Z140" s="552">
        <f t="shared" si="286"/>
        <v>34483.29105759754</v>
      </c>
      <c r="AA140" s="552">
        <f t="shared" si="286"/>
        <v>35049.955147013068</v>
      </c>
      <c r="AB140" s="552">
        <f t="shared" si="286"/>
        <v>35616.65646723628</v>
      </c>
      <c r="AC140" s="552">
        <f t="shared" si="286"/>
        <v>36183.400887172647</v>
      </c>
      <c r="AD140" s="552">
        <f t="shared" si="286"/>
        <v>36750.195084163861</v>
      </c>
      <c r="AE140" s="552">
        <f t="shared" si="286"/>
        <v>37314.185561324943</v>
      </c>
      <c r="AF140" s="552">
        <f t="shared" si="286"/>
        <v>37881.10074419291</v>
      </c>
      <c r="AG140" s="552">
        <f t="shared" si="286"/>
        <v>38448.093507676931</v>
      </c>
      <c r="AH140" s="727">
        <f t="shared" si="286"/>
        <v>39015.172847934235</v>
      </c>
      <c r="AI140" s="18"/>
      <c r="AJ140" s="18"/>
      <c r="AK140" s="18"/>
      <c r="AL140" s="18"/>
      <c r="AM140" s="18"/>
      <c r="AN140" s="18"/>
    </row>
    <row r="141" spans="2:40" ht="21.9" customHeight="1" x14ac:dyDescent="0.25">
      <c r="B141" s="229"/>
      <c r="C141" s="690"/>
      <c r="D141" s="690"/>
      <c r="E141" s="1325"/>
      <c r="F141" s="114"/>
      <c r="G141" s="114"/>
      <c r="H141" s="122" t="s">
        <v>19</v>
      </c>
      <c r="I141" s="552">
        <f t="shared" ref="I141:AH141" si="287">I77*$D$12</f>
        <v>487.45799457994582</v>
      </c>
      <c r="J141" s="552">
        <f t="shared" si="287"/>
        <v>926.1701897019143</v>
      </c>
      <c r="K141" s="552">
        <f t="shared" si="287"/>
        <v>1364.882384825064</v>
      </c>
      <c r="L141" s="552">
        <f t="shared" si="287"/>
        <v>2969.0623368981519</v>
      </c>
      <c r="M141" s="552">
        <f t="shared" si="287"/>
        <v>4571.0272809386142</v>
      </c>
      <c r="N141" s="552">
        <f t="shared" si="287"/>
        <v>6177.4420681332003</v>
      </c>
      <c r="O141" s="552">
        <f t="shared" si="287"/>
        <v>7781.853675257702</v>
      </c>
      <c r="P141" s="552">
        <f t="shared" si="287"/>
        <v>9387.758931998289</v>
      </c>
      <c r="Q141" s="552">
        <f t="shared" si="287"/>
        <v>12209.972811715043</v>
      </c>
      <c r="R141" s="552">
        <f t="shared" si="287"/>
        <v>15296.874610967056</v>
      </c>
      <c r="S141" s="552">
        <f t="shared" si="287"/>
        <v>19937.90744335077</v>
      </c>
      <c r="T141" s="552">
        <f t="shared" si="287"/>
        <v>31437.256897890598</v>
      </c>
      <c r="U141" s="552">
        <f t="shared" si="287"/>
        <v>67558.637911060985</v>
      </c>
      <c r="V141" s="552">
        <f t="shared" si="287"/>
        <v>77172.653864845794</v>
      </c>
      <c r="W141" s="552">
        <f t="shared" si="287"/>
        <v>78523.291905032267</v>
      </c>
      <c r="X141" s="552">
        <f t="shared" si="287"/>
        <v>79880.370356925603</v>
      </c>
      <c r="Y141" s="552">
        <f t="shared" si="287"/>
        <v>81237.506710276211</v>
      </c>
      <c r="Z141" s="552">
        <f t="shared" si="287"/>
        <v>82594.709119994106</v>
      </c>
      <c r="AA141" s="552">
        <f t="shared" si="287"/>
        <v>83951.988376079215</v>
      </c>
      <c r="AB141" s="552">
        <f t="shared" si="287"/>
        <v>85309.356807751581</v>
      </c>
      <c r="AC141" s="552">
        <f t="shared" si="287"/>
        <v>86666.828472269815</v>
      </c>
      <c r="AD141" s="552">
        <f t="shared" si="287"/>
        <v>88024.41936326673</v>
      </c>
      <c r="AE141" s="552">
        <f t="shared" si="287"/>
        <v>89375.294757664538</v>
      </c>
      <c r="AF141" s="552">
        <f t="shared" si="287"/>
        <v>90733.175435192607</v>
      </c>
      <c r="AG141" s="552">
        <f t="shared" si="287"/>
        <v>92091.241934555524</v>
      </c>
      <c r="AH141" s="727">
        <f t="shared" si="287"/>
        <v>93449.515803435293</v>
      </c>
      <c r="AI141" s="18"/>
      <c r="AJ141" s="18"/>
      <c r="AK141" s="18"/>
      <c r="AL141" s="18"/>
      <c r="AM141" s="18"/>
      <c r="AN141" s="18"/>
    </row>
    <row r="142" spans="2:40" ht="21.9" customHeight="1" x14ac:dyDescent="0.25">
      <c r="B142" s="229"/>
      <c r="C142" s="690"/>
      <c r="D142" s="690"/>
      <c r="E142" s="1325"/>
      <c r="F142" s="114"/>
      <c r="G142" s="114"/>
      <c r="H142" s="695" t="s">
        <v>25</v>
      </c>
      <c r="I142" s="552">
        <f t="shared" ref="I142" si="288">SUM(I140:I141)</f>
        <v>690.9717073170732</v>
      </c>
      <c r="J142" s="552">
        <f t="shared" ref="J142" si="289">SUM(J140:J141)</f>
        <v>1312.8462439024634</v>
      </c>
      <c r="K142" s="552">
        <f t="shared" ref="K142" si="290">SUM(K140:K141)</f>
        <v>1934.7207804895284</v>
      </c>
      <c r="L142" s="552">
        <f t="shared" ref="L142" si="291">SUM(L140:L141)</f>
        <v>4208.6458625531304</v>
      </c>
      <c r="M142" s="552">
        <f t="shared" ref="M142" si="292">SUM(M140:M141)</f>
        <v>6479.431170730486</v>
      </c>
      <c r="N142" s="552">
        <f t="shared" ref="N142" si="293">SUM(N140:N141)</f>
        <v>8756.5241315788116</v>
      </c>
      <c r="O142" s="552">
        <f t="shared" ref="O142" si="294">SUM(O140:O141)</f>
        <v>11030.777584677791</v>
      </c>
      <c r="P142" s="552">
        <f t="shared" ref="P142" si="295">SUM(P140:P141)</f>
        <v>13307.148286107575</v>
      </c>
      <c r="Q142" s="552">
        <f t="shared" ref="Q142" si="296">SUM(Q140:Q141)</f>
        <v>17307.636460606074</v>
      </c>
      <c r="R142" s="552">
        <f t="shared" ref="R142" si="297">SUM(R140:R141)</f>
        <v>21683.319761045801</v>
      </c>
      <c r="S142" s="552">
        <f t="shared" ref="S142" si="298">SUM(S140:S141)</f>
        <v>28261.983800949718</v>
      </c>
      <c r="T142" s="552">
        <f t="shared" ref="T142" si="299">SUM(T140:T141)</f>
        <v>44562.31165275992</v>
      </c>
      <c r="U142" s="552">
        <f t="shared" ref="U142" si="300">SUM(U140:U141)</f>
        <v>95764.36923892895</v>
      </c>
      <c r="V142" s="552">
        <f t="shared" ref="V142" si="301">SUM(V140:V141)</f>
        <v>109392.23685341892</v>
      </c>
      <c r="W142" s="552">
        <f t="shared" ref="W142" si="302">SUM(W140:W141)</f>
        <v>111306.76627538324</v>
      </c>
      <c r="X142" s="552">
        <f t="shared" ref="X142" si="303">SUM(X140:X141)</f>
        <v>113230.42498094204</v>
      </c>
      <c r="Y142" s="552">
        <f t="shared" ref="Y142" si="304">SUM(Y140:Y141)</f>
        <v>115154.16576181652</v>
      </c>
      <c r="Z142" s="552">
        <f t="shared" ref="Z142" si="305">SUM(Z140:Z141)</f>
        <v>117078.00017759165</v>
      </c>
      <c r="AA142" s="552">
        <f t="shared" ref="AA142" si="306">SUM(AA140:AA141)</f>
        <v>119001.94352309228</v>
      </c>
      <c r="AB142" s="552">
        <f t="shared" ref="AB142" si="307">SUM(AB140:AB141)</f>
        <v>120926.01327498787</v>
      </c>
      <c r="AC142" s="552">
        <f t="shared" ref="AC142" si="308">SUM(AC140:AC141)</f>
        <v>122850.22935944246</v>
      </c>
      <c r="AD142" s="552">
        <f t="shared" ref="AD142" si="309">SUM(AD140:AD141)</f>
        <v>124774.61444743059</v>
      </c>
      <c r="AE142" s="552">
        <f t="shared" ref="AE142" si="310">SUM(AE140:AE141)</f>
        <v>126689.48031898949</v>
      </c>
      <c r="AF142" s="552">
        <f t="shared" ref="AF142" si="311">SUM(AF140:AF141)</f>
        <v>128614.27617938552</v>
      </c>
      <c r="AG142" s="552">
        <f t="shared" ref="AG142" si="312">SUM(AG140:AG141)</f>
        <v>130539.33544223246</v>
      </c>
      <c r="AH142" s="727">
        <f t="shared" ref="AH142" si="313">SUM(AH140:AH141)</f>
        <v>132464.68865136954</v>
      </c>
      <c r="AI142" s="18"/>
      <c r="AJ142" s="18"/>
      <c r="AK142" s="18"/>
      <c r="AL142" s="18"/>
      <c r="AM142" s="18"/>
      <c r="AN142" s="18"/>
    </row>
    <row r="143" spans="2:40" ht="21.9" customHeight="1" x14ac:dyDescent="0.25">
      <c r="B143" s="229"/>
      <c r="C143" s="690"/>
      <c r="D143" s="690"/>
      <c r="E143" s="1325"/>
      <c r="F143" s="114" t="s">
        <v>282</v>
      </c>
      <c r="G143" s="114" t="s">
        <v>321</v>
      </c>
      <c r="H143" s="114" t="s">
        <v>20</v>
      </c>
      <c r="I143" s="552">
        <f t="shared" ref="I143:AH143" si="314">I79*$D$11</f>
        <v>649.59343065693429</v>
      </c>
      <c r="J143" s="552">
        <f t="shared" si="314"/>
        <v>1233.9460277615572</v>
      </c>
      <c r="K143" s="552">
        <f t="shared" si="314"/>
        <v>1818.103746836983</v>
      </c>
      <c r="L143" s="552">
        <f t="shared" si="314"/>
        <v>3955.2011743552721</v>
      </c>
      <c r="M143" s="552">
        <f t="shared" si="314"/>
        <v>6092.3852143356899</v>
      </c>
      <c r="N143" s="552">
        <f t="shared" si="314"/>
        <v>8232.297546846652</v>
      </c>
      <c r="O143" s="552">
        <f t="shared" si="314"/>
        <v>10369.394975896617</v>
      </c>
      <c r="P143" s="552">
        <f t="shared" si="314"/>
        <v>12507.791601692985</v>
      </c>
      <c r="Q143" s="552">
        <f t="shared" si="314"/>
        <v>16224.050874811701</v>
      </c>
      <c r="R143" s="552">
        <f t="shared" si="314"/>
        <v>19938.796195045827</v>
      </c>
      <c r="S143" s="552">
        <f t="shared" si="314"/>
        <v>23654.786030911677</v>
      </c>
      <c r="T143" s="552">
        <f t="shared" si="314"/>
        <v>27371.102690578518</v>
      </c>
      <c r="U143" s="552">
        <f t="shared" si="314"/>
        <v>31090.289020903401</v>
      </c>
      <c r="V143" s="552">
        <f t="shared" si="314"/>
        <v>33252.43477061404</v>
      </c>
      <c r="W143" s="552">
        <f t="shared" si="314"/>
        <v>33836.916888776599</v>
      </c>
      <c r="X143" s="552">
        <f t="shared" si="314"/>
        <v>34421.423414092671</v>
      </c>
      <c r="Y143" s="552">
        <f t="shared" si="314"/>
        <v>35005.95841490545</v>
      </c>
      <c r="Z143" s="552">
        <f t="shared" si="314"/>
        <v>35590.331591600145</v>
      </c>
      <c r="AA143" s="552">
        <f t="shared" si="314"/>
        <v>36174.938163731887</v>
      </c>
      <c r="AB143" s="552">
        <f t="shared" si="314"/>
        <v>36759.39426915189</v>
      </c>
      <c r="AC143" s="552">
        <f t="shared" si="314"/>
        <v>37344.096765309449</v>
      </c>
      <c r="AD143" s="552">
        <f t="shared" si="314"/>
        <v>37928.858522423536</v>
      </c>
      <c r="AE143" s="552">
        <f t="shared" si="314"/>
        <v>38513.493375966835</v>
      </c>
      <c r="AF143" s="552">
        <f t="shared" si="314"/>
        <v>39098.401447515353</v>
      </c>
      <c r="AG143" s="552">
        <f t="shared" si="314"/>
        <v>39683.399058085473</v>
      </c>
      <c r="AH143" s="727">
        <f t="shared" si="314"/>
        <v>40268.303848771888</v>
      </c>
      <c r="AI143" s="18"/>
      <c r="AJ143" s="18"/>
      <c r="AK143" s="18"/>
      <c r="AL143" s="18"/>
      <c r="AM143" s="18"/>
      <c r="AN143" s="18"/>
    </row>
    <row r="144" spans="2:40" ht="21.9" customHeight="1" x14ac:dyDescent="0.25">
      <c r="B144" s="229"/>
      <c r="C144" s="690"/>
      <c r="D144" s="690"/>
      <c r="E144" s="1325"/>
      <c r="F144" s="114"/>
      <c r="G144" s="114"/>
      <c r="H144" s="122" t="s">
        <v>19</v>
      </c>
      <c r="I144" s="552">
        <f t="shared" ref="I144:AH144" si="315">I80*$D$12</f>
        <v>1555.9124087591242</v>
      </c>
      <c r="J144" s="552">
        <f t="shared" si="315"/>
        <v>2955.5593479318736</v>
      </c>
      <c r="K144" s="552">
        <f t="shared" si="315"/>
        <v>4354.7395133819955</v>
      </c>
      <c r="L144" s="552">
        <f t="shared" si="315"/>
        <v>9473.5357469587361</v>
      </c>
      <c r="M144" s="552">
        <f t="shared" si="315"/>
        <v>14592.539435534587</v>
      </c>
      <c r="N144" s="552">
        <f t="shared" si="315"/>
        <v>19718.07795651893</v>
      </c>
      <c r="O144" s="552">
        <f t="shared" si="315"/>
        <v>24836.874193764354</v>
      </c>
      <c r="P144" s="552">
        <f t="shared" si="315"/>
        <v>29958.782279504157</v>
      </c>
      <c r="Q144" s="552">
        <f t="shared" si="315"/>
        <v>38860.002095357369</v>
      </c>
      <c r="R144" s="552">
        <f t="shared" si="315"/>
        <v>47757.595676756471</v>
      </c>
      <c r="S144" s="552">
        <f t="shared" si="315"/>
        <v>56658.17013392019</v>
      </c>
      <c r="T144" s="552">
        <f t="shared" si="315"/>
        <v>65559.527402583277</v>
      </c>
      <c r="U144" s="552">
        <f t="shared" si="315"/>
        <v>74467.758133900366</v>
      </c>
      <c r="V144" s="552">
        <f t="shared" si="315"/>
        <v>79646.550348776145</v>
      </c>
      <c r="W144" s="552">
        <f t="shared" si="315"/>
        <v>81046.507518027793</v>
      </c>
      <c r="X144" s="552">
        <f t="shared" si="315"/>
        <v>82446.523147527361</v>
      </c>
      <c r="Y144" s="552">
        <f t="shared" si="315"/>
        <v>83846.606981809469</v>
      </c>
      <c r="Z144" s="552">
        <f t="shared" si="315"/>
        <v>85246.303213413528</v>
      </c>
      <c r="AA144" s="552">
        <f t="shared" si="315"/>
        <v>86646.558476004531</v>
      </c>
      <c r="AB144" s="552">
        <f t="shared" si="315"/>
        <v>88046.453339285974</v>
      </c>
      <c r="AC144" s="552">
        <f t="shared" si="315"/>
        <v>89446.938360022643</v>
      </c>
      <c r="AD144" s="552">
        <f t="shared" si="315"/>
        <v>90847.565323170144</v>
      </c>
      <c r="AE144" s="552">
        <f t="shared" si="315"/>
        <v>92247.888325669075</v>
      </c>
      <c r="AF144" s="552">
        <f t="shared" si="315"/>
        <v>93648.865742551745</v>
      </c>
      <c r="AG144" s="552">
        <f t="shared" si="315"/>
        <v>95050.057624156834</v>
      </c>
      <c r="AH144" s="727">
        <f t="shared" si="315"/>
        <v>96451.027182687161</v>
      </c>
      <c r="AI144" s="18"/>
      <c r="AJ144" s="18"/>
      <c r="AK144" s="18"/>
      <c r="AL144" s="18"/>
      <c r="AM144" s="18"/>
      <c r="AN144" s="18"/>
    </row>
    <row r="145" spans="2:40" ht="21.9" customHeight="1" x14ac:dyDescent="0.25">
      <c r="B145" s="229"/>
      <c r="C145" s="690"/>
      <c r="D145" s="690"/>
      <c r="E145" s="1325"/>
      <c r="F145" s="114"/>
      <c r="G145" s="114"/>
      <c r="H145" s="695" t="s">
        <v>25</v>
      </c>
      <c r="I145" s="552">
        <f t="shared" ref="I145" si="316">SUM(I143:I144)</f>
        <v>2205.5058394160587</v>
      </c>
      <c r="J145" s="552">
        <f t="shared" ref="J145" si="317">SUM(J143:J144)</f>
        <v>4189.5053756934303</v>
      </c>
      <c r="K145" s="552">
        <f t="shared" ref="K145" si="318">SUM(K143:K144)</f>
        <v>6172.8432602189787</v>
      </c>
      <c r="L145" s="552">
        <f t="shared" ref="L145" si="319">SUM(L143:L144)</f>
        <v>13428.736921314008</v>
      </c>
      <c r="M145" s="552">
        <f t="shared" ref="M145" si="320">SUM(M143:M144)</f>
        <v>20684.924649870278</v>
      </c>
      <c r="N145" s="552">
        <f t="shared" ref="N145" si="321">SUM(N143:N144)</f>
        <v>27950.375503365583</v>
      </c>
      <c r="O145" s="552">
        <f t="shared" ref="O145" si="322">SUM(O143:O144)</f>
        <v>35206.269169660969</v>
      </c>
      <c r="P145" s="552">
        <f t="shared" ref="P145" si="323">SUM(P143:P144)</f>
        <v>42466.573881197139</v>
      </c>
      <c r="Q145" s="552">
        <f t="shared" ref="Q145" si="324">SUM(Q143:Q144)</f>
        <v>55084.052970169068</v>
      </c>
      <c r="R145" s="552">
        <f t="shared" ref="R145" si="325">SUM(R143:R144)</f>
        <v>67696.391871802305</v>
      </c>
      <c r="S145" s="552">
        <f t="shared" ref="S145" si="326">SUM(S143:S144)</f>
        <v>80312.956164831863</v>
      </c>
      <c r="T145" s="552">
        <f t="shared" ref="T145" si="327">SUM(T143:T144)</f>
        <v>92930.630093161803</v>
      </c>
      <c r="U145" s="552">
        <f t="shared" ref="U145" si="328">SUM(U143:U144)</f>
        <v>105558.04715480376</v>
      </c>
      <c r="V145" s="552">
        <f t="shared" ref="V145" si="329">SUM(V143:V144)</f>
        <v>112898.98511939018</v>
      </c>
      <c r="W145" s="552">
        <f t="shared" ref="W145" si="330">SUM(W143:W144)</f>
        <v>114883.42440680439</v>
      </c>
      <c r="X145" s="552">
        <f t="shared" ref="X145" si="331">SUM(X143:X144)</f>
        <v>116867.94656162003</v>
      </c>
      <c r="Y145" s="552">
        <f t="shared" ref="Y145" si="332">SUM(Y143:Y144)</f>
        <v>118852.56539671493</v>
      </c>
      <c r="Z145" s="552">
        <f t="shared" ref="Z145" si="333">SUM(Z143:Z144)</f>
        <v>120836.63480501367</v>
      </c>
      <c r="AA145" s="552">
        <f t="shared" ref="AA145" si="334">SUM(AA143:AA144)</f>
        <v>122821.49663973642</v>
      </c>
      <c r="AB145" s="552">
        <f t="shared" ref="AB145" si="335">SUM(AB143:AB144)</f>
        <v>124805.84760843786</v>
      </c>
      <c r="AC145" s="552">
        <f t="shared" ref="AC145" si="336">SUM(AC143:AC144)</f>
        <v>126791.0351253321</v>
      </c>
      <c r="AD145" s="552">
        <f t="shared" ref="AD145" si="337">SUM(AD143:AD144)</f>
        <v>128776.42384559367</v>
      </c>
      <c r="AE145" s="552">
        <f t="shared" ref="AE145" si="338">SUM(AE143:AE144)</f>
        <v>130761.38170163591</v>
      </c>
      <c r="AF145" s="552">
        <f t="shared" ref="AF145" si="339">SUM(AF143:AF144)</f>
        <v>132747.2671900671</v>
      </c>
      <c r="AG145" s="552">
        <f t="shared" ref="AG145" si="340">SUM(AG143:AG144)</f>
        <v>134733.45668224231</v>
      </c>
      <c r="AH145" s="727">
        <f t="shared" ref="AH145" si="341">SUM(AH143:AH144)</f>
        <v>136719.33103145903</v>
      </c>
      <c r="AI145" s="18"/>
      <c r="AJ145" s="18"/>
      <c r="AK145" s="18"/>
      <c r="AL145" s="18"/>
      <c r="AM145" s="18"/>
      <c r="AN145" s="18"/>
    </row>
    <row r="146" spans="2:40" ht="21.9" customHeight="1" x14ac:dyDescent="0.25">
      <c r="B146" s="229"/>
      <c r="C146" s="690"/>
      <c r="D146" s="690"/>
      <c r="E146" s="1325"/>
      <c r="F146" s="114" t="s">
        <v>321</v>
      </c>
      <c r="G146" s="114" t="s">
        <v>274</v>
      </c>
      <c r="H146" s="114" t="s">
        <v>20</v>
      </c>
      <c r="I146" s="552">
        <f t="shared" ref="I146:AH146" si="342">I82*$D$11</f>
        <v>934.34671532846721</v>
      </c>
      <c r="J146" s="552">
        <f t="shared" si="342"/>
        <v>1774.8538755474451</v>
      </c>
      <c r="K146" s="552">
        <f t="shared" si="342"/>
        <v>2615.0807317518252</v>
      </c>
      <c r="L146" s="552">
        <f t="shared" si="342"/>
        <v>5688.9879905110074</v>
      </c>
      <c r="M146" s="552">
        <f t="shared" si="342"/>
        <v>8763.0198288390056</v>
      </c>
      <c r="N146" s="552">
        <f t="shared" si="342"/>
        <v>11840.975923546557</v>
      </c>
      <c r="O146" s="552">
        <f t="shared" si="342"/>
        <v>14914.883184508839</v>
      </c>
      <c r="P146" s="552">
        <f t="shared" si="342"/>
        <v>17990.65915312005</v>
      </c>
      <c r="Q146" s="552">
        <f t="shared" si="342"/>
        <v>23335.963587057926</v>
      </c>
      <c r="R146" s="552">
        <f t="shared" si="342"/>
        <v>28679.090417531668</v>
      </c>
      <c r="S146" s="552">
        <f t="shared" si="342"/>
        <v>34024.007304735984</v>
      </c>
      <c r="T146" s="552">
        <f t="shared" si="342"/>
        <v>39369.394280969107</v>
      </c>
      <c r="U146" s="552">
        <f t="shared" si="342"/>
        <v>44718.90886568297</v>
      </c>
      <c r="V146" s="552">
        <f t="shared" si="342"/>
        <v>47828.844533074989</v>
      </c>
      <c r="W146" s="552">
        <f t="shared" si="342"/>
        <v>48669.537990706078</v>
      </c>
      <c r="X146" s="552">
        <f t="shared" si="342"/>
        <v>49510.266554516857</v>
      </c>
      <c r="Y146" s="552">
        <f t="shared" si="342"/>
        <v>50351.036076233861</v>
      </c>
      <c r="Z146" s="552">
        <f t="shared" si="342"/>
        <v>51191.572837233092</v>
      </c>
      <c r="AA146" s="552">
        <f t="shared" si="342"/>
        <v>52032.445303997927</v>
      </c>
      <c r="AB146" s="552">
        <f t="shared" si="342"/>
        <v>52873.101346040392</v>
      </c>
      <c r="AC146" s="552">
        <f t="shared" si="342"/>
        <v>53714.111785719077</v>
      </c>
      <c r="AD146" s="552">
        <f t="shared" si="342"/>
        <v>54555.207463759878</v>
      </c>
      <c r="AE146" s="552">
        <f t="shared" si="342"/>
        <v>55396.12060926736</v>
      </c>
      <c r="AF146" s="552">
        <f t="shared" si="342"/>
        <v>56237.426739576877</v>
      </c>
      <c r="AG146" s="552">
        <f t="shared" si="342"/>
        <v>57078.861658890077</v>
      </c>
      <c r="AH146" s="727">
        <f t="shared" si="342"/>
        <v>57920.163070151357</v>
      </c>
      <c r="AI146" s="18"/>
      <c r="AJ146" s="18"/>
      <c r="AK146" s="18"/>
      <c r="AL146" s="18"/>
      <c r="AM146" s="18"/>
      <c r="AN146" s="18"/>
    </row>
    <row r="147" spans="2:40" ht="21.9" customHeight="1" x14ac:dyDescent="0.25">
      <c r="B147" s="229"/>
      <c r="C147" s="690"/>
      <c r="D147" s="690"/>
      <c r="E147" s="1325"/>
      <c r="F147" s="114"/>
      <c r="G147" s="114"/>
      <c r="H147" s="114" t="s">
        <v>19</v>
      </c>
      <c r="I147" s="552">
        <f t="shared" ref="I147:AH147" si="343">I83*$D$12</f>
        <v>2237.9562043795622</v>
      </c>
      <c r="J147" s="552">
        <f t="shared" si="343"/>
        <v>4251.1470072992697</v>
      </c>
      <c r="K147" s="552">
        <f t="shared" si="343"/>
        <v>6263.6664233576657</v>
      </c>
      <c r="L147" s="552">
        <f t="shared" si="343"/>
        <v>13626.318540146127</v>
      </c>
      <c r="M147" s="552">
        <f t="shared" si="343"/>
        <v>20989.269051111391</v>
      </c>
      <c r="N147" s="552">
        <f t="shared" si="343"/>
        <v>28361.61897855463</v>
      </c>
      <c r="O147" s="552">
        <f t="shared" si="343"/>
        <v>35724.271100619975</v>
      </c>
      <c r="P147" s="552">
        <f t="shared" si="343"/>
        <v>43091.399169149823</v>
      </c>
      <c r="Q147" s="552">
        <f t="shared" si="343"/>
        <v>55894.523561815397</v>
      </c>
      <c r="R147" s="552">
        <f t="shared" si="343"/>
        <v>68692.43213780041</v>
      </c>
      <c r="S147" s="552">
        <f t="shared" si="343"/>
        <v>81494.628274816729</v>
      </c>
      <c r="T147" s="552">
        <f t="shared" si="343"/>
        <v>94297.9503735787</v>
      </c>
      <c r="U147" s="552">
        <f t="shared" si="343"/>
        <v>107111.1589597197</v>
      </c>
      <c r="V147" s="552">
        <f t="shared" si="343"/>
        <v>114560.10666604788</v>
      </c>
      <c r="W147" s="552">
        <f t="shared" si="343"/>
        <v>116573.74369031396</v>
      </c>
      <c r="X147" s="552">
        <f t="shared" si="343"/>
        <v>118587.46480123798</v>
      </c>
      <c r="Y147" s="552">
        <f t="shared" si="343"/>
        <v>120601.28401493141</v>
      </c>
      <c r="Z147" s="552">
        <f t="shared" si="343"/>
        <v>122614.54571792358</v>
      </c>
      <c r="AA147" s="552">
        <f t="shared" si="343"/>
        <v>124628.61150658187</v>
      </c>
      <c r="AB147" s="552">
        <f t="shared" si="343"/>
        <v>126642.1589126716</v>
      </c>
      <c r="AC147" s="552">
        <f t="shared" si="343"/>
        <v>128656.55517537503</v>
      </c>
      <c r="AD147" s="552">
        <f t="shared" si="343"/>
        <v>130671.15560182008</v>
      </c>
      <c r="AE147" s="552">
        <f t="shared" si="343"/>
        <v>132685.31882459248</v>
      </c>
      <c r="AF147" s="552">
        <f t="shared" si="343"/>
        <v>134700.42332832786</v>
      </c>
      <c r="AG147" s="552">
        <f t="shared" si="343"/>
        <v>136715.83630871875</v>
      </c>
      <c r="AH147" s="727">
        <f t="shared" si="343"/>
        <v>138730.92950934457</v>
      </c>
      <c r="AI147" s="18"/>
      <c r="AJ147" s="18"/>
      <c r="AK147" s="18"/>
      <c r="AL147" s="18"/>
      <c r="AM147" s="18"/>
      <c r="AN147" s="18"/>
    </row>
    <row r="148" spans="2:40" ht="21.9" customHeight="1" x14ac:dyDescent="0.25">
      <c r="B148" s="229"/>
      <c r="C148" s="690"/>
      <c r="D148" s="690"/>
      <c r="E148" s="1325"/>
      <c r="F148" s="250"/>
      <c r="G148" s="250"/>
      <c r="H148" s="696" t="s">
        <v>25</v>
      </c>
      <c r="I148" s="562">
        <f t="shared" ref="I148" si="344">SUM(I146:I147)</f>
        <v>3172.3029197080295</v>
      </c>
      <c r="J148" s="562">
        <f t="shared" ref="J148" si="345">SUM(J146:J147)</f>
        <v>6026.0008828467144</v>
      </c>
      <c r="K148" s="562">
        <f t="shared" ref="K148" si="346">SUM(K146:K147)</f>
        <v>8878.7471551094914</v>
      </c>
      <c r="L148" s="562">
        <f t="shared" ref="L148" si="347">SUM(L146:L147)</f>
        <v>19315.306530657133</v>
      </c>
      <c r="M148" s="562">
        <f t="shared" ref="M148" si="348">SUM(M146:M147)</f>
        <v>29752.288879950396</v>
      </c>
      <c r="N148" s="562">
        <f t="shared" ref="N148" si="349">SUM(N146:N147)</f>
        <v>40202.594902101191</v>
      </c>
      <c r="O148" s="562">
        <f t="shared" ref="O148" si="350">SUM(O146:O147)</f>
        <v>50639.15428512881</v>
      </c>
      <c r="P148" s="562">
        <f t="shared" ref="P148" si="351">SUM(P146:P147)</f>
        <v>61082.058322269877</v>
      </c>
      <c r="Q148" s="562">
        <f t="shared" ref="Q148" si="352">SUM(Q146:Q147)</f>
        <v>79230.487148873319</v>
      </c>
      <c r="R148" s="562">
        <f t="shared" ref="R148" si="353">SUM(R146:R147)</f>
        <v>97371.522555332078</v>
      </c>
      <c r="S148" s="562">
        <f t="shared" ref="S148" si="354">SUM(S146:S147)</f>
        <v>115518.63557955271</v>
      </c>
      <c r="T148" s="562">
        <f t="shared" ref="T148" si="355">SUM(T146:T147)</f>
        <v>133667.34465454781</v>
      </c>
      <c r="U148" s="562">
        <f t="shared" ref="U148" si="356">SUM(U146:U147)</f>
        <v>151830.06782540266</v>
      </c>
      <c r="V148" s="562">
        <f t="shared" ref="V148" si="357">SUM(V146:V147)</f>
        <v>162388.95119912288</v>
      </c>
      <c r="W148" s="562">
        <f t="shared" ref="W148" si="358">SUM(W146:W147)</f>
        <v>165243.28168102005</v>
      </c>
      <c r="X148" s="562">
        <f t="shared" ref="X148" si="359">SUM(X146:X147)</f>
        <v>168097.73135575483</v>
      </c>
      <c r="Y148" s="562">
        <f t="shared" ref="Y148" si="360">SUM(Y146:Y147)</f>
        <v>170952.32009116528</v>
      </c>
      <c r="Z148" s="562">
        <f t="shared" ref="Z148" si="361">SUM(Z146:Z147)</f>
        <v>173806.11855515669</v>
      </c>
      <c r="AA148" s="562">
        <f t="shared" ref="AA148" si="362">SUM(AA146:AA147)</f>
        <v>176661.05681057979</v>
      </c>
      <c r="AB148" s="562">
        <f t="shared" ref="AB148" si="363">SUM(AB146:AB147)</f>
        <v>179515.26025871199</v>
      </c>
      <c r="AC148" s="562">
        <f t="shared" ref="AC148" si="364">SUM(AC146:AC147)</f>
        <v>182370.6669610941</v>
      </c>
      <c r="AD148" s="562">
        <f t="shared" ref="AD148" si="365">SUM(AD146:AD147)</f>
        <v>185226.36306557996</v>
      </c>
      <c r="AE148" s="562">
        <f t="shared" ref="AE148" si="366">SUM(AE146:AE147)</f>
        <v>188081.43943385984</v>
      </c>
      <c r="AF148" s="562">
        <f t="shared" ref="AF148" si="367">SUM(AF146:AF147)</f>
        <v>190937.85006790474</v>
      </c>
      <c r="AG148" s="562">
        <f t="shared" ref="AG148" si="368">SUM(AG146:AG147)</f>
        <v>193794.69796760881</v>
      </c>
      <c r="AH148" s="729">
        <f t="shared" ref="AH148" si="369">SUM(AH146:AH147)</f>
        <v>196651.09257949592</v>
      </c>
      <c r="AI148" s="18"/>
      <c r="AJ148" s="18"/>
      <c r="AK148" s="18"/>
      <c r="AL148" s="18"/>
      <c r="AM148" s="18"/>
      <c r="AN148" s="18"/>
    </row>
    <row r="149" spans="2:40" ht="21.9" customHeight="1" x14ac:dyDescent="0.25">
      <c r="B149" s="229"/>
      <c r="C149" s="690"/>
      <c r="D149" s="690"/>
      <c r="E149" s="114" t="s">
        <v>282</v>
      </c>
      <c r="F149" s="114" t="s">
        <v>308</v>
      </c>
      <c r="G149" s="114" t="s">
        <v>324</v>
      </c>
      <c r="H149" s="114" t="s">
        <v>20</v>
      </c>
      <c r="I149" s="552">
        <f t="shared" ref="I149:AH149" si="370">I85*$D$11</f>
        <v>7893.4535565156511</v>
      </c>
      <c r="J149" s="552">
        <f t="shared" si="370"/>
        <v>8189.3705071320355</v>
      </c>
      <c r="K149" s="552">
        <f t="shared" si="370"/>
        <v>8642.0165839140955</v>
      </c>
      <c r="L149" s="552">
        <f t="shared" si="370"/>
        <v>10080.163747143148</v>
      </c>
      <c r="M149" s="552">
        <f t="shared" si="370"/>
        <v>11518.542023829428</v>
      </c>
      <c r="N149" s="552">
        <f t="shared" si="370"/>
        <v>12958.493549029368</v>
      </c>
      <c r="O149" s="552">
        <f t="shared" si="370"/>
        <v>14396.799441844216</v>
      </c>
      <c r="P149" s="552">
        <f t="shared" si="370"/>
        <v>15836.78527949612</v>
      </c>
      <c r="Q149" s="552">
        <f t="shared" si="370"/>
        <v>17735.209212163427</v>
      </c>
      <c r="R149" s="552">
        <f t="shared" si="370"/>
        <v>19636.308915167847</v>
      </c>
      <c r="S149" s="552">
        <f t="shared" si="370"/>
        <v>21545.902384135632</v>
      </c>
      <c r="T149" s="552">
        <f t="shared" si="370"/>
        <v>23472.980130320306</v>
      </c>
      <c r="U149" s="552">
        <f t="shared" si="370"/>
        <v>25439.907375794188</v>
      </c>
      <c r="V149" s="552">
        <f t="shared" si="370"/>
        <v>26406.290704837196</v>
      </c>
      <c r="W149" s="552">
        <f t="shared" si="370"/>
        <v>26725.090989457782</v>
      </c>
      <c r="X149" s="552">
        <f t="shared" si="370"/>
        <v>27046.59092412937</v>
      </c>
      <c r="Y149" s="552">
        <f t="shared" si="370"/>
        <v>27371.074456427046</v>
      </c>
      <c r="Z149" s="552">
        <f t="shared" si="370"/>
        <v>27699.193020591247</v>
      </c>
      <c r="AA149" s="552">
        <f t="shared" si="370"/>
        <v>28030.604713704699</v>
      </c>
      <c r="AB149" s="552">
        <f t="shared" si="370"/>
        <v>28366.366259871102</v>
      </c>
      <c r="AC149" s="552">
        <f t="shared" si="370"/>
        <v>28706.183309050903</v>
      </c>
      <c r="AD149" s="552">
        <f t="shared" si="370"/>
        <v>29050.838233136652</v>
      </c>
      <c r="AE149" s="552">
        <f t="shared" si="370"/>
        <v>29401.171655236791</v>
      </c>
      <c r="AF149" s="552">
        <f t="shared" si="370"/>
        <v>29756.973572623487</v>
      </c>
      <c r="AG149" s="552">
        <f t="shared" si="370"/>
        <v>30119.163847882006</v>
      </c>
      <c r="AH149" s="727">
        <f t="shared" si="370"/>
        <v>30488.736243402032</v>
      </c>
      <c r="AI149" s="18"/>
      <c r="AJ149" s="18"/>
      <c r="AK149" s="18"/>
      <c r="AL149" s="18"/>
      <c r="AM149" s="18"/>
      <c r="AN149" s="18"/>
    </row>
    <row r="150" spans="2:40" ht="21.9" customHeight="1" x14ac:dyDescent="0.25">
      <c r="B150" s="229"/>
      <c r="C150" s="690"/>
      <c r="D150" s="690"/>
      <c r="E150" s="114"/>
      <c r="F150" s="114"/>
      <c r="G150" s="114"/>
      <c r="H150" s="122" t="s">
        <v>19</v>
      </c>
      <c r="I150" s="552">
        <f t="shared" ref="I150:AH150" si="371">I86*$D$12</f>
        <v>18906.475584468626</v>
      </c>
      <c r="J150" s="552">
        <f t="shared" si="371"/>
        <v>19615.258699717451</v>
      </c>
      <c r="K150" s="552">
        <f t="shared" si="371"/>
        <v>20699.44091955472</v>
      </c>
      <c r="L150" s="552">
        <f t="shared" si="371"/>
        <v>24144.104783576404</v>
      </c>
      <c r="M150" s="552">
        <f t="shared" si="371"/>
        <v>27589.322212765099</v>
      </c>
      <c r="N150" s="552">
        <f t="shared" si="371"/>
        <v>31038.307901866752</v>
      </c>
      <c r="O150" s="552">
        <f t="shared" si="371"/>
        <v>34483.351956513092</v>
      </c>
      <c r="P150" s="552">
        <f t="shared" si="371"/>
        <v>37932.419831128434</v>
      </c>
      <c r="Q150" s="552">
        <f t="shared" si="371"/>
        <v>42479.543023145932</v>
      </c>
      <c r="R150" s="552">
        <f t="shared" si="371"/>
        <v>47033.075245911008</v>
      </c>
      <c r="S150" s="552">
        <f t="shared" si="371"/>
        <v>51606.951818288944</v>
      </c>
      <c r="T150" s="552">
        <f t="shared" si="371"/>
        <v>56222.706898970799</v>
      </c>
      <c r="U150" s="552">
        <f t="shared" si="371"/>
        <v>60933.909882141772</v>
      </c>
      <c r="V150" s="552">
        <f t="shared" si="371"/>
        <v>63248.600490628014</v>
      </c>
      <c r="W150" s="552">
        <f t="shared" si="371"/>
        <v>64012.193986725229</v>
      </c>
      <c r="X150" s="552">
        <f t="shared" si="371"/>
        <v>64782.253710489516</v>
      </c>
      <c r="Y150" s="552">
        <f t="shared" si="371"/>
        <v>65559.459775873169</v>
      </c>
      <c r="Z150" s="552">
        <f t="shared" si="371"/>
        <v>66345.372504410174</v>
      </c>
      <c r="AA150" s="552">
        <f t="shared" si="371"/>
        <v>67139.172966957369</v>
      </c>
      <c r="AB150" s="552">
        <f t="shared" si="371"/>
        <v>67943.392239212219</v>
      </c>
      <c r="AC150" s="552">
        <f t="shared" si="371"/>
        <v>68757.325291139889</v>
      </c>
      <c r="AD150" s="552">
        <f t="shared" si="371"/>
        <v>69582.846067393184</v>
      </c>
      <c r="AE150" s="552">
        <f t="shared" si="371"/>
        <v>70421.968036495309</v>
      </c>
      <c r="AF150" s="552">
        <f t="shared" si="371"/>
        <v>71274.18819790057</v>
      </c>
      <c r="AG150" s="552">
        <f t="shared" si="371"/>
        <v>72141.709815286245</v>
      </c>
      <c r="AH150" s="727">
        <f t="shared" si="371"/>
        <v>73026.91315784918</v>
      </c>
      <c r="AI150" s="18"/>
      <c r="AJ150" s="18"/>
      <c r="AK150" s="18"/>
      <c r="AL150" s="18"/>
      <c r="AM150" s="18"/>
      <c r="AN150" s="18"/>
    </row>
    <row r="151" spans="2:40" ht="21.9" customHeight="1" x14ac:dyDescent="0.25">
      <c r="B151" s="229"/>
      <c r="C151" s="690"/>
      <c r="D151" s="690"/>
      <c r="E151" s="114"/>
      <c r="F151" s="114"/>
      <c r="G151" s="114"/>
      <c r="H151" s="696" t="s">
        <v>25</v>
      </c>
      <c r="I151" s="552">
        <f t="shared" ref="I151" si="372">SUM(I149:I150)</f>
        <v>26799.929140984277</v>
      </c>
      <c r="J151" s="552">
        <f t="shared" ref="J151" si="373">SUM(J149:J150)</f>
        <v>27804.629206849488</v>
      </c>
      <c r="K151" s="552">
        <f t="shared" ref="K151" si="374">SUM(K149:K150)</f>
        <v>29341.457503468817</v>
      </c>
      <c r="L151" s="552">
        <f t="shared" ref="L151" si="375">SUM(L149:L150)</f>
        <v>34224.26853071955</v>
      </c>
      <c r="M151" s="552">
        <f t="shared" ref="M151" si="376">SUM(M149:M150)</f>
        <v>39107.864236594527</v>
      </c>
      <c r="N151" s="552">
        <f t="shared" ref="N151" si="377">SUM(N149:N150)</f>
        <v>43996.801450896121</v>
      </c>
      <c r="O151" s="552">
        <f t="shared" ref="O151" si="378">SUM(O149:O150)</f>
        <v>48880.15139835731</v>
      </c>
      <c r="P151" s="552">
        <f t="shared" ref="P151" si="379">SUM(P149:P150)</f>
        <v>53769.205110624556</v>
      </c>
      <c r="Q151" s="552">
        <f t="shared" ref="Q151" si="380">SUM(Q149:Q150)</f>
        <v>60214.752235309359</v>
      </c>
      <c r="R151" s="552">
        <f t="shared" ref="R151" si="381">SUM(R149:R150)</f>
        <v>66669.384161078851</v>
      </c>
      <c r="S151" s="552">
        <f t="shared" ref="S151" si="382">SUM(S149:S150)</f>
        <v>73152.854202424583</v>
      </c>
      <c r="T151" s="552">
        <f t="shared" ref="T151" si="383">SUM(T149:T150)</f>
        <v>79695.687029291104</v>
      </c>
      <c r="U151" s="552">
        <f t="shared" ref="U151" si="384">SUM(U149:U150)</f>
        <v>86373.817257935967</v>
      </c>
      <c r="V151" s="552">
        <f t="shared" ref="V151" si="385">SUM(V149:V150)</f>
        <v>89654.891195465214</v>
      </c>
      <c r="W151" s="552">
        <f t="shared" ref="W151" si="386">SUM(W149:W150)</f>
        <v>90737.284976183015</v>
      </c>
      <c r="X151" s="552">
        <f t="shared" ref="X151" si="387">SUM(X149:X150)</f>
        <v>91828.844634618887</v>
      </c>
      <c r="Y151" s="552">
        <f t="shared" ref="Y151" si="388">SUM(Y149:Y150)</f>
        <v>92930.534232300211</v>
      </c>
      <c r="Z151" s="552">
        <f t="shared" ref="Z151" si="389">SUM(Z149:Z150)</f>
        <v>94044.565525001424</v>
      </c>
      <c r="AA151" s="552">
        <f t="shared" ref="AA151" si="390">SUM(AA149:AA150)</f>
        <v>95169.777680662068</v>
      </c>
      <c r="AB151" s="552">
        <f t="shared" ref="AB151" si="391">SUM(AB149:AB150)</f>
        <v>96309.758499083313</v>
      </c>
      <c r="AC151" s="552">
        <f t="shared" ref="AC151" si="392">SUM(AC149:AC150)</f>
        <v>97463.508600190791</v>
      </c>
      <c r="AD151" s="552">
        <f t="shared" ref="AD151" si="393">SUM(AD149:AD150)</f>
        <v>98633.684300529829</v>
      </c>
      <c r="AE151" s="552">
        <f t="shared" ref="AE151" si="394">SUM(AE149:AE150)</f>
        <v>99823.139691732096</v>
      </c>
      <c r="AF151" s="552">
        <f t="shared" ref="AF151" si="395">SUM(AF149:AF150)</f>
        <v>101031.16177052405</v>
      </c>
      <c r="AG151" s="552">
        <f t="shared" ref="AG151" si="396">SUM(AG149:AG150)</f>
        <v>102260.87366316826</v>
      </c>
      <c r="AH151" s="727">
        <f t="shared" ref="AH151" si="397">SUM(AH149:AH150)</f>
        <v>103515.64940125121</v>
      </c>
      <c r="AI151" s="18"/>
      <c r="AJ151" s="18"/>
      <c r="AK151" s="18"/>
      <c r="AL151" s="18"/>
      <c r="AM151" s="18"/>
      <c r="AN151" s="18"/>
    </row>
    <row r="152" spans="2:40" ht="21.9" customHeight="1" x14ac:dyDescent="0.25">
      <c r="B152" s="229"/>
      <c r="C152" s="690"/>
      <c r="D152" s="690"/>
      <c r="E152" s="217" t="s">
        <v>321</v>
      </c>
      <c r="F152" s="217" t="s">
        <v>318</v>
      </c>
      <c r="G152" s="217" t="s">
        <v>308</v>
      </c>
      <c r="H152" s="114" t="s">
        <v>20</v>
      </c>
      <c r="I152" s="552" t="e">
        <f t="shared" ref="I152:AH152" si="398">I88*$D$11</f>
        <v>#DIV/0!</v>
      </c>
      <c r="J152" s="552" t="e">
        <f t="shared" si="398"/>
        <v>#DIV/0!</v>
      </c>
      <c r="K152" s="552" t="e">
        <f t="shared" si="398"/>
        <v>#DIV/0!</v>
      </c>
      <c r="L152" s="552" t="e">
        <f t="shared" si="398"/>
        <v>#DIV/0!</v>
      </c>
      <c r="M152" s="552" t="e">
        <f t="shared" si="398"/>
        <v>#DIV/0!</v>
      </c>
      <c r="N152" s="552" t="e">
        <f t="shared" si="398"/>
        <v>#DIV/0!</v>
      </c>
      <c r="O152" s="552" t="e">
        <f t="shared" si="398"/>
        <v>#DIV/0!</v>
      </c>
      <c r="P152" s="552" t="e">
        <f t="shared" si="398"/>
        <v>#DIV/0!</v>
      </c>
      <c r="Q152" s="552" t="e">
        <f t="shared" si="398"/>
        <v>#DIV/0!</v>
      </c>
      <c r="R152" s="552" t="e">
        <f t="shared" si="398"/>
        <v>#DIV/0!</v>
      </c>
      <c r="S152" s="552" t="e">
        <f t="shared" si="398"/>
        <v>#DIV/0!</v>
      </c>
      <c r="T152" s="552" t="e">
        <f t="shared" si="398"/>
        <v>#DIV/0!</v>
      </c>
      <c r="U152" s="552" t="e">
        <f t="shared" si="398"/>
        <v>#DIV/0!</v>
      </c>
      <c r="V152" s="552" t="e">
        <f t="shared" si="398"/>
        <v>#DIV/0!</v>
      </c>
      <c r="W152" s="552" t="e">
        <f t="shared" si="398"/>
        <v>#DIV/0!</v>
      </c>
      <c r="X152" s="552" t="e">
        <f t="shared" si="398"/>
        <v>#DIV/0!</v>
      </c>
      <c r="Y152" s="552" t="e">
        <f t="shared" si="398"/>
        <v>#DIV/0!</v>
      </c>
      <c r="Z152" s="552" t="e">
        <f t="shared" si="398"/>
        <v>#DIV/0!</v>
      </c>
      <c r="AA152" s="552" t="e">
        <f t="shared" si="398"/>
        <v>#DIV/0!</v>
      </c>
      <c r="AB152" s="552" t="e">
        <f t="shared" si="398"/>
        <v>#DIV/0!</v>
      </c>
      <c r="AC152" s="552" t="e">
        <f t="shared" si="398"/>
        <v>#DIV/0!</v>
      </c>
      <c r="AD152" s="552" t="e">
        <f t="shared" si="398"/>
        <v>#DIV/0!</v>
      </c>
      <c r="AE152" s="552" t="e">
        <f t="shared" si="398"/>
        <v>#DIV/0!</v>
      </c>
      <c r="AF152" s="552" t="e">
        <f t="shared" si="398"/>
        <v>#DIV/0!</v>
      </c>
      <c r="AG152" s="552" t="e">
        <f t="shared" si="398"/>
        <v>#DIV/0!</v>
      </c>
      <c r="AH152" s="727" t="e">
        <f t="shared" si="398"/>
        <v>#DIV/0!</v>
      </c>
      <c r="AI152" s="18"/>
      <c r="AJ152" s="18"/>
      <c r="AK152" s="18"/>
      <c r="AL152" s="18"/>
      <c r="AM152" s="18"/>
      <c r="AN152" s="18"/>
    </row>
    <row r="153" spans="2:40" ht="21.9" customHeight="1" x14ac:dyDescent="0.25">
      <c r="B153" s="229"/>
      <c r="C153" s="690"/>
      <c r="D153" s="690"/>
      <c r="E153" s="114"/>
      <c r="F153" s="114"/>
      <c r="G153" s="114"/>
      <c r="H153" s="122" t="s">
        <v>19</v>
      </c>
      <c r="I153" s="552" t="e">
        <f t="shared" ref="I153:AH153" si="399">I89*$D$12</f>
        <v>#DIV/0!</v>
      </c>
      <c r="J153" s="552" t="e">
        <f t="shared" si="399"/>
        <v>#DIV/0!</v>
      </c>
      <c r="K153" s="552" t="e">
        <f t="shared" si="399"/>
        <v>#DIV/0!</v>
      </c>
      <c r="L153" s="552" t="e">
        <f t="shared" si="399"/>
        <v>#DIV/0!</v>
      </c>
      <c r="M153" s="552" t="e">
        <f t="shared" si="399"/>
        <v>#DIV/0!</v>
      </c>
      <c r="N153" s="552" t="e">
        <f t="shared" si="399"/>
        <v>#DIV/0!</v>
      </c>
      <c r="O153" s="552" t="e">
        <f t="shared" si="399"/>
        <v>#DIV/0!</v>
      </c>
      <c r="P153" s="552" t="e">
        <f t="shared" si="399"/>
        <v>#DIV/0!</v>
      </c>
      <c r="Q153" s="552" t="e">
        <f t="shared" si="399"/>
        <v>#DIV/0!</v>
      </c>
      <c r="R153" s="552" t="e">
        <f t="shared" si="399"/>
        <v>#DIV/0!</v>
      </c>
      <c r="S153" s="552" t="e">
        <f t="shared" si="399"/>
        <v>#DIV/0!</v>
      </c>
      <c r="T153" s="552" t="e">
        <f t="shared" si="399"/>
        <v>#DIV/0!</v>
      </c>
      <c r="U153" s="552" t="e">
        <f t="shared" si="399"/>
        <v>#DIV/0!</v>
      </c>
      <c r="V153" s="552" t="e">
        <f t="shared" si="399"/>
        <v>#DIV/0!</v>
      </c>
      <c r="W153" s="552" t="e">
        <f t="shared" si="399"/>
        <v>#DIV/0!</v>
      </c>
      <c r="X153" s="552" t="e">
        <f t="shared" si="399"/>
        <v>#DIV/0!</v>
      </c>
      <c r="Y153" s="552" t="e">
        <f t="shared" si="399"/>
        <v>#DIV/0!</v>
      </c>
      <c r="Z153" s="552" t="e">
        <f t="shared" si="399"/>
        <v>#DIV/0!</v>
      </c>
      <c r="AA153" s="552" t="e">
        <f t="shared" si="399"/>
        <v>#DIV/0!</v>
      </c>
      <c r="AB153" s="552" t="e">
        <f t="shared" si="399"/>
        <v>#DIV/0!</v>
      </c>
      <c r="AC153" s="552" t="e">
        <f t="shared" si="399"/>
        <v>#DIV/0!</v>
      </c>
      <c r="AD153" s="552" t="e">
        <f t="shared" si="399"/>
        <v>#DIV/0!</v>
      </c>
      <c r="AE153" s="552" t="e">
        <f t="shared" si="399"/>
        <v>#DIV/0!</v>
      </c>
      <c r="AF153" s="552" t="e">
        <f t="shared" si="399"/>
        <v>#DIV/0!</v>
      </c>
      <c r="AG153" s="552" t="e">
        <f t="shared" si="399"/>
        <v>#DIV/0!</v>
      </c>
      <c r="AH153" s="727" t="e">
        <f t="shared" si="399"/>
        <v>#DIV/0!</v>
      </c>
      <c r="AI153" s="18"/>
      <c r="AJ153" s="18"/>
      <c r="AK153" s="18"/>
      <c r="AL153" s="18"/>
      <c r="AM153" s="18"/>
      <c r="AN153" s="18"/>
    </row>
    <row r="154" spans="2:40" ht="21.9" customHeight="1" x14ac:dyDescent="0.25">
      <c r="B154" s="229"/>
      <c r="C154" s="690"/>
      <c r="D154" s="690"/>
      <c r="E154" s="250"/>
      <c r="F154" s="250"/>
      <c r="G154" s="250"/>
      <c r="H154" s="696" t="s">
        <v>25</v>
      </c>
      <c r="I154" s="552" t="e">
        <f t="shared" ref="I154" si="400">SUM(I152:I153)</f>
        <v>#DIV/0!</v>
      </c>
      <c r="J154" s="552" t="e">
        <f t="shared" ref="J154" si="401">SUM(J152:J153)</f>
        <v>#DIV/0!</v>
      </c>
      <c r="K154" s="552" t="e">
        <f t="shared" ref="K154" si="402">SUM(K152:K153)</f>
        <v>#DIV/0!</v>
      </c>
      <c r="L154" s="552" t="e">
        <f t="shared" ref="L154" si="403">SUM(L152:L153)</f>
        <v>#DIV/0!</v>
      </c>
      <c r="M154" s="552" t="e">
        <f t="shared" ref="M154" si="404">SUM(M152:M153)</f>
        <v>#DIV/0!</v>
      </c>
      <c r="N154" s="552" t="e">
        <f t="shared" ref="N154" si="405">SUM(N152:N153)</f>
        <v>#DIV/0!</v>
      </c>
      <c r="O154" s="552" t="e">
        <f t="shared" ref="O154" si="406">SUM(O152:O153)</f>
        <v>#DIV/0!</v>
      </c>
      <c r="P154" s="552" t="e">
        <f t="shared" ref="P154" si="407">SUM(P152:P153)</f>
        <v>#DIV/0!</v>
      </c>
      <c r="Q154" s="552" t="e">
        <f t="shared" ref="Q154" si="408">SUM(Q152:Q153)</f>
        <v>#DIV/0!</v>
      </c>
      <c r="R154" s="552" t="e">
        <f t="shared" ref="R154" si="409">SUM(R152:R153)</f>
        <v>#DIV/0!</v>
      </c>
      <c r="S154" s="552" t="e">
        <f t="shared" ref="S154" si="410">SUM(S152:S153)</f>
        <v>#DIV/0!</v>
      </c>
      <c r="T154" s="552" t="e">
        <f t="shared" ref="T154" si="411">SUM(T152:T153)</f>
        <v>#DIV/0!</v>
      </c>
      <c r="U154" s="552" t="e">
        <f t="shared" ref="U154" si="412">SUM(U152:U153)</f>
        <v>#DIV/0!</v>
      </c>
      <c r="V154" s="552" t="e">
        <f t="shared" ref="V154" si="413">SUM(V152:V153)</f>
        <v>#DIV/0!</v>
      </c>
      <c r="W154" s="552" t="e">
        <f t="shared" ref="W154" si="414">SUM(W152:W153)</f>
        <v>#DIV/0!</v>
      </c>
      <c r="X154" s="552" t="e">
        <f t="shared" ref="X154" si="415">SUM(X152:X153)</f>
        <v>#DIV/0!</v>
      </c>
      <c r="Y154" s="552" t="e">
        <f t="shared" ref="Y154" si="416">SUM(Y152:Y153)</f>
        <v>#DIV/0!</v>
      </c>
      <c r="Z154" s="552" t="e">
        <f t="shared" ref="Z154" si="417">SUM(Z152:Z153)</f>
        <v>#DIV/0!</v>
      </c>
      <c r="AA154" s="552" t="e">
        <f t="shared" ref="AA154" si="418">SUM(AA152:AA153)</f>
        <v>#DIV/0!</v>
      </c>
      <c r="AB154" s="552" t="e">
        <f t="shared" ref="AB154" si="419">SUM(AB152:AB153)</f>
        <v>#DIV/0!</v>
      </c>
      <c r="AC154" s="552" t="e">
        <f t="shared" ref="AC154" si="420">SUM(AC152:AC153)</f>
        <v>#DIV/0!</v>
      </c>
      <c r="AD154" s="552" t="e">
        <f t="shared" ref="AD154" si="421">SUM(AD152:AD153)</f>
        <v>#DIV/0!</v>
      </c>
      <c r="AE154" s="552" t="e">
        <f t="shared" ref="AE154" si="422">SUM(AE152:AE153)</f>
        <v>#DIV/0!</v>
      </c>
      <c r="AF154" s="552" t="e">
        <f t="shared" ref="AF154" si="423">SUM(AF152:AF153)</f>
        <v>#DIV/0!</v>
      </c>
      <c r="AG154" s="552" t="e">
        <f t="shared" ref="AG154" si="424">SUM(AG152:AG153)</f>
        <v>#DIV/0!</v>
      </c>
      <c r="AH154" s="727" t="e">
        <f t="shared" ref="AH154" si="425">SUM(AH152:AH153)</f>
        <v>#DIV/0!</v>
      </c>
      <c r="AI154" s="18"/>
      <c r="AJ154" s="18"/>
      <c r="AK154" s="18"/>
      <c r="AL154" s="18"/>
      <c r="AM154" s="18"/>
      <c r="AN154" s="18"/>
    </row>
    <row r="155" spans="2:40" ht="21.9" customHeight="1" x14ac:dyDescent="0.25">
      <c r="B155" s="229"/>
      <c r="C155" s="690"/>
      <c r="D155" s="690"/>
      <c r="E155" s="217" t="s">
        <v>333</v>
      </c>
      <c r="F155" s="217" t="s">
        <v>319</v>
      </c>
      <c r="G155" s="217" t="s">
        <v>308</v>
      </c>
      <c r="H155" s="114" t="s">
        <v>20</v>
      </c>
      <c r="I155" s="552">
        <f t="shared" ref="I155:AH155" si="426">I91*$D$11</f>
        <v>12757.824207646447</v>
      </c>
      <c r="J155" s="552">
        <f t="shared" si="426"/>
        <v>12955.092359987237</v>
      </c>
      <c r="K155" s="552">
        <f t="shared" si="426"/>
        <v>13279.251981706382</v>
      </c>
      <c r="L155" s="552">
        <f t="shared" si="426"/>
        <v>14381.463014792576</v>
      </c>
      <c r="M155" s="552">
        <f t="shared" si="426"/>
        <v>15485.132145031483</v>
      </c>
      <c r="N155" s="552">
        <f t="shared" si="426"/>
        <v>16592.630071245876</v>
      </c>
      <c r="O155" s="552">
        <f t="shared" si="426"/>
        <v>17703.413759734503</v>
      </c>
      <c r="P155" s="552">
        <f t="shared" si="426"/>
        <v>18823.834512970338</v>
      </c>
      <c r="Q155" s="552">
        <f t="shared" si="426"/>
        <v>20170.648024944549</v>
      </c>
      <c r="R155" s="552">
        <f t="shared" si="426"/>
        <v>21554.385843476295</v>
      </c>
      <c r="S155" s="552">
        <f t="shared" si="426"/>
        <v>23004.244080796056</v>
      </c>
      <c r="T155" s="552">
        <f t="shared" si="426"/>
        <v>24564.9569908638</v>
      </c>
      <c r="U155" s="552">
        <f t="shared" si="426"/>
        <v>26311.940141751213</v>
      </c>
      <c r="V155" s="552">
        <f t="shared" si="426"/>
        <v>27093.406091601806</v>
      </c>
      <c r="W155" s="552">
        <f t="shared" si="426"/>
        <v>27399.290075605622</v>
      </c>
      <c r="X155" s="552">
        <f t="shared" si="426"/>
        <v>27713.721392783511</v>
      </c>
      <c r="Y155" s="552">
        <f t="shared" si="426"/>
        <v>28037.30261380702</v>
      </c>
      <c r="Z155" s="552">
        <f t="shared" si="426"/>
        <v>28371.34057773208</v>
      </c>
      <c r="AA155" s="552">
        <f t="shared" si="426"/>
        <v>28715.195111270757</v>
      </c>
      <c r="AB155" s="552">
        <f t="shared" si="426"/>
        <v>29070.947088600395</v>
      </c>
      <c r="AC155" s="552">
        <f t="shared" si="426"/>
        <v>29437.95565362283</v>
      </c>
      <c r="AD155" s="552">
        <f t="shared" si="426"/>
        <v>29817.718978851943</v>
      </c>
      <c r="AE155" s="552">
        <f t="shared" si="426"/>
        <v>30211.884546327223</v>
      </c>
      <c r="AF155" s="552">
        <f t="shared" si="426"/>
        <v>30619.8048358044</v>
      </c>
      <c r="AG155" s="552">
        <f t="shared" si="426"/>
        <v>31043.203550980037</v>
      </c>
      <c r="AH155" s="727">
        <f t="shared" si="426"/>
        <v>31483.983117087697</v>
      </c>
      <c r="AI155" s="18"/>
      <c r="AJ155" s="18"/>
      <c r="AK155" s="18"/>
      <c r="AL155" s="18"/>
      <c r="AM155" s="18"/>
      <c r="AN155" s="18"/>
    </row>
    <row r="156" spans="2:40" ht="21.9" customHeight="1" x14ac:dyDescent="0.25">
      <c r="B156" s="229"/>
      <c r="C156" s="690"/>
      <c r="D156" s="690"/>
      <c r="E156" s="114"/>
      <c r="F156" s="114"/>
      <c r="G156" s="114"/>
      <c r="H156" s="122" t="s">
        <v>19</v>
      </c>
      <c r="I156" s="552">
        <f t="shared" ref="I156:AH156" si="427">I92*$D$12</f>
        <v>30557.662772805863</v>
      </c>
      <c r="J156" s="552">
        <f t="shared" si="427"/>
        <v>31030.161341286796</v>
      </c>
      <c r="K156" s="552">
        <f t="shared" si="427"/>
        <v>31806.591572949419</v>
      </c>
      <c r="L156" s="552">
        <f t="shared" si="427"/>
        <v>34446.617999503178</v>
      </c>
      <c r="M156" s="552">
        <f t="shared" si="427"/>
        <v>37090.136874326905</v>
      </c>
      <c r="N156" s="552">
        <f t="shared" si="427"/>
        <v>39742.826517954192</v>
      </c>
      <c r="O156" s="552">
        <f t="shared" si="427"/>
        <v>42403.386250861084</v>
      </c>
      <c r="P156" s="552">
        <f t="shared" si="427"/>
        <v>45087.028773581646</v>
      </c>
      <c r="Q156" s="552">
        <f t="shared" si="427"/>
        <v>48312.929401064786</v>
      </c>
      <c r="R156" s="552">
        <f t="shared" si="427"/>
        <v>51627.271481380347</v>
      </c>
      <c r="S156" s="552">
        <f t="shared" si="427"/>
        <v>55099.985822266004</v>
      </c>
      <c r="T156" s="552">
        <f t="shared" si="427"/>
        <v>58838.220337398328</v>
      </c>
      <c r="U156" s="552">
        <f t="shared" si="427"/>
        <v>63022.611117966975</v>
      </c>
      <c r="V156" s="552">
        <f t="shared" si="427"/>
        <v>64894.385848148042</v>
      </c>
      <c r="W156" s="552">
        <f t="shared" si="427"/>
        <v>65627.042097258978</v>
      </c>
      <c r="X156" s="552">
        <f t="shared" si="427"/>
        <v>66380.171000679067</v>
      </c>
      <c r="Y156" s="552">
        <f t="shared" si="427"/>
        <v>67155.215841453944</v>
      </c>
      <c r="Z156" s="552">
        <f t="shared" si="427"/>
        <v>67955.306773010976</v>
      </c>
      <c r="AA156" s="552">
        <f t="shared" si="427"/>
        <v>68778.910446157504</v>
      </c>
      <c r="AB156" s="552">
        <f t="shared" si="427"/>
        <v>69631.010990659634</v>
      </c>
      <c r="AC156" s="552">
        <f t="shared" si="427"/>
        <v>70510.073421851092</v>
      </c>
      <c r="AD156" s="552">
        <f t="shared" si="427"/>
        <v>71419.686176890886</v>
      </c>
      <c r="AE156" s="552">
        <f t="shared" si="427"/>
        <v>72363.795320544246</v>
      </c>
      <c r="AF156" s="552">
        <f t="shared" si="427"/>
        <v>73340.849906118325</v>
      </c>
      <c r="AG156" s="552">
        <f t="shared" si="427"/>
        <v>74354.978565221652</v>
      </c>
      <c r="AH156" s="727">
        <f t="shared" si="427"/>
        <v>75410.738005000472</v>
      </c>
      <c r="AI156" s="18"/>
      <c r="AJ156" s="18"/>
      <c r="AK156" s="18"/>
      <c r="AL156" s="18"/>
      <c r="AM156" s="18"/>
      <c r="AN156" s="18"/>
    </row>
    <row r="157" spans="2:40" ht="21.9" customHeight="1" x14ac:dyDescent="0.25">
      <c r="B157" s="229"/>
      <c r="C157" s="690"/>
      <c r="D157" s="690"/>
      <c r="E157" s="250"/>
      <c r="F157" s="250"/>
      <c r="G157" s="250"/>
      <c r="H157" s="696" t="s">
        <v>25</v>
      </c>
      <c r="I157" s="552">
        <f t="shared" ref="I157" si="428">SUM(I155:I156)</f>
        <v>43315.486980452311</v>
      </c>
      <c r="J157" s="552">
        <f t="shared" ref="J157" si="429">SUM(J155:J156)</f>
        <v>43985.253701274036</v>
      </c>
      <c r="K157" s="552">
        <f t="shared" ref="K157" si="430">SUM(K155:K156)</f>
        <v>45085.843554655803</v>
      </c>
      <c r="L157" s="552">
        <f t="shared" ref="L157" si="431">SUM(L155:L156)</f>
        <v>48828.081014295756</v>
      </c>
      <c r="M157" s="552">
        <f t="shared" ref="M157" si="432">SUM(M155:M156)</f>
        <v>52575.269019358384</v>
      </c>
      <c r="N157" s="552">
        <f t="shared" ref="N157" si="433">SUM(N155:N156)</f>
        <v>56335.456589200068</v>
      </c>
      <c r="O157" s="552">
        <f t="shared" ref="O157" si="434">SUM(O155:O156)</f>
        <v>60106.800010595587</v>
      </c>
      <c r="P157" s="552">
        <f t="shared" ref="P157" si="435">SUM(P155:P156)</f>
        <v>63910.863286551983</v>
      </c>
      <c r="Q157" s="552">
        <f t="shared" ref="Q157" si="436">SUM(Q155:Q156)</f>
        <v>68483.577426009331</v>
      </c>
      <c r="R157" s="552">
        <f t="shared" ref="R157" si="437">SUM(R155:R156)</f>
        <v>73181.657324856642</v>
      </c>
      <c r="S157" s="552">
        <f t="shared" ref="S157" si="438">SUM(S155:S156)</f>
        <v>78104.229903062063</v>
      </c>
      <c r="T157" s="552">
        <f t="shared" ref="T157" si="439">SUM(T155:T156)</f>
        <v>83403.177328262129</v>
      </c>
      <c r="U157" s="552">
        <f t="shared" ref="U157" si="440">SUM(U155:U156)</f>
        <v>89334.551259718195</v>
      </c>
      <c r="V157" s="552">
        <f t="shared" ref="V157" si="441">SUM(V155:V156)</f>
        <v>91987.791939749848</v>
      </c>
      <c r="W157" s="552">
        <f t="shared" ref="W157" si="442">SUM(W155:W156)</f>
        <v>93026.332172864597</v>
      </c>
      <c r="X157" s="552">
        <f t="shared" ref="X157" si="443">SUM(X155:X156)</f>
        <v>94093.892393462578</v>
      </c>
      <c r="Y157" s="552">
        <f t="shared" ref="Y157" si="444">SUM(Y155:Y156)</f>
        <v>95192.518455260957</v>
      </c>
      <c r="Z157" s="552">
        <f t="shared" ref="Z157" si="445">SUM(Z155:Z156)</f>
        <v>96326.647350743064</v>
      </c>
      <c r="AA157" s="552">
        <f t="shared" ref="AA157" si="446">SUM(AA155:AA156)</f>
        <v>97494.105557428265</v>
      </c>
      <c r="AB157" s="552">
        <f t="shared" ref="AB157" si="447">SUM(AB155:AB156)</f>
        <v>98701.958079260032</v>
      </c>
      <c r="AC157" s="552">
        <f t="shared" ref="AC157" si="448">SUM(AC155:AC156)</f>
        <v>99948.029075473925</v>
      </c>
      <c r="AD157" s="552">
        <f t="shared" ref="AD157" si="449">SUM(AD155:AD156)</f>
        <v>101237.40515574283</v>
      </c>
      <c r="AE157" s="552">
        <f t="shared" ref="AE157" si="450">SUM(AE155:AE156)</f>
        <v>102575.67986687148</v>
      </c>
      <c r="AF157" s="552">
        <f t="shared" ref="AF157" si="451">SUM(AF155:AF156)</f>
        <v>103960.65474192273</v>
      </c>
      <c r="AG157" s="552">
        <f t="shared" ref="AG157" si="452">SUM(AG155:AG156)</f>
        <v>105398.18211620169</v>
      </c>
      <c r="AH157" s="727">
        <f t="shared" ref="AH157" si="453">SUM(AH155:AH156)</f>
        <v>106894.72112208817</v>
      </c>
      <c r="AI157" s="18"/>
      <c r="AJ157" s="18"/>
      <c r="AK157" s="18"/>
      <c r="AL157" s="18"/>
      <c r="AM157" s="18"/>
      <c r="AN157" s="18"/>
    </row>
    <row r="158" spans="2:40" ht="21.9" customHeight="1" x14ac:dyDescent="0.25">
      <c r="B158" s="229"/>
      <c r="C158" s="690"/>
      <c r="D158" s="690"/>
      <c r="E158" s="114" t="s">
        <v>319</v>
      </c>
      <c r="F158" s="114" t="s">
        <v>276</v>
      </c>
      <c r="G158" s="114" t="s">
        <v>333</v>
      </c>
      <c r="H158" s="114" t="s">
        <v>20</v>
      </c>
      <c r="I158" s="552">
        <f t="shared" ref="I158:AH158" si="454">I94*$D$11</f>
        <v>26145.523115976084</v>
      </c>
      <c r="J158" s="552">
        <f t="shared" si="454"/>
        <v>27117.745072409994</v>
      </c>
      <c r="K158" s="552">
        <f t="shared" si="454"/>
        <v>28152.664387422781</v>
      </c>
      <c r="L158" s="552">
        <f t="shared" si="454"/>
        <v>30448.585668333279</v>
      </c>
      <c r="M158" s="552">
        <f t="shared" si="454"/>
        <v>32745.087292990404</v>
      </c>
      <c r="N158" s="552">
        <f t="shared" si="454"/>
        <v>35042.85376490307</v>
      </c>
      <c r="O158" s="552">
        <f t="shared" si="454"/>
        <v>37338.808093718981</v>
      </c>
      <c r="P158" s="552">
        <f t="shared" si="454"/>
        <v>39636.80757307254</v>
      </c>
      <c r="Q158" s="552">
        <f t="shared" si="454"/>
        <v>42726.347823699114</v>
      </c>
      <c r="R158" s="552">
        <f t="shared" si="454"/>
        <v>45816.214549255106</v>
      </c>
      <c r="S158" s="552">
        <f t="shared" si="454"/>
        <v>48906.315944239119</v>
      </c>
      <c r="T158" s="552">
        <f t="shared" si="454"/>
        <v>51997.072584793706</v>
      </c>
      <c r="U158" s="552">
        <f t="shared" si="454"/>
        <v>55091.842419560824</v>
      </c>
      <c r="V158" s="552">
        <f t="shared" si="454"/>
        <v>56921.091485071142</v>
      </c>
      <c r="W158" s="552">
        <f t="shared" si="454"/>
        <v>57894.895720280336</v>
      </c>
      <c r="X158" s="552">
        <f t="shared" si="454"/>
        <v>58868.989387940062</v>
      </c>
      <c r="Y158" s="552">
        <f t="shared" si="454"/>
        <v>59843.419293791601</v>
      </c>
      <c r="Z158" s="552">
        <f t="shared" si="454"/>
        <v>60818.763260095395</v>
      </c>
      <c r="AA158" s="552">
        <f t="shared" si="454"/>
        <v>61794.033508928158</v>
      </c>
      <c r="AB158" s="552">
        <f t="shared" si="454"/>
        <v>62770.348329146393</v>
      </c>
      <c r="AC158" s="552">
        <f t="shared" si="454"/>
        <v>63746.736474835881</v>
      </c>
      <c r="AD158" s="552">
        <f t="shared" si="454"/>
        <v>64723.811349725955</v>
      </c>
      <c r="AE158" s="552">
        <f t="shared" si="454"/>
        <v>65702.199362964195</v>
      </c>
      <c r="AF158" s="552">
        <f t="shared" si="454"/>
        <v>66680.961713842669</v>
      </c>
      <c r="AG158" s="552">
        <f t="shared" si="454"/>
        <v>67660.751375207517</v>
      </c>
      <c r="AH158" s="727">
        <f t="shared" si="454"/>
        <v>68642.239298197921</v>
      </c>
      <c r="AI158" s="18"/>
      <c r="AJ158" s="18"/>
      <c r="AK158" s="18"/>
      <c r="AL158" s="18"/>
      <c r="AM158" s="18"/>
      <c r="AN158" s="18"/>
    </row>
    <row r="159" spans="2:40" ht="21.9" customHeight="1" x14ac:dyDescent="0.25">
      <c r="B159" s="229"/>
      <c r="C159" s="690"/>
      <c r="D159" s="690"/>
      <c r="E159" s="114"/>
      <c r="F159" s="114"/>
      <c r="G159" s="114"/>
      <c r="H159" s="122" t="s">
        <v>19</v>
      </c>
      <c r="I159" s="552">
        <f t="shared" ref="I159:AH159" si="455">I95*$D$12</f>
        <v>62624.007463415772</v>
      </c>
      <c r="J159" s="552">
        <f t="shared" si="455"/>
        <v>64952.68280816765</v>
      </c>
      <c r="K159" s="552">
        <f t="shared" si="455"/>
        <v>67431.531466880915</v>
      </c>
      <c r="L159" s="552">
        <f t="shared" si="455"/>
        <v>72930.744115768335</v>
      </c>
      <c r="M159" s="552">
        <f t="shared" si="455"/>
        <v>78431.346809557857</v>
      </c>
      <c r="N159" s="552">
        <f t="shared" si="455"/>
        <v>83934.979077612152</v>
      </c>
      <c r="O159" s="552">
        <f t="shared" si="455"/>
        <v>89434.270883159246</v>
      </c>
      <c r="P159" s="552">
        <f t="shared" si="455"/>
        <v>94938.461252868365</v>
      </c>
      <c r="Q159" s="552">
        <f t="shared" si="455"/>
        <v>102338.55766155476</v>
      </c>
      <c r="R159" s="552">
        <f t="shared" si="455"/>
        <v>109739.43604612001</v>
      </c>
      <c r="S159" s="552">
        <f t="shared" si="455"/>
        <v>117140.8765131476</v>
      </c>
      <c r="T159" s="552">
        <f t="shared" si="455"/>
        <v>124543.88643064362</v>
      </c>
      <c r="U159" s="552">
        <f t="shared" si="455"/>
        <v>131956.50878936725</v>
      </c>
      <c r="V159" s="552">
        <f t="shared" si="455"/>
        <v>136337.94367681711</v>
      </c>
      <c r="W159" s="552">
        <f t="shared" si="455"/>
        <v>138670.40891085111</v>
      </c>
      <c r="X159" s="552">
        <f t="shared" si="455"/>
        <v>141003.56739626362</v>
      </c>
      <c r="Y159" s="552">
        <f t="shared" si="455"/>
        <v>143337.53124261461</v>
      </c>
      <c r="Z159" s="552">
        <f t="shared" si="455"/>
        <v>145673.68445531832</v>
      </c>
      <c r="AA159" s="552">
        <f t="shared" si="455"/>
        <v>148009.66109922912</v>
      </c>
      <c r="AB159" s="552">
        <f t="shared" si="455"/>
        <v>150348.13971053029</v>
      </c>
      <c r="AC159" s="552">
        <f t="shared" si="455"/>
        <v>152686.79395170271</v>
      </c>
      <c r="AD159" s="552">
        <f t="shared" si="455"/>
        <v>155027.09305323582</v>
      </c>
      <c r="AE159" s="552">
        <f t="shared" si="455"/>
        <v>157370.53739632142</v>
      </c>
      <c r="AF159" s="552">
        <f t="shared" si="455"/>
        <v>159714.87835650941</v>
      </c>
      <c r="AG159" s="552">
        <f t="shared" si="455"/>
        <v>162061.67994061683</v>
      </c>
      <c r="AH159" s="727">
        <f t="shared" si="455"/>
        <v>164412.54921724054</v>
      </c>
      <c r="AI159" s="18"/>
      <c r="AJ159" s="18"/>
      <c r="AK159" s="18"/>
      <c r="AL159" s="18"/>
      <c r="AM159" s="18"/>
      <c r="AN159" s="18"/>
    </row>
    <row r="160" spans="2:40" ht="21.9" customHeight="1" x14ac:dyDescent="0.25">
      <c r="B160" s="229"/>
      <c r="C160" s="690"/>
      <c r="D160" s="690"/>
      <c r="E160" s="114"/>
      <c r="F160" s="114"/>
      <c r="G160" s="114"/>
      <c r="H160" s="696" t="s">
        <v>25</v>
      </c>
      <c r="I160" s="552">
        <f t="shared" ref="I160" si="456">SUM(I158:I159)</f>
        <v>88769.530579391852</v>
      </c>
      <c r="J160" s="552">
        <f t="shared" ref="J160" si="457">SUM(J158:J159)</f>
        <v>92070.427880577641</v>
      </c>
      <c r="K160" s="552">
        <f t="shared" ref="K160" si="458">SUM(K158:K159)</f>
        <v>95584.195854303689</v>
      </c>
      <c r="L160" s="552">
        <f t="shared" ref="L160" si="459">SUM(L158:L159)</f>
        <v>103379.32978410162</v>
      </c>
      <c r="M160" s="552">
        <f t="shared" ref="M160" si="460">SUM(M158:M159)</f>
        <v>111176.43410254826</v>
      </c>
      <c r="N160" s="552">
        <f t="shared" ref="N160" si="461">SUM(N158:N159)</f>
        <v>118977.83284251523</v>
      </c>
      <c r="O160" s="552">
        <f t="shared" ref="O160" si="462">SUM(O158:O159)</f>
        <v>126773.07897687823</v>
      </c>
      <c r="P160" s="552">
        <f t="shared" ref="P160" si="463">SUM(P158:P159)</f>
        <v>134575.2688259409</v>
      </c>
      <c r="Q160" s="552">
        <f t="shared" ref="Q160" si="464">SUM(Q158:Q159)</f>
        <v>145064.90548525387</v>
      </c>
      <c r="R160" s="552">
        <f t="shared" ref="R160" si="465">SUM(R158:R159)</f>
        <v>155555.6505953751</v>
      </c>
      <c r="S160" s="552">
        <f t="shared" ref="S160" si="466">SUM(S158:S159)</f>
        <v>166047.1924573867</v>
      </c>
      <c r="T160" s="552">
        <f t="shared" ref="T160" si="467">SUM(T158:T159)</f>
        <v>176540.95901543731</v>
      </c>
      <c r="U160" s="552">
        <f t="shared" ref="U160" si="468">SUM(U158:U159)</f>
        <v>187048.35120892807</v>
      </c>
      <c r="V160" s="552">
        <f t="shared" ref="V160" si="469">SUM(V158:V159)</f>
        <v>193259.03516188826</v>
      </c>
      <c r="W160" s="552">
        <f t="shared" ref="W160" si="470">SUM(W158:W159)</f>
        <v>196565.30463113144</v>
      </c>
      <c r="X160" s="552">
        <f t="shared" ref="X160" si="471">SUM(X158:X159)</f>
        <v>199872.55678420368</v>
      </c>
      <c r="Y160" s="552">
        <f t="shared" ref="Y160" si="472">SUM(Y158:Y159)</f>
        <v>203180.95053640622</v>
      </c>
      <c r="Z160" s="552">
        <f t="shared" ref="Z160" si="473">SUM(Z158:Z159)</f>
        <v>206492.4477154137</v>
      </c>
      <c r="AA160" s="552">
        <f t="shared" ref="AA160" si="474">SUM(AA158:AA159)</f>
        <v>209803.69460815727</v>
      </c>
      <c r="AB160" s="552">
        <f t="shared" ref="AB160" si="475">SUM(AB158:AB159)</f>
        <v>213118.48803967668</v>
      </c>
      <c r="AC160" s="552">
        <f t="shared" ref="AC160" si="476">SUM(AC158:AC159)</f>
        <v>216433.53042653861</v>
      </c>
      <c r="AD160" s="552">
        <f t="shared" ref="AD160" si="477">SUM(AD158:AD159)</f>
        <v>219750.90440296178</v>
      </c>
      <c r="AE160" s="552">
        <f t="shared" ref="AE160" si="478">SUM(AE158:AE159)</f>
        <v>223072.73675928562</v>
      </c>
      <c r="AF160" s="552">
        <f t="shared" ref="AF160" si="479">SUM(AF158:AF159)</f>
        <v>226395.84007035207</v>
      </c>
      <c r="AG160" s="552">
        <f t="shared" ref="AG160" si="480">SUM(AG158:AG159)</f>
        <v>229722.43131582433</v>
      </c>
      <c r="AH160" s="727">
        <f t="shared" ref="AH160" si="481">SUM(AH158:AH159)</f>
        <v>233054.78851543844</v>
      </c>
      <c r="AI160" s="18"/>
      <c r="AJ160" s="18"/>
      <c r="AK160" s="18"/>
      <c r="AL160" s="18"/>
      <c r="AM160" s="18"/>
      <c r="AN160" s="18"/>
    </row>
    <row r="161" spans="2:40" ht="21.9" customHeight="1" x14ac:dyDescent="0.25">
      <c r="B161" s="229"/>
      <c r="C161" s="690"/>
      <c r="D161" s="690"/>
      <c r="E161" s="114"/>
      <c r="F161" s="114" t="s">
        <v>333</v>
      </c>
      <c r="G161" s="114" t="s">
        <v>323</v>
      </c>
      <c r="H161" s="114" t="s">
        <v>20</v>
      </c>
      <c r="I161" s="552">
        <f t="shared" ref="I161:AH161" si="482">I97*$D$11</f>
        <v>3807.746219262337</v>
      </c>
      <c r="J161" s="552">
        <f t="shared" si="482"/>
        <v>3943.246878584735</v>
      </c>
      <c r="K161" s="552">
        <f t="shared" si="482"/>
        <v>4090.7118809450485</v>
      </c>
      <c r="L161" s="552">
        <f t="shared" si="482"/>
        <v>4372.6504696075026</v>
      </c>
      <c r="M161" s="552">
        <f t="shared" si="482"/>
        <v>4654.6993124146247</v>
      </c>
      <c r="N161" s="552">
        <f t="shared" si="482"/>
        <v>4936.7882891161253</v>
      </c>
      <c r="O161" s="552">
        <f t="shared" si="482"/>
        <v>5218.7270485865165</v>
      </c>
      <c r="P161" s="552">
        <f t="shared" si="482"/>
        <v>5500.9014332060642</v>
      </c>
      <c r="Q161" s="552">
        <f t="shared" si="482"/>
        <v>5888.0398841529704</v>
      </c>
      <c r="R161" s="552">
        <f t="shared" si="482"/>
        <v>6275.2543092586502</v>
      </c>
      <c r="S161" s="552">
        <f t="shared" si="482"/>
        <v>6662.3449304378246</v>
      </c>
      <c r="T161" s="552">
        <f t="shared" si="482"/>
        <v>7049.4881353670971</v>
      </c>
      <c r="U161" s="552">
        <f t="shared" si="482"/>
        <v>7436.9360784043593</v>
      </c>
      <c r="V161" s="552">
        <f t="shared" si="482"/>
        <v>7689.4344660187726</v>
      </c>
      <c r="W161" s="552">
        <f t="shared" si="482"/>
        <v>7824.9418340926741</v>
      </c>
      <c r="X161" s="552">
        <f t="shared" si="482"/>
        <v>7960.4504714350614</v>
      </c>
      <c r="Y161" s="552">
        <f t="shared" si="482"/>
        <v>8095.960590108587</v>
      </c>
      <c r="Z161" s="552">
        <f t="shared" si="482"/>
        <v>8231.5225394429035</v>
      </c>
      <c r="AA161" s="552">
        <f t="shared" si="482"/>
        <v>8367.0363851102193</v>
      </c>
      <c r="AB161" s="552">
        <f t="shared" si="482"/>
        <v>8502.602657755473</v>
      </c>
      <c r="AC161" s="552">
        <f t="shared" si="482"/>
        <v>8638.1215027664093</v>
      </c>
      <c r="AD161" s="552">
        <f t="shared" si="482"/>
        <v>8773.6434369678227</v>
      </c>
      <c r="AE161" s="552">
        <f t="shared" si="482"/>
        <v>8909.2190365457518</v>
      </c>
      <c r="AF161" s="552">
        <f t="shared" si="482"/>
        <v>9044.7486048632618</v>
      </c>
      <c r="AG161" s="552">
        <f t="shared" si="482"/>
        <v>9180.2828457208034</v>
      </c>
      <c r="AH161" s="727">
        <f t="shared" si="482"/>
        <v>9315.8725454207706</v>
      </c>
      <c r="AI161" s="18"/>
      <c r="AJ161" s="18"/>
      <c r="AK161" s="18"/>
      <c r="AL161" s="18"/>
      <c r="AM161" s="18"/>
      <c r="AN161" s="18"/>
    </row>
    <row r="162" spans="2:40" ht="21.9" customHeight="1" x14ac:dyDescent="0.25">
      <c r="B162" s="229"/>
      <c r="C162" s="690"/>
      <c r="D162" s="690"/>
      <c r="E162" s="114"/>
      <c r="F162" s="114"/>
      <c r="G162" s="114"/>
      <c r="H162" s="122" t="s">
        <v>19</v>
      </c>
      <c r="I162" s="552">
        <f t="shared" ref="I162:AH162" si="483">I98*$D$12</f>
        <v>9120.3502257780528</v>
      </c>
      <c r="J162" s="552">
        <f t="shared" si="483"/>
        <v>9444.9027031969708</v>
      </c>
      <c r="K162" s="552">
        <f t="shared" si="483"/>
        <v>9798.1122896887391</v>
      </c>
      <c r="L162" s="552">
        <f t="shared" si="483"/>
        <v>10473.414298461084</v>
      </c>
      <c r="M162" s="552">
        <f t="shared" si="483"/>
        <v>11148.980389017066</v>
      </c>
      <c r="N162" s="552">
        <f t="shared" si="483"/>
        <v>11824.642608661379</v>
      </c>
      <c r="O162" s="552">
        <f t="shared" si="483"/>
        <v>12499.945026554531</v>
      </c>
      <c r="P162" s="552">
        <f t="shared" si="483"/>
        <v>13175.811816062429</v>
      </c>
      <c r="Q162" s="552">
        <f t="shared" si="483"/>
        <v>14103.089542881367</v>
      </c>
      <c r="R162" s="552">
        <f t="shared" si="483"/>
        <v>15030.549243733294</v>
      </c>
      <c r="S162" s="552">
        <f t="shared" si="483"/>
        <v>15957.712408234311</v>
      </c>
      <c r="T162" s="552">
        <f t="shared" si="483"/>
        <v>16885.001521837359</v>
      </c>
      <c r="U162" s="552">
        <f t="shared" si="483"/>
        <v>17813.02054707631</v>
      </c>
      <c r="V162" s="552">
        <f t="shared" si="483"/>
        <v>18417.807104236581</v>
      </c>
      <c r="W162" s="552">
        <f t="shared" si="483"/>
        <v>18742.375650521375</v>
      </c>
      <c r="X162" s="552">
        <f t="shared" si="483"/>
        <v>19066.947236970209</v>
      </c>
      <c r="Y162" s="552">
        <f t="shared" si="483"/>
        <v>19391.522371517574</v>
      </c>
      <c r="Z162" s="552">
        <f t="shared" si="483"/>
        <v>19716.221651360247</v>
      </c>
      <c r="AA162" s="552">
        <f t="shared" si="483"/>
        <v>20040.80571283885</v>
      </c>
      <c r="AB162" s="552">
        <f t="shared" si="483"/>
        <v>20365.515347917302</v>
      </c>
      <c r="AC162" s="552">
        <f t="shared" si="483"/>
        <v>20690.111383871641</v>
      </c>
      <c r="AD162" s="552">
        <f t="shared" si="483"/>
        <v>21014.714819084606</v>
      </c>
      <c r="AE162" s="552">
        <f t="shared" si="483"/>
        <v>21339.446794121563</v>
      </c>
      <c r="AF162" s="552">
        <f t="shared" si="483"/>
        <v>21664.068514642546</v>
      </c>
      <c r="AG162" s="552">
        <f t="shared" si="483"/>
        <v>21988.701426876178</v>
      </c>
      <c r="AH162" s="727">
        <f t="shared" si="483"/>
        <v>22313.467174660527</v>
      </c>
      <c r="AI162" s="18"/>
      <c r="AJ162" s="18"/>
      <c r="AK162" s="18"/>
      <c r="AL162" s="18"/>
      <c r="AM162" s="18"/>
      <c r="AN162" s="18"/>
    </row>
    <row r="163" spans="2:40" ht="21.9" customHeight="1" x14ac:dyDescent="0.25">
      <c r="B163" s="229"/>
      <c r="C163" s="690"/>
      <c r="D163" s="690"/>
      <c r="E163" s="114"/>
      <c r="F163" s="114"/>
      <c r="G163" s="114"/>
      <c r="H163" s="696" t="s">
        <v>25</v>
      </c>
      <c r="I163" s="552">
        <f t="shared" ref="I163" si="484">SUM(I161:I162)</f>
        <v>12928.09644504039</v>
      </c>
      <c r="J163" s="552">
        <f t="shared" ref="J163" si="485">SUM(J161:J162)</f>
        <v>13388.149581781705</v>
      </c>
      <c r="K163" s="552">
        <f t="shared" ref="K163" si="486">SUM(K161:K162)</f>
        <v>13888.824170633787</v>
      </c>
      <c r="L163" s="552">
        <f t="shared" ref="L163" si="487">SUM(L161:L162)</f>
        <v>14846.064768068587</v>
      </c>
      <c r="M163" s="552">
        <f t="shared" ref="M163" si="488">SUM(M161:M162)</f>
        <v>15803.679701431691</v>
      </c>
      <c r="N163" s="552">
        <f t="shared" ref="N163" si="489">SUM(N161:N162)</f>
        <v>16761.430897777504</v>
      </c>
      <c r="O163" s="552">
        <f t="shared" ref="O163" si="490">SUM(O161:O162)</f>
        <v>17718.672075141047</v>
      </c>
      <c r="P163" s="552">
        <f t="shared" ref="P163" si="491">SUM(P161:P162)</f>
        <v>18676.713249268494</v>
      </c>
      <c r="Q163" s="552">
        <f t="shared" ref="Q163" si="492">SUM(Q161:Q162)</f>
        <v>19991.129427034339</v>
      </c>
      <c r="R163" s="552">
        <f t="shared" ref="R163" si="493">SUM(R161:R162)</f>
        <v>21305.803552991943</v>
      </c>
      <c r="S163" s="552">
        <f t="shared" ref="S163" si="494">SUM(S161:S162)</f>
        <v>22620.057338672137</v>
      </c>
      <c r="T163" s="552">
        <f t="shared" ref="T163" si="495">SUM(T161:T162)</f>
        <v>23934.489657204456</v>
      </c>
      <c r="U163" s="552">
        <f t="shared" ref="U163" si="496">SUM(U161:U162)</f>
        <v>25249.95662548067</v>
      </c>
      <c r="V163" s="552">
        <f t="shared" ref="V163" si="497">SUM(V161:V162)</f>
        <v>26107.241570255355</v>
      </c>
      <c r="W163" s="552">
        <f t="shared" ref="W163" si="498">SUM(W161:W162)</f>
        <v>26567.31748461405</v>
      </c>
      <c r="X163" s="552">
        <f t="shared" ref="X163" si="499">SUM(X161:X162)</f>
        <v>27027.397708405271</v>
      </c>
      <c r="Y163" s="552">
        <f t="shared" ref="Y163" si="500">SUM(Y161:Y162)</f>
        <v>27487.482961626163</v>
      </c>
      <c r="Z163" s="552">
        <f t="shared" ref="Z163" si="501">SUM(Z161:Z162)</f>
        <v>27947.744190803151</v>
      </c>
      <c r="AA163" s="552">
        <f t="shared" ref="AA163" si="502">SUM(AA161:AA162)</f>
        <v>28407.842097949069</v>
      </c>
      <c r="AB163" s="552">
        <f t="shared" ref="AB163" si="503">SUM(AB161:AB162)</f>
        <v>28868.118005672775</v>
      </c>
      <c r="AC163" s="552">
        <f t="shared" ref="AC163" si="504">SUM(AC161:AC162)</f>
        <v>29328.232886638049</v>
      </c>
      <c r="AD163" s="552">
        <f t="shared" ref="AD163" si="505">SUM(AD161:AD162)</f>
        <v>29788.35825605243</v>
      </c>
      <c r="AE163" s="552">
        <f t="shared" ref="AE163" si="506">SUM(AE161:AE162)</f>
        <v>30248.665830667313</v>
      </c>
      <c r="AF163" s="552">
        <f t="shared" ref="AF163" si="507">SUM(AF161:AF162)</f>
        <v>30708.817119505809</v>
      </c>
      <c r="AG163" s="552">
        <f t="shared" ref="AG163" si="508">SUM(AG161:AG162)</f>
        <v>31168.984272596979</v>
      </c>
      <c r="AH163" s="727">
        <f t="shared" ref="AH163" si="509">SUM(AH161:AH162)</f>
        <v>31629.339720081298</v>
      </c>
      <c r="AI163" s="18"/>
      <c r="AJ163" s="18"/>
      <c r="AK163" s="18"/>
      <c r="AL163" s="18"/>
      <c r="AM163" s="18"/>
      <c r="AN163" s="18"/>
    </row>
    <row r="164" spans="2:40" ht="21.9" customHeight="1" x14ac:dyDescent="0.25">
      <c r="B164" s="229"/>
      <c r="C164" s="690"/>
      <c r="D164" s="690"/>
      <c r="E164" s="114"/>
      <c r="F164" s="114" t="s">
        <v>323</v>
      </c>
      <c r="G164" s="114" t="s">
        <v>322</v>
      </c>
      <c r="H164" s="114" t="s">
        <v>20</v>
      </c>
      <c r="I164" s="552">
        <f t="shared" ref="I164:AH164" si="510">I100*$D$11</f>
        <v>1146.9053391920515</v>
      </c>
      <c r="J164" s="552">
        <f t="shared" si="510"/>
        <v>1187.7185742652562</v>
      </c>
      <c r="K164" s="552">
        <f t="shared" si="510"/>
        <v>1232.1355095923718</v>
      </c>
      <c r="L164" s="552">
        <f t="shared" si="510"/>
        <v>1317.0563308238693</v>
      </c>
      <c r="M164" s="552">
        <f t="shared" si="510"/>
        <v>1402.0103764578232</v>
      </c>
      <c r="N164" s="552">
        <f t="shared" si="510"/>
        <v>1486.9765376814619</v>
      </c>
      <c r="O164" s="552">
        <f t="shared" si="510"/>
        <v>1571.8974988796092</v>
      </c>
      <c r="P164" s="552">
        <f t="shared" si="510"/>
        <v>1656.8895068439222</v>
      </c>
      <c r="Q164" s="552">
        <f t="shared" si="510"/>
        <v>1773.4973048899424</v>
      </c>
      <c r="R164" s="552">
        <f t="shared" si="510"/>
        <v>1890.1284122083853</v>
      </c>
      <c r="S164" s="552">
        <f t="shared" si="510"/>
        <v>2006.7229812875908</v>
      </c>
      <c r="T164" s="552">
        <f t="shared" si="510"/>
        <v>2123.3346749311286</v>
      </c>
      <c r="U164" s="552">
        <f t="shared" si="510"/>
        <v>2240.0402951998976</v>
      </c>
      <c r="V164" s="552">
        <f t="shared" si="510"/>
        <v>2316.0986657058506</v>
      </c>
      <c r="W164" s="552">
        <f t="shared" si="510"/>
        <v>2356.9173981902136</v>
      </c>
      <c r="X164" s="552">
        <f t="shared" si="510"/>
        <v>2397.7371707623984</v>
      </c>
      <c r="Y164" s="552">
        <f t="shared" si="510"/>
        <v>2438.5581571947664</v>
      </c>
      <c r="Z164" s="552">
        <f t="shared" si="510"/>
        <v>2479.3956510808803</v>
      </c>
      <c r="AA164" s="552">
        <f t="shared" si="510"/>
        <v>2520.2196915565014</v>
      </c>
      <c r="AB164" s="552">
        <f t="shared" si="510"/>
        <v>2561.0607281312623</v>
      </c>
      <c r="AC164" s="552">
        <f t="shared" si="510"/>
        <v>2601.8888652629253</v>
      </c>
      <c r="AD164" s="552">
        <f t="shared" si="510"/>
        <v>2642.7195337970711</v>
      </c>
      <c r="AE164" s="552">
        <f t="shared" si="510"/>
        <v>2683.5682132221805</v>
      </c>
      <c r="AF164" s="552">
        <f t="shared" si="510"/>
        <v>2724.4051374471214</v>
      </c>
      <c r="AG164" s="552">
        <f t="shared" si="510"/>
        <v>2765.2458905325698</v>
      </c>
      <c r="AH164" s="727">
        <f t="shared" si="510"/>
        <v>2806.1061241445045</v>
      </c>
      <c r="AI164" s="18"/>
      <c r="AJ164" s="18"/>
      <c r="AK164" s="18"/>
      <c r="AL164" s="18"/>
      <c r="AM164" s="18"/>
      <c r="AN164" s="18"/>
    </row>
    <row r="165" spans="2:40" ht="21.9" customHeight="1" x14ac:dyDescent="0.25">
      <c r="B165" s="229"/>
      <c r="C165" s="690"/>
      <c r="D165" s="690"/>
      <c r="E165" s="114"/>
      <c r="F165" s="114"/>
      <c r="G165" s="114"/>
      <c r="H165" s="122" t="s">
        <v>19</v>
      </c>
      <c r="I165" s="552">
        <f t="shared" ref="I165:AH165" si="511">I101*$D$12</f>
        <v>2747.0786567474288</v>
      </c>
      <c r="J165" s="552">
        <f t="shared" si="511"/>
        <v>2844.8349084197753</v>
      </c>
      <c r="K165" s="552">
        <f t="shared" si="511"/>
        <v>2951.222777466759</v>
      </c>
      <c r="L165" s="552">
        <f t="shared" si="511"/>
        <v>3154.6259420931001</v>
      </c>
      <c r="M165" s="552">
        <f t="shared" si="511"/>
        <v>3358.108686126523</v>
      </c>
      <c r="N165" s="552">
        <f t="shared" si="511"/>
        <v>3561.6204495364359</v>
      </c>
      <c r="O165" s="552">
        <f t="shared" si="511"/>
        <v>3765.0239494122379</v>
      </c>
      <c r="P165" s="552">
        <f t="shared" si="511"/>
        <v>3968.5976211830475</v>
      </c>
      <c r="Q165" s="552">
        <f t="shared" si="511"/>
        <v>4247.897736263335</v>
      </c>
      <c r="R165" s="552">
        <f t="shared" si="511"/>
        <v>4527.2536819362522</v>
      </c>
      <c r="S165" s="552">
        <f t="shared" si="511"/>
        <v>4806.5221108684809</v>
      </c>
      <c r="T165" s="552">
        <f t="shared" si="511"/>
        <v>5085.8315567212667</v>
      </c>
      <c r="U165" s="552">
        <f t="shared" si="511"/>
        <v>5365.3659765267012</v>
      </c>
      <c r="V165" s="552">
        <f t="shared" si="511"/>
        <v>5547.5417142655106</v>
      </c>
      <c r="W165" s="552">
        <f t="shared" si="511"/>
        <v>5645.3111333897332</v>
      </c>
      <c r="X165" s="552">
        <f t="shared" si="511"/>
        <v>5743.0830437422719</v>
      </c>
      <c r="Y165" s="552">
        <f t="shared" si="511"/>
        <v>5840.8578615443512</v>
      </c>
      <c r="Z165" s="552">
        <f t="shared" si="511"/>
        <v>5938.672218157797</v>
      </c>
      <c r="AA165" s="552">
        <f t="shared" si="511"/>
        <v>6036.454351033537</v>
      </c>
      <c r="AB165" s="552">
        <f t="shared" si="511"/>
        <v>6134.2771931287725</v>
      </c>
      <c r="AC165" s="552">
        <f t="shared" si="511"/>
        <v>6232.0691383543126</v>
      </c>
      <c r="AD165" s="552">
        <f t="shared" si="511"/>
        <v>6329.8671468193324</v>
      </c>
      <c r="AE165" s="552">
        <f t="shared" si="511"/>
        <v>6427.7082951429475</v>
      </c>
      <c r="AF165" s="552">
        <f t="shared" si="511"/>
        <v>6525.5212872984948</v>
      </c>
      <c r="AG165" s="552">
        <f t="shared" si="511"/>
        <v>6623.3434503774133</v>
      </c>
      <c r="AH165" s="727">
        <f t="shared" si="511"/>
        <v>6721.2122734000113</v>
      </c>
      <c r="AI165" s="18"/>
      <c r="AJ165" s="18"/>
      <c r="AK165" s="18"/>
      <c r="AL165" s="18"/>
      <c r="AM165" s="18"/>
      <c r="AN165" s="18"/>
    </row>
    <row r="166" spans="2:40" ht="21.9" customHeight="1" x14ac:dyDescent="0.25">
      <c r="B166" s="229"/>
      <c r="C166" s="690"/>
      <c r="D166" s="690"/>
      <c r="E166" s="114"/>
      <c r="F166" s="114"/>
      <c r="G166" s="114"/>
      <c r="H166" s="696" t="s">
        <v>25</v>
      </c>
      <c r="I166" s="552">
        <f t="shared" ref="I166" si="512">SUM(I164:I165)</f>
        <v>3893.9839959394803</v>
      </c>
      <c r="J166" s="552">
        <f t="shared" ref="J166" si="513">SUM(J164:J165)</f>
        <v>4032.5534826850317</v>
      </c>
      <c r="K166" s="552">
        <f t="shared" ref="K166" si="514">SUM(K164:K165)</f>
        <v>4183.3582870591308</v>
      </c>
      <c r="L166" s="552">
        <f t="shared" ref="L166" si="515">SUM(L164:L165)</f>
        <v>4471.6822729169689</v>
      </c>
      <c r="M166" s="552">
        <f t="shared" ref="M166" si="516">SUM(M164:M165)</f>
        <v>4760.1190625843465</v>
      </c>
      <c r="N166" s="552">
        <f t="shared" ref="N166" si="517">SUM(N164:N165)</f>
        <v>5048.5969872178975</v>
      </c>
      <c r="O166" s="552">
        <f t="shared" ref="O166" si="518">SUM(O164:O165)</f>
        <v>5336.9214482918469</v>
      </c>
      <c r="P166" s="552">
        <f t="shared" ref="P166" si="519">SUM(P164:P165)</f>
        <v>5625.4871280269699</v>
      </c>
      <c r="Q166" s="552">
        <f t="shared" ref="Q166" si="520">SUM(Q164:Q165)</f>
        <v>6021.3950411532769</v>
      </c>
      <c r="R166" s="552">
        <f t="shared" ref="R166" si="521">SUM(R164:R165)</f>
        <v>6417.3820941446374</v>
      </c>
      <c r="S166" s="552">
        <f t="shared" ref="S166" si="522">SUM(S164:S165)</f>
        <v>6813.2450921560721</v>
      </c>
      <c r="T166" s="552">
        <f t="shared" ref="T166" si="523">SUM(T164:T165)</f>
        <v>7209.1662316523953</v>
      </c>
      <c r="U166" s="552">
        <f t="shared" ref="U166" si="524">SUM(U164:U165)</f>
        <v>7605.4062717265988</v>
      </c>
      <c r="V166" s="552">
        <f t="shared" ref="V166" si="525">SUM(V164:V165)</f>
        <v>7863.6403799713607</v>
      </c>
      <c r="W166" s="552">
        <f t="shared" ref="W166" si="526">SUM(W164:W165)</f>
        <v>8002.2285315799472</v>
      </c>
      <c r="X166" s="552">
        <f t="shared" ref="X166" si="527">SUM(X164:X165)</f>
        <v>8140.8202145046707</v>
      </c>
      <c r="Y166" s="552">
        <f t="shared" ref="Y166" si="528">SUM(Y164:Y165)</f>
        <v>8279.4160187391171</v>
      </c>
      <c r="Z166" s="552">
        <f t="shared" ref="Z166" si="529">SUM(Z164:Z165)</f>
        <v>8418.0678692386773</v>
      </c>
      <c r="AA166" s="552">
        <f t="shared" ref="AA166" si="530">SUM(AA164:AA165)</f>
        <v>8556.6740425900389</v>
      </c>
      <c r="AB166" s="552">
        <f t="shared" ref="AB166" si="531">SUM(AB164:AB165)</f>
        <v>8695.3379212600339</v>
      </c>
      <c r="AC166" s="552">
        <f t="shared" ref="AC166" si="532">SUM(AC164:AC165)</f>
        <v>8833.9580036172374</v>
      </c>
      <c r="AD166" s="552">
        <f t="shared" ref="AD166" si="533">SUM(AD164:AD165)</f>
        <v>8972.5866806164031</v>
      </c>
      <c r="AE166" s="552">
        <f t="shared" ref="AE166" si="534">SUM(AE164:AE165)</f>
        <v>9111.2765083651284</v>
      </c>
      <c r="AF166" s="552">
        <f t="shared" ref="AF166" si="535">SUM(AF164:AF165)</f>
        <v>9249.9264247456158</v>
      </c>
      <c r="AG166" s="552">
        <f t="shared" ref="AG166" si="536">SUM(AG164:AG165)</f>
        <v>9388.5893409099826</v>
      </c>
      <c r="AH166" s="727">
        <f t="shared" ref="AH166" si="537">SUM(AH164:AH165)</f>
        <v>9527.3183975445154</v>
      </c>
      <c r="AI166" s="18"/>
      <c r="AJ166" s="18"/>
      <c r="AK166" s="18"/>
      <c r="AL166" s="18"/>
      <c r="AM166" s="18"/>
      <c r="AN166" s="18"/>
    </row>
    <row r="167" spans="2:40" ht="21.9" customHeight="1" x14ac:dyDescent="0.25">
      <c r="B167" s="229"/>
      <c r="C167" s="690"/>
      <c r="D167" s="690"/>
      <c r="E167" s="114"/>
      <c r="F167" s="114" t="s">
        <v>322</v>
      </c>
      <c r="G167" s="114" t="s">
        <v>326</v>
      </c>
      <c r="H167" s="114" t="s">
        <v>20</v>
      </c>
      <c r="I167" s="552">
        <f t="shared" ref="I167:AH167" si="538">I103*$D$11</f>
        <v>2942.7176201021002</v>
      </c>
      <c r="J167" s="552">
        <f t="shared" si="538"/>
        <v>3044.0599115562304</v>
      </c>
      <c r="K167" s="552">
        <f t="shared" si="538"/>
        <v>3157.1240289155016</v>
      </c>
      <c r="L167" s="552">
        <f t="shared" si="538"/>
        <v>3354.6343365258858</v>
      </c>
      <c r="M167" s="552">
        <f t="shared" si="538"/>
        <v>3552.2623573757601</v>
      </c>
      <c r="N167" s="552">
        <f t="shared" si="538"/>
        <v>3749.8217223765341</v>
      </c>
      <c r="O167" s="552">
        <f t="shared" si="538"/>
        <v>3947.3320543631667</v>
      </c>
      <c r="P167" s="552">
        <f t="shared" si="538"/>
        <v>4145.0434915813794</v>
      </c>
      <c r="Q167" s="552">
        <f t="shared" si="538"/>
        <v>4399.6769574639457</v>
      </c>
      <c r="R167" s="552">
        <f t="shared" si="538"/>
        <v>4654.452741164012</v>
      </c>
      <c r="S167" s="552">
        <f t="shared" si="538"/>
        <v>4909.0373910195694</v>
      </c>
      <c r="T167" s="552">
        <f t="shared" si="538"/>
        <v>5163.6713166820227</v>
      </c>
      <c r="U167" s="552">
        <f t="shared" si="538"/>
        <v>5418.5214053695026</v>
      </c>
      <c r="V167" s="552">
        <f t="shared" si="538"/>
        <v>5588.5770711163277</v>
      </c>
      <c r="W167" s="552">
        <f t="shared" si="538"/>
        <v>5689.9200585250446</v>
      </c>
      <c r="X167" s="552">
        <f t="shared" si="538"/>
        <v>5791.2631818187456</v>
      </c>
      <c r="Y167" s="552">
        <f t="shared" si="538"/>
        <v>5892.6064643926347</v>
      </c>
      <c r="Z167" s="552">
        <f t="shared" si="538"/>
        <v>5994.0087882466787</v>
      </c>
      <c r="AA167" s="552">
        <f t="shared" si="538"/>
        <v>6095.3524741929295</v>
      </c>
      <c r="AB167" s="552">
        <f t="shared" si="538"/>
        <v>6196.7552679426199</v>
      </c>
      <c r="AC167" s="552">
        <f t="shared" si="538"/>
        <v>6298.0994992638662</v>
      </c>
      <c r="AD167" s="552">
        <f t="shared" si="538"/>
        <v>6399.4440693983861</v>
      </c>
      <c r="AE167" s="552">
        <f t="shared" si="538"/>
        <v>6500.8478867015301</v>
      </c>
      <c r="AF167" s="552">
        <f t="shared" si="538"/>
        <v>6602.1932987884202</v>
      </c>
      <c r="AG167" s="552">
        <f t="shared" si="538"/>
        <v>6703.5392287250979</v>
      </c>
      <c r="AH167" s="727">
        <f t="shared" si="538"/>
        <v>6804.9446095798248</v>
      </c>
      <c r="AI167" s="18"/>
      <c r="AJ167" s="18"/>
      <c r="AK167" s="18"/>
      <c r="AL167" s="18"/>
      <c r="AM167" s="18"/>
      <c r="AN167" s="18"/>
    </row>
    <row r="168" spans="2:40" ht="21.9" customHeight="1" x14ac:dyDescent="0.25">
      <c r="B168" s="229"/>
      <c r="C168" s="690"/>
      <c r="D168" s="690"/>
      <c r="E168" s="114"/>
      <c r="F168" s="114"/>
      <c r="G168" s="114"/>
      <c r="H168" s="122" t="s">
        <v>19</v>
      </c>
      <c r="I168" s="552">
        <f t="shared" ref="I168:AH168" si="539">I104*$D$12</f>
        <v>7048.4254373702997</v>
      </c>
      <c r="J168" s="552">
        <f t="shared" si="539"/>
        <v>7291.1614648053428</v>
      </c>
      <c r="K168" s="552">
        <f t="shared" si="539"/>
        <v>7561.9737219532981</v>
      </c>
      <c r="L168" s="552">
        <f t="shared" si="539"/>
        <v>8035.0523030560144</v>
      </c>
      <c r="M168" s="552">
        <f t="shared" si="539"/>
        <v>8508.4128320377495</v>
      </c>
      <c r="N168" s="552">
        <f t="shared" si="539"/>
        <v>8981.6089158719387</v>
      </c>
      <c r="O168" s="552">
        <f t="shared" si="539"/>
        <v>9454.6875553608788</v>
      </c>
      <c r="P168" s="552">
        <f t="shared" si="539"/>
        <v>9928.2478840272561</v>
      </c>
      <c r="Q168" s="552">
        <f t="shared" si="539"/>
        <v>10538.148401111248</v>
      </c>
      <c r="R168" s="552">
        <f t="shared" si="539"/>
        <v>11148.389799195238</v>
      </c>
      <c r="S168" s="552">
        <f t="shared" si="539"/>
        <v>11758.17339166364</v>
      </c>
      <c r="T168" s="552">
        <f t="shared" si="539"/>
        <v>12368.075010016822</v>
      </c>
      <c r="U168" s="552">
        <f t="shared" si="539"/>
        <v>12978.49438411857</v>
      </c>
      <c r="V168" s="552">
        <f t="shared" si="539"/>
        <v>13385.813343991205</v>
      </c>
      <c r="W168" s="552">
        <f t="shared" si="539"/>
        <v>13628.551038383341</v>
      </c>
      <c r="X168" s="552">
        <f t="shared" si="539"/>
        <v>13871.289058248492</v>
      </c>
      <c r="Y168" s="552">
        <f t="shared" si="539"/>
        <v>14114.027459623077</v>
      </c>
      <c r="Z168" s="552">
        <f t="shared" si="539"/>
        <v>14356.907277237555</v>
      </c>
      <c r="AA168" s="552">
        <f t="shared" si="539"/>
        <v>14599.646644773484</v>
      </c>
      <c r="AB168" s="552">
        <f t="shared" si="539"/>
        <v>14842.527587886516</v>
      </c>
      <c r="AC168" s="552">
        <f t="shared" si="539"/>
        <v>15085.26826170986</v>
      </c>
      <c r="AD168" s="552">
        <f t="shared" si="539"/>
        <v>15328.009747062004</v>
      </c>
      <c r="AE168" s="552">
        <f t="shared" si="539"/>
        <v>15570.893141800072</v>
      </c>
      <c r="AF168" s="552">
        <f t="shared" si="539"/>
        <v>15813.636643804599</v>
      </c>
      <c r="AG168" s="552">
        <f t="shared" si="539"/>
        <v>16056.381386167901</v>
      </c>
      <c r="AH168" s="727">
        <f t="shared" si="539"/>
        <v>16299.2685259397</v>
      </c>
      <c r="AI168" s="18"/>
      <c r="AJ168" s="18"/>
      <c r="AK168" s="18"/>
      <c r="AL168" s="18"/>
      <c r="AM168" s="18"/>
      <c r="AN168" s="18"/>
    </row>
    <row r="169" spans="2:40" ht="21.9" customHeight="1" x14ac:dyDescent="0.25">
      <c r="B169" s="229"/>
      <c r="C169" s="690"/>
      <c r="D169" s="690"/>
      <c r="E169" s="114"/>
      <c r="F169" s="114"/>
      <c r="G169" s="114"/>
      <c r="H169" s="696" t="s">
        <v>25</v>
      </c>
      <c r="I169" s="552">
        <f t="shared" ref="I169" si="540">SUM(I167:I168)</f>
        <v>9991.1430574724</v>
      </c>
      <c r="J169" s="552">
        <f t="shared" ref="J169" si="541">SUM(J167:J168)</f>
        <v>10335.221376361573</v>
      </c>
      <c r="K169" s="552">
        <f t="shared" ref="K169" si="542">SUM(K167:K168)</f>
        <v>10719.097750868799</v>
      </c>
      <c r="L169" s="552">
        <f t="shared" ref="L169" si="543">SUM(L167:L168)</f>
        <v>11389.6866395819</v>
      </c>
      <c r="M169" s="552">
        <f t="shared" ref="M169" si="544">SUM(M167:M168)</f>
        <v>12060.675189413509</v>
      </c>
      <c r="N169" s="552">
        <f t="shared" ref="N169" si="545">SUM(N167:N168)</f>
        <v>12731.430638248472</v>
      </c>
      <c r="O169" s="552">
        <f t="shared" ref="O169" si="546">SUM(O167:O168)</f>
        <v>13402.019609724046</v>
      </c>
      <c r="P169" s="552">
        <f t="shared" ref="P169" si="547">SUM(P167:P168)</f>
        <v>14073.291375608635</v>
      </c>
      <c r="Q169" s="552">
        <f t="shared" ref="Q169" si="548">SUM(Q167:Q168)</f>
        <v>14937.825358575194</v>
      </c>
      <c r="R169" s="552">
        <f t="shared" ref="R169" si="549">SUM(R167:R168)</f>
        <v>15802.84254035925</v>
      </c>
      <c r="S169" s="552">
        <f t="shared" ref="S169" si="550">SUM(S167:S168)</f>
        <v>16667.210782683211</v>
      </c>
      <c r="T169" s="552">
        <f t="shared" ref="T169" si="551">SUM(T167:T168)</f>
        <v>17531.746326698845</v>
      </c>
      <c r="U169" s="552">
        <f t="shared" ref="U169" si="552">SUM(U167:U168)</f>
        <v>18397.015789488072</v>
      </c>
      <c r="V169" s="552">
        <f t="shared" ref="V169" si="553">SUM(V167:V168)</f>
        <v>18974.390415107533</v>
      </c>
      <c r="W169" s="552">
        <f t="shared" ref="W169" si="554">SUM(W167:W168)</f>
        <v>19318.471096908386</v>
      </c>
      <c r="X169" s="552">
        <f t="shared" ref="X169" si="555">SUM(X167:X168)</f>
        <v>19662.552240067238</v>
      </c>
      <c r="Y169" s="552">
        <f t="shared" ref="Y169" si="556">SUM(Y167:Y168)</f>
        <v>20006.63392401571</v>
      </c>
      <c r="Z169" s="552">
        <f t="shared" ref="Z169" si="557">SUM(Z167:Z168)</f>
        <v>20350.916065484234</v>
      </c>
      <c r="AA169" s="552">
        <f t="shared" ref="AA169" si="558">SUM(AA167:AA168)</f>
        <v>20694.999118966414</v>
      </c>
      <c r="AB169" s="552">
        <f t="shared" ref="AB169" si="559">SUM(AB167:AB168)</f>
        <v>21039.282855829137</v>
      </c>
      <c r="AC169" s="552">
        <f t="shared" ref="AC169" si="560">SUM(AC167:AC168)</f>
        <v>21383.367760973728</v>
      </c>
      <c r="AD169" s="552">
        <f t="shared" ref="AD169" si="561">SUM(AD167:AD168)</f>
        <v>21727.453816460391</v>
      </c>
      <c r="AE169" s="552">
        <f t="shared" ref="AE169" si="562">SUM(AE167:AE168)</f>
        <v>22071.741028501601</v>
      </c>
      <c r="AF169" s="552">
        <f t="shared" ref="AF169" si="563">SUM(AF167:AF168)</f>
        <v>22415.82994259302</v>
      </c>
      <c r="AG169" s="552">
        <f t="shared" ref="AG169" si="564">SUM(AG167:AG168)</f>
        <v>22759.920614892999</v>
      </c>
      <c r="AH169" s="727">
        <f t="shared" ref="AH169" si="565">SUM(AH167:AH168)</f>
        <v>23104.213135519523</v>
      </c>
      <c r="AI169" s="18"/>
      <c r="AJ169" s="18"/>
      <c r="AK169" s="18"/>
      <c r="AL169" s="18"/>
      <c r="AM169" s="18"/>
      <c r="AN169" s="18"/>
    </row>
    <row r="170" spans="2:40" ht="21.9" customHeight="1" x14ac:dyDescent="0.25">
      <c r="B170" s="229"/>
      <c r="C170" s="690"/>
      <c r="D170" s="690"/>
      <c r="E170" s="114"/>
      <c r="F170" s="114" t="s">
        <v>326</v>
      </c>
      <c r="G170" s="114" t="s">
        <v>274</v>
      </c>
      <c r="H170" s="114" t="s">
        <v>20</v>
      </c>
      <c r="I170" s="552">
        <f t="shared" ref="I170:AH170" si="566">I106*$D$11</f>
        <v>20061.421579509875</v>
      </c>
      <c r="J170" s="552">
        <f t="shared" si="566"/>
        <v>20752.303505880234</v>
      </c>
      <c r="K170" s="552">
        <f t="shared" si="566"/>
        <v>21523.096763342513</v>
      </c>
      <c r="L170" s="552">
        <f t="shared" si="566"/>
        <v>22869.585957784915</v>
      </c>
      <c r="M170" s="552">
        <f t="shared" si="566"/>
        <v>24216.877620453764</v>
      </c>
      <c r="N170" s="552">
        <f t="shared" si="566"/>
        <v>25563.701202235141</v>
      </c>
      <c r="O170" s="552">
        <f t="shared" si="566"/>
        <v>26910.190457760917</v>
      </c>
      <c r="P170" s="552">
        <f t="shared" si="566"/>
        <v>28258.050626027834</v>
      </c>
      <c r="Q170" s="552">
        <f t="shared" si="566"/>
        <v>29993.965711486118</v>
      </c>
      <c r="R170" s="552">
        <f t="shared" si="566"/>
        <v>31730.850648991778</v>
      </c>
      <c r="S170" s="552">
        <f t="shared" si="566"/>
        <v>33466.431951933046</v>
      </c>
      <c r="T170" s="552">
        <f t="shared" si="566"/>
        <v>35202.348189533695</v>
      </c>
      <c r="U170" s="552">
        <f t="shared" si="566"/>
        <v>36939.73650951255</v>
      </c>
      <c r="V170" s="552">
        <f t="shared" si="566"/>
        <v>38099.054929798105</v>
      </c>
      <c r="W170" s="552">
        <f t="shared" si="566"/>
        <v>38789.938600130707</v>
      </c>
      <c r="X170" s="552">
        <f t="shared" si="566"/>
        <v>39480.822610971554</v>
      </c>
      <c r="Y170" s="552">
        <f t="shared" si="566"/>
        <v>40171.707020945694</v>
      </c>
      <c r="Z170" s="552">
        <f t="shared" si="566"/>
        <v>40862.993127765527</v>
      </c>
      <c r="AA170" s="552">
        <f t="shared" si="566"/>
        <v>41553.878548532863</v>
      </c>
      <c r="AB170" s="552">
        <f t="shared" si="566"/>
        <v>42245.165832843704</v>
      </c>
      <c r="AC170" s="552">
        <f t="shared" si="566"/>
        <v>42936.052620242459</v>
      </c>
      <c r="AD170" s="552">
        <f t="shared" si="566"/>
        <v>43626.940256658614</v>
      </c>
      <c r="AE170" s="552">
        <f t="shared" si="566"/>
        <v>44318.230105847419</v>
      </c>
      <c r="AF170" s="552">
        <f t="shared" si="566"/>
        <v>45009.119852075302</v>
      </c>
      <c r="AG170" s="552">
        <f t="shared" si="566"/>
        <v>45700.010895960375</v>
      </c>
      <c r="AH170" s="727">
        <f t="shared" si="566"/>
        <v>46391.304663184877</v>
      </c>
      <c r="AI170" s="18"/>
      <c r="AJ170" s="18"/>
      <c r="AK170" s="18"/>
      <c r="AL170" s="18"/>
      <c r="AM170" s="18"/>
      <c r="AN170" s="18"/>
    </row>
    <row r="171" spans="2:40" ht="21.9" customHeight="1" x14ac:dyDescent="0.25">
      <c r="B171" s="229"/>
      <c r="C171" s="690"/>
      <c r="D171" s="690"/>
      <c r="E171" s="114"/>
      <c r="F171" s="114"/>
      <c r="G171" s="114"/>
      <c r="H171" s="122" t="s">
        <v>19</v>
      </c>
      <c r="I171" s="552">
        <f t="shared" ref="I171:AH171" si="567">I107*$D$12</f>
        <v>48051.309172478745</v>
      </c>
      <c r="J171" s="552">
        <f t="shared" si="567"/>
        <v>49706.116181749065</v>
      </c>
      <c r="K171" s="552">
        <f t="shared" si="567"/>
        <v>51552.327576868294</v>
      </c>
      <c r="L171" s="552">
        <f t="shared" si="567"/>
        <v>54777.451395892014</v>
      </c>
      <c r="M171" s="552">
        <f t="shared" si="567"/>
        <v>58004.497294500041</v>
      </c>
      <c r="N171" s="552">
        <f t="shared" si="567"/>
        <v>61230.422041281781</v>
      </c>
      <c r="O171" s="552">
        <f t="shared" si="567"/>
        <v>64455.546006612974</v>
      </c>
      <c r="P171" s="552">
        <f t="shared" si="567"/>
        <v>67683.953595276253</v>
      </c>
      <c r="Q171" s="552">
        <f t="shared" si="567"/>
        <v>71841.834039487716</v>
      </c>
      <c r="R171" s="552">
        <f t="shared" si="567"/>
        <v>76002.037482615036</v>
      </c>
      <c r="S171" s="552">
        <f t="shared" si="567"/>
        <v>80159.118447743822</v>
      </c>
      <c r="T171" s="552">
        <f t="shared" si="567"/>
        <v>84317.001651577724</v>
      </c>
      <c r="U171" s="552">
        <f t="shared" si="567"/>
        <v>88478.41080122767</v>
      </c>
      <c r="V171" s="552">
        <f t="shared" si="567"/>
        <v>91255.221388737977</v>
      </c>
      <c r="W171" s="552">
        <f t="shared" si="567"/>
        <v>92910.032575163365</v>
      </c>
      <c r="X171" s="552">
        <f t="shared" si="567"/>
        <v>94564.844577177384</v>
      </c>
      <c r="Y171" s="552">
        <f t="shared" si="567"/>
        <v>96219.65753519928</v>
      </c>
      <c r="Z171" s="552">
        <f t="shared" si="567"/>
        <v>97875.432641354564</v>
      </c>
      <c r="AA171" s="552">
        <f t="shared" si="567"/>
        <v>99530.248020437997</v>
      </c>
      <c r="AB171" s="552">
        <f t="shared" si="567"/>
        <v>101186.02594693103</v>
      </c>
      <c r="AC171" s="552">
        <f t="shared" si="567"/>
        <v>102840.84459938314</v>
      </c>
      <c r="AD171" s="552">
        <f t="shared" si="567"/>
        <v>104495.66528540986</v>
      </c>
      <c r="AE171" s="552">
        <f t="shared" si="567"/>
        <v>106151.44935532316</v>
      </c>
      <c r="AF171" s="552">
        <f t="shared" si="567"/>
        <v>107806.27509479114</v>
      </c>
      <c r="AG171" s="552">
        <f t="shared" si="567"/>
        <v>109461.10394242006</v>
      </c>
      <c r="AH171" s="727">
        <f t="shared" si="567"/>
        <v>111116.89739685001</v>
      </c>
      <c r="AI171" s="18"/>
      <c r="AJ171" s="18"/>
      <c r="AK171" s="18"/>
      <c r="AL171" s="18"/>
      <c r="AM171" s="18"/>
      <c r="AN171" s="18"/>
    </row>
    <row r="172" spans="2:40" ht="21.9" customHeight="1" x14ac:dyDescent="0.25">
      <c r="B172" s="229"/>
      <c r="C172" s="690"/>
      <c r="D172" s="690"/>
      <c r="E172" s="114"/>
      <c r="F172" s="114"/>
      <c r="G172" s="114"/>
      <c r="H172" s="696" t="s">
        <v>25</v>
      </c>
      <c r="I172" s="552">
        <f t="shared" ref="I172" si="568">SUM(I170:I171)</f>
        <v>68112.730751988624</v>
      </c>
      <c r="J172" s="552">
        <f t="shared" ref="J172" si="569">SUM(J170:J171)</f>
        <v>70458.419687629299</v>
      </c>
      <c r="K172" s="552">
        <f t="shared" ref="K172" si="570">SUM(K170:K171)</f>
        <v>73075.424340210811</v>
      </c>
      <c r="L172" s="552">
        <f t="shared" ref="L172" si="571">SUM(L170:L171)</f>
        <v>77647.037353676933</v>
      </c>
      <c r="M172" s="552">
        <f t="shared" ref="M172" si="572">SUM(M170:M171)</f>
        <v>82221.374914953805</v>
      </c>
      <c r="N172" s="552">
        <f t="shared" ref="N172" si="573">SUM(N170:N171)</f>
        <v>86794.123243516922</v>
      </c>
      <c r="O172" s="552">
        <f t="shared" ref="O172" si="574">SUM(O170:O171)</f>
        <v>91365.736464373884</v>
      </c>
      <c r="P172" s="552">
        <f t="shared" ref="P172" si="575">SUM(P170:P171)</f>
        <v>95942.004221304087</v>
      </c>
      <c r="Q172" s="552">
        <f t="shared" ref="Q172" si="576">SUM(Q170:Q171)</f>
        <v>101835.79975097383</v>
      </c>
      <c r="R172" s="552">
        <f t="shared" ref="R172" si="577">SUM(R170:R171)</f>
        <v>107732.88813160681</v>
      </c>
      <c r="S172" s="552">
        <f t="shared" ref="S172" si="578">SUM(S170:S171)</f>
        <v>113625.55039967687</v>
      </c>
      <c r="T172" s="552">
        <f t="shared" ref="T172" si="579">SUM(T170:T171)</f>
        <v>119519.34984111143</v>
      </c>
      <c r="U172" s="552">
        <f t="shared" ref="U172" si="580">SUM(U170:U171)</f>
        <v>125418.14731074023</v>
      </c>
      <c r="V172" s="552">
        <f t="shared" ref="V172" si="581">SUM(V170:V171)</f>
        <v>129354.27631853608</v>
      </c>
      <c r="W172" s="552">
        <f t="shared" ref="W172" si="582">SUM(W170:W171)</f>
        <v>131699.97117529408</v>
      </c>
      <c r="X172" s="552">
        <f t="shared" ref="X172" si="583">SUM(X170:X171)</f>
        <v>134045.66718814895</v>
      </c>
      <c r="Y172" s="552">
        <f t="shared" ref="Y172" si="584">SUM(Y170:Y171)</f>
        <v>136391.36455614498</v>
      </c>
      <c r="Z172" s="552">
        <f t="shared" ref="Z172" si="585">SUM(Z170:Z171)</f>
        <v>138738.42576912011</v>
      </c>
      <c r="AA172" s="552">
        <f t="shared" ref="AA172" si="586">SUM(AA170:AA171)</f>
        <v>141084.12656897085</v>
      </c>
      <c r="AB172" s="552">
        <f t="shared" ref="AB172" si="587">SUM(AB170:AB171)</f>
        <v>143431.19177977473</v>
      </c>
      <c r="AC172" s="552">
        <f t="shared" ref="AC172" si="588">SUM(AC170:AC171)</f>
        <v>145776.89721962559</v>
      </c>
      <c r="AD172" s="552">
        <f t="shared" ref="AD172" si="589">SUM(AD170:AD171)</f>
        <v>148122.60554206849</v>
      </c>
      <c r="AE172" s="552">
        <f t="shared" ref="AE172" si="590">SUM(AE170:AE171)</f>
        <v>150469.67946117057</v>
      </c>
      <c r="AF172" s="552">
        <f t="shared" ref="AF172" si="591">SUM(AF170:AF171)</f>
        <v>152815.39494686644</v>
      </c>
      <c r="AG172" s="552">
        <f t="shared" ref="AG172" si="592">SUM(AG170:AG171)</f>
        <v>155161.11483838042</v>
      </c>
      <c r="AH172" s="727">
        <f t="shared" ref="AH172" si="593">SUM(AH170:AH171)</f>
        <v>157508.20206003488</v>
      </c>
      <c r="AI172" s="18"/>
      <c r="AJ172" s="18"/>
      <c r="AK172" s="18"/>
      <c r="AL172" s="18"/>
      <c r="AM172" s="18"/>
      <c r="AN172" s="18"/>
    </row>
    <row r="173" spans="2:40" ht="21.9" customHeight="1" x14ac:dyDescent="0.25">
      <c r="B173" s="229"/>
      <c r="C173" s="690"/>
      <c r="D173" s="690"/>
      <c r="E173" s="114"/>
      <c r="F173" s="114" t="s">
        <v>274</v>
      </c>
      <c r="G173" s="114" t="s">
        <v>317</v>
      </c>
      <c r="H173" s="114" t="s">
        <v>20</v>
      </c>
      <c r="I173" s="552">
        <f t="shared" ref="I173:AH173" si="594">I109*$D$11</f>
        <v>501.02774084735455</v>
      </c>
      <c r="J173" s="552">
        <f t="shared" si="594"/>
        <v>518.28242094728273</v>
      </c>
      <c r="K173" s="552">
        <f t="shared" si="594"/>
        <v>537.53293654059655</v>
      </c>
      <c r="L173" s="552">
        <f t="shared" si="594"/>
        <v>571.16165534728657</v>
      </c>
      <c r="M173" s="552">
        <f t="shared" si="594"/>
        <v>604.81088862875424</v>
      </c>
      <c r="N173" s="552">
        <f t="shared" si="594"/>
        <v>638.44922064557409</v>
      </c>
      <c r="O173" s="552">
        <f t="shared" si="594"/>
        <v>672.08048403045518</v>
      </c>
      <c r="P173" s="552">
        <f t="shared" si="594"/>
        <v>705.74802274429305</v>
      </c>
      <c r="Q173" s="552">
        <f t="shared" si="594"/>
        <v>749.11345825375201</v>
      </c>
      <c r="R173" s="552">
        <f t="shared" si="594"/>
        <v>792.51213606832459</v>
      </c>
      <c r="S173" s="552">
        <f t="shared" si="594"/>
        <v>835.89315371377859</v>
      </c>
      <c r="T173" s="552">
        <f t="shared" si="594"/>
        <v>879.30658454548359</v>
      </c>
      <c r="U173" s="552">
        <f t="shared" si="594"/>
        <v>922.7947266171293</v>
      </c>
      <c r="V173" s="552">
        <f t="shared" si="594"/>
        <v>951.84421802080283</v>
      </c>
      <c r="W173" s="552">
        <f t="shared" si="594"/>
        <v>969.17154715489767</v>
      </c>
      <c r="X173" s="552">
        <f t="shared" si="594"/>
        <v>986.51306099751218</v>
      </c>
      <c r="Y173" s="552">
        <f t="shared" si="594"/>
        <v>1003.8712017178228</v>
      </c>
      <c r="Z173" s="552">
        <f t="shared" si="594"/>
        <v>1021.2588759337443</v>
      </c>
      <c r="AA173" s="552">
        <f t="shared" si="594"/>
        <v>1038.6591237299394</v>
      </c>
      <c r="AB173" s="552">
        <f t="shared" si="594"/>
        <v>1056.0958492283874</v>
      </c>
      <c r="AC173" s="552">
        <f t="shared" si="594"/>
        <v>1073.5530274153477</v>
      </c>
      <c r="AD173" s="552">
        <f t="shared" si="594"/>
        <v>1091.0455735094538</v>
      </c>
      <c r="AE173" s="552">
        <f t="shared" si="594"/>
        <v>1108.5891453038414</v>
      </c>
      <c r="AF173" s="552">
        <f t="shared" si="594"/>
        <v>1126.1695807913038</v>
      </c>
      <c r="AG173" s="552">
        <f t="shared" si="594"/>
        <v>1143.8040733791825</v>
      </c>
      <c r="AH173" s="727">
        <f t="shared" si="594"/>
        <v>1161.5108605824682</v>
      </c>
      <c r="AI173" s="18"/>
      <c r="AJ173" s="18"/>
      <c r="AK173" s="18"/>
      <c r="AL173" s="18"/>
      <c r="AM173" s="18"/>
      <c r="AN173" s="18"/>
    </row>
    <row r="174" spans="2:40" ht="21.9" customHeight="1" x14ac:dyDescent="0.25">
      <c r="B174" s="229"/>
      <c r="C174" s="690"/>
      <c r="D174" s="690"/>
      <c r="E174" s="114"/>
      <c r="F174" s="114"/>
      <c r="G174" s="114"/>
      <c r="H174" s="122" t="s">
        <v>19</v>
      </c>
      <c r="I174" s="552">
        <f t="shared" ref="I174:AH174" si="595">I110*$D$12</f>
        <v>1200.0664451433643</v>
      </c>
      <c r="J174" s="552">
        <f t="shared" si="595"/>
        <v>1241.3950202330125</v>
      </c>
      <c r="K174" s="552">
        <f t="shared" si="595"/>
        <v>1287.5040396181955</v>
      </c>
      <c r="L174" s="552">
        <f t="shared" si="595"/>
        <v>1368.0518690952972</v>
      </c>
      <c r="M174" s="552">
        <f t="shared" si="595"/>
        <v>1448.6488350389322</v>
      </c>
      <c r="N174" s="552">
        <f t="shared" si="595"/>
        <v>1529.2196901690397</v>
      </c>
      <c r="O174" s="552">
        <f t="shared" si="595"/>
        <v>1609.773614444204</v>
      </c>
      <c r="P174" s="552">
        <f t="shared" si="595"/>
        <v>1690.4144257348337</v>
      </c>
      <c r="Q174" s="552">
        <f t="shared" si="595"/>
        <v>1794.2837323443164</v>
      </c>
      <c r="R174" s="552">
        <f t="shared" si="595"/>
        <v>1898.2326612414961</v>
      </c>
      <c r="S174" s="552">
        <f t="shared" si="595"/>
        <v>2002.139290332404</v>
      </c>
      <c r="T174" s="552">
        <f t="shared" si="595"/>
        <v>2106.1235557975656</v>
      </c>
      <c r="U174" s="552">
        <f t="shared" si="595"/>
        <v>2210.2867703404295</v>
      </c>
      <c r="V174" s="552">
        <f t="shared" si="595"/>
        <v>2279.8663904689888</v>
      </c>
      <c r="W174" s="552">
        <f t="shared" si="595"/>
        <v>2321.3689752213118</v>
      </c>
      <c r="X174" s="552">
        <f t="shared" si="595"/>
        <v>2362.9055353233825</v>
      </c>
      <c r="Y174" s="552">
        <f t="shared" si="595"/>
        <v>2404.4819202822105</v>
      </c>
      <c r="Z174" s="552">
        <f t="shared" si="595"/>
        <v>2446.1290441526812</v>
      </c>
      <c r="AA174" s="552">
        <f t="shared" si="595"/>
        <v>2487.8062843830885</v>
      </c>
      <c r="AB174" s="552">
        <f t="shared" si="595"/>
        <v>2529.5708963554189</v>
      </c>
      <c r="AC174" s="552">
        <f t="shared" si="595"/>
        <v>2571.3844968032281</v>
      </c>
      <c r="AD174" s="552">
        <f t="shared" si="595"/>
        <v>2613.2828108010872</v>
      </c>
      <c r="AE174" s="552">
        <f t="shared" si="595"/>
        <v>2655.3033420451293</v>
      </c>
      <c r="AF174" s="552">
        <f t="shared" si="595"/>
        <v>2697.4121695600093</v>
      </c>
      <c r="AG174" s="552">
        <f t="shared" si="595"/>
        <v>2739.6504751597186</v>
      </c>
      <c r="AH174" s="727">
        <f t="shared" si="595"/>
        <v>2782.061941514894</v>
      </c>
      <c r="AI174" s="18"/>
      <c r="AJ174" s="18"/>
      <c r="AK174" s="18"/>
      <c r="AL174" s="18"/>
      <c r="AM174" s="18"/>
      <c r="AN174" s="18"/>
    </row>
    <row r="175" spans="2:40" ht="21.9" customHeight="1" thickBot="1" x14ac:dyDescent="0.3">
      <c r="B175" s="464"/>
      <c r="C175" s="739"/>
      <c r="D175" s="739"/>
      <c r="E175" s="274"/>
      <c r="F175" s="274"/>
      <c r="G175" s="274"/>
      <c r="H175" s="740" t="s">
        <v>25</v>
      </c>
      <c r="I175" s="710">
        <f t="shared" ref="I175" si="596">SUM(I173:I174)</f>
        <v>1701.0941859907189</v>
      </c>
      <c r="J175" s="710">
        <f t="shared" ref="J175" si="597">SUM(J173:J174)</f>
        <v>1759.6774411802953</v>
      </c>
      <c r="K175" s="710">
        <f t="shared" ref="K175" si="598">SUM(K173:K174)</f>
        <v>1825.0369761587922</v>
      </c>
      <c r="L175" s="710">
        <f t="shared" ref="L175" si="599">SUM(L173:L174)</f>
        <v>1939.2135244425838</v>
      </c>
      <c r="M175" s="710">
        <f t="shared" ref="M175" si="600">SUM(M173:M174)</f>
        <v>2053.4597236676864</v>
      </c>
      <c r="N175" s="710">
        <f t="shared" ref="N175" si="601">SUM(N173:N174)</f>
        <v>2167.6689108146138</v>
      </c>
      <c r="O175" s="710">
        <f t="shared" ref="O175" si="602">SUM(O173:O174)</f>
        <v>2281.8540984746592</v>
      </c>
      <c r="P175" s="710">
        <f t="shared" ref="P175" si="603">SUM(P173:P174)</f>
        <v>2396.1624484791269</v>
      </c>
      <c r="Q175" s="710">
        <f t="shared" ref="Q175" si="604">SUM(Q173:Q174)</f>
        <v>2543.3971905980684</v>
      </c>
      <c r="R175" s="710">
        <f t="shared" ref="R175" si="605">SUM(R173:R174)</f>
        <v>2690.7447973098206</v>
      </c>
      <c r="S175" s="710">
        <f t="shared" ref="S175" si="606">SUM(S173:S174)</f>
        <v>2838.0324440461827</v>
      </c>
      <c r="T175" s="710">
        <f t="shared" ref="T175" si="607">SUM(T173:T174)</f>
        <v>2985.4301403430491</v>
      </c>
      <c r="U175" s="710">
        <f t="shared" ref="U175" si="608">SUM(U173:U174)</f>
        <v>3133.0814969575586</v>
      </c>
      <c r="V175" s="710">
        <f t="shared" ref="V175" si="609">SUM(V173:V174)</f>
        <v>3231.7106084897914</v>
      </c>
      <c r="W175" s="710">
        <f t="shared" ref="W175" si="610">SUM(W173:W174)</f>
        <v>3290.5405223762095</v>
      </c>
      <c r="X175" s="710">
        <f t="shared" ref="X175" si="611">SUM(X173:X174)</f>
        <v>3349.4185963208947</v>
      </c>
      <c r="Y175" s="710">
        <f t="shared" ref="Y175" si="612">SUM(Y173:Y174)</f>
        <v>3408.3531220000332</v>
      </c>
      <c r="Z175" s="710">
        <f t="shared" ref="Z175" si="613">SUM(Z173:Z174)</f>
        <v>3467.3879200864258</v>
      </c>
      <c r="AA175" s="710">
        <f t="shared" ref="AA175" si="614">SUM(AA173:AA174)</f>
        <v>3526.4654081130279</v>
      </c>
      <c r="AB175" s="710">
        <f t="shared" ref="AB175" si="615">SUM(AB173:AB174)</f>
        <v>3585.666745583806</v>
      </c>
      <c r="AC175" s="710">
        <f t="shared" ref="AC175" si="616">SUM(AC173:AC174)</f>
        <v>3644.9375242185761</v>
      </c>
      <c r="AD175" s="710">
        <f t="shared" ref="AD175" si="617">SUM(AD173:AD174)</f>
        <v>3704.328384310541</v>
      </c>
      <c r="AE175" s="710">
        <f t="shared" ref="AE175" si="618">SUM(AE173:AE174)</f>
        <v>3763.8924873489705</v>
      </c>
      <c r="AF175" s="710">
        <f t="shared" ref="AF175" si="619">SUM(AF173:AF174)</f>
        <v>3823.5817503513131</v>
      </c>
      <c r="AG175" s="710">
        <f t="shared" ref="AG175" si="620">SUM(AG173:AG174)</f>
        <v>3883.4545485389008</v>
      </c>
      <c r="AH175" s="741">
        <f t="shared" ref="AH175" si="621">SUM(AH173:AH174)</f>
        <v>3943.572802097362</v>
      </c>
      <c r="AI175" s="18"/>
      <c r="AJ175" s="18"/>
      <c r="AK175" s="18"/>
      <c r="AL175" s="18"/>
      <c r="AM175" s="18"/>
      <c r="AN175" s="18"/>
    </row>
    <row r="176" spans="2:40" ht="21.9" customHeight="1" thickBot="1" x14ac:dyDescent="0.3">
      <c r="B176" s="464"/>
      <c r="C176" s="739"/>
      <c r="D176" s="739"/>
      <c r="E176" s="274"/>
      <c r="F176" s="274"/>
      <c r="G176" s="274"/>
      <c r="H176" s="742" t="s">
        <v>481</v>
      </c>
      <c r="I176" s="742">
        <f>SUM(I118,I121,I124,I127,I130,I133,I136,I139,I142,I145,I148,I151,I157,I160,I163,I166,I169,I172,I175)</f>
        <v>790474.31348705536</v>
      </c>
      <c r="J176" s="742">
        <f t="shared" ref="J176:AH176" si="622">SUM(J118,J121,J124,J127,J130,J133,J136,J139,J142,J145,J148,J151,J157,J160,J163,J166,J169,J172,J175)</f>
        <v>836177.68196666322</v>
      </c>
      <c r="K176" s="742">
        <f t="shared" si="622"/>
        <v>918553.53620069823</v>
      </c>
      <c r="L176" s="742">
        <f t="shared" si="622"/>
        <v>1074611.2327105987</v>
      </c>
      <c r="M176" s="742">
        <f t="shared" si="622"/>
        <v>1240163.5663412204</v>
      </c>
      <c r="N176" s="742">
        <f t="shared" si="622"/>
        <v>1453434.1260620675</v>
      </c>
      <c r="O176" s="742">
        <f t="shared" si="622"/>
        <v>1865392.9679578869</v>
      </c>
      <c r="P176" s="742">
        <f t="shared" si="622"/>
        <v>2085482.9989376769</v>
      </c>
      <c r="Q176" s="742">
        <f t="shared" si="622"/>
        <v>2388115.7556448141</v>
      </c>
      <c r="R176" s="742">
        <f t="shared" si="622"/>
        <v>2718210.7069103164</v>
      </c>
      <c r="S176" s="742">
        <f t="shared" si="622"/>
        <v>3077228.559615545</v>
      </c>
      <c r="T176" s="742">
        <f t="shared" si="622"/>
        <v>3339260.8230278557</v>
      </c>
      <c r="U176" s="742">
        <f t="shared" si="622"/>
        <v>3639719.9626422897</v>
      </c>
      <c r="V176" s="742">
        <f t="shared" si="622"/>
        <v>3797931.798961156</v>
      </c>
      <c r="W176" s="742">
        <f t="shared" si="622"/>
        <v>3873759.1733066891</v>
      </c>
      <c r="X176" s="742">
        <f t="shared" si="622"/>
        <v>3947255.671866538</v>
      </c>
      <c r="Y176" s="742">
        <f t="shared" si="622"/>
        <v>4021968.9323892612</v>
      </c>
      <c r="Z176" s="742">
        <f t="shared" si="622"/>
        <v>4098186.2727599456</v>
      </c>
      <c r="AA176" s="742">
        <f t="shared" si="622"/>
        <v>4176054.1997869452</v>
      </c>
      <c r="AB176" s="742">
        <f t="shared" si="622"/>
        <v>4255978.9651576681</v>
      </c>
      <c r="AC176" s="742">
        <f t="shared" si="622"/>
        <v>4338209.8249374414</v>
      </c>
      <c r="AD176" s="742">
        <f t="shared" si="622"/>
        <v>4423180.3135209596</v>
      </c>
      <c r="AE176" s="742">
        <f t="shared" si="622"/>
        <v>4511426.3008373212</v>
      </c>
      <c r="AF176" s="742">
        <f t="shared" si="622"/>
        <v>4603396.1225106297</v>
      </c>
      <c r="AG176" s="742">
        <f t="shared" si="622"/>
        <v>4699700.378330119</v>
      </c>
      <c r="AH176" s="742">
        <f t="shared" si="622"/>
        <v>4801131.8319904031</v>
      </c>
      <c r="AI176" s="18"/>
      <c r="AJ176" s="18"/>
      <c r="AK176" s="18"/>
      <c r="AL176" s="18"/>
      <c r="AM176" s="18"/>
      <c r="AN176" s="18"/>
    </row>
    <row r="177" spans="2:41" ht="21.9" customHeight="1" x14ac:dyDescent="0.25">
      <c r="B177" s="9"/>
      <c r="C177" s="690"/>
      <c r="D177" s="690"/>
      <c r="E177" s="114"/>
      <c r="F177" s="114"/>
      <c r="G177" s="114"/>
      <c r="H177" s="743"/>
      <c r="I177" s="743"/>
      <c r="J177" s="743"/>
      <c r="K177" s="743"/>
      <c r="L177" s="743"/>
      <c r="M177" s="743"/>
      <c r="N177" s="743"/>
      <c r="O177" s="743"/>
      <c r="P177" s="743"/>
      <c r="Q177" s="743"/>
      <c r="R177" s="743"/>
      <c r="S177" s="743"/>
      <c r="T177" s="743"/>
      <c r="U177" s="743"/>
      <c r="V177" s="743"/>
      <c r="W177" s="743"/>
      <c r="X177" s="743"/>
      <c r="Y177" s="743"/>
      <c r="Z177" s="743"/>
      <c r="AA177" s="743"/>
      <c r="AB177" s="743"/>
      <c r="AC177" s="743"/>
      <c r="AD177" s="743"/>
      <c r="AE177" s="743"/>
      <c r="AF177" s="743"/>
      <c r="AG177" s="743"/>
      <c r="AH177" s="743"/>
      <c r="AI177" s="18"/>
      <c r="AJ177" s="18"/>
      <c r="AK177" s="18"/>
      <c r="AL177" s="18"/>
      <c r="AM177" s="18"/>
      <c r="AN177" s="18"/>
    </row>
    <row r="178" spans="2:41" ht="21.9" customHeight="1" thickBot="1" x14ac:dyDescent="0.3">
      <c r="B178" s="9"/>
      <c r="C178" s="690"/>
      <c r="D178" s="690"/>
      <c r="E178" s="114"/>
      <c r="F178" s="114"/>
      <c r="G178" s="114"/>
      <c r="H178" s="743"/>
      <c r="I178" s="743"/>
      <c r="J178" s="743"/>
      <c r="K178" s="743"/>
      <c r="L178" s="743"/>
      <c r="M178" s="743"/>
      <c r="N178" s="743"/>
      <c r="O178" s="743"/>
      <c r="P178" s="743"/>
      <c r="Q178" s="743"/>
      <c r="R178" s="743"/>
      <c r="S178" s="743"/>
      <c r="T178" s="743"/>
      <c r="U178" s="743"/>
      <c r="V178" s="743"/>
      <c r="W178" s="743"/>
      <c r="X178" s="743"/>
      <c r="Y178" s="743"/>
      <c r="Z178" s="743"/>
      <c r="AA178" s="743"/>
      <c r="AB178" s="743"/>
      <c r="AC178" s="743"/>
      <c r="AD178" s="743"/>
      <c r="AE178" s="743"/>
      <c r="AF178" s="743"/>
      <c r="AG178" s="743"/>
      <c r="AH178" s="743"/>
      <c r="AI178" s="18"/>
      <c r="AJ178" s="18"/>
      <c r="AK178" s="18"/>
      <c r="AL178" s="18"/>
      <c r="AM178" s="18"/>
      <c r="AN178" s="18"/>
    </row>
    <row r="179" spans="2:41" s="7" customFormat="1" ht="21.9" customHeight="1" thickBot="1" x14ac:dyDescent="0.3">
      <c r="B179" s="231"/>
      <c r="C179" s="462" t="s">
        <v>2</v>
      </c>
      <c r="D179" s="462"/>
      <c r="E179" s="462" t="s">
        <v>312</v>
      </c>
      <c r="F179" s="1326" t="s">
        <v>18</v>
      </c>
      <c r="G179" s="1326"/>
      <c r="H179" s="462" t="s">
        <v>24</v>
      </c>
      <c r="I179" s="738">
        <v>2023</v>
      </c>
      <c r="J179" s="738">
        <v>2024</v>
      </c>
      <c r="K179" s="738">
        <v>2025</v>
      </c>
      <c r="L179" s="738">
        <v>2026</v>
      </c>
      <c r="M179" s="738">
        <v>2027</v>
      </c>
      <c r="N179" s="738">
        <v>2028</v>
      </c>
      <c r="O179" s="738">
        <v>2029</v>
      </c>
      <c r="P179" s="738">
        <v>2030</v>
      </c>
      <c r="Q179" s="738">
        <v>2031</v>
      </c>
      <c r="R179" s="738">
        <v>2032</v>
      </c>
      <c r="S179" s="738">
        <v>2033</v>
      </c>
      <c r="T179" s="738">
        <v>2034</v>
      </c>
      <c r="U179" s="738">
        <v>2035</v>
      </c>
      <c r="V179" s="738">
        <v>2036</v>
      </c>
      <c r="W179" s="738">
        <v>2037</v>
      </c>
      <c r="X179" s="738">
        <v>2038</v>
      </c>
      <c r="Y179" s="738">
        <v>2039</v>
      </c>
      <c r="Z179" s="738">
        <v>2040</v>
      </c>
      <c r="AA179" s="738">
        <v>2041</v>
      </c>
      <c r="AB179" s="738">
        <v>2042</v>
      </c>
      <c r="AC179" s="738">
        <v>2043</v>
      </c>
      <c r="AD179" s="738">
        <v>2044</v>
      </c>
      <c r="AE179" s="738">
        <v>2045</v>
      </c>
      <c r="AF179" s="738">
        <v>2046</v>
      </c>
      <c r="AG179" s="738">
        <v>2047</v>
      </c>
      <c r="AH179" s="737">
        <v>2048</v>
      </c>
      <c r="AI179" s="461"/>
      <c r="AJ179" s="461"/>
      <c r="AK179" s="461"/>
      <c r="AL179" s="461"/>
      <c r="AM179" s="461"/>
      <c r="AN179" s="461"/>
      <c r="AO179" s="461"/>
    </row>
    <row r="180" spans="2:41" ht="21.9" customHeight="1" x14ac:dyDescent="0.25">
      <c r="B180" s="196" t="s">
        <v>131</v>
      </c>
      <c r="C180" s="114" t="str">
        <f>baseYear &amp; "$"</f>
        <v>2022$</v>
      </c>
      <c r="D180" s="237" t="s">
        <v>23</v>
      </c>
      <c r="E180" s="1327" t="s">
        <v>315</v>
      </c>
      <c r="F180" s="114" t="s">
        <v>316</v>
      </c>
      <c r="G180" s="114" t="s">
        <v>276</v>
      </c>
      <c r="H180" s="114" t="s">
        <v>20</v>
      </c>
      <c r="I180" s="552">
        <f t="shared" ref="I180:AH180" si="623">I116*$D$13</f>
        <v>55658.188114239012</v>
      </c>
      <c r="J180" s="552">
        <f t="shared" si="623"/>
        <v>58218.876783488638</v>
      </c>
      <c r="K180" s="552">
        <f t="shared" si="623"/>
        <v>61814.727977862451</v>
      </c>
      <c r="L180" s="552">
        <f t="shared" si="623"/>
        <v>67090.048976790757</v>
      </c>
      <c r="M180" s="552">
        <f t="shared" si="623"/>
        <v>72367.878304482001</v>
      </c>
      <c r="N180" s="552">
        <f t="shared" si="623"/>
        <v>77647.051708684245</v>
      </c>
      <c r="O180" s="552">
        <f t="shared" si="623"/>
        <v>82926.331095322676</v>
      </c>
      <c r="P180" s="552">
        <f t="shared" si="623"/>
        <v>88213.569831678222</v>
      </c>
      <c r="Q180" s="552">
        <f t="shared" si="623"/>
        <v>93445.18076205971</v>
      </c>
      <c r="R180" s="552">
        <f t="shared" si="623"/>
        <v>98689.0737970599</v>
      </c>
      <c r="S180" s="552">
        <f t="shared" si="623"/>
        <v>103950.20265421722</v>
      </c>
      <c r="T180" s="552">
        <f t="shared" si="623"/>
        <v>109240.35799545416</v>
      </c>
      <c r="U180" s="552">
        <f t="shared" si="623"/>
        <v>114579.86271308316</v>
      </c>
      <c r="V180" s="552">
        <f t="shared" si="623"/>
        <v>118232.79217268569</v>
      </c>
      <c r="W180" s="552">
        <f t="shared" si="623"/>
        <v>120903.60302567022</v>
      </c>
      <c r="X180" s="552">
        <f t="shared" si="623"/>
        <v>123600.52291712021</v>
      </c>
      <c r="Y180" s="552">
        <f t="shared" si="623"/>
        <v>126328.9941911292</v>
      </c>
      <c r="Z180" s="552">
        <f t="shared" si="623"/>
        <v>129096.58089335253</v>
      </c>
      <c r="AA180" s="552">
        <f t="shared" si="623"/>
        <v>131908.5975432072</v>
      </c>
      <c r="AB180" s="552">
        <f t="shared" si="623"/>
        <v>134776.22290973255</v>
      </c>
      <c r="AC180" s="552">
        <f t="shared" si="623"/>
        <v>137707.50971217451</v>
      </c>
      <c r="AD180" s="552">
        <f t="shared" si="623"/>
        <v>140715.72610357689</v>
      </c>
      <c r="AE180" s="552">
        <f t="shared" si="623"/>
        <v>143816.23912457615</v>
      </c>
      <c r="AF180" s="552">
        <f t="shared" si="623"/>
        <v>147022.8587765831</v>
      </c>
      <c r="AG180" s="552">
        <f t="shared" si="623"/>
        <v>150355.71443155175</v>
      </c>
      <c r="AH180" s="727">
        <f t="shared" si="623"/>
        <v>153838.04184657315</v>
      </c>
      <c r="AI180" s="18"/>
      <c r="AJ180" s="18"/>
      <c r="AK180" s="18"/>
      <c r="AL180" s="18"/>
      <c r="AM180" s="18"/>
      <c r="AN180" s="18"/>
    </row>
    <row r="181" spans="2:41" ht="21.9" customHeight="1" x14ac:dyDescent="0.25">
      <c r="B181" s="463" t="s">
        <v>134</v>
      </c>
      <c r="C181" s="690"/>
      <c r="D181" s="237"/>
      <c r="E181" s="1327"/>
      <c r="F181" s="114"/>
      <c r="G181" s="114"/>
      <c r="H181" s="122" t="s">
        <v>19</v>
      </c>
      <c r="I181" s="552">
        <f t="shared" ref="I181:AH181" si="624">I117*$D$14</f>
        <v>201963.66850136445</v>
      </c>
      <c r="J181" s="552">
        <f t="shared" si="624"/>
        <v>211255.49231118814</v>
      </c>
      <c r="K181" s="552">
        <f t="shared" si="624"/>
        <v>224303.55088453137</v>
      </c>
      <c r="L181" s="552">
        <f t="shared" si="624"/>
        <v>243445.80501754503</v>
      </c>
      <c r="M181" s="552">
        <f t="shared" si="624"/>
        <v>262597.16097898566</v>
      </c>
      <c r="N181" s="552">
        <f t="shared" si="624"/>
        <v>281753.39411361684</v>
      </c>
      <c r="O181" s="552">
        <f t="shared" si="624"/>
        <v>300910.0118206233</v>
      </c>
      <c r="P181" s="552">
        <f t="shared" si="624"/>
        <v>320095.51116251986</v>
      </c>
      <c r="Q181" s="552">
        <f t="shared" si="624"/>
        <v>339079.15708184103</v>
      </c>
      <c r="R181" s="552">
        <f t="shared" si="624"/>
        <v>358107.37036833225</v>
      </c>
      <c r="S181" s="552">
        <f t="shared" si="624"/>
        <v>377198.12629213225</v>
      </c>
      <c r="T181" s="552">
        <f t="shared" si="624"/>
        <v>396394.2089505429</v>
      </c>
      <c r="U181" s="552">
        <f t="shared" si="624"/>
        <v>415769.3628549297</v>
      </c>
      <c r="V181" s="552">
        <f t="shared" si="624"/>
        <v>429024.53804898699</v>
      </c>
      <c r="W181" s="552">
        <f t="shared" si="624"/>
        <v>438715.95589814289</v>
      </c>
      <c r="X181" s="552">
        <f t="shared" si="624"/>
        <v>448502.11411467666</v>
      </c>
      <c r="Y181" s="552">
        <f t="shared" si="624"/>
        <v>458402.7610198257</v>
      </c>
      <c r="Z181" s="552">
        <f t="shared" si="624"/>
        <v>468445.34383134951</v>
      </c>
      <c r="AA181" s="552">
        <f t="shared" si="624"/>
        <v>478649.14704042813</v>
      </c>
      <c r="AB181" s="552">
        <f t="shared" si="624"/>
        <v>489054.73440382374</v>
      </c>
      <c r="AC181" s="552">
        <f t="shared" si="624"/>
        <v>499691.32636107004</v>
      </c>
      <c r="AD181" s="552">
        <f t="shared" si="624"/>
        <v>510607.06829658832</v>
      </c>
      <c r="AE181" s="552">
        <f t="shared" si="624"/>
        <v>521857.72170758329</v>
      </c>
      <c r="AF181" s="552">
        <f t="shared" si="624"/>
        <v>533493.39815250516</v>
      </c>
      <c r="AG181" s="552">
        <f t="shared" si="624"/>
        <v>545587.13992651727</v>
      </c>
      <c r="AH181" s="727">
        <f t="shared" si="624"/>
        <v>558223.26128600258</v>
      </c>
      <c r="AI181" s="18"/>
      <c r="AJ181" s="18"/>
      <c r="AK181" s="18"/>
      <c r="AL181" s="18"/>
      <c r="AM181" s="18"/>
      <c r="AN181" s="18"/>
    </row>
    <row r="182" spans="2:41" ht="21.9" customHeight="1" x14ac:dyDescent="0.25">
      <c r="B182" s="196"/>
      <c r="C182" s="114"/>
      <c r="D182" s="237"/>
      <c r="E182" s="1327"/>
      <c r="F182" s="114"/>
      <c r="G182" s="114"/>
      <c r="H182" s="695" t="s">
        <v>25</v>
      </c>
      <c r="I182" s="552">
        <f t="shared" ref="I182:AH182" si="625">SUM(I180:I181)</f>
        <v>257621.85661560346</v>
      </c>
      <c r="J182" s="552">
        <f t="shared" si="625"/>
        <v>269474.3690946768</v>
      </c>
      <c r="K182" s="552">
        <f t="shared" si="625"/>
        <v>286118.27886239381</v>
      </c>
      <c r="L182" s="552">
        <f t="shared" si="625"/>
        <v>310535.8539943358</v>
      </c>
      <c r="M182" s="552">
        <f t="shared" si="625"/>
        <v>334965.03928346769</v>
      </c>
      <c r="N182" s="552">
        <f t="shared" si="625"/>
        <v>359400.44582230109</v>
      </c>
      <c r="O182" s="552">
        <f t="shared" si="625"/>
        <v>383836.34291594598</v>
      </c>
      <c r="P182" s="552">
        <f t="shared" si="625"/>
        <v>408309.0809941981</v>
      </c>
      <c r="Q182" s="552">
        <f t="shared" si="625"/>
        <v>432524.33784390072</v>
      </c>
      <c r="R182" s="552">
        <f t="shared" si="625"/>
        <v>456796.44416539214</v>
      </c>
      <c r="S182" s="552">
        <f t="shared" si="625"/>
        <v>481148.32894634944</v>
      </c>
      <c r="T182" s="552">
        <f t="shared" si="625"/>
        <v>505634.56694599707</v>
      </c>
      <c r="U182" s="552">
        <f t="shared" si="625"/>
        <v>530349.2255680128</v>
      </c>
      <c r="V182" s="552">
        <f t="shared" si="625"/>
        <v>547257.33022167266</v>
      </c>
      <c r="W182" s="552">
        <f t="shared" si="625"/>
        <v>559619.55892381305</v>
      </c>
      <c r="X182" s="552">
        <f t="shared" si="625"/>
        <v>572102.63703179685</v>
      </c>
      <c r="Y182" s="552">
        <f t="shared" si="625"/>
        <v>584731.75521095493</v>
      </c>
      <c r="Z182" s="552">
        <f t="shared" si="625"/>
        <v>597541.92472470202</v>
      </c>
      <c r="AA182" s="552">
        <f t="shared" si="625"/>
        <v>610557.74458363536</v>
      </c>
      <c r="AB182" s="552">
        <f t="shared" si="625"/>
        <v>623830.95731355622</v>
      </c>
      <c r="AC182" s="552">
        <f t="shared" si="625"/>
        <v>637398.83607324457</v>
      </c>
      <c r="AD182" s="552">
        <f t="shared" si="625"/>
        <v>651322.79440016521</v>
      </c>
      <c r="AE182" s="552">
        <f t="shared" si="625"/>
        <v>665673.9608321595</v>
      </c>
      <c r="AF182" s="552">
        <f t="shared" si="625"/>
        <v>680516.25692908827</v>
      </c>
      <c r="AG182" s="552">
        <f t="shared" si="625"/>
        <v>695942.85435806902</v>
      </c>
      <c r="AH182" s="727">
        <f t="shared" si="625"/>
        <v>712061.3031325757</v>
      </c>
      <c r="AI182" s="18"/>
      <c r="AJ182" s="18"/>
      <c r="AK182" s="18"/>
      <c r="AL182" s="18"/>
      <c r="AM182" s="18"/>
      <c r="AN182" s="18"/>
    </row>
    <row r="183" spans="2:41" ht="21.9" customHeight="1" x14ac:dyDescent="0.25">
      <c r="B183" s="194"/>
      <c r="C183" s="690"/>
      <c r="D183" s="690"/>
      <c r="E183" s="1327"/>
      <c r="F183" s="114" t="s">
        <v>276</v>
      </c>
      <c r="G183" s="114" t="s">
        <v>274</v>
      </c>
      <c r="H183" s="114" t="s">
        <v>20</v>
      </c>
      <c r="I183" s="552">
        <f t="shared" ref="I183:AH183" si="626">I119*$D$13</f>
        <v>1789705.8417579983</v>
      </c>
      <c r="J183" s="552">
        <f t="shared" si="626"/>
        <v>1888849.3956921878</v>
      </c>
      <c r="K183" s="552">
        <f t="shared" si="626"/>
        <v>2003822.4357393293</v>
      </c>
      <c r="L183" s="552">
        <f t="shared" si="626"/>
        <v>2218359.5980144781</v>
      </c>
      <c r="M183" s="552">
        <f t="shared" si="626"/>
        <v>2432983.63440372</v>
      </c>
      <c r="N183" s="552">
        <f t="shared" si="626"/>
        <v>2647664.1256886204</v>
      </c>
      <c r="O183" s="552">
        <f t="shared" si="626"/>
        <v>2862260.704745485</v>
      </c>
      <c r="P183" s="552">
        <f t="shared" si="626"/>
        <v>3077133.949144478</v>
      </c>
      <c r="Q183" s="552">
        <f t="shared" si="626"/>
        <v>3332027.1292907777</v>
      </c>
      <c r="R183" s="552">
        <f t="shared" si="626"/>
        <v>3587386.011570157</v>
      </c>
      <c r="S183" s="552">
        <f t="shared" si="626"/>
        <v>3843429.811965331</v>
      </c>
      <c r="T183" s="552">
        <f t="shared" si="626"/>
        <v>4100873.328168706</v>
      </c>
      <c r="U183" s="552">
        <f t="shared" si="626"/>
        <v>4361061.8754489608</v>
      </c>
      <c r="V183" s="552">
        <f t="shared" si="626"/>
        <v>4521135.7041807231</v>
      </c>
      <c r="W183" s="552">
        <f t="shared" si="626"/>
        <v>4624693.1421119822</v>
      </c>
      <c r="X183" s="552">
        <f t="shared" si="626"/>
        <v>4729310.9093370568</v>
      </c>
      <c r="Y183" s="552">
        <f t="shared" si="626"/>
        <v>4835213.0065368349</v>
      </c>
      <c r="Z183" s="552">
        <f t="shared" si="626"/>
        <v>4942736.947044543</v>
      </c>
      <c r="AA183" s="552">
        <f t="shared" si="626"/>
        <v>5052051.8981339056</v>
      </c>
      <c r="AB183" s="552">
        <f t="shared" si="626"/>
        <v>5163672.138570427</v>
      </c>
      <c r="AC183" s="552">
        <f t="shared" si="626"/>
        <v>5277879.4841015777</v>
      </c>
      <c r="AD183" s="552">
        <f t="shared" si="626"/>
        <v>5395250.9082713723</v>
      </c>
      <c r="AE183" s="552">
        <f t="shared" si="626"/>
        <v>5516454.8537974767</v>
      </c>
      <c r="AF183" s="552">
        <f t="shared" si="626"/>
        <v>5642010.4196726792</v>
      </c>
      <c r="AG183" s="552">
        <f t="shared" si="626"/>
        <v>5772785.6663356181</v>
      </c>
      <c r="AH183" s="727">
        <f t="shared" si="626"/>
        <v>5909785.1216405984</v>
      </c>
      <c r="AI183" s="18"/>
      <c r="AJ183" s="18"/>
      <c r="AK183" s="18"/>
      <c r="AL183" s="18"/>
      <c r="AM183" s="18"/>
      <c r="AN183" s="18"/>
    </row>
    <row r="184" spans="2:41" ht="21.9" customHeight="1" x14ac:dyDescent="0.25">
      <c r="B184" s="463"/>
      <c r="C184" s="690"/>
      <c r="D184" s="690"/>
      <c r="E184" s="1327"/>
      <c r="F184" s="114"/>
      <c r="G184" s="114"/>
      <c r="H184" s="122" t="s">
        <v>19</v>
      </c>
      <c r="I184" s="552">
        <f t="shared" ref="I184:AH184" si="627">I120*$D$14</f>
        <v>6494202.7325409241</v>
      </c>
      <c r="J184" s="552">
        <f t="shared" si="627"/>
        <v>6853959.2488636188</v>
      </c>
      <c r="K184" s="552">
        <f t="shared" si="627"/>
        <v>7271155.3117145132</v>
      </c>
      <c r="L184" s="552">
        <f t="shared" si="627"/>
        <v>8049633.9828855703</v>
      </c>
      <c r="M184" s="552">
        <f t="shared" si="627"/>
        <v>8828427.8891617339</v>
      </c>
      <c r="N184" s="552">
        <f t="shared" si="627"/>
        <v>9607426.6500732768</v>
      </c>
      <c r="O184" s="552">
        <f t="shared" si="627"/>
        <v>10386120.923505427</v>
      </c>
      <c r="P184" s="552">
        <f t="shared" si="627"/>
        <v>11165819.116564441</v>
      </c>
      <c r="Q184" s="552">
        <f t="shared" si="627"/>
        <v>12090735.350500487</v>
      </c>
      <c r="R184" s="552">
        <f t="shared" si="627"/>
        <v>13017341.451002663</v>
      </c>
      <c r="S184" s="552">
        <f t="shared" si="627"/>
        <v>13946432.874508975</v>
      </c>
      <c r="T184" s="552">
        <f t="shared" si="627"/>
        <v>14880603.366326015</v>
      </c>
      <c r="U184" s="552">
        <f t="shared" si="627"/>
        <v>15824734.594653184</v>
      </c>
      <c r="V184" s="552">
        <f t="shared" si="627"/>
        <v>16405585.297435135</v>
      </c>
      <c r="W184" s="552">
        <f t="shared" si="627"/>
        <v>16781358.220949486</v>
      </c>
      <c r="X184" s="552">
        <f t="shared" si="627"/>
        <v>17160978.700434558</v>
      </c>
      <c r="Y184" s="552">
        <f t="shared" si="627"/>
        <v>17545259.554287646</v>
      </c>
      <c r="Z184" s="552">
        <f t="shared" si="627"/>
        <v>17935425.497743927</v>
      </c>
      <c r="AA184" s="552">
        <f t="shared" si="627"/>
        <v>18332090.37836742</v>
      </c>
      <c r="AB184" s="552">
        <f t="shared" si="627"/>
        <v>18737120.329958625</v>
      </c>
      <c r="AC184" s="552">
        <f t="shared" si="627"/>
        <v>19151537.961124256</v>
      </c>
      <c r="AD184" s="552">
        <f t="shared" si="627"/>
        <v>19577436.902604476</v>
      </c>
      <c r="AE184" s="552">
        <f t="shared" si="627"/>
        <v>20017242.694073092</v>
      </c>
      <c r="AF184" s="552">
        <f t="shared" si="627"/>
        <v>20472838.960212294</v>
      </c>
      <c r="AG184" s="552">
        <f t="shared" si="627"/>
        <v>20947375.582047831</v>
      </c>
      <c r="AH184" s="727">
        <f t="shared" si="627"/>
        <v>21444497.632073816</v>
      </c>
      <c r="AI184" s="18"/>
      <c r="AJ184" s="18"/>
      <c r="AK184" s="18"/>
      <c r="AL184" s="18"/>
      <c r="AM184" s="18"/>
      <c r="AN184" s="18"/>
    </row>
    <row r="185" spans="2:41" ht="21.9" customHeight="1" x14ac:dyDescent="0.25">
      <c r="B185" s="463"/>
      <c r="C185" s="690"/>
      <c r="D185" s="690"/>
      <c r="E185" s="1327"/>
      <c r="F185" s="114"/>
      <c r="G185" s="114"/>
      <c r="H185" s="695" t="s">
        <v>25</v>
      </c>
      <c r="I185" s="552">
        <f t="shared" ref="I185" si="628">SUM(I183:I184)</f>
        <v>8283908.574298922</v>
      </c>
      <c r="J185" s="552">
        <f t="shared" ref="J185:AH185" si="629">SUM(J183:J184)</f>
        <v>8742808.6445558071</v>
      </c>
      <c r="K185" s="552">
        <f t="shared" si="629"/>
        <v>9274977.7474538423</v>
      </c>
      <c r="L185" s="552">
        <f t="shared" si="629"/>
        <v>10267993.580900049</v>
      </c>
      <c r="M185" s="552">
        <f t="shared" si="629"/>
        <v>11261411.523565454</v>
      </c>
      <c r="N185" s="552">
        <f t="shared" si="629"/>
        <v>12255090.775761897</v>
      </c>
      <c r="O185" s="552">
        <f t="shared" si="629"/>
        <v>13248381.628250912</v>
      </c>
      <c r="P185" s="552">
        <f t="shared" si="629"/>
        <v>14242953.06570892</v>
      </c>
      <c r="Q185" s="552">
        <f t="shared" si="629"/>
        <v>15422762.479791265</v>
      </c>
      <c r="R185" s="552">
        <f t="shared" si="629"/>
        <v>16604727.46257282</v>
      </c>
      <c r="S185" s="552">
        <f t="shared" si="629"/>
        <v>17789862.686474305</v>
      </c>
      <c r="T185" s="552">
        <f t="shared" si="629"/>
        <v>18981476.694494721</v>
      </c>
      <c r="U185" s="552">
        <f t="shared" si="629"/>
        <v>20185796.470102146</v>
      </c>
      <c r="V185" s="552">
        <f t="shared" si="629"/>
        <v>20926721.00161586</v>
      </c>
      <c r="W185" s="552">
        <f t="shared" si="629"/>
        <v>21406051.363061469</v>
      </c>
      <c r="X185" s="552">
        <f t="shared" si="629"/>
        <v>21890289.609771617</v>
      </c>
      <c r="Y185" s="552">
        <f t="shared" si="629"/>
        <v>22380472.56082448</v>
      </c>
      <c r="Z185" s="552">
        <f t="shared" si="629"/>
        <v>22878162.444788471</v>
      </c>
      <c r="AA185" s="552">
        <f t="shared" si="629"/>
        <v>23384142.276501328</v>
      </c>
      <c r="AB185" s="552">
        <f t="shared" si="629"/>
        <v>23900792.468529053</v>
      </c>
      <c r="AC185" s="552">
        <f t="shared" si="629"/>
        <v>24429417.445225835</v>
      </c>
      <c r="AD185" s="552">
        <f t="shared" si="629"/>
        <v>24972687.810875848</v>
      </c>
      <c r="AE185" s="552">
        <f t="shared" si="629"/>
        <v>25533697.547870569</v>
      </c>
      <c r="AF185" s="552">
        <f t="shared" si="629"/>
        <v>26114849.379884973</v>
      </c>
      <c r="AG185" s="552">
        <f t="shared" si="629"/>
        <v>26720161.248383448</v>
      </c>
      <c r="AH185" s="727">
        <f t="shared" si="629"/>
        <v>27354282.753714412</v>
      </c>
      <c r="AI185" s="18"/>
      <c r="AJ185" s="18"/>
      <c r="AK185" s="18"/>
      <c r="AL185" s="18"/>
      <c r="AM185" s="18"/>
      <c r="AN185" s="18"/>
    </row>
    <row r="186" spans="2:41" ht="21.9" customHeight="1" x14ac:dyDescent="0.25">
      <c r="B186" s="463"/>
      <c r="C186" s="690"/>
      <c r="D186" s="690"/>
      <c r="E186" s="1327"/>
      <c r="F186" s="114" t="s">
        <v>274</v>
      </c>
      <c r="G186" s="114" t="s">
        <v>317</v>
      </c>
      <c r="H186" s="114" t="s">
        <v>20</v>
      </c>
      <c r="I186" s="552">
        <f t="shared" ref="I186:AH186" si="630">I122*$D$13</f>
        <v>41743.564660877462</v>
      </c>
      <c r="J186" s="552">
        <f t="shared" si="630"/>
        <v>43486.708749928621</v>
      </c>
      <c r="K186" s="552">
        <f t="shared" si="630"/>
        <v>45644.160112079429</v>
      </c>
      <c r="L186" s="552">
        <f t="shared" si="630"/>
        <v>48548.828001386515</v>
      </c>
      <c r="M186" s="552">
        <f t="shared" si="630"/>
        <v>51454.549150284569</v>
      </c>
      <c r="N186" s="552">
        <f t="shared" si="630"/>
        <v>54359.938704712033</v>
      </c>
      <c r="O186" s="552">
        <f t="shared" si="630"/>
        <v>57264.659135176946</v>
      </c>
      <c r="P186" s="552">
        <f t="shared" si="630"/>
        <v>60171.509279423284</v>
      </c>
      <c r="Q186" s="552">
        <f t="shared" si="630"/>
        <v>62987.974612272614</v>
      </c>
      <c r="R186" s="552">
        <f t="shared" si="630"/>
        <v>65805.577359161005</v>
      </c>
      <c r="S186" s="552">
        <f t="shared" si="630"/>
        <v>68622.275232759755</v>
      </c>
      <c r="T186" s="552">
        <f t="shared" si="630"/>
        <v>71439.175308129896</v>
      </c>
      <c r="U186" s="552">
        <f t="shared" si="630"/>
        <v>74258.453531454783</v>
      </c>
      <c r="V186" s="552">
        <f t="shared" si="630"/>
        <v>76327.407064627492</v>
      </c>
      <c r="W186" s="552">
        <f t="shared" si="630"/>
        <v>78071.530330810259</v>
      </c>
      <c r="X186" s="552">
        <f t="shared" si="630"/>
        <v>79815.89912298572</v>
      </c>
      <c r="Y186" s="552">
        <f t="shared" si="630"/>
        <v>81560.567389664851</v>
      </c>
      <c r="Z186" s="552">
        <f t="shared" si="630"/>
        <v>83306.295931185537</v>
      </c>
      <c r="AA186" s="552">
        <f t="shared" si="630"/>
        <v>85051.76802126503</v>
      </c>
      <c r="AB186" s="552">
        <f t="shared" si="630"/>
        <v>86798.46714044534</v>
      </c>
      <c r="AC186" s="552">
        <f t="shared" si="630"/>
        <v>88545.105723512665</v>
      </c>
      <c r="AD186" s="552">
        <f t="shared" si="630"/>
        <v>90292.505152665908</v>
      </c>
      <c r="AE186" s="552">
        <f t="shared" si="630"/>
        <v>92041.5092922779</v>
      </c>
      <c r="AF186" s="552">
        <f t="shared" si="630"/>
        <v>93790.892856225415</v>
      </c>
      <c r="AG186" s="552">
        <f t="shared" si="630"/>
        <v>95541.551517314467</v>
      </c>
      <c r="AH186" s="727">
        <f t="shared" si="630"/>
        <v>97294.414759213716</v>
      </c>
      <c r="AI186" s="18"/>
      <c r="AJ186" s="18"/>
      <c r="AK186" s="18"/>
      <c r="AL186" s="18"/>
      <c r="AM186" s="18"/>
      <c r="AN186" s="18"/>
    </row>
    <row r="187" spans="2:41" ht="21.9" customHeight="1" x14ac:dyDescent="0.25">
      <c r="B187" s="463"/>
      <c r="C187" s="690"/>
      <c r="D187" s="690"/>
      <c r="E187" s="1327"/>
      <c r="F187" s="114"/>
      <c r="G187" s="114"/>
      <c r="H187" s="122" t="s">
        <v>19</v>
      </c>
      <c r="I187" s="552">
        <f t="shared" ref="I187:AH187" si="631">I123*$D$14</f>
        <v>151472.47405773727</v>
      </c>
      <c r="J187" s="552">
        <f t="shared" si="631"/>
        <v>157797.72083416212</v>
      </c>
      <c r="K187" s="552">
        <f t="shared" si="631"/>
        <v>165626.34060200132</v>
      </c>
      <c r="L187" s="552">
        <f t="shared" si="631"/>
        <v>176166.34203895958</v>
      </c>
      <c r="M187" s="552">
        <f t="shared" si="631"/>
        <v>186710.16537846421</v>
      </c>
      <c r="N187" s="552">
        <f t="shared" si="631"/>
        <v>197252.78548017028</v>
      </c>
      <c r="O187" s="552">
        <f t="shared" si="631"/>
        <v>207792.9775702084</v>
      </c>
      <c r="P187" s="552">
        <f t="shared" si="631"/>
        <v>218340.8976302493</v>
      </c>
      <c r="Q187" s="552">
        <f t="shared" si="631"/>
        <v>228560.84351964211</v>
      </c>
      <c r="R187" s="552">
        <f t="shared" si="631"/>
        <v>238784.91667799052</v>
      </c>
      <c r="S187" s="552">
        <f t="shared" si="631"/>
        <v>249005.7063746365</v>
      </c>
      <c r="T187" s="552">
        <f t="shared" si="631"/>
        <v>259227.22978922963</v>
      </c>
      <c r="U187" s="552">
        <f t="shared" si="631"/>
        <v>269457.3826526326</v>
      </c>
      <c r="V187" s="552">
        <f t="shared" si="631"/>
        <v>276964.87543448125</v>
      </c>
      <c r="W187" s="552">
        <f t="shared" si="631"/>
        <v>283293.67529468966</v>
      </c>
      <c r="X187" s="552">
        <f t="shared" si="631"/>
        <v>289623.36608095735</v>
      </c>
      <c r="Y187" s="552">
        <f t="shared" si="631"/>
        <v>295954.14355314552</v>
      </c>
      <c r="Z187" s="552">
        <f t="shared" si="631"/>
        <v>302288.76838371652</v>
      </c>
      <c r="AA187" s="552">
        <f t="shared" si="631"/>
        <v>308622.46264368127</v>
      </c>
      <c r="AB187" s="552">
        <f t="shared" si="631"/>
        <v>314960.60935362626</v>
      </c>
      <c r="AC187" s="552">
        <f t="shared" si="631"/>
        <v>321298.53639965702</v>
      </c>
      <c r="AD187" s="552">
        <f t="shared" si="631"/>
        <v>327639.22428415337</v>
      </c>
      <c r="AE187" s="552">
        <f t="shared" si="631"/>
        <v>333985.7350892679</v>
      </c>
      <c r="AF187" s="552">
        <f t="shared" si="631"/>
        <v>340333.62268966291</v>
      </c>
      <c r="AG187" s="552">
        <f t="shared" si="631"/>
        <v>346686.13716177485</v>
      </c>
      <c r="AH187" s="727">
        <f t="shared" si="631"/>
        <v>353046.65126957418</v>
      </c>
      <c r="AI187" s="18"/>
      <c r="AJ187" s="18"/>
      <c r="AK187" s="18"/>
      <c r="AL187" s="18"/>
      <c r="AM187" s="18"/>
      <c r="AN187" s="18"/>
    </row>
    <row r="188" spans="2:41" ht="21.9" customHeight="1" x14ac:dyDescent="0.25">
      <c r="B188" s="229"/>
      <c r="C188" s="690"/>
      <c r="D188" s="690"/>
      <c r="E188" s="1327"/>
      <c r="F188" s="114"/>
      <c r="G188" s="114"/>
      <c r="H188" s="696" t="s">
        <v>25</v>
      </c>
      <c r="I188" s="552">
        <f t="shared" ref="I188" si="632">SUM(I186:I187)</f>
        <v>193216.03871861473</v>
      </c>
      <c r="J188" s="552">
        <f t="shared" ref="J188:AH188" si="633">SUM(J186:J187)</f>
        <v>201284.42958409074</v>
      </c>
      <c r="K188" s="552">
        <f t="shared" si="633"/>
        <v>211270.50071408076</v>
      </c>
      <c r="L188" s="552">
        <f t="shared" si="633"/>
        <v>224715.1700403461</v>
      </c>
      <c r="M188" s="552">
        <f t="shared" si="633"/>
        <v>238164.71452874877</v>
      </c>
      <c r="N188" s="552">
        <f t="shared" si="633"/>
        <v>251612.7241848823</v>
      </c>
      <c r="O188" s="552">
        <f t="shared" si="633"/>
        <v>265057.63670538535</v>
      </c>
      <c r="P188" s="552">
        <f t="shared" si="633"/>
        <v>278512.4069096726</v>
      </c>
      <c r="Q188" s="552">
        <f t="shared" si="633"/>
        <v>291548.81813191471</v>
      </c>
      <c r="R188" s="552">
        <f t="shared" si="633"/>
        <v>304590.49403715151</v>
      </c>
      <c r="S188" s="552">
        <f t="shared" si="633"/>
        <v>317627.98160739627</v>
      </c>
      <c r="T188" s="552">
        <f t="shared" si="633"/>
        <v>330666.40509735956</v>
      </c>
      <c r="U188" s="552">
        <f t="shared" si="633"/>
        <v>343715.83618408738</v>
      </c>
      <c r="V188" s="552">
        <f t="shared" si="633"/>
        <v>353292.28249910875</v>
      </c>
      <c r="W188" s="552">
        <f t="shared" si="633"/>
        <v>361365.20562549995</v>
      </c>
      <c r="X188" s="552">
        <f t="shared" si="633"/>
        <v>369439.26520394307</v>
      </c>
      <c r="Y188" s="552">
        <f t="shared" si="633"/>
        <v>377514.7109428104</v>
      </c>
      <c r="Z188" s="552">
        <f t="shared" si="633"/>
        <v>385595.06431490206</v>
      </c>
      <c r="AA188" s="552">
        <f t="shared" si="633"/>
        <v>393674.23066494631</v>
      </c>
      <c r="AB188" s="552">
        <f t="shared" si="633"/>
        <v>401759.07649407163</v>
      </c>
      <c r="AC188" s="552">
        <f t="shared" si="633"/>
        <v>409843.64212316967</v>
      </c>
      <c r="AD188" s="552">
        <f t="shared" si="633"/>
        <v>417931.72943681927</v>
      </c>
      <c r="AE188" s="552">
        <f t="shared" si="633"/>
        <v>426027.24438154581</v>
      </c>
      <c r="AF188" s="552">
        <f t="shared" si="633"/>
        <v>434124.51554588834</v>
      </c>
      <c r="AG188" s="552">
        <f t="shared" si="633"/>
        <v>442227.6886790893</v>
      </c>
      <c r="AH188" s="727">
        <f t="shared" si="633"/>
        <v>450341.06602878787</v>
      </c>
      <c r="AI188" s="18"/>
      <c r="AJ188" s="18"/>
      <c r="AK188" s="18"/>
      <c r="AL188" s="18"/>
      <c r="AM188" s="18"/>
      <c r="AN188" s="18"/>
    </row>
    <row r="189" spans="2:41" ht="21.9" customHeight="1" x14ac:dyDescent="0.25">
      <c r="B189" s="229"/>
      <c r="C189" s="690"/>
      <c r="D189" s="690"/>
      <c r="E189" s="1325" t="s">
        <v>274</v>
      </c>
      <c r="F189" s="217" t="s">
        <v>275</v>
      </c>
      <c r="G189" s="217" t="s">
        <v>318</v>
      </c>
      <c r="H189" s="114" t="s">
        <v>20</v>
      </c>
      <c r="I189" s="552">
        <f t="shared" ref="I189:AH189" si="634">I125*$D$13</f>
        <v>416082.42729974637</v>
      </c>
      <c r="J189" s="552">
        <f t="shared" si="634"/>
        <v>461561.71950848529</v>
      </c>
      <c r="K189" s="552">
        <f t="shared" si="634"/>
        <v>509745.74664354604</v>
      </c>
      <c r="L189" s="552">
        <f t="shared" si="634"/>
        <v>663862.47212099377</v>
      </c>
      <c r="M189" s="552">
        <f t="shared" si="634"/>
        <v>863353.48145847756</v>
      </c>
      <c r="N189" s="552">
        <f t="shared" si="634"/>
        <v>1321504.0753646411</v>
      </c>
      <c r="O189" s="552">
        <f t="shared" si="634"/>
        <v>2894231.870251108</v>
      </c>
      <c r="P189" s="552">
        <f t="shared" si="634"/>
        <v>3284123.654007691</v>
      </c>
      <c r="Q189" s="552">
        <f t="shared" si="634"/>
        <v>3807389.8295378177</v>
      </c>
      <c r="R189" s="552">
        <f t="shared" si="634"/>
        <v>4331296.830190246</v>
      </c>
      <c r="S189" s="552">
        <f t="shared" si="634"/>
        <v>4856400.9119095542</v>
      </c>
      <c r="T189" s="552">
        <f t="shared" si="634"/>
        <v>5385894.4645977747</v>
      </c>
      <c r="U189" s="552">
        <f t="shared" si="634"/>
        <v>5928006.311768271</v>
      </c>
      <c r="V189" s="552">
        <f t="shared" si="634"/>
        <v>6231941.7088231677</v>
      </c>
      <c r="W189" s="552">
        <f t="shared" si="634"/>
        <v>6391753.4859507624</v>
      </c>
      <c r="X189" s="552">
        <f t="shared" si="634"/>
        <v>6537184.7421580972</v>
      </c>
      <c r="Y189" s="552">
        <f t="shared" si="634"/>
        <v>6688103.7738394942</v>
      </c>
      <c r="Z189" s="552">
        <f t="shared" si="634"/>
        <v>6845716.3509387858</v>
      </c>
      <c r="AA189" s="552">
        <f t="shared" si="634"/>
        <v>7010873.3204352586</v>
      </c>
      <c r="AB189" s="552">
        <f t="shared" si="634"/>
        <v>7185191.945986798</v>
      </c>
      <c r="AC189" s="552">
        <f t="shared" si="634"/>
        <v>7370003.3097629156</v>
      </c>
      <c r="AD189" s="552">
        <f t="shared" si="634"/>
        <v>7567115.6730619455</v>
      </c>
      <c r="AE189" s="552">
        <f t="shared" si="634"/>
        <v>7778888.7563251136</v>
      </c>
      <c r="AF189" s="552">
        <f t="shared" si="634"/>
        <v>8007454.9859801745</v>
      </c>
      <c r="AG189" s="552">
        <f t="shared" si="634"/>
        <v>8255408.1282862229</v>
      </c>
      <c r="AH189" s="727">
        <f t="shared" si="634"/>
        <v>8526196.5667158403</v>
      </c>
      <c r="AI189" s="18"/>
      <c r="AJ189" s="18"/>
      <c r="AK189" s="18"/>
      <c r="AL189" s="18"/>
      <c r="AM189" s="18"/>
      <c r="AN189" s="18"/>
    </row>
    <row r="190" spans="2:41" ht="21.9" customHeight="1" x14ac:dyDescent="0.25">
      <c r="B190" s="229"/>
      <c r="C190" s="690"/>
      <c r="D190" s="690"/>
      <c r="E190" s="1325"/>
      <c r="F190" s="114"/>
      <c r="G190" s="114"/>
      <c r="H190" s="122" t="s">
        <v>19</v>
      </c>
      <c r="I190" s="552">
        <f t="shared" ref="I190:AH190" si="635">I126*$D$14</f>
        <v>1703380.3390616525</v>
      </c>
      <c r="J190" s="552">
        <f t="shared" si="635"/>
        <v>1889565.8809158325</v>
      </c>
      <c r="K190" s="552">
        <f t="shared" si="635"/>
        <v>2086824.2102601479</v>
      </c>
      <c r="L190" s="552">
        <f t="shared" si="635"/>
        <v>2717755.4461753992</v>
      </c>
      <c r="M190" s="552">
        <f t="shared" si="635"/>
        <v>3534442.3351899055</v>
      </c>
      <c r="N190" s="552">
        <f t="shared" si="635"/>
        <v>5410043.5689497096</v>
      </c>
      <c r="O190" s="552">
        <f t="shared" si="635"/>
        <v>11848560.143396322</v>
      </c>
      <c r="P190" s="552">
        <f t="shared" si="635"/>
        <v>13444719.834933111</v>
      </c>
      <c r="Q190" s="552">
        <f t="shared" si="635"/>
        <v>15586894.695040559</v>
      </c>
      <c r="R190" s="552">
        <f t="shared" si="635"/>
        <v>17731692.999067973</v>
      </c>
      <c r="S190" s="552">
        <f t="shared" si="635"/>
        <v>19881391.977144089</v>
      </c>
      <c r="T190" s="552">
        <f t="shared" si="635"/>
        <v>22049060.804598</v>
      </c>
      <c r="U190" s="552">
        <f t="shared" si="635"/>
        <v>24268387.07616242</v>
      </c>
      <c r="V190" s="552">
        <f t="shared" si="635"/>
        <v>25512653.946667008</v>
      </c>
      <c r="W190" s="552">
        <f t="shared" si="635"/>
        <v>26166899.887492429</v>
      </c>
      <c r="X190" s="552">
        <f t="shared" si="635"/>
        <v>26762274.088023495</v>
      </c>
      <c r="Y190" s="552">
        <f t="shared" si="635"/>
        <v>27380114.435246617</v>
      </c>
      <c r="Z190" s="552">
        <f t="shared" si="635"/>
        <v>28025357.174196418</v>
      </c>
      <c r="AA190" s="552">
        <f t="shared" si="635"/>
        <v>28701485.547425292</v>
      </c>
      <c r="AB190" s="552">
        <f t="shared" si="635"/>
        <v>29415120.394788921</v>
      </c>
      <c r="AC190" s="552">
        <f t="shared" si="635"/>
        <v>30171710.971166767</v>
      </c>
      <c r="AD190" s="552">
        <f t="shared" si="635"/>
        <v>30978660.032698911</v>
      </c>
      <c r="AE190" s="552">
        <f t="shared" si="635"/>
        <v>31845627.928252634</v>
      </c>
      <c r="AF190" s="552">
        <f t="shared" si="635"/>
        <v>32781344.498391282</v>
      </c>
      <c r="AG190" s="552">
        <f t="shared" si="635"/>
        <v>33796428.24118153</v>
      </c>
      <c r="AH190" s="727">
        <f t="shared" si="635"/>
        <v>34904996.33202745</v>
      </c>
      <c r="AI190" s="18"/>
      <c r="AJ190" s="18"/>
      <c r="AK190" s="18"/>
      <c r="AL190" s="18"/>
      <c r="AM190" s="18"/>
      <c r="AN190" s="18"/>
    </row>
    <row r="191" spans="2:41" ht="21.9" customHeight="1" x14ac:dyDescent="0.25">
      <c r="B191" s="229"/>
      <c r="C191" s="690"/>
      <c r="D191" s="690"/>
      <c r="E191" s="1325"/>
      <c r="F191" s="114"/>
      <c r="G191" s="114"/>
      <c r="H191" s="695" t="s">
        <v>25</v>
      </c>
      <c r="I191" s="552">
        <f t="shared" ref="I191" si="636">SUM(I189:I190)</f>
        <v>2119462.7663613991</v>
      </c>
      <c r="J191" s="552">
        <f t="shared" ref="J191:AH191" si="637">SUM(J189:J190)</f>
        <v>2351127.6004243176</v>
      </c>
      <c r="K191" s="552">
        <f t="shared" si="637"/>
        <v>2596569.9569036942</v>
      </c>
      <c r="L191" s="552">
        <f t="shared" si="637"/>
        <v>3381617.918296393</v>
      </c>
      <c r="M191" s="552">
        <f t="shared" si="637"/>
        <v>4397795.8166483827</v>
      </c>
      <c r="N191" s="552">
        <f t="shared" si="637"/>
        <v>6731547.6443143506</v>
      </c>
      <c r="O191" s="552">
        <f t="shared" si="637"/>
        <v>14742792.01364743</v>
      </c>
      <c r="P191" s="552">
        <f t="shared" si="637"/>
        <v>16728843.488940801</v>
      </c>
      <c r="Q191" s="552">
        <f t="shared" si="637"/>
        <v>19394284.524578378</v>
      </c>
      <c r="R191" s="552">
        <f t="shared" si="637"/>
        <v>22062989.829258218</v>
      </c>
      <c r="S191" s="552">
        <f t="shared" si="637"/>
        <v>24737792.889053643</v>
      </c>
      <c r="T191" s="552">
        <f t="shared" si="637"/>
        <v>27434955.269195773</v>
      </c>
      <c r="U191" s="552">
        <f t="shared" si="637"/>
        <v>30196393.387930691</v>
      </c>
      <c r="V191" s="552">
        <f t="shared" si="637"/>
        <v>31744595.655490175</v>
      </c>
      <c r="W191" s="552">
        <f t="shared" si="637"/>
        <v>32558653.373443194</v>
      </c>
      <c r="X191" s="552">
        <f t="shared" si="637"/>
        <v>33299458.830181591</v>
      </c>
      <c r="Y191" s="552">
        <f t="shared" si="637"/>
        <v>34068218.209086113</v>
      </c>
      <c r="Z191" s="552">
        <f t="shared" si="637"/>
        <v>34871073.525135204</v>
      </c>
      <c r="AA191" s="552">
        <f t="shared" si="637"/>
        <v>35712358.867860548</v>
      </c>
      <c r="AB191" s="552">
        <f t="shared" si="637"/>
        <v>36600312.340775721</v>
      </c>
      <c r="AC191" s="552">
        <f t="shared" si="637"/>
        <v>37541714.280929685</v>
      </c>
      <c r="AD191" s="552">
        <f t="shared" si="637"/>
        <v>38545775.705760859</v>
      </c>
      <c r="AE191" s="552">
        <f t="shared" si="637"/>
        <v>39624516.684577748</v>
      </c>
      <c r="AF191" s="552">
        <f t="shared" si="637"/>
        <v>40788799.484371454</v>
      </c>
      <c r="AG191" s="552">
        <f t="shared" si="637"/>
        <v>42051836.36946775</v>
      </c>
      <c r="AH191" s="727">
        <f t="shared" si="637"/>
        <v>43431192.898743287</v>
      </c>
      <c r="AI191" s="18"/>
      <c r="AJ191" s="18"/>
      <c r="AK191" s="18"/>
      <c r="AL191" s="18"/>
      <c r="AM191" s="18"/>
      <c r="AN191" s="18"/>
    </row>
    <row r="192" spans="2:41" ht="21.9" customHeight="1" x14ac:dyDescent="0.25">
      <c r="B192" s="229"/>
      <c r="C192" s="690"/>
      <c r="D192" s="690"/>
      <c r="E192" s="1325"/>
      <c r="F192" s="114" t="s">
        <v>318</v>
      </c>
      <c r="G192" s="114" t="s">
        <v>308</v>
      </c>
      <c r="H192" s="114" t="s">
        <v>20</v>
      </c>
      <c r="I192" s="552">
        <f t="shared" ref="I192:AH192" si="638">I128*$D$13</f>
        <v>57925.75442662726</v>
      </c>
      <c r="J192" s="552">
        <f t="shared" si="638"/>
        <v>65623.215159338841</v>
      </c>
      <c r="K192" s="552">
        <f t="shared" si="638"/>
        <v>73325.71834476167</v>
      </c>
      <c r="L192" s="552">
        <f t="shared" si="638"/>
        <v>99397.687801663604</v>
      </c>
      <c r="M192" s="552">
        <f t="shared" si="638"/>
        <v>125613.49282790846</v>
      </c>
      <c r="N192" s="552">
        <f t="shared" si="638"/>
        <v>152843.67879820711</v>
      </c>
      <c r="O192" s="552">
        <f t="shared" si="638"/>
        <v>185073.22926218511</v>
      </c>
      <c r="P192" s="552">
        <f t="shared" si="638"/>
        <v>237431.04147608762</v>
      </c>
      <c r="Q192" s="552">
        <f t="shared" si="638"/>
        <v>486856.52296264865</v>
      </c>
      <c r="R192" s="552">
        <f t="shared" si="638"/>
        <v>651453.06367027643</v>
      </c>
      <c r="S192" s="552">
        <f t="shared" si="638"/>
        <v>743411.78665031423</v>
      </c>
      <c r="T192" s="552">
        <f t="shared" si="638"/>
        <v>835425.27061717119</v>
      </c>
      <c r="U192" s="552">
        <f t="shared" si="638"/>
        <v>927697.96549934405</v>
      </c>
      <c r="V192" s="552">
        <f t="shared" si="638"/>
        <v>978121.91393630649</v>
      </c>
      <c r="W192" s="552">
        <f t="shared" si="638"/>
        <v>996512.28648584569</v>
      </c>
      <c r="X192" s="552">
        <f t="shared" si="638"/>
        <v>1014557.6053677348</v>
      </c>
      <c r="Y192" s="552">
        <f t="shared" si="638"/>
        <v>1032675.7224108533</v>
      </c>
      <c r="Z192" s="552">
        <f t="shared" si="638"/>
        <v>1050890.2243900837</v>
      </c>
      <c r="AA192" s="552">
        <f t="shared" si="638"/>
        <v>1069193.6204269684</v>
      </c>
      <c r="AB192" s="552">
        <f t="shared" si="638"/>
        <v>1087623.8738794581</v>
      </c>
      <c r="AC192" s="552">
        <f t="shared" si="638"/>
        <v>1106178.431346114</v>
      </c>
      <c r="AD192" s="552">
        <f t="shared" si="638"/>
        <v>1124888.8915709006</v>
      </c>
      <c r="AE192" s="552">
        <f t="shared" si="638"/>
        <v>1143791.3413774748</v>
      </c>
      <c r="AF192" s="552">
        <f t="shared" si="638"/>
        <v>1162892.17724207</v>
      </c>
      <c r="AG192" s="552">
        <f t="shared" si="638"/>
        <v>1182232.4798573973</v>
      </c>
      <c r="AH192" s="727">
        <f t="shared" si="638"/>
        <v>1201859.9300728892</v>
      </c>
      <c r="AI192" s="18"/>
      <c r="AJ192" s="18"/>
      <c r="AK192" s="18"/>
      <c r="AL192" s="18"/>
      <c r="AM192" s="18"/>
      <c r="AN192" s="18"/>
    </row>
    <row r="193" spans="2:40" ht="21.9" customHeight="1" x14ac:dyDescent="0.25">
      <c r="B193" s="229"/>
      <c r="C193" s="690"/>
      <c r="D193" s="690"/>
      <c r="E193" s="1325"/>
      <c r="F193" s="114"/>
      <c r="G193" s="114"/>
      <c r="H193" s="122" t="s">
        <v>19</v>
      </c>
      <c r="I193" s="552">
        <f t="shared" ref="I193:AH193" si="639">I129*$D$14</f>
        <v>237139.52991470281</v>
      </c>
      <c r="J193" s="552">
        <f t="shared" si="639"/>
        <v>268651.80347523536</v>
      </c>
      <c r="K193" s="552">
        <f t="shared" si="639"/>
        <v>300184.72009648243</v>
      </c>
      <c r="L193" s="552">
        <f t="shared" si="639"/>
        <v>406919.53334421734</v>
      </c>
      <c r="M193" s="552">
        <f t="shared" si="639"/>
        <v>514243.18828485068</v>
      </c>
      <c r="N193" s="552">
        <f t="shared" si="639"/>
        <v>625719.5698081312</v>
      </c>
      <c r="O193" s="552">
        <f t="shared" si="639"/>
        <v>757662.61521241604</v>
      </c>
      <c r="P193" s="552">
        <f t="shared" si="639"/>
        <v>972007.80758266337</v>
      </c>
      <c r="Q193" s="552">
        <f t="shared" si="639"/>
        <v>1993119.0907061873</v>
      </c>
      <c r="R193" s="552">
        <f t="shared" si="639"/>
        <v>2666953.1507948507</v>
      </c>
      <c r="S193" s="552">
        <f t="shared" si="639"/>
        <v>3043418.6548680831</v>
      </c>
      <c r="T193" s="552">
        <f t="shared" si="639"/>
        <v>3420108.3423775183</v>
      </c>
      <c r="U193" s="552">
        <f t="shared" si="639"/>
        <v>3797859.2012987928</v>
      </c>
      <c r="V193" s="552">
        <f t="shared" si="639"/>
        <v>4004287.4394312925</v>
      </c>
      <c r="W193" s="552">
        <f t="shared" si="639"/>
        <v>4079574.9232892375</v>
      </c>
      <c r="X193" s="552">
        <f t="shared" si="639"/>
        <v>4153449.8081167196</v>
      </c>
      <c r="Y193" s="552">
        <f t="shared" si="639"/>
        <v>4227622.7179229604</v>
      </c>
      <c r="Z193" s="552">
        <f t="shared" si="639"/>
        <v>4302190.2134996699</v>
      </c>
      <c r="AA193" s="552">
        <f t="shared" si="639"/>
        <v>4377121.628290778</v>
      </c>
      <c r="AB193" s="552">
        <f t="shared" si="639"/>
        <v>4452572.3787073009</v>
      </c>
      <c r="AC193" s="552">
        <f t="shared" si="639"/>
        <v>4528532.0114988172</v>
      </c>
      <c r="AD193" s="552">
        <f t="shared" si="639"/>
        <v>4605129.8872815799</v>
      </c>
      <c r="AE193" s="552">
        <f t="shared" si="639"/>
        <v>4682513.7402108535</v>
      </c>
      <c r="AF193" s="552">
        <f t="shared" si="639"/>
        <v>4760709.7565207556</v>
      </c>
      <c r="AG193" s="552">
        <f t="shared" si="639"/>
        <v>4839886.1145329103</v>
      </c>
      <c r="AH193" s="727">
        <f t="shared" si="639"/>
        <v>4920238.0126410592</v>
      </c>
      <c r="AI193" s="18"/>
      <c r="AJ193" s="18"/>
      <c r="AK193" s="18"/>
      <c r="AL193" s="18"/>
      <c r="AM193" s="18"/>
      <c r="AN193" s="18"/>
    </row>
    <row r="194" spans="2:40" ht="21.9" customHeight="1" x14ac:dyDescent="0.25">
      <c r="B194" s="229"/>
      <c r="C194" s="690"/>
      <c r="D194" s="690"/>
      <c r="E194" s="1325"/>
      <c r="F194" s="114"/>
      <c r="G194" s="114"/>
      <c r="H194" s="695" t="s">
        <v>25</v>
      </c>
      <c r="I194" s="552">
        <f t="shared" ref="I194" si="640">SUM(I192:I193)</f>
        <v>295065.28434133006</v>
      </c>
      <c r="J194" s="552">
        <f t="shared" ref="J194:AH194" si="641">SUM(J192:J193)</f>
        <v>334275.0186345742</v>
      </c>
      <c r="K194" s="552">
        <f t="shared" si="641"/>
        <v>373510.43844124407</v>
      </c>
      <c r="L194" s="552">
        <f t="shared" si="641"/>
        <v>506317.22114588093</v>
      </c>
      <c r="M194" s="552">
        <f t="shared" si="641"/>
        <v>639856.68111275916</v>
      </c>
      <c r="N194" s="552">
        <f t="shared" si="641"/>
        <v>778563.24860633828</v>
      </c>
      <c r="O194" s="552">
        <f t="shared" si="641"/>
        <v>942735.84447460109</v>
      </c>
      <c r="P194" s="552">
        <f t="shared" si="641"/>
        <v>1209438.849058751</v>
      </c>
      <c r="Q194" s="552">
        <f t="shared" si="641"/>
        <v>2479975.6136688357</v>
      </c>
      <c r="R194" s="552">
        <f t="shared" si="641"/>
        <v>3318406.2144651273</v>
      </c>
      <c r="S194" s="552">
        <f t="shared" si="641"/>
        <v>3786830.4415183971</v>
      </c>
      <c r="T194" s="552">
        <f t="shared" si="641"/>
        <v>4255533.6129946895</v>
      </c>
      <c r="U194" s="552">
        <f t="shared" si="641"/>
        <v>4725557.1667981371</v>
      </c>
      <c r="V194" s="552">
        <f t="shared" si="641"/>
        <v>4982409.3533675987</v>
      </c>
      <c r="W194" s="552">
        <f t="shared" si="641"/>
        <v>5076087.2097750828</v>
      </c>
      <c r="X194" s="552">
        <f t="shared" si="641"/>
        <v>5168007.4134844542</v>
      </c>
      <c r="Y194" s="552">
        <f t="shared" si="641"/>
        <v>5260298.4403338134</v>
      </c>
      <c r="Z194" s="552">
        <f t="shared" si="641"/>
        <v>5353080.4378897538</v>
      </c>
      <c r="AA194" s="552">
        <f t="shared" si="641"/>
        <v>5446315.2487177467</v>
      </c>
      <c r="AB194" s="552">
        <f t="shared" si="641"/>
        <v>5540196.2525867587</v>
      </c>
      <c r="AC194" s="552">
        <f t="shared" si="641"/>
        <v>5634710.442844931</v>
      </c>
      <c r="AD194" s="552">
        <f t="shared" si="641"/>
        <v>5730018.7788524805</v>
      </c>
      <c r="AE194" s="552">
        <f t="shared" si="641"/>
        <v>5826305.0815883279</v>
      </c>
      <c r="AF194" s="552">
        <f t="shared" si="641"/>
        <v>5923601.933762826</v>
      </c>
      <c r="AG194" s="552">
        <f t="shared" si="641"/>
        <v>6022118.5943903076</v>
      </c>
      <c r="AH194" s="727">
        <f t="shared" si="641"/>
        <v>6122097.942713948</v>
      </c>
      <c r="AI194" s="18"/>
      <c r="AJ194" s="18"/>
      <c r="AK194" s="18"/>
      <c r="AL194" s="18"/>
      <c r="AM194" s="18"/>
      <c r="AN194" s="18"/>
    </row>
    <row r="195" spans="2:40" ht="21.9" customHeight="1" x14ac:dyDescent="0.25">
      <c r="B195" s="229"/>
      <c r="C195" s="690"/>
      <c r="D195" s="690"/>
      <c r="E195" s="1325"/>
      <c r="F195" s="114" t="s">
        <v>308</v>
      </c>
      <c r="G195" s="114" t="s">
        <v>319</v>
      </c>
      <c r="H195" s="114" t="s">
        <v>20</v>
      </c>
      <c r="I195" s="552">
        <f t="shared" ref="I195:AH195" si="642">I131*$D$13</f>
        <v>821962.4809162349</v>
      </c>
      <c r="J195" s="552">
        <f t="shared" si="642"/>
        <v>854484.41595909942</v>
      </c>
      <c r="K195" s="552">
        <f t="shared" si="642"/>
        <v>887973.7549180059</v>
      </c>
      <c r="L195" s="552">
        <f t="shared" si="642"/>
        <v>957135.89703052992</v>
      </c>
      <c r="M195" s="552">
        <f t="shared" si="642"/>
        <v>1035281.6792437756</v>
      </c>
      <c r="N195" s="552">
        <f t="shared" si="642"/>
        <v>1128849.9100350516</v>
      </c>
      <c r="O195" s="552">
        <f t="shared" si="642"/>
        <v>1248219.8333148116</v>
      </c>
      <c r="P195" s="552">
        <f t="shared" si="642"/>
        <v>1409834.76165772</v>
      </c>
      <c r="Q195" s="552">
        <f t="shared" si="642"/>
        <v>1752411.8737930262</v>
      </c>
      <c r="R195" s="552">
        <f t="shared" si="642"/>
        <v>2334348.7654562034</v>
      </c>
      <c r="S195" s="552">
        <f t="shared" si="642"/>
        <v>3139854.0431129253</v>
      </c>
      <c r="T195" s="552">
        <f t="shared" si="642"/>
        <v>3321048.9461927642</v>
      </c>
      <c r="U195" s="552">
        <f t="shared" si="642"/>
        <v>3502415.0517997975</v>
      </c>
      <c r="V195" s="552">
        <f t="shared" si="642"/>
        <v>3620278.1793461544</v>
      </c>
      <c r="W195" s="552">
        <f t="shared" si="642"/>
        <v>3687434.9502689969</v>
      </c>
      <c r="X195" s="552">
        <f t="shared" si="642"/>
        <v>3754581.64129287</v>
      </c>
      <c r="Y195" s="552">
        <f t="shared" si="642"/>
        <v>3821734.6320566693</v>
      </c>
      <c r="Z195" s="552">
        <f t="shared" si="642"/>
        <v>3888937.2573064268</v>
      </c>
      <c r="AA195" s="552">
        <f t="shared" si="642"/>
        <v>3956106.3755730353</v>
      </c>
      <c r="AB195" s="552">
        <f t="shared" si="642"/>
        <v>4023327.8502705712</v>
      </c>
      <c r="AC195" s="552">
        <f t="shared" si="642"/>
        <v>4090518.9894331428</v>
      </c>
      <c r="AD195" s="552">
        <f t="shared" si="642"/>
        <v>4157723.8666980988</v>
      </c>
      <c r="AE195" s="552">
        <f t="shared" si="642"/>
        <v>4224986.9604288703</v>
      </c>
      <c r="AF195" s="552">
        <f t="shared" si="642"/>
        <v>4292226.4048206443</v>
      </c>
      <c r="AG195" s="552">
        <f t="shared" si="642"/>
        <v>4359487.1517931204</v>
      </c>
      <c r="AH195" s="727">
        <f t="shared" si="642"/>
        <v>4426814.7522496022</v>
      </c>
      <c r="AI195" s="18"/>
      <c r="AJ195" s="18"/>
      <c r="AK195" s="18"/>
      <c r="AL195" s="18"/>
      <c r="AM195" s="18"/>
      <c r="AN195" s="18"/>
    </row>
    <row r="196" spans="2:40" ht="21.9" customHeight="1" x14ac:dyDescent="0.25">
      <c r="B196" s="229"/>
      <c r="C196" s="690"/>
      <c r="D196" s="690"/>
      <c r="E196" s="1325"/>
      <c r="F196" s="114"/>
      <c r="G196" s="114"/>
      <c r="H196" s="114" t="s">
        <v>19</v>
      </c>
      <c r="I196" s="552">
        <f t="shared" ref="I196:AH196" si="643">I132*$D$14</f>
        <v>3364993.6588896331</v>
      </c>
      <c r="J196" s="552">
        <f t="shared" si="643"/>
        <v>3498133.6838115398</v>
      </c>
      <c r="K196" s="552">
        <f t="shared" si="643"/>
        <v>3635234.118263864</v>
      </c>
      <c r="L196" s="552">
        <f t="shared" si="643"/>
        <v>3918373.7688528355</v>
      </c>
      <c r="M196" s="552">
        <f t="shared" si="643"/>
        <v>4238291.1224082215</v>
      </c>
      <c r="N196" s="552">
        <f t="shared" si="643"/>
        <v>4621345.715040233</v>
      </c>
      <c r="O196" s="552">
        <f t="shared" si="643"/>
        <v>5110028.6467122305</v>
      </c>
      <c r="P196" s="552">
        <f t="shared" si="643"/>
        <v>5771656.4237484559</v>
      </c>
      <c r="Q196" s="552">
        <f t="shared" si="643"/>
        <v>7174116.7997148205</v>
      </c>
      <c r="R196" s="552">
        <f t="shared" si="643"/>
        <v>9556480.9535357226</v>
      </c>
      <c r="S196" s="552">
        <f t="shared" si="643"/>
        <v>12854101.239677744</v>
      </c>
      <c r="T196" s="552">
        <f t="shared" si="643"/>
        <v>13595886.557186557</v>
      </c>
      <c r="U196" s="552">
        <f t="shared" si="643"/>
        <v>14338372.752693782</v>
      </c>
      <c r="V196" s="552">
        <f t="shared" si="643"/>
        <v>14820887.083966292</v>
      </c>
      <c r="W196" s="552">
        <f t="shared" si="643"/>
        <v>15095817.039473468</v>
      </c>
      <c r="X196" s="552">
        <f t="shared" si="643"/>
        <v>15370705.729354901</v>
      </c>
      <c r="Y196" s="552">
        <f t="shared" si="643"/>
        <v>15645620.209446222</v>
      </c>
      <c r="Z196" s="552">
        <f t="shared" si="643"/>
        <v>15920737.88583225</v>
      </c>
      <c r="AA196" s="552">
        <f t="shared" si="643"/>
        <v>16195718.389551103</v>
      </c>
      <c r="AB196" s="552">
        <f t="shared" si="643"/>
        <v>16470913.232807543</v>
      </c>
      <c r="AC196" s="552">
        <f t="shared" si="643"/>
        <v>16745983.886839824</v>
      </c>
      <c r="AD196" s="552">
        <f t="shared" si="643"/>
        <v>17021110.782645278</v>
      </c>
      <c r="AE196" s="552">
        <f t="shared" si="643"/>
        <v>17296476.00811037</v>
      </c>
      <c r="AF196" s="552">
        <f t="shared" si="643"/>
        <v>17571744.416655455</v>
      </c>
      <c r="AG196" s="552">
        <f t="shared" si="643"/>
        <v>17847100.034836799</v>
      </c>
      <c r="AH196" s="727">
        <f t="shared" si="643"/>
        <v>18122729.341361564</v>
      </c>
      <c r="AI196" s="18"/>
      <c r="AJ196" s="18"/>
      <c r="AK196" s="18"/>
      <c r="AL196" s="18"/>
      <c r="AM196" s="18"/>
      <c r="AN196" s="18"/>
    </row>
    <row r="197" spans="2:40" ht="21.9" customHeight="1" x14ac:dyDescent="0.25">
      <c r="B197" s="229"/>
      <c r="C197" s="690"/>
      <c r="D197" s="690"/>
      <c r="E197" s="1321"/>
      <c r="F197" s="250"/>
      <c r="G197" s="250"/>
      <c r="H197" s="696" t="s">
        <v>25</v>
      </c>
      <c r="I197" s="562">
        <f t="shared" ref="I197" si="644">SUM(I195:I196)</f>
        <v>4186956.1398058683</v>
      </c>
      <c r="J197" s="562">
        <f t="shared" ref="J197:AH197" si="645">SUM(J195:J196)</f>
        <v>4352618.0997706391</v>
      </c>
      <c r="K197" s="562">
        <f t="shared" si="645"/>
        <v>4523207.8731818702</v>
      </c>
      <c r="L197" s="562">
        <f t="shared" si="645"/>
        <v>4875509.6658833651</v>
      </c>
      <c r="M197" s="562">
        <f t="shared" si="645"/>
        <v>5273572.8016519975</v>
      </c>
      <c r="N197" s="562">
        <f t="shared" si="645"/>
        <v>5750195.6250752844</v>
      </c>
      <c r="O197" s="562">
        <f t="shared" si="645"/>
        <v>6358248.4800270423</v>
      </c>
      <c r="P197" s="562">
        <f t="shared" si="645"/>
        <v>7181491.1854061764</v>
      </c>
      <c r="Q197" s="562">
        <f t="shared" si="645"/>
        <v>8926528.6735078469</v>
      </c>
      <c r="R197" s="562">
        <f t="shared" si="645"/>
        <v>11890829.718991926</v>
      </c>
      <c r="S197" s="562">
        <f t="shared" si="645"/>
        <v>15993955.282790668</v>
      </c>
      <c r="T197" s="562">
        <f t="shared" si="645"/>
        <v>16916935.503379323</v>
      </c>
      <c r="U197" s="562">
        <f t="shared" si="645"/>
        <v>17840787.80449358</v>
      </c>
      <c r="V197" s="562">
        <f t="shared" si="645"/>
        <v>18441165.263312448</v>
      </c>
      <c r="W197" s="562">
        <f t="shared" si="645"/>
        <v>18783251.989742465</v>
      </c>
      <c r="X197" s="562">
        <f t="shared" si="645"/>
        <v>19125287.370647773</v>
      </c>
      <c r="Y197" s="562">
        <f t="shared" si="645"/>
        <v>19467354.84150289</v>
      </c>
      <c r="Z197" s="562">
        <f t="shared" si="645"/>
        <v>19809675.143138677</v>
      </c>
      <c r="AA197" s="562">
        <f t="shared" si="645"/>
        <v>20151824.765124138</v>
      </c>
      <c r="AB197" s="562">
        <f t="shared" si="645"/>
        <v>20494241.083078116</v>
      </c>
      <c r="AC197" s="562">
        <f t="shared" si="645"/>
        <v>20836502.876272965</v>
      </c>
      <c r="AD197" s="562">
        <f t="shared" si="645"/>
        <v>21178834.649343375</v>
      </c>
      <c r="AE197" s="562">
        <f t="shared" si="645"/>
        <v>21521462.968539242</v>
      </c>
      <c r="AF197" s="562">
        <f t="shared" si="645"/>
        <v>21863970.821476098</v>
      </c>
      <c r="AG197" s="562">
        <f t="shared" si="645"/>
        <v>22206587.186629921</v>
      </c>
      <c r="AH197" s="729">
        <f t="shared" si="645"/>
        <v>22549544.093611166</v>
      </c>
      <c r="AI197" s="18"/>
      <c r="AJ197" s="18"/>
      <c r="AK197" s="18"/>
      <c r="AL197" s="18"/>
      <c r="AM197" s="18"/>
      <c r="AN197" s="18"/>
    </row>
    <row r="198" spans="2:40" ht="21.9" customHeight="1" x14ac:dyDescent="0.25">
      <c r="B198" s="229"/>
      <c r="C198" s="690"/>
      <c r="D198" s="690"/>
      <c r="E198" s="114" t="s">
        <v>320</v>
      </c>
      <c r="F198" s="114" t="s">
        <v>318</v>
      </c>
      <c r="G198" s="114" t="s">
        <v>308</v>
      </c>
      <c r="H198" s="114" t="s">
        <v>20</v>
      </c>
      <c r="I198" s="552">
        <f t="shared" ref="I198:AH198" si="646">I134*$D$13</f>
        <v>5532.1917241379297</v>
      </c>
      <c r="J198" s="552">
        <f t="shared" si="646"/>
        <v>8956.6184013793099</v>
      </c>
      <c r="K198" s="552">
        <f t="shared" si="646"/>
        <v>25553.193573793098</v>
      </c>
      <c r="L198" s="552">
        <f t="shared" si="646"/>
        <v>54027.384377931041</v>
      </c>
      <c r="M198" s="552">
        <f t="shared" si="646"/>
        <v>82523.703948965558</v>
      </c>
      <c r="N198" s="552">
        <f t="shared" si="646"/>
        <v>111008.95913655311</v>
      </c>
      <c r="O198" s="552">
        <f t="shared" si="646"/>
        <v>139483.14994070647</v>
      </c>
      <c r="P198" s="552">
        <f t="shared" si="646"/>
        <v>168001.59827875064</v>
      </c>
      <c r="Q198" s="552">
        <f t="shared" si="646"/>
        <v>183320.23716309795</v>
      </c>
      <c r="R198" s="552">
        <f t="shared" si="646"/>
        <v>198661.00481461437</v>
      </c>
      <c r="S198" s="552">
        <f t="shared" si="646"/>
        <v>213985.17589151504</v>
      </c>
      <c r="T198" s="552">
        <f t="shared" si="646"/>
        <v>229303.81477777229</v>
      </c>
      <c r="U198" s="552">
        <f t="shared" si="646"/>
        <v>244661.1790081186</v>
      </c>
      <c r="V198" s="552">
        <f t="shared" si="646"/>
        <v>248085.60568670122</v>
      </c>
      <c r="W198" s="552">
        <f t="shared" si="646"/>
        <v>251510.03236548242</v>
      </c>
      <c r="X198" s="552">
        <f t="shared" si="646"/>
        <v>254934.45904448797</v>
      </c>
      <c r="Y198" s="552">
        <f t="shared" si="646"/>
        <v>258358.88572374725</v>
      </c>
      <c r="Z198" s="552">
        <f t="shared" si="646"/>
        <v>261799.90897847683</v>
      </c>
      <c r="AA198" s="552">
        <f t="shared" si="646"/>
        <v>265224.33565834572</v>
      </c>
      <c r="AB198" s="552">
        <f t="shared" si="646"/>
        <v>268665.35891376442</v>
      </c>
      <c r="AC198" s="552">
        <f t="shared" si="646"/>
        <v>272089.78559440374</v>
      </c>
      <c r="AD198" s="552">
        <f t="shared" si="646"/>
        <v>275514.21227549872</v>
      </c>
      <c r="AE198" s="552">
        <f t="shared" si="646"/>
        <v>278955.23553229863</v>
      </c>
      <c r="AF198" s="552">
        <f t="shared" si="646"/>
        <v>282379.66221447638</v>
      </c>
      <c r="AG198" s="552">
        <f t="shared" si="646"/>
        <v>285804.08889729058</v>
      </c>
      <c r="AH198" s="727">
        <f t="shared" si="646"/>
        <v>289245.11215601879</v>
      </c>
      <c r="AI198" s="18"/>
      <c r="AJ198" s="18"/>
      <c r="AK198" s="18"/>
      <c r="AL198" s="18"/>
      <c r="AM198" s="18"/>
      <c r="AN198" s="18"/>
    </row>
    <row r="199" spans="2:40" ht="21.9" customHeight="1" x14ac:dyDescent="0.25">
      <c r="B199" s="229"/>
      <c r="C199" s="690"/>
      <c r="D199" s="690"/>
      <c r="E199" s="114"/>
      <c r="F199" s="114"/>
      <c r="G199" s="114"/>
      <c r="H199" s="122" t="s">
        <v>19</v>
      </c>
      <c r="I199" s="552">
        <f t="shared" ref="I199:AH199" si="647">I135*$D$14</f>
        <v>22647.9802955665</v>
      </c>
      <c r="J199" s="552">
        <f t="shared" si="647"/>
        <v>36667.080098522165</v>
      </c>
      <c r="K199" s="552">
        <f t="shared" si="647"/>
        <v>104611.02098522165</v>
      </c>
      <c r="L199" s="552">
        <f t="shared" si="647"/>
        <v>221180.17556650247</v>
      </c>
      <c r="M199" s="552">
        <f t="shared" si="647"/>
        <v>337839.92206896568</v>
      </c>
      <c r="N199" s="552">
        <f t="shared" si="647"/>
        <v>454454.37261084304</v>
      </c>
      <c r="O199" s="552">
        <f t="shared" si="647"/>
        <v>571023.52719218703</v>
      </c>
      <c r="P199" s="552">
        <f t="shared" si="647"/>
        <v>687773.8656162956</v>
      </c>
      <c r="Q199" s="552">
        <f t="shared" si="647"/>
        <v>750486.12305557623</v>
      </c>
      <c r="R199" s="552">
        <f t="shared" si="647"/>
        <v>813288.97241715528</v>
      </c>
      <c r="S199" s="552">
        <f t="shared" si="647"/>
        <v>876023.8778401264</v>
      </c>
      <c r="T199" s="552">
        <f t="shared" si="647"/>
        <v>938736.13528722618</v>
      </c>
      <c r="U199" s="552">
        <f t="shared" si="647"/>
        <v>1001606.928604665</v>
      </c>
      <c r="V199" s="552">
        <f t="shared" si="647"/>
        <v>1015626.0284131115</v>
      </c>
      <c r="W199" s="552">
        <f t="shared" si="647"/>
        <v>1029645.128222371</v>
      </c>
      <c r="X199" s="552">
        <f t="shared" si="647"/>
        <v>1043664.2280325488</v>
      </c>
      <c r="Y199" s="552">
        <f t="shared" si="647"/>
        <v>1057683.3278437655</v>
      </c>
      <c r="Z199" s="552">
        <f t="shared" si="647"/>
        <v>1071770.3715970884</v>
      </c>
      <c r="AA199" s="552">
        <f t="shared" si="647"/>
        <v>1085789.4714108005</v>
      </c>
      <c r="AB199" s="552">
        <f t="shared" si="647"/>
        <v>1099876.5151669446</v>
      </c>
      <c r="AC199" s="552">
        <f t="shared" si="647"/>
        <v>1113895.614983811</v>
      </c>
      <c r="AD199" s="552">
        <f t="shared" si="647"/>
        <v>1127914.7148025427</v>
      </c>
      <c r="AE199" s="552">
        <f t="shared" si="647"/>
        <v>1142001.7585643411</v>
      </c>
      <c r="AF199" s="552">
        <f t="shared" si="647"/>
        <v>1156020.8583875056</v>
      </c>
      <c r="AG199" s="552">
        <f t="shared" si="647"/>
        <v>1170039.9582132755</v>
      </c>
      <c r="AH199" s="727">
        <f t="shared" si="647"/>
        <v>1184127.0019829683</v>
      </c>
      <c r="AI199" s="18"/>
      <c r="AJ199" s="18"/>
      <c r="AK199" s="18"/>
      <c r="AL199" s="18"/>
      <c r="AM199" s="18"/>
      <c r="AN199" s="18"/>
    </row>
    <row r="200" spans="2:40" ht="21.9" customHeight="1" x14ac:dyDescent="0.25">
      <c r="B200" s="229"/>
      <c r="C200" s="690"/>
      <c r="D200" s="690"/>
      <c r="E200" s="114"/>
      <c r="F200" s="114"/>
      <c r="G200" s="114"/>
      <c r="H200" s="696" t="s">
        <v>25</v>
      </c>
      <c r="I200" s="552">
        <f t="shared" ref="I200" si="648">SUM(I198:I199)</f>
        <v>28180.172019704431</v>
      </c>
      <c r="J200" s="552">
        <f t="shared" ref="J200:AH200" si="649">SUM(J198:J199)</f>
        <v>45623.698499901475</v>
      </c>
      <c r="K200" s="552">
        <f t="shared" si="649"/>
        <v>130164.21455901474</v>
      </c>
      <c r="L200" s="552">
        <f t="shared" si="649"/>
        <v>275207.55994443351</v>
      </c>
      <c r="M200" s="552">
        <f t="shared" si="649"/>
        <v>420363.62601793127</v>
      </c>
      <c r="N200" s="552">
        <f t="shared" si="649"/>
        <v>565463.33174739615</v>
      </c>
      <c r="O200" s="552">
        <f t="shared" si="649"/>
        <v>710506.67713289347</v>
      </c>
      <c r="P200" s="552">
        <f t="shared" si="649"/>
        <v>855775.46389504627</v>
      </c>
      <c r="Q200" s="552">
        <f t="shared" si="649"/>
        <v>933806.36021867418</v>
      </c>
      <c r="R200" s="552">
        <f t="shared" si="649"/>
        <v>1011949.9772317696</v>
      </c>
      <c r="S200" s="552">
        <f t="shared" si="649"/>
        <v>1090009.0537316415</v>
      </c>
      <c r="T200" s="552">
        <f t="shared" si="649"/>
        <v>1168039.9500649986</v>
      </c>
      <c r="U200" s="552">
        <f t="shared" si="649"/>
        <v>1246268.1076127836</v>
      </c>
      <c r="V200" s="552">
        <f t="shared" si="649"/>
        <v>1263711.6340998127</v>
      </c>
      <c r="W200" s="552">
        <f t="shared" si="649"/>
        <v>1281155.1605878533</v>
      </c>
      <c r="X200" s="552">
        <f t="shared" si="649"/>
        <v>1298598.6870770368</v>
      </c>
      <c r="Y200" s="552">
        <f t="shared" si="649"/>
        <v>1316042.2135675128</v>
      </c>
      <c r="Z200" s="552">
        <f t="shared" si="649"/>
        <v>1333570.2805755653</v>
      </c>
      <c r="AA200" s="552">
        <f t="shared" si="649"/>
        <v>1351013.8070691461</v>
      </c>
      <c r="AB200" s="552">
        <f t="shared" si="649"/>
        <v>1368541.8740807089</v>
      </c>
      <c r="AC200" s="552">
        <f t="shared" si="649"/>
        <v>1385985.4005782148</v>
      </c>
      <c r="AD200" s="552">
        <f t="shared" si="649"/>
        <v>1403428.9270780415</v>
      </c>
      <c r="AE200" s="552">
        <f t="shared" si="649"/>
        <v>1420956.9940966398</v>
      </c>
      <c r="AF200" s="552">
        <f t="shared" si="649"/>
        <v>1438400.520601982</v>
      </c>
      <c r="AG200" s="552">
        <f t="shared" si="649"/>
        <v>1455844.0471105662</v>
      </c>
      <c r="AH200" s="727">
        <f t="shared" si="649"/>
        <v>1473372.1141389871</v>
      </c>
      <c r="AI200" s="18"/>
      <c r="AJ200" s="18"/>
      <c r="AK200" s="18"/>
      <c r="AL200" s="18"/>
      <c r="AM200" s="18"/>
      <c r="AN200" s="18"/>
    </row>
    <row r="201" spans="2:40" ht="21.9" customHeight="1" x14ac:dyDescent="0.25">
      <c r="B201" s="229"/>
      <c r="C201" s="690"/>
      <c r="D201" s="690"/>
      <c r="E201" s="1325" t="s">
        <v>308</v>
      </c>
      <c r="F201" s="217" t="s">
        <v>276</v>
      </c>
      <c r="G201" s="217" t="s">
        <v>320</v>
      </c>
      <c r="H201" s="114" t="s">
        <v>20</v>
      </c>
      <c r="I201" s="552">
        <f t="shared" ref="I201:AH201" si="650">I137*$D$13</f>
        <v>15890.337931034483</v>
      </c>
      <c r="J201" s="552">
        <f t="shared" si="650"/>
        <v>15890.337931034483</v>
      </c>
      <c r="K201" s="552">
        <f t="shared" si="650"/>
        <v>185932.84423231403</v>
      </c>
      <c r="L201" s="552">
        <f t="shared" si="650"/>
        <v>355975.47863013175</v>
      </c>
      <c r="M201" s="552">
        <f t="shared" si="650"/>
        <v>526170.30819341692</v>
      </c>
      <c r="N201" s="552">
        <f t="shared" si="650"/>
        <v>696408.82389411877</v>
      </c>
      <c r="O201" s="552">
        <f t="shared" si="650"/>
        <v>868519.18931881373</v>
      </c>
      <c r="P201" s="552">
        <f t="shared" si="650"/>
        <v>1052782.6785125758</v>
      </c>
      <c r="Q201" s="552">
        <f t="shared" si="650"/>
        <v>1052782.8846964871</v>
      </c>
      <c r="R201" s="552">
        <f t="shared" si="650"/>
        <v>1052782.8846964871</v>
      </c>
      <c r="S201" s="552">
        <f t="shared" si="650"/>
        <v>1052782.8846964871</v>
      </c>
      <c r="T201" s="552">
        <f t="shared" si="650"/>
        <v>1052782.8846964871</v>
      </c>
      <c r="U201" s="552">
        <f t="shared" si="650"/>
        <v>1052782.8846964871</v>
      </c>
      <c r="V201" s="552">
        <f t="shared" si="650"/>
        <v>1052782.8846964871</v>
      </c>
      <c r="W201" s="552">
        <f t="shared" si="650"/>
        <v>1052782.8846964871</v>
      </c>
      <c r="X201" s="552">
        <f t="shared" si="650"/>
        <v>1052782.8846964871</v>
      </c>
      <c r="Y201" s="552">
        <f t="shared" si="650"/>
        <v>1052782.8846964871</v>
      </c>
      <c r="Z201" s="552">
        <f t="shared" si="650"/>
        <v>1052782.8846964871</v>
      </c>
      <c r="AA201" s="552">
        <f t="shared" si="650"/>
        <v>1052782.8846964871</v>
      </c>
      <c r="AB201" s="552">
        <f t="shared" si="650"/>
        <v>1052782.8846964871</v>
      </c>
      <c r="AC201" s="552">
        <f t="shared" si="650"/>
        <v>1052782.8846964871</v>
      </c>
      <c r="AD201" s="552">
        <f t="shared" si="650"/>
        <v>1052782.8846964871</v>
      </c>
      <c r="AE201" s="552">
        <f t="shared" si="650"/>
        <v>1052782.8846964871</v>
      </c>
      <c r="AF201" s="552">
        <f t="shared" si="650"/>
        <v>1052782.8846964871</v>
      </c>
      <c r="AG201" s="552">
        <f t="shared" si="650"/>
        <v>1052782.8846964871</v>
      </c>
      <c r="AH201" s="727">
        <f t="shared" si="650"/>
        <v>1052782.8846964871</v>
      </c>
      <c r="AI201" s="18"/>
      <c r="AJ201" s="18"/>
      <c r="AK201" s="18"/>
      <c r="AL201" s="18"/>
      <c r="AM201" s="18"/>
      <c r="AN201" s="18"/>
    </row>
    <row r="202" spans="2:40" ht="21.9" customHeight="1" x14ac:dyDescent="0.25">
      <c r="B202" s="229"/>
      <c r="C202" s="690"/>
      <c r="D202" s="690"/>
      <c r="E202" s="1325"/>
      <c r="F202" s="114"/>
      <c r="G202" s="114"/>
      <c r="H202" s="122" t="s">
        <v>19</v>
      </c>
      <c r="I202" s="552">
        <f t="shared" ref="I202:AH202" si="651">I138*$D$14</f>
        <v>65052.709359605913</v>
      </c>
      <c r="J202" s="552">
        <f t="shared" si="651"/>
        <v>65052.709359605913</v>
      </c>
      <c r="K202" s="552">
        <f t="shared" si="651"/>
        <v>761181.75263137242</v>
      </c>
      <c r="L202" s="552">
        <f t="shared" si="651"/>
        <v>1457311.3203115501</v>
      </c>
      <c r="M202" s="552">
        <f t="shared" si="651"/>
        <v>2154063.9526432194</v>
      </c>
      <c r="N202" s="552">
        <f t="shared" si="651"/>
        <v>2850995.4296044214</v>
      </c>
      <c r="O202" s="552">
        <f t="shared" si="651"/>
        <v>3555589.9843798438</v>
      </c>
      <c r="P202" s="552">
        <f t="shared" si="651"/>
        <v>4309937.6426947685</v>
      </c>
      <c r="Q202" s="552">
        <f t="shared" si="651"/>
        <v>4309938.4867814146</v>
      </c>
      <c r="R202" s="552">
        <f t="shared" si="651"/>
        <v>4309938.4867814146</v>
      </c>
      <c r="S202" s="552">
        <f t="shared" si="651"/>
        <v>4309938.4867814146</v>
      </c>
      <c r="T202" s="552">
        <f t="shared" si="651"/>
        <v>4309938.4867814146</v>
      </c>
      <c r="U202" s="552">
        <f t="shared" si="651"/>
        <v>4309938.4867814146</v>
      </c>
      <c r="V202" s="552">
        <f t="shared" si="651"/>
        <v>4309938.4867814146</v>
      </c>
      <c r="W202" s="552">
        <f t="shared" si="651"/>
        <v>4309938.4867814146</v>
      </c>
      <c r="X202" s="552">
        <f t="shared" si="651"/>
        <v>4309938.4867814146</v>
      </c>
      <c r="Y202" s="552">
        <f t="shared" si="651"/>
        <v>4309938.4867814146</v>
      </c>
      <c r="Z202" s="552">
        <f t="shared" si="651"/>
        <v>4309938.4867814146</v>
      </c>
      <c r="AA202" s="552">
        <f t="shared" si="651"/>
        <v>4309938.4867814146</v>
      </c>
      <c r="AB202" s="552">
        <f t="shared" si="651"/>
        <v>4309938.4867814146</v>
      </c>
      <c r="AC202" s="552">
        <f t="shared" si="651"/>
        <v>4309938.4867814146</v>
      </c>
      <c r="AD202" s="552">
        <f t="shared" si="651"/>
        <v>4309938.4867814146</v>
      </c>
      <c r="AE202" s="552">
        <f t="shared" si="651"/>
        <v>4309938.4867814146</v>
      </c>
      <c r="AF202" s="552">
        <f t="shared" si="651"/>
        <v>4309938.4867814146</v>
      </c>
      <c r="AG202" s="552">
        <f t="shared" si="651"/>
        <v>4309938.4867814146</v>
      </c>
      <c r="AH202" s="727">
        <f t="shared" si="651"/>
        <v>4309938.4867814146</v>
      </c>
      <c r="AI202" s="18"/>
      <c r="AJ202" s="18"/>
      <c r="AK202" s="18"/>
      <c r="AL202" s="18"/>
      <c r="AM202" s="18"/>
      <c r="AN202" s="18"/>
    </row>
    <row r="203" spans="2:40" ht="21.9" customHeight="1" x14ac:dyDescent="0.25">
      <c r="B203" s="229"/>
      <c r="C203" s="690"/>
      <c r="D203" s="690"/>
      <c r="E203" s="1325"/>
      <c r="F203" s="114"/>
      <c r="G203" s="114"/>
      <c r="H203" s="695" t="s">
        <v>25</v>
      </c>
      <c r="I203" s="552">
        <f t="shared" ref="I203" si="652">SUM(I201:I202)</f>
        <v>80943.047290640388</v>
      </c>
      <c r="J203" s="552">
        <f t="shared" ref="J203:AH203" si="653">SUM(J201:J202)</f>
        <v>80943.047290640388</v>
      </c>
      <c r="K203" s="552">
        <f t="shared" si="653"/>
        <v>947114.59686368646</v>
      </c>
      <c r="L203" s="552">
        <f t="shared" si="653"/>
        <v>1813286.7989416819</v>
      </c>
      <c r="M203" s="552">
        <f t="shared" si="653"/>
        <v>2680234.2608366362</v>
      </c>
      <c r="N203" s="552">
        <f t="shared" si="653"/>
        <v>3547404.2534985403</v>
      </c>
      <c r="O203" s="552">
        <f t="shared" si="653"/>
        <v>4424109.1736986572</v>
      </c>
      <c r="P203" s="552">
        <f t="shared" si="653"/>
        <v>5362720.3212073445</v>
      </c>
      <c r="Q203" s="552">
        <f t="shared" si="653"/>
        <v>5362721.3714779019</v>
      </c>
      <c r="R203" s="552">
        <f t="shared" si="653"/>
        <v>5362721.3714779019</v>
      </c>
      <c r="S203" s="552">
        <f t="shared" si="653"/>
        <v>5362721.3714779019</v>
      </c>
      <c r="T203" s="552">
        <f t="shared" si="653"/>
        <v>5362721.3714779019</v>
      </c>
      <c r="U203" s="552">
        <f t="shared" si="653"/>
        <v>5362721.3714779019</v>
      </c>
      <c r="V203" s="552">
        <f t="shared" si="653"/>
        <v>5362721.3714779019</v>
      </c>
      <c r="W203" s="552">
        <f t="shared" si="653"/>
        <v>5362721.3714779019</v>
      </c>
      <c r="X203" s="552">
        <f t="shared" si="653"/>
        <v>5362721.3714779019</v>
      </c>
      <c r="Y203" s="552">
        <f t="shared" si="653"/>
        <v>5362721.3714779019</v>
      </c>
      <c r="Z203" s="552">
        <f t="shared" si="653"/>
        <v>5362721.3714779019</v>
      </c>
      <c r="AA203" s="552">
        <f t="shared" si="653"/>
        <v>5362721.3714779019</v>
      </c>
      <c r="AB203" s="552">
        <f t="shared" si="653"/>
        <v>5362721.3714779019</v>
      </c>
      <c r="AC203" s="552">
        <f t="shared" si="653"/>
        <v>5362721.3714779019</v>
      </c>
      <c r="AD203" s="552">
        <f t="shared" si="653"/>
        <v>5362721.3714779019</v>
      </c>
      <c r="AE203" s="552">
        <f t="shared" si="653"/>
        <v>5362721.3714779019</v>
      </c>
      <c r="AF203" s="552">
        <f t="shared" si="653"/>
        <v>5362721.3714779019</v>
      </c>
      <c r="AG203" s="552">
        <f t="shared" si="653"/>
        <v>5362721.3714779019</v>
      </c>
      <c r="AH203" s="727">
        <f t="shared" si="653"/>
        <v>5362721.3714779019</v>
      </c>
      <c r="AI203" s="18"/>
      <c r="AJ203" s="18"/>
      <c r="AK203" s="18"/>
      <c r="AL203" s="18"/>
      <c r="AM203" s="18"/>
      <c r="AN203" s="18"/>
    </row>
    <row r="204" spans="2:40" ht="21.9" customHeight="1" x14ac:dyDescent="0.25">
      <c r="B204" s="229"/>
      <c r="C204" s="690"/>
      <c r="D204" s="690"/>
      <c r="E204" s="1325"/>
      <c r="F204" s="114" t="s">
        <v>320</v>
      </c>
      <c r="G204" s="114" t="s">
        <v>282</v>
      </c>
      <c r="H204" s="114" t="s">
        <v>20</v>
      </c>
      <c r="I204" s="552">
        <f t="shared" ref="I204:AH204" si="654">I140*$D$13</f>
        <v>3988.8687696476968</v>
      </c>
      <c r="J204" s="552">
        <f t="shared" si="654"/>
        <v>7578.850662330764</v>
      </c>
      <c r="K204" s="552">
        <f t="shared" si="654"/>
        <v>11168.832555023499</v>
      </c>
      <c r="L204" s="552">
        <f t="shared" si="654"/>
        <v>24295.837102837577</v>
      </c>
      <c r="M204" s="552">
        <f t="shared" si="654"/>
        <v>37404.716239920679</v>
      </c>
      <c r="N204" s="552">
        <f t="shared" si="654"/>
        <v>50550.008443533974</v>
      </c>
      <c r="O204" s="552">
        <f t="shared" si="654"/>
        <v>63678.908624633776</v>
      </c>
      <c r="P204" s="552">
        <f t="shared" si="654"/>
        <v>76820.031340542002</v>
      </c>
      <c r="Q204" s="552">
        <f t="shared" si="654"/>
        <v>99914.207518264186</v>
      </c>
      <c r="R204" s="552">
        <f t="shared" si="654"/>
        <v>125174.32494154343</v>
      </c>
      <c r="S204" s="552">
        <f t="shared" si="654"/>
        <v>163151.89660893934</v>
      </c>
      <c r="T204" s="552">
        <f t="shared" si="654"/>
        <v>257251.07319543877</v>
      </c>
      <c r="U204" s="552">
        <f t="shared" si="654"/>
        <v>552832.33402621211</v>
      </c>
      <c r="V204" s="552">
        <f t="shared" si="654"/>
        <v>631503.82657603314</v>
      </c>
      <c r="W204" s="552">
        <f t="shared" si="654"/>
        <v>642556.09765887901</v>
      </c>
      <c r="X204" s="552">
        <f t="shared" si="654"/>
        <v>653661.07063072233</v>
      </c>
      <c r="Y204" s="552">
        <f t="shared" si="654"/>
        <v>664766.51741019019</v>
      </c>
      <c r="Z204" s="552">
        <f t="shared" si="654"/>
        <v>675872.50472891179</v>
      </c>
      <c r="AA204" s="552">
        <f t="shared" si="654"/>
        <v>686979.12088145618</v>
      </c>
      <c r="AB204" s="552">
        <f t="shared" si="654"/>
        <v>698086.46675783116</v>
      </c>
      <c r="AC204" s="552">
        <f t="shared" si="654"/>
        <v>709194.65738858399</v>
      </c>
      <c r="AD204" s="552">
        <f t="shared" si="654"/>
        <v>720303.82364961167</v>
      </c>
      <c r="AE204" s="552">
        <f t="shared" si="654"/>
        <v>731358.03700196894</v>
      </c>
      <c r="AF204" s="552">
        <f t="shared" si="654"/>
        <v>742469.57458618109</v>
      </c>
      <c r="AG204" s="552">
        <f t="shared" si="654"/>
        <v>753582.63275046786</v>
      </c>
      <c r="AH204" s="727">
        <f t="shared" si="654"/>
        <v>764697.387819511</v>
      </c>
      <c r="AI204" s="18"/>
      <c r="AJ204" s="18"/>
      <c r="AK204" s="18"/>
      <c r="AL204" s="18"/>
      <c r="AM204" s="18"/>
      <c r="AN204" s="18"/>
    </row>
    <row r="205" spans="2:40" ht="21.9" customHeight="1" x14ac:dyDescent="0.25">
      <c r="B205" s="229"/>
      <c r="C205" s="690"/>
      <c r="D205" s="690"/>
      <c r="E205" s="1325"/>
      <c r="F205" s="114"/>
      <c r="G205" s="114"/>
      <c r="H205" s="122" t="s">
        <v>19</v>
      </c>
      <c r="I205" s="552">
        <f t="shared" ref="I205:AH205" si="655">I141*$D$14</f>
        <v>16329.842818428186</v>
      </c>
      <c r="J205" s="552">
        <f t="shared" si="655"/>
        <v>31026.701355014127</v>
      </c>
      <c r="K205" s="552">
        <f t="shared" si="655"/>
        <v>45723.559891639648</v>
      </c>
      <c r="L205" s="552">
        <f t="shared" si="655"/>
        <v>99463.588286088096</v>
      </c>
      <c r="M205" s="552">
        <f t="shared" si="655"/>
        <v>153129.41391144358</v>
      </c>
      <c r="N205" s="552">
        <f t="shared" si="655"/>
        <v>206944.3092824622</v>
      </c>
      <c r="O205" s="552">
        <f t="shared" si="655"/>
        <v>260692.09812113302</v>
      </c>
      <c r="P205" s="552">
        <f t="shared" si="655"/>
        <v>314489.92422194267</v>
      </c>
      <c r="Q205" s="552">
        <f t="shared" si="655"/>
        <v>409034.08919245395</v>
      </c>
      <c r="R205" s="552">
        <f t="shared" si="655"/>
        <v>512445.29946739634</v>
      </c>
      <c r="S205" s="552">
        <f t="shared" si="655"/>
        <v>667919.89935225085</v>
      </c>
      <c r="T205" s="552">
        <f t="shared" si="655"/>
        <v>1053148.1060793351</v>
      </c>
      <c r="U205" s="552">
        <f t="shared" si="655"/>
        <v>2263214.3700205432</v>
      </c>
      <c r="V205" s="552">
        <f t="shared" si="655"/>
        <v>2585283.9044723343</v>
      </c>
      <c r="W205" s="552">
        <f t="shared" si="655"/>
        <v>2630530.2788185808</v>
      </c>
      <c r="X205" s="552">
        <f t="shared" si="655"/>
        <v>2675992.4069570075</v>
      </c>
      <c r="Y205" s="552">
        <f t="shared" si="655"/>
        <v>2721456.4747942532</v>
      </c>
      <c r="Z205" s="552">
        <f t="shared" si="655"/>
        <v>2766922.7555198027</v>
      </c>
      <c r="AA205" s="552">
        <f t="shared" si="655"/>
        <v>2812391.6105986536</v>
      </c>
      <c r="AB205" s="552">
        <f t="shared" si="655"/>
        <v>2857863.453059678</v>
      </c>
      <c r="AC205" s="552">
        <f t="shared" si="655"/>
        <v>2903338.7538210386</v>
      </c>
      <c r="AD205" s="552">
        <f t="shared" si="655"/>
        <v>2948818.0486694355</v>
      </c>
      <c r="AE205" s="552">
        <f t="shared" si="655"/>
        <v>2994072.374381762</v>
      </c>
      <c r="AF205" s="552">
        <f t="shared" si="655"/>
        <v>3039561.3770789523</v>
      </c>
      <c r="AG205" s="552">
        <f t="shared" si="655"/>
        <v>3085056.6048076102</v>
      </c>
      <c r="AH205" s="727">
        <f t="shared" si="655"/>
        <v>3130558.7794150822</v>
      </c>
      <c r="AI205" s="18"/>
      <c r="AJ205" s="18"/>
      <c r="AK205" s="18"/>
      <c r="AL205" s="18"/>
      <c r="AM205" s="18"/>
      <c r="AN205" s="18"/>
    </row>
    <row r="206" spans="2:40" ht="21.9" customHeight="1" x14ac:dyDescent="0.25">
      <c r="B206" s="229"/>
      <c r="C206" s="690"/>
      <c r="D206" s="690"/>
      <c r="E206" s="1325"/>
      <c r="F206" s="114"/>
      <c r="G206" s="114"/>
      <c r="H206" s="695" t="s">
        <v>25</v>
      </c>
      <c r="I206" s="552">
        <f t="shared" ref="I206" si="656">SUM(I204:I205)</f>
        <v>20318.711588075883</v>
      </c>
      <c r="J206" s="552">
        <f t="shared" ref="J206:AH206" si="657">SUM(J204:J205)</f>
        <v>38605.552017344889</v>
      </c>
      <c r="K206" s="552">
        <f t="shared" si="657"/>
        <v>56892.392446663143</v>
      </c>
      <c r="L206" s="552">
        <f t="shared" si="657"/>
        <v>123759.42538892568</v>
      </c>
      <c r="M206" s="552">
        <f t="shared" si="657"/>
        <v>190534.13015136425</v>
      </c>
      <c r="N206" s="552">
        <f t="shared" si="657"/>
        <v>257494.31772599617</v>
      </c>
      <c r="O206" s="552">
        <f t="shared" si="657"/>
        <v>324371.00674576679</v>
      </c>
      <c r="P206" s="552">
        <f t="shared" si="657"/>
        <v>391309.95556248468</v>
      </c>
      <c r="Q206" s="552">
        <f t="shared" si="657"/>
        <v>508948.29671071813</v>
      </c>
      <c r="R206" s="552">
        <f t="shared" si="657"/>
        <v>637619.62440893974</v>
      </c>
      <c r="S206" s="552">
        <f t="shared" si="657"/>
        <v>831071.79596119025</v>
      </c>
      <c r="T206" s="552">
        <f t="shared" si="657"/>
        <v>1310399.1792747739</v>
      </c>
      <c r="U206" s="552">
        <f t="shared" si="657"/>
        <v>2816046.7040467551</v>
      </c>
      <c r="V206" s="552">
        <f t="shared" si="657"/>
        <v>3216787.7310483675</v>
      </c>
      <c r="W206" s="552">
        <f t="shared" si="657"/>
        <v>3273086.3764774599</v>
      </c>
      <c r="X206" s="552">
        <f t="shared" si="657"/>
        <v>3329653.4775877297</v>
      </c>
      <c r="Y206" s="552">
        <f t="shared" si="657"/>
        <v>3386222.9922044436</v>
      </c>
      <c r="Z206" s="552">
        <f t="shared" si="657"/>
        <v>3442795.2602487146</v>
      </c>
      <c r="AA206" s="552">
        <f t="shared" si="657"/>
        <v>3499370.7314801095</v>
      </c>
      <c r="AB206" s="552">
        <f t="shared" si="657"/>
        <v>3555949.9198175091</v>
      </c>
      <c r="AC206" s="552">
        <f t="shared" si="657"/>
        <v>3612533.4112096224</v>
      </c>
      <c r="AD206" s="552">
        <f t="shared" si="657"/>
        <v>3669121.8723190473</v>
      </c>
      <c r="AE206" s="552">
        <f t="shared" si="657"/>
        <v>3725430.4113837308</v>
      </c>
      <c r="AF206" s="552">
        <f t="shared" si="657"/>
        <v>3782030.9516651332</v>
      </c>
      <c r="AG206" s="552">
        <f t="shared" si="657"/>
        <v>3838639.237558078</v>
      </c>
      <c r="AH206" s="727">
        <f t="shared" si="657"/>
        <v>3895256.1672345931</v>
      </c>
      <c r="AI206" s="18"/>
      <c r="AJ206" s="18"/>
      <c r="AK206" s="18"/>
      <c r="AL206" s="18"/>
      <c r="AM206" s="18"/>
      <c r="AN206" s="18"/>
    </row>
    <row r="207" spans="2:40" ht="21.9" customHeight="1" x14ac:dyDescent="0.25">
      <c r="B207" s="229"/>
      <c r="C207" s="690"/>
      <c r="D207" s="690"/>
      <c r="E207" s="1325"/>
      <c r="F207" s="114" t="s">
        <v>282</v>
      </c>
      <c r="G207" s="114" t="s">
        <v>321</v>
      </c>
      <c r="H207" s="114" t="s">
        <v>20</v>
      </c>
      <c r="I207" s="552">
        <f t="shared" ref="I207:AH207" si="658">I143*$D$13</f>
        <v>12732.031240875913</v>
      </c>
      <c r="J207" s="552">
        <f t="shared" si="658"/>
        <v>24185.342144126524</v>
      </c>
      <c r="K207" s="552">
        <f t="shared" si="658"/>
        <v>35634.833438004869</v>
      </c>
      <c r="L207" s="552">
        <f t="shared" si="658"/>
        <v>77521.943017363345</v>
      </c>
      <c r="M207" s="552">
        <f t="shared" si="658"/>
        <v>119410.75020097953</v>
      </c>
      <c r="N207" s="552">
        <f t="shared" si="658"/>
        <v>161353.03191819438</v>
      </c>
      <c r="O207" s="552">
        <f t="shared" si="658"/>
        <v>203240.14152757372</v>
      </c>
      <c r="P207" s="552">
        <f t="shared" si="658"/>
        <v>245152.71539318253</v>
      </c>
      <c r="Q207" s="552">
        <f t="shared" si="658"/>
        <v>317991.39714630938</v>
      </c>
      <c r="R207" s="552">
        <f t="shared" si="658"/>
        <v>390800.40542289824</v>
      </c>
      <c r="S207" s="552">
        <f t="shared" si="658"/>
        <v>463633.8062058689</v>
      </c>
      <c r="T207" s="552">
        <f t="shared" si="658"/>
        <v>536473.61273533897</v>
      </c>
      <c r="U207" s="552">
        <f t="shared" si="658"/>
        <v>609369.66480970674</v>
      </c>
      <c r="V207" s="552">
        <f t="shared" si="658"/>
        <v>651747.72150403517</v>
      </c>
      <c r="W207" s="552">
        <f t="shared" si="658"/>
        <v>663203.57102002134</v>
      </c>
      <c r="X207" s="552">
        <f t="shared" si="658"/>
        <v>674659.89891621645</v>
      </c>
      <c r="Y207" s="552">
        <f t="shared" si="658"/>
        <v>686116.7849321469</v>
      </c>
      <c r="Z207" s="552">
        <f t="shared" si="658"/>
        <v>697570.49919536291</v>
      </c>
      <c r="AA207" s="552">
        <f t="shared" si="658"/>
        <v>709028.78800914506</v>
      </c>
      <c r="AB207" s="552">
        <f t="shared" si="658"/>
        <v>720484.12767537707</v>
      </c>
      <c r="AC207" s="552">
        <f t="shared" si="658"/>
        <v>731944.29660006519</v>
      </c>
      <c r="AD207" s="552">
        <f t="shared" si="658"/>
        <v>743405.62703950133</v>
      </c>
      <c r="AE207" s="552">
        <f t="shared" si="658"/>
        <v>754864.47016895004</v>
      </c>
      <c r="AF207" s="552">
        <f t="shared" si="658"/>
        <v>766328.66837130091</v>
      </c>
      <c r="AG207" s="552">
        <f t="shared" si="658"/>
        <v>777794.62153847539</v>
      </c>
      <c r="AH207" s="727">
        <f t="shared" si="658"/>
        <v>789258.75543592905</v>
      </c>
      <c r="AI207" s="18"/>
      <c r="AJ207" s="18"/>
      <c r="AK207" s="18"/>
      <c r="AL207" s="18"/>
      <c r="AM207" s="18"/>
      <c r="AN207" s="18"/>
    </row>
    <row r="208" spans="2:40" ht="21.9" customHeight="1" x14ac:dyDescent="0.25">
      <c r="B208" s="229"/>
      <c r="C208" s="690"/>
      <c r="D208" s="690"/>
      <c r="E208" s="1325"/>
      <c r="F208" s="114"/>
      <c r="G208" s="114"/>
      <c r="H208" s="122" t="s">
        <v>19</v>
      </c>
      <c r="I208" s="552">
        <f t="shared" ref="I208:AH208" si="659">I144*$D$14</f>
        <v>52123.065693430661</v>
      </c>
      <c r="J208" s="552">
        <f t="shared" si="659"/>
        <v>99011.238155717772</v>
      </c>
      <c r="K208" s="552">
        <f t="shared" si="659"/>
        <v>145883.77369829686</v>
      </c>
      <c r="L208" s="552">
        <f t="shared" si="659"/>
        <v>317363.44752311765</v>
      </c>
      <c r="M208" s="552">
        <f t="shared" si="659"/>
        <v>488850.07109040866</v>
      </c>
      <c r="N208" s="552">
        <f t="shared" si="659"/>
        <v>660555.61154338415</v>
      </c>
      <c r="O208" s="552">
        <f t="shared" si="659"/>
        <v>832035.28549110587</v>
      </c>
      <c r="P208" s="552">
        <f t="shared" si="659"/>
        <v>1003619.2063633893</v>
      </c>
      <c r="Q208" s="552">
        <f t="shared" si="659"/>
        <v>1301810.0701944719</v>
      </c>
      <c r="R208" s="552">
        <f t="shared" si="659"/>
        <v>1599879.4551713418</v>
      </c>
      <c r="S208" s="552">
        <f t="shared" si="659"/>
        <v>1898048.6994863264</v>
      </c>
      <c r="T208" s="552">
        <f t="shared" si="659"/>
        <v>2196244.1679865397</v>
      </c>
      <c r="U208" s="552">
        <f t="shared" si="659"/>
        <v>2494669.8974856623</v>
      </c>
      <c r="V208" s="552">
        <f t="shared" si="659"/>
        <v>2668159.4366840008</v>
      </c>
      <c r="W208" s="552">
        <f t="shared" si="659"/>
        <v>2715058.0018539312</v>
      </c>
      <c r="X208" s="552">
        <f t="shared" si="659"/>
        <v>2761958.5254421667</v>
      </c>
      <c r="Y208" s="552">
        <f t="shared" si="659"/>
        <v>2808861.3338906174</v>
      </c>
      <c r="Z208" s="552">
        <f t="shared" si="659"/>
        <v>2855751.1576493531</v>
      </c>
      <c r="AA208" s="552">
        <f t="shared" si="659"/>
        <v>2902659.7089461517</v>
      </c>
      <c r="AB208" s="552">
        <f t="shared" si="659"/>
        <v>2949556.1868660799</v>
      </c>
      <c r="AC208" s="552">
        <f t="shared" si="659"/>
        <v>2996472.4350607586</v>
      </c>
      <c r="AD208" s="552">
        <f t="shared" si="659"/>
        <v>3043393.4383262</v>
      </c>
      <c r="AE208" s="552">
        <f t="shared" si="659"/>
        <v>3090304.2589099142</v>
      </c>
      <c r="AF208" s="552">
        <f t="shared" si="659"/>
        <v>3137237.0023754835</v>
      </c>
      <c r="AG208" s="552">
        <f t="shared" si="659"/>
        <v>3184176.930409254</v>
      </c>
      <c r="AH208" s="727">
        <f t="shared" si="659"/>
        <v>3231109.4106200198</v>
      </c>
      <c r="AI208" s="18"/>
      <c r="AJ208" s="18"/>
      <c r="AK208" s="18"/>
      <c r="AL208" s="18"/>
      <c r="AM208" s="18"/>
      <c r="AN208" s="18"/>
    </row>
    <row r="209" spans="2:40" ht="21.9" customHeight="1" x14ac:dyDescent="0.25">
      <c r="B209" s="229"/>
      <c r="C209" s="690"/>
      <c r="D209" s="690"/>
      <c r="E209" s="1325"/>
      <c r="F209" s="114"/>
      <c r="G209" s="114"/>
      <c r="H209" s="695" t="s">
        <v>25</v>
      </c>
      <c r="I209" s="552">
        <f t="shared" ref="I209" si="660">SUM(I207:I208)</f>
        <v>64855.096934306574</v>
      </c>
      <c r="J209" s="552">
        <f t="shared" ref="J209:AH209" si="661">SUM(J207:J208)</f>
        <v>123196.5802998443</v>
      </c>
      <c r="K209" s="552">
        <f t="shared" si="661"/>
        <v>181518.60713630173</v>
      </c>
      <c r="L209" s="552">
        <f t="shared" si="661"/>
        <v>394885.39054048096</v>
      </c>
      <c r="M209" s="552">
        <f t="shared" si="661"/>
        <v>608260.82129138825</v>
      </c>
      <c r="N209" s="552">
        <f t="shared" si="661"/>
        <v>821908.64346157853</v>
      </c>
      <c r="O209" s="552">
        <f t="shared" si="661"/>
        <v>1035275.4270186796</v>
      </c>
      <c r="P209" s="552">
        <f t="shared" si="661"/>
        <v>1248771.9217565719</v>
      </c>
      <c r="Q209" s="552">
        <f t="shared" si="661"/>
        <v>1619801.4673407814</v>
      </c>
      <c r="R209" s="552">
        <f t="shared" si="661"/>
        <v>1990679.86059424</v>
      </c>
      <c r="S209" s="552">
        <f t="shared" si="661"/>
        <v>2361682.5056921951</v>
      </c>
      <c r="T209" s="552">
        <f t="shared" si="661"/>
        <v>2732717.7807218786</v>
      </c>
      <c r="U209" s="552">
        <f t="shared" si="661"/>
        <v>3104039.5622953689</v>
      </c>
      <c r="V209" s="552">
        <f t="shared" si="661"/>
        <v>3319907.1581880357</v>
      </c>
      <c r="W209" s="552">
        <f t="shared" si="661"/>
        <v>3378261.5728739528</v>
      </c>
      <c r="X209" s="552">
        <f t="shared" si="661"/>
        <v>3436618.4243583833</v>
      </c>
      <c r="Y209" s="552">
        <f t="shared" si="661"/>
        <v>3494978.1188227641</v>
      </c>
      <c r="Z209" s="552">
        <f t="shared" si="661"/>
        <v>3553321.6568447161</v>
      </c>
      <c r="AA209" s="552">
        <f t="shared" si="661"/>
        <v>3611688.496955297</v>
      </c>
      <c r="AB209" s="552">
        <f t="shared" si="661"/>
        <v>3670040.3145414572</v>
      </c>
      <c r="AC209" s="552">
        <f t="shared" si="661"/>
        <v>3728416.7316608238</v>
      </c>
      <c r="AD209" s="552">
        <f t="shared" si="661"/>
        <v>3786799.0653657014</v>
      </c>
      <c r="AE209" s="552">
        <f t="shared" si="661"/>
        <v>3845168.7290788642</v>
      </c>
      <c r="AF209" s="552">
        <f t="shared" si="661"/>
        <v>3903565.6707467847</v>
      </c>
      <c r="AG209" s="552">
        <f t="shared" si="661"/>
        <v>3961971.5519477297</v>
      </c>
      <c r="AH209" s="727">
        <f t="shared" si="661"/>
        <v>4020368.1660559489</v>
      </c>
      <c r="AI209" s="18"/>
      <c r="AJ209" s="18"/>
      <c r="AK209" s="18"/>
      <c r="AL209" s="18"/>
      <c r="AM209" s="18"/>
      <c r="AN209" s="18"/>
    </row>
    <row r="210" spans="2:40" ht="21.9" customHeight="1" x14ac:dyDescent="0.25">
      <c r="B210" s="229"/>
      <c r="C210" s="690"/>
      <c r="D210" s="690"/>
      <c r="E210" s="1325"/>
      <c r="F210" s="114" t="s">
        <v>321</v>
      </c>
      <c r="G210" s="114" t="s">
        <v>274</v>
      </c>
      <c r="H210" s="114" t="s">
        <v>20</v>
      </c>
      <c r="I210" s="552">
        <f t="shared" ref="I210:AH210" si="662">I146*$D$13</f>
        <v>18313.19562043796</v>
      </c>
      <c r="J210" s="552">
        <f t="shared" si="662"/>
        <v>34787.135960729924</v>
      </c>
      <c r="K210" s="552">
        <f t="shared" si="662"/>
        <v>51255.58234233578</v>
      </c>
      <c r="L210" s="552">
        <f t="shared" si="662"/>
        <v>111504.16461401575</v>
      </c>
      <c r="M210" s="552">
        <f t="shared" si="662"/>
        <v>171755.18864524452</v>
      </c>
      <c r="N210" s="552">
        <f t="shared" si="662"/>
        <v>232083.12810151253</v>
      </c>
      <c r="O210" s="552">
        <f t="shared" si="662"/>
        <v>292331.71041637327</v>
      </c>
      <c r="P210" s="552">
        <f t="shared" si="662"/>
        <v>352616.91940115299</v>
      </c>
      <c r="Q210" s="552">
        <f t="shared" si="662"/>
        <v>457384.88630633539</v>
      </c>
      <c r="R210" s="552">
        <f t="shared" si="662"/>
        <v>562110.17218362074</v>
      </c>
      <c r="S210" s="552">
        <f t="shared" si="662"/>
        <v>666870.54317282536</v>
      </c>
      <c r="T210" s="552">
        <f t="shared" si="662"/>
        <v>771640.12790699454</v>
      </c>
      <c r="U210" s="552">
        <f t="shared" si="662"/>
        <v>876490.6137673863</v>
      </c>
      <c r="V210" s="552">
        <f t="shared" si="662"/>
        <v>937445.35284826986</v>
      </c>
      <c r="W210" s="552">
        <f t="shared" si="662"/>
        <v>953922.94461783918</v>
      </c>
      <c r="X210" s="552">
        <f t="shared" si="662"/>
        <v>970401.2244685305</v>
      </c>
      <c r="Y210" s="552">
        <f t="shared" si="662"/>
        <v>986880.30709418375</v>
      </c>
      <c r="Z210" s="552">
        <f t="shared" si="662"/>
        <v>1003354.8276097687</v>
      </c>
      <c r="AA210" s="552">
        <f t="shared" si="662"/>
        <v>1019835.9279583595</v>
      </c>
      <c r="AB210" s="552">
        <f t="shared" si="662"/>
        <v>1036312.7863823917</v>
      </c>
      <c r="AC210" s="552">
        <f t="shared" si="662"/>
        <v>1052796.5910000941</v>
      </c>
      <c r="AD210" s="552">
        <f t="shared" si="662"/>
        <v>1069282.0662896936</v>
      </c>
      <c r="AE210" s="552">
        <f t="shared" si="662"/>
        <v>1085763.9639416405</v>
      </c>
      <c r="AF210" s="552">
        <f t="shared" si="662"/>
        <v>1102253.5640957069</v>
      </c>
      <c r="AG210" s="552">
        <f t="shared" si="662"/>
        <v>1118745.6885142457</v>
      </c>
      <c r="AH210" s="727">
        <f t="shared" si="662"/>
        <v>1135235.1961749666</v>
      </c>
      <c r="AI210" s="18"/>
      <c r="AJ210" s="18"/>
      <c r="AK210" s="18"/>
      <c r="AL210" s="18"/>
      <c r="AM210" s="18"/>
      <c r="AN210" s="18"/>
    </row>
    <row r="211" spans="2:40" ht="21.9" customHeight="1" x14ac:dyDescent="0.25">
      <c r="B211" s="229"/>
      <c r="C211" s="690"/>
      <c r="D211" s="690"/>
      <c r="E211" s="1325"/>
      <c r="F211" s="114"/>
      <c r="G211" s="114"/>
      <c r="H211" s="114" t="s">
        <v>19</v>
      </c>
      <c r="I211" s="552">
        <f t="shared" ref="I211:AH211" si="663">I147*$D$14</f>
        <v>74971.53284671533</v>
      </c>
      <c r="J211" s="552">
        <f t="shared" si="663"/>
        <v>142413.42474452555</v>
      </c>
      <c r="K211" s="552">
        <f t="shared" si="663"/>
        <v>209832.82518248181</v>
      </c>
      <c r="L211" s="552">
        <f t="shared" si="663"/>
        <v>456481.67109489522</v>
      </c>
      <c r="M211" s="552">
        <f t="shared" si="663"/>
        <v>703140.51321223157</v>
      </c>
      <c r="N211" s="552">
        <f t="shared" si="663"/>
        <v>950114.23578158009</v>
      </c>
      <c r="O211" s="552">
        <f t="shared" si="663"/>
        <v>1196763.0818707692</v>
      </c>
      <c r="P211" s="552">
        <f t="shared" si="663"/>
        <v>1443561.8721665191</v>
      </c>
      <c r="Q211" s="552">
        <f t="shared" si="663"/>
        <v>1872466.5393208158</v>
      </c>
      <c r="R211" s="552">
        <f t="shared" si="663"/>
        <v>2301196.4766163137</v>
      </c>
      <c r="S211" s="552">
        <f t="shared" si="663"/>
        <v>2730070.0472063604</v>
      </c>
      <c r="T211" s="552">
        <f t="shared" si="663"/>
        <v>3158981.3375148866</v>
      </c>
      <c r="U211" s="552">
        <f t="shared" si="663"/>
        <v>3588223.8251506099</v>
      </c>
      <c r="V211" s="552">
        <f t="shared" si="663"/>
        <v>3837763.5733126039</v>
      </c>
      <c r="W211" s="552">
        <f t="shared" si="663"/>
        <v>3905220.4136255179</v>
      </c>
      <c r="X211" s="552">
        <f t="shared" si="663"/>
        <v>3972680.0708414721</v>
      </c>
      <c r="Y211" s="552">
        <f t="shared" si="663"/>
        <v>4040143.0145002026</v>
      </c>
      <c r="Z211" s="552">
        <f t="shared" si="663"/>
        <v>4107587.28155044</v>
      </c>
      <c r="AA211" s="552">
        <f t="shared" si="663"/>
        <v>4175058.4854704929</v>
      </c>
      <c r="AB211" s="552">
        <f t="shared" si="663"/>
        <v>4242512.3235744983</v>
      </c>
      <c r="AC211" s="552">
        <f t="shared" si="663"/>
        <v>4309994.5983750634</v>
      </c>
      <c r="AD211" s="552">
        <f t="shared" si="663"/>
        <v>4377483.712660973</v>
      </c>
      <c r="AE211" s="552">
        <f t="shared" si="663"/>
        <v>4444958.180623848</v>
      </c>
      <c r="AF211" s="552">
        <f t="shared" si="663"/>
        <v>4512464.1814989829</v>
      </c>
      <c r="AG211" s="552">
        <f t="shared" si="663"/>
        <v>4579980.5163420783</v>
      </c>
      <c r="AH211" s="727">
        <f t="shared" si="663"/>
        <v>4647486.1385630434</v>
      </c>
      <c r="AI211" s="18"/>
      <c r="AJ211" s="18"/>
      <c r="AK211" s="18"/>
      <c r="AL211" s="18"/>
      <c r="AM211" s="18"/>
      <c r="AN211" s="18"/>
    </row>
    <row r="212" spans="2:40" ht="21.9" customHeight="1" x14ac:dyDescent="0.25">
      <c r="B212" s="229"/>
      <c r="C212" s="690"/>
      <c r="D212" s="690"/>
      <c r="E212" s="1325"/>
      <c r="F212" s="250"/>
      <c r="G212" s="250"/>
      <c r="H212" s="696" t="s">
        <v>25</v>
      </c>
      <c r="I212" s="562">
        <f t="shared" ref="I212" si="664">SUM(I210:I211)</f>
        <v>93284.728467153298</v>
      </c>
      <c r="J212" s="562">
        <f t="shared" ref="J212:AH212" si="665">SUM(J210:J211)</f>
        <v>177200.56070525548</v>
      </c>
      <c r="K212" s="562">
        <f t="shared" si="665"/>
        <v>261088.40752481759</v>
      </c>
      <c r="L212" s="562">
        <f t="shared" si="665"/>
        <v>567985.83570891095</v>
      </c>
      <c r="M212" s="562">
        <f t="shared" si="665"/>
        <v>874895.70185747603</v>
      </c>
      <c r="N212" s="562">
        <f t="shared" si="665"/>
        <v>1182197.3638830925</v>
      </c>
      <c r="O212" s="562">
        <f t="shared" si="665"/>
        <v>1489094.7922871425</v>
      </c>
      <c r="P212" s="562">
        <f t="shared" si="665"/>
        <v>1796178.791567672</v>
      </c>
      <c r="Q212" s="562">
        <f t="shared" si="665"/>
        <v>2329851.425627151</v>
      </c>
      <c r="R212" s="562">
        <f t="shared" si="665"/>
        <v>2863306.6487999344</v>
      </c>
      <c r="S212" s="562">
        <f t="shared" si="665"/>
        <v>3396940.590379186</v>
      </c>
      <c r="T212" s="562">
        <f t="shared" si="665"/>
        <v>3930621.4654218811</v>
      </c>
      <c r="U212" s="562">
        <f t="shared" si="665"/>
        <v>4464714.4389179964</v>
      </c>
      <c r="V212" s="562">
        <f t="shared" si="665"/>
        <v>4775208.9261608738</v>
      </c>
      <c r="W212" s="562">
        <f t="shared" si="665"/>
        <v>4859143.3582433574</v>
      </c>
      <c r="X212" s="562">
        <f t="shared" si="665"/>
        <v>4943081.2953100028</v>
      </c>
      <c r="Y212" s="562">
        <f t="shared" si="665"/>
        <v>5027023.3215943864</v>
      </c>
      <c r="Z212" s="562">
        <f t="shared" si="665"/>
        <v>5110942.1091602091</v>
      </c>
      <c r="AA212" s="562">
        <f t="shared" si="665"/>
        <v>5194894.4134288523</v>
      </c>
      <c r="AB212" s="562">
        <f t="shared" si="665"/>
        <v>5278825.1099568903</v>
      </c>
      <c r="AC212" s="562">
        <f t="shared" si="665"/>
        <v>5362791.1893751575</v>
      </c>
      <c r="AD212" s="562">
        <f t="shared" si="665"/>
        <v>5446765.778950667</v>
      </c>
      <c r="AE212" s="562">
        <f t="shared" si="665"/>
        <v>5530722.1445654882</v>
      </c>
      <c r="AF212" s="562">
        <f t="shared" si="665"/>
        <v>5614717.7455946896</v>
      </c>
      <c r="AG212" s="562">
        <f t="shared" si="665"/>
        <v>5698726.204856324</v>
      </c>
      <c r="AH212" s="729">
        <f t="shared" si="665"/>
        <v>5782721.3347380105</v>
      </c>
      <c r="AI212" s="18"/>
      <c r="AJ212" s="18"/>
      <c r="AK212" s="18"/>
      <c r="AL212" s="18"/>
      <c r="AM212" s="18"/>
      <c r="AN212" s="18"/>
    </row>
    <row r="213" spans="2:40" ht="21.9" customHeight="1" x14ac:dyDescent="0.25">
      <c r="B213" s="229"/>
      <c r="C213" s="690"/>
      <c r="D213" s="690"/>
      <c r="E213" s="114" t="s">
        <v>282</v>
      </c>
      <c r="F213" s="114" t="s">
        <v>308</v>
      </c>
      <c r="G213" s="114" t="s">
        <v>324</v>
      </c>
      <c r="H213" s="114" t="s">
        <v>20</v>
      </c>
      <c r="I213" s="552">
        <f t="shared" ref="I213:AH213" si="666">I149*$D$13</f>
        <v>154711.68970770677</v>
      </c>
      <c r="J213" s="552">
        <f t="shared" si="666"/>
        <v>160511.66193978791</v>
      </c>
      <c r="K213" s="552">
        <f t="shared" si="666"/>
        <v>169383.52504471628</v>
      </c>
      <c r="L213" s="552">
        <f t="shared" si="666"/>
        <v>197571.20944400571</v>
      </c>
      <c r="M213" s="552">
        <f t="shared" si="666"/>
        <v>225763.42366705681</v>
      </c>
      <c r="N213" s="552">
        <f t="shared" si="666"/>
        <v>253986.47356097563</v>
      </c>
      <c r="O213" s="552">
        <f t="shared" si="666"/>
        <v>282177.26906014665</v>
      </c>
      <c r="P213" s="552">
        <f t="shared" si="666"/>
        <v>310400.99147812399</v>
      </c>
      <c r="Q213" s="552">
        <f t="shared" si="666"/>
        <v>347610.10055840318</v>
      </c>
      <c r="R213" s="552">
        <f t="shared" si="666"/>
        <v>384871.65473728982</v>
      </c>
      <c r="S213" s="552">
        <f t="shared" si="666"/>
        <v>422299.68672905839</v>
      </c>
      <c r="T213" s="552">
        <f t="shared" si="666"/>
        <v>460070.410554278</v>
      </c>
      <c r="U213" s="552">
        <f t="shared" si="666"/>
        <v>498622.18456556613</v>
      </c>
      <c r="V213" s="552">
        <f t="shared" si="666"/>
        <v>517563.29781480908</v>
      </c>
      <c r="W213" s="552">
        <f t="shared" si="666"/>
        <v>523811.78339337255</v>
      </c>
      <c r="X213" s="552">
        <f t="shared" si="666"/>
        <v>530113.1821129357</v>
      </c>
      <c r="Y213" s="552">
        <f t="shared" si="666"/>
        <v>536473.05934597016</v>
      </c>
      <c r="Z213" s="552">
        <f t="shared" si="666"/>
        <v>542904.18320358847</v>
      </c>
      <c r="AA213" s="552">
        <f t="shared" si="666"/>
        <v>549399.85238861211</v>
      </c>
      <c r="AB213" s="552">
        <f t="shared" si="666"/>
        <v>555980.77869347367</v>
      </c>
      <c r="AC213" s="552">
        <f t="shared" si="666"/>
        <v>562641.19285739772</v>
      </c>
      <c r="AD213" s="552">
        <f t="shared" si="666"/>
        <v>569396.42936947837</v>
      </c>
      <c r="AE213" s="552">
        <f t="shared" si="666"/>
        <v>576262.96444264113</v>
      </c>
      <c r="AF213" s="552">
        <f t="shared" si="666"/>
        <v>583236.68202342035</v>
      </c>
      <c r="AG213" s="552">
        <f t="shared" si="666"/>
        <v>590335.61141848739</v>
      </c>
      <c r="AH213" s="727">
        <f t="shared" si="666"/>
        <v>597579.23037067987</v>
      </c>
      <c r="AI213" s="18"/>
      <c r="AJ213" s="18"/>
      <c r="AK213" s="18"/>
      <c r="AL213" s="18"/>
      <c r="AM213" s="18"/>
      <c r="AN213" s="18"/>
    </row>
    <row r="214" spans="2:40" ht="21.9" customHeight="1" x14ac:dyDescent="0.25">
      <c r="B214" s="229"/>
      <c r="C214" s="690"/>
      <c r="D214" s="690"/>
      <c r="E214" s="114"/>
      <c r="F214" s="114"/>
      <c r="G214" s="114"/>
      <c r="H214" s="122" t="s">
        <v>19</v>
      </c>
      <c r="I214" s="552">
        <f t="shared" ref="I214:AH214" si="667">I150*$D$14</f>
        <v>633366.93207969901</v>
      </c>
      <c r="J214" s="552">
        <f t="shared" si="667"/>
        <v>657111.16644053464</v>
      </c>
      <c r="K214" s="552">
        <f t="shared" si="667"/>
        <v>693431.2708050831</v>
      </c>
      <c r="L214" s="552">
        <f t="shared" si="667"/>
        <v>808827.51024980948</v>
      </c>
      <c r="M214" s="552">
        <f t="shared" si="667"/>
        <v>924242.29412763077</v>
      </c>
      <c r="N214" s="552">
        <f t="shared" si="667"/>
        <v>1039783.3147125362</v>
      </c>
      <c r="O214" s="552">
        <f t="shared" si="667"/>
        <v>1155192.2905431886</v>
      </c>
      <c r="P214" s="552">
        <f t="shared" si="667"/>
        <v>1270736.0643428026</v>
      </c>
      <c r="Q214" s="552">
        <f t="shared" si="667"/>
        <v>1423064.6912753887</v>
      </c>
      <c r="R214" s="552">
        <f t="shared" si="667"/>
        <v>1575608.0207380187</v>
      </c>
      <c r="S214" s="552">
        <f t="shared" si="667"/>
        <v>1728832.8859126796</v>
      </c>
      <c r="T214" s="552">
        <f t="shared" si="667"/>
        <v>1883460.6811155218</v>
      </c>
      <c r="U214" s="552">
        <f t="shared" si="667"/>
        <v>2041285.9810517493</v>
      </c>
      <c r="V214" s="552">
        <f t="shared" si="667"/>
        <v>2118828.1164360386</v>
      </c>
      <c r="W214" s="552">
        <f t="shared" si="667"/>
        <v>2144408.4985552952</v>
      </c>
      <c r="X214" s="552">
        <f t="shared" si="667"/>
        <v>2170205.4993013986</v>
      </c>
      <c r="Y214" s="552">
        <f t="shared" si="667"/>
        <v>2196241.9024917511</v>
      </c>
      <c r="Z214" s="552">
        <f t="shared" si="667"/>
        <v>2222569.9788977406</v>
      </c>
      <c r="AA214" s="552">
        <f t="shared" si="667"/>
        <v>2249162.2943930719</v>
      </c>
      <c r="AB214" s="552">
        <f t="shared" si="667"/>
        <v>2276103.6400136095</v>
      </c>
      <c r="AC214" s="552">
        <f t="shared" si="667"/>
        <v>2303370.3972531864</v>
      </c>
      <c r="AD214" s="552">
        <f t="shared" si="667"/>
        <v>2331025.3432576717</v>
      </c>
      <c r="AE214" s="552">
        <f t="shared" si="667"/>
        <v>2359135.9292225931</v>
      </c>
      <c r="AF214" s="552">
        <f t="shared" si="667"/>
        <v>2387685.3046296691</v>
      </c>
      <c r="AG214" s="552">
        <f t="shared" si="667"/>
        <v>2416747.278812089</v>
      </c>
      <c r="AH214" s="727">
        <f t="shared" si="667"/>
        <v>2446401.5907879476</v>
      </c>
      <c r="AI214" s="18"/>
      <c r="AJ214" s="18"/>
      <c r="AK214" s="18"/>
      <c r="AL214" s="18"/>
      <c r="AM214" s="18"/>
      <c r="AN214" s="18"/>
    </row>
    <row r="215" spans="2:40" ht="21.9" customHeight="1" x14ac:dyDescent="0.25">
      <c r="B215" s="229"/>
      <c r="C215" s="690"/>
      <c r="D215" s="690"/>
      <c r="E215" s="114"/>
      <c r="F215" s="114"/>
      <c r="G215" s="114"/>
      <c r="H215" s="696" t="s">
        <v>25</v>
      </c>
      <c r="I215" s="552">
        <f t="shared" ref="I215" si="668">SUM(I213:I214)</f>
        <v>788078.62178740581</v>
      </c>
      <c r="J215" s="552">
        <f t="shared" ref="J215:AH215" si="669">SUM(J213:J214)</f>
        <v>817622.82838032255</v>
      </c>
      <c r="K215" s="552">
        <f t="shared" si="669"/>
        <v>862814.79584979941</v>
      </c>
      <c r="L215" s="552">
        <f t="shared" si="669"/>
        <v>1006398.7196938152</v>
      </c>
      <c r="M215" s="552">
        <f t="shared" si="669"/>
        <v>1150005.7177946875</v>
      </c>
      <c r="N215" s="552">
        <f t="shared" si="669"/>
        <v>1293769.7882735119</v>
      </c>
      <c r="O215" s="552">
        <f t="shared" si="669"/>
        <v>1437369.5596033353</v>
      </c>
      <c r="P215" s="552">
        <f t="shared" si="669"/>
        <v>1581137.0558209266</v>
      </c>
      <c r="Q215" s="552">
        <f t="shared" si="669"/>
        <v>1770674.7918337919</v>
      </c>
      <c r="R215" s="552">
        <f t="shared" si="669"/>
        <v>1960479.6754753084</v>
      </c>
      <c r="S215" s="552">
        <f t="shared" si="669"/>
        <v>2151132.5726417378</v>
      </c>
      <c r="T215" s="552">
        <f t="shared" si="669"/>
        <v>2343531.0916697998</v>
      </c>
      <c r="U215" s="552">
        <f t="shared" si="669"/>
        <v>2539908.1656173156</v>
      </c>
      <c r="V215" s="552">
        <f t="shared" si="669"/>
        <v>2636391.4142508479</v>
      </c>
      <c r="W215" s="552">
        <f t="shared" si="669"/>
        <v>2668220.281948668</v>
      </c>
      <c r="X215" s="552">
        <f t="shared" si="669"/>
        <v>2700318.6814143341</v>
      </c>
      <c r="Y215" s="552">
        <f t="shared" si="669"/>
        <v>2732714.9618377211</v>
      </c>
      <c r="Z215" s="552">
        <f t="shared" si="669"/>
        <v>2765474.1621013293</v>
      </c>
      <c r="AA215" s="552">
        <f t="shared" si="669"/>
        <v>2798562.1467816839</v>
      </c>
      <c r="AB215" s="552">
        <f t="shared" si="669"/>
        <v>2832084.418707083</v>
      </c>
      <c r="AC215" s="552">
        <f t="shared" si="669"/>
        <v>2866011.5901105842</v>
      </c>
      <c r="AD215" s="552">
        <f t="shared" si="669"/>
        <v>2900421.7726271502</v>
      </c>
      <c r="AE215" s="552">
        <f t="shared" si="669"/>
        <v>2935398.8936652341</v>
      </c>
      <c r="AF215" s="552">
        <f t="shared" si="669"/>
        <v>2970921.9866530895</v>
      </c>
      <c r="AG215" s="552">
        <f t="shared" si="669"/>
        <v>3007082.8902305765</v>
      </c>
      <c r="AH215" s="727">
        <f t="shared" si="669"/>
        <v>3043980.8211586275</v>
      </c>
      <c r="AI215" s="18"/>
      <c r="AJ215" s="18"/>
      <c r="AK215" s="18"/>
      <c r="AL215" s="18"/>
      <c r="AM215" s="18"/>
      <c r="AN215" s="18"/>
    </row>
    <row r="216" spans="2:40" ht="21.9" customHeight="1" x14ac:dyDescent="0.25">
      <c r="B216" s="229"/>
      <c r="C216" s="690"/>
      <c r="D216" s="690"/>
      <c r="E216" s="217" t="s">
        <v>321</v>
      </c>
      <c r="F216" s="217" t="s">
        <v>318</v>
      </c>
      <c r="G216" s="217" t="s">
        <v>308</v>
      </c>
      <c r="H216" s="114" t="s">
        <v>20</v>
      </c>
      <c r="I216" s="552" t="e">
        <f t="shared" ref="I216:AH216" si="670">I152*$D$13</f>
        <v>#DIV/0!</v>
      </c>
      <c r="J216" s="552" t="e">
        <f t="shared" si="670"/>
        <v>#DIV/0!</v>
      </c>
      <c r="K216" s="552" t="e">
        <f t="shared" si="670"/>
        <v>#DIV/0!</v>
      </c>
      <c r="L216" s="552" t="e">
        <f t="shared" si="670"/>
        <v>#DIV/0!</v>
      </c>
      <c r="M216" s="552" t="e">
        <f t="shared" si="670"/>
        <v>#DIV/0!</v>
      </c>
      <c r="N216" s="552" t="e">
        <f t="shared" si="670"/>
        <v>#DIV/0!</v>
      </c>
      <c r="O216" s="552" t="e">
        <f t="shared" si="670"/>
        <v>#DIV/0!</v>
      </c>
      <c r="P216" s="552" t="e">
        <f t="shared" si="670"/>
        <v>#DIV/0!</v>
      </c>
      <c r="Q216" s="552" t="e">
        <f t="shared" si="670"/>
        <v>#DIV/0!</v>
      </c>
      <c r="R216" s="552" t="e">
        <f t="shared" si="670"/>
        <v>#DIV/0!</v>
      </c>
      <c r="S216" s="552" t="e">
        <f t="shared" si="670"/>
        <v>#DIV/0!</v>
      </c>
      <c r="T216" s="552" t="e">
        <f t="shared" si="670"/>
        <v>#DIV/0!</v>
      </c>
      <c r="U216" s="552" t="e">
        <f t="shared" si="670"/>
        <v>#DIV/0!</v>
      </c>
      <c r="V216" s="552" t="e">
        <f t="shared" si="670"/>
        <v>#DIV/0!</v>
      </c>
      <c r="W216" s="552" t="e">
        <f t="shared" si="670"/>
        <v>#DIV/0!</v>
      </c>
      <c r="X216" s="552" t="e">
        <f t="shared" si="670"/>
        <v>#DIV/0!</v>
      </c>
      <c r="Y216" s="552" t="e">
        <f t="shared" si="670"/>
        <v>#DIV/0!</v>
      </c>
      <c r="Z216" s="552" t="e">
        <f t="shared" si="670"/>
        <v>#DIV/0!</v>
      </c>
      <c r="AA216" s="552" t="e">
        <f t="shared" si="670"/>
        <v>#DIV/0!</v>
      </c>
      <c r="AB216" s="552" t="e">
        <f t="shared" si="670"/>
        <v>#DIV/0!</v>
      </c>
      <c r="AC216" s="552" t="e">
        <f t="shared" si="670"/>
        <v>#DIV/0!</v>
      </c>
      <c r="AD216" s="552" t="e">
        <f t="shared" si="670"/>
        <v>#DIV/0!</v>
      </c>
      <c r="AE216" s="552" t="e">
        <f t="shared" si="670"/>
        <v>#DIV/0!</v>
      </c>
      <c r="AF216" s="552" t="e">
        <f t="shared" si="670"/>
        <v>#DIV/0!</v>
      </c>
      <c r="AG216" s="552" t="e">
        <f t="shared" si="670"/>
        <v>#DIV/0!</v>
      </c>
      <c r="AH216" s="727" t="e">
        <f t="shared" si="670"/>
        <v>#DIV/0!</v>
      </c>
      <c r="AI216" s="18"/>
      <c r="AJ216" s="18"/>
      <c r="AK216" s="18"/>
      <c r="AL216" s="18"/>
      <c r="AM216" s="18"/>
      <c r="AN216" s="18"/>
    </row>
    <row r="217" spans="2:40" ht="21.9" customHeight="1" x14ac:dyDescent="0.25">
      <c r="B217" s="229"/>
      <c r="C217" s="690"/>
      <c r="D217" s="690"/>
      <c r="E217" s="114"/>
      <c r="F217" s="114"/>
      <c r="G217" s="114"/>
      <c r="H217" s="122" t="s">
        <v>19</v>
      </c>
      <c r="I217" s="552" t="e">
        <f t="shared" ref="I217:AH217" si="671">I153*$D$14</f>
        <v>#DIV/0!</v>
      </c>
      <c r="J217" s="552" t="e">
        <f t="shared" si="671"/>
        <v>#DIV/0!</v>
      </c>
      <c r="K217" s="552" t="e">
        <f t="shared" si="671"/>
        <v>#DIV/0!</v>
      </c>
      <c r="L217" s="552" t="e">
        <f t="shared" si="671"/>
        <v>#DIV/0!</v>
      </c>
      <c r="M217" s="552" t="e">
        <f t="shared" si="671"/>
        <v>#DIV/0!</v>
      </c>
      <c r="N217" s="552" t="e">
        <f t="shared" si="671"/>
        <v>#DIV/0!</v>
      </c>
      <c r="O217" s="552" t="e">
        <f t="shared" si="671"/>
        <v>#DIV/0!</v>
      </c>
      <c r="P217" s="552" t="e">
        <f t="shared" si="671"/>
        <v>#DIV/0!</v>
      </c>
      <c r="Q217" s="552" t="e">
        <f t="shared" si="671"/>
        <v>#DIV/0!</v>
      </c>
      <c r="R217" s="552" t="e">
        <f t="shared" si="671"/>
        <v>#DIV/0!</v>
      </c>
      <c r="S217" s="552" t="e">
        <f t="shared" si="671"/>
        <v>#DIV/0!</v>
      </c>
      <c r="T217" s="552" t="e">
        <f t="shared" si="671"/>
        <v>#DIV/0!</v>
      </c>
      <c r="U217" s="552" t="e">
        <f t="shared" si="671"/>
        <v>#DIV/0!</v>
      </c>
      <c r="V217" s="552" t="e">
        <f t="shared" si="671"/>
        <v>#DIV/0!</v>
      </c>
      <c r="W217" s="552" t="e">
        <f t="shared" si="671"/>
        <v>#DIV/0!</v>
      </c>
      <c r="X217" s="552" t="e">
        <f t="shared" si="671"/>
        <v>#DIV/0!</v>
      </c>
      <c r="Y217" s="552" t="e">
        <f t="shared" si="671"/>
        <v>#DIV/0!</v>
      </c>
      <c r="Z217" s="552" t="e">
        <f t="shared" si="671"/>
        <v>#DIV/0!</v>
      </c>
      <c r="AA217" s="552" t="e">
        <f t="shared" si="671"/>
        <v>#DIV/0!</v>
      </c>
      <c r="AB217" s="552" t="e">
        <f t="shared" si="671"/>
        <v>#DIV/0!</v>
      </c>
      <c r="AC217" s="552" t="e">
        <f t="shared" si="671"/>
        <v>#DIV/0!</v>
      </c>
      <c r="AD217" s="552" t="e">
        <f t="shared" si="671"/>
        <v>#DIV/0!</v>
      </c>
      <c r="AE217" s="552" t="e">
        <f t="shared" si="671"/>
        <v>#DIV/0!</v>
      </c>
      <c r="AF217" s="552" t="e">
        <f t="shared" si="671"/>
        <v>#DIV/0!</v>
      </c>
      <c r="AG217" s="552" t="e">
        <f t="shared" si="671"/>
        <v>#DIV/0!</v>
      </c>
      <c r="AH217" s="727" t="e">
        <f t="shared" si="671"/>
        <v>#DIV/0!</v>
      </c>
      <c r="AI217" s="18"/>
      <c r="AJ217" s="18"/>
      <c r="AK217" s="18"/>
      <c r="AL217" s="18"/>
      <c r="AM217" s="18"/>
      <c r="AN217" s="18"/>
    </row>
    <row r="218" spans="2:40" ht="21.9" customHeight="1" x14ac:dyDescent="0.25">
      <c r="B218" s="229"/>
      <c r="C218" s="690"/>
      <c r="D218" s="690"/>
      <c r="E218" s="250"/>
      <c r="F218" s="250"/>
      <c r="G218" s="250"/>
      <c r="H218" s="696" t="s">
        <v>25</v>
      </c>
      <c r="I218" s="552" t="e">
        <f t="shared" ref="I218" si="672">SUM(I216:I217)</f>
        <v>#DIV/0!</v>
      </c>
      <c r="J218" s="552" t="e">
        <f t="shared" ref="J218:AH218" si="673">SUM(J216:J217)</f>
        <v>#DIV/0!</v>
      </c>
      <c r="K218" s="552" t="e">
        <f t="shared" si="673"/>
        <v>#DIV/0!</v>
      </c>
      <c r="L218" s="552" t="e">
        <f t="shared" si="673"/>
        <v>#DIV/0!</v>
      </c>
      <c r="M218" s="552" t="e">
        <f t="shared" si="673"/>
        <v>#DIV/0!</v>
      </c>
      <c r="N218" s="552" t="e">
        <f t="shared" si="673"/>
        <v>#DIV/0!</v>
      </c>
      <c r="O218" s="552" t="e">
        <f t="shared" si="673"/>
        <v>#DIV/0!</v>
      </c>
      <c r="P218" s="552" t="e">
        <f t="shared" si="673"/>
        <v>#DIV/0!</v>
      </c>
      <c r="Q218" s="552" t="e">
        <f t="shared" si="673"/>
        <v>#DIV/0!</v>
      </c>
      <c r="R218" s="552" t="e">
        <f t="shared" si="673"/>
        <v>#DIV/0!</v>
      </c>
      <c r="S218" s="552" t="e">
        <f t="shared" si="673"/>
        <v>#DIV/0!</v>
      </c>
      <c r="T218" s="552" t="e">
        <f t="shared" si="673"/>
        <v>#DIV/0!</v>
      </c>
      <c r="U218" s="552" t="e">
        <f t="shared" si="673"/>
        <v>#DIV/0!</v>
      </c>
      <c r="V218" s="552" t="e">
        <f t="shared" si="673"/>
        <v>#DIV/0!</v>
      </c>
      <c r="W218" s="552" t="e">
        <f t="shared" si="673"/>
        <v>#DIV/0!</v>
      </c>
      <c r="X218" s="552" t="e">
        <f t="shared" si="673"/>
        <v>#DIV/0!</v>
      </c>
      <c r="Y218" s="552" t="e">
        <f t="shared" si="673"/>
        <v>#DIV/0!</v>
      </c>
      <c r="Z218" s="552" t="e">
        <f t="shared" si="673"/>
        <v>#DIV/0!</v>
      </c>
      <c r="AA218" s="552" t="e">
        <f t="shared" si="673"/>
        <v>#DIV/0!</v>
      </c>
      <c r="AB218" s="552" t="e">
        <f t="shared" si="673"/>
        <v>#DIV/0!</v>
      </c>
      <c r="AC218" s="552" t="e">
        <f t="shared" si="673"/>
        <v>#DIV/0!</v>
      </c>
      <c r="AD218" s="552" t="e">
        <f t="shared" si="673"/>
        <v>#DIV/0!</v>
      </c>
      <c r="AE218" s="552" t="e">
        <f t="shared" si="673"/>
        <v>#DIV/0!</v>
      </c>
      <c r="AF218" s="552" t="e">
        <f t="shared" si="673"/>
        <v>#DIV/0!</v>
      </c>
      <c r="AG218" s="552" t="e">
        <f t="shared" si="673"/>
        <v>#DIV/0!</v>
      </c>
      <c r="AH218" s="727" t="e">
        <f t="shared" si="673"/>
        <v>#DIV/0!</v>
      </c>
      <c r="AI218" s="18"/>
      <c r="AJ218" s="18"/>
      <c r="AK218" s="18"/>
      <c r="AL218" s="18"/>
      <c r="AM218" s="18"/>
      <c r="AN218" s="18"/>
    </row>
    <row r="219" spans="2:40" ht="21.9" customHeight="1" x14ac:dyDescent="0.25">
      <c r="B219" s="229"/>
      <c r="C219" s="690"/>
      <c r="D219" s="690"/>
      <c r="E219" s="217" t="s">
        <v>333</v>
      </c>
      <c r="F219" s="217" t="s">
        <v>319</v>
      </c>
      <c r="G219" s="217" t="s">
        <v>308</v>
      </c>
      <c r="H219" s="114" t="s">
        <v>20</v>
      </c>
      <c r="I219" s="552">
        <f t="shared" ref="I219:AH219" si="674">I155*$D$13</f>
        <v>250053.35446987036</v>
      </c>
      <c r="J219" s="552">
        <f t="shared" si="674"/>
        <v>253919.81025574985</v>
      </c>
      <c r="K219" s="552">
        <f t="shared" si="674"/>
        <v>260273.3388414451</v>
      </c>
      <c r="L219" s="552">
        <f t="shared" si="674"/>
        <v>281876.67508993449</v>
      </c>
      <c r="M219" s="552">
        <f t="shared" si="674"/>
        <v>303508.59004261706</v>
      </c>
      <c r="N219" s="552">
        <f t="shared" si="674"/>
        <v>325215.5493964192</v>
      </c>
      <c r="O219" s="552">
        <f t="shared" si="674"/>
        <v>346986.90969079628</v>
      </c>
      <c r="P219" s="552">
        <f t="shared" si="674"/>
        <v>368947.15645421867</v>
      </c>
      <c r="Q219" s="552">
        <f t="shared" si="674"/>
        <v>395344.7012889132</v>
      </c>
      <c r="R219" s="552">
        <f t="shared" si="674"/>
        <v>422465.96253213543</v>
      </c>
      <c r="S219" s="552">
        <f t="shared" si="674"/>
        <v>450883.18398360274</v>
      </c>
      <c r="T219" s="552">
        <f t="shared" si="674"/>
        <v>481473.15702093055</v>
      </c>
      <c r="U219" s="552">
        <f t="shared" si="674"/>
        <v>515714.02677832381</v>
      </c>
      <c r="V219" s="552">
        <f t="shared" si="674"/>
        <v>531030.75939539541</v>
      </c>
      <c r="W219" s="552">
        <f t="shared" si="674"/>
        <v>537026.08548187022</v>
      </c>
      <c r="X219" s="552">
        <f t="shared" si="674"/>
        <v>543188.93929855688</v>
      </c>
      <c r="Y219" s="552">
        <f t="shared" si="674"/>
        <v>549531.13123061764</v>
      </c>
      <c r="Z219" s="552">
        <f t="shared" si="674"/>
        <v>556078.27532354882</v>
      </c>
      <c r="AA219" s="552">
        <f t="shared" si="674"/>
        <v>562817.82418090687</v>
      </c>
      <c r="AB219" s="552">
        <f t="shared" si="674"/>
        <v>569790.56293656782</v>
      </c>
      <c r="AC219" s="552">
        <f t="shared" si="674"/>
        <v>576983.93081100751</v>
      </c>
      <c r="AD219" s="552">
        <f t="shared" si="674"/>
        <v>584427.29198549816</v>
      </c>
      <c r="AE219" s="552">
        <f t="shared" si="674"/>
        <v>592152.93710801366</v>
      </c>
      <c r="AF219" s="552">
        <f t="shared" si="674"/>
        <v>600148.17478176625</v>
      </c>
      <c r="AG219" s="552">
        <f t="shared" si="674"/>
        <v>608446.78959920874</v>
      </c>
      <c r="AH219" s="727">
        <f t="shared" si="674"/>
        <v>617086.0690949189</v>
      </c>
      <c r="AI219" s="18"/>
      <c r="AJ219" s="18"/>
      <c r="AK219" s="18"/>
      <c r="AL219" s="18"/>
      <c r="AM219" s="18"/>
      <c r="AN219" s="18"/>
    </row>
    <row r="220" spans="2:40" ht="21.9" customHeight="1" x14ac:dyDescent="0.25">
      <c r="B220" s="229"/>
      <c r="C220" s="690"/>
      <c r="D220" s="690"/>
      <c r="E220" s="114"/>
      <c r="F220" s="114"/>
      <c r="G220" s="114"/>
      <c r="H220" s="122" t="s">
        <v>19</v>
      </c>
      <c r="I220" s="552">
        <f t="shared" ref="I220:AH220" si="675">I156*$D$14</f>
        <v>1023681.7028889965</v>
      </c>
      <c r="J220" s="552">
        <f t="shared" si="675"/>
        <v>1039510.4049331077</v>
      </c>
      <c r="K220" s="552">
        <f t="shared" si="675"/>
        <v>1065520.8176938056</v>
      </c>
      <c r="L220" s="552">
        <f t="shared" si="675"/>
        <v>1153961.7029833565</v>
      </c>
      <c r="M220" s="552">
        <f t="shared" si="675"/>
        <v>1242519.5852899514</v>
      </c>
      <c r="N220" s="552">
        <f t="shared" si="675"/>
        <v>1331384.6883514654</v>
      </c>
      <c r="O220" s="552">
        <f t="shared" si="675"/>
        <v>1420513.4394038464</v>
      </c>
      <c r="P220" s="552">
        <f t="shared" si="675"/>
        <v>1510415.4639149851</v>
      </c>
      <c r="Q220" s="552">
        <f t="shared" si="675"/>
        <v>1618483.1349356703</v>
      </c>
      <c r="R220" s="552">
        <f t="shared" si="675"/>
        <v>1729513.5946262416</v>
      </c>
      <c r="S220" s="552">
        <f t="shared" si="675"/>
        <v>1845849.5250459111</v>
      </c>
      <c r="T220" s="552">
        <f t="shared" si="675"/>
        <v>1971080.381302844</v>
      </c>
      <c r="U220" s="552">
        <f t="shared" si="675"/>
        <v>2111257.4724518936</v>
      </c>
      <c r="V220" s="552">
        <f t="shared" si="675"/>
        <v>2173961.9259129595</v>
      </c>
      <c r="W220" s="552">
        <f t="shared" si="675"/>
        <v>2198505.9102581758</v>
      </c>
      <c r="X220" s="552">
        <f t="shared" si="675"/>
        <v>2223735.7285227487</v>
      </c>
      <c r="Y220" s="552">
        <f t="shared" si="675"/>
        <v>2249699.730688707</v>
      </c>
      <c r="Z220" s="552">
        <f t="shared" si="675"/>
        <v>2276502.7768958677</v>
      </c>
      <c r="AA220" s="552">
        <f t="shared" si="675"/>
        <v>2304093.4999462762</v>
      </c>
      <c r="AB220" s="552">
        <f t="shared" si="675"/>
        <v>2332638.8681870978</v>
      </c>
      <c r="AC220" s="552">
        <f t="shared" si="675"/>
        <v>2362087.4596320116</v>
      </c>
      <c r="AD220" s="552">
        <f t="shared" si="675"/>
        <v>2392559.4869258446</v>
      </c>
      <c r="AE220" s="552">
        <f t="shared" si="675"/>
        <v>2424187.1432382325</v>
      </c>
      <c r="AF220" s="552">
        <f t="shared" si="675"/>
        <v>2456918.4718549638</v>
      </c>
      <c r="AG220" s="552">
        <f t="shared" si="675"/>
        <v>2490891.7819349254</v>
      </c>
      <c r="AH220" s="727">
        <f t="shared" si="675"/>
        <v>2526259.7231675158</v>
      </c>
      <c r="AI220" s="18"/>
      <c r="AJ220" s="18"/>
      <c r="AK220" s="18"/>
      <c r="AL220" s="18"/>
      <c r="AM220" s="18"/>
      <c r="AN220" s="18"/>
    </row>
    <row r="221" spans="2:40" ht="21.9" customHeight="1" x14ac:dyDescent="0.25">
      <c r="B221" s="229"/>
      <c r="C221" s="690"/>
      <c r="D221" s="690"/>
      <c r="E221" s="250"/>
      <c r="F221" s="250"/>
      <c r="G221" s="250"/>
      <c r="H221" s="696" t="s">
        <v>25</v>
      </c>
      <c r="I221" s="552">
        <f t="shared" ref="I221" si="676">SUM(I219:I220)</f>
        <v>1273735.0573588668</v>
      </c>
      <c r="J221" s="552">
        <f t="shared" ref="J221:AH221" si="677">SUM(J219:J220)</f>
        <v>1293430.2151888576</v>
      </c>
      <c r="K221" s="552">
        <f t="shared" si="677"/>
        <v>1325794.1565352506</v>
      </c>
      <c r="L221" s="552">
        <f t="shared" si="677"/>
        <v>1435838.3780732909</v>
      </c>
      <c r="M221" s="552">
        <f t="shared" si="677"/>
        <v>1546028.1753325686</v>
      </c>
      <c r="N221" s="552">
        <f t="shared" si="677"/>
        <v>1656600.2377478846</v>
      </c>
      <c r="O221" s="552">
        <f t="shared" si="677"/>
        <v>1767500.3490946428</v>
      </c>
      <c r="P221" s="552">
        <f t="shared" si="677"/>
        <v>1879362.6203692039</v>
      </c>
      <c r="Q221" s="552">
        <f t="shared" si="677"/>
        <v>2013827.8362245834</v>
      </c>
      <c r="R221" s="552">
        <f t="shared" si="677"/>
        <v>2151979.557158377</v>
      </c>
      <c r="S221" s="552">
        <f t="shared" si="677"/>
        <v>2296732.7090295139</v>
      </c>
      <c r="T221" s="552">
        <f t="shared" si="677"/>
        <v>2452553.5383237745</v>
      </c>
      <c r="U221" s="552">
        <f t="shared" si="677"/>
        <v>2626971.4992302172</v>
      </c>
      <c r="V221" s="552">
        <f t="shared" si="677"/>
        <v>2704992.6853083549</v>
      </c>
      <c r="W221" s="552">
        <f t="shared" si="677"/>
        <v>2735531.9957400458</v>
      </c>
      <c r="X221" s="552">
        <f t="shared" si="677"/>
        <v>2766924.6678213058</v>
      </c>
      <c r="Y221" s="552">
        <f t="shared" si="677"/>
        <v>2799230.8619193248</v>
      </c>
      <c r="Z221" s="552">
        <f t="shared" si="677"/>
        <v>2832581.0522194165</v>
      </c>
      <c r="AA221" s="552">
        <f t="shared" si="677"/>
        <v>2866911.3241271833</v>
      </c>
      <c r="AB221" s="552">
        <f t="shared" si="677"/>
        <v>2902429.4311236655</v>
      </c>
      <c r="AC221" s="552">
        <f t="shared" si="677"/>
        <v>2939071.3904430191</v>
      </c>
      <c r="AD221" s="552">
        <f t="shared" si="677"/>
        <v>2976986.7789113428</v>
      </c>
      <c r="AE221" s="552">
        <f t="shared" si="677"/>
        <v>3016340.0803462462</v>
      </c>
      <c r="AF221" s="552">
        <f t="shared" si="677"/>
        <v>3057066.6466367301</v>
      </c>
      <c r="AG221" s="552">
        <f t="shared" si="677"/>
        <v>3099338.571534134</v>
      </c>
      <c r="AH221" s="727">
        <f t="shared" si="677"/>
        <v>3143345.792262435</v>
      </c>
      <c r="AI221" s="18"/>
      <c r="AJ221" s="18"/>
      <c r="AK221" s="18"/>
      <c r="AL221" s="18"/>
      <c r="AM221" s="18"/>
      <c r="AN221" s="18"/>
    </row>
    <row r="222" spans="2:40" ht="21.9" customHeight="1" x14ac:dyDescent="0.25">
      <c r="B222" s="229"/>
      <c r="C222" s="690"/>
      <c r="D222" s="690"/>
      <c r="E222" s="114" t="s">
        <v>319</v>
      </c>
      <c r="F222" s="114" t="s">
        <v>276</v>
      </c>
      <c r="G222" s="114" t="s">
        <v>333</v>
      </c>
      <c r="H222" s="114" t="s">
        <v>20</v>
      </c>
      <c r="I222" s="552">
        <f t="shared" ref="I222:AH222" si="678">I158*$D$13</f>
        <v>512452.25307313132</v>
      </c>
      <c r="J222" s="552">
        <f t="shared" si="678"/>
        <v>531507.80341923598</v>
      </c>
      <c r="K222" s="552">
        <f t="shared" si="678"/>
        <v>551792.22199348651</v>
      </c>
      <c r="L222" s="552">
        <f t="shared" si="678"/>
        <v>596792.27909933229</v>
      </c>
      <c r="M222" s="552">
        <f t="shared" si="678"/>
        <v>641803.71094261191</v>
      </c>
      <c r="N222" s="552">
        <f t="shared" si="678"/>
        <v>686839.93379210017</v>
      </c>
      <c r="O222" s="552">
        <f t="shared" si="678"/>
        <v>731840.63863689208</v>
      </c>
      <c r="P222" s="552">
        <f t="shared" si="678"/>
        <v>776881.42843222187</v>
      </c>
      <c r="Q222" s="552">
        <f t="shared" si="678"/>
        <v>837436.41734450264</v>
      </c>
      <c r="R222" s="552">
        <f t="shared" si="678"/>
        <v>897997.80516540015</v>
      </c>
      <c r="S222" s="552">
        <f t="shared" si="678"/>
        <v>958563.79250708676</v>
      </c>
      <c r="T222" s="552">
        <f t="shared" si="678"/>
        <v>1019142.6226619567</v>
      </c>
      <c r="U222" s="552">
        <f t="shared" si="678"/>
        <v>1079800.1114233923</v>
      </c>
      <c r="V222" s="552">
        <f t="shared" si="678"/>
        <v>1115653.3931073945</v>
      </c>
      <c r="W222" s="552">
        <f t="shared" si="678"/>
        <v>1134739.9561174947</v>
      </c>
      <c r="X222" s="552">
        <f t="shared" si="678"/>
        <v>1153832.1920036252</v>
      </c>
      <c r="Y222" s="552">
        <f t="shared" si="678"/>
        <v>1172931.0181583154</v>
      </c>
      <c r="Z222" s="552">
        <f t="shared" si="678"/>
        <v>1192047.7598978698</v>
      </c>
      <c r="AA222" s="552">
        <f t="shared" si="678"/>
        <v>1211163.056774992</v>
      </c>
      <c r="AB222" s="552">
        <f t="shared" si="678"/>
        <v>1230298.8272512695</v>
      </c>
      <c r="AC222" s="552">
        <f t="shared" si="678"/>
        <v>1249436.0349067834</v>
      </c>
      <c r="AD222" s="552">
        <f t="shared" si="678"/>
        <v>1268586.7024546289</v>
      </c>
      <c r="AE222" s="552">
        <f t="shared" si="678"/>
        <v>1287763.1075140983</v>
      </c>
      <c r="AF222" s="552">
        <f t="shared" si="678"/>
        <v>1306946.8495913164</v>
      </c>
      <c r="AG222" s="552">
        <f t="shared" si="678"/>
        <v>1326150.7269540674</v>
      </c>
      <c r="AH222" s="727">
        <f t="shared" si="678"/>
        <v>1345387.8902446793</v>
      </c>
      <c r="AI222" s="18"/>
      <c r="AJ222" s="18"/>
      <c r="AK222" s="18"/>
      <c r="AL222" s="18"/>
      <c r="AM222" s="18"/>
      <c r="AN222" s="18"/>
    </row>
    <row r="223" spans="2:40" ht="21.9" customHeight="1" x14ac:dyDescent="0.25">
      <c r="B223" s="229"/>
      <c r="C223" s="690"/>
      <c r="D223" s="690"/>
      <c r="E223" s="114"/>
      <c r="F223" s="114"/>
      <c r="G223" s="114"/>
      <c r="H223" s="122" t="s">
        <v>19</v>
      </c>
      <c r="I223" s="552">
        <f t="shared" ref="I223:AH223" si="679">I159*$D$14</f>
        <v>2097904.2500244281</v>
      </c>
      <c r="J223" s="552">
        <f t="shared" si="679"/>
        <v>2175914.8740736162</v>
      </c>
      <c r="K223" s="552">
        <f t="shared" si="679"/>
        <v>2258956.3041405105</v>
      </c>
      <c r="L223" s="552">
        <f t="shared" si="679"/>
        <v>2443179.9278782392</v>
      </c>
      <c r="M223" s="552">
        <f t="shared" si="679"/>
        <v>2627450.1181201884</v>
      </c>
      <c r="N223" s="552">
        <f t="shared" si="679"/>
        <v>2811821.7991000069</v>
      </c>
      <c r="O223" s="552">
        <f t="shared" si="679"/>
        <v>2996048.0745858345</v>
      </c>
      <c r="P223" s="552">
        <f t="shared" si="679"/>
        <v>3180438.4519710904</v>
      </c>
      <c r="Q223" s="552">
        <f t="shared" si="679"/>
        <v>3428341.6816620845</v>
      </c>
      <c r="R223" s="552">
        <f t="shared" si="679"/>
        <v>3676271.1075450205</v>
      </c>
      <c r="S223" s="552">
        <f t="shared" si="679"/>
        <v>3924219.3631904447</v>
      </c>
      <c r="T223" s="552">
        <f t="shared" si="679"/>
        <v>4172220.1954265609</v>
      </c>
      <c r="U223" s="552">
        <f t="shared" si="679"/>
        <v>4420543.0444438029</v>
      </c>
      <c r="V223" s="552">
        <f t="shared" si="679"/>
        <v>4567321.113173373</v>
      </c>
      <c r="W223" s="552">
        <f t="shared" si="679"/>
        <v>4645458.6985135125</v>
      </c>
      <c r="X223" s="552">
        <f t="shared" si="679"/>
        <v>4723619.5077748317</v>
      </c>
      <c r="Y223" s="552">
        <f t="shared" si="679"/>
        <v>4801807.2966275895</v>
      </c>
      <c r="Z223" s="552">
        <f t="shared" si="679"/>
        <v>4880068.4292531637</v>
      </c>
      <c r="AA223" s="552">
        <f t="shared" si="679"/>
        <v>4958323.6468241755</v>
      </c>
      <c r="AB223" s="552">
        <f t="shared" si="679"/>
        <v>5036662.6803027643</v>
      </c>
      <c r="AC223" s="552">
        <f t="shared" si="679"/>
        <v>5115007.5973820407</v>
      </c>
      <c r="AD223" s="552">
        <f t="shared" si="679"/>
        <v>5193407.6172834001</v>
      </c>
      <c r="AE223" s="552">
        <f t="shared" si="679"/>
        <v>5271913.0027767681</v>
      </c>
      <c r="AF223" s="552">
        <f t="shared" si="679"/>
        <v>5350448.4249430653</v>
      </c>
      <c r="AG223" s="552">
        <f t="shared" si="679"/>
        <v>5429066.2780106636</v>
      </c>
      <c r="AH223" s="727">
        <f t="shared" si="679"/>
        <v>5507820.3987775575</v>
      </c>
      <c r="AI223" s="18"/>
      <c r="AJ223" s="18"/>
      <c r="AK223" s="18"/>
      <c r="AL223" s="18"/>
      <c r="AM223" s="18"/>
      <c r="AN223" s="18"/>
    </row>
    <row r="224" spans="2:40" ht="21.9" customHeight="1" x14ac:dyDescent="0.25">
      <c r="B224" s="229"/>
      <c r="C224" s="690"/>
      <c r="D224" s="690"/>
      <c r="E224" s="114"/>
      <c r="F224" s="114"/>
      <c r="G224" s="114"/>
      <c r="H224" s="696" t="s">
        <v>25</v>
      </c>
      <c r="I224" s="552">
        <f t="shared" ref="I224" si="680">SUM(I222:I223)</f>
        <v>2610356.5030975593</v>
      </c>
      <c r="J224" s="552">
        <f t="shared" ref="J224:AH224" si="681">SUM(J222:J223)</f>
        <v>2707422.6774928523</v>
      </c>
      <c r="K224" s="552">
        <f t="shared" si="681"/>
        <v>2810748.5261339969</v>
      </c>
      <c r="L224" s="552">
        <f t="shared" si="681"/>
        <v>3039972.2069775714</v>
      </c>
      <c r="M224" s="552">
        <f t="shared" si="681"/>
        <v>3269253.8290628004</v>
      </c>
      <c r="N224" s="552">
        <f t="shared" si="681"/>
        <v>3498661.7328921072</v>
      </c>
      <c r="O224" s="552">
        <f t="shared" si="681"/>
        <v>3727888.7132227267</v>
      </c>
      <c r="P224" s="552">
        <f t="shared" si="681"/>
        <v>3957319.8804033124</v>
      </c>
      <c r="Q224" s="552">
        <f t="shared" si="681"/>
        <v>4265778.0990065876</v>
      </c>
      <c r="R224" s="552">
        <f t="shared" si="681"/>
        <v>4574268.9127104208</v>
      </c>
      <c r="S224" s="552">
        <f t="shared" si="681"/>
        <v>4882783.1556975311</v>
      </c>
      <c r="T224" s="552">
        <f t="shared" si="681"/>
        <v>5191362.8180885175</v>
      </c>
      <c r="U224" s="552">
        <f t="shared" si="681"/>
        <v>5500343.1558671948</v>
      </c>
      <c r="V224" s="552">
        <f t="shared" si="681"/>
        <v>5682974.5062807677</v>
      </c>
      <c r="W224" s="552">
        <f t="shared" si="681"/>
        <v>5780198.6546310075</v>
      </c>
      <c r="X224" s="552">
        <f t="shared" si="681"/>
        <v>5877451.6997784572</v>
      </c>
      <c r="Y224" s="552">
        <f t="shared" si="681"/>
        <v>5974738.3147859052</v>
      </c>
      <c r="Z224" s="552">
        <f t="shared" si="681"/>
        <v>6072116.1891510338</v>
      </c>
      <c r="AA224" s="552">
        <f t="shared" si="681"/>
        <v>6169486.703599168</v>
      </c>
      <c r="AB224" s="552">
        <f t="shared" si="681"/>
        <v>6266961.5075540338</v>
      </c>
      <c r="AC224" s="552">
        <f t="shared" si="681"/>
        <v>6364443.6322888238</v>
      </c>
      <c r="AD224" s="552">
        <f t="shared" si="681"/>
        <v>6461994.3197380286</v>
      </c>
      <c r="AE224" s="552">
        <f t="shared" si="681"/>
        <v>6559676.1102908663</v>
      </c>
      <c r="AF224" s="552">
        <f t="shared" si="681"/>
        <v>6657395.2745343819</v>
      </c>
      <c r="AG224" s="552">
        <f t="shared" si="681"/>
        <v>6755217.0049647307</v>
      </c>
      <c r="AH224" s="727">
        <f t="shared" si="681"/>
        <v>6853208.2890222371</v>
      </c>
      <c r="AI224" s="18"/>
      <c r="AJ224" s="18"/>
      <c r="AK224" s="18"/>
      <c r="AL224" s="18"/>
      <c r="AM224" s="18"/>
      <c r="AN224" s="18"/>
    </row>
    <row r="225" spans="2:40" ht="21.9" customHeight="1" x14ac:dyDescent="0.25">
      <c r="B225" s="229"/>
      <c r="C225" s="690"/>
      <c r="D225" s="690"/>
      <c r="E225" s="114"/>
      <c r="F225" s="114" t="s">
        <v>333</v>
      </c>
      <c r="G225" s="114" t="s">
        <v>323</v>
      </c>
      <c r="H225" s="114" t="s">
        <v>20</v>
      </c>
      <c r="I225" s="552">
        <f t="shared" ref="I225:AH225" si="682">I161*$D$13</f>
        <v>74631.825897541814</v>
      </c>
      <c r="J225" s="552">
        <f t="shared" si="682"/>
        <v>77287.638820260807</v>
      </c>
      <c r="K225" s="552">
        <f t="shared" si="682"/>
        <v>80177.952866522959</v>
      </c>
      <c r="L225" s="552">
        <f t="shared" si="682"/>
        <v>85703.949204307064</v>
      </c>
      <c r="M225" s="552">
        <f t="shared" si="682"/>
        <v>91232.106523326656</v>
      </c>
      <c r="N225" s="552">
        <f t="shared" si="682"/>
        <v>96761.050466676068</v>
      </c>
      <c r="O225" s="552">
        <f t="shared" si="682"/>
        <v>102287.05015229573</v>
      </c>
      <c r="P225" s="552">
        <f t="shared" si="682"/>
        <v>107817.66809083887</v>
      </c>
      <c r="Q225" s="552">
        <f t="shared" si="682"/>
        <v>115405.58172939823</v>
      </c>
      <c r="R225" s="552">
        <f t="shared" si="682"/>
        <v>122994.98446146955</v>
      </c>
      <c r="S225" s="552">
        <f t="shared" si="682"/>
        <v>130581.96063658137</v>
      </c>
      <c r="T225" s="552">
        <f t="shared" si="682"/>
        <v>138169.9674531951</v>
      </c>
      <c r="U225" s="552">
        <f t="shared" si="682"/>
        <v>145763.94713672544</v>
      </c>
      <c r="V225" s="552">
        <f t="shared" si="682"/>
        <v>150712.91553396796</v>
      </c>
      <c r="W225" s="552">
        <f t="shared" si="682"/>
        <v>153368.85994821641</v>
      </c>
      <c r="X225" s="552">
        <f t="shared" si="682"/>
        <v>156024.8292401272</v>
      </c>
      <c r="Y225" s="552">
        <f t="shared" si="682"/>
        <v>158680.82756612831</v>
      </c>
      <c r="Z225" s="552">
        <f t="shared" si="682"/>
        <v>161337.84177308093</v>
      </c>
      <c r="AA225" s="552">
        <f t="shared" si="682"/>
        <v>163993.9131481603</v>
      </c>
      <c r="AB225" s="552">
        <f t="shared" si="682"/>
        <v>166651.01209200729</v>
      </c>
      <c r="AC225" s="552">
        <f t="shared" si="682"/>
        <v>169307.18145422163</v>
      </c>
      <c r="AD225" s="552">
        <f t="shared" si="682"/>
        <v>171963.41136456933</v>
      </c>
      <c r="AE225" s="552">
        <f t="shared" si="682"/>
        <v>174620.69311629675</v>
      </c>
      <c r="AF225" s="552">
        <f t="shared" si="682"/>
        <v>177277.07265531993</v>
      </c>
      <c r="AG225" s="552">
        <f t="shared" si="682"/>
        <v>179933.54377612777</v>
      </c>
      <c r="AH225" s="727">
        <f t="shared" si="682"/>
        <v>182591.10189024711</v>
      </c>
      <c r="AI225" s="18"/>
      <c r="AJ225" s="18"/>
      <c r="AK225" s="18"/>
      <c r="AL225" s="18"/>
      <c r="AM225" s="18"/>
      <c r="AN225" s="18"/>
    </row>
    <row r="226" spans="2:40" ht="21.9" customHeight="1" x14ac:dyDescent="0.25">
      <c r="B226" s="229"/>
      <c r="C226" s="690"/>
      <c r="D226" s="690"/>
      <c r="E226" s="114"/>
      <c r="F226" s="114"/>
      <c r="G226" s="114"/>
      <c r="H226" s="122" t="s">
        <v>19</v>
      </c>
      <c r="I226" s="552">
        <f t="shared" ref="I226:AH226" si="683">I162*$D$14</f>
        <v>305531.73256356479</v>
      </c>
      <c r="J226" s="552">
        <f t="shared" si="683"/>
        <v>316404.24055709853</v>
      </c>
      <c r="K226" s="552">
        <f t="shared" si="683"/>
        <v>328236.76170457277</v>
      </c>
      <c r="L226" s="552">
        <f t="shared" si="683"/>
        <v>350859.37899844634</v>
      </c>
      <c r="M226" s="552">
        <f t="shared" si="683"/>
        <v>373490.84303207172</v>
      </c>
      <c r="N226" s="552">
        <f t="shared" si="683"/>
        <v>396125.52739015617</v>
      </c>
      <c r="O226" s="552">
        <f t="shared" si="683"/>
        <v>418748.15838957677</v>
      </c>
      <c r="P226" s="552">
        <f t="shared" si="683"/>
        <v>441389.69583809137</v>
      </c>
      <c r="Q226" s="552">
        <f t="shared" si="683"/>
        <v>472453.49968652579</v>
      </c>
      <c r="R226" s="552">
        <f t="shared" si="683"/>
        <v>503523.39966506534</v>
      </c>
      <c r="S226" s="552">
        <f t="shared" si="683"/>
        <v>534583.36567584937</v>
      </c>
      <c r="T226" s="552">
        <f t="shared" si="683"/>
        <v>565647.55098155153</v>
      </c>
      <c r="U226" s="552">
        <f t="shared" si="683"/>
        <v>596736.18832705636</v>
      </c>
      <c r="V226" s="552">
        <f t="shared" si="683"/>
        <v>616996.53799192549</v>
      </c>
      <c r="W226" s="552">
        <f t="shared" si="683"/>
        <v>627869.58429246605</v>
      </c>
      <c r="X226" s="552">
        <f t="shared" si="683"/>
        <v>638742.73243850202</v>
      </c>
      <c r="Y226" s="552">
        <f t="shared" si="683"/>
        <v>649615.99944583874</v>
      </c>
      <c r="Z226" s="552">
        <f t="shared" si="683"/>
        <v>660493.42532056826</v>
      </c>
      <c r="AA226" s="552">
        <f t="shared" si="683"/>
        <v>671366.99138010142</v>
      </c>
      <c r="AB226" s="552">
        <f t="shared" si="683"/>
        <v>682244.76415522967</v>
      </c>
      <c r="AC226" s="552">
        <f t="shared" si="683"/>
        <v>693118.73135969997</v>
      </c>
      <c r="AD226" s="552">
        <f t="shared" si="683"/>
        <v>703992.94643933431</v>
      </c>
      <c r="AE226" s="552">
        <f t="shared" si="683"/>
        <v>714871.46760307229</v>
      </c>
      <c r="AF226" s="552">
        <f t="shared" si="683"/>
        <v>725746.29524052527</v>
      </c>
      <c r="AG226" s="552">
        <f t="shared" si="683"/>
        <v>736621.49780035194</v>
      </c>
      <c r="AH226" s="727">
        <f t="shared" si="683"/>
        <v>747501.15035112761</v>
      </c>
      <c r="AI226" s="18"/>
      <c r="AJ226" s="18"/>
      <c r="AK226" s="18"/>
      <c r="AL226" s="18"/>
      <c r="AM226" s="18"/>
      <c r="AN226" s="18"/>
    </row>
    <row r="227" spans="2:40" ht="21.9" customHeight="1" x14ac:dyDescent="0.25">
      <c r="B227" s="229"/>
      <c r="C227" s="690"/>
      <c r="D227" s="690"/>
      <c r="E227" s="114"/>
      <c r="F227" s="114"/>
      <c r="G227" s="114"/>
      <c r="H227" s="696" t="s">
        <v>25</v>
      </c>
      <c r="I227" s="552">
        <f t="shared" ref="I227" si="684">SUM(I225:I226)</f>
        <v>380163.55846110662</v>
      </c>
      <c r="J227" s="552">
        <f t="shared" ref="J227:AH227" si="685">SUM(J225:J226)</f>
        <v>393691.87937735935</v>
      </c>
      <c r="K227" s="552">
        <f t="shared" si="685"/>
        <v>408414.71457109571</v>
      </c>
      <c r="L227" s="552">
        <f t="shared" si="685"/>
        <v>436563.32820275339</v>
      </c>
      <c r="M227" s="552">
        <f t="shared" si="685"/>
        <v>464722.94955539837</v>
      </c>
      <c r="N227" s="552">
        <f t="shared" si="685"/>
        <v>492886.57785683224</v>
      </c>
      <c r="O227" s="552">
        <f t="shared" si="685"/>
        <v>521035.2085418725</v>
      </c>
      <c r="P227" s="552">
        <f t="shared" si="685"/>
        <v>549207.36392893025</v>
      </c>
      <c r="Q227" s="552">
        <f t="shared" si="685"/>
        <v>587859.08141592401</v>
      </c>
      <c r="R227" s="552">
        <f t="shared" si="685"/>
        <v>626518.38412653492</v>
      </c>
      <c r="S227" s="552">
        <f t="shared" si="685"/>
        <v>665165.32631243079</v>
      </c>
      <c r="T227" s="552">
        <f t="shared" si="685"/>
        <v>703817.51843474666</v>
      </c>
      <c r="U227" s="552">
        <f t="shared" si="685"/>
        <v>742500.13546378177</v>
      </c>
      <c r="V227" s="552">
        <f t="shared" si="685"/>
        <v>767709.45352589339</v>
      </c>
      <c r="W227" s="552">
        <f t="shared" si="685"/>
        <v>781238.44424068253</v>
      </c>
      <c r="X227" s="552">
        <f t="shared" si="685"/>
        <v>794767.56167862925</v>
      </c>
      <c r="Y227" s="552">
        <f t="shared" si="685"/>
        <v>808296.82701196708</v>
      </c>
      <c r="Z227" s="552">
        <f t="shared" si="685"/>
        <v>821831.26709364913</v>
      </c>
      <c r="AA227" s="552">
        <f t="shared" si="685"/>
        <v>835360.90452826174</v>
      </c>
      <c r="AB227" s="552">
        <f t="shared" si="685"/>
        <v>848895.77624723699</v>
      </c>
      <c r="AC227" s="552">
        <f t="shared" si="685"/>
        <v>862425.91281392158</v>
      </c>
      <c r="AD227" s="552">
        <f t="shared" si="685"/>
        <v>875956.35780390364</v>
      </c>
      <c r="AE227" s="552">
        <f t="shared" si="685"/>
        <v>889492.16071936907</v>
      </c>
      <c r="AF227" s="552">
        <f t="shared" si="685"/>
        <v>903023.36789584521</v>
      </c>
      <c r="AG227" s="552">
        <f t="shared" si="685"/>
        <v>916555.04157647968</v>
      </c>
      <c r="AH227" s="727">
        <f t="shared" si="685"/>
        <v>930092.25224137469</v>
      </c>
      <c r="AI227" s="18"/>
      <c r="AJ227" s="18"/>
      <c r="AK227" s="18"/>
      <c r="AL227" s="18"/>
      <c r="AM227" s="18"/>
      <c r="AN227" s="18"/>
    </row>
    <row r="228" spans="2:40" ht="21.9" customHeight="1" x14ac:dyDescent="0.25">
      <c r="B228" s="229"/>
      <c r="C228" s="690"/>
      <c r="D228" s="690"/>
      <c r="E228" s="114"/>
      <c r="F228" s="114" t="s">
        <v>323</v>
      </c>
      <c r="G228" s="114" t="s">
        <v>322</v>
      </c>
      <c r="H228" s="114" t="s">
        <v>20</v>
      </c>
      <c r="I228" s="552">
        <f t="shared" ref="I228:AH228" si="686">I164*$D$13</f>
        <v>22479.344648164213</v>
      </c>
      <c r="J228" s="552">
        <f t="shared" si="686"/>
        <v>23279.284055599022</v>
      </c>
      <c r="K228" s="552">
        <f t="shared" si="686"/>
        <v>24149.855988010488</v>
      </c>
      <c r="L228" s="552">
        <f t="shared" si="686"/>
        <v>25814.30408414784</v>
      </c>
      <c r="M228" s="552">
        <f t="shared" si="686"/>
        <v>27479.403378573337</v>
      </c>
      <c r="N228" s="552">
        <f t="shared" si="686"/>
        <v>29144.740138556655</v>
      </c>
      <c r="O228" s="552">
        <f t="shared" si="686"/>
        <v>30809.190978040344</v>
      </c>
      <c r="P228" s="552">
        <f t="shared" si="686"/>
        <v>32475.034334140877</v>
      </c>
      <c r="Q228" s="552">
        <f t="shared" si="686"/>
        <v>34760.547175842876</v>
      </c>
      <c r="R228" s="552">
        <f t="shared" si="686"/>
        <v>37046.516879284354</v>
      </c>
      <c r="S228" s="552">
        <f t="shared" si="686"/>
        <v>39331.770433236779</v>
      </c>
      <c r="T228" s="552">
        <f t="shared" si="686"/>
        <v>41617.35962865012</v>
      </c>
      <c r="U228" s="552">
        <f t="shared" si="686"/>
        <v>43904.789785917994</v>
      </c>
      <c r="V228" s="552">
        <f t="shared" si="686"/>
        <v>45395.533847834675</v>
      </c>
      <c r="W228" s="552">
        <f t="shared" si="686"/>
        <v>46195.581004528191</v>
      </c>
      <c r="X228" s="552">
        <f t="shared" si="686"/>
        <v>46995.648546943012</v>
      </c>
      <c r="Y228" s="552">
        <f t="shared" si="686"/>
        <v>47795.739881017427</v>
      </c>
      <c r="Z228" s="552">
        <f t="shared" si="686"/>
        <v>48596.154761185258</v>
      </c>
      <c r="AA228" s="552">
        <f t="shared" si="686"/>
        <v>49396.305954507428</v>
      </c>
      <c r="AB228" s="552">
        <f t="shared" si="686"/>
        <v>50196.790271372745</v>
      </c>
      <c r="AC228" s="552">
        <f t="shared" si="686"/>
        <v>50997.021759153336</v>
      </c>
      <c r="AD228" s="552">
        <f t="shared" si="686"/>
        <v>51797.302862422599</v>
      </c>
      <c r="AE228" s="552">
        <f t="shared" si="686"/>
        <v>52597.936979154743</v>
      </c>
      <c r="AF228" s="552">
        <f t="shared" si="686"/>
        <v>53398.340693963582</v>
      </c>
      <c r="AG228" s="552">
        <f t="shared" si="686"/>
        <v>54198.819454438373</v>
      </c>
      <c r="AH228" s="727">
        <f t="shared" si="686"/>
        <v>54999.680033232289</v>
      </c>
      <c r="AI228" s="18"/>
      <c r="AJ228" s="18"/>
      <c r="AK228" s="18"/>
      <c r="AL228" s="18"/>
      <c r="AM228" s="18"/>
      <c r="AN228" s="18"/>
    </row>
    <row r="229" spans="2:40" ht="21.9" customHeight="1" x14ac:dyDescent="0.25">
      <c r="B229" s="229"/>
      <c r="C229" s="690"/>
      <c r="D229" s="690"/>
      <c r="E229" s="114"/>
      <c r="F229" s="114"/>
      <c r="G229" s="114"/>
      <c r="H229" s="122" t="s">
        <v>19</v>
      </c>
      <c r="I229" s="552">
        <f t="shared" ref="I229:AH229" si="687">I165*$D$14</f>
        <v>92027.135001038871</v>
      </c>
      <c r="J229" s="552">
        <f t="shared" si="687"/>
        <v>95301.969432062469</v>
      </c>
      <c r="K229" s="552">
        <f t="shared" si="687"/>
        <v>98865.963045136421</v>
      </c>
      <c r="L229" s="552">
        <f t="shared" si="687"/>
        <v>105679.96906011885</v>
      </c>
      <c r="M229" s="552">
        <f t="shared" si="687"/>
        <v>112496.64098523853</v>
      </c>
      <c r="N229" s="552">
        <f t="shared" si="687"/>
        <v>119314.2850594706</v>
      </c>
      <c r="O229" s="552">
        <f t="shared" si="687"/>
        <v>126128.30230530998</v>
      </c>
      <c r="P229" s="552">
        <f t="shared" si="687"/>
        <v>132948.02030963209</v>
      </c>
      <c r="Q229" s="552">
        <f t="shared" si="687"/>
        <v>142304.57416482171</v>
      </c>
      <c r="R229" s="552">
        <f t="shared" si="687"/>
        <v>151662.99834486443</v>
      </c>
      <c r="S229" s="552">
        <f t="shared" si="687"/>
        <v>161018.49071409411</v>
      </c>
      <c r="T229" s="552">
        <f t="shared" si="687"/>
        <v>170375.35715016242</v>
      </c>
      <c r="U229" s="552">
        <f t="shared" si="687"/>
        <v>179739.76021364448</v>
      </c>
      <c r="V229" s="552">
        <f t="shared" si="687"/>
        <v>185842.64742789461</v>
      </c>
      <c r="W229" s="552">
        <f t="shared" si="687"/>
        <v>189117.92296855606</v>
      </c>
      <c r="X229" s="552">
        <f t="shared" si="687"/>
        <v>192393.2819653661</v>
      </c>
      <c r="Y229" s="552">
        <f t="shared" si="687"/>
        <v>195668.73836173577</v>
      </c>
      <c r="Z229" s="552">
        <f t="shared" si="687"/>
        <v>198945.5193082862</v>
      </c>
      <c r="AA229" s="552">
        <f t="shared" si="687"/>
        <v>202221.22075962348</v>
      </c>
      <c r="AB229" s="552">
        <f t="shared" si="687"/>
        <v>205498.28596981388</v>
      </c>
      <c r="AC229" s="552">
        <f t="shared" si="687"/>
        <v>208774.31613486947</v>
      </c>
      <c r="AD229" s="552">
        <f t="shared" si="687"/>
        <v>212050.54941844763</v>
      </c>
      <c r="AE229" s="552">
        <f t="shared" si="687"/>
        <v>215328.22788728873</v>
      </c>
      <c r="AF229" s="552">
        <f t="shared" si="687"/>
        <v>218604.96312449957</v>
      </c>
      <c r="AG229" s="552">
        <f t="shared" si="687"/>
        <v>221882.00558764333</v>
      </c>
      <c r="AH229" s="727">
        <f t="shared" si="687"/>
        <v>225160.61115890037</v>
      </c>
      <c r="AI229" s="18"/>
      <c r="AJ229" s="18"/>
      <c r="AK229" s="18"/>
      <c r="AL229" s="18"/>
      <c r="AM229" s="18"/>
      <c r="AN229" s="18"/>
    </row>
    <row r="230" spans="2:40" ht="21.9" customHeight="1" x14ac:dyDescent="0.25">
      <c r="B230" s="229"/>
      <c r="C230" s="690"/>
      <c r="D230" s="690"/>
      <c r="E230" s="114"/>
      <c r="F230" s="114"/>
      <c r="G230" s="114"/>
      <c r="H230" s="696" t="s">
        <v>25</v>
      </c>
      <c r="I230" s="552">
        <f t="shared" ref="I230" si="688">SUM(I228:I229)</f>
        <v>114506.47964920309</v>
      </c>
      <c r="J230" s="552">
        <f t="shared" ref="J230:AH230" si="689">SUM(J228:J229)</f>
        <v>118581.2534876615</v>
      </c>
      <c r="K230" s="552">
        <f t="shared" si="689"/>
        <v>123015.81903314691</v>
      </c>
      <c r="L230" s="552">
        <f t="shared" si="689"/>
        <v>131494.27314426668</v>
      </c>
      <c r="M230" s="552">
        <f t="shared" si="689"/>
        <v>139976.04436381187</v>
      </c>
      <c r="N230" s="552">
        <f t="shared" si="689"/>
        <v>148459.02519802726</v>
      </c>
      <c r="O230" s="552">
        <f t="shared" si="689"/>
        <v>156937.49328335031</v>
      </c>
      <c r="P230" s="552">
        <f t="shared" si="689"/>
        <v>165423.05464377298</v>
      </c>
      <c r="Q230" s="552">
        <f t="shared" si="689"/>
        <v>177065.12134066457</v>
      </c>
      <c r="R230" s="552">
        <f t="shared" si="689"/>
        <v>188709.51522414878</v>
      </c>
      <c r="S230" s="552">
        <f t="shared" si="689"/>
        <v>200350.26114733089</v>
      </c>
      <c r="T230" s="552">
        <f t="shared" si="689"/>
        <v>211992.71677881255</v>
      </c>
      <c r="U230" s="552">
        <f t="shared" si="689"/>
        <v>223644.54999956247</v>
      </c>
      <c r="V230" s="552">
        <f t="shared" si="689"/>
        <v>231238.18127572929</v>
      </c>
      <c r="W230" s="552">
        <f t="shared" si="689"/>
        <v>235313.50397308424</v>
      </c>
      <c r="X230" s="552">
        <f t="shared" si="689"/>
        <v>239388.9305123091</v>
      </c>
      <c r="Y230" s="552">
        <f t="shared" si="689"/>
        <v>243464.47824275319</v>
      </c>
      <c r="Z230" s="552">
        <f t="shared" si="689"/>
        <v>247541.67406947145</v>
      </c>
      <c r="AA230" s="552">
        <f t="shared" si="689"/>
        <v>251617.52671413092</v>
      </c>
      <c r="AB230" s="552">
        <f t="shared" si="689"/>
        <v>255695.07624118662</v>
      </c>
      <c r="AC230" s="552">
        <f t="shared" si="689"/>
        <v>259771.33789402281</v>
      </c>
      <c r="AD230" s="552">
        <f t="shared" si="689"/>
        <v>263847.8522808702</v>
      </c>
      <c r="AE230" s="552">
        <f t="shared" si="689"/>
        <v>267926.16486644349</v>
      </c>
      <c r="AF230" s="552">
        <f t="shared" si="689"/>
        <v>272003.30381846317</v>
      </c>
      <c r="AG230" s="552">
        <f t="shared" si="689"/>
        <v>276080.82504208171</v>
      </c>
      <c r="AH230" s="727">
        <f t="shared" si="689"/>
        <v>280160.29119213263</v>
      </c>
      <c r="AI230" s="18"/>
      <c r="AJ230" s="18"/>
      <c r="AK230" s="18"/>
      <c r="AL230" s="18"/>
      <c r="AM230" s="18"/>
      <c r="AN230" s="18"/>
    </row>
    <row r="231" spans="2:40" ht="21.9" customHeight="1" x14ac:dyDescent="0.25">
      <c r="B231" s="229"/>
      <c r="C231" s="690"/>
      <c r="D231" s="690"/>
      <c r="E231" s="114"/>
      <c r="F231" s="114" t="s">
        <v>322</v>
      </c>
      <c r="G231" s="114" t="s">
        <v>326</v>
      </c>
      <c r="H231" s="114" t="s">
        <v>20</v>
      </c>
      <c r="I231" s="552">
        <f t="shared" ref="I231:AH231" si="690">I167*$D$13</f>
        <v>57677.265354001167</v>
      </c>
      <c r="J231" s="552">
        <f t="shared" si="690"/>
        <v>59663.574266502117</v>
      </c>
      <c r="K231" s="552">
        <f t="shared" si="690"/>
        <v>61879.63096674384</v>
      </c>
      <c r="L231" s="552">
        <f t="shared" si="690"/>
        <v>65750.83299590736</v>
      </c>
      <c r="M231" s="552">
        <f t="shared" si="690"/>
        <v>69624.342204564906</v>
      </c>
      <c r="N231" s="552">
        <f t="shared" si="690"/>
        <v>73496.505758580068</v>
      </c>
      <c r="O231" s="552">
        <f t="shared" si="690"/>
        <v>77367.708265518071</v>
      </c>
      <c r="P231" s="552">
        <f t="shared" si="690"/>
        <v>81242.852434995046</v>
      </c>
      <c r="Q231" s="552">
        <f t="shared" si="690"/>
        <v>86233.668366293336</v>
      </c>
      <c r="R231" s="552">
        <f t="shared" si="690"/>
        <v>91227.273726814645</v>
      </c>
      <c r="S231" s="552">
        <f t="shared" si="690"/>
        <v>96217.13286398357</v>
      </c>
      <c r="T231" s="552">
        <f t="shared" si="690"/>
        <v>101207.95780696765</v>
      </c>
      <c r="U231" s="552">
        <f t="shared" si="690"/>
        <v>106203.01954524226</v>
      </c>
      <c r="V231" s="552">
        <f t="shared" si="690"/>
        <v>109536.11059388003</v>
      </c>
      <c r="W231" s="552">
        <f t="shared" si="690"/>
        <v>111522.43314709088</v>
      </c>
      <c r="X231" s="552">
        <f t="shared" si="690"/>
        <v>113508.75836364742</v>
      </c>
      <c r="Y231" s="552">
        <f t="shared" si="690"/>
        <v>115495.08670209565</v>
      </c>
      <c r="Z231" s="552">
        <f t="shared" si="690"/>
        <v>117482.5722496349</v>
      </c>
      <c r="AA231" s="552">
        <f t="shared" si="690"/>
        <v>119468.90849418142</v>
      </c>
      <c r="AB231" s="552">
        <f t="shared" si="690"/>
        <v>121456.40325167537</v>
      </c>
      <c r="AC231" s="552">
        <f t="shared" si="690"/>
        <v>123442.75018557179</v>
      </c>
      <c r="AD231" s="552">
        <f t="shared" si="690"/>
        <v>125429.10376020838</v>
      </c>
      <c r="AE231" s="552">
        <f t="shared" si="690"/>
        <v>127416.61857935</v>
      </c>
      <c r="AF231" s="552">
        <f t="shared" si="690"/>
        <v>129402.98865625304</v>
      </c>
      <c r="AG231" s="552">
        <f t="shared" si="690"/>
        <v>131389.36888301192</v>
      </c>
      <c r="AH231" s="727">
        <f t="shared" si="690"/>
        <v>133376.91434776457</v>
      </c>
      <c r="AI231" s="18"/>
      <c r="AJ231" s="18"/>
      <c r="AK231" s="18"/>
      <c r="AL231" s="18"/>
      <c r="AM231" s="18"/>
      <c r="AN231" s="18"/>
    </row>
    <row r="232" spans="2:40" ht="21.9" customHeight="1" x14ac:dyDescent="0.25">
      <c r="B232" s="229"/>
      <c r="C232" s="690"/>
      <c r="D232" s="690"/>
      <c r="E232" s="114"/>
      <c r="F232" s="114"/>
      <c r="G232" s="114"/>
      <c r="H232" s="122" t="s">
        <v>19</v>
      </c>
      <c r="I232" s="552">
        <f t="shared" ref="I232:AH232" si="691">I168*$D$14</f>
        <v>236122.25215190504</v>
      </c>
      <c r="J232" s="552">
        <f t="shared" si="691"/>
        <v>244253.90907097899</v>
      </c>
      <c r="K232" s="552">
        <f t="shared" si="691"/>
        <v>253326.11968543549</v>
      </c>
      <c r="L232" s="552">
        <f t="shared" si="691"/>
        <v>269174.25215237646</v>
      </c>
      <c r="M232" s="552">
        <f t="shared" si="691"/>
        <v>285031.82987326459</v>
      </c>
      <c r="N232" s="552">
        <f t="shared" si="691"/>
        <v>300883.89868170995</v>
      </c>
      <c r="O232" s="552">
        <f t="shared" si="691"/>
        <v>316732.03310458944</v>
      </c>
      <c r="P232" s="552">
        <f t="shared" si="691"/>
        <v>332596.3041149131</v>
      </c>
      <c r="Q232" s="552">
        <f t="shared" si="691"/>
        <v>353027.97143722681</v>
      </c>
      <c r="R232" s="552">
        <f t="shared" si="691"/>
        <v>373471.05827304046</v>
      </c>
      <c r="S232" s="552">
        <f t="shared" si="691"/>
        <v>393898.80862073193</v>
      </c>
      <c r="T232" s="552">
        <f t="shared" si="691"/>
        <v>414330.51283556357</v>
      </c>
      <c r="U232" s="552">
        <f t="shared" si="691"/>
        <v>434779.56186797214</v>
      </c>
      <c r="V232" s="552">
        <f t="shared" si="691"/>
        <v>448424.74702370539</v>
      </c>
      <c r="W232" s="552">
        <f t="shared" si="691"/>
        <v>456556.45978584193</v>
      </c>
      <c r="X232" s="552">
        <f t="shared" si="691"/>
        <v>464688.18345132447</v>
      </c>
      <c r="Y232" s="552">
        <f t="shared" si="691"/>
        <v>472819.91989737307</v>
      </c>
      <c r="Z232" s="552">
        <f t="shared" si="691"/>
        <v>480956.39378745807</v>
      </c>
      <c r="AA232" s="552">
        <f t="shared" si="691"/>
        <v>489088.16259991168</v>
      </c>
      <c r="AB232" s="552">
        <f t="shared" si="691"/>
        <v>497224.67419419828</v>
      </c>
      <c r="AC232" s="552">
        <f t="shared" si="691"/>
        <v>505356.48676728032</v>
      </c>
      <c r="AD232" s="552">
        <f t="shared" si="691"/>
        <v>513488.32652657712</v>
      </c>
      <c r="AE232" s="552">
        <f t="shared" si="691"/>
        <v>521624.92025030241</v>
      </c>
      <c r="AF232" s="552">
        <f t="shared" si="691"/>
        <v>529756.82756745408</v>
      </c>
      <c r="AG232" s="552">
        <f t="shared" si="691"/>
        <v>537888.7764366247</v>
      </c>
      <c r="AH232" s="727">
        <f t="shared" si="691"/>
        <v>546025.49561897991</v>
      </c>
      <c r="AI232" s="18"/>
      <c r="AJ232" s="18"/>
      <c r="AK232" s="18"/>
      <c r="AL232" s="18"/>
      <c r="AM232" s="18"/>
      <c r="AN232" s="18"/>
    </row>
    <row r="233" spans="2:40" ht="21.9" customHeight="1" x14ac:dyDescent="0.25">
      <c r="B233" s="229"/>
      <c r="C233" s="690"/>
      <c r="D233" s="690"/>
      <c r="E233" s="114"/>
      <c r="F233" s="114"/>
      <c r="G233" s="114"/>
      <c r="H233" s="696" t="s">
        <v>25</v>
      </c>
      <c r="I233" s="552">
        <f t="shared" ref="I233" si="692">SUM(I231:I232)</f>
        <v>293799.51750590617</v>
      </c>
      <c r="J233" s="552">
        <f t="shared" ref="J233:AH233" si="693">SUM(J231:J232)</f>
        <v>303917.4833374811</v>
      </c>
      <c r="K233" s="552">
        <f t="shared" si="693"/>
        <v>315205.75065217935</v>
      </c>
      <c r="L233" s="552">
        <f t="shared" si="693"/>
        <v>334925.0851482838</v>
      </c>
      <c r="M233" s="552">
        <f t="shared" si="693"/>
        <v>354656.17207782948</v>
      </c>
      <c r="N233" s="552">
        <f t="shared" si="693"/>
        <v>374380.40444029</v>
      </c>
      <c r="O233" s="552">
        <f t="shared" si="693"/>
        <v>394099.74137010751</v>
      </c>
      <c r="P233" s="552">
        <f t="shared" si="693"/>
        <v>413839.15654990816</v>
      </c>
      <c r="Q233" s="552">
        <f t="shared" si="693"/>
        <v>439261.63980352017</v>
      </c>
      <c r="R233" s="552">
        <f t="shared" si="693"/>
        <v>464698.33199985512</v>
      </c>
      <c r="S233" s="552">
        <f t="shared" si="693"/>
        <v>490115.9414847155</v>
      </c>
      <c r="T233" s="552">
        <f t="shared" si="693"/>
        <v>515538.47064253123</v>
      </c>
      <c r="U233" s="552">
        <f t="shared" si="693"/>
        <v>540982.58141321444</v>
      </c>
      <c r="V233" s="552">
        <f t="shared" si="693"/>
        <v>557960.85761758545</v>
      </c>
      <c r="W233" s="552">
        <f t="shared" si="693"/>
        <v>568078.89293293282</v>
      </c>
      <c r="X233" s="552">
        <f t="shared" si="693"/>
        <v>578196.94181497185</v>
      </c>
      <c r="Y233" s="552">
        <f t="shared" si="693"/>
        <v>588315.00659946876</v>
      </c>
      <c r="Z233" s="552">
        <f t="shared" si="693"/>
        <v>598438.96603709296</v>
      </c>
      <c r="AA233" s="552">
        <f t="shared" si="693"/>
        <v>608557.07109409315</v>
      </c>
      <c r="AB233" s="552">
        <f t="shared" si="693"/>
        <v>618681.07744587364</v>
      </c>
      <c r="AC233" s="552">
        <f t="shared" si="693"/>
        <v>628799.23695285211</v>
      </c>
      <c r="AD233" s="552">
        <f t="shared" si="693"/>
        <v>638917.43028678547</v>
      </c>
      <c r="AE233" s="552">
        <f t="shared" si="693"/>
        <v>649041.53882965236</v>
      </c>
      <c r="AF233" s="552">
        <f t="shared" si="693"/>
        <v>659159.81622370717</v>
      </c>
      <c r="AG233" s="552">
        <f t="shared" si="693"/>
        <v>669278.14531963668</v>
      </c>
      <c r="AH233" s="727">
        <f t="shared" si="693"/>
        <v>679402.40996674448</v>
      </c>
      <c r="AI233" s="18"/>
      <c r="AJ233" s="18"/>
      <c r="AK233" s="18"/>
      <c r="AL233" s="18"/>
      <c r="AM233" s="18"/>
      <c r="AN233" s="18"/>
    </row>
    <row r="234" spans="2:40" ht="21.9" customHeight="1" x14ac:dyDescent="0.25">
      <c r="B234" s="229"/>
      <c r="C234" s="690"/>
      <c r="D234" s="690"/>
      <c r="E234" s="114"/>
      <c r="F234" s="114" t="s">
        <v>326</v>
      </c>
      <c r="G234" s="114" t="s">
        <v>274</v>
      </c>
      <c r="H234" s="114" t="s">
        <v>20</v>
      </c>
      <c r="I234" s="552">
        <f t="shared" ref="I234:AH234" si="694">I170*$D$13</f>
        <v>393203.86295839358</v>
      </c>
      <c r="J234" s="552">
        <f t="shared" si="694"/>
        <v>406745.14871525264</v>
      </c>
      <c r="K234" s="552">
        <f t="shared" si="694"/>
        <v>421852.69656151329</v>
      </c>
      <c r="L234" s="552">
        <f t="shared" si="694"/>
        <v>448243.88477258437</v>
      </c>
      <c r="M234" s="552">
        <f t="shared" si="694"/>
        <v>474650.80136089382</v>
      </c>
      <c r="N234" s="552">
        <f t="shared" si="694"/>
        <v>501048.54356380878</v>
      </c>
      <c r="O234" s="552">
        <f t="shared" si="694"/>
        <v>527439.732972114</v>
      </c>
      <c r="P234" s="552">
        <f t="shared" si="694"/>
        <v>553857.79227014561</v>
      </c>
      <c r="Q234" s="552">
        <f t="shared" si="694"/>
        <v>587881.72794512799</v>
      </c>
      <c r="R234" s="552">
        <f t="shared" si="694"/>
        <v>621924.67272023892</v>
      </c>
      <c r="S234" s="552">
        <f t="shared" si="694"/>
        <v>655942.06625788775</v>
      </c>
      <c r="T234" s="552">
        <f t="shared" si="694"/>
        <v>689966.02451486047</v>
      </c>
      <c r="U234" s="552">
        <f t="shared" si="694"/>
        <v>724018.83558644599</v>
      </c>
      <c r="V234" s="552">
        <f t="shared" si="694"/>
        <v>746741.47662404296</v>
      </c>
      <c r="W234" s="552">
        <f t="shared" si="694"/>
        <v>760282.79656256188</v>
      </c>
      <c r="X234" s="552">
        <f t="shared" si="694"/>
        <v>773824.12317504256</v>
      </c>
      <c r="Y234" s="552">
        <f t="shared" si="694"/>
        <v>787365.45761053567</v>
      </c>
      <c r="Z234" s="552">
        <f t="shared" si="694"/>
        <v>800914.66530420433</v>
      </c>
      <c r="AA234" s="552">
        <f t="shared" si="694"/>
        <v>814456.01955124422</v>
      </c>
      <c r="AB234" s="552">
        <f t="shared" si="694"/>
        <v>828005.25032373669</v>
      </c>
      <c r="AC234" s="552">
        <f t="shared" si="694"/>
        <v>841546.63135675224</v>
      </c>
      <c r="AD234" s="552">
        <f t="shared" si="694"/>
        <v>855088.02903050894</v>
      </c>
      <c r="AE234" s="552">
        <f t="shared" si="694"/>
        <v>868637.31007460947</v>
      </c>
      <c r="AF234" s="552">
        <f t="shared" si="694"/>
        <v>882178.74910067604</v>
      </c>
      <c r="AG234" s="552">
        <f t="shared" si="694"/>
        <v>895720.21356082347</v>
      </c>
      <c r="AH234" s="727">
        <f t="shared" si="694"/>
        <v>909269.57139842364</v>
      </c>
      <c r="AI234" s="18"/>
      <c r="AJ234" s="18"/>
      <c r="AK234" s="18"/>
      <c r="AL234" s="18"/>
      <c r="AM234" s="18"/>
      <c r="AN234" s="18"/>
    </row>
    <row r="235" spans="2:40" ht="21.9" customHeight="1" x14ac:dyDescent="0.25">
      <c r="B235" s="229"/>
      <c r="C235" s="690"/>
      <c r="D235" s="690"/>
      <c r="E235" s="114"/>
      <c r="F235" s="114"/>
      <c r="G235" s="114"/>
      <c r="H235" s="122" t="s">
        <v>19</v>
      </c>
      <c r="I235" s="552">
        <f t="shared" ref="I235:AH235" si="695">I171*$D$14</f>
        <v>1609718.857278038</v>
      </c>
      <c r="J235" s="552">
        <f t="shared" si="695"/>
        <v>1665154.8920885937</v>
      </c>
      <c r="K235" s="552">
        <f t="shared" si="695"/>
        <v>1727002.9738250878</v>
      </c>
      <c r="L235" s="552">
        <f t="shared" si="695"/>
        <v>1835044.6217623826</v>
      </c>
      <c r="M235" s="552">
        <f t="shared" si="695"/>
        <v>1943150.6593657513</v>
      </c>
      <c r="N235" s="552">
        <f t="shared" si="695"/>
        <v>2051219.1383829396</v>
      </c>
      <c r="O235" s="552">
        <f t="shared" si="695"/>
        <v>2159260.7912215348</v>
      </c>
      <c r="P235" s="552">
        <f t="shared" si="695"/>
        <v>2267412.4454417545</v>
      </c>
      <c r="Q235" s="552">
        <f t="shared" si="695"/>
        <v>2406701.4403228383</v>
      </c>
      <c r="R235" s="552">
        <f t="shared" si="695"/>
        <v>2546068.2556676036</v>
      </c>
      <c r="S235" s="552">
        <f t="shared" si="695"/>
        <v>2685330.4679994183</v>
      </c>
      <c r="T235" s="552">
        <f t="shared" si="695"/>
        <v>2824619.5553278537</v>
      </c>
      <c r="U235" s="552">
        <f t="shared" si="695"/>
        <v>2964026.7618411267</v>
      </c>
      <c r="V235" s="552">
        <f t="shared" si="695"/>
        <v>3057049.9165227222</v>
      </c>
      <c r="W235" s="552">
        <f t="shared" si="695"/>
        <v>3112486.0912679727</v>
      </c>
      <c r="X235" s="552">
        <f t="shared" si="695"/>
        <v>3167922.2933354424</v>
      </c>
      <c r="Y235" s="552">
        <f t="shared" si="695"/>
        <v>3223358.527429176</v>
      </c>
      <c r="Z235" s="552">
        <f t="shared" si="695"/>
        <v>3278826.9934853781</v>
      </c>
      <c r="AA235" s="552">
        <f t="shared" si="695"/>
        <v>3334263.3086846727</v>
      </c>
      <c r="AB235" s="552">
        <f t="shared" si="695"/>
        <v>3389731.8692221893</v>
      </c>
      <c r="AC235" s="552">
        <f t="shared" si="695"/>
        <v>3445168.2940793354</v>
      </c>
      <c r="AD235" s="552">
        <f t="shared" si="695"/>
        <v>3500604.7870612303</v>
      </c>
      <c r="AE235" s="552">
        <f t="shared" si="695"/>
        <v>3556073.5534033258</v>
      </c>
      <c r="AF235" s="552">
        <f t="shared" si="695"/>
        <v>3611510.215675503</v>
      </c>
      <c r="AG235" s="552">
        <f t="shared" si="695"/>
        <v>3666946.9820710719</v>
      </c>
      <c r="AH235" s="727">
        <f t="shared" si="695"/>
        <v>3722416.0627944754</v>
      </c>
      <c r="AI235" s="18"/>
      <c r="AJ235" s="18"/>
      <c r="AK235" s="18"/>
      <c r="AL235" s="18"/>
      <c r="AM235" s="18"/>
      <c r="AN235" s="18"/>
    </row>
    <row r="236" spans="2:40" ht="21.9" customHeight="1" x14ac:dyDescent="0.25">
      <c r="B236" s="229"/>
      <c r="C236" s="690"/>
      <c r="D236" s="690"/>
      <c r="E236" s="114"/>
      <c r="F236" s="114"/>
      <c r="G236" s="114"/>
      <c r="H236" s="696" t="s">
        <v>25</v>
      </c>
      <c r="I236" s="552">
        <f t="shared" ref="I236" si="696">SUM(I234:I235)</f>
        <v>2002922.7202364316</v>
      </c>
      <c r="J236" s="552">
        <f t="shared" ref="J236:AH236" si="697">SUM(J234:J235)</f>
        <v>2071900.0408038464</v>
      </c>
      <c r="K236" s="552">
        <f t="shared" si="697"/>
        <v>2148855.6703866012</v>
      </c>
      <c r="L236" s="552">
        <f t="shared" si="697"/>
        <v>2283288.5065349671</v>
      </c>
      <c r="M236" s="552">
        <f t="shared" si="697"/>
        <v>2417801.4607266453</v>
      </c>
      <c r="N236" s="552">
        <f t="shared" si="697"/>
        <v>2552267.6819467484</v>
      </c>
      <c r="O236" s="552">
        <f t="shared" si="697"/>
        <v>2686700.5241936487</v>
      </c>
      <c r="P236" s="552">
        <f t="shared" si="697"/>
        <v>2821270.2377118999</v>
      </c>
      <c r="Q236" s="552">
        <f t="shared" si="697"/>
        <v>2994583.1682679662</v>
      </c>
      <c r="R236" s="552">
        <f t="shared" si="697"/>
        <v>3167992.9283878426</v>
      </c>
      <c r="S236" s="552">
        <f t="shared" si="697"/>
        <v>3341272.5342573058</v>
      </c>
      <c r="T236" s="552">
        <f t="shared" si="697"/>
        <v>3514585.5798427141</v>
      </c>
      <c r="U236" s="552">
        <f t="shared" si="697"/>
        <v>3688045.5974275726</v>
      </c>
      <c r="V236" s="552">
        <f t="shared" si="697"/>
        <v>3803791.3931467654</v>
      </c>
      <c r="W236" s="552">
        <f t="shared" si="697"/>
        <v>3872768.8878305345</v>
      </c>
      <c r="X236" s="552">
        <f t="shared" si="697"/>
        <v>3941746.4165104851</v>
      </c>
      <c r="Y236" s="552">
        <f t="shared" si="697"/>
        <v>4010723.9850397119</v>
      </c>
      <c r="Z236" s="552">
        <f t="shared" si="697"/>
        <v>4079741.6587895826</v>
      </c>
      <c r="AA236" s="552">
        <f t="shared" si="697"/>
        <v>4148719.3282359168</v>
      </c>
      <c r="AB236" s="552">
        <f t="shared" si="697"/>
        <v>4217737.1195459263</v>
      </c>
      <c r="AC236" s="552">
        <f t="shared" si="697"/>
        <v>4286714.9254360879</v>
      </c>
      <c r="AD236" s="552">
        <f t="shared" si="697"/>
        <v>4355692.8160917396</v>
      </c>
      <c r="AE236" s="552">
        <f t="shared" si="697"/>
        <v>4424710.8634779351</v>
      </c>
      <c r="AF236" s="552">
        <f t="shared" si="697"/>
        <v>4493688.9647761788</v>
      </c>
      <c r="AG236" s="552">
        <f t="shared" si="697"/>
        <v>4562667.1956318952</v>
      </c>
      <c r="AH236" s="727">
        <f t="shared" si="697"/>
        <v>4631685.6341928989</v>
      </c>
      <c r="AI236" s="18"/>
      <c r="AJ236" s="18"/>
      <c r="AK236" s="18"/>
      <c r="AL236" s="18"/>
      <c r="AM236" s="18"/>
      <c r="AN236" s="18"/>
    </row>
    <row r="237" spans="2:40" ht="21.9" customHeight="1" x14ac:dyDescent="0.25">
      <c r="B237" s="229"/>
      <c r="C237" s="690"/>
      <c r="D237" s="690"/>
      <c r="E237" s="114"/>
      <c r="F237" s="114" t="s">
        <v>274</v>
      </c>
      <c r="G237" s="114" t="s">
        <v>317</v>
      </c>
      <c r="H237" s="114" t="s">
        <v>20</v>
      </c>
      <c r="I237" s="552">
        <f t="shared" ref="I237:AH237" si="698">I173*$D$13</f>
        <v>9820.14372060815</v>
      </c>
      <c r="J237" s="552">
        <f t="shared" si="698"/>
        <v>10158.335450566743</v>
      </c>
      <c r="K237" s="552">
        <f t="shared" si="698"/>
        <v>10535.645556195694</v>
      </c>
      <c r="L237" s="552">
        <f t="shared" si="698"/>
        <v>11194.768444806818</v>
      </c>
      <c r="M237" s="552">
        <f t="shared" si="698"/>
        <v>11854.293417123585</v>
      </c>
      <c r="N237" s="552">
        <f t="shared" si="698"/>
        <v>12513.604724653253</v>
      </c>
      <c r="O237" s="552">
        <f t="shared" si="698"/>
        <v>13172.777486996922</v>
      </c>
      <c r="P237" s="552">
        <f t="shared" si="698"/>
        <v>13832.661245788146</v>
      </c>
      <c r="Q237" s="552">
        <f t="shared" si="698"/>
        <v>14682.62378177354</v>
      </c>
      <c r="R237" s="552">
        <f t="shared" si="698"/>
        <v>15533.237866939164</v>
      </c>
      <c r="S237" s="552">
        <f t="shared" si="698"/>
        <v>16383.505812790061</v>
      </c>
      <c r="T237" s="552">
        <f t="shared" si="698"/>
        <v>17234.409057091481</v>
      </c>
      <c r="U237" s="552">
        <f t="shared" si="698"/>
        <v>18086.776641695735</v>
      </c>
      <c r="V237" s="552">
        <f t="shared" si="698"/>
        <v>18656.146673207735</v>
      </c>
      <c r="W237" s="552">
        <f t="shared" si="698"/>
        <v>18995.762324235995</v>
      </c>
      <c r="X237" s="552">
        <f t="shared" si="698"/>
        <v>19335.655995551238</v>
      </c>
      <c r="Y237" s="552">
        <f t="shared" si="698"/>
        <v>19675.875553669328</v>
      </c>
      <c r="Z237" s="552">
        <f t="shared" si="698"/>
        <v>20016.673968301391</v>
      </c>
      <c r="AA237" s="552">
        <f t="shared" si="698"/>
        <v>20357.718825106815</v>
      </c>
      <c r="AB237" s="552">
        <f t="shared" si="698"/>
        <v>20699.478644876395</v>
      </c>
      <c r="AC237" s="552">
        <f t="shared" si="698"/>
        <v>21041.639337340817</v>
      </c>
      <c r="AD237" s="552">
        <f t="shared" si="698"/>
        <v>21384.493240785298</v>
      </c>
      <c r="AE237" s="552">
        <f t="shared" si="698"/>
        <v>21728.347247955295</v>
      </c>
      <c r="AF237" s="552">
        <f t="shared" si="698"/>
        <v>22072.923783509556</v>
      </c>
      <c r="AG237" s="552">
        <f t="shared" si="698"/>
        <v>22418.559838231977</v>
      </c>
      <c r="AH237" s="727">
        <f t="shared" si="698"/>
        <v>22765.612867416377</v>
      </c>
      <c r="AI237" s="18"/>
      <c r="AJ237" s="18"/>
      <c r="AK237" s="18"/>
      <c r="AL237" s="18"/>
      <c r="AM237" s="18"/>
      <c r="AN237" s="18"/>
    </row>
    <row r="238" spans="2:40" ht="21.9" customHeight="1" x14ac:dyDescent="0.25">
      <c r="B238" s="229"/>
      <c r="C238" s="690"/>
      <c r="D238" s="690"/>
      <c r="E238" s="114"/>
      <c r="F238" s="114"/>
      <c r="G238" s="114"/>
      <c r="H238" s="122" t="s">
        <v>19</v>
      </c>
      <c r="I238" s="552">
        <f t="shared" ref="I238:AH238" si="699">I174*$D$14</f>
        <v>40202.225912302703</v>
      </c>
      <c r="J238" s="552">
        <f t="shared" si="699"/>
        <v>41586.733177805916</v>
      </c>
      <c r="K238" s="552">
        <f t="shared" si="699"/>
        <v>43131.385327209551</v>
      </c>
      <c r="L238" s="552">
        <f t="shared" si="699"/>
        <v>45829.737614692458</v>
      </c>
      <c r="M238" s="552">
        <f t="shared" si="699"/>
        <v>48529.735973804229</v>
      </c>
      <c r="N238" s="552">
        <f t="shared" si="699"/>
        <v>51228.859620662828</v>
      </c>
      <c r="O238" s="552">
        <f t="shared" si="699"/>
        <v>53927.416083880831</v>
      </c>
      <c r="P238" s="552">
        <f t="shared" si="699"/>
        <v>56628.883262116928</v>
      </c>
      <c r="Q238" s="552">
        <f t="shared" si="699"/>
        <v>60108.505033534602</v>
      </c>
      <c r="R238" s="552">
        <f t="shared" si="699"/>
        <v>63590.794151590118</v>
      </c>
      <c r="S238" s="552">
        <f t="shared" si="699"/>
        <v>67071.666226135538</v>
      </c>
      <c r="T238" s="552">
        <f t="shared" si="699"/>
        <v>70555.139119218453</v>
      </c>
      <c r="U238" s="552">
        <f t="shared" si="699"/>
        <v>74044.606806404394</v>
      </c>
      <c r="V238" s="552">
        <f t="shared" si="699"/>
        <v>76375.524080711126</v>
      </c>
      <c r="W238" s="552">
        <f t="shared" si="699"/>
        <v>77765.860669913949</v>
      </c>
      <c r="X238" s="552">
        <f t="shared" si="699"/>
        <v>79157.335433333312</v>
      </c>
      <c r="Y238" s="552">
        <f t="shared" si="699"/>
        <v>80550.144329454051</v>
      </c>
      <c r="Z238" s="552">
        <f t="shared" si="699"/>
        <v>81945.322979114819</v>
      </c>
      <c r="AA238" s="552">
        <f t="shared" si="699"/>
        <v>83341.510526833459</v>
      </c>
      <c r="AB238" s="552">
        <f t="shared" si="699"/>
        <v>84740.625027906528</v>
      </c>
      <c r="AC238" s="552">
        <f t="shared" si="699"/>
        <v>86141.380642908145</v>
      </c>
      <c r="AD238" s="552">
        <f t="shared" si="699"/>
        <v>87544.974161836421</v>
      </c>
      <c r="AE238" s="552">
        <f t="shared" si="699"/>
        <v>88952.661958511831</v>
      </c>
      <c r="AF238" s="552">
        <f t="shared" si="699"/>
        <v>90363.307680260317</v>
      </c>
      <c r="AG238" s="552">
        <f t="shared" si="699"/>
        <v>91778.290917850565</v>
      </c>
      <c r="AH238" s="727">
        <f t="shared" si="699"/>
        <v>93199.075040748954</v>
      </c>
      <c r="AI238" s="18"/>
      <c r="AJ238" s="18"/>
      <c r="AK238" s="18"/>
      <c r="AL238" s="18"/>
      <c r="AM238" s="18"/>
      <c r="AN238" s="18"/>
    </row>
    <row r="239" spans="2:40" ht="21.9" customHeight="1" thickBot="1" x14ac:dyDescent="0.3">
      <c r="B239" s="464"/>
      <c r="C239" s="739"/>
      <c r="D239" s="739"/>
      <c r="E239" s="274"/>
      <c r="F239" s="274"/>
      <c r="G239" s="274"/>
      <c r="H239" s="740" t="s">
        <v>25</v>
      </c>
      <c r="I239" s="710">
        <f>SUM(I237:I238)</f>
        <v>50022.36963291085</v>
      </c>
      <c r="J239" s="710">
        <f t="shared" ref="J239:AH239" si="700">SUM(J237:J238)</f>
        <v>51745.068628372661</v>
      </c>
      <c r="K239" s="710">
        <f t="shared" si="700"/>
        <v>53667.030883405241</v>
      </c>
      <c r="L239" s="710">
        <f t="shared" si="700"/>
        <v>57024.506059499276</v>
      </c>
      <c r="M239" s="710">
        <f t="shared" si="700"/>
        <v>60384.029390927812</v>
      </c>
      <c r="N239" s="710">
        <f t="shared" si="700"/>
        <v>63742.464345316082</v>
      </c>
      <c r="O239" s="710">
        <f t="shared" si="700"/>
        <v>67100.193570877746</v>
      </c>
      <c r="P239" s="710">
        <f t="shared" si="700"/>
        <v>70461.54450790507</v>
      </c>
      <c r="Q239" s="710">
        <f t="shared" si="700"/>
        <v>74791.12881530814</v>
      </c>
      <c r="R239" s="710">
        <f t="shared" si="700"/>
        <v>79124.03201852928</v>
      </c>
      <c r="S239" s="710">
        <f t="shared" si="700"/>
        <v>83455.172038925593</v>
      </c>
      <c r="T239" s="710">
        <f t="shared" si="700"/>
        <v>87789.548176309938</v>
      </c>
      <c r="U239" s="710">
        <f t="shared" si="700"/>
        <v>92131.383448100125</v>
      </c>
      <c r="V239" s="710">
        <f t="shared" si="700"/>
        <v>95031.670753918865</v>
      </c>
      <c r="W239" s="710">
        <f t="shared" si="700"/>
        <v>96761.622994149948</v>
      </c>
      <c r="X239" s="710">
        <f t="shared" si="700"/>
        <v>98492.991428884547</v>
      </c>
      <c r="Y239" s="710">
        <f t="shared" si="700"/>
        <v>100226.01988312337</v>
      </c>
      <c r="Z239" s="710">
        <f t="shared" si="700"/>
        <v>101961.99694741621</v>
      </c>
      <c r="AA239" s="710">
        <f t="shared" si="700"/>
        <v>103699.22935194027</v>
      </c>
      <c r="AB239" s="710">
        <f t="shared" si="700"/>
        <v>105440.10367278292</v>
      </c>
      <c r="AC239" s="710">
        <f t="shared" si="700"/>
        <v>107183.01998024897</v>
      </c>
      <c r="AD239" s="710">
        <f t="shared" si="700"/>
        <v>108929.46740262173</v>
      </c>
      <c r="AE239" s="710">
        <f t="shared" si="700"/>
        <v>110681.00920646713</v>
      </c>
      <c r="AF239" s="710">
        <f t="shared" si="700"/>
        <v>112436.23146376987</v>
      </c>
      <c r="AG239" s="710">
        <f t="shared" si="700"/>
        <v>114196.85075608254</v>
      </c>
      <c r="AH239" s="741">
        <f t="shared" si="700"/>
        <v>115964.68790816533</v>
      </c>
      <c r="AI239" s="18"/>
      <c r="AJ239" s="18"/>
      <c r="AK239" s="18"/>
      <c r="AL239" s="18"/>
      <c r="AM239" s="18"/>
      <c r="AN239" s="18"/>
    </row>
    <row r="240" spans="2:40" ht="21.9" customHeight="1" thickBot="1" x14ac:dyDescent="0.3">
      <c r="B240" s="464"/>
      <c r="C240" s="739"/>
      <c r="D240" s="739"/>
      <c r="E240" s="274"/>
      <c r="F240" s="274"/>
      <c r="G240" s="274"/>
      <c r="H240" s="742" t="s">
        <v>481</v>
      </c>
      <c r="I240" s="742">
        <f>SUM(I182,I185,I188,I191,I194,I197,I200,I203,I206,I209,I212,I215,I221,I224,I227,I230,I233,I236,I239)</f>
        <v>23137397.244171012</v>
      </c>
      <c r="J240" s="742">
        <f t="shared" ref="J240:AH240" si="701">SUM(J182,J185,J188,J191,J194,J197,J200,J203,J206,J209,J212,J215,J221,J224,J227,J230,J233,J236,J239)</f>
        <v>24475469.047573846</v>
      </c>
      <c r="K240" s="742">
        <f t="shared" si="701"/>
        <v>26890949.478133082</v>
      </c>
      <c r="L240" s="742">
        <f t="shared" si="701"/>
        <v>31467319.42461925</v>
      </c>
      <c r="M240" s="742">
        <f t="shared" si="701"/>
        <v>36322883.495250277</v>
      </c>
      <c r="N240" s="742">
        <f t="shared" si="701"/>
        <v>42581646.286782369</v>
      </c>
      <c r="O240" s="742">
        <f t="shared" si="701"/>
        <v>54683040.805785015</v>
      </c>
      <c r="P240" s="742">
        <f t="shared" si="701"/>
        <v>61142325.444943503</v>
      </c>
      <c r="Q240" s="742">
        <f t="shared" si="701"/>
        <v>70026594.235605702</v>
      </c>
      <c r="R240" s="742">
        <f t="shared" si="701"/>
        <v>79718388.983104423</v>
      </c>
      <c r="S240" s="742">
        <f t="shared" si="701"/>
        <v>90260650.600242361</v>
      </c>
      <c r="T240" s="742">
        <f t="shared" si="701"/>
        <v>97950873.081026509</v>
      </c>
      <c r="U240" s="742">
        <f t="shared" si="701"/>
        <v>106770917.14389442</v>
      </c>
      <c r="V240" s="742">
        <f t="shared" si="701"/>
        <v>111413867.86964171</v>
      </c>
      <c r="W240" s="742">
        <f t="shared" si="701"/>
        <v>113637508.82452317</v>
      </c>
      <c r="X240" s="742">
        <f t="shared" si="701"/>
        <v>115792546.27309158</v>
      </c>
      <c r="Y240" s="742">
        <f t="shared" si="701"/>
        <v>117983288.99088807</v>
      </c>
      <c r="Z240" s="742">
        <f t="shared" si="701"/>
        <v>120218166.18470781</v>
      </c>
      <c r="AA240" s="742">
        <f t="shared" si="701"/>
        <v>122501476.18829602</v>
      </c>
      <c r="AB240" s="742">
        <f t="shared" si="701"/>
        <v>124845135.27918953</v>
      </c>
      <c r="AC240" s="742">
        <f t="shared" si="701"/>
        <v>127256456.67369112</v>
      </c>
      <c r="AD240" s="742">
        <f t="shared" si="701"/>
        <v>129748155.27900334</v>
      </c>
      <c r="AE240" s="742">
        <f t="shared" si="701"/>
        <v>132335949.95979443</v>
      </c>
      <c r="AF240" s="742">
        <f t="shared" si="701"/>
        <v>135032994.244059</v>
      </c>
      <c r="AG240" s="742">
        <f t="shared" si="701"/>
        <v>137857192.87991479</v>
      </c>
      <c r="AH240" s="742">
        <f t="shared" si="701"/>
        <v>140831799.38953429</v>
      </c>
      <c r="AI240" s="18"/>
      <c r="AJ240" s="18"/>
      <c r="AK240" s="18"/>
      <c r="AL240" s="18"/>
      <c r="AM240" s="18"/>
      <c r="AN240" s="18"/>
    </row>
    <row r="241" spans="1:41" ht="21.9" customHeight="1" x14ac:dyDescent="0.25">
      <c r="C241" s="114"/>
      <c r="D241" s="114"/>
      <c r="E241" s="114"/>
      <c r="F241" s="114"/>
      <c r="G241" s="114"/>
      <c r="H241" s="237"/>
      <c r="I241" s="699"/>
      <c r="J241" s="699"/>
      <c r="K241" s="699"/>
      <c r="L241" s="699"/>
      <c r="M241" s="699"/>
      <c r="N241" s="699"/>
      <c r="O241" s="699"/>
      <c r="P241" s="699"/>
      <c r="Q241" s="699"/>
      <c r="R241" s="699"/>
      <c r="S241" s="699"/>
      <c r="T241" s="699"/>
      <c r="U241" s="699"/>
      <c r="V241" s="699"/>
      <c r="W241" s="699"/>
      <c r="X241" s="699"/>
      <c r="Y241" s="699"/>
      <c r="Z241" s="699"/>
      <c r="AA241" s="699"/>
      <c r="AB241" s="699"/>
      <c r="AC241" s="699"/>
      <c r="AD241" s="699"/>
      <c r="AE241" s="699"/>
      <c r="AF241" s="699"/>
      <c r="AG241" s="699"/>
      <c r="AH241" s="699"/>
      <c r="AI241" s="18"/>
      <c r="AJ241" s="18"/>
      <c r="AK241" s="18"/>
      <c r="AL241" s="18"/>
      <c r="AM241" s="18"/>
      <c r="AN241" s="18"/>
      <c r="AO241" s="18"/>
    </row>
    <row r="242" spans="1:41" ht="21.9" customHeight="1" x14ac:dyDescent="0.25">
      <c r="C242" s="114"/>
      <c r="D242" s="114"/>
      <c r="E242" s="114"/>
      <c r="F242" s="114"/>
      <c r="G242" s="114"/>
      <c r="H242" s="225"/>
      <c r="I242" s="225"/>
      <c r="J242" s="225"/>
      <c r="K242" s="225"/>
      <c r="L242" s="225"/>
      <c r="M242" s="225"/>
      <c r="N242" s="225"/>
      <c r="O242" s="225"/>
      <c r="P242" s="225"/>
      <c r="Q242" s="225"/>
      <c r="R242" s="225"/>
      <c r="S242" s="225"/>
      <c r="T242" s="225"/>
      <c r="U242" s="225"/>
      <c r="V242" s="225"/>
      <c r="W242" s="225"/>
      <c r="X242" s="225"/>
      <c r="Y242" s="225"/>
      <c r="Z242" s="225"/>
      <c r="AA242" s="225"/>
      <c r="AB242" s="225"/>
      <c r="AC242" s="225"/>
      <c r="AD242" s="225"/>
      <c r="AE242" s="114"/>
      <c r="AF242" s="114"/>
      <c r="AG242" s="114"/>
      <c r="AH242" s="114"/>
    </row>
    <row r="243" spans="1:41" ht="21.9" customHeight="1" x14ac:dyDescent="0.25">
      <c r="A243" s="526"/>
      <c r="B243" s="527" t="s">
        <v>335</v>
      </c>
      <c r="C243" s="114"/>
      <c r="D243" s="114"/>
      <c r="E243" s="114"/>
      <c r="F243" s="114"/>
      <c r="G243" s="225"/>
      <c r="H243" s="225"/>
      <c r="I243" s="225"/>
      <c r="J243" s="114"/>
      <c r="K243" s="114"/>
      <c r="L243" s="114"/>
      <c r="M243" s="114"/>
      <c r="N243" s="225"/>
      <c r="O243" s="225"/>
      <c r="P243" s="225"/>
      <c r="Q243" s="225"/>
      <c r="R243" s="225"/>
      <c r="S243" s="225"/>
      <c r="T243" s="225"/>
      <c r="U243" s="225"/>
      <c r="V243" s="225"/>
      <c r="W243" s="225"/>
      <c r="X243" s="225"/>
      <c r="Y243" s="225"/>
      <c r="Z243" s="225"/>
      <c r="AA243" s="225"/>
      <c r="AB243" s="225"/>
      <c r="AC243" s="225"/>
      <c r="AD243" s="114"/>
      <c r="AE243" s="114"/>
      <c r="AF243" s="114"/>
      <c r="AG243" s="114"/>
      <c r="AH243" s="114"/>
    </row>
    <row r="244" spans="1:41" ht="21.9" customHeight="1" x14ac:dyDescent="0.25">
      <c r="B244" s="1"/>
      <c r="C244" s="237"/>
      <c r="D244" s="237"/>
      <c r="E244" s="237"/>
      <c r="F244" s="237"/>
      <c r="G244" s="225"/>
      <c r="H244" s="225"/>
      <c r="I244" s="225"/>
      <c r="J244" s="225"/>
      <c r="K244" s="225"/>
      <c r="L244" s="225"/>
      <c r="M244" s="225"/>
      <c r="N244" s="225"/>
      <c r="O244" s="225"/>
      <c r="P244" s="225"/>
      <c r="Q244" s="225"/>
      <c r="R244" s="225"/>
      <c r="S244" s="225"/>
      <c r="T244" s="225"/>
      <c r="U244" s="225"/>
      <c r="V244" s="225"/>
      <c r="W244" s="225"/>
      <c r="X244" s="225"/>
      <c r="Y244" s="225"/>
      <c r="Z244" s="225"/>
      <c r="AA244" s="225"/>
      <c r="AB244" s="225"/>
      <c r="AC244" s="225"/>
      <c r="AD244" s="114"/>
      <c r="AE244" s="114"/>
      <c r="AF244" s="114"/>
      <c r="AG244" s="114"/>
      <c r="AH244" s="114"/>
    </row>
    <row r="245" spans="1:41" ht="21.9" customHeight="1" x14ac:dyDescent="0.25">
      <c r="B245" s="191" t="s">
        <v>13</v>
      </c>
      <c r="C245" s="237"/>
      <c r="D245" s="237"/>
      <c r="E245" s="237"/>
      <c r="F245" s="237"/>
      <c r="G245" s="225"/>
      <c r="H245" s="225"/>
      <c r="I245" s="225"/>
      <c r="J245" s="225"/>
      <c r="K245" s="225"/>
      <c r="L245" s="225"/>
      <c r="M245" s="225"/>
      <c r="N245" s="225"/>
      <c r="O245" s="225"/>
      <c r="P245" s="225"/>
      <c r="Q245" s="225"/>
      <c r="R245" s="225"/>
      <c r="S245" s="225"/>
      <c r="T245" s="225"/>
      <c r="U245" s="225"/>
      <c r="V245" s="225"/>
      <c r="W245" s="225"/>
      <c r="X245" s="225"/>
      <c r="Y245" s="225"/>
      <c r="Z245" s="225"/>
      <c r="AA245" s="225"/>
      <c r="AB245" s="225"/>
      <c r="AC245" s="225"/>
      <c r="AD245" s="114"/>
      <c r="AE245" s="114"/>
      <c r="AF245" s="114"/>
      <c r="AG245" s="114"/>
      <c r="AH245" s="114"/>
    </row>
    <row r="246" spans="1:41" ht="21.9" customHeight="1" thickBot="1" x14ac:dyDescent="0.3">
      <c r="B246" s="9" t="s">
        <v>246</v>
      </c>
      <c r="C246" s="237"/>
      <c r="D246" s="237"/>
      <c r="E246" s="237"/>
      <c r="F246" s="237"/>
      <c r="G246" s="237"/>
      <c r="H246" s="225"/>
      <c r="I246" s="225"/>
      <c r="J246" s="225"/>
      <c r="K246" s="225"/>
      <c r="L246" s="225"/>
      <c r="M246" s="225"/>
      <c r="N246" s="225"/>
      <c r="O246" s="225"/>
      <c r="P246" s="225"/>
      <c r="Q246" s="225"/>
      <c r="R246" s="225"/>
      <c r="S246" s="225"/>
      <c r="T246" s="225"/>
      <c r="U246" s="225"/>
      <c r="V246" s="225"/>
      <c r="W246" s="225"/>
      <c r="X246" s="225"/>
      <c r="Y246" s="225"/>
      <c r="Z246" s="225"/>
      <c r="AA246" s="225"/>
      <c r="AB246" s="225"/>
      <c r="AC246" s="225"/>
      <c r="AD246" s="225"/>
      <c r="AE246" s="114"/>
      <c r="AF246" s="114"/>
      <c r="AG246" s="114"/>
      <c r="AH246" s="114"/>
    </row>
    <row r="247" spans="1:41" s="7" customFormat="1" ht="21.9" customHeight="1" thickBot="1" x14ac:dyDescent="0.3">
      <c r="B247" s="193"/>
      <c r="C247" s="459" t="s">
        <v>2</v>
      </c>
      <c r="D247" s="459"/>
      <c r="E247" s="459" t="s">
        <v>312</v>
      </c>
      <c r="F247" s="1329" t="s">
        <v>18</v>
      </c>
      <c r="G247" s="1329"/>
      <c r="H247" s="459" t="s">
        <v>24</v>
      </c>
      <c r="I247" s="244">
        <v>2023</v>
      </c>
      <c r="J247" s="244">
        <v>2024</v>
      </c>
      <c r="K247" s="244">
        <v>2025</v>
      </c>
      <c r="L247" s="244">
        <v>2026</v>
      </c>
      <c r="M247" s="244">
        <v>2027</v>
      </c>
      <c r="N247" s="244">
        <v>2028</v>
      </c>
      <c r="O247" s="244">
        <v>2029</v>
      </c>
      <c r="P247" s="244">
        <v>2030</v>
      </c>
      <c r="Q247" s="244">
        <v>2031</v>
      </c>
      <c r="R247" s="244">
        <v>2032</v>
      </c>
      <c r="S247" s="244">
        <v>2033</v>
      </c>
      <c r="T247" s="244">
        <v>2034</v>
      </c>
      <c r="U247" s="244">
        <v>2035</v>
      </c>
      <c r="V247" s="244">
        <v>2036</v>
      </c>
      <c r="W247" s="244">
        <v>2037</v>
      </c>
      <c r="X247" s="244">
        <v>2038</v>
      </c>
      <c r="Y247" s="244">
        <v>2039</v>
      </c>
      <c r="Z247" s="244">
        <v>2040</v>
      </c>
      <c r="AA247" s="244">
        <v>2041</v>
      </c>
      <c r="AB247" s="244">
        <v>2042</v>
      </c>
      <c r="AC247" s="244">
        <v>2043</v>
      </c>
      <c r="AD247" s="244">
        <v>2044</v>
      </c>
      <c r="AE247" s="244">
        <v>2045</v>
      </c>
      <c r="AF247" s="244">
        <v>2046</v>
      </c>
      <c r="AG247" s="244">
        <v>2047</v>
      </c>
      <c r="AH247" s="473">
        <v>2048</v>
      </c>
      <c r="AI247" s="461"/>
      <c r="AJ247" s="461"/>
      <c r="AK247" s="461"/>
      <c r="AL247" s="461"/>
      <c r="AM247" s="461"/>
      <c r="AN247" s="461"/>
      <c r="AO247" s="461"/>
    </row>
    <row r="248" spans="1:41" ht="21.9" customHeight="1" x14ac:dyDescent="0.25">
      <c r="B248" s="230" t="s">
        <v>210</v>
      </c>
      <c r="C248" s="744" t="s">
        <v>156</v>
      </c>
      <c r="D248" s="745" t="s">
        <v>23</v>
      </c>
      <c r="E248" s="1328" t="s">
        <v>315</v>
      </c>
      <c r="F248" s="744" t="s">
        <v>316</v>
      </c>
      <c r="G248" s="744" t="s">
        <v>276</v>
      </c>
      <c r="H248" s="701" t="s">
        <v>23</v>
      </c>
      <c r="I248" s="701">
        <f>'Volume and Speed'!H344</f>
        <v>7729.1874665658033</v>
      </c>
      <c r="J248" s="701">
        <f>'Volume and Speed'!I344</f>
        <v>8080.6568918144685</v>
      </c>
      <c r="K248" s="701">
        <f>'Volume and Speed'!J344</f>
        <v>8575.8537455452624</v>
      </c>
      <c r="L248" s="701">
        <f>'Volume and Speed'!K344</f>
        <v>9304.2999225149961</v>
      </c>
      <c r="M248" s="701">
        <f>'Volume and Speed'!L344</f>
        <v>10033.092499420243</v>
      </c>
      <c r="N248" s="701">
        <f>'Volume and Speed'!M344</f>
        <v>10762.043327591367</v>
      </c>
      <c r="O248" s="701">
        <f>'Volume and Speed'!N344</f>
        <v>11491.02438476012</v>
      </c>
      <c r="P248" s="701">
        <f>'Volume and Speed'!O344</f>
        <v>12221.069821463367</v>
      </c>
      <c r="Q248" s="701">
        <f>'Volume and Speed'!P344</f>
        <v>12943.384521105236</v>
      </c>
      <c r="R248" s="701">
        <f>'Volume and Speed'!Q344</f>
        <v>13667.351818432737</v>
      </c>
      <c r="S248" s="701">
        <f>'Volume and Speed'!R344</f>
        <v>14393.622768070498</v>
      </c>
      <c r="T248" s="701">
        <f>'Volume and Speed'!S344</f>
        <v>15123.776700446439</v>
      </c>
      <c r="U248" s="701">
        <f>'Volume and Speed'!T344</f>
        <v>15860.496715839916</v>
      </c>
      <c r="V248" s="701">
        <f>'Volume and Speed'!U344</f>
        <v>16362.994002522586</v>
      </c>
      <c r="W248" s="701">
        <f>'Volume and Speed'!V344</f>
        <v>16729.074658175399</v>
      </c>
      <c r="X248" s="701">
        <f>'Volume and Speed'!W344</f>
        <v>17098.588178746195</v>
      </c>
      <c r="Y248" s="701">
        <f>'Volume and Speed'!X344</f>
        <v>17472.243791708017</v>
      </c>
      <c r="Z248" s="701">
        <f>'Volume and Speed'!Y344</f>
        <v>17851.009104097233</v>
      </c>
      <c r="AA248" s="701">
        <f>'Volume and Speed'!Z344</f>
        <v>18235.607700546811</v>
      </c>
      <c r="AB248" s="701">
        <f>'Volume and Speed'!AA344</f>
        <v>18627.457362276058</v>
      </c>
      <c r="AC248" s="701">
        <f>'Volume and Speed'!AB344</f>
        <v>19027.63589814839</v>
      </c>
      <c r="AD248" s="701">
        <f>'Volume and Speed'!AC344</f>
        <v>19437.845247134239</v>
      </c>
      <c r="AE248" s="701">
        <f>'Volume and Speed'!AD344</f>
        <v>19860.054695498053</v>
      </c>
      <c r="AF248" s="701">
        <f>'Volume and Speed'!AE344</f>
        <v>20296.085297391652</v>
      </c>
      <c r="AG248" s="701">
        <f>'Volume and Speed'!AF344</f>
        <v>20748.518172935212</v>
      </c>
      <c r="AH248" s="726">
        <f>'Volume and Speed'!AG344</f>
        <v>21220.328652973694</v>
      </c>
      <c r="AI248" s="18"/>
      <c r="AJ248" s="18"/>
      <c r="AK248" s="18"/>
      <c r="AL248" s="18"/>
      <c r="AM248" s="18"/>
      <c r="AN248" s="18"/>
    </row>
    <row r="249" spans="1:41" ht="21.9" customHeight="1" x14ac:dyDescent="0.25">
      <c r="B249" s="229" t="s">
        <v>480</v>
      </c>
      <c r="C249" s="690"/>
      <c r="D249" s="690"/>
      <c r="E249" s="1328"/>
      <c r="F249" s="114" t="s">
        <v>276</v>
      </c>
      <c r="G249" s="114" t="s">
        <v>274</v>
      </c>
      <c r="H249" s="552" t="s">
        <v>23</v>
      </c>
      <c r="I249" s="552">
        <f>'Volume and Speed'!H345</f>
        <v>248534.35639268748</v>
      </c>
      <c r="J249" s="552">
        <f>'Volume and Speed'!I345</f>
        <v>261653.35085719993</v>
      </c>
      <c r="K249" s="552">
        <f>'Volume and Speed'!J345</f>
        <v>281346.6595461517</v>
      </c>
      <c r="L249" s="552">
        <f>'Volume and Speed'!K345</f>
        <v>313883.36134210043</v>
      </c>
      <c r="M249" s="552">
        <f>'Volume and Speed'!L345</f>
        <v>346436.24024655746</v>
      </c>
      <c r="N249" s="552">
        <f>'Volume and Speed'!M345</f>
        <v>378990.75990457903</v>
      </c>
      <c r="O249" s="552">
        <f>'Volume and Speed'!N345</f>
        <v>411540.13143218507</v>
      </c>
      <c r="P249" s="552">
        <f>'Volume and Speed'!O345</f>
        <v>444135.13427734718</v>
      </c>
      <c r="Q249" s="552">
        <f>'Volume and Speed'!P345</f>
        <v>477051.8549036542</v>
      </c>
      <c r="R249" s="552">
        <f>'Volume and Speed'!Q345</f>
        <v>510041.20912473847</v>
      </c>
      <c r="S249" s="552">
        <f>'Volume and Speed'!R345</f>
        <v>543131.18457883305</v>
      </c>
      <c r="T249" s="552">
        <f>'Volume and Speed'!S345</f>
        <v>576416.54643636942</v>
      </c>
      <c r="U249" s="552">
        <f>'Volume and Speed'!T345</f>
        <v>610063.08091750217</v>
      </c>
      <c r="V249" s="552">
        <f>'Volume and Speed'!U345</f>
        <v>630772.48812326731</v>
      </c>
      <c r="W249" s="552">
        <f>'Volume and Speed'!V345</f>
        <v>644498.83093908313</v>
      </c>
      <c r="X249" s="552">
        <f>'Volume and Speed'!W345</f>
        <v>658362.95734618232</v>
      </c>
      <c r="Y249" s="552">
        <f>'Volume and Speed'!X345</f>
        <v>672392.39021314972</v>
      </c>
      <c r="Z249" s="552">
        <f>'Volume and Speed'!Y345</f>
        <v>686627.47949215444</v>
      </c>
      <c r="AA249" s="552">
        <f>'Volume and Speed'!Z345</f>
        <v>701090.06804121251</v>
      </c>
      <c r="AB249" s="552">
        <f>'Volume and Speed'!AA345</f>
        <v>715840.53998863581</v>
      </c>
      <c r="AC249" s="552">
        <f>'Volume and Speed'!AB345</f>
        <v>730913.65955145785</v>
      </c>
      <c r="AD249" s="552">
        <f>'Volume and Speed'!AC345</f>
        <v>746377.1133593088</v>
      </c>
      <c r="AE249" s="552">
        <f>'Volume and Speed'!AD345</f>
        <v>762308.8041436245</v>
      </c>
      <c r="AF249" s="552">
        <f>'Volume and Speed'!AE345</f>
        <v>778770.30107500346</v>
      </c>
      <c r="AG249" s="552">
        <f>'Volume and Speed'!AF345</f>
        <v>795861.79789423151</v>
      </c>
      <c r="AH249" s="727">
        <f>'Volume and Speed'!AG345</f>
        <v>813698.45484208758</v>
      </c>
      <c r="AI249" s="18"/>
      <c r="AJ249" s="18"/>
      <c r="AK249" s="18"/>
      <c r="AL249" s="18"/>
      <c r="AM249" s="18"/>
      <c r="AN249" s="18"/>
    </row>
    <row r="250" spans="1:41" ht="21.9" customHeight="1" x14ac:dyDescent="0.25">
      <c r="B250" s="229"/>
      <c r="C250" s="690"/>
      <c r="D250" s="690"/>
      <c r="E250" s="1328"/>
      <c r="F250" s="114" t="s">
        <v>274</v>
      </c>
      <c r="G250" s="114" t="s">
        <v>317</v>
      </c>
      <c r="H250" s="552" t="s">
        <v>23</v>
      </c>
      <c r="I250" s="552">
        <f>'Volume and Speed'!H346</f>
        <v>5796.8799869015402</v>
      </c>
      <c r="J250" s="552">
        <f>'Volume and Speed'!I346</f>
        <v>6038.9483671703838</v>
      </c>
      <c r="K250" s="552">
        <f>'Volume and Speed'!J346</f>
        <v>6338.5511137390477</v>
      </c>
      <c r="L250" s="552">
        <f>'Volume and Speed'!K346</f>
        <v>6741.9189452338151</v>
      </c>
      <c r="M250" s="552">
        <f>'Volume and Speed'!L346</f>
        <v>7145.4330416557295</v>
      </c>
      <c r="N250" s="552">
        <f>'Volume and Speed'!M346</f>
        <v>7548.901089941457</v>
      </c>
      <c r="O250" s="552">
        <f>'Volume and Speed'!N346</f>
        <v>7952.2762177653422</v>
      </c>
      <c r="P250" s="552">
        <f>'Volume and Speed'!O346</f>
        <v>8355.9470964504126</v>
      </c>
      <c r="Q250" s="552">
        <f>'Volume and Speed'!P346</f>
        <v>8747.0663421217796</v>
      </c>
      <c r="R250" s="552">
        <f>'Volume and Speed'!Q346</f>
        <v>9138.3435391500389</v>
      </c>
      <c r="S250" s="552">
        <f>'Volume and Speed'!R346</f>
        <v>9529.4950774832178</v>
      </c>
      <c r="T250" s="552">
        <f>'Volume and Speed'!S346</f>
        <v>9920.6746953398251</v>
      </c>
      <c r="U250" s="552">
        <f>'Volume and Speed'!T346</f>
        <v>10312.18456382061</v>
      </c>
      <c r="V250" s="552">
        <f>'Volume and Speed'!U346</f>
        <v>10599.497720416426</v>
      </c>
      <c r="W250" s="552">
        <f>'Volume and Speed'!V346</f>
        <v>10841.702077867954</v>
      </c>
      <c r="X250" s="552">
        <f>'Volume and Speed'!W346</f>
        <v>11083.940531226839</v>
      </c>
      <c r="Y250" s="552">
        <f>'Volume and Speed'!X346</f>
        <v>11326.220572259681</v>
      </c>
      <c r="Z250" s="552">
        <f>'Volume and Speed'!Y346</f>
        <v>11568.647852419308</v>
      </c>
      <c r="AA250" s="552">
        <f>'Volume and Speed'!Z346</f>
        <v>11811.039519467329</v>
      </c>
      <c r="AB250" s="552">
        <f>'Volume and Speed'!AA346</f>
        <v>12053.601582611032</v>
      </c>
      <c r="AC250" s="552">
        <f>'Volume and Speed'!AB346</f>
        <v>12296.155239175545</v>
      </c>
      <c r="AD250" s="552">
        <f>'Volume and Speed'!AC346</f>
        <v>12538.814553545863</v>
      </c>
      <c r="AE250" s="552">
        <f>'Volume and Speed'!AD346</f>
        <v>12781.696712180172</v>
      </c>
      <c r="AF250" s="552">
        <f>'Volume and Speed'!AE346</f>
        <v>13024.631561028047</v>
      </c>
      <c r="AG250" s="552">
        <f>'Volume and Speed'!AF346</f>
        <v>13267.74348112418</v>
      </c>
      <c r="AH250" s="727">
        <f>'Volume and Speed'!AG346</f>
        <v>13511.161548778193</v>
      </c>
      <c r="AI250" s="18"/>
      <c r="AJ250" s="18"/>
      <c r="AK250" s="18"/>
      <c r="AL250" s="18"/>
      <c r="AM250" s="18"/>
      <c r="AN250" s="18"/>
    </row>
    <row r="251" spans="1:41" ht="21.9" customHeight="1" x14ac:dyDescent="0.25">
      <c r="B251" s="229"/>
      <c r="C251" s="690"/>
      <c r="D251" s="690"/>
      <c r="E251" s="1325" t="s">
        <v>274</v>
      </c>
      <c r="F251" s="217" t="s">
        <v>275</v>
      </c>
      <c r="G251" s="217" t="s">
        <v>318</v>
      </c>
      <c r="H251" s="558" t="s">
        <v>23</v>
      </c>
      <c r="I251" s="558">
        <f>'Volume and Speed'!H347</f>
        <v>65763.478261115772</v>
      </c>
      <c r="J251" s="558">
        <f>'Volume and Speed'!I347</f>
        <v>72415.782905058426</v>
      </c>
      <c r="K251" s="558">
        <f>'Volume and Speed'!J347</f>
        <v>87288.522335980917</v>
      </c>
      <c r="L251" s="558">
        <f>'Volume and Speed'!K347</f>
        <v>117161.58247172119</v>
      </c>
      <c r="M251" s="558">
        <f>'Volume and Speed'!L347</f>
        <v>147053.05782493978</v>
      </c>
      <c r="N251" s="558">
        <f>'Volume and Speed'!M347</f>
        <v>176941.25487427693</v>
      </c>
      <c r="O251" s="558">
        <f>'Volume and Speed'!N347</f>
        <v>206814.37496153795</v>
      </c>
      <c r="P251" s="558">
        <f>'Volume and Speed'!O347</f>
        <v>236724.51294520305</v>
      </c>
      <c r="Q251" s="558">
        <f>'Volume and Speed'!P347</f>
        <v>266074.28511123848</v>
      </c>
      <c r="R251" s="558">
        <f>'Volume and Speed'!Q347</f>
        <v>295440.53938149457</v>
      </c>
      <c r="S251" s="558">
        <f>'Volume and Speed'!R347</f>
        <v>324796.2574665292</v>
      </c>
      <c r="T251" s="558">
        <f>'Volume and Speed'!S347</f>
        <v>354161.87067115289</v>
      </c>
      <c r="U251" s="558">
        <f>'Volume and Speed'!T347</f>
        <v>383585.77297277795</v>
      </c>
      <c r="V251" s="558">
        <f>'Volume and Speed'!U347</f>
        <v>397948.44071096554</v>
      </c>
      <c r="W251" s="558">
        <f>'Volume and Speed'!V347</f>
        <v>404620.31773437036</v>
      </c>
      <c r="X251" s="558">
        <f>'Volume and Speed'!W347</f>
        <v>411295.69241253892</v>
      </c>
      <c r="Y251" s="558">
        <f>'Volume and Speed'!X347</f>
        <v>417975.11787972908</v>
      </c>
      <c r="Z251" s="558">
        <f>'Volume and Speed'!Y347</f>
        <v>424669.46942713438</v>
      </c>
      <c r="AA251" s="558">
        <f>'Volume and Speed'!Z347</f>
        <v>431358.97861661052</v>
      </c>
      <c r="AB251" s="558">
        <f>'Volume and Speed'!AA347</f>
        <v>438064.95914456737</v>
      </c>
      <c r="AC251" s="558">
        <f>'Volume and Speed'!AB347</f>
        <v>444767.80926668266</v>
      </c>
      <c r="AD251" s="558">
        <f>'Volume and Speed'!AC347</f>
        <v>451478.81923727971</v>
      </c>
      <c r="AE251" s="558">
        <f>'Volume and Speed'!AD347</f>
        <v>458209.46147135261</v>
      </c>
      <c r="AF251" s="558">
        <f>'Volume and Speed'!AE347</f>
        <v>464940.45567501691</v>
      </c>
      <c r="AG251" s="558">
        <f>'Volume and Speed'!AF347</f>
        <v>471683.56717088871</v>
      </c>
      <c r="AH251" s="728">
        <f>'Volume and Speed'!AG347</f>
        <v>478450.81527606922</v>
      </c>
      <c r="AI251" s="18"/>
      <c r="AJ251" s="18"/>
      <c r="AK251" s="18"/>
      <c r="AL251" s="18"/>
      <c r="AM251" s="18"/>
      <c r="AN251" s="18"/>
    </row>
    <row r="252" spans="1:41" ht="21.9" customHeight="1" x14ac:dyDescent="0.25">
      <c r="B252" s="229"/>
      <c r="C252" s="690"/>
      <c r="D252" s="690"/>
      <c r="E252" s="1325"/>
      <c r="F252" s="114" t="s">
        <v>318</v>
      </c>
      <c r="G252" s="114" t="s">
        <v>308</v>
      </c>
      <c r="H252" s="552" t="s">
        <v>23</v>
      </c>
      <c r="I252" s="552">
        <f>'Volume and Speed'!H348</f>
        <v>8848.4899221904034</v>
      </c>
      <c r="J252" s="552">
        <f>'Volume and Speed'!I348</f>
        <v>9771.9868377121147</v>
      </c>
      <c r="K252" s="552">
        <f>'Volume and Speed'!J348</f>
        <v>11046.875431843377</v>
      </c>
      <c r="L252" s="552">
        <f>'Volume and Speed'!K348</f>
        <v>13388.461431750598</v>
      </c>
      <c r="M252" s="552">
        <f>'Volume and Speed'!L348</f>
        <v>15732.646657799451</v>
      </c>
      <c r="N252" s="552">
        <f>'Volume and Speed'!M348</f>
        <v>18085.159005128284</v>
      </c>
      <c r="O252" s="552">
        <f>'Volume and Speed'!N348</f>
        <v>20463.212890585626</v>
      </c>
      <c r="P252" s="552">
        <f>'Volume and Speed'!O348</f>
        <v>22921.702896008435</v>
      </c>
      <c r="Q252" s="552">
        <f>'Volume and Speed'!P348</f>
        <v>26880.188954962738</v>
      </c>
      <c r="R252" s="552">
        <f>'Volume and Speed'!Q348</f>
        <v>32361.175878179496</v>
      </c>
      <c r="S252" s="552">
        <f>'Volume and Speed'!R348</f>
        <v>42278.918136019274</v>
      </c>
      <c r="T252" s="552">
        <f>'Volume and Speed'!S348</f>
        <v>63779.238877588781</v>
      </c>
      <c r="U252" s="552">
        <f>'Volume and Speed'!T348</f>
        <v>90918.894539272398</v>
      </c>
      <c r="V252" s="552">
        <f>'Volume and Speed'!U348</f>
        <v>96201.560539323604</v>
      </c>
      <c r="W252" s="552">
        <f>'Volume and Speed'!V348</f>
        <v>98322.452725364303</v>
      </c>
      <c r="X252" s="552">
        <f>'Volume and Speed'!W348</f>
        <v>100442.97933200297</v>
      </c>
      <c r="Y252" s="552">
        <f>'Volume and Speed'!X348</f>
        <v>102563.64279252518</v>
      </c>
      <c r="Z252" s="552">
        <f>'Volume and Speed'!Y348</f>
        <v>104685.99549947897</v>
      </c>
      <c r="AA252" s="552">
        <f>'Volume and Speed'!Z348</f>
        <v>106807.02541706375</v>
      </c>
      <c r="AB252" s="552">
        <f>'Volume and Speed'!AA348</f>
        <v>108929.8185118119</v>
      </c>
      <c r="AC252" s="552">
        <f>'Volume and Speed'!AB348</f>
        <v>111051.37690930188</v>
      </c>
      <c r="AD252" s="552">
        <f>'Volume and Speed'!AC348</f>
        <v>113173.27759483698</v>
      </c>
      <c r="AE252" s="552">
        <f>'Volume and Speed'!AD348</f>
        <v>115297.10999152824</v>
      </c>
      <c r="AF252" s="552">
        <f>'Volume and Speed'!AE348</f>
        <v>117419.90448950586</v>
      </c>
      <c r="AG252" s="552">
        <f>'Volume and Speed'!AF348</f>
        <v>119543.26873748633</v>
      </c>
      <c r="AH252" s="727">
        <f>'Volume and Speed'!AG348</f>
        <v>121668.82976202643</v>
      </c>
      <c r="AI252" s="18"/>
      <c r="AJ252" s="18"/>
      <c r="AK252" s="18"/>
      <c r="AL252" s="18"/>
      <c r="AM252" s="18"/>
      <c r="AN252" s="18"/>
    </row>
    <row r="253" spans="1:41" ht="21.9" customHeight="1" x14ac:dyDescent="0.25">
      <c r="B253" s="229"/>
      <c r="C253" s="690"/>
      <c r="D253" s="690"/>
      <c r="E253" s="1321"/>
      <c r="F253" s="250" t="s">
        <v>308</v>
      </c>
      <c r="G253" s="250" t="s">
        <v>319</v>
      </c>
      <c r="H253" s="562" t="s">
        <v>23</v>
      </c>
      <c r="I253" s="562">
        <f>'Volume and Speed'!H349</f>
        <v>125559.46488394152</v>
      </c>
      <c r="J253" s="562">
        <f>'Volume and Speed'!I349</f>
        <v>129298.84195948513</v>
      </c>
      <c r="K253" s="562">
        <f>'Volume and Speed'!J349</f>
        <v>134763.71428682527</v>
      </c>
      <c r="L253" s="562">
        <f>'Volume and Speed'!K349</f>
        <v>142819.75301685371</v>
      </c>
      <c r="M253" s="562">
        <f>'Volume and Speed'!L349</f>
        <v>151564.0457773144</v>
      </c>
      <c r="N253" s="562">
        <f>'Volume and Speed'!M349</f>
        <v>161367.28869303904</v>
      </c>
      <c r="O253" s="562">
        <f>'Volume and Speed'!N349</f>
        <v>172773.35740434137</v>
      </c>
      <c r="P253" s="562">
        <f>'Volume and Speed'!O349</f>
        <v>186582.19091549522</v>
      </c>
      <c r="Q253" s="562">
        <f>'Volume and Speed'!P349</f>
        <v>204082.44793959323</v>
      </c>
      <c r="R253" s="562">
        <f>'Volume and Speed'!Q349</f>
        <v>226759.75695798732</v>
      </c>
      <c r="S253" s="562">
        <f>'Volume and Speed'!R349</f>
        <v>256799.41087837238</v>
      </c>
      <c r="T253" s="562">
        <f>'Volume and Speed'!S349</f>
        <v>297210.63501489989</v>
      </c>
      <c r="U253" s="562">
        <f>'Volume and Speed'!T349</f>
        <v>352079.19405828248</v>
      </c>
      <c r="V253" s="562">
        <f>'Volume and Speed'!U349</f>
        <v>403036.83741010039</v>
      </c>
      <c r="W253" s="562">
        <f>'Volume and Speed'!V349</f>
        <v>445497.93802874989</v>
      </c>
      <c r="X253" s="562">
        <f>'Volume and Speed'!W349</f>
        <v>477530.93935508019</v>
      </c>
      <c r="Y253" s="562">
        <f>'Volume and Speed'!X349</f>
        <v>485272.51730524574</v>
      </c>
      <c r="Z253" s="562">
        <f>'Volume and Speed'!Y349</f>
        <v>493017.90487224236</v>
      </c>
      <c r="AA253" s="562">
        <f>'Volume and Speed'!Z349</f>
        <v>500759.75031408755</v>
      </c>
      <c r="AB253" s="562">
        <f>'Volume and Speed'!AA349</f>
        <v>508505.44613405102</v>
      </c>
      <c r="AC253" s="562">
        <f>'Volume and Speed'!AB349</f>
        <v>516247.64665636112</v>
      </c>
      <c r="AD253" s="562">
        <f>'Volume and Speed'!AC349</f>
        <v>523990.06452830543</v>
      </c>
      <c r="AE253" s="562">
        <f>'Volume and Speed'!AD349</f>
        <v>531736.41773450305</v>
      </c>
      <c r="AF253" s="562">
        <f>'Volume and Speed'!AE349</f>
        <v>539479.37141869066</v>
      </c>
      <c r="AG253" s="562">
        <f>'Volume and Speed'!AF349</f>
        <v>547222.64973636321</v>
      </c>
      <c r="AH253" s="729">
        <f>'Volume and Speed'!AG349</f>
        <v>554969.98448030138</v>
      </c>
      <c r="AI253" s="18"/>
      <c r="AJ253" s="18"/>
      <c r="AK253" s="18"/>
      <c r="AL253" s="18"/>
      <c r="AM253" s="18"/>
      <c r="AN253" s="18"/>
    </row>
    <row r="254" spans="1:41" ht="21.9" customHeight="1" x14ac:dyDescent="0.25">
      <c r="B254" s="229"/>
      <c r="C254" s="690"/>
      <c r="D254" s="690"/>
      <c r="E254" s="114" t="s">
        <v>320</v>
      </c>
      <c r="F254" s="114" t="s">
        <v>318</v>
      </c>
      <c r="G254" s="114" t="s">
        <v>308</v>
      </c>
      <c r="H254" s="552" t="s">
        <v>23</v>
      </c>
      <c r="I254" s="552">
        <f>'Volume and Speed'!H350</f>
        <v>397.10648148148141</v>
      </c>
      <c r="J254" s="552">
        <f>'Volume and Speed'!I350</f>
        <v>3009.6700231481482</v>
      </c>
      <c r="K254" s="552">
        <f>'Volume and Speed'!J350</f>
        <v>17436.548495908923</v>
      </c>
      <c r="L254" s="552">
        <f>'Volume and Speed'!K350</f>
        <v>40160.575003187303</v>
      </c>
      <c r="M254" s="552">
        <f>'Volume and Speed'!L350</f>
        <v>62899.61175532057</v>
      </c>
      <c r="N254" s="552">
        <f>'Volume and Speed'!M350</f>
        <v>85659.998664049388</v>
      </c>
      <c r="O254" s="552">
        <f>'Volume and Speed'!N350</f>
        <v>108650.04526325772</v>
      </c>
      <c r="P254" s="552">
        <f>'Volume and Speed'!O350</f>
        <v>133457.62142767891</v>
      </c>
      <c r="Q254" s="552">
        <f>'Volume and Speed'!P350</f>
        <v>150403.54066006633</v>
      </c>
      <c r="R254" s="552">
        <f>'Volume and Speed'!Q350</f>
        <v>173275.8753544582</v>
      </c>
      <c r="S254" s="552">
        <f>'Volume and Speed'!R350</f>
        <v>208787.03090752655</v>
      </c>
      <c r="T254" s="552">
        <f>'Volume and Speed'!S350</f>
        <v>269732.01949602127</v>
      </c>
      <c r="U254" s="552">
        <f>'Volume and Speed'!T350</f>
        <v>379740.01955777145</v>
      </c>
      <c r="V254" s="552">
        <f>'Volume and Speed'!U350</f>
        <v>416760.21228104056</v>
      </c>
      <c r="W254" s="552">
        <f>'Volume and Speed'!V350</f>
        <v>422218.52621962351</v>
      </c>
      <c r="X254" s="552">
        <f>'Volume and Speed'!W350</f>
        <v>427676.62491005455</v>
      </c>
      <c r="Y254" s="552">
        <f>'Volume and Speed'!X350</f>
        <v>433134.80048580817</v>
      </c>
      <c r="Z254" s="552">
        <f>'Volume and Speed'!Y350</f>
        <v>438614.63065533526</v>
      </c>
      <c r="AA254" s="552">
        <f>'Volume and Speed'!Z350</f>
        <v>444072.99239947664</v>
      </c>
      <c r="AB254" s="552">
        <f>'Volume and Speed'!AA350</f>
        <v>449553.02803764259</v>
      </c>
      <c r="AC254" s="552">
        <f>'Volume and Speed'!AB350</f>
        <v>455011.62035226135</v>
      </c>
      <c r="AD254" s="552">
        <f>'Volume and Speed'!AC350</f>
        <v>460470.34423125914</v>
      </c>
      <c r="AE254" s="552">
        <f>'Volume and Speed'!AD350</f>
        <v>465950.78722739103</v>
      </c>
      <c r="AF254" s="552">
        <f>'Volume and Speed'!AE350</f>
        <v>471409.83510070911</v>
      </c>
      <c r="AG254" s="552">
        <f>'Volume and Speed'!AF350</f>
        <v>476869.06431121402</v>
      </c>
      <c r="AH254" s="727">
        <f>'Volume and Speed'!AG350</f>
        <v>482350.06926169188</v>
      </c>
      <c r="AI254" s="18"/>
      <c r="AJ254" s="18"/>
      <c r="AK254" s="18"/>
      <c r="AL254" s="18"/>
      <c r="AM254" s="18"/>
      <c r="AN254" s="18"/>
    </row>
    <row r="255" spans="1:41" ht="21.9" customHeight="1" x14ac:dyDescent="0.25">
      <c r="B255" s="229"/>
      <c r="C255" s="690"/>
      <c r="D255" s="690"/>
      <c r="E255" s="1325" t="s">
        <v>308</v>
      </c>
      <c r="F255" s="217" t="s">
        <v>276</v>
      </c>
      <c r="G255" s="217" t="s">
        <v>320</v>
      </c>
      <c r="H255" s="558" t="s">
        <v>23</v>
      </c>
      <c r="I255" s="558">
        <f>'Volume and Speed'!H351</f>
        <v>1198.905109489051</v>
      </c>
      <c r="J255" s="558">
        <f>'Volume and Speed'!I351</f>
        <v>2664.5666058394158</v>
      </c>
      <c r="K255" s="558">
        <f>'Volume and Speed'!J351</f>
        <v>11261.9151459854</v>
      </c>
      <c r="L255" s="558">
        <f>'Volume and Speed'!K351</f>
        <v>25316.080291971932</v>
      </c>
      <c r="M255" s="558">
        <f>'Volume and Speed'!L351</f>
        <v>39378.038321313361</v>
      </c>
      <c r="N255" s="558">
        <f>'Volume and Speed'!M351</f>
        <v>53440.595807103331</v>
      </c>
      <c r="O255" s="558">
        <f>'Volume and Speed'!N351</f>
        <v>67494.761003473541</v>
      </c>
      <c r="P255" s="558">
        <f>'Volume and Speed'!O351</f>
        <v>81565.111751914897</v>
      </c>
      <c r="Q255" s="558">
        <f>'Volume and Speed'!P351</f>
        <v>92415.204285157481</v>
      </c>
      <c r="R255" s="558">
        <f>'Volume and Speed'!Q351</f>
        <v>103267.098022146</v>
      </c>
      <c r="S255" s="558">
        <f>'Volume and Speed'!R351</f>
        <v>114117.20100719389</v>
      </c>
      <c r="T255" s="558">
        <f>'Volume and Speed'!S351</f>
        <v>124967.32246853947</v>
      </c>
      <c r="U255" s="558">
        <f>'Volume and Speed'!T351</f>
        <v>135831.87240782398</v>
      </c>
      <c r="V255" s="558">
        <f>'Volume and Speed'!U351</f>
        <v>141216.81857160493</v>
      </c>
      <c r="W255" s="558">
        <f>'Volume and Speed'!V351</f>
        <v>142682.50214424095</v>
      </c>
      <c r="X255" s="558">
        <f>'Volume and Speed'!W351</f>
        <v>144148.18810430038</v>
      </c>
      <c r="Y255" s="558">
        <f>'Volume and Speed'!X351</f>
        <v>145613.8766824351</v>
      </c>
      <c r="Z255" s="558">
        <f>'Volume and Speed'!Y351</f>
        <v>147083.76438616531</v>
      </c>
      <c r="AA255" s="558">
        <f>'Volume and Speed'!Z351</f>
        <v>148549.45897933331</v>
      </c>
      <c r="AB255" s="558">
        <f>'Volume and Speed'!AA351</f>
        <v>150019.35328198146</v>
      </c>
      <c r="AC255" s="558">
        <f>'Volume and Speed'!AB351</f>
        <v>151485.05506695382</v>
      </c>
      <c r="AD255" s="558">
        <f>'Volume and Speed'!AC351</f>
        <v>152950.7609445136</v>
      </c>
      <c r="AE255" s="558">
        <f>'Volume and Speed'!AD351</f>
        <v>154420.66759960086</v>
      </c>
      <c r="AF255" s="558">
        <f>'Volume and Speed'!AE351</f>
        <v>155886.38281767844</v>
      </c>
      <c r="AG255" s="558">
        <f>'Volume and Speed'!AF351</f>
        <v>157352.10333149429</v>
      </c>
      <c r="AH255" s="728">
        <f>'Volume and Speed'!AG351</f>
        <v>158822.02596842652</v>
      </c>
      <c r="AI255" s="18"/>
      <c r="AJ255" s="18"/>
      <c r="AK255" s="18"/>
      <c r="AL255" s="18"/>
      <c r="AM255" s="18"/>
      <c r="AN255" s="18"/>
    </row>
    <row r="256" spans="1:41" ht="21.9" customHeight="1" x14ac:dyDescent="0.25">
      <c r="B256" s="229"/>
      <c r="C256" s="690"/>
      <c r="D256" s="690"/>
      <c r="E256" s="1325"/>
      <c r="F256" s="114" t="s">
        <v>320</v>
      </c>
      <c r="G256" s="114" t="s">
        <v>282</v>
      </c>
      <c r="H256" s="552" t="s">
        <v>23</v>
      </c>
      <c r="I256" s="552">
        <f>'Volume and Speed'!H352</f>
        <v>0</v>
      </c>
      <c r="J256" s="552">
        <f>'Volume and Speed'!I352</f>
        <v>815.61070559610721</v>
      </c>
      <c r="K256" s="552">
        <f>'Volume and Speed'!J352</f>
        <v>2335.8046228710464</v>
      </c>
      <c r="L256" s="552">
        <f>'Volume and Speed'!K352</f>
        <v>5250.7425790756597</v>
      </c>
      <c r="M256" s="552">
        <f>'Volume and Speed'!L352</f>
        <v>8167.2968370131402</v>
      </c>
      <c r="N256" s="552">
        <f>'Volume and Speed'!M352</f>
        <v>11083.97542665847</v>
      </c>
      <c r="O256" s="552">
        <f>'Volume and Speed'!N352</f>
        <v>13998.913393313032</v>
      </c>
      <c r="P256" s="552">
        <f>'Volume and Speed'!O352</f>
        <v>16917.208363360129</v>
      </c>
      <c r="Q256" s="552">
        <f>'Volume and Speed'!P352</f>
        <v>19167.597925810442</v>
      </c>
      <c r="R256" s="552">
        <f>'Volume and Speed'!Q352</f>
        <v>21418.361071259911</v>
      </c>
      <c r="S256" s="552">
        <f>'Volume and Speed'!R352</f>
        <v>23668.752801492064</v>
      </c>
      <c r="T256" s="552">
        <f>'Volume and Speed'!S352</f>
        <v>25919.148363845226</v>
      </c>
      <c r="U256" s="552">
        <f>'Volume and Speed'!T352</f>
        <v>28172.536499400529</v>
      </c>
      <c r="V256" s="552">
        <f>'Volume and Speed'!U352</f>
        <v>29289.414222258802</v>
      </c>
      <c r="W256" s="552">
        <f>'Volume and Speed'!V352</f>
        <v>29593.407852138866</v>
      </c>
      <c r="X256" s="552">
        <f>'Volume and Speed'!W352</f>
        <v>29897.401977188223</v>
      </c>
      <c r="Y256" s="552">
        <f>'Volume and Speed'!X352</f>
        <v>30201.396645245804</v>
      </c>
      <c r="Z256" s="552">
        <f>'Volume and Speed'!Y352</f>
        <v>30506.26224305651</v>
      </c>
      <c r="AA256" s="552">
        <f>'Volume and Speed'!Z352</f>
        <v>30810.258158676537</v>
      </c>
      <c r="AB256" s="552">
        <f>'Volume and Speed'!AA352</f>
        <v>31115.12512515171</v>
      </c>
      <c r="AC256" s="552">
        <f>'Volume and Speed'!AB352</f>
        <v>31419.122532405239</v>
      </c>
      <c r="AD256" s="552">
        <f>'Volume and Speed'!AC352</f>
        <v>31723.120788491702</v>
      </c>
      <c r="AE256" s="552">
        <f>'Volume and Speed'!AD352</f>
        <v>32027.990316954256</v>
      </c>
      <c r="AF256" s="552">
        <f>'Volume and Speed'!AE352</f>
        <v>32331.990510333308</v>
      </c>
      <c r="AG256" s="552">
        <f>'Volume and Speed'!AF352</f>
        <v>32635.991802087701</v>
      </c>
      <c r="AH256" s="727">
        <f>'Volume and Speed'!AG352</f>
        <v>32940.864645303278</v>
      </c>
      <c r="AI256" s="18"/>
      <c r="AJ256" s="18"/>
      <c r="AK256" s="18"/>
      <c r="AL256" s="18"/>
      <c r="AM256" s="18"/>
      <c r="AN256" s="18"/>
    </row>
    <row r="257" spans="2:41" ht="21.9" customHeight="1" x14ac:dyDescent="0.25">
      <c r="B257" s="229"/>
      <c r="C257" s="690"/>
      <c r="D257" s="690"/>
      <c r="E257" s="1325"/>
      <c r="F257" s="114" t="s">
        <v>282</v>
      </c>
      <c r="G257" s="114" t="s">
        <v>321</v>
      </c>
      <c r="H257" s="552" t="s">
        <v>23</v>
      </c>
      <c r="I257" s="552">
        <f>'Volume and Speed'!H353</f>
        <v>0</v>
      </c>
      <c r="J257" s="552">
        <f>'Volume and Speed'!I353</f>
        <v>2126.4136253041361</v>
      </c>
      <c r="K257" s="552">
        <f>'Volume and Speed'!J353</f>
        <v>6089.7763381995128</v>
      </c>
      <c r="L257" s="552">
        <f>'Volume and Speed'!K353</f>
        <v>13689.436009732968</v>
      </c>
      <c r="M257" s="552">
        <f>'Volume and Speed'!L353</f>
        <v>21293.309610784258</v>
      </c>
      <c r="N257" s="552">
        <f>'Volume and Speed'!M353</f>
        <v>28897.507362359574</v>
      </c>
      <c r="O257" s="552">
        <f>'Volume and Speed'!N353</f>
        <v>36497.167061137545</v>
      </c>
      <c r="P257" s="552">
        <f>'Volume and Speed'!O353</f>
        <v>44105.578947331764</v>
      </c>
      <c r="Q257" s="552">
        <f>'Volume and Speed'!P353</f>
        <v>49972.666020862933</v>
      </c>
      <c r="R257" s="552">
        <f>'Volume and Speed'!Q353</f>
        <v>55840.72707864191</v>
      </c>
      <c r="S257" s="552">
        <f>'Volume and Speed'!R353</f>
        <v>61707.819803890015</v>
      </c>
      <c r="T257" s="552">
        <f>'Volume and Speed'!S353</f>
        <v>67574.922520025022</v>
      </c>
      <c r="U257" s="552">
        <f>'Volume and Speed'!T353</f>
        <v>73449.827302008503</v>
      </c>
      <c r="V257" s="552">
        <f>'Volume and Speed'!U353</f>
        <v>76361.687079460433</v>
      </c>
      <c r="W257" s="552">
        <f>'Volume and Speed'!V353</f>
        <v>77154.241900219175</v>
      </c>
      <c r="X257" s="552">
        <f>'Volume and Speed'!W353</f>
        <v>77946.798011955019</v>
      </c>
      <c r="Y257" s="552">
        <f>'Volume and Speed'!X353</f>
        <v>78739.355539390832</v>
      </c>
      <c r="Z257" s="552">
        <f>'Volume and Speed'!Y353</f>
        <v>79534.183705111616</v>
      </c>
      <c r="AA257" s="552">
        <f>'Volume and Speed'!Z353</f>
        <v>80326.744485120973</v>
      </c>
      <c r="AB257" s="552">
        <f>'Volume and Speed'!AA353</f>
        <v>81121.576219145514</v>
      </c>
      <c r="AC257" s="552">
        <f>'Volume and Speed'!AB353</f>
        <v>81914.140888056514</v>
      </c>
      <c r="AD257" s="552">
        <f>'Volume and Speed'!AC353</f>
        <v>82706.707769996225</v>
      </c>
      <c r="AE257" s="552">
        <f>'Volume and Speed'!AD353</f>
        <v>83501.546183487866</v>
      </c>
      <c r="AF257" s="552">
        <f>'Volume and Speed'!AE353</f>
        <v>84294.118116226105</v>
      </c>
      <c r="AG257" s="552">
        <f>'Volume and Speed'!AF353</f>
        <v>85086.692912585801</v>
      </c>
      <c r="AH257" s="727">
        <f>'Volume and Speed'!AG353</f>
        <v>85881.53996811212</v>
      </c>
      <c r="AI257" s="18"/>
      <c r="AJ257" s="18"/>
      <c r="AK257" s="18"/>
      <c r="AL257" s="18"/>
      <c r="AM257" s="18"/>
      <c r="AN257" s="18"/>
    </row>
    <row r="258" spans="2:41" ht="21.9" customHeight="1" x14ac:dyDescent="0.25">
      <c r="B258" s="229"/>
      <c r="C258" s="690"/>
      <c r="D258" s="690"/>
      <c r="E258" s="1325"/>
      <c r="F258" s="250" t="s">
        <v>321</v>
      </c>
      <c r="G258" s="250" t="s">
        <v>274</v>
      </c>
      <c r="H258" s="562" t="s">
        <v>23</v>
      </c>
      <c r="I258" s="562">
        <f>'Volume and Speed'!H354</f>
        <v>2797.4452554744526</v>
      </c>
      <c r="J258" s="562">
        <f>'Volume and Speed'!I354</f>
        <v>4170.1516423357662</v>
      </c>
      <c r="K258" s="562">
        <f>'Volume and Speed'!J354</f>
        <v>5871.2781021897808</v>
      </c>
      <c r="L258" s="562">
        <f>'Volume and Speed'!K354</f>
        <v>10171.697445255475</v>
      </c>
      <c r="M258" s="562">
        <f>'Volume and Speed'!L354</f>
        <v>14472.583029197107</v>
      </c>
      <c r="N258" s="562">
        <f>'Volume and Speed'!M354</f>
        <v>18775.613321168403</v>
      </c>
      <c r="O258" s="562">
        <f>'Volume and Speed'!N354</f>
        <v>23076.032664238599</v>
      </c>
      <c r="P258" s="562">
        <f>'Volume and Speed'!O354</f>
        <v>27375.053284704438</v>
      </c>
      <c r="Q258" s="562">
        <f>'Volume and Speed'!P354</f>
        <v>38317.81989184086</v>
      </c>
      <c r="R258" s="562">
        <f>'Volume and Speed'!Q354</f>
        <v>49256.297101353739</v>
      </c>
      <c r="S258" s="562">
        <f>'Volume and Speed'!R354</f>
        <v>60193.935227699883</v>
      </c>
      <c r="T258" s="562">
        <f>'Volume and Speed'!S354</f>
        <v>71136.702843070714</v>
      </c>
      <c r="U258" s="562">
        <f>'Volume and Speed'!T354</f>
        <v>82078.075318700285</v>
      </c>
      <c r="V258" s="562">
        <f>'Volume and Speed'!U354</f>
        <v>90418.296359212181</v>
      </c>
      <c r="W258" s="562">
        <f>'Volume and Speed'!V354</f>
        <v>91791.005774260469</v>
      </c>
      <c r="X258" s="562">
        <f>'Volume and Speed'!W354</f>
        <v>93163.715677560234</v>
      </c>
      <c r="Y258" s="562">
        <f>'Volume and Speed'!X354</f>
        <v>94536.426139014598</v>
      </c>
      <c r="Z258" s="562">
        <f>'Volume and Speed'!Y354</f>
        <v>95904.941053790186</v>
      </c>
      <c r="AA258" s="562">
        <f>'Volume and Speed'!Z354</f>
        <v>97277.652874384497</v>
      </c>
      <c r="AB258" s="562">
        <f>'Volume and Speed'!AA354</f>
        <v>98646.169329991753</v>
      </c>
      <c r="AC258" s="562">
        <f>'Volume and Speed'!AB354</f>
        <v>100018.88290496351</v>
      </c>
      <c r="AD258" s="562">
        <f>'Volume and Speed'!AC354</f>
        <v>101391.59753722884</v>
      </c>
      <c r="AE258" s="562">
        <f>'Volume and Speed'!AD354</f>
        <v>102760.11716603776</v>
      </c>
      <c r="AF258" s="562">
        <f>'Volume and Speed'!AE354</f>
        <v>104132.83433818573</v>
      </c>
      <c r="AG258" s="562">
        <f>'Volume and Speed'!AF354</f>
        <v>105505.55302985874</v>
      </c>
      <c r="AH258" s="729">
        <f>'Volume and Speed'!AG354</f>
        <v>106874.07721755569</v>
      </c>
      <c r="AI258" s="18"/>
      <c r="AJ258" s="18"/>
      <c r="AK258" s="18"/>
      <c r="AL258" s="18"/>
      <c r="AM258" s="18"/>
      <c r="AN258" s="18"/>
    </row>
    <row r="259" spans="2:41" ht="21.9" customHeight="1" x14ac:dyDescent="0.25">
      <c r="B259" s="229"/>
      <c r="C259" s="690"/>
      <c r="D259" s="690"/>
      <c r="E259" s="114" t="s">
        <v>282</v>
      </c>
      <c r="F259" s="114" t="s">
        <v>308</v>
      </c>
      <c r="G259" s="114" t="s">
        <v>324</v>
      </c>
      <c r="H259" s="568" t="s">
        <v>23</v>
      </c>
      <c r="I259" s="568">
        <f>'Volume and Speed'!H355</f>
        <v>23633.09448058578</v>
      </c>
      <c r="J259" s="568">
        <f>'Volume and Speed'!I355</f>
        <v>25086.268028903316</v>
      </c>
      <c r="K259" s="568">
        <f>'Volume and Speed'!J355</f>
        <v>27009.34767579535</v>
      </c>
      <c r="L259" s="568">
        <f>'Volume and Speed'!K355</f>
        <v>29565.011220557259</v>
      </c>
      <c r="M259" s="568">
        <f>'Volume and Speed'!L355</f>
        <v>32121.472183138583</v>
      </c>
      <c r="N259" s="568">
        <f>'Volume and Speed'!M355</f>
        <v>34683.467860256365</v>
      </c>
      <c r="O259" s="568">
        <f>'Volume and Speed'!N355</f>
        <v>37239.201403421932</v>
      </c>
      <c r="P259" s="568">
        <f>'Volume and Speed'!O355</f>
        <v>39797.76805342907</v>
      </c>
      <c r="Q259" s="568">
        <f>'Volume and Speed'!P355</f>
        <v>42130.874021566407</v>
      </c>
      <c r="R259" s="568">
        <f>'Volume and Speed'!Q355</f>
        <v>44462.199718041295</v>
      </c>
      <c r="S259" s="568">
        <f>'Volume and Speed'!R355</f>
        <v>46795.93379712876</v>
      </c>
      <c r="T259" s="568">
        <f>'Volume and Speed'!S355</f>
        <v>49130.022735093225</v>
      </c>
      <c r="U259" s="568">
        <f>'Volume and Speed'!T355</f>
        <v>51473.14433030384</v>
      </c>
      <c r="V259" s="568">
        <f>'Volume and Speed'!U355</f>
        <v>53173.71924606125</v>
      </c>
      <c r="W259" s="568">
        <f>'Volume and Speed'!V355</f>
        <v>54629.356193550047</v>
      </c>
      <c r="X259" s="568">
        <f>'Volume and Speed'!W355</f>
        <v>56085.743856540532</v>
      </c>
      <c r="Y259" s="568">
        <f>'Volume and Speed'!X355</f>
        <v>57543.082156750243</v>
      </c>
      <c r="Z259" s="568">
        <f>'Volume and Speed'!Y355</f>
        <v>59003.199119005847</v>
      </c>
      <c r="AA259" s="568">
        <f>'Volume and Speed'!Z355</f>
        <v>60463.233270405057</v>
      </c>
      <c r="AB259" s="568">
        <f>'Volume and Speed'!AA355</f>
        <v>61928.700641346688</v>
      </c>
      <c r="AC259" s="568">
        <f>'Volume and Speed'!AB355</f>
        <v>63392.91388566768</v>
      </c>
      <c r="AD259" s="568">
        <f>'Volume and Speed'!AC355</f>
        <v>64859.972912607642</v>
      </c>
      <c r="AE259" s="568">
        <f>'Volume and Speed'!AD355</f>
        <v>66332.118244644764</v>
      </c>
      <c r="AF259" s="568">
        <f>'Volume and Speed'!AE355</f>
        <v>67806.932311945056</v>
      </c>
      <c r="AG259" s="568">
        <f>'Volume and Speed'!AF355</f>
        <v>69286.925716258731</v>
      </c>
      <c r="AH259" s="730">
        <f>'Volume and Speed'!AG355</f>
        <v>70776.822927236237</v>
      </c>
      <c r="AI259" s="18"/>
      <c r="AJ259" s="18"/>
      <c r="AK259" s="18"/>
      <c r="AL259" s="18"/>
      <c r="AM259" s="18"/>
      <c r="AN259" s="18"/>
    </row>
    <row r="260" spans="2:41" ht="21.9" customHeight="1" x14ac:dyDescent="0.25">
      <c r="B260" s="229"/>
      <c r="C260" s="690"/>
      <c r="D260" s="690"/>
      <c r="E260" s="273" t="s">
        <v>321</v>
      </c>
      <c r="F260" s="273" t="s">
        <v>318</v>
      </c>
      <c r="G260" s="273" t="s">
        <v>308</v>
      </c>
      <c r="H260" s="552" t="s">
        <v>23</v>
      </c>
      <c r="I260" s="568" t="e">
        <f>'Volume and Speed'!H356</f>
        <v>#DIV/0!</v>
      </c>
      <c r="J260" s="568" t="e">
        <f>'Volume and Speed'!I356</f>
        <v>#DIV/0!</v>
      </c>
      <c r="K260" s="568" t="e">
        <f>'Volume and Speed'!J356</f>
        <v>#DIV/0!</v>
      </c>
      <c r="L260" s="568" t="e">
        <f>'Volume and Speed'!K356</f>
        <v>#DIV/0!</v>
      </c>
      <c r="M260" s="568" t="e">
        <f>'Volume and Speed'!L356</f>
        <v>#DIV/0!</v>
      </c>
      <c r="N260" s="568" t="e">
        <f>'Volume and Speed'!M356</f>
        <v>#DIV/0!</v>
      </c>
      <c r="O260" s="568" t="e">
        <f>'Volume and Speed'!N356</f>
        <v>#DIV/0!</v>
      </c>
      <c r="P260" s="568" t="e">
        <f>'Volume and Speed'!O356</f>
        <v>#DIV/0!</v>
      </c>
      <c r="Q260" s="568" t="e">
        <f>'Volume and Speed'!P356</f>
        <v>#DIV/0!</v>
      </c>
      <c r="R260" s="568" t="e">
        <f>'Volume and Speed'!Q356</f>
        <v>#DIV/0!</v>
      </c>
      <c r="S260" s="568" t="e">
        <f>'Volume and Speed'!R356</f>
        <v>#DIV/0!</v>
      </c>
      <c r="T260" s="568" t="e">
        <f>'Volume and Speed'!S356</f>
        <v>#DIV/0!</v>
      </c>
      <c r="U260" s="568" t="e">
        <f>'Volume and Speed'!T356</f>
        <v>#DIV/0!</v>
      </c>
      <c r="V260" s="568" t="e">
        <f>'Volume and Speed'!U356</f>
        <v>#DIV/0!</v>
      </c>
      <c r="W260" s="568" t="e">
        <f>'Volume and Speed'!V356</f>
        <v>#DIV/0!</v>
      </c>
      <c r="X260" s="568" t="e">
        <f>'Volume and Speed'!W356</f>
        <v>#DIV/0!</v>
      </c>
      <c r="Y260" s="568" t="e">
        <f>'Volume and Speed'!X356</f>
        <v>#DIV/0!</v>
      </c>
      <c r="Z260" s="568" t="e">
        <f>'Volume and Speed'!Y356</f>
        <v>#DIV/0!</v>
      </c>
      <c r="AA260" s="568" t="e">
        <f>'Volume and Speed'!Z356</f>
        <v>#DIV/0!</v>
      </c>
      <c r="AB260" s="568" t="e">
        <f>'Volume and Speed'!AA356</f>
        <v>#DIV/0!</v>
      </c>
      <c r="AC260" s="568" t="e">
        <f>'Volume and Speed'!AB356</f>
        <v>#DIV/0!</v>
      </c>
      <c r="AD260" s="568" t="e">
        <f>'Volume and Speed'!AC356</f>
        <v>#DIV/0!</v>
      </c>
      <c r="AE260" s="568" t="e">
        <f>'Volume and Speed'!AD356</f>
        <v>#DIV/0!</v>
      </c>
      <c r="AF260" s="568" t="e">
        <f>'Volume and Speed'!AE356</f>
        <v>#DIV/0!</v>
      </c>
      <c r="AG260" s="568" t="e">
        <f>'Volume and Speed'!AF356</f>
        <v>#DIV/0!</v>
      </c>
      <c r="AH260" s="730" t="e">
        <f>'Volume and Speed'!AG356</f>
        <v>#DIV/0!</v>
      </c>
      <c r="AI260" s="18"/>
      <c r="AJ260" s="18"/>
      <c r="AK260" s="18"/>
      <c r="AL260" s="18"/>
      <c r="AM260" s="18"/>
      <c r="AN260" s="18"/>
    </row>
    <row r="261" spans="2:41" ht="21.9" customHeight="1" x14ac:dyDescent="0.25">
      <c r="B261" s="229"/>
      <c r="C261" s="690"/>
      <c r="D261" s="690"/>
      <c r="E261" s="273" t="s">
        <v>333</v>
      </c>
      <c r="F261" s="273" t="s">
        <v>319</v>
      </c>
      <c r="G261" s="273" t="s">
        <v>308</v>
      </c>
      <c r="H261" s="568" t="s">
        <v>23</v>
      </c>
      <c r="I261" s="552">
        <f>'Volume and Speed'!H357</f>
        <v>38197.078466007326</v>
      </c>
      <c r="J261" s="552">
        <f>'Volume and Speed'!I357</f>
        <v>38721.779763803679</v>
      </c>
      <c r="K261" s="552">
        <f>'Volume and Speed'!J357</f>
        <v>39628.818791838828</v>
      </c>
      <c r="L261" s="552">
        <f>'Volume and Speed'!K357</f>
        <v>40874.315517841576</v>
      </c>
      <c r="M261" s="552">
        <f>'Volume and Speed'!L357</f>
        <v>42120.684888907825</v>
      </c>
      <c r="N261" s="552">
        <f>'Volume and Speed'!M357</f>
        <v>43369.308493461765</v>
      </c>
      <c r="O261" s="552">
        <f>'Volume and Speed'!N357</f>
        <v>44616.176487885066</v>
      </c>
      <c r="P261" s="552">
        <f>'Volume and Speed'!O357</f>
        <v>45868.15664254452</v>
      </c>
      <c r="Q261" s="552">
        <f>'Volume and Speed'!P357</f>
        <v>46736.938420110149</v>
      </c>
      <c r="R261" s="552">
        <f>'Volume and Speed'!Q357</f>
        <v>47606.376235203563</v>
      </c>
      <c r="S261" s="552">
        <f>'Volume and Speed'!R357</f>
        <v>48476.569086080985</v>
      </c>
      <c r="T261" s="552">
        <f>'Volume and Speed'!S357</f>
        <v>49347.3113494504</v>
      </c>
      <c r="U261" s="552">
        <f>'Volume and Speed'!T357</f>
        <v>50225.144563928057</v>
      </c>
      <c r="V261" s="552">
        <f>'Volume and Speed'!U357</f>
        <v>50753.455398561593</v>
      </c>
      <c r="W261" s="552">
        <f>'Volume and Speed'!V357</f>
        <v>51282.187270734794</v>
      </c>
      <c r="X261" s="552">
        <f>'Volume and Speed'!W357</f>
        <v>51811.381050785356</v>
      </c>
      <c r="Y261" s="552">
        <f>'Volume and Speed'!X357</f>
        <v>52341.081063577003</v>
      </c>
      <c r="Z261" s="552">
        <f>'Volume and Speed'!Y357</f>
        <v>52874.98472114186</v>
      </c>
      <c r="AA261" s="552">
        <f>'Volume and Speed'!Z357</f>
        <v>53405.849774515169</v>
      </c>
      <c r="AB261" s="552">
        <f>'Volume and Speed'!AA357</f>
        <v>53939.42245189994</v>
      </c>
      <c r="AC261" s="552">
        <f>'Volume and Speed'!AB357</f>
        <v>54471.677785010077</v>
      </c>
      <c r="AD261" s="552">
        <f>'Volume and Speed'!AC357</f>
        <v>55004.723559207203</v>
      </c>
      <c r="AE261" s="552">
        <f>'Volume and Speed'!AD357</f>
        <v>55542.306655750363</v>
      </c>
      <c r="AF261" s="552">
        <f>'Volume and Speed'!AE357</f>
        <v>56077.159567186623</v>
      </c>
      <c r="AG261" s="552">
        <f>'Volume and Speed'!AF357</f>
        <v>56613.034734769157</v>
      </c>
      <c r="AH261" s="727">
        <f>'Volume and Speed'!AG357</f>
        <v>57152.088004066471</v>
      </c>
      <c r="AI261" s="18"/>
      <c r="AJ261" s="18"/>
      <c r="AK261" s="18"/>
      <c r="AL261" s="18"/>
      <c r="AM261" s="18"/>
      <c r="AN261" s="18"/>
    </row>
    <row r="262" spans="2:41" ht="21.9" customHeight="1" x14ac:dyDescent="0.25">
      <c r="B262" s="229"/>
      <c r="C262" s="690"/>
      <c r="D262" s="690"/>
      <c r="E262" s="114" t="s">
        <v>319</v>
      </c>
      <c r="F262" s="114" t="s">
        <v>276</v>
      </c>
      <c r="G262" s="114" t="s">
        <v>333</v>
      </c>
      <c r="H262" s="552" t="s">
        <v>23</v>
      </c>
      <c r="I262" s="558">
        <f>'Volume and Speed'!H358</f>
        <v>78280.009329269713</v>
      </c>
      <c r="J262" s="558">
        <f>'Volume and Speed'!I358</f>
        <v>80536.588663159433</v>
      </c>
      <c r="K262" s="558">
        <f>'Volume and Speed'!J358</f>
        <v>82979.083742464209</v>
      </c>
      <c r="L262" s="558">
        <f>'Volume and Speed'!K358</f>
        <v>86219.488973189727</v>
      </c>
      <c r="M262" s="558">
        <f>'Volume and Speed'!L358</f>
        <v>89460.444183401996</v>
      </c>
      <c r="N262" s="558">
        <f>'Volume and Speed'!M358</f>
        <v>92702.73297056045</v>
      </c>
      <c r="O262" s="558">
        <f>'Volume and Speed'!N358</f>
        <v>95943.146904288398</v>
      </c>
      <c r="P262" s="558">
        <f>'Volume and Speed'!O358</f>
        <v>99184.427195162862</v>
      </c>
      <c r="Q262" s="558">
        <f>'Volume and Speed'!P358</f>
        <v>102751.04933618143</v>
      </c>
      <c r="R262" s="558">
        <f>'Volume and Speed'!Q358</f>
        <v>106316.50910134685</v>
      </c>
      <c r="S262" s="558">
        <f>'Volume and Speed'!R358</f>
        <v>109883.15916453424</v>
      </c>
      <c r="T262" s="558">
        <f>'Volume and Speed'!S358</f>
        <v>113449.83086761467</v>
      </c>
      <c r="U262" s="558">
        <f>'Volume and Speed'!T358</f>
        <v>117018.56675792123</v>
      </c>
      <c r="V262" s="558">
        <f>'Volume and Speed'!U358</f>
        <v>119787.04786154658</v>
      </c>
      <c r="W262" s="558">
        <f>'Volume and Speed'!V358</f>
        <v>122043.73481914308</v>
      </c>
      <c r="X262" s="558">
        <f>'Volume and Speed'!W358</f>
        <v>124300.44396078319</v>
      </c>
      <c r="Y262" s="558">
        <f>'Volume and Speed'!X358</f>
        <v>126557.17926163421</v>
      </c>
      <c r="Z262" s="558">
        <f>'Volume and Speed'!Y358</f>
        <v>128813.71045616941</v>
      </c>
      <c r="AA262" s="558">
        <f>'Volume and Speed'!Z358</f>
        <v>131070.51256322782</v>
      </c>
      <c r="AB262" s="558">
        <f>'Volume and Speed'!AA358</f>
        <v>133327.12195163732</v>
      </c>
      <c r="AC262" s="558">
        <f>'Volume and Speed'!AB358</f>
        <v>135584.01535304615</v>
      </c>
      <c r="AD262" s="558">
        <f>'Volume and Speed'!AC358</f>
        <v>137840.96591269207</v>
      </c>
      <c r="AE262" s="558">
        <f>'Volume and Speed'!AD358</f>
        <v>140097.74789206393</v>
      </c>
      <c r="AF262" s="558">
        <f>'Volume and Speed'!AE358</f>
        <v>142354.84149254093</v>
      </c>
      <c r="AG262" s="558">
        <f>'Volume and Speed'!AF358</f>
        <v>144612.02369669895</v>
      </c>
      <c r="AH262" s="728">
        <f>'Volume and Speed'!AG358</f>
        <v>146869.07305334028</v>
      </c>
      <c r="AI262" s="18"/>
      <c r="AJ262" s="18"/>
      <c r="AK262" s="18"/>
      <c r="AL262" s="18"/>
      <c r="AM262" s="18"/>
      <c r="AN262" s="18"/>
    </row>
    <row r="263" spans="2:41" ht="21.9" customHeight="1" x14ac:dyDescent="0.25">
      <c r="B263" s="229"/>
      <c r="C263" s="690"/>
      <c r="D263" s="690"/>
      <c r="E263" s="114"/>
      <c r="F263" s="114" t="s">
        <v>333</v>
      </c>
      <c r="G263" s="114" t="s">
        <v>323</v>
      </c>
      <c r="H263" s="552" t="s">
        <v>23</v>
      </c>
      <c r="I263" s="552">
        <f>'Volume and Speed'!H359</f>
        <v>11400.437782222565</v>
      </c>
      <c r="J263" s="552">
        <f>'Volume and Speed'!I359</f>
        <v>11724.000221011778</v>
      </c>
      <c r="K263" s="552">
        <f>'Volume and Speed'!J359</f>
        <v>12083.06903042028</v>
      </c>
      <c r="L263" s="552">
        <f>'Volume and Speed'!K359</f>
        <v>12587.058426842868</v>
      </c>
      <c r="M263" s="552">
        <f>'Volume and Speed'!L359</f>
        <v>13091.137848784898</v>
      </c>
      <c r="N263" s="552">
        <f>'Volume and Speed'!M359</f>
        <v>13595.322306167503</v>
      </c>
      <c r="O263" s="552">
        <f>'Volume and Speed'!N359</f>
        <v>14099.311800085041</v>
      </c>
      <c r="P263" s="552">
        <f>'Volume and Speed'!O359</f>
        <v>14603.331356264347</v>
      </c>
      <c r="Q263" s="552">
        <f>'Volume and Speed'!P359</f>
        <v>15169.828437975215</v>
      </c>
      <c r="R263" s="552">
        <f>'Volume and Speed'!Q359</f>
        <v>15736.130661249987</v>
      </c>
      <c r="S263" s="552">
        <f>'Volume and Speed'!R359</f>
        <v>16302.628099596561</v>
      </c>
      <c r="T263" s="552">
        <f>'Volume and Speed'!S359</f>
        <v>16869.125822989739</v>
      </c>
      <c r="U263" s="552">
        <f>'Volume and Speed'!T359</f>
        <v>17435.713937548928</v>
      </c>
      <c r="V263" s="552">
        <f>'Volume and Speed'!U359</f>
        <v>17857.351468331635</v>
      </c>
      <c r="W263" s="552">
        <f>'Volume and Speed'!V359</f>
        <v>18180.915159416094</v>
      </c>
      <c r="X263" s="552">
        <f>'Volume and Speed'!W359</f>
        <v>18504.479097296215</v>
      </c>
      <c r="Y263" s="552">
        <f>'Volume and Speed'!X359</f>
        <v>18828.043324421287</v>
      </c>
      <c r="Z263" s="552">
        <f>'Volume and Speed'!Y359</f>
        <v>19151.442882082854</v>
      </c>
      <c r="AA263" s="552">
        <f>'Volume and Speed'!Z359</f>
        <v>19475.007841115694</v>
      </c>
      <c r="AB263" s="552">
        <f>'Volume and Speed'!AA359</f>
        <v>19798.408250293367</v>
      </c>
      <c r="AC263" s="552">
        <f>'Volume and Speed'!AB359</f>
        <v>20121.974198515862</v>
      </c>
      <c r="AD263" s="552">
        <f>'Volume and Speed'!AC359</f>
        <v>20445.540761468044</v>
      </c>
      <c r="AE263" s="552">
        <f>'Volume and Speed'!AD359</f>
        <v>20768.943025014618</v>
      </c>
      <c r="AF263" s="552">
        <f>'Volume and Speed'!AE359</f>
        <v>21092.511114393601</v>
      </c>
      <c r="AG263" s="552">
        <f>'Volume and Speed'!AF359</f>
        <v>21416.080142934457</v>
      </c>
      <c r="AH263" s="727">
        <f>'Volume and Speed'!AG359</f>
        <v>21739.485237948207</v>
      </c>
      <c r="AI263" s="18"/>
      <c r="AJ263" s="18"/>
      <c r="AK263" s="18"/>
      <c r="AL263" s="18"/>
      <c r="AM263" s="18"/>
      <c r="AN263" s="18"/>
    </row>
    <row r="264" spans="2:41" ht="21.9" customHeight="1" x14ac:dyDescent="0.25">
      <c r="B264" s="229"/>
      <c r="C264" s="690"/>
      <c r="D264" s="690"/>
      <c r="E264" s="114"/>
      <c r="F264" s="114" t="s">
        <v>323</v>
      </c>
      <c r="G264" s="114" t="s">
        <v>322</v>
      </c>
      <c r="H264" s="552" t="s">
        <v>23</v>
      </c>
      <c r="I264" s="552">
        <f>'Volume and Speed'!H360</f>
        <v>3433.8483209342858</v>
      </c>
      <c r="J264" s="552">
        <f>'Volume and Speed'!I360</f>
        <v>3531.3063694879775</v>
      </c>
      <c r="K264" s="552">
        <f>'Volume and Speed'!J360</f>
        <v>3639.4590541383932</v>
      </c>
      <c r="L264" s="552">
        <f>'Volume and Speed'!K360</f>
        <v>3791.2622944819923</v>
      </c>
      <c r="M264" s="552">
        <f>'Volume and Speed'!L360</f>
        <v>3943.092662233938</v>
      </c>
      <c r="N264" s="552">
        <f>'Volume and Speed'!M360</f>
        <v>4094.9546832734477</v>
      </c>
      <c r="O264" s="552">
        <f>'Volume and Speed'!N360</f>
        <v>4246.7580035081864</v>
      </c>
      <c r="P264" s="552">
        <f>'Volume and Speed'!O360</f>
        <v>4398.5704102615491</v>
      </c>
      <c r="Q264" s="552">
        <f>'Volume and Speed'!P360</f>
        <v>4569.2013130102168</v>
      </c>
      <c r="R264" s="552">
        <f>'Volume and Speed'!Q360</f>
        <v>4739.7736010189374</v>
      </c>
      <c r="S264" s="552">
        <f>'Volume and Speed'!R360</f>
        <v>4910.4047960087373</v>
      </c>
      <c r="T264" s="552">
        <f>'Volume and Speed'!S360</f>
        <v>5081.0362245767774</v>
      </c>
      <c r="U264" s="552">
        <f>'Volume and Speed'!T360</f>
        <v>5251.6950801781377</v>
      </c>
      <c r="V264" s="552">
        <f>'Volume and Speed'!U360</f>
        <v>5378.6943472404309</v>
      </c>
      <c r="W264" s="552">
        <f>'Volume and Speed'!V360</f>
        <v>5476.1534219734112</v>
      </c>
      <c r="X264" s="552">
        <f>'Volume and Speed'!W360</f>
        <v>5573.6126989403265</v>
      </c>
      <c r="Y264" s="552">
        <f>'Volume and Speed'!X360</f>
        <v>5671.0722129257765</v>
      </c>
      <c r="Z264" s="552">
        <f>'Volume and Speed'!Y360</f>
        <v>5768.4823025216501</v>
      </c>
      <c r="AA264" s="552">
        <f>'Volume and Speed'!Z360</f>
        <v>5865.9424162607083</v>
      </c>
      <c r="AB264" s="552">
        <f>'Volume and Speed'!AA360</f>
        <v>5963.3532036218994</v>
      </c>
      <c r="AC264" s="552">
        <f>'Volume and Speed'!AB360</f>
        <v>6060.8141279413267</v>
      </c>
      <c r="AD264" s="552">
        <f>'Volume and Speed'!AC360</f>
        <v>6158.2755559940924</v>
      </c>
      <c r="AE264" s="552">
        <f>'Volume and Speed'!AD360</f>
        <v>6255.6878628970826</v>
      </c>
      <c r="AF264" s="552">
        <f>'Volume and Speed'!AE360</f>
        <v>6353.1505417631652</v>
      </c>
      <c r="AG264" s="552">
        <f>'Volume and Speed'!AF360</f>
        <v>6450.6139902149152</v>
      </c>
      <c r="AH264" s="727">
        <f>'Volume and Speed'!AG360</f>
        <v>6548.0286173319164</v>
      </c>
      <c r="AI264" s="18"/>
      <c r="AJ264" s="18"/>
      <c r="AK264" s="18"/>
      <c r="AL264" s="18"/>
      <c r="AM264" s="18"/>
      <c r="AN264" s="18"/>
    </row>
    <row r="265" spans="2:41" ht="21.9" customHeight="1" x14ac:dyDescent="0.25">
      <c r="B265" s="229"/>
      <c r="C265" s="690"/>
      <c r="D265" s="690"/>
      <c r="E265" s="114"/>
      <c r="F265" s="114" t="s">
        <v>322</v>
      </c>
      <c r="G265" s="114" t="s">
        <v>326</v>
      </c>
      <c r="H265" s="552" t="s">
        <v>23</v>
      </c>
      <c r="I265" s="552">
        <f>'Volume and Speed'!H361</f>
        <v>8810.531796712874</v>
      </c>
      <c r="J265" s="552">
        <f>'Volume and Speed'!I361</f>
        <v>9060.3691127620968</v>
      </c>
      <c r="K265" s="552">
        <f>'Volume and Speed'!J361</f>
        <v>9345.0520836105425</v>
      </c>
      <c r="L265" s="552">
        <f>'Volume and Speed'!K361</f>
        <v>9708.8095809397528</v>
      </c>
      <c r="M265" s="552">
        <f>'Volume and Speed'!L361</f>
        <v>10072.684555763755</v>
      </c>
      <c r="N265" s="552">
        <f>'Volume and Speed'!M361</f>
        <v>10436.500798904592</v>
      </c>
      <c r="O265" s="552">
        <f>'Volume and Speed'!N361</f>
        <v>10800.258312310603</v>
      </c>
      <c r="P265" s="552">
        <f>'Volume and Speed'!O361</f>
        <v>11164.089256545276</v>
      </c>
      <c r="Q265" s="552">
        <f>'Volume and Speed'!P361</f>
        <v>11575.306197999951</v>
      </c>
      <c r="R265" s="552">
        <f>'Volume and Speed'!Q361</f>
        <v>11986.508478432728</v>
      </c>
      <c r="S265" s="552">
        <f>'Volume and Speed'!R361</f>
        <v>12397.666737939287</v>
      </c>
      <c r="T265" s="552">
        <f>'Volume and Speed'!S361</f>
        <v>12808.883777326171</v>
      </c>
      <c r="U265" s="552">
        <f>'Volume and Speed'!T361</f>
        <v>13220.174295493773</v>
      </c>
      <c r="V265" s="552">
        <f>'Volume and Speed'!U361</f>
        <v>13552.302199962967</v>
      </c>
      <c r="W265" s="552">
        <f>'Volume and Speed'!V361</f>
        <v>13802.139722201126</v>
      </c>
      <c r="X265" s="552">
        <f>'Volume and Speed'!W361</f>
        <v>14051.977285931709</v>
      </c>
      <c r="Y265" s="552">
        <f>'Volume and Speed'!X361</f>
        <v>14301.814898422479</v>
      </c>
      <c r="Z265" s="552">
        <f>'Volume and Speed'!Y361</f>
        <v>14551.579146838299</v>
      </c>
      <c r="AA265" s="552">
        <f>'Volume and Speed'!Z361</f>
        <v>14801.416883215599</v>
      </c>
      <c r="AB265" s="552">
        <f>'Volume and Speed'!AA361</f>
        <v>15051.181276152151</v>
      </c>
      <c r="AC265" s="552">
        <f>'Volume and Speed'!AB361</f>
        <v>15301.019180782423</v>
      </c>
      <c r="AD265" s="552">
        <f>'Volume and Speed'!AC361</f>
        <v>15550.857190314353</v>
      </c>
      <c r="AE265" s="552">
        <f>'Volume and Speed'!AD361</f>
        <v>15800.621899845381</v>
      </c>
      <c r="AF265" s="552">
        <f>'Volume and Speed'!AE361</f>
        <v>16050.460170759208</v>
      </c>
      <c r="AG265" s="552">
        <f>'Volume and Speed'!AF361</f>
        <v>16300.29860296868</v>
      </c>
      <c r="AH265" s="727">
        <f>'Volume and Speed'!AG361</f>
        <v>16550.063799009629</v>
      </c>
      <c r="AI265" s="18"/>
      <c r="AJ265" s="18"/>
      <c r="AK265" s="18"/>
      <c r="AL265" s="18"/>
      <c r="AM265" s="18"/>
      <c r="AN265" s="18"/>
    </row>
    <row r="266" spans="2:41" ht="21.9" customHeight="1" x14ac:dyDescent="0.25">
      <c r="B266" s="229"/>
      <c r="C266" s="690"/>
      <c r="D266" s="690"/>
      <c r="E266" s="114"/>
      <c r="F266" s="114" t="s">
        <v>326</v>
      </c>
      <c r="G266" s="114" t="s">
        <v>274</v>
      </c>
      <c r="H266" s="552" t="s">
        <v>23</v>
      </c>
      <c r="I266" s="552">
        <f>'Volume and Speed'!H362</f>
        <v>60064.136465598429</v>
      </c>
      <c r="J266" s="552">
        <f>'Volume and Speed'!I362</f>
        <v>61767.355168825023</v>
      </c>
      <c r="K266" s="552">
        <f>'Volume and Speed'!J362</f>
        <v>63708.127535640131</v>
      </c>
      <c r="L266" s="552">
        <f>'Volume and Speed'!K362</f>
        <v>66187.975536268277</v>
      </c>
      <c r="M266" s="552">
        <f>'Volume and Speed'!L362</f>
        <v>68668.624401414942</v>
      </c>
      <c r="N266" s="552">
        <f>'Volume and Speed'!M362</f>
        <v>71148.872852004308</v>
      </c>
      <c r="O266" s="552">
        <f>'Volume and Speed'!N362</f>
        <v>73628.720892918616</v>
      </c>
      <c r="P266" s="552">
        <f>'Volume and Speed'!O362</f>
        <v>76109.069492686336</v>
      </c>
      <c r="Q266" s="552">
        <f>'Volume and Speed'!P362</f>
        <v>78912.463090797522</v>
      </c>
      <c r="R266" s="552">
        <f>'Volume and Speed'!Q362</f>
        <v>81715.756640144915</v>
      </c>
      <c r="S266" s="552">
        <f>'Volume and Speed'!R362</f>
        <v>84518.749948327706</v>
      </c>
      <c r="T266" s="552">
        <f>'Volume and Speed'!S362</f>
        <v>87322.143791843002</v>
      </c>
      <c r="U266" s="552">
        <f>'Volume and Speed'!T362</f>
        <v>90126.038314372621</v>
      </c>
      <c r="V266" s="552">
        <f>'Volume and Speed'!U362</f>
        <v>92390.256607081421</v>
      </c>
      <c r="W266" s="552">
        <f>'Volume and Speed'!V362</f>
        <v>94093.475826987866</v>
      </c>
      <c r="X266" s="552">
        <f>'Volume and Speed'!W362</f>
        <v>95796.695150868371</v>
      </c>
      <c r="Y266" s="552">
        <f>'Volume and Speed'!X362</f>
        <v>97499.91459693489</v>
      </c>
      <c r="Z266" s="552">
        <f>'Volume and Speed'!Y362</f>
        <v>99202.63365142321</v>
      </c>
      <c r="AA266" s="552">
        <f>'Volume and Speed'!Z362</f>
        <v>100905.85340793154</v>
      </c>
      <c r="AB266" s="552">
        <f>'Volume and Speed'!AA362</f>
        <v>102608.57282456808</v>
      </c>
      <c r="AC266" s="552">
        <f>'Volume and Speed'!AB362</f>
        <v>104311.79300269426</v>
      </c>
      <c r="AD266" s="552">
        <f>'Volume and Speed'!AC362</f>
        <v>106015.01344368892</v>
      </c>
      <c r="AE266" s="552">
        <f>'Volume and Speed'!AD362</f>
        <v>107717.73365366572</v>
      </c>
      <c r="AF266" s="552">
        <f>'Volume and Speed'!AE362</f>
        <v>109420.95474964587</v>
      </c>
      <c r="AG266" s="552">
        <f>'Volume and Speed'!AF362</f>
        <v>111124.17624980977</v>
      </c>
      <c r="AH266" s="727">
        <f>'Volume and Speed'!AG362</f>
        <v>112826.89767891055</v>
      </c>
      <c r="AI266" s="18"/>
      <c r="AJ266" s="18"/>
      <c r="AK266" s="18"/>
      <c r="AL266" s="18"/>
      <c r="AM266" s="18"/>
      <c r="AN266" s="18"/>
    </row>
    <row r="267" spans="2:41" ht="21.9" customHeight="1" thickBot="1" x14ac:dyDescent="0.3">
      <c r="B267" s="229"/>
      <c r="C267" s="690"/>
      <c r="D267" s="690"/>
      <c r="E267" s="114"/>
      <c r="F267" s="114" t="s">
        <v>274</v>
      </c>
      <c r="G267" s="114" t="s">
        <v>317</v>
      </c>
      <c r="H267" s="552" t="s">
        <v>23</v>
      </c>
      <c r="I267" s="562">
        <f>'Volume and Speed'!H363</f>
        <v>1500.0830564292053</v>
      </c>
      <c r="J267" s="562">
        <f>'Volume and Speed'!I363</f>
        <v>1542.6206970041326</v>
      </c>
      <c r="K267" s="562">
        <f>'Volume and Speed'!J363</f>
        <v>1591.0913271609174</v>
      </c>
      <c r="L267" s="562">
        <f>'Volume and Speed'!K363</f>
        <v>1653.0255790936376</v>
      </c>
      <c r="M267" s="562">
        <f>'Volume and Speed'!L363</f>
        <v>1714.980222283463</v>
      </c>
      <c r="N267" s="562">
        <f>'Volume and Speed'!M363</f>
        <v>1776.9254072623949</v>
      </c>
      <c r="O267" s="562">
        <f>'Volume and Speed'!N363</f>
        <v>1838.861337414517</v>
      </c>
      <c r="P267" s="562">
        <f>'Volume and Speed'!O363</f>
        <v>1900.8107839873219</v>
      </c>
      <c r="Q267" s="562">
        <f>'Volume and Speed'!P363</f>
        <v>1970.8303039901414</v>
      </c>
      <c r="R267" s="562">
        <f>'Volume and Speed'!Q363</f>
        <v>2040.849745413655</v>
      </c>
      <c r="S267" s="562">
        <f>'Volume and Speed'!R363</f>
        <v>2110.8649989294072</v>
      </c>
      <c r="T267" s="562">
        <f>'Volume and Speed'!S363</f>
        <v>2180.8947418411367</v>
      </c>
      <c r="U267" s="562">
        <f>'Volume and Speed'!T363</f>
        <v>2250.943006774366</v>
      </c>
      <c r="V267" s="562">
        <f>'Volume and Speed'!U363</f>
        <v>2307.5145385494761</v>
      </c>
      <c r="W267" s="562">
        <f>'Volume and Speed'!V363</f>
        <v>2350.0737026937231</v>
      </c>
      <c r="X267" s="562">
        <f>'Volume and Speed'!W363</f>
        <v>2392.6371981333941</v>
      </c>
      <c r="Y267" s="562">
        <f>'Volume and Speed'!X363</f>
        <v>2435.2057835323271</v>
      </c>
      <c r="Z267" s="562">
        <f>'Volume and Speed'!Y363</f>
        <v>2477.7678207706026</v>
      </c>
      <c r="AA267" s="562">
        <f>'Volume and Speed'!Z363</f>
        <v>2520.3493383884343</v>
      </c>
      <c r="AB267" s="562">
        <f>'Volume and Speed'!AA363</f>
        <v>2562.9264618005363</v>
      </c>
      <c r="AC267" s="562">
        <f>'Volume and Speed'!AB363</f>
        <v>2605.5255429432427</v>
      </c>
      <c r="AD267" s="562">
        <f>'Volume and Speed'!AC363</f>
        <v>2648.1355745184419</v>
      </c>
      <c r="AE267" s="562">
        <f>'Volume and Speed'!AD363</f>
        <v>2690.7457464705576</v>
      </c>
      <c r="AF267" s="562">
        <f>'Volume and Speed'!AE363</f>
        <v>2733.3830630767343</v>
      </c>
      <c r="AG267" s="562">
        <f>'Volume and Speed'!AF363</f>
        <v>2776.0372169498569</v>
      </c>
      <c r="AH267" s="729">
        <f>'Volume and Speed'!AG363</f>
        <v>2818.698174508042</v>
      </c>
      <c r="AI267" s="18"/>
      <c r="AJ267" s="18"/>
      <c r="AK267" s="18"/>
      <c r="AL267" s="18"/>
      <c r="AM267" s="18"/>
      <c r="AN267" s="18"/>
    </row>
    <row r="268" spans="2:41" ht="21.9" customHeight="1" thickBot="1" x14ac:dyDescent="0.3">
      <c r="B268" s="465"/>
      <c r="C268" s="731"/>
      <c r="D268" s="731"/>
      <c r="E268" s="706"/>
      <c r="F268" s="706"/>
      <c r="G268" s="706"/>
      <c r="H268" s="732" t="s">
        <v>481</v>
      </c>
      <c r="I268" s="732">
        <f t="shared" ref="I268:AH268" si="702">SUM(I248:I259)+SUM(I261:I267)</f>
        <v>691944.53345760761</v>
      </c>
      <c r="J268" s="732">
        <f t="shared" si="702"/>
        <v>732016.26844562148</v>
      </c>
      <c r="K268" s="732">
        <f t="shared" si="702"/>
        <v>812339.54840630898</v>
      </c>
      <c r="L268" s="732">
        <f t="shared" si="702"/>
        <v>948474.85558861319</v>
      </c>
      <c r="M268" s="732">
        <f t="shared" si="702"/>
        <v>1085368.4765472447</v>
      </c>
      <c r="N268" s="732">
        <f t="shared" si="702"/>
        <v>1223361.182847786</v>
      </c>
      <c r="O268" s="732">
        <f t="shared" si="702"/>
        <v>1363163.7318184283</v>
      </c>
      <c r="P268" s="732">
        <f t="shared" si="702"/>
        <v>1507387.3549178389</v>
      </c>
      <c r="Q268" s="732">
        <f t="shared" si="702"/>
        <v>1649872.5476780448</v>
      </c>
      <c r="R268" s="732">
        <f t="shared" si="702"/>
        <v>1805070.8395086944</v>
      </c>
      <c r="S268" s="732">
        <f t="shared" si="702"/>
        <v>1984799.6052816559</v>
      </c>
      <c r="T268" s="732">
        <f t="shared" si="702"/>
        <v>2212132.1073980341</v>
      </c>
      <c r="U268" s="732">
        <f t="shared" si="702"/>
        <v>2509093.3751397212</v>
      </c>
      <c r="V268" s="732">
        <f t="shared" si="702"/>
        <v>2664168.5886875074</v>
      </c>
      <c r="W268" s="732">
        <f t="shared" si="702"/>
        <v>2745808.0361707942</v>
      </c>
      <c r="X268" s="732">
        <f t="shared" si="702"/>
        <v>2817164.7961361147</v>
      </c>
      <c r="Y268" s="732">
        <f t="shared" si="702"/>
        <v>2864405.38134471</v>
      </c>
      <c r="Z268" s="732">
        <f t="shared" si="702"/>
        <v>2911908.0883909399</v>
      </c>
      <c r="AA268" s="732">
        <f t="shared" si="702"/>
        <v>2959607.7420010399</v>
      </c>
      <c r="AB268" s="732">
        <f t="shared" si="702"/>
        <v>3007656.7617791863</v>
      </c>
      <c r="AC268" s="732">
        <f t="shared" si="702"/>
        <v>3056002.8383423691</v>
      </c>
      <c r="AD268" s="732">
        <f t="shared" si="702"/>
        <v>3104761.9507023911</v>
      </c>
      <c r="AE268" s="732">
        <f t="shared" si="702"/>
        <v>3154060.5582225109</v>
      </c>
      <c r="AF268" s="732">
        <f t="shared" si="702"/>
        <v>3203875.3034110805</v>
      </c>
      <c r="AG268" s="732">
        <f t="shared" si="702"/>
        <v>3254356.1409308733</v>
      </c>
      <c r="AH268" s="733">
        <f t="shared" si="702"/>
        <v>3305669.3091156767</v>
      </c>
      <c r="AI268" s="18"/>
      <c r="AJ268" s="18"/>
      <c r="AK268" s="18"/>
      <c r="AL268" s="18"/>
      <c r="AM268" s="18"/>
      <c r="AN268" s="18"/>
    </row>
    <row r="269" spans="2:41" ht="21.9" customHeight="1" thickBot="1" x14ac:dyDescent="0.3">
      <c r="B269" s="9"/>
      <c r="C269" s="690"/>
      <c r="D269" s="690"/>
      <c r="E269" s="114"/>
      <c r="F269" s="114"/>
      <c r="G269" s="114"/>
      <c r="H269" s="743"/>
      <c r="I269" s="743"/>
      <c r="J269" s="743"/>
      <c r="K269" s="743"/>
      <c r="L269" s="743"/>
      <c r="M269" s="743"/>
      <c r="N269" s="743"/>
      <c r="O269" s="743"/>
      <c r="P269" s="743"/>
      <c r="Q269" s="743"/>
      <c r="R269" s="743"/>
      <c r="S269" s="743"/>
      <c r="T269" s="743"/>
      <c r="U269" s="743"/>
      <c r="V269" s="743"/>
      <c r="W269" s="743"/>
      <c r="X269" s="743"/>
      <c r="Y269" s="743"/>
      <c r="Z269" s="743"/>
      <c r="AA269" s="743"/>
      <c r="AB269" s="743"/>
      <c r="AC269" s="743"/>
      <c r="AD269" s="743"/>
      <c r="AE269" s="743"/>
      <c r="AF269" s="743"/>
      <c r="AG269" s="743"/>
      <c r="AH269" s="743"/>
      <c r="AI269" s="18"/>
      <c r="AJ269" s="18"/>
      <c r="AK269" s="18"/>
      <c r="AL269" s="18"/>
      <c r="AM269" s="18"/>
      <c r="AN269" s="18"/>
    </row>
    <row r="270" spans="2:41" s="7" customFormat="1" ht="21.9" customHeight="1" thickBot="1" x14ac:dyDescent="0.3">
      <c r="B270" s="231"/>
      <c r="C270" s="462" t="s">
        <v>2</v>
      </c>
      <c r="D270" s="462"/>
      <c r="E270" s="462" t="s">
        <v>312</v>
      </c>
      <c r="F270" s="1326" t="s">
        <v>18</v>
      </c>
      <c r="G270" s="1326"/>
      <c r="H270" s="462" t="s">
        <v>24</v>
      </c>
      <c r="I270" s="738">
        <v>2023</v>
      </c>
      <c r="J270" s="738">
        <v>2024</v>
      </c>
      <c r="K270" s="738">
        <v>2025</v>
      </c>
      <c r="L270" s="738">
        <v>2026</v>
      </c>
      <c r="M270" s="738">
        <v>2027</v>
      </c>
      <c r="N270" s="738">
        <v>2028</v>
      </c>
      <c r="O270" s="738">
        <v>2029</v>
      </c>
      <c r="P270" s="738">
        <v>2030</v>
      </c>
      <c r="Q270" s="738">
        <v>2031</v>
      </c>
      <c r="R270" s="738">
        <v>2032</v>
      </c>
      <c r="S270" s="738">
        <v>2033</v>
      </c>
      <c r="T270" s="738">
        <v>2034</v>
      </c>
      <c r="U270" s="738">
        <v>2035</v>
      </c>
      <c r="V270" s="738">
        <v>2036</v>
      </c>
      <c r="W270" s="738">
        <v>2037</v>
      </c>
      <c r="X270" s="738">
        <v>2038</v>
      </c>
      <c r="Y270" s="738">
        <v>2039</v>
      </c>
      <c r="Z270" s="738">
        <v>2040</v>
      </c>
      <c r="AA270" s="738">
        <v>2041</v>
      </c>
      <c r="AB270" s="738">
        <v>2042</v>
      </c>
      <c r="AC270" s="738">
        <v>2043</v>
      </c>
      <c r="AD270" s="738">
        <v>2044</v>
      </c>
      <c r="AE270" s="738">
        <v>2045</v>
      </c>
      <c r="AF270" s="738">
        <v>2046</v>
      </c>
      <c r="AG270" s="738">
        <v>2047</v>
      </c>
      <c r="AH270" s="737">
        <v>2048</v>
      </c>
      <c r="AI270" s="461"/>
      <c r="AJ270" s="461"/>
      <c r="AK270" s="461"/>
      <c r="AL270" s="461"/>
      <c r="AM270" s="461"/>
      <c r="AN270" s="461"/>
      <c r="AO270" s="461"/>
    </row>
    <row r="271" spans="2:41" ht="21.9" customHeight="1" x14ac:dyDescent="0.25">
      <c r="B271" s="196" t="s">
        <v>210</v>
      </c>
      <c r="C271" s="114" t="s">
        <v>156</v>
      </c>
      <c r="D271" s="237" t="s">
        <v>23</v>
      </c>
      <c r="E271" s="1327" t="s">
        <v>315</v>
      </c>
      <c r="F271" s="114" t="s">
        <v>316</v>
      </c>
      <c r="G271" s="114" t="s">
        <v>276</v>
      </c>
      <c r="H271" s="114" t="s">
        <v>20</v>
      </c>
      <c r="I271" s="552">
        <f t="shared" ref="I271:AH271" si="703">I248*$C$20</f>
        <v>1700.4212426444767</v>
      </c>
      <c r="J271" s="552">
        <f t="shared" si="703"/>
        <v>1777.7445161991832</v>
      </c>
      <c r="K271" s="552">
        <f t="shared" si="703"/>
        <v>1886.6878240199578</v>
      </c>
      <c r="L271" s="552">
        <f t="shared" si="703"/>
        <v>2046.9459829532991</v>
      </c>
      <c r="M271" s="552">
        <f t="shared" si="703"/>
        <v>2207.2803498724534</v>
      </c>
      <c r="N271" s="552">
        <f t="shared" si="703"/>
        <v>2367.649532070101</v>
      </c>
      <c r="O271" s="552">
        <f t="shared" si="703"/>
        <v>2528.0253646472265</v>
      </c>
      <c r="P271" s="552">
        <f t="shared" si="703"/>
        <v>2688.6353607219407</v>
      </c>
      <c r="Q271" s="552">
        <f t="shared" si="703"/>
        <v>2847.5445946431519</v>
      </c>
      <c r="R271" s="552">
        <f t="shared" si="703"/>
        <v>3006.8174000552021</v>
      </c>
      <c r="S271" s="552">
        <f t="shared" si="703"/>
        <v>3166.5970089755097</v>
      </c>
      <c r="T271" s="552">
        <f t="shared" si="703"/>
        <v>3327.2308740982166</v>
      </c>
      <c r="U271" s="552">
        <f t="shared" si="703"/>
        <v>3489.3092774847814</v>
      </c>
      <c r="V271" s="552">
        <f t="shared" si="703"/>
        <v>3599.8586805549689</v>
      </c>
      <c r="W271" s="552">
        <f t="shared" si="703"/>
        <v>3680.3964247985878</v>
      </c>
      <c r="X271" s="552">
        <f t="shared" si="703"/>
        <v>3761.6893993241629</v>
      </c>
      <c r="Y271" s="552">
        <f t="shared" si="703"/>
        <v>3843.893634175764</v>
      </c>
      <c r="Z271" s="552">
        <f t="shared" si="703"/>
        <v>3927.2220029013911</v>
      </c>
      <c r="AA271" s="552">
        <f t="shared" si="703"/>
        <v>4011.8336941202983</v>
      </c>
      <c r="AB271" s="552">
        <f t="shared" si="703"/>
        <v>4098.0406197007333</v>
      </c>
      <c r="AC271" s="552">
        <f t="shared" si="703"/>
        <v>4186.0798975926455</v>
      </c>
      <c r="AD271" s="552">
        <f t="shared" si="703"/>
        <v>4276.3259543695322</v>
      </c>
      <c r="AE271" s="552">
        <f t="shared" si="703"/>
        <v>4369.2120330095713</v>
      </c>
      <c r="AF271" s="552">
        <f t="shared" si="703"/>
        <v>4465.1387654261634</v>
      </c>
      <c r="AG271" s="552">
        <f t="shared" si="703"/>
        <v>4564.6739980457469</v>
      </c>
      <c r="AH271" s="727">
        <f t="shared" si="703"/>
        <v>4668.4723036542127</v>
      </c>
      <c r="AI271" s="18"/>
      <c r="AJ271" s="18"/>
      <c r="AK271" s="18"/>
      <c r="AL271" s="18"/>
      <c r="AM271" s="18"/>
      <c r="AN271" s="18"/>
    </row>
    <row r="272" spans="2:41" ht="21.9" customHeight="1" x14ac:dyDescent="0.25">
      <c r="B272" s="463" t="s">
        <v>185</v>
      </c>
      <c r="C272" s="114"/>
      <c r="D272" s="237"/>
      <c r="E272" s="1327"/>
      <c r="F272" s="114"/>
      <c r="G272" s="114"/>
      <c r="H272" s="122" t="s">
        <v>19</v>
      </c>
      <c r="I272" s="552">
        <f t="shared" ref="I272:AH272" si="704">I248*$C$21</f>
        <v>6028.7662239213269</v>
      </c>
      <c r="J272" s="552">
        <f t="shared" si="704"/>
        <v>6302.9123756152858</v>
      </c>
      <c r="K272" s="552">
        <f t="shared" si="704"/>
        <v>6689.1659215253048</v>
      </c>
      <c r="L272" s="552">
        <f t="shared" si="704"/>
        <v>7257.3539395616972</v>
      </c>
      <c r="M272" s="552">
        <f t="shared" si="704"/>
        <v>7825.8121495477899</v>
      </c>
      <c r="N272" s="552">
        <f t="shared" si="704"/>
        <v>8394.3937955212677</v>
      </c>
      <c r="O272" s="552">
        <f t="shared" si="704"/>
        <v>8962.999020112893</v>
      </c>
      <c r="P272" s="552">
        <f t="shared" si="704"/>
        <v>9532.4344607414259</v>
      </c>
      <c r="Q272" s="552">
        <f t="shared" si="704"/>
        <v>10095.839926462084</v>
      </c>
      <c r="R272" s="552">
        <f t="shared" si="704"/>
        <v>10660.534418377534</v>
      </c>
      <c r="S272" s="552">
        <f t="shared" si="704"/>
        <v>11227.02575909499</v>
      </c>
      <c r="T272" s="552">
        <f t="shared" si="704"/>
        <v>11796.545826348223</v>
      </c>
      <c r="U272" s="552">
        <f t="shared" si="704"/>
        <v>12371.187438355135</v>
      </c>
      <c r="V272" s="552">
        <f t="shared" si="704"/>
        <v>12763.135321967617</v>
      </c>
      <c r="W272" s="552">
        <f t="shared" si="704"/>
        <v>13048.678233376811</v>
      </c>
      <c r="X272" s="552">
        <f t="shared" si="704"/>
        <v>13336.898779422032</v>
      </c>
      <c r="Y272" s="552">
        <f t="shared" si="704"/>
        <v>13628.350157532253</v>
      </c>
      <c r="Z272" s="552">
        <f t="shared" si="704"/>
        <v>13923.787101195841</v>
      </c>
      <c r="AA272" s="552">
        <f t="shared" si="704"/>
        <v>14223.774006426513</v>
      </c>
      <c r="AB272" s="552">
        <f t="shared" si="704"/>
        <v>14529.416742575326</v>
      </c>
      <c r="AC272" s="552">
        <f t="shared" si="704"/>
        <v>14841.556000555745</v>
      </c>
      <c r="AD272" s="552">
        <f t="shared" si="704"/>
        <v>15161.519292764708</v>
      </c>
      <c r="AE272" s="552">
        <f t="shared" si="704"/>
        <v>15490.842662488481</v>
      </c>
      <c r="AF272" s="552">
        <f t="shared" si="704"/>
        <v>15830.946531965488</v>
      </c>
      <c r="AG272" s="552">
        <f t="shared" si="704"/>
        <v>16183.844174889466</v>
      </c>
      <c r="AH272" s="727">
        <f t="shared" si="704"/>
        <v>16551.856349319482</v>
      </c>
      <c r="AI272" s="18"/>
      <c r="AJ272" s="18"/>
      <c r="AK272" s="18"/>
      <c r="AL272" s="18"/>
      <c r="AM272" s="18"/>
      <c r="AN272" s="18"/>
    </row>
    <row r="273" spans="2:40" ht="21.9" customHeight="1" x14ac:dyDescent="0.25">
      <c r="B273" s="196"/>
      <c r="C273" s="114"/>
      <c r="D273" s="237"/>
      <c r="E273" s="1327"/>
      <c r="F273" s="114"/>
      <c r="G273" s="114"/>
      <c r="H273" s="695" t="s">
        <v>25</v>
      </c>
      <c r="I273" s="552">
        <f t="shared" ref="I273:AH273" si="705">SUM(I271:I272)</f>
        <v>7729.1874665658033</v>
      </c>
      <c r="J273" s="552">
        <f t="shared" si="705"/>
        <v>8080.6568918144694</v>
      </c>
      <c r="K273" s="552">
        <f t="shared" si="705"/>
        <v>8575.8537455452624</v>
      </c>
      <c r="L273" s="552">
        <f t="shared" si="705"/>
        <v>9304.2999225149961</v>
      </c>
      <c r="M273" s="552">
        <f t="shared" si="705"/>
        <v>10033.092499420243</v>
      </c>
      <c r="N273" s="552">
        <f t="shared" si="705"/>
        <v>10762.043327591369</v>
      </c>
      <c r="O273" s="552">
        <f t="shared" si="705"/>
        <v>11491.02438476012</v>
      </c>
      <c r="P273" s="552">
        <f t="shared" si="705"/>
        <v>12221.069821463367</v>
      </c>
      <c r="Q273" s="552">
        <f t="shared" si="705"/>
        <v>12943.384521105236</v>
      </c>
      <c r="R273" s="552">
        <f t="shared" si="705"/>
        <v>13667.351818432737</v>
      </c>
      <c r="S273" s="552">
        <f t="shared" si="705"/>
        <v>14393.6227680705</v>
      </c>
      <c r="T273" s="552">
        <f t="shared" si="705"/>
        <v>15123.77670044644</v>
      </c>
      <c r="U273" s="552">
        <f t="shared" si="705"/>
        <v>15860.496715839916</v>
      </c>
      <c r="V273" s="552">
        <f t="shared" si="705"/>
        <v>16362.994002522586</v>
      </c>
      <c r="W273" s="552">
        <f t="shared" si="705"/>
        <v>16729.074658175399</v>
      </c>
      <c r="X273" s="552">
        <f t="shared" si="705"/>
        <v>17098.588178746195</v>
      </c>
      <c r="Y273" s="552">
        <f t="shared" si="705"/>
        <v>17472.243791708017</v>
      </c>
      <c r="Z273" s="552">
        <f t="shared" si="705"/>
        <v>17851.009104097233</v>
      </c>
      <c r="AA273" s="552">
        <f t="shared" si="705"/>
        <v>18235.607700546811</v>
      </c>
      <c r="AB273" s="552">
        <f t="shared" si="705"/>
        <v>18627.457362276058</v>
      </c>
      <c r="AC273" s="552">
        <f t="shared" si="705"/>
        <v>19027.63589814839</v>
      </c>
      <c r="AD273" s="552">
        <f t="shared" si="705"/>
        <v>19437.845247134239</v>
      </c>
      <c r="AE273" s="552">
        <f t="shared" si="705"/>
        <v>19860.054695498053</v>
      </c>
      <c r="AF273" s="552">
        <f t="shared" si="705"/>
        <v>20296.085297391652</v>
      </c>
      <c r="AG273" s="552">
        <f t="shared" si="705"/>
        <v>20748.518172935212</v>
      </c>
      <c r="AH273" s="727">
        <f t="shared" si="705"/>
        <v>21220.328652973694</v>
      </c>
      <c r="AI273" s="18"/>
      <c r="AJ273" s="18"/>
      <c r="AK273" s="18"/>
      <c r="AL273" s="18"/>
      <c r="AM273" s="18"/>
      <c r="AN273" s="18"/>
    </row>
    <row r="274" spans="2:40" ht="21.9" customHeight="1" x14ac:dyDescent="0.25">
      <c r="B274" s="194"/>
      <c r="C274" s="690"/>
      <c r="D274" s="690"/>
      <c r="E274" s="1327"/>
      <c r="F274" s="114" t="s">
        <v>276</v>
      </c>
      <c r="G274" s="114" t="s">
        <v>274</v>
      </c>
      <c r="H274" s="114" t="s">
        <v>20</v>
      </c>
      <c r="I274" s="552">
        <f t="shared" ref="I274:AH274" si="706">I249*$C$20</f>
        <v>54677.558406391247</v>
      </c>
      <c r="J274" s="552">
        <f t="shared" si="706"/>
        <v>57563.737188583982</v>
      </c>
      <c r="K274" s="552">
        <f t="shared" si="706"/>
        <v>61896.265100153374</v>
      </c>
      <c r="L274" s="552">
        <f t="shared" si="706"/>
        <v>69054.339495262087</v>
      </c>
      <c r="M274" s="552">
        <f t="shared" si="706"/>
        <v>76215.972854242646</v>
      </c>
      <c r="N274" s="552">
        <f t="shared" si="706"/>
        <v>83377.967179007392</v>
      </c>
      <c r="O274" s="552">
        <f t="shared" si="706"/>
        <v>90538.82891508071</v>
      </c>
      <c r="P274" s="552">
        <f t="shared" si="706"/>
        <v>97709.729541016379</v>
      </c>
      <c r="Q274" s="552">
        <f t="shared" si="706"/>
        <v>104951.40807880393</v>
      </c>
      <c r="R274" s="552">
        <f t="shared" si="706"/>
        <v>112209.06600744247</v>
      </c>
      <c r="S274" s="552">
        <f t="shared" si="706"/>
        <v>119488.86060734327</v>
      </c>
      <c r="T274" s="552">
        <f t="shared" si="706"/>
        <v>126811.64021600127</v>
      </c>
      <c r="U274" s="552">
        <f t="shared" si="706"/>
        <v>134213.87780185047</v>
      </c>
      <c r="V274" s="552">
        <f t="shared" si="706"/>
        <v>138769.94738711879</v>
      </c>
      <c r="W274" s="552">
        <f t="shared" si="706"/>
        <v>141789.74280659828</v>
      </c>
      <c r="X274" s="552">
        <f t="shared" si="706"/>
        <v>144839.85061616011</v>
      </c>
      <c r="Y274" s="552">
        <f t="shared" si="706"/>
        <v>147926.32584689293</v>
      </c>
      <c r="Z274" s="552">
        <f t="shared" si="706"/>
        <v>151058.04548827399</v>
      </c>
      <c r="AA274" s="552">
        <f t="shared" si="706"/>
        <v>154239.81496906676</v>
      </c>
      <c r="AB274" s="552">
        <f t="shared" si="706"/>
        <v>157484.91879749988</v>
      </c>
      <c r="AC274" s="552">
        <f t="shared" si="706"/>
        <v>160801.00510132074</v>
      </c>
      <c r="AD274" s="552">
        <f t="shared" si="706"/>
        <v>164202.96493904793</v>
      </c>
      <c r="AE274" s="552">
        <f t="shared" si="706"/>
        <v>167707.93691159738</v>
      </c>
      <c r="AF274" s="552">
        <f t="shared" si="706"/>
        <v>171329.46623650077</v>
      </c>
      <c r="AG274" s="552">
        <f t="shared" si="706"/>
        <v>175089.59553673092</v>
      </c>
      <c r="AH274" s="727">
        <f t="shared" si="706"/>
        <v>179013.66006525926</v>
      </c>
      <c r="AI274" s="18"/>
      <c r="AJ274" s="18"/>
      <c r="AK274" s="18"/>
      <c r="AL274" s="18"/>
      <c r="AM274" s="18"/>
      <c r="AN274" s="18"/>
    </row>
    <row r="275" spans="2:40" ht="21.9" customHeight="1" x14ac:dyDescent="0.25">
      <c r="B275" s="463"/>
      <c r="C275" s="690"/>
      <c r="D275" s="690"/>
      <c r="E275" s="1327"/>
      <c r="F275" s="114"/>
      <c r="G275" s="114"/>
      <c r="H275" s="122" t="s">
        <v>19</v>
      </c>
      <c r="I275" s="552">
        <f t="shared" ref="I275:AH275" si="707">I249*$C$21</f>
        <v>193856.79798629624</v>
      </c>
      <c r="J275" s="552">
        <f t="shared" si="707"/>
        <v>204089.61366861596</v>
      </c>
      <c r="K275" s="552">
        <f t="shared" si="707"/>
        <v>219450.39444599833</v>
      </c>
      <c r="L275" s="552">
        <f t="shared" si="707"/>
        <v>244829.02184683835</v>
      </c>
      <c r="M275" s="552">
        <f t="shared" si="707"/>
        <v>270220.2673923148</v>
      </c>
      <c r="N275" s="552">
        <f t="shared" si="707"/>
        <v>295612.79272557166</v>
      </c>
      <c r="O275" s="552">
        <f t="shared" si="707"/>
        <v>321001.30251710437</v>
      </c>
      <c r="P275" s="552">
        <f t="shared" si="707"/>
        <v>346425.40473633079</v>
      </c>
      <c r="Q275" s="552">
        <f t="shared" si="707"/>
        <v>372100.44682485028</v>
      </c>
      <c r="R275" s="552">
        <f t="shared" si="707"/>
        <v>397832.14311729604</v>
      </c>
      <c r="S275" s="552">
        <f t="shared" si="707"/>
        <v>423642.32397148979</v>
      </c>
      <c r="T275" s="552">
        <f t="shared" si="707"/>
        <v>449604.90622036817</v>
      </c>
      <c r="U275" s="552">
        <f t="shared" si="707"/>
        <v>475849.20311565173</v>
      </c>
      <c r="V275" s="552">
        <f t="shared" si="707"/>
        <v>492002.54073614854</v>
      </c>
      <c r="W275" s="552">
        <f t="shared" si="707"/>
        <v>502709.08813248487</v>
      </c>
      <c r="X275" s="552">
        <f t="shared" si="707"/>
        <v>513523.10673002223</v>
      </c>
      <c r="Y275" s="552">
        <f t="shared" si="707"/>
        <v>524466.06436625682</v>
      </c>
      <c r="Z275" s="552">
        <f t="shared" si="707"/>
        <v>535569.43400388048</v>
      </c>
      <c r="AA275" s="552">
        <f t="shared" si="707"/>
        <v>546850.25307214574</v>
      </c>
      <c r="AB275" s="552">
        <f t="shared" si="707"/>
        <v>558355.62119113596</v>
      </c>
      <c r="AC275" s="552">
        <f t="shared" si="707"/>
        <v>570112.65445013717</v>
      </c>
      <c r="AD275" s="552">
        <f t="shared" si="707"/>
        <v>582174.14842026087</v>
      </c>
      <c r="AE275" s="552">
        <f t="shared" si="707"/>
        <v>594600.86723202711</v>
      </c>
      <c r="AF275" s="552">
        <f t="shared" si="707"/>
        <v>607440.83483850269</v>
      </c>
      <c r="AG275" s="552">
        <f t="shared" si="707"/>
        <v>620772.20235750056</v>
      </c>
      <c r="AH275" s="727">
        <f t="shared" si="707"/>
        <v>634684.79477682838</v>
      </c>
      <c r="AI275" s="18"/>
      <c r="AJ275" s="18"/>
      <c r="AK275" s="18"/>
      <c r="AL275" s="18"/>
      <c r="AM275" s="18"/>
      <c r="AN275" s="18"/>
    </row>
    <row r="276" spans="2:40" ht="21.9" customHeight="1" x14ac:dyDescent="0.25">
      <c r="B276" s="463"/>
      <c r="C276" s="690"/>
      <c r="D276" s="690"/>
      <c r="E276" s="1327"/>
      <c r="F276" s="114"/>
      <c r="G276" s="114"/>
      <c r="H276" s="695" t="s">
        <v>25</v>
      </c>
      <c r="I276" s="552">
        <f t="shared" ref="I276:AH276" si="708">SUM(I274:I275)</f>
        <v>248534.35639268748</v>
      </c>
      <c r="J276" s="552">
        <f t="shared" si="708"/>
        <v>261653.35085719993</v>
      </c>
      <c r="K276" s="552">
        <f t="shared" si="708"/>
        <v>281346.6595461517</v>
      </c>
      <c r="L276" s="552">
        <f t="shared" si="708"/>
        <v>313883.36134210043</v>
      </c>
      <c r="M276" s="552">
        <f t="shared" si="708"/>
        <v>346436.24024655746</v>
      </c>
      <c r="N276" s="552">
        <f t="shared" si="708"/>
        <v>378990.75990457903</v>
      </c>
      <c r="O276" s="552">
        <f t="shared" si="708"/>
        <v>411540.13143218507</v>
      </c>
      <c r="P276" s="552">
        <f t="shared" si="708"/>
        <v>444135.13427734718</v>
      </c>
      <c r="Q276" s="552">
        <f t="shared" si="708"/>
        <v>477051.8549036542</v>
      </c>
      <c r="R276" s="552">
        <f t="shared" si="708"/>
        <v>510041.20912473853</v>
      </c>
      <c r="S276" s="552">
        <f t="shared" si="708"/>
        <v>543131.18457883305</v>
      </c>
      <c r="T276" s="552">
        <f t="shared" si="708"/>
        <v>576416.54643636942</v>
      </c>
      <c r="U276" s="552">
        <f t="shared" si="708"/>
        <v>610063.08091750217</v>
      </c>
      <c r="V276" s="552">
        <f t="shared" si="708"/>
        <v>630772.48812326731</v>
      </c>
      <c r="W276" s="552">
        <f t="shared" si="708"/>
        <v>644498.83093908313</v>
      </c>
      <c r="X276" s="552">
        <f t="shared" si="708"/>
        <v>658362.95734618232</v>
      </c>
      <c r="Y276" s="552">
        <f t="shared" si="708"/>
        <v>672392.39021314972</v>
      </c>
      <c r="Z276" s="552">
        <f t="shared" si="708"/>
        <v>686627.47949215444</v>
      </c>
      <c r="AA276" s="552">
        <f t="shared" si="708"/>
        <v>701090.06804121251</v>
      </c>
      <c r="AB276" s="552">
        <f t="shared" si="708"/>
        <v>715840.53998863581</v>
      </c>
      <c r="AC276" s="552">
        <f t="shared" si="708"/>
        <v>730913.65955145797</v>
      </c>
      <c r="AD276" s="552">
        <f t="shared" si="708"/>
        <v>746377.1133593088</v>
      </c>
      <c r="AE276" s="552">
        <f t="shared" si="708"/>
        <v>762308.8041436245</v>
      </c>
      <c r="AF276" s="552">
        <f t="shared" si="708"/>
        <v>778770.30107500346</v>
      </c>
      <c r="AG276" s="552">
        <f t="shared" si="708"/>
        <v>795861.79789423151</v>
      </c>
      <c r="AH276" s="727">
        <f t="shared" si="708"/>
        <v>813698.45484208758</v>
      </c>
      <c r="AI276" s="18"/>
      <c r="AJ276" s="18"/>
      <c r="AK276" s="18"/>
      <c r="AL276" s="18"/>
      <c r="AM276" s="18"/>
      <c r="AN276" s="18"/>
    </row>
    <row r="277" spans="2:40" ht="21.9" customHeight="1" x14ac:dyDescent="0.25">
      <c r="B277" s="463"/>
      <c r="C277" s="690"/>
      <c r="D277" s="690"/>
      <c r="E277" s="1327"/>
      <c r="F277" s="114" t="s">
        <v>274</v>
      </c>
      <c r="G277" s="114" t="s">
        <v>317</v>
      </c>
      <c r="H277" s="114" t="s">
        <v>20</v>
      </c>
      <c r="I277" s="552">
        <f t="shared" ref="I277:AH277" si="709">I250*$C$20</f>
        <v>1275.3135971183387</v>
      </c>
      <c r="J277" s="552">
        <f t="shared" si="709"/>
        <v>1328.5686407774845</v>
      </c>
      <c r="K277" s="552">
        <f t="shared" si="709"/>
        <v>1394.4812450225904</v>
      </c>
      <c r="L277" s="552">
        <f t="shared" si="709"/>
        <v>1483.2221679514394</v>
      </c>
      <c r="M277" s="552">
        <f t="shared" si="709"/>
        <v>1571.9952691642604</v>
      </c>
      <c r="N277" s="552">
        <f t="shared" si="709"/>
        <v>1660.7582397871206</v>
      </c>
      <c r="O277" s="552">
        <f t="shared" si="709"/>
        <v>1749.5007679083753</v>
      </c>
      <c r="P277" s="552">
        <f t="shared" si="709"/>
        <v>1838.3083612190908</v>
      </c>
      <c r="Q277" s="552">
        <f t="shared" si="709"/>
        <v>1924.3545952667914</v>
      </c>
      <c r="R277" s="552">
        <f t="shared" si="709"/>
        <v>2010.4355786130086</v>
      </c>
      <c r="S277" s="552">
        <f t="shared" si="709"/>
        <v>2096.488917046308</v>
      </c>
      <c r="T277" s="552">
        <f t="shared" si="709"/>
        <v>2182.5484329747615</v>
      </c>
      <c r="U277" s="552">
        <f t="shared" si="709"/>
        <v>2268.6806040405345</v>
      </c>
      <c r="V277" s="552">
        <f t="shared" si="709"/>
        <v>2331.8894984916137</v>
      </c>
      <c r="W277" s="552">
        <f t="shared" si="709"/>
        <v>2385.17445713095</v>
      </c>
      <c r="X277" s="552">
        <f t="shared" si="709"/>
        <v>2438.4669168699047</v>
      </c>
      <c r="Y277" s="552">
        <f t="shared" si="709"/>
        <v>2491.7685258971296</v>
      </c>
      <c r="Z277" s="552">
        <f t="shared" si="709"/>
        <v>2545.1025275322477</v>
      </c>
      <c r="AA277" s="552">
        <f t="shared" si="709"/>
        <v>2598.4286942828126</v>
      </c>
      <c r="AB277" s="552">
        <f t="shared" si="709"/>
        <v>2651.7923481744269</v>
      </c>
      <c r="AC277" s="552">
        <f t="shared" si="709"/>
        <v>2705.1541526186197</v>
      </c>
      <c r="AD277" s="552">
        <f t="shared" si="709"/>
        <v>2758.5392017800896</v>
      </c>
      <c r="AE277" s="552">
        <f t="shared" si="709"/>
        <v>2811.9732766796378</v>
      </c>
      <c r="AF277" s="552">
        <f t="shared" si="709"/>
        <v>2865.4189434261702</v>
      </c>
      <c r="AG277" s="552">
        <f t="shared" si="709"/>
        <v>2918.9035658473194</v>
      </c>
      <c r="AH277" s="727">
        <f t="shared" si="709"/>
        <v>2972.4555407312023</v>
      </c>
      <c r="AI277" s="18"/>
      <c r="AJ277" s="18"/>
      <c r="AK277" s="18"/>
      <c r="AL277" s="18"/>
      <c r="AM277" s="18"/>
      <c r="AN277" s="18"/>
    </row>
    <row r="278" spans="2:40" ht="21.9" customHeight="1" x14ac:dyDescent="0.25">
      <c r="B278" s="463"/>
      <c r="C278" s="690"/>
      <c r="D278" s="690"/>
      <c r="E278" s="1327"/>
      <c r="F278" s="114"/>
      <c r="G278" s="114"/>
      <c r="H278" s="122" t="s">
        <v>19</v>
      </c>
      <c r="I278" s="552">
        <f t="shared" ref="I278:AH278" si="710">I250*$C$21</f>
        <v>4521.5663897832019</v>
      </c>
      <c r="J278" s="552">
        <f t="shared" si="710"/>
        <v>4710.3797263928991</v>
      </c>
      <c r="K278" s="552">
        <f t="shared" si="710"/>
        <v>4944.0698687164577</v>
      </c>
      <c r="L278" s="552">
        <f t="shared" si="710"/>
        <v>5258.6967772823755</v>
      </c>
      <c r="M278" s="552">
        <f t="shared" si="710"/>
        <v>5573.4377724914693</v>
      </c>
      <c r="N278" s="552">
        <f t="shared" si="710"/>
        <v>5888.1428501543369</v>
      </c>
      <c r="O278" s="552">
        <f t="shared" si="710"/>
        <v>6202.7754498569675</v>
      </c>
      <c r="P278" s="552">
        <f t="shared" si="710"/>
        <v>6517.6387352313222</v>
      </c>
      <c r="Q278" s="552">
        <f t="shared" si="710"/>
        <v>6822.7117468549886</v>
      </c>
      <c r="R278" s="552">
        <f t="shared" si="710"/>
        <v>7127.9079605370307</v>
      </c>
      <c r="S278" s="552">
        <f t="shared" si="710"/>
        <v>7433.0061604369102</v>
      </c>
      <c r="T278" s="552">
        <f t="shared" si="710"/>
        <v>7738.1262623650637</v>
      </c>
      <c r="U278" s="552">
        <f t="shared" si="710"/>
        <v>8043.5039597800769</v>
      </c>
      <c r="V278" s="552">
        <f t="shared" si="710"/>
        <v>8267.6082219248128</v>
      </c>
      <c r="W278" s="552">
        <f t="shared" si="710"/>
        <v>8456.5276207370043</v>
      </c>
      <c r="X278" s="552">
        <f t="shared" si="710"/>
        <v>8645.4736143569353</v>
      </c>
      <c r="Y278" s="552">
        <f t="shared" si="710"/>
        <v>8834.4520463625522</v>
      </c>
      <c r="Z278" s="552">
        <f t="shared" si="710"/>
        <v>9023.5453248870599</v>
      </c>
      <c r="AA278" s="552">
        <f t="shared" si="710"/>
        <v>9212.6108251845162</v>
      </c>
      <c r="AB278" s="552">
        <f t="shared" si="710"/>
        <v>9401.809234436605</v>
      </c>
      <c r="AC278" s="552">
        <f t="shared" si="710"/>
        <v>9591.0010865569257</v>
      </c>
      <c r="AD278" s="552">
        <f t="shared" si="710"/>
        <v>9780.2753517657729</v>
      </c>
      <c r="AE278" s="552">
        <f t="shared" si="710"/>
        <v>9969.7234355005348</v>
      </c>
      <c r="AF278" s="552">
        <f t="shared" si="710"/>
        <v>10159.212617601877</v>
      </c>
      <c r="AG278" s="552">
        <f t="shared" si="710"/>
        <v>10348.839915276862</v>
      </c>
      <c r="AH278" s="727">
        <f t="shared" si="710"/>
        <v>10538.706008046991</v>
      </c>
      <c r="AI278" s="18"/>
      <c r="AJ278" s="18"/>
      <c r="AK278" s="18"/>
      <c r="AL278" s="18"/>
      <c r="AM278" s="18"/>
      <c r="AN278" s="18"/>
    </row>
    <row r="279" spans="2:40" ht="21.9" customHeight="1" x14ac:dyDescent="0.25">
      <c r="B279" s="229"/>
      <c r="C279" s="690"/>
      <c r="D279" s="690"/>
      <c r="E279" s="1327"/>
      <c r="F279" s="114"/>
      <c r="G279" s="114"/>
      <c r="H279" s="696" t="s">
        <v>25</v>
      </c>
      <c r="I279" s="552">
        <f t="shared" ref="I279:AH279" si="711">SUM(I277:I278)</f>
        <v>5796.8799869015402</v>
      </c>
      <c r="J279" s="552">
        <f t="shared" si="711"/>
        <v>6038.9483671703838</v>
      </c>
      <c r="K279" s="552">
        <f t="shared" si="711"/>
        <v>6338.5511137390477</v>
      </c>
      <c r="L279" s="552">
        <f t="shared" si="711"/>
        <v>6741.9189452338151</v>
      </c>
      <c r="M279" s="552">
        <f t="shared" si="711"/>
        <v>7145.4330416557295</v>
      </c>
      <c r="N279" s="552">
        <f t="shared" si="711"/>
        <v>7548.901089941457</v>
      </c>
      <c r="O279" s="552">
        <f t="shared" si="711"/>
        <v>7952.2762177653431</v>
      </c>
      <c r="P279" s="552">
        <f t="shared" si="711"/>
        <v>8355.9470964504126</v>
      </c>
      <c r="Q279" s="552">
        <f t="shared" si="711"/>
        <v>8747.0663421217796</v>
      </c>
      <c r="R279" s="552">
        <f t="shared" si="711"/>
        <v>9138.3435391500389</v>
      </c>
      <c r="S279" s="552">
        <f t="shared" si="711"/>
        <v>9529.4950774832178</v>
      </c>
      <c r="T279" s="552">
        <f t="shared" si="711"/>
        <v>9920.6746953398251</v>
      </c>
      <c r="U279" s="552">
        <f t="shared" si="711"/>
        <v>10312.18456382061</v>
      </c>
      <c r="V279" s="552">
        <f t="shared" si="711"/>
        <v>10599.497720416426</v>
      </c>
      <c r="W279" s="552">
        <f t="shared" si="711"/>
        <v>10841.702077867954</v>
      </c>
      <c r="X279" s="552">
        <f t="shared" si="711"/>
        <v>11083.940531226839</v>
      </c>
      <c r="Y279" s="552">
        <f t="shared" si="711"/>
        <v>11326.220572259681</v>
      </c>
      <c r="Z279" s="552">
        <f t="shared" si="711"/>
        <v>11568.647852419308</v>
      </c>
      <c r="AA279" s="552">
        <f t="shared" si="711"/>
        <v>11811.039519467329</v>
      </c>
      <c r="AB279" s="552">
        <f t="shared" si="711"/>
        <v>12053.601582611032</v>
      </c>
      <c r="AC279" s="552">
        <f t="shared" si="711"/>
        <v>12296.155239175545</v>
      </c>
      <c r="AD279" s="552">
        <f t="shared" si="711"/>
        <v>12538.814553545863</v>
      </c>
      <c r="AE279" s="552">
        <f t="shared" si="711"/>
        <v>12781.696712180172</v>
      </c>
      <c r="AF279" s="552">
        <f t="shared" si="711"/>
        <v>13024.631561028047</v>
      </c>
      <c r="AG279" s="552">
        <f t="shared" si="711"/>
        <v>13267.74348112418</v>
      </c>
      <c r="AH279" s="727">
        <f t="shared" si="711"/>
        <v>13511.161548778193</v>
      </c>
      <c r="AI279" s="18"/>
      <c r="AJ279" s="18"/>
      <c r="AK279" s="18"/>
      <c r="AL279" s="18"/>
      <c r="AM279" s="18"/>
      <c r="AN279" s="18"/>
    </row>
    <row r="280" spans="2:40" ht="21.9" customHeight="1" x14ac:dyDescent="0.25">
      <c r="B280" s="229"/>
      <c r="C280" s="690"/>
      <c r="D280" s="690"/>
      <c r="E280" s="1325" t="s">
        <v>274</v>
      </c>
      <c r="F280" s="217" t="s">
        <v>275</v>
      </c>
      <c r="G280" s="217" t="s">
        <v>318</v>
      </c>
      <c r="H280" s="114" t="s">
        <v>20</v>
      </c>
      <c r="I280" s="558">
        <f t="shared" ref="I280:AH280" si="712">I251*$D$20</f>
        <v>13152.695652223156</v>
      </c>
      <c r="J280" s="558">
        <f t="shared" si="712"/>
        <v>14483.156581011686</v>
      </c>
      <c r="K280" s="558">
        <f t="shared" si="712"/>
        <v>17457.704467196185</v>
      </c>
      <c r="L280" s="558">
        <f t="shared" si="712"/>
        <v>23432.316494344239</v>
      </c>
      <c r="M280" s="558">
        <f t="shared" si="712"/>
        <v>29410.611564987958</v>
      </c>
      <c r="N280" s="558">
        <f t="shared" si="712"/>
        <v>35388.250974855386</v>
      </c>
      <c r="O280" s="558">
        <f t="shared" si="712"/>
        <v>41362.874992307596</v>
      </c>
      <c r="P280" s="558">
        <f t="shared" si="712"/>
        <v>47344.902589040612</v>
      </c>
      <c r="Q280" s="558">
        <f t="shared" si="712"/>
        <v>53214.857022247699</v>
      </c>
      <c r="R280" s="558">
        <f t="shared" si="712"/>
        <v>59088.10787629892</v>
      </c>
      <c r="S280" s="558">
        <f t="shared" si="712"/>
        <v>64959.251493305841</v>
      </c>
      <c r="T280" s="558">
        <f t="shared" si="712"/>
        <v>70832.374134230588</v>
      </c>
      <c r="U280" s="558">
        <f t="shared" si="712"/>
        <v>76717.154594555599</v>
      </c>
      <c r="V280" s="558">
        <f t="shared" si="712"/>
        <v>79589.688142193118</v>
      </c>
      <c r="W280" s="558">
        <f t="shared" si="712"/>
        <v>80924.06354687408</v>
      </c>
      <c r="X280" s="558">
        <f t="shared" si="712"/>
        <v>82259.138482507784</v>
      </c>
      <c r="Y280" s="558">
        <f t="shared" si="712"/>
        <v>83595.023575945816</v>
      </c>
      <c r="Z280" s="558">
        <f t="shared" si="712"/>
        <v>84933.893885426878</v>
      </c>
      <c r="AA280" s="558">
        <f t="shared" si="712"/>
        <v>86271.79572332211</v>
      </c>
      <c r="AB280" s="558">
        <f t="shared" si="712"/>
        <v>87612.99182891348</v>
      </c>
      <c r="AC280" s="558">
        <f t="shared" si="712"/>
        <v>88953.561853336534</v>
      </c>
      <c r="AD280" s="558">
        <f t="shared" si="712"/>
        <v>90295.76384745595</v>
      </c>
      <c r="AE280" s="558">
        <f t="shared" si="712"/>
        <v>91641.892294270525</v>
      </c>
      <c r="AF280" s="558">
        <f t="shared" si="712"/>
        <v>92988.091135003386</v>
      </c>
      <c r="AG280" s="558">
        <f t="shared" si="712"/>
        <v>94336.713434177742</v>
      </c>
      <c r="AH280" s="728">
        <f t="shared" si="712"/>
        <v>95690.163055213852</v>
      </c>
      <c r="AI280" s="18"/>
      <c r="AJ280" s="18"/>
      <c r="AK280" s="18"/>
      <c r="AL280" s="18"/>
      <c r="AM280" s="18"/>
      <c r="AN280" s="18"/>
    </row>
    <row r="281" spans="2:40" ht="21.9" customHeight="1" x14ac:dyDescent="0.25">
      <c r="B281" s="229"/>
      <c r="C281" s="690"/>
      <c r="D281" s="690"/>
      <c r="E281" s="1325"/>
      <c r="F281" s="114"/>
      <c r="G281" s="114"/>
      <c r="H281" s="122" t="s">
        <v>19</v>
      </c>
      <c r="I281" s="552">
        <f t="shared" ref="I281:AH281" si="713">I251*$D$21</f>
        <v>52610.782608892623</v>
      </c>
      <c r="J281" s="552">
        <f t="shared" si="713"/>
        <v>57932.626324046745</v>
      </c>
      <c r="K281" s="552">
        <f t="shared" si="713"/>
        <v>69830.817868784739</v>
      </c>
      <c r="L281" s="552">
        <f t="shared" si="713"/>
        <v>93729.265977376956</v>
      </c>
      <c r="M281" s="552">
        <f t="shared" si="713"/>
        <v>117642.44625995183</v>
      </c>
      <c r="N281" s="552">
        <f t="shared" si="713"/>
        <v>141553.00389942154</v>
      </c>
      <c r="O281" s="552">
        <f t="shared" si="713"/>
        <v>165451.49996923038</v>
      </c>
      <c r="P281" s="552">
        <f t="shared" si="713"/>
        <v>189379.61035616245</v>
      </c>
      <c r="Q281" s="552">
        <f t="shared" si="713"/>
        <v>212859.4280889908</v>
      </c>
      <c r="R281" s="552">
        <f t="shared" si="713"/>
        <v>236352.43150519568</v>
      </c>
      <c r="S281" s="552">
        <f t="shared" si="713"/>
        <v>259837.00597322336</v>
      </c>
      <c r="T281" s="552">
        <f t="shared" si="713"/>
        <v>283329.49653692235</v>
      </c>
      <c r="U281" s="552">
        <f t="shared" si="713"/>
        <v>306868.6183782224</v>
      </c>
      <c r="V281" s="552">
        <f t="shared" si="713"/>
        <v>318358.75256877247</v>
      </c>
      <c r="W281" s="552">
        <f t="shared" si="713"/>
        <v>323696.25418749632</v>
      </c>
      <c r="X281" s="552">
        <f t="shared" si="713"/>
        <v>329036.55393003114</v>
      </c>
      <c r="Y281" s="552">
        <f t="shared" si="713"/>
        <v>334380.09430378326</v>
      </c>
      <c r="Z281" s="552">
        <f t="shared" si="713"/>
        <v>339735.57554170751</v>
      </c>
      <c r="AA281" s="552">
        <f t="shared" si="713"/>
        <v>345087.18289328844</v>
      </c>
      <c r="AB281" s="552">
        <f t="shared" si="713"/>
        <v>350451.96731565392</v>
      </c>
      <c r="AC281" s="552">
        <f t="shared" si="713"/>
        <v>355814.24741334614</v>
      </c>
      <c r="AD281" s="552">
        <f t="shared" si="713"/>
        <v>361183.0553898238</v>
      </c>
      <c r="AE281" s="552">
        <f t="shared" si="713"/>
        <v>366567.5691770821</v>
      </c>
      <c r="AF281" s="552">
        <f t="shared" si="713"/>
        <v>371952.36454001354</v>
      </c>
      <c r="AG281" s="552">
        <f t="shared" si="713"/>
        <v>377346.85373671097</v>
      </c>
      <c r="AH281" s="727">
        <f t="shared" si="713"/>
        <v>382760.65222085541</v>
      </c>
      <c r="AI281" s="18"/>
      <c r="AJ281" s="18"/>
      <c r="AK281" s="18"/>
      <c r="AL281" s="18"/>
      <c r="AM281" s="18"/>
      <c r="AN281" s="18"/>
    </row>
    <row r="282" spans="2:40" ht="21.9" customHeight="1" x14ac:dyDescent="0.25">
      <c r="B282" s="229"/>
      <c r="C282" s="690"/>
      <c r="D282" s="690"/>
      <c r="E282" s="1325"/>
      <c r="F282" s="114"/>
      <c r="G282" s="114"/>
      <c r="H282" s="695" t="s">
        <v>25</v>
      </c>
      <c r="I282" s="552">
        <f t="shared" ref="I282:AH282" si="714">SUM(I280:I281)</f>
        <v>65763.478261115786</v>
      </c>
      <c r="J282" s="552">
        <f t="shared" si="714"/>
        <v>72415.782905058426</v>
      </c>
      <c r="K282" s="552">
        <f t="shared" si="714"/>
        <v>87288.522335980932</v>
      </c>
      <c r="L282" s="552">
        <f t="shared" si="714"/>
        <v>117161.58247172119</v>
      </c>
      <c r="M282" s="552">
        <f t="shared" si="714"/>
        <v>147053.05782493978</v>
      </c>
      <c r="N282" s="552">
        <f t="shared" si="714"/>
        <v>176941.25487427693</v>
      </c>
      <c r="O282" s="552">
        <f t="shared" si="714"/>
        <v>206814.37496153798</v>
      </c>
      <c r="P282" s="552">
        <f t="shared" si="714"/>
        <v>236724.51294520305</v>
      </c>
      <c r="Q282" s="552">
        <f t="shared" si="714"/>
        <v>266074.28511123848</v>
      </c>
      <c r="R282" s="552">
        <f t="shared" si="714"/>
        <v>295440.53938149463</v>
      </c>
      <c r="S282" s="552">
        <f t="shared" si="714"/>
        <v>324796.2574665292</v>
      </c>
      <c r="T282" s="552">
        <f t="shared" si="714"/>
        <v>354161.87067115295</v>
      </c>
      <c r="U282" s="552">
        <f t="shared" si="714"/>
        <v>383585.77297277801</v>
      </c>
      <c r="V282" s="552">
        <f t="shared" si="714"/>
        <v>397948.4407109656</v>
      </c>
      <c r="W282" s="552">
        <f t="shared" si="714"/>
        <v>404620.31773437042</v>
      </c>
      <c r="X282" s="552">
        <f t="shared" si="714"/>
        <v>411295.69241253892</v>
      </c>
      <c r="Y282" s="552">
        <f t="shared" si="714"/>
        <v>417975.11787972908</v>
      </c>
      <c r="Z282" s="552">
        <f t="shared" si="714"/>
        <v>424669.46942713438</v>
      </c>
      <c r="AA282" s="552">
        <f t="shared" si="714"/>
        <v>431358.97861661052</v>
      </c>
      <c r="AB282" s="552">
        <f t="shared" si="714"/>
        <v>438064.95914456737</v>
      </c>
      <c r="AC282" s="552">
        <f t="shared" si="714"/>
        <v>444767.80926668266</v>
      </c>
      <c r="AD282" s="552">
        <f t="shared" si="714"/>
        <v>451478.81923727976</v>
      </c>
      <c r="AE282" s="552">
        <f t="shared" si="714"/>
        <v>458209.46147135261</v>
      </c>
      <c r="AF282" s="552">
        <f t="shared" si="714"/>
        <v>464940.45567501691</v>
      </c>
      <c r="AG282" s="552">
        <f t="shared" si="714"/>
        <v>471683.56717088871</v>
      </c>
      <c r="AH282" s="727">
        <f t="shared" si="714"/>
        <v>478450.81527606928</v>
      </c>
      <c r="AI282" s="18"/>
      <c r="AJ282" s="18"/>
      <c r="AK282" s="18"/>
      <c r="AL282" s="18"/>
      <c r="AM282" s="18"/>
      <c r="AN282" s="18"/>
    </row>
    <row r="283" spans="2:40" ht="21.9" customHeight="1" x14ac:dyDescent="0.25">
      <c r="B283" s="229"/>
      <c r="C283" s="690"/>
      <c r="D283" s="690"/>
      <c r="E283" s="1325"/>
      <c r="F283" s="114" t="s">
        <v>318</v>
      </c>
      <c r="G283" s="114" t="s">
        <v>308</v>
      </c>
      <c r="H283" s="114" t="s">
        <v>20</v>
      </c>
      <c r="I283" s="552">
        <f t="shared" ref="I283:AH283" si="715">I252*$D$20</f>
        <v>1769.6979844380808</v>
      </c>
      <c r="J283" s="552">
        <f t="shared" si="715"/>
        <v>1954.3973675424231</v>
      </c>
      <c r="K283" s="552">
        <f t="shared" si="715"/>
        <v>2209.3750863686755</v>
      </c>
      <c r="L283" s="552">
        <f t="shared" si="715"/>
        <v>2677.69228635012</v>
      </c>
      <c r="M283" s="552">
        <f t="shared" si="715"/>
        <v>3146.5293315598901</v>
      </c>
      <c r="N283" s="552">
        <f t="shared" si="715"/>
        <v>3617.0318010256569</v>
      </c>
      <c r="O283" s="552">
        <f t="shared" si="715"/>
        <v>4092.6425781171256</v>
      </c>
      <c r="P283" s="552">
        <f t="shared" si="715"/>
        <v>4584.3405792016874</v>
      </c>
      <c r="Q283" s="552">
        <f t="shared" si="715"/>
        <v>5376.0377909925483</v>
      </c>
      <c r="R283" s="552">
        <f t="shared" si="715"/>
        <v>6472.2351756358994</v>
      </c>
      <c r="S283" s="552">
        <f t="shared" si="715"/>
        <v>8455.7836272038548</v>
      </c>
      <c r="T283" s="552">
        <f t="shared" si="715"/>
        <v>12755.847775517757</v>
      </c>
      <c r="U283" s="552">
        <f t="shared" si="715"/>
        <v>18183.778907854481</v>
      </c>
      <c r="V283" s="552">
        <f t="shared" si="715"/>
        <v>19240.31210786472</v>
      </c>
      <c r="W283" s="552">
        <f t="shared" si="715"/>
        <v>19664.490545072862</v>
      </c>
      <c r="X283" s="552">
        <f t="shared" si="715"/>
        <v>20088.595866400596</v>
      </c>
      <c r="Y283" s="552">
        <f t="shared" si="715"/>
        <v>20512.728558505038</v>
      </c>
      <c r="Z283" s="552">
        <f t="shared" si="715"/>
        <v>20937.199099895795</v>
      </c>
      <c r="AA283" s="552">
        <f t="shared" si="715"/>
        <v>21361.405083412752</v>
      </c>
      <c r="AB283" s="552">
        <f t="shared" si="715"/>
        <v>21785.96370236238</v>
      </c>
      <c r="AC283" s="552">
        <f t="shared" si="715"/>
        <v>22210.275381860378</v>
      </c>
      <c r="AD283" s="552">
        <f t="shared" si="715"/>
        <v>22634.655518967396</v>
      </c>
      <c r="AE283" s="552">
        <f t="shared" si="715"/>
        <v>23059.42199830565</v>
      </c>
      <c r="AF283" s="552">
        <f t="shared" si="715"/>
        <v>23483.980897901172</v>
      </c>
      <c r="AG283" s="552">
        <f t="shared" si="715"/>
        <v>23908.653747497268</v>
      </c>
      <c r="AH283" s="727">
        <f t="shared" si="715"/>
        <v>24333.765952405287</v>
      </c>
      <c r="AI283" s="18"/>
      <c r="AJ283" s="18"/>
      <c r="AK283" s="18"/>
      <c r="AL283" s="18"/>
      <c r="AM283" s="18"/>
      <c r="AN283" s="18"/>
    </row>
    <row r="284" spans="2:40" ht="21.9" customHeight="1" x14ac:dyDescent="0.25">
      <c r="B284" s="229"/>
      <c r="C284" s="690"/>
      <c r="D284" s="690"/>
      <c r="E284" s="1325"/>
      <c r="F284" s="114"/>
      <c r="G284" s="114"/>
      <c r="H284" s="122" t="s">
        <v>19</v>
      </c>
      <c r="I284" s="552">
        <f t="shared" ref="I284:AH284" si="716">I252*$D$21</f>
        <v>7078.7919377523231</v>
      </c>
      <c r="J284" s="552">
        <f t="shared" si="716"/>
        <v>7817.5894701696925</v>
      </c>
      <c r="K284" s="552">
        <f t="shared" si="716"/>
        <v>8837.500345474702</v>
      </c>
      <c r="L284" s="552">
        <f t="shared" si="716"/>
        <v>10710.76914540048</v>
      </c>
      <c r="M284" s="552">
        <f t="shared" si="716"/>
        <v>12586.11732623956</v>
      </c>
      <c r="N284" s="552">
        <f t="shared" si="716"/>
        <v>14468.127204102628</v>
      </c>
      <c r="O284" s="552">
        <f t="shared" si="716"/>
        <v>16370.570312468502</v>
      </c>
      <c r="P284" s="552">
        <f t="shared" si="716"/>
        <v>18337.36231680675</v>
      </c>
      <c r="Q284" s="552">
        <f t="shared" si="716"/>
        <v>21504.151163970193</v>
      </c>
      <c r="R284" s="552">
        <f t="shared" si="716"/>
        <v>25888.940702543598</v>
      </c>
      <c r="S284" s="552">
        <f t="shared" si="716"/>
        <v>33823.134508815419</v>
      </c>
      <c r="T284" s="552">
        <f t="shared" si="716"/>
        <v>51023.391102071029</v>
      </c>
      <c r="U284" s="552">
        <f t="shared" si="716"/>
        <v>72735.115631417924</v>
      </c>
      <c r="V284" s="552">
        <f t="shared" si="716"/>
        <v>76961.24843145888</v>
      </c>
      <c r="W284" s="552">
        <f t="shared" si="716"/>
        <v>78657.962180291448</v>
      </c>
      <c r="X284" s="552">
        <f t="shared" si="716"/>
        <v>80354.383465602383</v>
      </c>
      <c r="Y284" s="552">
        <f t="shared" si="716"/>
        <v>82050.914234020151</v>
      </c>
      <c r="Z284" s="552">
        <f t="shared" si="716"/>
        <v>83748.796399583181</v>
      </c>
      <c r="AA284" s="552">
        <f t="shared" si="716"/>
        <v>85445.620333651008</v>
      </c>
      <c r="AB284" s="552">
        <f t="shared" si="716"/>
        <v>87143.85480944952</v>
      </c>
      <c r="AC284" s="552">
        <f t="shared" si="716"/>
        <v>88841.101527441511</v>
      </c>
      <c r="AD284" s="552">
        <f t="shared" si="716"/>
        <v>90538.622075869585</v>
      </c>
      <c r="AE284" s="552">
        <f t="shared" si="716"/>
        <v>92237.6879932226</v>
      </c>
      <c r="AF284" s="552">
        <f t="shared" si="716"/>
        <v>93935.923591604689</v>
      </c>
      <c r="AG284" s="552">
        <f t="shared" si="716"/>
        <v>95634.614989989073</v>
      </c>
      <c r="AH284" s="727">
        <f t="shared" si="716"/>
        <v>97335.063809621148</v>
      </c>
      <c r="AI284" s="18"/>
      <c r="AJ284" s="18"/>
      <c r="AK284" s="18"/>
      <c r="AL284" s="18"/>
      <c r="AM284" s="18"/>
      <c r="AN284" s="18"/>
    </row>
    <row r="285" spans="2:40" ht="21.9" customHeight="1" x14ac:dyDescent="0.25">
      <c r="B285" s="229"/>
      <c r="C285" s="690"/>
      <c r="D285" s="690"/>
      <c r="E285" s="1325"/>
      <c r="F285" s="114"/>
      <c r="G285" s="114"/>
      <c r="H285" s="695" t="s">
        <v>25</v>
      </c>
      <c r="I285" s="552">
        <f t="shared" ref="I285:AH285" si="717">SUM(I283:I284)</f>
        <v>8848.4899221904034</v>
      </c>
      <c r="J285" s="552">
        <f t="shared" si="717"/>
        <v>9771.9868377121165</v>
      </c>
      <c r="K285" s="552">
        <f t="shared" si="717"/>
        <v>11046.875431843378</v>
      </c>
      <c r="L285" s="552">
        <f t="shared" si="717"/>
        <v>13388.4614317506</v>
      </c>
      <c r="M285" s="552">
        <f t="shared" si="717"/>
        <v>15732.646657799451</v>
      </c>
      <c r="N285" s="552">
        <f t="shared" si="717"/>
        <v>18085.159005128284</v>
      </c>
      <c r="O285" s="552">
        <f t="shared" si="717"/>
        <v>20463.21289058563</v>
      </c>
      <c r="P285" s="552">
        <f t="shared" si="717"/>
        <v>22921.702896008435</v>
      </c>
      <c r="Q285" s="552">
        <f t="shared" si="717"/>
        <v>26880.188954962741</v>
      </c>
      <c r="R285" s="552">
        <f t="shared" si="717"/>
        <v>32361.175878179496</v>
      </c>
      <c r="S285" s="552">
        <f t="shared" si="717"/>
        <v>42278.918136019274</v>
      </c>
      <c r="T285" s="552">
        <f t="shared" si="717"/>
        <v>63779.238877588788</v>
      </c>
      <c r="U285" s="552">
        <f t="shared" si="717"/>
        <v>90918.894539272413</v>
      </c>
      <c r="V285" s="552">
        <f t="shared" si="717"/>
        <v>96201.560539323604</v>
      </c>
      <c r="W285" s="552">
        <f t="shared" si="717"/>
        <v>98322.452725364303</v>
      </c>
      <c r="X285" s="552">
        <f t="shared" si="717"/>
        <v>100442.97933200299</v>
      </c>
      <c r="Y285" s="552">
        <f t="shared" si="717"/>
        <v>102563.64279252519</v>
      </c>
      <c r="Z285" s="552">
        <f t="shared" si="717"/>
        <v>104685.99549947897</v>
      </c>
      <c r="AA285" s="552">
        <f t="shared" si="717"/>
        <v>106807.02541706376</v>
      </c>
      <c r="AB285" s="552">
        <f t="shared" si="717"/>
        <v>108929.8185118119</v>
      </c>
      <c r="AC285" s="552">
        <f t="shared" si="717"/>
        <v>111051.37690930189</v>
      </c>
      <c r="AD285" s="552">
        <f t="shared" si="717"/>
        <v>113173.27759483698</v>
      </c>
      <c r="AE285" s="552">
        <f t="shared" si="717"/>
        <v>115297.10999152825</v>
      </c>
      <c r="AF285" s="552">
        <f t="shared" si="717"/>
        <v>117419.90448950586</v>
      </c>
      <c r="AG285" s="552">
        <f t="shared" si="717"/>
        <v>119543.26873748635</v>
      </c>
      <c r="AH285" s="727">
        <f t="shared" si="717"/>
        <v>121668.82976202643</v>
      </c>
      <c r="AI285" s="18"/>
      <c r="AJ285" s="18"/>
      <c r="AK285" s="18"/>
      <c r="AL285" s="18"/>
      <c r="AM285" s="18"/>
      <c r="AN285" s="18"/>
    </row>
    <row r="286" spans="2:40" ht="21.9" customHeight="1" x14ac:dyDescent="0.25">
      <c r="B286" s="229"/>
      <c r="C286" s="690"/>
      <c r="D286" s="690"/>
      <c r="E286" s="1325"/>
      <c r="F286" s="114" t="s">
        <v>308</v>
      </c>
      <c r="G286" s="114" t="s">
        <v>319</v>
      </c>
      <c r="H286" s="114" t="s">
        <v>20</v>
      </c>
      <c r="I286" s="552">
        <f t="shared" ref="I286:AH286" si="718">I253*$D$20</f>
        <v>25111.892976788306</v>
      </c>
      <c r="J286" s="552">
        <f t="shared" si="718"/>
        <v>25859.768391897029</v>
      </c>
      <c r="K286" s="552">
        <f t="shared" si="718"/>
        <v>26952.742857365054</v>
      </c>
      <c r="L286" s="552">
        <f t="shared" si="718"/>
        <v>28563.950603370744</v>
      </c>
      <c r="M286" s="552">
        <f t="shared" si="718"/>
        <v>30312.809155462881</v>
      </c>
      <c r="N286" s="552">
        <f t="shared" si="718"/>
        <v>32273.457738607809</v>
      </c>
      <c r="O286" s="552">
        <f t="shared" si="718"/>
        <v>34554.671480868274</v>
      </c>
      <c r="P286" s="552">
        <f t="shared" si="718"/>
        <v>37316.438183099046</v>
      </c>
      <c r="Q286" s="552">
        <f t="shared" si="718"/>
        <v>40816.489587918652</v>
      </c>
      <c r="R286" s="552">
        <f t="shared" si="718"/>
        <v>45351.951391597468</v>
      </c>
      <c r="S286" s="552">
        <f t="shared" si="718"/>
        <v>51359.88217567448</v>
      </c>
      <c r="T286" s="552">
        <f t="shared" si="718"/>
        <v>59442.127002979978</v>
      </c>
      <c r="U286" s="552">
        <f t="shared" si="718"/>
        <v>70415.838811656504</v>
      </c>
      <c r="V286" s="552">
        <f t="shared" si="718"/>
        <v>80607.367482020083</v>
      </c>
      <c r="W286" s="552">
        <f t="shared" si="718"/>
        <v>89099.587605749985</v>
      </c>
      <c r="X286" s="552">
        <f t="shared" si="718"/>
        <v>95506.187871016038</v>
      </c>
      <c r="Y286" s="552">
        <f t="shared" si="718"/>
        <v>97054.503461049157</v>
      </c>
      <c r="Z286" s="552">
        <f t="shared" si="718"/>
        <v>98603.580974448472</v>
      </c>
      <c r="AA286" s="552">
        <f t="shared" si="718"/>
        <v>100151.95006281752</v>
      </c>
      <c r="AB286" s="552">
        <f t="shared" si="718"/>
        <v>101701.0892268102</v>
      </c>
      <c r="AC286" s="552">
        <f t="shared" si="718"/>
        <v>103249.52933127224</v>
      </c>
      <c r="AD286" s="552">
        <f t="shared" si="718"/>
        <v>104798.01290566109</v>
      </c>
      <c r="AE286" s="552">
        <f t="shared" si="718"/>
        <v>106347.28354690061</v>
      </c>
      <c r="AF286" s="552">
        <f t="shared" si="718"/>
        <v>107895.87428373814</v>
      </c>
      <c r="AG286" s="552">
        <f t="shared" si="718"/>
        <v>109444.52994727265</v>
      </c>
      <c r="AH286" s="727">
        <f t="shared" si="718"/>
        <v>110993.99689606029</v>
      </c>
      <c r="AI286" s="18"/>
      <c r="AJ286" s="18"/>
      <c r="AK286" s="18"/>
      <c r="AL286" s="18"/>
      <c r="AM286" s="18"/>
      <c r="AN286" s="18"/>
    </row>
    <row r="287" spans="2:40" ht="21.9" customHeight="1" x14ac:dyDescent="0.25">
      <c r="B287" s="229"/>
      <c r="C287" s="690"/>
      <c r="D287" s="690"/>
      <c r="E287" s="1325"/>
      <c r="F287" s="114"/>
      <c r="G287" s="114"/>
      <c r="H287" s="114" t="s">
        <v>19</v>
      </c>
      <c r="I287" s="552">
        <f t="shared" ref="I287:AH287" si="719">I253*$D$21</f>
        <v>100447.57190715322</v>
      </c>
      <c r="J287" s="552">
        <f t="shared" si="719"/>
        <v>103439.07356758812</v>
      </c>
      <c r="K287" s="552">
        <f t="shared" si="719"/>
        <v>107810.97142946022</v>
      </c>
      <c r="L287" s="552">
        <f t="shared" si="719"/>
        <v>114255.80241348298</v>
      </c>
      <c r="M287" s="552">
        <f t="shared" si="719"/>
        <v>121251.23662185152</v>
      </c>
      <c r="N287" s="552">
        <f t="shared" si="719"/>
        <v>129093.83095443124</v>
      </c>
      <c r="O287" s="552">
        <f t="shared" si="719"/>
        <v>138218.68592347309</v>
      </c>
      <c r="P287" s="552">
        <f t="shared" si="719"/>
        <v>149265.75273239618</v>
      </c>
      <c r="Q287" s="552">
        <f t="shared" si="719"/>
        <v>163265.95835167461</v>
      </c>
      <c r="R287" s="552">
        <f t="shared" si="719"/>
        <v>181407.80556638987</v>
      </c>
      <c r="S287" s="552">
        <f t="shared" si="719"/>
        <v>205439.52870269792</v>
      </c>
      <c r="T287" s="552">
        <f t="shared" si="719"/>
        <v>237768.50801191991</v>
      </c>
      <c r="U287" s="552">
        <f t="shared" si="719"/>
        <v>281663.35524662602</v>
      </c>
      <c r="V287" s="552">
        <f t="shared" si="719"/>
        <v>322429.46992808033</v>
      </c>
      <c r="W287" s="552">
        <f t="shared" si="719"/>
        <v>356398.35042299994</v>
      </c>
      <c r="X287" s="552">
        <f t="shared" si="719"/>
        <v>382024.75148406415</v>
      </c>
      <c r="Y287" s="552">
        <f t="shared" si="719"/>
        <v>388218.01384419663</v>
      </c>
      <c r="Z287" s="552">
        <f t="shared" si="719"/>
        <v>394414.32389779389</v>
      </c>
      <c r="AA287" s="552">
        <f t="shared" si="719"/>
        <v>400607.80025127006</v>
      </c>
      <c r="AB287" s="552">
        <f t="shared" si="719"/>
        <v>406804.35690724081</v>
      </c>
      <c r="AC287" s="552">
        <f t="shared" si="719"/>
        <v>412998.11732508894</v>
      </c>
      <c r="AD287" s="552">
        <f t="shared" si="719"/>
        <v>419192.05162264436</v>
      </c>
      <c r="AE287" s="552">
        <f t="shared" si="719"/>
        <v>425389.13418760244</v>
      </c>
      <c r="AF287" s="552">
        <f t="shared" si="719"/>
        <v>431583.49713495257</v>
      </c>
      <c r="AG287" s="552">
        <f t="shared" si="719"/>
        <v>437778.11978909059</v>
      </c>
      <c r="AH287" s="727">
        <f t="shared" si="719"/>
        <v>443975.98758424114</v>
      </c>
      <c r="AI287" s="18"/>
      <c r="AJ287" s="18"/>
      <c r="AK287" s="18"/>
      <c r="AL287" s="18"/>
      <c r="AM287" s="18"/>
      <c r="AN287" s="18"/>
    </row>
    <row r="288" spans="2:40" ht="21.9" customHeight="1" x14ac:dyDescent="0.25">
      <c r="B288" s="229"/>
      <c r="C288" s="690"/>
      <c r="D288" s="690"/>
      <c r="E288" s="1321"/>
      <c r="F288" s="250"/>
      <c r="G288" s="250"/>
      <c r="H288" s="696" t="s">
        <v>25</v>
      </c>
      <c r="I288" s="562">
        <f t="shared" ref="I288:AH288" si="720">SUM(I286:I287)</f>
        <v>125559.46488394153</v>
      </c>
      <c r="J288" s="562">
        <f t="shared" si="720"/>
        <v>129298.84195948514</v>
      </c>
      <c r="K288" s="562">
        <f t="shared" si="720"/>
        <v>134763.71428682527</v>
      </c>
      <c r="L288" s="562">
        <f t="shared" si="720"/>
        <v>142819.75301685371</v>
      </c>
      <c r="M288" s="562">
        <f t="shared" si="720"/>
        <v>151564.0457773144</v>
      </c>
      <c r="N288" s="562">
        <f t="shared" si="720"/>
        <v>161367.28869303904</v>
      </c>
      <c r="O288" s="562">
        <f t="shared" si="720"/>
        <v>172773.35740434137</v>
      </c>
      <c r="P288" s="562">
        <f t="shared" si="720"/>
        <v>186582.19091549522</v>
      </c>
      <c r="Q288" s="562">
        <f t="shared" si="720"/>
        <v>204082.44793959326</v>
      </c>
      <c r="R288" s="562">
        <f t="shared" si="720"/>
        <v>226759.75695798732</v>
      </c>
      <c r="S288" s="562">
        <f t="shared" si="720"/>
        <v>256799.41087837241</v>
      </c>
      <c r="T288" s="562">
        <f t="shared" si="720"/>
        <v>297210.63501489989</v>
      </c>
      <c r="U288" s="562">
        <f t="shared" si="720"/>
        <v>352079.19405828253</v>
      </c>
      <c r="V288" s="562">
        <f t="shared" si="720"/>
        <v>403036.83741010039</v>
      </c>
      <c r="W288" s="562">
        <f t="shared" si="720"/>
        <v>445497.93802874989</v>
      </c>
      <c r="X288" s="562">
        <f t="shared" si="720"/>
        <v>477530.93935508019</v>
      </c>
      <c r="Y288" s="562">
        <f t="shared" si="720"/>
        <v>485272.5173052458</v>
      </c>
      <c r="Z288" s="562">
        <f t="shared" si="720"/>
        <v>493017.90487224236</v>
      </c>
      <c r="AA288" s="562">
        <f t="shared" si="720"/>
        <v>500759.75031408761</v>
      </c>
      <c r="AB288" s="562">
        <f t="shared" si="720"/>
        <v>508505.44613405102</v>
      </c>
      <c r="AC288" s="562">
        <f t="shared" si="720"/>
        <v>516247.64665636118</v>
      </c>
      <c r="AD288" s="562">
        <f t="shared" si="720"/>
        <v>523990.06452830543</v>
      </c>
      <c r="AE288" s="562">
        <f t="shared" si="720"/>
        <v>531736.41773450305</v>
      </c>
      <c r="AF288" s="562">
        <f t="shared" si="720"/>
        <v>539479.37141869077</v>
      </c>
      <c r="AG288" s="562">
        <f t="shared" si="720"/>
        <v>547222.64973636321</v>
      </c>
      <c r="AH288" s="729">
        <f t="shared" si="720"/>
        <v>554969.98448030138</v>
      </c>
      <c r="AI288" s="18"/>
      <c r="AJ288" s="18"/>
      <c r="AK288" s="18"/>
      <c r="AL288" s="18"/>
      <c r="AM288" s="18"/>
      <c r="AN288" s="18"/>
    </row>
    <row r="289" spans="2:40" ht="21.9" customHeight="1" x14ac:dyDescent="0.25">
      <c r="B289" s="229"/>
      <c r="C289" s="690"/>
      <c r="D289" s="690"/>
      <c r="E289" s="114" t="s">
        <v>320</v>
      </c>
      <c r="F289" s="114" t="s">
        <v>318</v>
      </c>
      <c r="G289" s="114" t="s">
        <v>308</v>
      </c>
      <c r="H289" s="114" t="s">
        <v>20</v>
      </c>
      <c r="I289" s="552">
        <f t="shared" ref="I289:AH289" si="721">I254*$E$20</f>
        <v>79.421296296296291</v>
      </c>
      <c r="J289" s="552">
        <f t="shared" si="721"/>
        <v>601.93400462962961</v>
      </c>
      <c r="K289" s="552">
        <f t="shared" si="721"/>
        <v>3487.3096991817847</v>
      </c>
      <c r="L289" s="552">
        <f t="shared" si="721"/>
        <v>8032.115000637461</v>
      </c>
      <c r="M289" s="552">
        <f t="shared" si="721"/>
        <v>12579.922351064115</v>
      </c>
      <c r="N289" s="552">
        <f t="shared" si="721"/>
        <v>17131.99973280988</v>
      </c>
      <c r="O289" s="552">
        <f t="shared" si="721"/>
        <v>21730.009052651545</v>
      </c>
      <c r="P289" s="552">
        <f t="shared" si="721"/>
        <v>26691.524285535783</v>
      </c>
      <c r="Q289" s="552">
        <f t="shared" si="721"/>
        <v>30080.708132013267</v>
      </c>
      <c r="R289" s="552">
        <f t="shared" si="721"/>
        <v>34655.175070891644</v>
      </c>
      <c r="S289" s="552">
        <f t="shared" si="721"/>
        <v>41757.406181505314</v>
      </c>
      <c r="T289" s="552">
        <f t="shared" si="721"/>
        <v>53946.403899204255</v>
      </c>
      <c r="U289" s="552">
        <f t="shared" si="721"/>
        <v>75948.00391155429</v>
      </c>
      <c r="V289" s="552">
        <f t="shared" si="721"/>
        <v>83352.042456208117</v>
      </c>
      <c r="W289" s="552">
        <f t="shared" si="721"/>
        <v>84443.705243924705</v>
      </c>
      <c r="X289" s="552">
        <f t="shared" si="721"/>
        <v>85535.324982010919</v>
      </c>
      <c r="Y289" s="552">
        <f t="shared" si="721"/>
        <v>86626.960097161646</v>
      </c>
      <c r="Z289" s="552">
        <f t="shared" si="721"/>
        <v>87722.926131067055</v>
      </c>
      <c r="AA289" s="552">
        <f t="shared" si="721"/>
        <v>88814.598479895329</v>
      </c>
      <c r="AB289" s="552">
        <f t="shared" si="721"/>
        <v>89910.605607528531</v>
      </c>
      <c r="AC289" s="552">
        <f t="shared" si="721"/>
        <v>91002.324070452276</v>
      </c>
      <c r="AD289" s="552">
        <f t="shared" si="721"/>
        <v>92094.06884625183</v>
      </c>
      <c r="AE289" s="552">
        <f t="shared" si="721"/>
        <v>93190.157445478209</v>
      </c>
      <c r="AF289" s="552">
        <f t="shared" si="721"/>
        <v>94281.967020141834</v>
      </c>
      <c r="AG289" s="552">
        <f t="shared" si="721"/>
        <v>95373.812862242805</v>
      </c>
      <c r="AH289" s="727">
        <f t="shared" si="721"/>
        <v>96470.013852338379</v>
      </c>
      <c r="AI289" s="18"/>
      <c r="AJ289" s="18"/>
      <c r="AK289" s="18"/>
      <c r="AL289" s="18"/>
      <c r="AM289" s="18"/>
      <c r="AN289" s="18"/>
    </row>
    <row r="290" spans="2:40" ht="21.9" customHeight="1" x14ac:dyDescent="0.25">
      <c r="B290" s="229"/>
      <c r="C290" s="690"/>
      <c r="D290" s="690"/>
      <c r="E290" s="114"/>
      <c r="F290" s="114"/>
      <c r="G290" s="114"/>
      <c r="H290" s="122" t="s">
        <v>19</v>
      </c>
      <c r="I290" s="552">
        <f t="shared" ref="I290:AH290" si="722">I254*$E$21</f>
        <v>317.68518518518516</v>
      </c>
      <c r="J290" s="552">
        <f t="shared" si="722"/>
        <v>2407.7360185185184</v>
      </c>
      <c r="K290" s="552">
        <f t="shared" si="722"/>
        <v>13949.238796727139</v>
      </c>
      <c r="L290" s="552">
        <f t="shared" si="722"/>
        <v>32128.460002549844</v>
      </c>
      <c r="M290" s="552">
        <f t="shared" si="722"/>
        <v>50319.68940425646</v>
      </c>
      <c r="N290" s="552">
        <f t="shared" si="722"/>
        <v>68527.998931239519</v>
      </c>
      <c r="O290" s="552">
        <f t="shared" si="722"/>
        <v>86920.03621060618</v>
      </c>
      <c r="P290" s="552">
        <f t="shared" si="722"/>
        <v>106766.09714214313</v>
      </c>
      <c r="Q290" s="552">
        <f t="shared" si="722"/>
        <v>120322.83252805307</v>
      </c>
      <c r="R290" s="552">
        <f t="shared" si="722"/>
        <v>138620.70028356658</v>
      </c>
      <c r="S290" s="552">
        <f t="shared" si="722"/>
        <v>167029.62472602125</v>
      </c>
      <c r="T290" s="552">
        <f t="shared" si="722"/>
        <v>215785.61559681702</v>
      </c>
      <c r="U290" s="552">
        <f t="shared" si="722"/>
        <v>303792.01564621716</v>
      </c>
      <c r="V290" s="552">
        <f t="shared" si="722"/>
        <v>333408.16982483247</v>
      </c>
      <c r="W290" s="552">
        <f t="shared" si="722"/>
        <v>337774.82097569882</v>
      </c>
      <c r="X290" s="552">
        <f t="shared" si="722"/>
        <v>342141.29992804368</v>
      </c>
      <c r="Y290" s="552">
        <f t="shared" si="722"/>
        <v>346507.84038864658</v>
      </c>
      <c r="Z290" s="552">
        <f t="shared" si="722"/>
        <v>350891.70452426822</v>
      </c>
      <c r="AA290" s="552">
        <f t="shared" si="722"/>
        <v>355258.39391958131</v>
      </c>
      <c r="AB290" s="552">
        <f t="shared" si="722"/>
        <v>359642.42243011412</v>
      </c>
      <c r="AC290" s="552">
        <f t="shared" si="722"/>
        <v>364009.2962818091</v>
      </c>
      <c r="AD290" s="552">
        <f t="shared" si="722"/>
        <v>368376.27538500732</v>
      </c>
      <c r="AE290" s="552">
        <f t="shared" si="722"/>
        <v>372760.62978191284</v>
      </c>
      <c r="AF290" s="552">
        <f t="shared" si="722"/>
        <v>377127.86808056734</v>
      </c>
      <c r="AG290" s="552">
        <f t="shared" si="722"/>
        <v>381495.25144897122</v>
      </c>
      <c r="AH290" s="727">
        <f t="shared" si="722"/>
        <v>385880.05540935352</v>
      </c>
      <c r="AI290" s="18"/>
      <c r="AJ290" s="18"/>
      <c r="AK290" s="18"/>
      <c r="AL290" s="18"/>
      <c r="AM290" s="18"/>
      <c r="AN290" s="18"/>
    </row>
    <row r="291" spans="2:40" ht="21.9" customHeight="1" x14ac:dyDescent="0.25">
      <c r="B291" s="229"/>
      <c r="C291" s="690"/>
      <c r="D291" s="690"/>
      <c r="E291" s="114"/>
      <c r="F291" s="114"/>
      <c r="G291" s="114"/>
      <c r="H291" s="696" t="s">
        <v>25</v>
      </c>
      <c r="I291" s="552">
        <f t="shared" ref="I291:AH291" si="723">SUM(I289:I290)</f>
        <v>397.10648148148147</v>
      </c>
      <c r="J291" s="552">
        <f t="shared" si="723"/>
        <v>3009.6700231481482</v>
      </c>
      <c r="K291" s="552">
        <f t="shared" si="723"/>
        <v>17436.548495908923</v>
      </c>
      <c r="L291" s="552">
        <f t="shared" si="723"/>
        <v>40160.575003187303</v>
      </c>
      <c r="M291" s="552">
        <f t="shared" si="723"/>
        <v>62899.611755320577</v>
      </c>
      <c r="N291" s="552">
        <f t="shared" si="723"/>
        <v>85659.998664049403</v>
      </c>
      <c r="O291" s="552">
        <f t="shared" si="723"/>
        <v>108650.04526325772</v>
      </c>
      <c r="P291" s="552">
        <f t="shared" si="723"/>
        <v>133457.62142767891</v>
      </c>
      <c r="Q291" s="552">
        <f t="shared" si="723"/>
        <v>150403.54066006633</v>
      </c>
      <c r="R291" s="552">
        <f t="shared" si="723"/>
        <v>173275.87535445823</v>
      </c>
      <c r="S291" s="552">
        <f t="shared" si="723"/>
        <v>208787.03090752655</v>
      </c>
      <c r="T291" s="552">
        <f t="shared" si="723"/>
        <v>269732.01949602127</v>
      </c>
      <c r="U291" s="552">
        <f t="shared" si="723"/>
        <v>379740.01955777145</v>
      </c>
      <c r="V291" s="552">
        <f t="shared" si="723"/>
        <v>416760.21228104061</v>
      </c>
      <c r="W291" s="552">
        <f t="shared" si="723"/>
        <v>422218.52621962351</v>
      </c>
      <c r="X291" s="552">
        <f t="shared" si="723"/>
        <v>427676.62491005461</v>
      </c>
      <c r="Y291" s="552">
        <f t="shared" si="723"/>
        <v>433134.80048580823</v>
      </c>
      <c r="Z291" s="552">
        <f t="shared" si="723"/>
        <v>438614.63065533526</v>
      </c>
      <c r="AA291" s="552">
        <f t="shared" si="723"/>
        <v>444072.99239947664</v>
      </c>
      <c r="AB291" s="552">
        <f t="shared" si="723"/>
        <v>449553.02803764265</v>
      </c>
      <c r="AC291" s="552">
        <f t="shared" si="723"/>
        <v>455011.62035226135</v>
      </c>
      <c r="AD291" s="552">
        <f t="shared" si="723"/>
        <v>460470.34423125914</v>
      </c>
      <c r="AE291" s="552">
        <f t="shared" si="723"/>
        <v>465950.78722739103</v>
      </c>
      <c r="AF291" s="552">
        <f t="shared" si="723"/>
        <v>471409.83510070917</v>
      </c>
      <c r="AG291" s="552">
        <f t="shared" si="723"/>
        <v>476869.06431121402</v>
      </c>
      <c r="AH291" s="727">
        <f t="shared" si="723"/>
        <v>482350.06926169188</v>
      </c>
      <c r="AI291" s="18"/>
      <c r="AJ291" s="18"/>
      <c r="AK291" s="18"/>
      <c r="AL291" s="18"/>
      <c r="AM291" s="18"/>
      <c r="AN291" s="18"/>
    </row>
    <row r="292" spans="2:40" ht="21.9" customHeight="1" x14ac:dyDescent="0.25">
      <c r="B292" s="229"/>
      <c r="C292" s="690"/>
      <c r="D292" s="690"/>
      <c r="E292" s="1325" t="s">
        <v>308</v>
      </c>
      <c r="F292" s="217" t="s">
        <v>276</v>
      </c>
      <c r="G292" s="217" t="s">
        <v>320</v>
      </c>
      <c r="H292" s="114" t="s">
        <v>20</v>
      </c>
      <c r="I292" s="558">
        <f t="shared" ref="I292:AH292" si="724">I255*$F$20</f>
        <v>239.78102189781021</v>
      </c>
      <c r="J292" s="558">
        <f t="shared" si="724"/>
        <v>532.91332116788317</v>
      </c>
      <c r="K292" s="558">
        <f t="shared" si="724"/>
        <v>2252.3830291970803</v>
      </c>
      <c r="L292" s="558">
        <f t="shared" si="724"/>
        <v>5063.2160583943869</v>
      </c>
      <c r="M292" s="558">
        <f t="shared" si="724"/>
        <v>7875.6076642626722</v>
      </c>
      <c r="N292" s="558">
        <f t="shared" si="724"/>
        <v>10688.119161420667</v>
      </c>
      <c r="O292" s="558">
        <f t="shared" si="724"/>
        <v>13498.952200694708</v>
      </c>
      <c r="P292" s="558">
        <f t="shared" si="724"/>
        <v>16313.02235038298</v>
      </c>
      <c r="Q292" s="558">
        <f t="shared" si="724"/>
        <v>18483.040857031498</v>
      </c>
      <c r="R292" s="558">
        <f t="shared" si="724"/>
        <v>20653.419604429204</v>
      </c>
      <c r="S292" s="558">
        <f t="shared" si="724"/>
        <v>22823.440201438778</v>
      </c>
      <c r="T292" s="558">
        <f t="shared" si="724"/>
        <v>24993.464493707896</v>
      </c>
      <c r="U292" s="558">
        <f t="shared" si="724"/>
        <v>27166.374481564795</v>
      </c>
      <c r="V292" s="558">
        <f t="shared" si="724"/>
        <v>28243.363714320989</v>
      </c>
      <c r="W292" s="558">
        <f t="shared" si="724"/>
        <v>28536.50042884819</v>
      </c>
      <c r="X292" s="558">
        <f t="shared" si="724"/>
        <v>28829.637620860078</v>
      </c>
      <c r="Y292" s="558">
        <f t="shared" si="724"/>
        <v>29122.775336487022</v>
      </c>
      <c r="Z292" s="558">
        <f t="shared" si="724"/>
        <v>29416.752877233062</v>
      </c>
      <c r="AA292" s="558">
        <f t="shared" si="724"/>
        <v>29709.891795866664</v>
      </c>
      <c r="AB292" s="558">
        <f t="shared" si="724"/>
        <v>30003.870656396291</v>
      </c>
      <c r="AC292" s="558">
        <f t="shared" si="724"/>
        <v>30297.011013390766</v>
      </c>
      <c r="AD292" s="558">
        <f t="shared" si="724"/>
        <v>30590.152188902721</v>
      </c>
      <c r="AE292" s="558">
        <f t="shared" si="724"/>
        <v>30884.133519920171</v>
      </c>
      <c r="AF292" s="558">
        <f t="shared" si="724"/>
        <v>31177.276563535692</v>
      </c>
      <c r="AG292" s="558">
        <f t="shared" si="724"/>
        <v>31470.420666298858</v>
      </c>
      <c r="AH292" s="728">
        <f t="shared" si="724"/>
        <v>31764.405193685307</v>
      </c>
      <c r="AI292" s="18"/>
      <c r="AJ292" s="18"/>
      <c r="AK292" s="18"/>
      <c r="AL292" s="18"/>
      <c r="AM292" s="18"/>
      <c r="AN292" s="18"/>
    </row>
    <row r="293" spans="2:40" ht="21.9" customHeight="1" x14ac:dyDescent="0.25">
      <c r="B293" s="229"/>
      <c r="C293" s="690"/>
      <c r="D293" s="690"/>
      <c r="E293" s="1325"/>
      <c r="F293" s="114"/>
      <c r="G293" s="114"/>
      <c r="H293" s="122" t="s">
        <v>19</v>
      </c>
      <c r="I293" s="552">
        <f t="shared" ref="I293:AH293" si="725">I255*$F$21</f>
        <v>959.12408759124082</v>
      </c>
      <c r="J293" s="552">
        <f t="shared" si="725"/>
        <v>2131.6532846715327</v>
      </c>
      <c r="K293" s="552">
        <f t="shared" si="725"/>
        <v>9009.5321167883212</v>
      </c>
      <c r="L293" s="552">
        <f t="shared" si="725"/>
        <v>20252.864233577548</v>
      </c>
      <c r="M293" s="552">
        <f t="shared" si="725"/>
        <v>31502.430657050689</v>
      </c>
      <c r="N293" s="552">
        <f t="shared" si="725"/>
        <v>42752.476645682669</v>
      </c>
      <c r="O293" s="552">
        <f t="shared" si="725"/>
        <v>53995.808802778833</v>
      </c>
      <c r="P293" s="552">
        <f t="shared" si="725"/>
        <v>65252.089401531921</v>
      </c>
      <c r="Q293" s="552">
        <f t="shared" si="725"/>
        <v>73932.16342812599</v>
      </c>
      <c r="R293" s="552">
        <f t="shared" si="725"/>
        <v>82613.678417716816</v>
      </c>
      <c r="S293" s="552">
        <f t="shared" si="725"/>
        <v>91293.760805755112</v>
      </c>
      <c r="T293" s="552">
        <f t="shared" si="725"/>
        <v>99973.857974831582</v>
      </c>
      <c r="U293" s="552">
        <f t="shared" si="725"/>
        <v>108665.49792625918</v>
      </c>
      <c r="V293" s="552">
        <f t="shared" si="725"/>
        <v>112973.45485728396</v>
      </c>
      <c r="W293" s="552">
        <f t="shared" si="725"/>
        <v>114146.00171539276</v>
      </c>
      <c r="X293" s="552">
        <f t="shared" si="725"/>
        <v>115318.55048344031</v>
      </c>
      <c r="Y293" s="552">
        <f t="shared" si="725"/>
        <v>116491.10134594809</v>
      </c>
      <c r="Z293" s="552">
        <f t="shared" si="725"/>
        <v>117667.01150893225</v>
      </c>
      <c r="AA293" s="552">
        <f t="shared" si="725"/>
        <v>118839.56718346666</v>
      </c>
      <c r="AB293" s="552">
        <f t="shared" si="725"/>
        <v>120015.48262558517</v>
      </c>
      <c r="AC293" s="552">
        <f t="shared" si="725"/>
        <v>121188.04405356306</v>
      </c>
      <c r="AD293" s="552">
        <f t="shared" si="725"/>
        <v>122360.60875561088</v>
      </c>
      <c r="AE293" s="552">
        <f t="shared" si="725"/>
        <v>123536.53407968068</v>
      </c>
      <c r="AF293" s="552">
        <f t="shared" si="725"/>
        <v>124709.10625414277</v>
      </c>
      <c r="AG293" s="552">
        <f t="shared" si="725"/>
        <v>125881.68266519543</v>
      </c>
      <c r="AH293" s="727">
        <f t="shared" si="725"/>
        <v>127057.62077474123</v>
      </c>
      <c r="AI293" s="18"/>
      <c r="AJ293" s="18"/>
      <c r="AK293" s="18"/>
      <c r="AL293" s="18"/>
      <c r="AM293" s="18"/>
      <c r="AN293" s="18"/>
    </row>
    <row r="294" spans="2:40" ht="21.9" customHeight="1" x14ac:dyDescent="0.25">
      <c r="B294" s="229"/>
      <c r="C294" s="690"/>
      <c r="D294" s="690"/>
      <c r="E294" s="1325"/>
      <c r="F294" s="114"/>
      <c r="G294" s="114"/>
      <c r="H294" s="695" t="s">
        <v>25</v>
      </c>
      <c r="I294" s="552">
        <f t="shared" ref="I294:AH294" si="726">SUM(I292:I293)</f>
        <v>1198.905109489051</v>
      </c>
      <c r="J294" s="552">
        <f t="shared" si="726"/>
        <v>2664.5666058394158</v>
      </c>
      <c r="K294" s="552">
        <f t="shared" si="726"/>
        <v>11261.915145985402</v>
      </c>
      <c r="L294" s="552">
        <f t="shared" si="726"/>
        <v>25316.080291971935</v>
      </c>
      <c r="M294" s="552">
        <f t="shared" si="726"/>
        <v>39378.038321313361</v>
      </c>
      <c r="N294" s="552">
        <f t="shared" si="726"/>
        <v>53440.595807103338</v>
      </c>
      <c r="O294" s="552">
        <f t="shared" si="726"/>
        <v>67494.761003473541</v>
      </c>
      <c r="P294" s="552">
        <f t="shared" si="726"/>
        <v>81565.111751914897</v>
      </c>
      <c r="Q294" s="552">
        <f t="shared" si="726"/>
        <v>92415.204285157495</v>
      </c>
      <c r="R294" s="552">
        <f t="shared" si="726"/>
        <v>103267.09802214602</v>
      </c>
      <c r="S294" s="552">
        <f t="shared" si="726"/>
        <v>114117.20100719389</v>
      </c>
      <c r="T294" s="552">
        <f t="shared" si="726"/>
        <v>124967.32246853948</v>
      </c>
      <c r="U294" s="552">
        <f t="shared" si="726"/>
        <v>135831.87240782398</v>
      </c>
      <c r="V294" s="552">
        <f t="shared" si="726"/>
        <v>141216.81857160493</v>
      </c>
      <c r="W294" s="552">
        <f t="shared" si="726"/>
        <v>142682.50214424095</v>
      </c>
      <c r="X294" s="552">
        <f t="shared" si="726"/>
        <v>144148.18810430038</v>
      </c>
      <c r="Y294" s="552">
        <f t="shared" si="726"/>
        <v>145613.8766824351</v>
      </c>
      <c r="Z294" s="552">
        <f t="shared" si="726"/>
        <v>147083.76438616531</v>
      </c>
      <c r="AA294" s="552">
        <f t="shared" si="726"/>
        <v>148549.45897933331</v>
      </c>
      <c r="AB294" s="552">
        <f t="shared" si="726"/>
        <v>150019.35328198146</v>
      </c>
      <c r="AC294" s="552">
        <f t="shared" si="726"/>
        <v>151485.05506695382</v>
      </c>
      <c r="AD294" s="552">
        <f t="shared" si="726"/>
        <v>152950.7609445136</v>
      </c>
      <c r="AE294" s="552">
        <f t="shared" si="726"/>
        <v>154420.66759960086</v>
      </c>
      <c r="AF294" s="552">
        <f t="shared" si="726"/>
        <v>155886.38281767844</v>
      </c>
      <c r="AG294" s="552">
        <f t="shared" si="726"/>
        <v>157352.10333149429</v>
      </c>
      <c r="AH294" s="727">
        <f t="shared" si="726"/>
        <v>158822.02596842655</v>
      </c>
      <c r="AI294" s="18"/>
      <c r="AJ294" s="18"/>
      <c r="AK294" s="18"/>
      <c r="AL294" s="18"/>
      <c r="AM294" s="18"/>
      <c r="AN294" s="18"/>
    </row>
    <row r="295" spans="2:40" ht="21.9" customHeight="1" x14ac:dyDescent="0.25">
      <c r="B295" s="229"/>
      <c r="C295" s="690"/>
      <c r="D295" s="690"/>
      <c r="E295" s="1325"/>
      <c r="F295" s="114" t="s">
        <v>320</v>
      </c>
      <c r="G295" s="114" t="s">
        <v>282</v>
      </c>
      <c r="H295" s="114" t="s">
        <v>20</v>
      </c>
      <c r="I295" s="552">
        <f t="shared" ref="I295:AH295" si="727">I256*$F$20</f>
        <v>0</v>
      </c>
      <c r="J295" s="552">
        <f t="shared" si="727"/>
        <v>163.12214111922145</v>
      </c>
      <c r="K295" s="552">
        <f t="shared" si="727"/>
        <v>467.16092457420928</v>
      </c>
      <c r="L295" s="552">
        <f t="shared" si="727"/>
        <v>1050.148515815132</v>
      </c>
      <c r="M295" s="552">
        <f t="shared" si="727"/>
        <v>1633.4593674026282</v>
      </c>
      <c r="N295" s="552">
        <f t="shared" si="727"/>
        <v>2216.7950853316938</v>
      </c>
      <c r="O295" s="552">
        <f t="shared" si="727"/>
        <v>2799.7826786626065</v>
      </c>
      <c r="P295" s="552">
        <f t="shared" si="727"/>
        <v>3383.441672672026</v>
      </c>
      <c r="Q295" s="552">
        <f t="shared" si="727"/>
        <v>3833.5195851620883</v>
      </c>
      <c r="R295" s="552">
        <f t="shared" si="727"/>
        <v>4283.672214251982</v>
      </c>
      <c r="S295" s="552">
        <f t="shared" si="727"/>
        <v>4733.7505602984129</v>
      </c>
      <c r="T295" s="552">
        <f t="shared" si="727"/>
        <v>5183.8296727690458</v>
      </c>
      <c r="U295" s="552">
        <f t="shared" si="727"/>
        <v>5634.5072998801061</v>
      </c>
      <c r="V295" s="552">
        <f t="shared" si="727"/>
        <v>5857.8828444517603</v>
      </c>
      <c r="W295" s="552">
        <f t="shared" si="727"/>
        <v>5918.6815704277733</v>
      </c>
      <c r="X295" s="552">
        <f t="shared" si="727"/>
        <v>5979.4803954376448</v>
      </c>
      <c r="Y295" s="552">
        <f t="shared" si="727"/>
        <v>6040.2793290491609</v>
      </c>
      <c r="Z295" s="552">
        <f t="shared" si="727"/>
        <v>6101.2524486113025</v>
      </c>
      <c r="AA295" s="552">
        <f t="shared" si="727"/>
        <v>6162.0516317353076</v>
      </c>
      <c r="AB295" s="552">
        <f t="shared" si="727"/>
        <v>6223.0250250303425</v>
      </c>
      <c r="AC295" s="552">
        <f t="shared" si="727"/>
        <v>6283.824506481048</v>
      </c>
      <c r="AD295" s="552">
        <f t="shared" si="727"/>
        <v>6344.6241576983412</v>
      </c>
      <c r="AE295" s="552">
        <f t="shared" si="727"/>
        <v>6405.5980633908512</v>
      </c>
      <c r="AF295" s="552">
        <f t="shared" si="727"/>
        <v>6466.3981020666615</v>
      </c>
      <c r="AG295" s="552">
        <f t="shared" si="727"/>
        <v>6527.1983604175402</v>
      </c>
      <c r="AH295" s="727">
        <f t="shared" si="727"/>
        <v>6588.1729290606563</v>
      </c>
      <c r="AI295" s="18"/>
      <c r="AJ295" s="18"/>
      <c r="AK295" s="18"/>
      <c r="AL295" s="18"/>
      <c r="AM295" s="18"/>
      <c r="AN295" s="18"/>
    </row>
    <row r="296" spans="2:40" ht="21.9" customHeight="1" x14ac:dyDescent="0.25">
      <c r="B296" s="229"/>
      <c r="C296" s="690"/>
      <c r="D296" s="690"/>
      <c r="E296" s="1325"/>
      <c r="F296" s="114"/>
      <c r="G296" s="114"/>
      <c r="H296" s="122" t="s">
        <v>19</v>
      </c>
      <c r="I296" s="552">
        <f t="shared" ref="I296:AH296" si="728">I256*$F$21</f>
        <v>0</v>
      </c>
      <c r="J296" s="552">
        <f t="shared" si="728"/>
        <v>652.48856447688581</v>
      </c>
      <c r="K296" s="552">
        <f t="shared" si="728"/>
        <v>1868.6436982968371</v>
      </c>
      <c r="L296" s="552">
        <f t="shared" si="728"/>
        <v>4200.5940632605279</v>
      </c>
      <c r="M296" s="552">
        <f t="shared" si="728"/>
        <v>6533.8374696105129</v>
      </c>
      <c r="N296" s="552">
        <f t="shared" si="728"/>
        <v>8867.1803413267753</v>
      </c>
      <c r="O296" s="552">
        <f t="shared" si="728"/>
        <v>11199.130714650426</v>
      </c>
      <c r="P296" s="552">
        <f t="shared" si="728"/>
        <v>13533.766690688104</v>
      </c>
      <c r="Q296" s="552">
        <f t="shared" si="728"/>
        <v>15334.078340648353</v>
      </c>
      <c r="R296" s="552">
        <f t="shared" si="728"/>
        <v>17134.688857007928</v>
      </c>
      <c r="S296" s="552">
        <f t="shared" si="728"/>
        <v>18935.002241193652</v>
      </c>
      <c r="T296" s="552">
        <f t="shared" si="728"/>
        <v>20735.318691076183</v>
      </c>
      <c r="U296" s="552">
        <f t="shared" si="728"/>
        <v>22538.029199520424</v>
      </c>
      <c r="V296" s="552">
        <f t="shared" si="728"/>
        <v>23431.531377807041</v>
      </c>
      <c r="W296" s="552">
        <f t="shared" si="728"/>
        <v>23674.726281711093</v>
      </c>
      <c r="X296" s="552">
        <f t="shared" si="728"/>
        <v>23917.921581750579</v>
      </c>
      <c r="Y296" s="552">
        <f t="shared" si="728"/>
        <v>24161.117316196644</v>
      </c>
      <c r="Z296" s="552">
        <f t="shared" si="728"/>
        <v>24405.00979444521</v>
      </c>
      <c r="AA296" s="552">
        <f t="shared" si="728"/>
        <v>24648.206526941231</v>
      </c>
      <c r="AB296" s="552">
        <f t="shared" si="728"/>
        <v>24892.10010012137</v>
      </c>
      <c r="AC296" s="552">
        <f t="shared" si="728"/>
        <v>25135.298025924192</v>
      </c>
      <c r="AD296" s="552">
        <f t="shared" si="728"/>
        <v>25378.496630793365</v>
      </c>
      <c r="AE296" s="552">
        <f t="shared" si="728"/>
        <v>25622.392253563405</v>
      </c>
      <c r="AF296" s="552">
        <f t="shared" si="728"/>
        <v>25865.592408266646</v>
      </c>
      <c r="AG296" s="552">
        <f t="shared" si="728"/>
        <v>26108.793441670161</v>
      </c>
      <c r="AH296" s="727">
        <f t="shared" si="728"/>
        <v>26352.691716242625</v>
      </c>
      <c r="AI296" s="18"/>
      <c r="AJ296" s="18"/>
      <c r="AK296" s="18"/>
      <c r="AL296" s="18"/>
      <c r="AM296" s="18"/>
      <c r="AN296" s="18"/>
    </row>
    <row r="297" spans="2:40" ht="21.9" customHeight="1" x14ac:dyDescent="0.25">
      <c r="B297" s="229"/>
      <c r="C297" s="690"/>
      <c r="D297" s="690"/>
      <c r="E297" s="1325"/>
      <c r="F297" s="114"/>
      <c r="G297" s="114"/>
      <c r="H297" s="695" t="s">
        <v>25</v>
      </c>
      <c r="I297" s="552">
        <f t="shared" ref="I297:AH297" si="729">SUM(I295:I296)</f>
        <v>0</v>
      </c>
      <c r="J297" s="552">
        <f t="shared" si="729"/>
        <v>815.61070559610721</v>
      </c>
      <c r="K297" s="552">
        <f t="shared" si="729"/>
        <v>2335.8046228710464</v>
      </c>
      <c r="L297" s="552">
        <f t="shared" si="729"/>
        <v>5250.7425790756597</v>
      </c>
      <c r="M297" s="552">
        <f t="shared" si="729"/>
        <v>8167.2968370131412</v>
      </c>
      <c r="N297" s="552">
        <f t="shared" si="729"/>
        <v>11083.97542665847</v>
      </c>
      <c r="O297" s="552">
        <f t="shared" si="729"/>
        <v>13998.913393313032</v>
      </c>
      <c r="P297" s="552">
        <f t="shared" si="729"/>
        <v>16917.208363360129</v>
      </c>
      <c r="Q297" s="552">
        <f t="shared" si="729"/>
        <v>19167.597925810442</v>
      </c>
      <c r="R297" s="552">
        <f t="shared" si="729"/>
        <v>21418.361071259911</v>
      </c>
      <c r="S297" s="552">
        <f t="shared" si="729"/>
        <v>23668.752801492064</v>
      </c>
      <c r="T297" s="552">
        <f t="shared" si="729"/>
        <v>25919.14836384523</v>
      </c>
      <c r="U297" s="552">
        <f t="shared" si="729"/>
        <v>28172.536499400529</v>
      </c>
      <c r="V297" s="552">
        <f t="shared" si="729"/>
        <v>29289.414222258802</v>
      </c>
      <c r="W297" s="552">
        <f t="shared" si="729"/>
        <v>29593.407852138866</v>
      </c>
      <c r="X297" s="552">
        <f t="shared" si="729"/>
        <v>29897.401977188223</v>
      </c>
      <c r="Y297" s="552">
        <f t="shared" si="729"/>
        <v>30201.396645245804</v>
      </c>
      <c r="Z297" s="552">
        <f t="shared" si="729"/>
        <v>30506.262243056513</v>
      </c>
      <c r="AA297" s="552">
        <f t="shared" si="729"/>
        <v>30810.258158676537</v>
      </c>
      <c r="AB297" s="552">
        <f t="shared" si="729"/>
        <v>31115.125125151713</v>
      </c>
      <c r="AC297" s="552">
        <f t="shared" si="729"/>
        <v>31419.122532405239</v>
      </c>
      <c r="AD297" s="552">
        <f t="shared" si="729"/>
        <v>31723.120788491706</v>
      </c>
      <c r="AE297" s="552">
        <f t="shared" si="729"/>
        <v>32027.990316954256</v>
      </c>
      <c r="AF297" s="552">
        <f t="shared" si="729"/>
        <v>32331.990510333308</v>
      </c>
      <c r="AG297" s="552">
        <f t="shared" si="729"/>
        <v>32635.991802087701</v>
      </c>
      <c r="AH297" s="727">
        <f t="shared" si="729"/>
        <v>32940.864645303285</v>
      </c>
      <c r="AI297" s="18"/>
      <c r="AJ297" s="18"/>
      <c r="AK297" s="18"/>
      <c r="AL297" s="18"/>
      <c r="AM297" s="18"/>
      <c r="AN297" s="18"/>
    </row>
    <row r="298" spans="2:40" ht="21.9" customHeight="1" x14ac:dyDescent="0.25">
      <c r="B298" s="229"/>
      <c r="C298" s="690"/>
      <c r="D298" s="690"/>
      <c r="E298" s="1325"/>
      <c r="F298" s="114" t="s">
        <v>282</v>
      </c>
      <c r="G298" s="114" t="s">
        <v>321</v>
      </c>
      <c r="H298" s="114" t="s">
        <v>20</v>
      </c>
      <c r="I298" s="552">
        <f t="shared" ref="I298:AH298" si="730">I257*$F$20</f>
        <v>0</v>
      </c>
      <c r="J298" s="552">
        <f t="shared" si="730"/>
        <v>425.28272506082726</v>
      </c>
      <c r="K298" s="552">
        <f t="shared" si="730"/>
        <v>1217.9552676399026</v>
      </c>
      <c r="L298" s="552">
        <f t="shared" si="730"/>
        <v>2737.8872019465939</v>
      </c>
      <c r="M298" s="552">
        <f t="shared" si="730"/>
        <v>4258.6619221568517</v>
      </c>
      <c r="N298" s="552">
        <f t="shared" si="730"/>
        <v>5779.5014724719149</v>
      </c>
      <c r="O298" s="552">
        <f t="shared" si="730"/>
        <v>7299.4334122275095</v>
      </c>
      <c r="P298" s="552">
        <f t="shared" si="730"/>
        <v>8821.1157894663538</v>
      </c>
      <c r="Q298" s="552">
        <f t="shared" si="730"/>
        <v>9994.5332041725869</v>
      </c>
      <c r="R298" s="552">
        <f t="shared" si="730"/>
        <v>11168.145415728382</v>
      </c>
      <c r="S298" s="552">
        <f t="shared" si="730"/>
        <v>12341.563960778003</v>
      </c>
      <c r="T298" s="552">
        <f t="shared" si="730"/>
        <v>13514.984504005006</v>
      </c>
      <c r="U298" s="552">
        <f t="shared" si="730"/>
        <v>14689.965460401701</v>
      </c>
      <c r="V298" s="552">
        <f t="shared" si="730"/>
        <v>15272.337415892087</v>
      </c>
      <c r="W298" s="552">
        <f t="shared" si="730"/>
        <v>15430.848380043835</v>
      </c>
      <c r="X298" s="552">
        <f t="shared" si="730"/>
        <v>15589.359602391005</v>
      </c>
      <c r="Y298" s="552">
        <f t="shared" si="730"/>
        <v>15747.871107878167</v>
      </c>
      <c r="Z298" s="552">
        <f t="shared" si="730"/>
        <v>15906.836741022324</v>
      </c>
      <c r="AA298" s="552">
        <f t="shared" si="730"/>
        <v>16065.348897024196</v>
      </c>
      <c r="AB298" s="552">
        <f t="shared" si="730"/>
        <v>16224.315243829104</v>
      </c>
      <c r="AC298" s="552">
        <f t="shared" si="730"/>
        <v>16382.828177611304</v>
      </c>
      <c r="AD298" s="552">
        <f t="shared" si="730"/>
        <v>16541.341553999246</v>
      </c>
      <c r="AE298" s="552">
        <f t="shared" si="730"/>
        <v>16700.309236697572</v>
      </c>
      <c r="AF298" s="552">
        <f t="shared" si="730"/>
        <v>16858.823623245222</v>
      </c>
      <c r="AG298" s="552">
        <f t="shared" si="730"/>
        <v>17017.338582517161</v>
      </c>
      <c r="AH298" s="727">
        <f t="shared" si="730"/>
        <v>17176.307993622424</v>
      </c>
      <c r="AI298" s="18"/>
      <c r="AJ298" s="18"/>
      <c r="AK298" s="18"/>
      <c r="AL298" s="18"/>
      <c r="AM298" s="18"/>
      <c r="AN298" s="18"/>
    </row>
    <row r="299" spans="2:40" ht="21.9" customHeight="1" x14ac:dyDescent="0.25">
      <c r="B299" s="229"/>
      <c r="C299" s="690"/>
      <c r="D299" s="690"/>
      <c r="E299" s="1325"/>
      <c r="F299" s="114"/>
      <c r="G299" s="114"/>
      <c r="H299" s="122" t="s">
        <v>19</v>
      </c>
      <c r="I299" s="552">
        <f t="shared" ref="I299:AH299" si="731">I257*$F$21</f>
        <v>0</v>
      </c>
      <c r="J299" s="552">
        <f t="shared" si="731"/>
        <v>1701.130900243309</v>
      </c>
      <c r="K299" s="552">
        <f t="shared" si="731"/>
        <v>4871.8210705596102</v>
      </c>
      <c r="L299" s="552">
        <f t="shared" si="731"/>
        <v>10951.548807786376</v>
      </c>
      <c r="M299" s="552">
        <f t="shared" si="731"/>
        <v>17034.647688627407</v>
      </c>
      <c r="N299" s="552">
        <f t="shared" si="731"/>
        <v>23118.00588988766</v>
      </c>
      <c r="O299" s="552">
        <f t="shared" si="731"/>
        <v>29197.733648910038</v>
      </c>
      <c r="P299" s="552">
        <f t="shared" si="731"/>
        <v>35284.463157865415</v>
      </c>
      <c r="Q299" s="552">
        <f t="shared" si="731"/>
        <v>39978.132816690348</v>
      </c>
      <c r="R299" s="552">
        <f t="shared" si="731"/>
        <v>44672.58166291353</v>
      </c>
      <c r="S299" s="552">
        <f t="shared" si="731"/>
        <v>49366.255843112012</v>
      </c>
      <c r="T299" s="552">
        <f t="shared" si="731"/>
        <v>54059.938016020023</v>
      </c>
      <c r="U299" s="552">
        <f t="shared" si="731"/>
        <v>58759.861841606806</v>
      </c>
      <c r="V299" s="552">
        <f t="shared" si="731"/>
        <v>61089.349663568348</v>
      </c>
      <c r="W299" s="552">
        <f t="shared" si="731"/>
        <v>61723.393520175341</v>
      </c>
      <c r="X299" s="552">
        <f t="shared" si="731"/>
        <v>62357.43840956402</v>
      </c>
      <c r="Y299" s="552">
        <f t="shared" si="731"/>
        <v>62991.484431512668</v>
      </c>
      <c r="Z299" s="552">
        <f t="shared" si="731"/>
        <v>63627.346964089294</v>
      </c>
      <c r="AA299" s="552">
        <f t="shared" si="731"/>
        <v>64261.395588096784</v>
      </c>
      <c r="AB299" s="552">
        <f t="shared" si="731"/>
        <v>64897.260975316414</v>
      </c>
      <c r="AC299" s="552">
        <f t="shared" si="731"/>
        <v>65531.312710445214</v>
      </c>
      <c r="AD299" s="552">
        <f t="shared" si="731"/>
        <v>66165.366215996983</v>
      </c>
      <c r="AE299" s="552">
        <f t="shared" si="731"/>
        <v>66801.23694679029</v>
      </c>
      <c r="AF299" s="552">
        <f t="shared" si="731"/>
        <v>67435.294492980887</v>
      </c>
      <c r="AG299" s="552">
        <f t="shared" si="731"/>
        <v>68069.354330068643</v>
      </c>
      <c r="AH299" s="727">
        <f t="shared" si="731"/>
        <v>68705.231974489696</v>
      </c>
      <c r="AI299" s="18"/>
      <c r="AJ299" s="18"/>
      <c r="AK299" s="18"/>
      <c r="AL299" s="18"/>
      <c r="AM299" s="18"/>
      <c r="AN299" s="18"/>
    </row>
    <row r="300" spans="2:40" ht="21.9" customHeight="1" x14ac:dyDescent="0.25">
      <c r="B300" s="229"/>
      <c r="C300" s="690"/>
      <c r="D300" s="690"/>
      <c r="E300" s="1325"/>
      <c r="F300" s="114"/>
      <c r="G300" s="114"/>
      <c r="H300" s="695" t="s">
        <v>25</v>
      </c>
      <c r="I300" s="552">
        <f t="shared" ref="I300:AH300" si="732">SUM(I298:I299)</f>
        <v>0</v>
      </c>
      <c r="J300" s="552">
        <f t="shared" si="732"/>
        <v>2126.4136253041361</v>
      </c>
      <c r="K300" s="552">
        <f t="shared" si="732"/>
        <v>6089.7763381995128</v>
      </c>
      <c r="L300" s="552">
        <f t="shared" si="732"/>
        <v>13689.43600973297</v>
      </c>
      <c r="M300" s="552">
        <f t="shared" si="732"/>
        <v>21293.309610784258</v>
      </c>
      <c r="N300" s="552">
        <f t="shared" si="732"/>
        <v>28897.507362359574</v>
      </c>
      <c r="O300" s="552">
        <f t="shared" si="732"/>
        <v>36497.167061137545</v>
      </c>
      <c r="P300" s="552">
        <f t="shared" si="732"/>
        <v>44105.578947331771</v>
      </c>
      <c r="Q300" s="552">
        <f t="shared" si="732"/>
        <v>49972.666020862933</v>
      </c>
      <c r="R300" s="552">
        <f t="shared" si="732"/>
        <v>55840.72707864191</v>
      </c>
      <c r="S300" s="552">
        <f t="shared" si="732"/>
        <v>61707.819803890015</v>
      </c>
      <c r="T300" s="552">
        <f t="shared" si="732"/>
        <v>67574.922520025022</v>
      </c>
      <c r="U300" s="552">
        <f t="shared" si="732"/>
        <v>73449.827302008503</v>
      </c>
      <c r="V300" s="552">
        <f t="shared" si="732"/>
        <v>76361.687079460433</v>
      </c>
      <c r="W300" s="552">
        <f t="shared" si="732"/>
        <v>77154.241900219175</v>
      </c>
      <c r="X300" s="552">
        <f t="shared" si="732"/>
        <v>77946.798011955019</v>
      </c>
      <c r="Y300" s="552">
        <f t="shared" si="732"/>
        <v>78739.355539390832</v>
      </c>
      <c r="Z300" s="552">
        <f t="shared" si="732"/>
        <v>79534.183705111616</v>
      </c>
      <c r="AA300" s="552">
        <f t="shared" si="732"/>
        <v>80326.744485120988</v>
      </c>
      <c r="AB300" s="552">
        <f t="shared" si="732"/>
        <v>81121.576219145514</v>
      </c>
      <c r="AC300" s="552">
        <f t="shared" si="732"/>
        <v>81914.140888056514</v>
      </c>
      <c r="AD300" s="552">
        <f t="shared" si="732"/>
        <v>82706.707769996225</v>
      </c>
      <c r="AE300" s="552">
        <f t="shared" si="732"/>
        <v>83501.546183487866</v>
      </c>
      <c r="AF300" s="552">
        <f t="shared" si="732"/>
        <v>84294.118116226105</v>
      </c>
      <c r="AG300" s="552">
        <f t="shared" si="732"/>
        <v>85086.692912585801</v>
      </c>
      <c r="AH300" s="727">
        <f t="shared" si="732"/>
        <v>85881.53996811212</v>
      </c>
      <c r="AI300" s="18"/>
      <c r="AJ300" s="18"/>
      <c r="AK300" s="18"/>
      <c r="AL300" s="18"/>
      <c r="AM300" s="18"/>
      <c r="AN300" s="18"/>
    </row>
    <row r="301" spans="2:40" ht="21.9" customHeight="1" x14ac:dyDescent="0.25">
      <c r="B301" s="229"/>
      <c r="C301" s="690"/>
      <c r="D301" s="690"/>
      <c r="E301" s="1325"/>
      <c r="F301" s="114" t="s">
        <v>321</v>
      </c>
      <c r="G301" s="114" t="s">
        <v>274</v>
      </c>
      <c r="H301" s="114" t="s">
        <v>20</v>
      </c>
      <c r="I301" s="552">
        <f t="shared" ref="I301:AH301" si="733">I258*$F$20</f>
        <v>559.48905109489056</v>
      </c>
      <c r="J301" s="552">
        <f t="shared" si="733"/>
        <v>834.03032846715325</v>
      </c>
      <c r="K301" s="552">
        <f t="shared" si="733"/>
        <v>1174.2556204379562</v>
      </c>
      <c r="L301" s="552">
        <f t="shared" si="733"/>
        <v>2034.3394890510951</v>
      </c>
      <c r="M301" s="552">
        <f t="shared" si="733"/>
        <v>2894.5166058394216</v>
      </c>
      <c r="N301" s="552">
        <f t="shared" si="733"/>
        <v>3755.1226642336806</v>
      </c>
      <c r="O301" s="552">
        <f t="shared" si="733"/>
        <v>4615.2065328477202</v>
      </c>
      <c r="P301" s="552">
        <f t="shared" si="733"/>
        <v>5475.0106569408881</v>
      </c>
      <c r="Q301" s="552">
        <f t="shared" si="733"/>
        <v>7663.5639783681727</v>
      </c>
      <c r="R301" s="552">
        <f t="shared" si="733"/>
        <v>9851.2594202707478</v>
      </c>
      <c r="S301" s="552">
        <f t="shared" si="733"/>
        <v>12038.787045539977</v>
      </c>
      <c r="T301" s="552">
        <f t="shared" si="733"/>
        <v>14227.340568614143</v>
      </c>
      <c r="U301" s="552">
        <f t="shared" si="733"/>
        <v>16415.615063740057</v>
      </c>
      <c r="V301" s="552">
        <f t="shared" si="733"/>
        <v>18083.659271842436</v>
      </c>
      <c r="W301" s="552">
        <f t="shared" si="733"/>
        <v>18358.201154852093</v>
      </c>
      <c r="X301" s="552">
        <f t="shared" si="733"/>
        <v>18632.743135512046</v>
      </c>
      <c r="Y301" s="552">
        <f t="shared" si="733"/>
        <v>18907.28522780292</v>
      </c>
      <c r="Z301" s="552">
        <f t="shared" si="733"/>
        <v>19180.988210758038</v>
      </c>
      <c r="AA301" s="552">
        <f t="shared" si="733"/>
        <v>19455.530574876899</v>
      </c>
      <c r="AB301" s="552">
        <f t="shared" si="733"/>
        <v>19729.233865998351</v>
      </c>
      <c r="AC301" s="552">
        <f t="shared" si="733"/>
        <v>20003.776580992704</v>
      </c>
      <c r="AD301" s="552">
        <f t="shared" si="733"/>
        <v>20278.319507445769</v>
      </c>
      <c r="AE301" s="552">
        <f t="shared" si="733"/>
        <v>20552.023433207552</v>
      </c>
      <c r="AF301" s="552">
        <f t="shared" si="733"/>
        <v>20826.566867637146</v>
      </c>
      <c r="AG301" s="552">
        <f t="shared" si="733"/>
        <v>21101.110605971749</v>
      </c>
      <c r="AH301" s="727">
        <f t="shared" si="733"/>
        <v>21374.815443511139</v>
      </c>
      <c r="AI301" s="18"/>
      <c r="AJ301" s="18"/>
      <c r="AK301" s="18"/>
      <c r="AL301" s="18"/>
      <c r="AM301" s="18"/>
      <c r="AN301" s="18"/>
    </row>
    <row r="302" spans="2:40" ht="21.9" customHeight="1" x14ac:dyDescent="0.25">
      <c r="B302" s="229"/>
      <c r="C302" s="690"/>
      <c r="D302" s="690"/>
      <c r="E302" s="1325"/>
      <c r="F302" s="114"/>
      <c r="G302" s="114"/>
      <c r="H302" s="114" t="s">
        <v>19</v>
      </c>
      <c r="I302" s="552">
        <f t="shared" ref="I302:AH302" si="734">I258*$F$21</f>
        <v>2237.9562043795622</v>
      </c>
      <c r="J302" s="552">
        <f t="shared" si="734"/>
        <v>3336.121313868613</v>
      </c>
      <c r="K302" s="552">
        <f t="shared" si="734"/>
        <v>4697.0224817518247</v>
      </c>
      <c r="L302" s="552">
        <f t="shared" si="734"/>
        <v>8137.3579562043806</v>
      </c>
      <c r="M302" s="552">
        <f t="shared" si="734"/>
        <v>11578.066423357686</v>
      </c>
      <c r="N302" s="552">
        <f t="shared" si="734"/>
        <v>15020.490656934722</v>
      </c>
      <c r="O302" s="552">
        <f t="shared" si="734"/>
        <v>18460.826131390881</v>
      </c>
      <c r="P302" s="552">
        <f t="shared" si="734"/>
        <v>21900.042627763552</v>
      </c>
      <c r="Q302" s="552">
        <f t="shared" si="734"/>
        <v>30654.255913472691</v>
      </c>
      <c r="R302" s="552">
        <f t="shared" si="734"/>
        <v>39405.037681082991</v>
      </c>
      <c r="S302" s="552">
        <f t="shared" si="734"/>
        <v>48155.148182159908</v>
      </c>
      <c r="T302" s="552">
        <f t="shared" si="734"/>
        <v>56909.362274456573</v>
      </c>
      <c r="U302" s="552">
        <f t="shared" si="734"/>
        <v>65662.460254960228</v>
      </c>
      <c r="V302" s="552">
        <f t="shared" si="734"/>
        <v>72334.637087369745</v>
      </c>
      <c r="W302" s="552">
        <f t="shared" si="734"/>
        <v>73432.804619408373</v>
      </c>
      <c r="X302" s="552">
        <f t="shared" si="734"/>
        <v>74530.972542048185</v>
      </c>
      <c r="Y302" s="552">
        <f t="shared" si="734"/>
        <v>75629.140911211682</v>
      </c>
      <c r="Z302" s="552">
        <f t="shared" si="734"/>
        <v>76723.952843032152</v>
      </c>
      <c r="AA302" s="552">
        <f t="shared" si="734"/>
        <v>77822.122299507595</v>
      </c>
      <c r="AB302" s="552">
        <f t="shared" si="734"/>
        <v>78916.935463993403</v>
      </c>
      <c r="AC302" s="552">
        <f t="shared" si="734"/>
        <v>80015.106323970816</v>
      </c>
      <c r="AD302" s="552">
        <f t="shared" si="734"/>
        <v>81113.278029783076</v>
      </c>
      <c r="AE302" s="552">
        <f t="shared" si="734"/>
        <v>82208.09373283021</v>
      </c>
      <c r="AF302" s="552">
        <f t="shared" si="734"/>
        <v>83306.267470548584</v>
      </c>
      <c r="AG302" s="552">
        <f t="shared" si="734"/>
        <v>84404.442423886998</v>
      </c>
      <c r="AH302" s="727">
        <f t="shared" si="734"/>
        <v>85499.261774044557</v>
      </c>
      <c r="AI302" s="18"/>
      <c r="AJ302" s="18"/>
      <c r="AK302" s="18"/>
      <c r="AL302" s="18"/>
      <c r="AM302" s="18"/>
      <c r="AN302" s="18"/>
    </row>
    <row r="303" spans="2:40" ht="21.9" customHeight="1" x14ac:dyDescent="0.25">
      <c r="B303" s="229"/>
      <c r="C303" s="690"/>
      <c r="D303" s="690"/>
      <c r="E303" s="1325"/>
      <c r="F303" s="250"/>
      <c r="G303" s="250"/>
      <c r="H303" s="696" t="s">
        <v>25</v>
      </c>
      <c r="I303" s="562">
        <f t="shared" ref="I303:AH303" si="735">SUM(I301:I302)</f>
        <v>2797.445255474453</v>
      </c>
      <c r="J303" s="562">
        <f t="shared" si="735"/>
        <v>4170.1516423357662</v>
      </c>
      <c r="K303" s="562">
        <f t="shared" si="735"/>
        <v>5871.2781021897808</v>
      </c>
      <c r="L303" s="562">
        <f t="shared" si="735"/>
        <v>10171.697445255475</v>
      </c>
      <c r="M303" s="562">
        <f t="shared" si="735"/>
        <v>14472.583029197107</v>
      </c>
      <c r="N303" s="562">
        <f t="shared" si="735"/>
        <v>18775.613321168403</v>
      </c>
      <c r="O303" s="562">
        <f t="shared" si="735"/>
        <v>23076.032664238599</v>
      </c>
      <c r="P303" s="562">
        <f t="shared" si="735"/>
        <v>27375.053284704441</v>
      </c>
      <c r="Q303" s="562">
        <f t="shared" si="735"/>
        <v>38317.81989184086</v>
      </c>
      <c r="R303" s="562">
        <f t="shared" si="735"/>
        <v>49256.297101353739</v>
      </c>
      <c r="S303" s="562">
        <f t="shared" si="735"/>
        <v>60193.935227699883</v>
      </c>
      <c r="T303" s="562">
        <f t="shared" si="735"/>
        <v>71136.702843070714</v>
      </c>
      <c r="U303" s="562">
        <f t="shared" si="735"/>
        <v>82078.075318700285</v>
      </c>
      <c r="V303" s="562">
        <f t="shared" si="735"/>
        <v>90418.296359212181</v>
      </c>
      <c r="W303" s="562">
        <f t="shared" si="735"/>
        <v>91791.005774260469</v>
      </c>
      <c r="X303" s="562">
        <f t="shared" si="735"/>
        <v>93163.715677560234</v>
      </c>
      <c r="Y303" s="562">
        <f t="shared" si="735"/>
        <v>94536.426139014598</v>
      </c>
      <c r="Z303" s="562">
        <f t="shared" si="735"/>
        <v>95904.941053790186</v>
      </c>
      <c r="AA303" s="562">
        <f t="shared" si="735"/>
        <v>97277.652874384497</v>
      </c>
      <c r="AB303" s="562">
        <f t="shared" si="735"/>
        <v>98646.169329991753</v>
      </c>
      <c r="AC303" s="562">
        <f t="shared" si="735"/>
        <v>100018.88290496352</v>
      </c>
      <c r="AD303" s="562">
        <f t="shared" si="735"/>
        <v>101391.59753722884</v>
      </c>
      <c r="AE303" s="562">
        <f t="shared" si="735"/>
        <v>102760.11716603776</v>
      </c>
      <c r="AF303" s="562">
        <f t="shared" si="735"/>
        <v>104132.83433818573</v>
      </c>
      <c r="AG303" s="562">
        <f t="shared" si="735"/>
        <v>105505.55302985874</v>
      </c>
      <c r="AH303" s="729">
        <f t="shared" si="735"/>
        <v>106874.07721755569</v>
      </c>
      <c r="AI303" s="18"/>
      <c r="AJ303" s="18"/>
      <c r="AK303" s="18"/>
      <c r="AL303" s="18"/>
      <c r="AM303" s="18"/>
      <c r="AN303" s="18"/>
    </row>
    <row r="304" spans="2:40" ht="21.9" customHeight="1" x14ac:dyDescent="0.25">
      <c r="B304" s="229"/>
      <c r="C304" s="690"/>
      <c r="D304" s="690"/>
      <c r="E304" s="114" t="s">
        <v>282</v>
      </c>
      <c r="F304" s="114" t="s">
        <v>308</v>
      </c>
      <c r="G304" s="114" t="s">
        <v>324</v>
      </c>
      <c r="H304" s="114" t="s">
        <v>20</v>
      </c>
      <c r="I304" s="552">
        <f t="shared" ref="I304:AH304" si="736">I259*$H$20</f>
        <v>4726.6188961171565</v>
      </c>
      <c r="J304" s="552">
        <f t="shared" si="736"/>
        <v>5017.2536057806637</v>
      </c>
      <c r="K304" s="552">
        <f t="shared" si="736"/>
        <v>5401.8695351590704</v>
      </c>
      <c r="L304" s="552">
        <f t="shared" si="736"/>
        <v>5913.0022441114525</v>
      </c>
      <c r="M304" s="552">
        <f t="shared" si="736"/>
        <v>6424.294436627717</v>
      </c>
      <c r="N304" s="552">
        <f t="shared" si="736"/>
        <v>6936.6935720512738</v>
      </c>
      <c r="O304" s="552">
        <f t="shared" si="736"/>
        <v>7447.8402806843869</v>
      </c>
      <c r="P304" s="552">
        <f t="shared" si="736"/>
        <v>7959.5536106858144</v>
      </c>
      <c r="Q304" s="552">
        <f t="shared" si="736"/>
        <v>8426.1748043132811</v>
      </c>
      <c r="R304" s="552">
        <f t="shared" si="736"/>
        <v>8892.4399436082585</v>
      </c>
      <c r="S304" s="552">
        <f t="shared" si="736"/>
        <v>9359.1867594257528</v>
      </c>
      <c r="T304" s="552">
        <f t="shared" si="736"/>
        <v>9826.0045470186451</v>
      </c>
      <c r="U304" s="552">
        <f t="shared" si="736"/>
        <v>10294.628866060768</v>
      </c>
      <c r="V304" s="552">
        <f t="shared" si="736"/>
        <v>10634.743849212251</v>
      </c>
      <c r="W304" s="552">
        <f t="shared" si="736"/>
        <v>10925.871238710009</v>
      </c>
      <c r="X304" s="552">
        <f t="shared" si="736"/>
        <v>11217.148771308108</v>
      </c>
      <c r="Y304" s="552">
        <f t="shared" si="736"/>
        <v>11508.616431350049</v>
      </c>
      <c r="Z304" s="552">
        <f t="shared" si="736"/>
        <v>11800.63982380117</v>
      </c>
      <c r="AA304" s="552">
        <f t="shared" si="736"/>
        <v>12092.646654081012</v>
      </c>
      <c r="AB304" s="552">
        <f t="shared" si="736"/>
        <v>12385.740128269339</v>
      </c>
      <c r="AC304" s="552">
        <f t="shared" si="736"/>
        <v>12678.582777133537</v>
      </c>
      <c r="AD304" s="552">
        <f t="shared" si="736"/>
        <v>12971.994582521529</v>
      </c>
      <c r="AE304" s="552">
        <f t="shared" si="736"/>
        <v>13266.423648928954</v>
      </c>
      <c r="AF304" s="552">
        <f t="shared" si="736"/>
        <v>13561.386462389011</v>
      </c>
      <c r="AG304" s="552">
        <f t="shared" si="736"/>
        <v>13857.385143251748</v>
      </c>
      <c r="AH304" s="727">
        <f t="shared" si="736"/>
        <v>14155.364585447249</v>
      </c>
      <c r="AI304" s="18"/>
      <c r="AJ304" s="18"/>
      <c r="AK304" s="18"/>
      <c r="AL304" s="18"/>
      <c r="AM304" s="18"/>
      <c r="AN304" s="18"/>
    </row>
    <row r="305" spans="2:40" ht="21.9" customHeight="1" x14ac:dyDescent="0.25">
      <c r="B305" s="229"/>
      <c r="C305" s="690"/>
      <c r="D305" s="690"/>
      <c r="E305" s="114"/>
      <c r="F305" s="114"/>
      <c r="G305" s="114"/>
      <c r="H305" s="122" t="s">
        <v>19</v>
      </c>
      <c r="I305" s="552">
        <f t="shared" ref="I305:AH305" si="737">I259*$H$21</f>
        <v>18906.475584468626</v>
      </c>
      <c r="J305" s="552">
        <f t="shared" si="737"/>
        <v>20069.014423122655</v>
      </c>
      <c r="K305" s="552">
        <f t="shared" si="737"/>
        <v>21607.478140636282</v>
      </c>
      <c r="L305" s="552">
        <f t="shared" si="737"/>
        <v>23652.00897644581</v>
      </c>
      <c r="M305" s="552">
        <f t="shared" si="737"/>
        <v>25697.177746510868</v>
      </c>
      <c r="N305" s="552">
        <f t="shared" si="737"/>
        <v>27746.774288205095</v>
      </c>
      <c r="O305" s="552">
        <f t="shared" si="737"/>
        <v>29791.361122737548</v>
      </c>
      <c r="P305" s="552">
        <f t="shared" si="737"/>
        <v>31838.214442743258</v>
      </c>
      <c r="Q305" s="552">
        <f t="shared" si="737"/>
        <v>33704.699217253125</v>
      </c>
      <c r="R305" s="552">
        <f t="shared" si="737"/>
        <v>35569.759774433034</v>
      </c>
      <c r="S305" s="552">
        <f t="shared" si="737"/>
        <v>37436.747037703011</v>
      </c>
      <c r="T305" s="552">
        <f t="shared" si="737"/>
        <v>39304.01818807458</v>
      </c>
      <c r="U305" s="552">
        <f t="shared" si="737"/>
        <v>41178.515464243072</v>
      </c>
      <c r="V305" s="552">
        <f t="shared" si="737"/>
        <v>42538.975396849004</v>
      </c>
      <c r="W305" s="552">
        <f t="shared" si="737"/>
        <v>43703.484954840038</v>
      </c>
      <c r="X305" s="552">
        <f t="shared" si="737"/>
        <v>44868.595085232431</v>
      </c>
      <c r="Y305" s="552">
        <f t="shared" si="737"/>
        <v>46034.465725400194</v>
      </c>
      <c r="Z305" s="552">
        <f t="shared" si="737"/>
        <v>47202.559295204679</v>
      </c>
      <c r="AA305" s="552">
        <f t="shared" si="737"/>
        <v>48370.58661632405</v>
      </c>
      <c r="AB305" s="552">
        <f t="shared" si="737"/>
        <v>49542.960513077356</v>
      </c>
      <c r="AC305" s="552">
        <f t="shared" si="737"/>
        <v>50714.331108534148</v>
      </c>
      <c r="AD305" s="552">
        <f t="shared" si="737"/>
        <v>51887.978330086116</v>
      </c>
      <c r="AE305" s="552">
        <f t="shared" si="737"/>
        <v>53065.694595715817</v>
      </c>
      <c r="AF305" s="552">
        <f t="shared" si="737"/>
        <v>54245.545849556045</v>
      </c>
      <c r="AG305" s="552">
        <f t="shared" si="737"/>
        <v>55429.540573006991</v>
      </c>
      <c r="AH305" s="727">
        <f t="shared" si="737"/>
        <v>56621.458341788995</v>
      </c>
      <c r="AI305" s="18"/>
      <c r="AJ305" s="18"/>
      <c r="AK305" s="18"/>
      <c r="AL305" s="18"/>
      <c r="AM305" s="18"/>
      <c r="AN305" s="18"/>
    </row>
    <row r="306" spans="2:40" ht="21.9" customHeight="1" x14ac:dyDescent="0.25">
      <c r="B306" s="229"/>
      <c r="C306" s="690"/>
      <c r="D306" s="690"/>
      <c r="E306" s="114"/>
      <c r="F306" s="114"/>
      <c r="G306" s="114"/>
      <c r="H306" s="696" t="s">
        <v>25</v>
      </c>
      <c r="I306" s="552">
        <f t="shared" ref="I306:AH306" si="738">SUM(I304:I305)</f>
        <v>23633.094480585783</v>
      </c>
      <c r="J306" s="552">
        <f t="shared" si="738"/>
        <v>25086.26802890332</v>
      </c>
      <c r="K306" s="552">
        <f t="shared" si="738"/>
        <v>27009.347675795354</v>
      </c>
      <c r="L306" s="552">
        <f t="shared" si="738"/>
        <v>29565.011220557262</v>
      </c>
      <c r="M306" s="552">
        <f t="shared" si="738"/>
        <v>32121.472183138583</v>
      </c>
      <c r="N306" s="552">
        <f t="shared" si="738"/>
        <v>34683.467860256365</v>
      </c>
      <c r="O306" s="552">
        <f t="shared" si="738"/>
        <v>37239.201403421932</v>
      </c>
      <c r="P306" s="552">
        <f t="shared" si="738"/>
        <v>39797.76805342907</v>
      </c>
      <c r="Q306" s="552">
        <f t="shared" si="738"/>
        <v>42130.874021566407</v>
      </c>
      <c r="R306" s="552">
        <f t="shared" si="738"/>
        <v>44462.199718041295</v>
      </c>
      <c r="S306" s="552">
        <f t="shared" si="738"/>
        <v>46795.93379712876</v>
      </c>
      <c r="T306" s="552">
        <f t="shared" si="738"/>
        <v>49130.022735093225</v>
      </c>
      <c r="U306" s="552">
        <f t="shared" si="738"/>
        <v>51473.14433030384</v>
      </c>
      <c r="V306" s="552">
        <f t="shared" si="738"/>
        <v>53173.719246061257</v>
      </c>
      <c r="W306" s="552">
        <f t="shared" si="738"/>
        <v>54629.356193550047</v>
      </c>
      <c r="X306" s="552">
        <f t="shared" si="738"/>
        <v>56085.743856540539</v>
      </c>
      <c r="Y306" s="552">
        <f t="shared" si="738"/>
        <v>57543.082156750243</v>
      </c>
      <c r="Z306" s="552">
        <f t="shared" si="738"/>
        <v>59003.199119005847</v>
      </c>
      <c r="AA306" s="552">
        <f t="shared" si="738"/>
        <v>60463.233270405064</v>
      </c>
      <c r="AB306" s="552">
        <f t="shared" si="738"/>
        <v>61928.700641346695</v>
      </c>
      <c r="AC306" s="552">
        <f t="shared" si="738"/>
        <v>63392.913885667687</v>
      </c>
      <c r="AD306" s="552">
        <f t="shared" si="738"/>
        <v>64859.972912607642</v>
      </c>
      <c r="AE306" s="552">
        <f t="shared" si="738"/>
        <v>66332.118244644778</v>
      </c>
      <c r="AF306" s="552">
        <f t="shared" si="738"/>
        <v>67806.932311945056</v>
      </c>
      <c r="AG306" s="552">
        <f t="shared" si="738"/>
        <v>69286.925716258731</v>
      </c>
      <c r="AH306" s="727">
        <f t="shared" si="738"/>
        <v>70776.822927236237</v>
      </c>
      <c r="AI306" s="18"/>
      <c r="AJ306" s="18"/>
      <c r="AK306" s="18"/>
      <c r="AL306" s="18"/>
      <c r="AM306" s="18"/>
      <c r="AN306" s="18"/>
    </row>
    <row r="307" spans="2:40" ht="21.9" customHeight="1" x14ac:dyDescent="0.25">
      <c r="B307" s="229"/>
      <c r="C307" s="690"/>
      <c r="D307" s="690"/>
      <c r="E307" s="217" t="s">
        <v>321</v>
      </c>
      <c r="F307" s="217" t="s">
        <v>318</v>
      </c>
      <c r="G307" s="217" t="s">
        <v>308</v>
      </c>
      <c r="H307" s="114" t="s">
        <v>20</v>
      </c>
      <c r="I307" s="552" t="e">
        <f t="shared" ref="I307:AH307" si="739">I260*$I$20</f>
        <v>#DIV/0!</v>
      </c>
      <c r="J307" s="552" t="e">
        <f t="shared" si="739"/>
        <v>#DIV/0!</v>
      </c>
      <c r="K307" s="552" t="e">
        <f t="shared" si="739"/>
        <v>#DIV/0!</v>
      </c>
      <c r="L307" s="552" t="e">
        <f t="shared" si="739"/>
        <v>#DIV/0!</v>
      </c>
      <c r="M307" s="552" t="e">
        <f t="shared" si="739"/>
        <v>#DIV/0!</v>
      </c>
      <c r="N307" s="552" t="e">
        <f t="shared" si="739"/>
        <v>#DIV/0!</v>
      </c>
      <c r="O307" s="552" t="e">
        <f t="shared" si="739"/>
        <v>#DIV/0!</v>
      </c>
      <c r="P307" s="552" t="e">
        <f t="shared" si="739"/>
        <v>#DIV/0!</v>
      </c>
      <c r="Q307" s="552" t="e">
        <f t="shared" si="739"/>
        <v>#DIV/0!</v>
      </c>
      <c r="R307" s="552" t="e">
        <f t="shared" si="739"/>
        <v>#DIV/0!</v>
      </c>
      <c r="S307" s="552" t="e">
        <f t="shared" si="739"/>
        <v>#DIV/0!</v>
      </c>
      <c r="T307" s="552" t="e">
        <f t="shared" si="739"/>
        <v>#DIV/0!</v>
      </c>
      <c r="U307" s="552" t="e">
        <f t="shared" si="739"/>
        <v>#DIV/0!</v>
      </c>
      <c r="V307" s="552" t="e">
        <f t="shared" si="739"/>
        <v>#DIV/0!</v>
      </c>
      <c r="W307" s="552" t="e">
        <f t="shared" si="739"/>
        <v>#DIV/0!</v>
      </c>
      <c r="X307" s="552" t="e">
        <f t="shared" si="739"/>
        <v>#DIV/0!</v>
      </c>
      <c r="Y307" s="552" t="e">
        <f t="shared" si="739"/>
        <v>#DIV/0!</v>
      </c>
      <c r="Z307" s="552" t="e">
        <f t="shared" si="739"/>
        <v>#DIV/0!</v>
      </c>
      <c r="AA307" s="552" t="e">
        <f t="shared" si="739"/>
        <v>#DIV/0!</v>
      </c>
      <c r="AB307" s="552" t="e">
        <f t="shared" si="739"/>
        <v>#DIV/0!</v>
      </c>
      <c r="AC307" s="552" t="e">
        <f t="shared" si="739"/>
        <v>#DIV/0!</v>
      </c>
      <c r="AD307" s="552" t="e">
        <f t="shared" si="739"/>
        <v>#DIV/0!</v>
      </c>
      <c r="AE307" s="552" t="e">
        <f t="shared" si="739"/>
        <v>#DIV/0!</v>
      </c>
      <c r="AF307" s="552" t="e">
        <f t="shared" si="739"/>
        <v>#DIV/0!</v>
      </c>
      <c r="AG307" s="552" t="e">
        <f t="shared" si="739"/>
        <v>#DIV/0!</v>
      </c>
      <c r="AH307" s="727" t="e">
        <f t="shared" si="739"/>
        <v>#DIV/0!</v>
      </c>
      <c r="AI307" s="18"/>
      <c r="AJ307" s="18"/>
      <c r="AK307" s="18"/>
      <c r="AL307" s="18"/>
      <c r="AM307" s="18"/>
      <c r="AN307" s="18"/>
    </row>
    <row r="308" spans="2:40" ht="21.9" customHeight="1" x14ac:dyDescent="0.25">
      <c r="B308" s="229"/>
      <c r="C308" s="690"/>
      <c r="D308" s="690"/>
      <c r="E308" s="114"/>
      <c r="F308" s="114"/>
      <c r="G308" s="114"/>
      <c r="H308" s="122" t="s">
        <v>19</v>
      </c>
      <c r="I308" s="552" t="e">
        <f t="shared" ref="I308:AH308" si="740">I260*$I$21</f>
        <v>#DIV/0!</v>
      </c>
      <c r="J308" s="552" t="e">
        <f t="shared" si="740"/>
        <v>#DIV/0!</v>
      </c>
      <c r="K308" s="552" t="e">
        <f t="shared" si="740"/>
        <v>#DIV/0!</v>
      </c>
      <c r="L308" s="552" t="e">
        <f t="shared" si="740"/>
        <v>#DIV/0!</v>
      </c>
      <c r="M308" s="552" t="e">
        <f t="shared" si="740"/>
        <v>#DIV/0!</v>
      </c>
      <c r="N308" s="552" t="e">
        <f t="shared" si="740"/>
        <v>#DIV/0!</v>
      </c>
      <c r="O308" s="552" t="e">
        <f t="shared" si="740"/>
        <v>#DIV/0!</v>
      </c>
      <c r="P308" s="552" t="e">
        <f t="shared" si="740"/>
        <v>#DIV/0!</v>
      </c>
      <c r="Q308" s="552" t="e">
        <f t="shared" si="740"/>
        <v>#DIV/0!</v>
      </c>
      <c r="R308" s="552" t="e">
        <f t="shared" si="740"/>
        <v>#DIV/0!</v>
      </c>
      <c r="S308" s="552" t="e">
        <f t="shared" si="740"/>
        <v>#DIV/0!</v>
      </c>
      <c r="T308" s="552" t="e">
        <f t="shared" si="740"/>
        <v>#DIV/0!</v>
      </c>
      <c r="U308" s="552" t="e">
        <f t="shared" si="740"/>
        <v>#DIV/0!</v>
      </c>
      <c r="V308" s="552" t="e">
        <f t="shared" si="740"/>
        <v>#DIV/0!</v>
      </c>
      <c r="W308" s="552" t="e">
        <f t="shared" si="740"/>
        <v>#DIV/0!</v>
      </c>
      <c r="X308" s="552" t="e">
        <f t="shared" si="740"/>
        <v>#DIV/0!</v>
      </c>
      <c r="Y308" s="552" t="e">
        <f t="shared" si="740"/>
        <v>#DIV/0!</v>
      </c>
      <c r="Z308" s="552" t="e">
        <f t="shared" si="740"/>
        <v>#DIV/0!</v>
      </c>
      <c r="AA308" s="552" t="e">
        <f t="shared" si="740"/>
        <v>#DIV/0!</v>
      </c>
      <c r="AB308" s="552" t="e">
        <f t="shared" si="740"/>
        <v>#DIV/0!</v>
      </c>
      <c r="AC308" s="552" t="e">
        <f t="shared" si="740"/>
        <v>#DIV/0!</v>
      </c>
      <c r="AD308" s="552" t="e">
        <f t="shared" si="740"/>
        <v>#DIV/0!</v>
      </c>
      <c r="AE308" s="552" t="e">
        <f t="shared" si="740"/>
        <v>#DIV/0!</v>
      </c>
      <c r="AF308" s="552" t="e">
        <f t="shared" si="740"/>
        <v>#DIV/0!</v>
      </c>
      <c r="AG308" s="552" t="e">
        <f t="shared" si="740"/>
        <v>#DIV/0!</v>
      </c>
      <c r="AH308" s="727" t="e">
        <f t="shared" si="740"/>
        <v>#DIV/0!</v>
      </c>
      <c r="AI308" s="18"/>
      <c r="AJ308" s="18"/>
      <c r="AK308" s="18"/>
      <c r="AL308" s="18"/>
      <c r="AM308" s="18"/>
      <c r="AN308" s="18"/>
    </row>
    <row r="309" spans="2:40" ht="21.9" customHeight="1" x14ac:dyDescent="0.25">
      <c r="B309" s="229"/>
      <c r="C309" s="690"/>
      <c r="D309" s="690"/>
      <c r="E309" s="250"/>
      <c r="F309" s="250"/>
      <c r="G309" s="250"/>
      <c r="H309" s="696" t="s">
        <v>25</v>
      </c>
      <c r="I309" s="552" t="e">
        <f t="shared" ref="I309:AH309" si="741">SUM(I307:I308)</f>
        <v>#DIV/0!</v>
      </c>
      <c r="J309" s="552" t="e">
        <f t="shared" si="741"/>
        <v>#DIV/0!</v>
      </c>
      <c r="K309" s="552" t="e">
        <f t="shared" si="741"/>
        <v>#DIV/0!</v>
      </c>
      <c r="L309" s="552" t="e">
        <f t="shared" si="741"/>
        <v>#DIV/0!</v>
      </c>
      <c r="M309" s="552" t="e">
        <f t="shared" si="741"/>
        <v>#DIV/0!</v>
      </c>
      <c r="N309" s="552" t="e">
        <f t="shared" si="741"/>
        <v>#DIV/0!</v>
      </c>
      <c r="O309" s="552" t="e">
        <f t="shared" si="741"/>
        <v>#DIV/0!</v>
      </c>
      <c r="P309" s="552" t="e">
        <f t="shared" si="741"/>
        <v>#DIV/0!</v>
      </c>
      <c r="Q309" s="552" t="e">
        <f t="shared" si="741"/>
        <v>#DIV/0!</v>
      </c>
      <c r="R309" s="552" t="e">
        <f t="shared" si="741"/>
        <v>#DIV/0!</v>
      </c>
      <c r="S309" s="552" t="e">
        <f t="shared" si="741"/>
        <v>#DIV/0!</v>
      </c>
      <c r="T309" s="552" t="e">
        <f t="shared" si="741"/>
        <v>#DIV/0!</v>
      </c>
      <c r="U309" s="552" t="e">
        <f t="shared" si="741"/>
        <v>#DIV/0!</v>
      </c>
      <c r="V309" s="552" t="e">
        <f t="shared" si="741"/>
        <v>#DIV/0!</v>
      </c>
      <c r="W309" s="552" t="e">
        <f t="shared" si="741"/>
        <v>#DIV/0!</v>
      </c>
      <c r="X309" s="552" t="e">
        <f t="shared" si="741"/>
        <v>#DIV/0!</v>
      </c>
      <c r="Y309" s="552" t="e">
        <f t="shared" si="741"/>
        <v>#DIV/0!</v>
      </c>
      <c r="Z309" s="552" t="e">
        <f t="shared" si="741"/>
        <v>#DIV/0!</v>
      </c>
      <c r="AA309" s="552" t="e">
        <f t="shared" si="741"/>
        <v>#DIV/0!</v>
      </c>
      <c r="AB309" s="552" t="e">
        <f t="shared" si="741"/>
        <v>#DIV/0!</v>
      </c>
      <c r="AC309" s="552" t="e">
        <f t="shared" si="741"/>
        <v>#DIV/0!</v>
      </c>
      <c r="AD309" s="552" t="e">
        <f t="shared" si="741"/>
        <v>#DIV/0!</v>
      </c>
      <c r="AE309" s="552" t="e">
        <f t="shared" si="741"/>
        <v>#DIV/0!</v>
      </c>
      <c r="AF309" s="552" t="e">
        <f t="shared" si="741"/>
        <v>#DIV/0!</v>
      </c>
      <c r="AG309" s="552" t="e">
        <f t="shared" si="741"/>
        <v>#DIV/0!</v>
      </c>
      <c r="AH309" s="727" t="e">
        <f t="shared" si="741"/>
        <v>#DIV/0!</v>
      </c>
      <c r="AI309" s="18"/>
      <c r="AJ309" s="18"/>
      <c r="AK309" s="18"/>
      <c r="AL309" s="18"/>
      <c r="AM309" s="18"/>
      <c r="AN309" s="18"/>
    </row>
    <row r="310" spans="2:40" ht="21.9" customHeight="1" x14ac:dyDescent="0.25">
      <c r="B310" s="229"/>
      <c r="C310" s="690"/>
      <c r="D310" s="690"/>
      <c r="E310" s="217" t="s">
        <v>333</v>
      </c>
      <c r="F310" s="217" t="s">
        <v>319</v>
      </c>
      <c r="G310" s="217" t="s">
        <v>308</v>
      </c>
      <c r="H310" s="114" t="s">
        <v>20</v>
      </c>
      <c r="I310" s="552">
        <f t="shared" ref="I310:AH310" si="742">I261*$J$20</f>
        <v>7639.4156932014657</v>
      </c>
      <c r="J310" s="552">
        <f t="shared" si="742"/>
        <v>7744.3559527607358</v>
      </c>
      <c r="K310" s="552">
        <f t="shared" si="742"/>
        <v>7925.7637583677661</v>
      </c>
      <c r="L310" s="552">
        <f t="shared" si="742"/>
        <v>8174.8631035683156</v>
      </c>
      <c r="M310" s="552">
        <f t="shared" si="742"/>
        <v>8424.1369777815653</v>
      </c>
      <c r="N310" s="552">
        <f t="shared" si="742"/>
        <v>8673.8616986923535</v>
      </c>
      <c r="O310" s="552">
        <f t="shared" si="742"/>
        <v>8923.2352975770136</v>
      </c>
      <c r="P310" s="552">
        <f t="shared" si="742"/>
        <v>9173.6313285089036</v>
      </c>
      <c r="Q310" s="552">
        <f t="shared" si="742"/>
        <v>9347.387684022031</v>
      </c>
      <c r="R310" s="552">
        <f t="shared" si="742"/>
        <v>9521.2752470407122</v>
      </c>
      <c r="S310" s="552">
        <f t="shared" si="742"/>
        <v>9695.313817216198</v>
      </c>
      <c r="T310" s="552">
        <f t="shared" si="742"/>
        <v>9869.4622698900803</v>
      </c>
      <c r="U310" s="552">
        <f t="shared" si="742"/>
        <v>10045.028912785612</v>
      </c>
      <c r="V310" s="552">
        <f t="shared" si="742"/>
        <v>10150.69107971232</v>
      </c>
      <c r="W310" s="552">
        <f t="shared" si="742"/>
        <v>10256.437454146959</v>
      </c>
      <c r="X310" s="552">
        <f t="shared" si="742"/>
        <v>10362.276210157072</v>
      </c>
      <c r="Y310" s="552">
        <f t="shared" si="742"/>
        <v>10468.216212715401</v>
      </c>
      <c r="Z310" s="552">
        <f t="shared" si="742"/>
        <v>10574.996944228373</v>
      </c>
      <c r="AA310" s="552">
        <f t="shared" si="742"/>
        <v>10681.169954903035</v>
      </c>
      <c r="AB310" s="552">
        <f t="shared" si="742"/>
        <v>10787.884490379989</v>
      </c>
      <c r="AC310" s="552">
        <f t="shared" si="742"/>
        <v>10894.335557002016</v>
      </c>
      <c r="AD310" s="552">
        <f t="shared" si="742"/>
        <v>11000.944711841441</v>
      </c>
      <c r="AE310" s="552">
        <f t="shared" si="742"/>
        <v>11108.461331150073</v>
      </c>
      <c r="AF310" s="552">
        <f t="shared" si="742"/>
        <v>11215.431913437325</v>
      </c>
      <c r="AG310" s="552">
        <f t="shared" si="742"/>
        <v>11322.606946953832</v>
      </c>
      <c r="AH310" s="727">
        <f t="shared" si="742"/>
        <v>11430.417600813294</v>
      </c>
      <c r="AI310" s="18"/>
      <c r="AJ310" s="18"/>
      <c r="AK310" s="18"/>
      <c r="AL310" s="18"/>
      <c r="AM310" s="18"/>
      <c r="AN310" s="18"/>
    </row>
    <row r="311" spans="2:40" ht="21.9" customHeight="1" x14ac:dyDescent="0.25">
      <c r="B311" s="229"/>
      <c r="C311" s="690"/>
      <c r="D311" s="690"/>
      <c r="E311" s="114"/>
      <c r="F311" s="114"/>
      <c r="G311" s="114"/>
      <c r="H311" s="122" t="s">
        <v>19</v>
      </c>
      <c r="I311" s="552">
        <f t="shared" ref="I311:AH311" si="743">I261*$J$21</f>
        <v>30557.662772805863</v>
      </c>
      <c r="J311" s="552">
        <f t="shared" si="743"/>
        <v>30977.423811042943</v>
      </c>
      <c r="K311" s="552">
        <f t="shared" si="743"/>
        <v>31703.055033471064</v>
      </c>
      <c r="L311" s="552">
        <f t="shared" si="743"/>
        <v>32699.452414273263</v>
      </c>
      <c r="M311" s="552">
        <f t="shared" si="743"/>
        <v>33696.547911126261</v>
      </c>
      <c r="N311" s="552">
        <f t="shared" si="743"/>
        <v>34695.446794769414</v>
      </c>
      <c r="O311" s="552">
        <f t="shared" si="743"/>
        <v>35692.941190308055</v>
      </c>
      <c r="P311" s="552">
        <f t="shared" si="743"/>
        <v>36694.525314035614</v>
      </c>
      <c r="Q311" s="552">
        <f t="shared" si="743"/>
        <v>37389.550736088124</v>
      </c>
      <c r="R311" s="552">
        <f t="shared" si="743"/>
        <v>38085.100988162849</v>
      </c>
      <c r="S311" s="552">
        <f t="shared" si="743"/>
        <v>38781.255268864792</v>
      </c>
      <c r="T311" s="552">
        <f t="shared" si="743"/>
        <v>39477.849079560321</v>
      </c>
      <c r="U311" s="552">
        <f t="shared" si="743"/>
        <v>40180.115651142449</v>
      </c>
      <c r="V311" s="552">
        <f t="shared" si="743"/>
        <v>40602.76431884928</v>
      </c>
      <c r="W311" s="552">
        <f t="shared" si="743"/>
        <v>41025.749816587835</v>
      </c>
      <c r="X311" s="552">
        <f t="shared" si="743"/>
        <v>41449.104840628286</v>
      </c>
      <c r="Y311" s="552">
        <f t="shared" si="743"/>
        <v>41872.864850861602</v>
      </c>
      <c r="Z311" s="552">
        <f t="shared" si="743"/>
        <v>42299.987776913491</v>
      </c>
      <c r="AA311" s="552">
        <f t="shared" si="743"/>
        <v>42724.679819612138</v>
      </c>
      <c r="AB311" s="552">
        <f t="shared" si="743"/>
        <v>43151.537961519956</v>
      </c>
      <c r="AC311" s="552">
        <f t="shared" si="743"/>
        <v>43577.342228008063</v>
      </c>
      <c r="AD311" s="552">
        <f t="shared" si="743"/>
        <v>44003.778847365764</v>
      </c>
      <c r="AE311" s="552">
        <f t="shared" si="743"/>
        <v>44433.84532460029</v>
      </c>
      <c r="AF311" s="552">
        <f t="shared" si="743"/>
        <v>44861.727653749302</v>
      </c>
      <c r="AG311" s="552">
        <f t="shared" si="743"/>
        <v>45290.42778781533</v>
      </c>
      <c r="AH311" s="727">
        <f t="shared" si="743"/>
        <v>45721.670403253178</v>
      </c>
      <c r="AI311" s="18"/>
      <c r="AJ311" s="18"/>
      <c r="AK311" s="18"/>
      <c r="AL311" s="18"/>
      <c r="AM311" s="18"/>
      <c r="AN311" s="18"/>
    </row>
    <row r="312" spans="2:40" ht="21.9" customHeight="1" x14ac:dyDescent="0.25">
      <c r="B312" s="229"/>
      <c r="C312" s="690"/>
      <c r="D312" s="690"/>
      <c r="E312" s="250"/>
      <c r="F312" s="250"/>
      <c r="G312" s="250"/>
      <c r="H312" s="696" t="s">
        <v>25</v>
      </c>
      <c r="I312" s="552">
        <f t="shared" ref="I312:AH312" si="744">SUM(I310:I311)</f>
        <v>38197.078466007326</v>
      </c>
      <c r="J312" s="552">
        <f t="shared" si="744"/>
        <v>38721.779763803679</v>
      </c>
      <c r="K312" s="552">
        <f t="shared" si="744"/>
        <v>39628.818791838828</v>
      </c>
      <c r="L312" s="552">
        <f t="shared" si="744"/>
        <v>40874.315517841576</v>
      </c>
      <c r="M312" s="552">
        <f t="shared" si="744"/>
        <v>42120.684888907825</v>
      </c>
      <c r="N312" s="552">
        <f t="shared" si="744"/>
        <v>43369.308493461765</v>
      </c>
      <c r="O312" s="552">
        <f t="shared" si="744"/>
        <v>44616.176487885066</v>
      </c>
      <c r="P312" s="552">
        <f t="shared" si="744"/>
        <v>45868.15664254452</v>
      </c>
      <c r="Q312" s="552">
        <f t="shared" si="744"/>
        <v>46736.938420110157</v>
      </c>
      <c r="R312" s="552">
        <f t="shared" si="744"/>
        <v>47606.376235203563</v>
      </c>
      <c r="S312" s="552">
        <f t="shared" si="744"/>
        <v>48476.569086080992</v>
      </c>
      <c r="T312" s="552">
        <f t="shared" si="744"/>
        <v>49347.3113494504</v>
      </c>
      <c r="U312" s="552">
        <f t="shared" si="744"/>
        <v>50225.144563928057</v>
      </c>
      <c r="V312" s="552">
        <f t="shared" si="744"/>
        <v>50753.4553985616</v>
      </c>
      <c r="W312" s="552">
        <f t="shared" si="744"/>
        <v>51282.187270734794</v>
      </c>
      <c r="X312" s="552">
        <f t="shared" si="744"/>
        <v>51811.381050785356</v>
      </c>
      <c r="Y312" s="552">
        <f t="shared" si="744"/>
        <v>52341.081063577003</v>
      </c>
      <c r="Z312" s="552">
        <f t="shared" si="744"/>
        <v>52874.984721141867</v>
      </c>
      <c r="AA312" s="552">
        <f t="shared" si="744"/>
        <v>53405.849774515169</v>
      </c>
      <c r="AB312" s="552">
        <f t="shared" si="744"/>
        <v>53939.422451899947</v>
      </c>
      <c r="AC312" s="552">
        <f t="shared" si="744"/>
        <v>54471.677785010077</v>
      </c>
      <c r="AD312" s="552">
        <f t="shared" si="744"/>
        <v>55004.723559207203</v>
      </c>
      <c r="AE312" s="552">
        <f t="shared" si="744"/>
        <v>55542.306655750363</v>
      </c>
      <c r="AF312" s="552">
        <f t="shared" si="744"/>
        <v>56077.159567186623</v>
      </c>
      <c r="AG312" s="552">
        <f t="shared" si="744"/>
        <v>56613.034734769164</v>
      </c>
      <c r="AH312" s="727">
        <f t="shared" si="744"/>
        <v>57152.088004066471</v>
      </c>
      <c r="AI312" s="18"/>
      <c r="AJ312" s="18"/>
      <c r="AK312" s="18"/>
      <c r="AL312" s="18"/>
      <c r="AM312" s="18"/>
      <c r="AN312" s="18"/>
    </row>
    <row r="313" spans="2:40" ht="21.9" customHeight="1" x14ac:dyDescent="0.25">
      <c r="B313" s="229"/>
      <c r="C313" s="690"/>
      <c r="D313" s="690"/>
      <c r="E313" s="114" t="s">
        <v>319</v>
      </c>
      <c r="F313" s="114" t="s">
        <v>276</v>
      </c>
      <c r="G313" s="114" t="s">
        <v>333</v>
      </c>
      <c r="H313" s="114" t="s">
        <v>20</v>
      </c>
      <c r="I313" s="552">
        <f t="shared" ref="I313:AH313" si="745">I262*$K$20</f>
        <v>15656.001865853943</v>
      </c>
      <c r="J313" s="552">
        <f t="shared" si="745"/>
        <v>16107.317732631887</v>
      </c>
      <c r="K313" s="552">
        <f t="shared" si="745"/>
        <v>16595.816748492842</v>
      </c>
      <c r="L313" s="552">
        <f t="shared" si="745"/>
        <v>17243.897794637945</v>
      </c>
      <c r="M313" s="552">
        <f t="shared" si="745"/>
        <v>17892.088836680399</v>
      </c>
      <c r="N313" s="552">
        <f t="shared" si="745"/>
        <v>18540.546594112089</v>
      </c>
      <c r="O313" s="552">
        <f t="shared" si="745"/>
        <v>19188.629380857681</v>
      </c>
      <c r="P313" s="552">
        <f t="shared" si="745"/>
        <v>19836.885439032572</v>
      </c>
      <c r="Q313" s="552">
        <f t="shared" si="745"/>
        <v>20550.209867236288</v>
      </c>
      <c r="R313" s="552">
        <f t="shared" si="745"/>
        <v>21263.301820269371</v>
      </c>
      <c r="S313" s="552">
        <f t="shared" si="745"/>
        <v>21976.631832906849</v>
      </c>
      <c r="T313" s="552">
        <f t="shared" si="745"/>
        <v>22689.966173522935</v>
      </c>
      <c r="U313" s="552">
        <f t="shared" si="745"/>
        <v>23403.713351584247</v>
      </c>
      <c r="V313" s="552">
        <f t="shared" si="745"/>
        <v>23957.40957230932</v>
      </c>
      <c r="W313" s="552">
        <f t="shared" si="745"/>
        <v>24408.746963828617</v>
      </c>
      <c r="X313" s="552">
        <f t="shared" si="745"/>
        <v>24860.088792156639</v>
      </c>
      <c r="Y313" s="552">
        <f t="shared" si="745"/>
        <v>25311.435852326846</v>
      </c>
      <c r="Z313" s="552">
        <f t="shared" si="745"/>
        <v>25762.742091233886</v>
      </c>
      <c r="AA313" s="552">
        <f t="shared" si="745"/>
        <v>26214.102512645564</v>
      </c>
      <c r="AB313" s="552">
        <f t="shared" si="745"/>
        <v>26665.424390327466</v>
      </c>
      <c r="AC313" s="552">
        <f t="shared" si="745"/>
        <v>27116.803070609232</v>
      </c>
      <c r="AD313" s="552">
        <f t="shared" si="745"/>
        <v>27568.193182538416</v>
      </c>
      <c r="AE313" s="552">
        <f t="shared" si="745"/>
        <v>28019.549578412785</v>
      </c>
      <c r="AF313" s="552">
        <f t="shared" si="745"/>
        <v>28470.968298508189</v>
      </c>
      <c r="AG313" s="552">
        <f t="shared" si="745"/>
        <v>28922.404739339792</v>
      </c>
      <c r="AH313" s="727">
        <f t="shared" si="745"/>
        <v>29373.814610668058</v>
      </c>
      <c r="AI313" s="18"/>
      <c r="AJ313" s="18"/>
      <c r="AK313" s="18"/>
      <c r="AL313" s="18"/>
      <c r="AM313" s="18"/>
      <c r="AN313" s="18"/>
    </row>
    <row r="314" spans="2:40" ht="21.9" customHeight="1" x14ac:dyDescent="0.25">
      <c r="B314" s="229"/>
      <c r="C314" s="690"/>
      <c r="D314" s="690"/>
      <c r="E314" s="114"/>
      <c r="F314" s="114"/>
      <c r="G314" s="114"/>
      <c r="H314" s="122" t="s">
        <v>19</v>
      </c>
      <c r="I314" s="552">
        <f t="shared" ref="I314:AH314" si="746">I262*$K$21</f>
        <v>62624.007463415772</v>
      </c>
      <c r="J314" s="552">
        <f t="shared" si="746"/>
        <v>64429.270930527549</v>
      </c>
      <c r="K314" s="552">
        <f t="shared" si="746"/>
        <v>66383.266993971367</v>
      </c>
      <c r="L314" s="552">
        <f t="shared" si="746"/>
        <v>68975.591178551782</v>
      </c>
      <c r="M314" s="552">
        <f t="shared" si="746"/>
        <v>71568.355346721597</v>
      </c>
      <c r="N314" s="552">
        <f t="shared" si="746"/>
        <v>74162.186376448357</v>
      </c>
      <c r="O314" s="552">
        <f t="shared" si="746"/>
        <v>76754.517523430724</v>
      </c>
      <c r="P314" s="552">
        <f t="shared" si="746"/>
        <v>79347.541756130289</v>
      </c>
      <c r="Q314" s="552">
        <f t="shared" si="746"/>
        <v>82200.839468945152</v>
      </c>
      <c r="R314" s="552">
        <f t="shared" si="746"/>
        <v>85053.207281077484</v>
      </c>
      <c r="S314" s="552">
        <f t="shared" si="746"/>
        <v>87906.527331627396</v>
      </c>
      <c r="T314" s="552">
        <f t="shared" si="746"/>
        <v>90759.864694091739</v>
      </c>
      <c r="U314" s="552">
        <f t="shared" si="746"/>
        <v>93614.853406336988</v>
      </c>
      <c r="V314" s="552">
        <f t="shared" si="746"/>
        <v>95829.638289237279</v>
      </c>
      <c r="W314" s="552">
        <f t="shared" si="746"/>
        <v>97634.987855314466</v>
      </c>
      <c r="X314" s="552">
        <f t="shared" si="746"/>
        <v>99440.355168626556</v>
      </c>
      <c r="Y314" s="552">
        <f t="shared" si="746"/>
        <v>101245.74340930738</v>
      </c>
      <c r="Z314" s="552">
        <f t="shared" si="746"/>
        <v>103050.96836493554</v>
      </c>
      <c r="AA314" s="552">
        <f t="shared" si="746"/>
        <v>104856.41005058226</v>
      </c>
      <c r="AB314" s="552">
        <f t="shared" si="746"/>
        <v>106661.69756130986</v>
      </c>
      <c r="AC314" s="552">
        <f t="shared" si="746"/>
        <v>108467.21228243693</v>
      </c>
      <c r="AD314" s="552">
        <f t="shared" si="746"/>
        <v>110272.77273015367</v>
      </c>
      <c r="AE314" s="552">
        <f t="shared" si="746"/>
        <v>112078.19831365114</v>
      </c>
      <c r="AF314" s="552">
        <f t="shared" si="746"/>
        <v>113883.87319403276</v>
      </c>
      <c r="AG314" s="552">
        <f t="shared" si="746"/>
        <v>115689.61895735917</v>
      </c>
      <c r="AH314" s="727">
        <f t="shared" si="746"/>
        <v>117495.25844267223</v>
      </c>
      <c r="AI314" s="18"/>
      <c r="AJ314" s="18"/>
      <c r="AK314" s="18"/>
      <c r="AL314" s="18"/>
      <c r="AM314" s="18"/>
      <c r="AN314" s="18"/>
    </row>
    <row r="315" spans="2:40" ht="21.9" customHeight="1" x14ac:dyDescent="0.25">
      <c r="B315" s="229"/>
      <c r="C315" s="690"/>
      <c r="D315" s="690"/>
      <c r="E315" s="114"/>
      <c r="F315" s="114"/>
      <c r="G315" s="114"/>
      <c r="H315" s="696" t="s">
        <v>25</v>
      </c>
      <c r="I315" s="552">
        <f t="shared" ref="I315:AH315" si="747">SUM(I313:I314)</f>
        <v>78280.009329269713</v>
      </c>
      <c r="J315" s="552">
        <f t="shared" si="747"/>
        <v>80536.588663159433</v>
      </c>
      <c r="K315" s="552">
        <f t="shared" si="747"/>
        <v>82979.083742464209</v>
      </c>
      <c r="L315" s="552">
        <f t="shared" si="747"/>
        <v>86219.488973189727</v>
      </c>
      <c r="M315" s="552">
        <f t="shared" si="747"/>
        <v>89460.444183401996</v>
      </c>
      <c r="N315" s="552">
        <f t="shared" si="747"/>
        <v>92702.73297056045</v>
      </c>
      <c r="O315" s="552">
        <f t="shared" si="747"/>
        <v>95943.146904288413</v>
      </c>
      <c r="P315" s="552">
        <f t="shared" si="747"/>
        <v>99184.427195162862</v>
      </c>
      <c r="Q315" s="552">
        <f t="shared" si="747"/>
        <v>102751.04933618144</v>
      </c>
      <c r="R315" s="552">
        <f t="shared" si="747"/>
        <v>106316.50910134686</v>
      </c>
      <c r="S315" s="552">
        <f t="shared" si="747"/>
        <v>109883.15916453424</v>
      </c>
      <c r="T315" s="552">
        <f t="shared" si="747"/>
        <v>113449.83086761467</v>
      </c>
      <c r="U315" s="552">
        <f t="shared" si="747"/>
        <v>117018.56675792123</v>
      </c>
      <c r="V315" s="552">
        <f t="shared" si="747"/>
        <v>119787.0478615466</v>
      </c>
      <c r="W315" s="552">
        <f t="shared" si="747"/>
        <v>122043.73481914308</v>
      </c>
      <c r="X315" s="552">
        <f t="shared" si="747"/>
        <v>124300.44396078319</v>
      </c>
      <c r="Y315" s="552">
        <f t="shared" si="747"/>
        <v>126557.17926163423</v>
      </c>
      <c r="Z315" s="552">
        <f t="shared" si="747"/>
        <v>128813.71045616943</v>
      </c>
      <c r="AA315" s="552">
        <f t="shared" si="747"/>
        <v>131070.51256322782</v>
      </c>
      <c r="AB315" s="552">
        <f t="shared" si="747"/>
        <v>133327.12195163732</v>
      </c>
      <c r="AC315" s="552">
        <f t="shared" si="747"/>
        <v>135584.01535304615</v>
      </c>
      <c r="AD315" s="552">
        <f t="shared" si="747"/>
        <v>137840.96591269207</v>
      </c>
      <c r="AE315" s="552">
        <f t="shared" si="747"/>
        <v>140097.74789206393</v>
      </c>
      <c r="AF315" s="552">
        <f t="shared" si="747"/>
        <v>142354.84149254096</v>
      </c>
      <c r="AG315" s="552">
        <f t="shared" si="747"/>
        <v>144612.02369669895</v>
      </c>
      <c r="AH315" s="727">
        <f t="shared" si="747"/>
        <v>146869.07305334028</v>
      </c>
      <c r="AI315" s="18"/>
      <c r="AJ315" s="18"/>
      <c r="AK315" s="18"/>
      <c r="AL315" s="18"/>
      <c r="AM315" s="18"/>
      <c r="AN315" s="18"/>
    </row>
    <row r="316" spans="2:40" ht="21.9" customHeight="1" x14ac:dyDescent="0.25">
      <c r="B316" s="229"/>
      <c r="C316" s="690"/>
      <c r="D316" s="690"/>
      <c r="E316" s="114"/>
      <c r="F316" s="114" t="s">
        <v>333</v>
      </c>
      <c r="G316" s="114" t="s">
        <v>323</v>
      </c>
      <c r="H316" s="114" t="s">
        <v>20</v>
      </c>
      <c r="I316" s="552">
        <f t="shared" ref="I316:AH316" si="748">I263*$K$20</f>
        <v>2280.0875564445132</v>
      </c>
      <c r="J316" s="552">
        <f t="shared" si="748"/>
        <v>2344.8000442023558</v>
      </c>
      <c r="K316" s="552">
        <f t="shared" si="748"/>
        <v>2416.6138060840563</v>
      </c>
      <c r="L316" s="552">
        <f t="shared" si="748"/>
        <v>2517.4116853685737</v>
      </c>
      <c r="M316" s="552">
        <f t="shared" si="748"/>
        <v>2618.2275697569798</v>
      </c>
      <c r="N316" s="552">
        <f t="shared" si="748"/>
        <v>2719.0644612335009</v>
      </c>
      <c r="O316" s="552">
        <f t="shared" si="748"/>
        <v>2819.8623600170085</v>
      </c>
      <c r="P316" s="552">
        <f t="shared" si="748"/>
        <v>2920.6662712528696</v>
      </c>
      <c r="Q316" s="552">
        <f t="shared" si="748"/>
        <v>3033.9656875950432</v>
      </c>
      <c r="R316" s="552">
        <f t="shared" si="748"/>
        <v>3147.2261322499976</v>
      </c>
      <c r="S316" s="552">
        <f t="shared" si="748"/>
        <v>3260.5256199193122</v>
      </c>
      <c r="T316" s="552">
        <f t="shared" si="748"/>
        <v>3373.8251645979481</v>
      </c>
      <c r="U316" s="552">
        <f t="shared" si="748"/>
        <v>3487.1427875097856</v>
      </c>
      <c r="V316" s="552">
        <f t="shared" si="748"/>
        <v>3571.4702936663271</v>
      </c>
      <c r="W316" s="552">
        <f t="shared" si="748"/>
        <v>3636.183031883219</v>
      </c>
      <c r="X316" s="552">
        <f t="shared" si="748"/>
        <v>3700.8958194592433</v>
      </c>
      <c r="Y316" s="552">
        <f t="shared" si="748"/>
        <v>3765.6086648842575</v>
      </c>
      <c r="Z316" s="552">
        <f t="shared" si="748"/>
        <v>3830.2885764165712</v>
      </c>
      <c r="AA316" s="552">
        <f t="shared" si="748"/>
        <v>3895.0015682231387</v>
      </c>
      <c r="AB316" s="552">
        <f t="shared" si="748"/>
        <v>3959.6816500586738</v>
      </c>
      <c r="AC316" s="552">
        <f t="shared" si="748"/>
        <v>4024.3948397031727</v>
      </c>
      <c r="AD316" s="552">
        <f t="shared" si="748"/>
        <v>4089.1081522936092</v>
      </c>
      <c r="AE316" s="552">
        <f t="shared" si="748"/>
        <v>4153.7886050029238</v>
      </c>
      <c r="AF316" s="552">
        <f t="shared" si="748"/>
        <v>4218.5022228787202</v>
      </c>
      <c r="AG316" s="552">
        <f t="shared" si="748"/>
        <v>4283.2160285868913</v>
      </c>
      <c r="AH316" s="727">
        <f t="shared" si="748"/>
        <v>4347.8970475896413</v>
      </c>
      <c r="AI316" s="18"/>
      <c r="AJ316" s="18"/>
      <c r="AK316" s="18"/>
      <c r="AL316" s="18"/>
      <c r="AM316" s="18"/>
      <c r="AN316" s="18"/>
    </row>
    <row r="317" spans="2:40" ht="21.9" customHeight="1" x14ac:dyDescent="0.25">
      <c r="B317" s="229"/>
      <c r="C317" s="690"/>
      <c r="D317" s="690"/>
      <c r="E317" s="114"/>
      <c r="F317" s="114"/>
      <c r="G317" s="114"/>
      <c r="H317" s="122" t="s">
        <v>19</v>
      </c>
      <c r="I317" s="552">
        <f t="shared" ref="I317:AH317" si="749">I263*$K$21</f>
        <v>9120.3502257780528</v>
      </c>
      <c r="J317" s="552">
        <f t="shared" si="749"/>
        <v>9379.2001768094233</v>
      </c>
      <c r="K317" s="552">
        <f t="shared" si="749"/>
        <v>9666.455224336225</v>
      </c>
      <c r="L317" s="552">
        <f t="shared" si="749"/>
        <v>10069.646741474295</v>
      </c>
      <c r="M317" s="552">
        <f t="shared" si="749"/>
        <v>10472.910279027919</v>
      </c>
      <c r="N317" s="552">
        <f t="shared" si="749"/>
        <v>10876.257844934004</v>
      </c>
      <c r="O317" s="552">
        <f t="shared" si="749"/>
        <v>11279.449440068034</v>
      </c>
      <c r="P317" s="552">
        <f t="shared" si="749"/>
        <v>11682.665085011478</v>
      </c>
      <c r="Q317" s="552">
        <f t="shared" si="749"/>
        <v>12135.862750380173</v>
      </c>
      <c r="R317" s="552">
        <f t="shared" si="749"/>
        <v>12588.90452899999</v>
      </c>
      <c r="S317" s="552">
        <f t="shared" si="749"/>
        <v>13042.102479677249</v>
      </c>
      <c r="T317" s="552">
        <f t="shared" si="749"/>
        <v>13495.300658391792</v>
      </c>
      <c r="U317" s="552">
        <f t="shared" si="749"/>
        <v>13948.571150039143</v>
      </c>
      <c r="V317" s="552">
        <f t="shared" si="749"/>
        <v>14285.881174665308</v>
      </c>
      <c r="W317" s="552">
        <f t="shared" si="749"/>
        <v>14544.732127532876</v>
      </c>
      <c r="X317" s="552">
        <f t="shared" si="749"/>
        <v>14803.583277836973</v>
      </c>
      <c r="Y317" s="552">
        <f t="shared" si="749"/>
        <v>15062.43465953703</v>
      </c>
      <c r="Z317" s="552">
        <f t="shared" si="749"/>
        <v>15321.154305666285</v>
      </c>
      <c r="AA317" s="552">
        <f t="shared" si="749"/>
        <v>15580.006272892555</v>
      </c>
      <c r="AB317" s="552">
        <f t="shared" si="749"/>
        <v>15838.726600234695</v>
      </c>
      <c r="AC317" s="552">
        <f t="shared" si="749"/>
        <v>16097.579358812691</v>
      </c>
      <c r="AD317" s="552">
        <f t="shared" si="749"/>
        <v>16356.432609174437</v>
      </c>
      <c r="AE317" s="552">
        <f t="shared" si="749"/>
        <v>16615.154420011695</v>
      </c>
      <c r="AF317" s="552">
        <f t="shared" si="749"/>
        <v>16874.008891514881</v>
      </c>
      <c r="AG317" s="552">
        <f t="shared" si="749"/>
        <v>17132.864114347565</v>
      </c>
      <c r="AH317" s="727">
        <f t="shared" si="749"/>
        <v>17391.588190358565</v>
      </c>
      <c r="AI317" s="18"/>
      <c r="AJ317" s="18"/>
      <c r="AK317" s="18"/>
      <c r="AL317" s="18"/>
      <c r="AM317" s="18"/>
      <c r="AN317" s="18"/>
    </row>
    <row r="318" spans="2:40" ht="21.9" customHeight="1" x14ac:dyDescent="0.25">
      <c r="B318" s="229"/>
      <c r="C318" s="690"/>
      <c r="D318" s="690"/>
      <c r="E318" s="114"/>
      <c r="F318" s="114"/>
      <c r="G318" s="114"/>
      <c r="H318" s="696" t="s">
        <v>25</v>
      </c>
      <c r="I318" s="552">
        <f t="shared" ref="I318:AH318" si="750">SUM(I316:I317)</f>
        <v>11400.437782222565</v>
      </c>
      <c r="J318" s="552">
        <f t="shared" si="750"/>
        <v>11724.000221011778</v>
      </c>
      <c r="K318" s="552">
        <f t="shared" si="750"/>
        <v>12083.069030420282</v>
      </c>
      <c r="L318" s="552">
        <f t="shared" si="750"/>
        <v>12587.058426842868</v>
      </c>
      <c r="M318" s="552">
        <f t="shared" si="750"/>
        <v>13091.1378487849</v>
      </c>
      <c r="N318" s="552">
        <f t="shared" si="750"/>
        <v>13595.322306167505</v>
      </c>
      <c r="O318" s="552">
        <f t="shared" si="750"/>
        <v>14099.311800085043</v>
      </c>
      <c r="P318" s="552">
        <f t="shared" si="750"/>
        <v>14603.331356264349</v>
      </c>
      <c r="Q318" s="552">
        <f t="shared" si="750"/>
        <v>15169.828437975215</v>
      </c>
      <c r="R318" s="552">
        <f t="shared" si="750"/>
        <v>15736.130661249988</v>
      </c>
      <c r="S318" s="552">
        <f t="shared" si="750"/>
        <v>16302.628099596561</v>
      </c>
      <c r="T318" s="552">
        <f t="shared" si="750"/>
        <v>16869.125822989739</v>
      </c>
      <c r="U318" s="552">
        <f t="shared" si="750"/>
        <v>17435.713937548928</v>
      </c>
      <c r="V318" s="552">
        <f t="shared" si="750"/>
        <v>17857.351468331635</v>
      </c>
      <c r="W318" s="552">
        <f t="shared" si="750"/>
        <v>18180.915159416094</v>
      </c>
      <c r="X318" s="552">
        <f t="shared" si="750"/>
        <v>18504.479097296215</v>
      </c>
      <c r="Y318" s="552">
        <f t="shared" si="750"/>
        <v>18828.043324421287</v>
      </c>
      <c r="Z318" s="552">
        <f t="shared" si="750"/>
        <v>19151.442882082854</v>
      </c>
      <c r="AA318" s="552">
        <f t="shared" si="750"/>
        <v>19475.007841115694</v>
      </c>
      <c r="AB318" s="552">
        <f t="shared" si="750"/>
        <v>19798.408250293367</v>
      </c>
      <c r="AC318" s="552">
        <f t="shared" si="750"/>
        <v>20121.974198515862</v>
      </c>
      <c r="AD318" s="552">
        <f t="shared" si="750"/>
        <v>20445.540761468044</v>
      </c>
      <c r="AE318" s="552">
        <f t="shared" si="750"/>
        <v>20768.943025014618</v>
      </c>
      <c r="AF318" s="552">
        <f t="shared" si="750"/>
        <v>21092.511114393601</v>
      </c>
      <c r="AG318" s="552">
        <f t="shared" si="750"/>
        <v>21416.080142934457</v>
      </c>
      <c r="AH318" s="727">
        <f t="shared" si="750"/>
        <v>21739.485237948207</v>
      </c>
      <c r="AI318" s="18"/>
      <c r="AJ318" s="18"/>
      <c r="AK318" s="18"/>
      <c r="AL318" s="18"/>
      <c r="AM318" s="18"/>
      <c r="AN318" s="18"/>
    </row>
    <row r="319" spans="2:40" ht="21.9" customHeight="1" x14ac:dyDescent="0.25">
      <c r="B319" s="229"/>
      <c r="C319" s="690"/>
      <c r="D319" s="690"/>
      <c r="E319" s="114"/>
      <c r="F319" s="114" t="s">
        <v>323</v>
      </c>
      <c r="G319" s="114" t="s">
        <v>322</v>
      </c>
      <c r="H319" s="114" t="s">
        <v>20</v>
      </c>
      <c r="I319" s="552">
        <f t="shared" ref="I319:AH319" si="751">I264*$K$20</f>
        <v>686.7696641868572</v>
      </c>
      <c r="J319" s="552">
        <f t="shared" si="751"/>
        <v>706.26127389759552</v>
      </c>
      <c r="K319" s="552">
        <f t="shared" si="751"/>
        <v>727.89181082767868</v>
      </c>
      <c r="L319" s="552">
        <f t="shared" si="751"/>
        <v>758.25245889639848</v>
      </c>
      <c r="M319" s="552">
        <f t="shared" si="751"/>
        <v>788.61853244678764</v>
      </c>
      <c r="N319" s="552">
        <f t="shared" si="751"/>
        <v>818.99093665468956</v>
      </c>
      <c r="O319" s="552">
        <f t="shared" si="751"/>
        <v>849.35160070163738</v>
      </c>
      <c r="P319" s="552">
        <f t="shared" si="751"/>
        <v>879.71408205230989</v>
      </c>
      <c r="Q319" s="552">
        <f t="shared" si="751"/>
        <v>913.84026260204337</v>
      </c>
      <c r="R319" s="552">
        <f t="shared" si="751"/>
        <v>947.95472020378747</v>
      </c>
      <c r="S319" s="552">
        <f t="shared" si="751"/>
        <v>982.08095920174753</v>
      </c>
      <c r="T319" s="552">
        <f t="shared" si="751"/>
        <v>1016.2072449153555</v>
      </c>
      <c r="U319" s="552">
        <f t="shared" si="751"/>
        <v>1050.3390160356275</v>
      </c>
      <c r="V319" s="552">
        <f t="shared" si="751"/>
        <v>1075.7388694480862</v>
      </c>
      <c r="W319" s="552">
        <f t="shared" si="751"/>
        <v>1095.2306843946824</v>
      </c>
      <c r="X319" s="552">
        <f t="shared" si="751"/>
        <v>1114.7225397880654</v>
      </c>
      <c r="Y319" s="552">
        <f t="shared" si="751"/>
        <v>1134.2144425851554</v>
      </c>
      <c r="Z319" s="552">
        <f t="shared" si="751"/>
        <v>1153.6964605043302</v>
      </c>
      <c r="AA319" s="552">
        <f t="shared" si="751"/>
        <v>1173.1884832521416</v>
      </c>
      <c r="AB319" s="552">
        <f t="shared" si="751"/>
        <v>1192.6706407243798</v>
      </c>
      <c r="AC319" s="552">
        <f t="shared" si="751"/>
        <v>1212.1628255882654</v>
      </c>
      <c r="AD319" s="552">
        <f t="shared" si="751"/>
        <v>1231.6551111988185</v>
      </c>
      <c r="AE319" s="552">
        <f t="shared" si="751"/>
        <v>1251.1375725794167</v>
      </c>
      <c r="AF319" s="552">
        <f t="shared" si="751"/>
        <v>1270.6301083526332</v>
      </c>
      <c r="AG319" s="552">
        <f t="shared" si="751"/>
        <v>1290.122798042983</v>
      </c>
      <c r="AH319" s="727">
        <f t="shared" si="751"/>
        <v>1309.6057234663833</v>
      </c>
      <c r="AI319" s="18"/>
      <c r="AJ319" s="18"/>
      <c r="AK319" s="18"/>
      <c r="AL319" s="18"/>
      <c r="AM319" s="18"/>
      <c r="AN319" s="18"/>
    </row>
    <row r="320" spans="2:40" ht="21.9" customHeight="1" x14ac:dyDescent="0.25">
      <c r="B320" s="229"/>
      <c r="C320" s="690"/>
      <c r="D320" s="690"/>
      <c r="E320" s="114"/>
      <c r="F320" s="114"/>
      <c r="G320" s="114"/>
      <c r="H320" s="122" t="s">
        <v>19</v>
      </c>
      <c r="I320" s="552">
        <f t="shared" ref="I320:AH320" si="752">I264*$K$21</f>
        <v>2747.0786567474288</v>
      </c>
      <c r="J320" s="552">
        <f t="shared" si="752"/>
        <v>2825.0450955903821</v>
      </c>
      <c r="K320" s="552">
        <f t="shared" si="752"/>
        <v>2911.5672433107147</v>
      </c>
      <c r="L320" s="552">
        <f t="shared" si="752"/>
        <v>3033.0098355855939</v>
      </c>
      <c r="M320" s="552">
        <f t="shared" si="752"/>
        <v>3154.4741297871506</v>
      </c>
      <c r="N320" s="552">
        <f t="shared" si="752"/>
        <v>3275.9637466187583</v>
      </c>
      <c r="O320" s="552">
        <f t="shared" si="752"/>
        <v>3397.4064028065495</v>
      </c>
      <c r="P320" s="552">
        <f t="shared" si="752"/>
        <v>3518.8563282092396</v>
      </c>
      <c r="Q320" s="552">
        <f t="shared" si="752"/>
        <v>3655.3610504081735</v>
      </c>
      <c r="R320" s="552">
        <f t="shared" si="752"/>
        <v>3791.8188808151499</v>
      </c>
      <c r="S320" s="552">
        <f t="shared" si="752"/>
        <v>3928.3238368069901</v>
      </c>
      <c r="T320" s="552">
        <f t="shared" si="752"/>
        <v>4064.8289796614222</v>
      </c>
      <c r="U320" s="552">
        <f t="shared" si="752"/>
        <v>4201.3560641425101</v>
      </c>
      <c r="V320" s="552">
        <f t="shared" si="752"/>
        <v>4302.9554777923449</v>
      </c>
      <c r="W320" s="552">
        <f t="shared" si="752"/>
        <v>4380.9227375787295</v>
      </c>
      <c r="X320" s="552">
        <f t="shared" si="752"/>
        <v>4458.8901591522617</v>
      </c>
      <c r="Y320" s="552">
        <f t="shared" si="752"/>
        <v>4536.8577703406218</v>
      </c>
      <c r="Z320" s="552">
        <f t="shared" si="752"/>
        <v>4614.7858420173206</v>
      </c>
      <c r="AA320" s="552">
        <f t="shared" si="752"/>
        <v>4692.7539330085665</v>
      </c>
      <c r="AB320" s="552">
        <f t="shared" si="752"/>
        <v>4770.6825628975193</v>
      </c>
      <c r="AC320" s="552">
        <f t="shared" si="752"/>
        <v>4848.6513023530615</v>
      </c>
      <c r="AD320" s="552">
        <f t="shared" si="752"/>
        <v>4926.6204447952741</v>
      </c>
      <c r="AE320" s="552">
        <f t="shared" si="752"/>
        <v>5004.5502903176666</v>
      </c>
      <c r="AF320" s="552">
        <f t="shared" si="752"/>
        <v>5082.5204334105329</v>
      </c>
      <c r="AG320" s="552">
        <f t="shared" si="752"/>
        <v>5160.4911921719322</v>
      </c>
      <c r="AH320" s="727">
        <f t="shared" si="752"/>
        <v>5238.4228938655333</v>
      </c>
      <c r="AI320" s="18"/>
      <c r="AJ320" s="18"/>
      <c r="AK320" s="18"/>
      <c r="AL320" s="18"/>
      <c r="AM320" s="18"/>
      <c r="AN320" s="18"/>
    </row>
    <row r="321" spans="2:41" ht="21.9" customHeight="1" x14ac:dyDescent="0.25">
      <c r="B321" s="229"/>
      <c r="C321" s="690"/>
      <c r="D321" s="690"/>
      <c r="E321" s="114"/>
      <c r="F321" s="114"/>
      <c r="G321" s="114"/>
      <c r="H321" s="696" t="s">
        <v>25</v>
      </c>
      <c r="I321" s="552">
        <f t="shared" ref="I321:AH321" si="753">SUM(I319:I320)</f>
        <v>3433.8483209342858</v>
      </c>
      <c r="J321" s="552">
        <f t="shared" si="753"/>
        <v>3531.3063694879775</v>
      </c>
      <c r="K321" s="552">
        <f t="shared" si="753"/>
        <v>3639.4590541383932</v>
      </c>
      <c r="L321" s="552">
        <f t="shared" si="753"/>
        <v>3791.2622944819923</v>
      </c>
      <c r="M321" s="552">
        <f t="shared" si="753"/>
        <v>3943.0926622339384</v>
      </c>
      <c r="N321" s="552">
        <f t="shared" si="753"/>
        <v>4094.9546832734477</v>
      </c>
      <c r="O321" s="552">
        <f t="shared" si="753"/>
        <v>4246.7580035081864</v>
      </c>
      <c r="P321" s="552">
        <f t="shared" si="753"/>
        <v>4398.5704102615491</v>
      </c>
      <c r="Q321" s="552">
        <f t="shared" si="753"/>
        <v>4569.2013130102168</v>
      </c>
      <c r="R321" s="552">
        <f t="shared" si="753"/>
        <v>4739.7736010189374</v>
      </c>
      <c r="S321" s="552">
        <f t="shared" si="753"/>
        <v>4910.4047960087373</v>
      </c>
      <c r="T321" s="552">
        <f t="shared" si="753"/>
        <v>5081.0362245767774</v>
      </c>
      <c r="U321" s="552">
        <f t="shared" si="753"/>
        <v>5251.6950801781377</v>
      </c>
      <c r="V321" s="552">
        <f t="shared" si="753"/>
        <v>5378.6943472404309</v>
      </c>
      <c r="W321" s="552">
        <f t="shared" si="753"/>
        <v>5476.1534219734122</v>
      </c>
      <c r="X321" s="552">
        <f t="shared" si="753"/>
        <v>5573.6126989403274</v>
      </c>
      <c r="Y321" s="552">
        <f t="shared" si="753"/>
        <v>5671.0722129257774</v>
      </c>
      <c r="Z321" s="552">
        <f t="shared" si="753"/>
        <v>5768.482302521651</v>
      </c>
      <c r="AA321" s="552">
        <f t="shared" si="753"/>
        <v>5865.9424162607083</v>
      </c>
      <c r="AB321" s="552">
        <f t="shared" si="753"/>
        <v>5963.3532036218994</v>
      </c>
      <c r="AC321" s="552">
        <f t="shared" si="753"/>
        <v>6060.8141279413267</v>
      </c>
      <c r="AD321" s="552">
        <f t="shared" si="753"/>
        <v>6158.2755559940924</v>
      </c>
      <c r="AE321" s="552">
        <f t="shared" si="753"/>
        <v>6255.6878628970835</v>
      </c>
      <c r="AF321" s="552">
        <f t="shared" si="753"/>
        <v>6353.1505417631661</v>
      </c>
      <c r="AG321" s="552">
        <f t="shared" si="753"/>
        <v>6450.6139902149152</v>
      </c>
      <c r="AH321" s="727">
        <f t="shared" si="753"/>
        <v>6548.0286173319164</v>
      </c>
      <c r="AI321" s="18"/>
      <c r="AJ321" s="18"/>
      <c r="AK321" s="18"/>
      <c r="AL321" s="18"/>
      <c r="AM321" s="18"/>
      <c r="AN321" s="18"/>
    </row>
    <row r="322" spans="2:41" ht="21.9" customHeight="1" x14ac:dyDescent="0.25">
      <c r="B322" s="229"/>
      <c r="C322" s="690"/>
      <c r="D322" s="690"/>
      <c r="E322" s="114"/>
      <c r="F322" s="114" t="s">
        <v>322</v>
      </c>
      <c r="G322" s="114" t="s">
        <v>326</v>
      </c>
      <c r="H322" s="114" t="s">
        <v>20</v>
      </c>
      <c r="I322" s="552">
        <f t="shared" ref="I322:AH322" si="754">I265*$K$20</f>
        <v>1762.1063593425749</v>
      </c>
      <c r="J322" s="552">
        <f t="shared" si="754"/>
        <v>1812.0738225524194</v>
      </c>
      <c r="K322" s="552">
        <f t="shared" si="754"/>
        <v>1869.0104167221086</v>
      </c>
      <c r="L322" s="552">
        <f t="shared" si="754"/>
        <v>1941.7619161879506</v>
      </c>
      <c r="M322" s="552">
        <f t="shared" si="754"/>
        <v>2014.5369111527511</v>
      </c>
      <c r="N322" s="552">
        <f t="shared" si="754"/>
        <v>2087.3001597809184</v>
      </c>
      <c r="O322" s="552">
        <f t="shared" si="754"/>
        <v>2160.0516624621209</v>
      </c>
      <c r="P322" s="552">
        <f t="shared" si="754"/>
        <v>2232.8178513090552</v>
      </c>
      <c r="Q322" s="552">
        <f t="shared" si="754"/>
        <v>2315.0612395999901</v>
      </c>
      <c r="R322" s="552">
        <f t="shared" si="754"/>
        <v>2397.3016956865458</v>
      </c>
      <c r="S322" s="552">
        <f t="shared" si="754"/>
        <v>2479.5333475878579</v>
      </c>
      <c r="T322" s="552">
        <f t="shared" si="754"/>
        <v>2561.7767554652346</v>
      </c>
      <c r="U322" s="552">
        <f t="shared" si="754"/>
        <v>2644.0348590987546</v>
      </c>
      <c r="V322" s="552">
        <f t="shared" si="754"/>
        <v>2710.4604399925938</v>
      </c>
      <c r="W322" s="552">
        <f t="shared" si="754"/>
        <v>2760.4279444402255</v>
      </c>
      <c r="X322" s="552">
        <f t="shared" si="754"/>
        <v>2810.3954571863419</v>
      </c>
      <c r="Y322" s="552">
        <f t="shared" si="754"/>
        <v>2860.3629796844962</v>
      </c>
      <c r="Z322" s="552">
        <f t="shared" si="754"/>
        <v>2910.3158293676602</v>
      </c>
      <c r="AA322" s="552">
        <f t="shared" si="754"/>
        <v>2960.2833766431199</v>
      </c>
      <c r="AB322" s="552">
        <f t="shared" si="754"/>
        <v>3010.2362552304303</v>
      </c>
      <c r="AC322" s="552">
        <f t="shared" si="754"/>
        <v>3060.2038361564846</v>
      </c>
      <c r="AD322" s="552">
        <f t="shared" si="754"/>
        <v>3110.1714380628709</v>
      </c>
      <c r="AE322" s="552">
        <f t="shared" si="754"/>
        <v>3160.1243799690765</v>
      </c>
      <c r="AF322" s="552">
        <f t="shared" si="754"/>
        <v>3210.0920341518417</v>
      </c>
      <c r="AG322" s="552">
        <f t="shared" si="754"/>
        <v>3260.0597205937361</v>
      </c>
      <c r="AH322" s="727">
        <f t="shared" si="754"/>
        <v>3310.0127598019262</v>
      </c>
      <c r="AI322" s="18"/>
      <c r="AJ322" s="18"/>
      <c r="AK322" s="18"/>
      <c r="AL322" s="18"/>
      <c r="AM322" s="18"/>
      <c r="AN322" s="18"/>
    </row>
    <row r="323" spans="2:41" ht="21.9" customHeight="1" x14ac:dyDescent="0.25">
      <c r="B323" s="229"/>
      <c r="C323" s="690"/>
      <c r="D323" s="690"/>
      <c r="E323" s="114"/>
      <c r="F323" s="114"/>
      <c r="G323" s="114"/>
      <c r="H323" s="122" t="s">
        <v>19</v>
      </c>
      <c r="I323" s="552">
        <f t="shared" ref="I323:AH323" si="755">I265*$K$21</f>
        <v>7048.4254373702997</v>
      </c>
      <c r="J323" s="552">
        <f t="shared" si="755"/>
        <v>7248.2952902096777</v>
      </c>
      <c r="K323" s="552">
        <f t="shared" si="755"/>
        <v>7476.0416668884345</v>
      </c>
      <c r="L323" s="552">
        <f t="shared" si="755"/>
        <v>7767.0476647518026</v>
      </c>
      <c r="M323" s="552">
        <f t="shared" si="755"/>
        <v>8058.1476446110046</v>
      </c>
      <c r="N323" s="552">
        <f t="shared" si="755"/>
        <v>8349.2006391236737</v>
      </c>
      <c r="O323" s="552">
        <f t="shared" si="755"/>
        <v>8640.2066498484837</v>
      </c>
      <c r="P323" s="552">
        <f t="shared" si="755"/>
        <v>8931.2714052362207</v>
      </c>
      <c r="Q323" s="552">
        <f t="shared" si="755"/>
        <v>9260.2449583999605</v>
      </c>
      <c r="R323" s="552">
        <f t="shared" si="755"/>
        <v>9589.2067827461833</v>
      </c>
      <c r="S323" s="552">
        <f t="shared" si="755"/>
        <v>9918.1333903514314</v>
      </c>
      <c r="T323" s="552">
        <f t="shared" si="755"/>
        <v>10247.107021860938</v>
      </c>
      <c r="U323" s="552">
        <f t="shared" si="755"/>
        <v>10576.139436395018</v>
      </c>
      <c r="V323" s="552">
        <f t="shared" si="755"/>
        <v>10841.841759970375</v>
      </c>
      <c r="W323" s="552">
        <f t="shared" si="755"/>
        <v>11041.711777760902</v>
      </c>
      <c r="X323" s="552">
        <f t="shared" si="755"/>
        <v>11241.581828745368</v>
      </c>
      <c r="Y323" s="552">
        <f t="shared" si="755"/>
        <v>11441.451918737985</v>
      </c>
      <c r="Z323" s="552">
        <f t="shared" si="755"/>
        <v>11641.263317470641</v>
      </c>
      <c r="AA323" s="552">
        <f t="shared" si="755"/>
        <v>11841.13350657248</v>
      </c>
      <c r="AB323" s="552">
        <f t="shared" si="755"/>
        <v>12040.945020921721</v>
      </c>
      <c r="AC323" s="552">
        <f t="shared" si="755"/>
        <v>12240.815344625938</v>
      </c>
      <c r="AD323" s="552">
        <f t="shared" si="755"/>
        <v>12440.685752251484</v>
      </c>
      <c r="AE323" s="552">
        <f t="shared" si="755"/>
        <v>12640.497519876306</v>
      </c>
      <c r="AF323" s="552">
        <f t="shared" si="755"/>
        <v>12840.368136607367</v>
      </c>
      <c r="AG323" s="552">
        <f t="shared" si="755"/>
        <v>13040.238882374944</v>
      </c>
      <c r="AH323" s="727">
        <f t="shared" si="755"/>
        <v>13240.051039207705</v>
      </c>
      <c r="AI323" s="18"/>
      <c r="AJ323" s="18"/>
      <c r="AK323" s="18"/>
      <c r="AL323" s="18"/>
      <c r="AM323" s="18"/>
      <c r="AN323" s="18"/>
    </row>
    <row r="324" spans="2:41" ht="21.9" customHeight="1" x14ac:dyDescent="0.25">
      <c r="B324" s="229"/>
      <c r="C324" s="690"/>
      <c r="D324" s="690"/>
      <c r="E324" s="114"/>
      <c r="F324" s="114"/>
      <c r="G324" s="114"/>
      <c r="H324" s="696" t="s">
        <v>25</v>
      </c>
      <c r="I324" s="552">
        <f t="shared" ref="I324:AH324" si="756">SUM(I322:I323)</f>
        <v>8810.531796712874</v>
      </c>
      <c r="J324" s="552">
        <f t="shared" si="756"/>
        <v>9060.3691127620968</v>
      </c>
      <c r="K324" s="552">
        <f t="shared" si="756"/>
        <v>9345.0520836105425</v>
      </c>
      <c r="L324" s="552">
        <f t="shared" si="756"/>
        <v>9708.8095809397528</v>
      </c>
      <c r="M324" s="552">
        <f t="shared" si="756"/>
        <v>10072.684555763755</v>
      </c>
      <c r="N324" s="552">
        <f t="shared" si="756"/>
        <v>10436.500798904592</v>
      </c>
      <c r="O324" s="552">
        <f t="shared" si="756"/>
        <v>10800.258312310605</v>
      </c>
      <c r="P324" s="552">
        <f t="shared" si="756"/>
        <v>11164.089256545276</v>
      </c>
      <c r="Q324" s="552">
        <f t="shared" si="756"/>
        <v>11575.306197999951</v>
      </c>
      <c r="R324" s="552">
        <f t="shared" si="756"/>
        <v>11986.50847843273</v>
      </c>
      <c r="S324" s="552">
        <f t="shared" si="756"/>
        <v>12397.666737939289</v>
      </c>
      <c r="T324" s="552">
        <f t="shared" si="756"/>
        <v>12808.883777326173</v>
      </c>
      <c r="U324" s="552">
        <f t="shared" si="756"/>
        <v>13220.174295493773</v>
      </c>
      <c r="V324" s="552">
        <f t="shared" si="756"/>
        <v>13552.302199962969</v>
      </c>
      <c r="W324" s="552">
        <f t="shared" si="756"/>
        <v>13802.139722201127</v>
      </c>
      <c r="X324" s="552">
        <f t="shared" si="756"/>
        <v>14051.977285931709</v>
      </c>
      <c r="Y324" s="552">
        <f t="shared" si="756"/>
        <v>14301.814898422481</v>
      </c>
      <c r="Z324" s="552">
        <f t="shared" si="756"/>
        <v>14551.579146838301</v>
      </c>
      <c r="AA324" s="552">
        <f t="shared" si="756"/>
        <v>14801.416883215599</v>
      </c>
      <c r="AB324" s="552">
        <f t="shared" si="756"/>
        <v>15051.181276152151</v>
      </c>
      <c r="AC324" s="552">
        <f t="shared" si="756"/>
        <v>15301.019180782423</v>
      </c>
      <c r="AD324" s="552">
        <f t="shared" si="756"/>
        <v>15550.857190314355</v>
      </c>
      <c r="AE324" s="552">
        <f t="shared" si="756"/>
        <v>15800.621899845382</v>
      </c>
      <c r="AF324" s="552">
        <f t="shared" si="756"/>
        <v>16050.460170759208</v>
      </c>
      <c r="AG324" s="552">
        <f t="shared" si="756"/>
        <v>16300.29860296868</v>
      </c>
      <c r="AH324" s="727">
        <f t="shared" si="756"/>
        <v>16550.063799009629</v>
      </c>
      <c r="AI324" s="18"/>
      <c r="AJ324" s="18"/>
      <c r="AK324" s="18"/>
      <c r="AL324" s="18"/>
      <c r="AM324" s="18"/>
      <c r="AN324" s="18"/>
    </row>
    <row r="325" spans="2:41" ht="21.9" customHeight="1" x14ac:dyDescent="0.25">
      <c r="B325" s="229"/>
      <c r="C325" s="690"/>
      <c r="D325" s="690"/>
      <c r="E325" s="114"/>
      <c r="F325" s="114" t="s">
        <v>326</v>
      </c>
      <c r="G325" s="114" t="s">
        <v>274</v>
      </c>
      <c r="H325" s="114" t="s">
        <v>20</v>
      </c>
      <c r="I325" s="552">
        <f t="shared" ref="I325:AH325" si="757">I266*$K$20</f>
        <v>12012.827293119686</v>
      </c>
      <c r="J325" s="552">
        <f t="shared" si="757"/>
        <v>12353.471033765005</v>
      </c>
      <c r="K325" s="552">
        <f t="shared" si="757"/>
        <v>12741.625507128027</v>
      </c>
      <c r="L325" s="552">
        <f t="shared" si="757"/>
        <v>13237.595107253655</v>
      </c>
      <c r="M325" s="552">
        <f t="shared" si="757"/>
        <v>13733.724880282989</v>
      </c>
      <c r="N325" s="552">
        <f t="shared" si="757"/>
        <v>14229.774570400863</v>
      </c>
      <c r="O325" s="552">
        <f t="shared" si="757"/>
        <v>14725.744178583724</v>
      </c>
      <c r="P325" s="552">
        <f t="shared" si="757"/>
        <v>15221.813898537268</v>
      </c>
      <c r="Q325" s="552">
        <f t="shared" si="757"/>
        <v>15782.492618159506</v>
      </c>
      <c r="R325" s="552">
        <f t="shared" si="757"/>
        <v>16343.151328028984</v>
      </c>
      <c r="S325" s="552">
        <f t="shared" si="757"/>
        <v>16903.749989665543</v>
      </c>
      <c r="T325" s="552">
        <f t="shared" si="757"/>
        <v>17464.428758368602</v>
      </c>
      <c r="U325" s="552">
        <f t="shared" si="757"/>
        <v>18025.207662874524</v>
      </c>
      <c r="V325" s="552">
        <f t="shared" si="757"/>
        <v>18478.051321416286</v>
      </c>
      <c r="W325" s="552">
        <f t="shared" si="757"/>
        <v>18818.695165397574</v>
      </c>
      <c r="X325" s="552">
        <f t="shared" si="757"/>
        <v>19159.339030173676</v>
      </c>
      <c r="Y325" s="552">
        <f t="shared" si="757"/>
        <v>19499.982919386977</v>
      </c>
      <c r="Z325" s="552">
        <f t="shared" si="757"/>
        <v>19840.526730284644</v>
      </c>
      <c r="AA325" s="552">
        <f t="shared" si="757"/>
        <v>20181.170681586311</v>
      </c>
      <c r="AB325" s="552">
        <f t="shared" si="757"/>
        <v>20521.714564913618</v>
      </c>
      <c r="AC325" s="552">
        <f t="shared" si="757"/>
        <v>20862.358600538853</v>
      </c>
      <c r="AD325" s="552">
        <f t="shared" si="757"/>
        <v>21203.002688737786</v>
      </c>
      <c r="AE325" s="552">
        <f t="shared" si="757"/>
        <v>21543.546730733146</v>
      </c>
      <c r="AF325" s="552">
        <f t="shared" si="757"/>
        <v>21884.190949929176</v>
      </c>
      <c r="AG325" s="552">
        <f t="shared" si="757"/>
        <v>22224.835249961954</v>
      </c>
      <c r="AH325" s="727">
        <f t="shared" si="757"/>
        <v>22565.379535782111</v>
      </c>
      <c r="AI325" s="18"/>
      <c r="AJ325" s="18"/>
      <c r="AK325" s="18"/>
      <c r="AL325" s="18"/>
      <c r="AM325" s="18"/>
      <c r="AN325" s="18"/>
    </row>
    <row r="326" spans="2:41" ht="21.9" customHeight="1" x14ac:dyDescent="0.25">
      <c r="B326" s="229"/>
      <c r="C326" s="690"/>
      <c r="D326" s="690"/>
      <c r="E326" s="114"/>
      <c r="F326" s="114"/>
      <c r="G326" s="114"/>
      <c r="H326" s="122" t="s">
        <v>19</v>
      </c>
      <c r="I326" s="552">
        <f t="shared" ref="I326:AH326" si="758">I266*$K$21</f>
        <v>48051.309172478745</v>
      </c>
      <c r="J326" s="552">
        <f t="shared" si="758"/>
        <v>49413.88413506002</v>
      </c>
      <c r="K326" s="552">
        <f t="shared" si="758"/>
        <v>50966.502028512106</v>
      </c>
      <c r="L326" s="552">
        <f t="shared" si="758"/>
        <v>52950.380429014622</v>
      </c>
      <c r="M326" s="552">
        <f t="shared" si="758"/>
        <v>54934.899521131956</v>
      </c>
      <c r="N326" s="552">
        <f t="shared" si="758"/>
        <v>56919.098281603452</v>
      </c>
      <c r="O326" s="552">
        <f t="shared" si="758"/>
        <v>58902.976714334894</v>
      </c>
      <c r="P326" s="552">
        <f t="shared" si="758"/>
        <v>60887.255594149072</v>
      </c>
      <c r="Q326" s="552">
        <f t="shared" si="758"/>
        <v>63129.970472638022</v>
      </c>
      <c r="R326" s="552">
        <f t="shared" si="758"/>
        <v>65372.605312115935</v>
      </c>
      <c r="S326" s="552">
        <f t="shared" si="758"/>
        <v>67614.999958662171</v>
      </c>
      <c r="T326" s="552">
        <f t="shared" si="758"/>
        <v>69857.715033474407</v>
      </c>
      <c r="U326" s="552">
        <f t="shared" si="758"/>
        <v>72100.830651498094</v>
      </c>
      <c r="V326" s="552">
        <f t="shared" si="758"/>
        <v>73912.205285665143</v>
      </c>
      <c r="W326" s="552">
        <f t="shared" si="758"/>
        <v>75274.780661590295</v>
      </c>
      <c r="X326" s="552">
        <f t="shared" si="758"/>
        <v>76637.356120694705</v>
      </c>
      <c r="Y326" s="552">
        <f t="shared" si="758"/>
        <v>77999.931677547909</v>
      </c>
      <c r="Z326" s="552">
        <f t="shared" si="758"/>
        <v>79362.106921138577</v>
      </c>
      <c r="AA326" s="552">
        <f t="shared" si="758"/>
        <v>80724.682726345243</v>
      </c>
      <c r="AB326" s="552">
        <f t="shared" si="758"/>
        <v>82086.858259654473</v>
      </c>
      <c r="AC326" s="552">
        <f t="shared" si="758"/>
        <v>83449.434402155413</v>
      </c>
      <c r="AD326" s="552">
        <f t="shared" si="758"/>
        <v>84812.010754951145</v>
      </c>
      <c r="AE326" s="552">
        <f t="shared" si="758"/>
        <v>86174.186922932582</v>
      </c>
      <c r="AF326" s="552">
        <f t="shared" si="758"/>
        <v>87536.763799716704</v>
      </c>
      <c r="AG326" s="552">
        <f t="shared" si="758"/>
        <v>88899.340999847816</v>
      </c>
      <c r="AH326" s="727">
        <f t="shared" si="758"/>
        <v>90261.518143128444</v>
      </c>
      <c r="AI326" s="18"/>
      <c r="AJ326" s="18"/>
      <c r="AK326" s="18"/>
      <c r="AL326" s="18"/>
      <c r="AM326" s="18"/>
      <c r="AN326" s="18"/>
    </row>
    <row r="327" spans="2:41" ht="21.9" customHeight="1" x14ac:dyDescent="0.25">
      <c r="B327" s="229"/>
      <c r="C327" s="690"/>
      <c r="D327" s="690"/>
      <c r="E327" s="114"/>
      <c r="F327" s="114"/>
      <c r="G327" s="114"/>
      <c r="H327" s="696" t="s">
        <v>25</v>
      </c>
      <c r="I327" s="552">
        <f t="shared" ref="I327:AH327" si="759">SUM(I325:I326)</f>
        <v>60064.136465598429</v>
      </c>
      <c r="J327" s="552">
        <f t="shared" si="759"/>
        <v>61767.355168825023</v>
      </c>
      <c r="K327" s="552">
        <f t="shared" si="759"/>
        <v>63708.127535640131</v>
      </c>
      <c r="L327" s="552">
        <f t="shared" si="759"/>
        <v>66187.975536268277</v>
      </c>
      <c r="M327" s="552">
        <f t="shared" si="759"/>
        <v>68668.624401414942</v>
      </c>
      <c r="N327" s="552">
        <f t="shared" si="759"/>
        <v>71148.872852004308</v>
      </c>
      <c r="O327" s="552">
        <f t="shared" si="759"/>
        <v>73628.720892918616</v>
      </c>
      <c r="P327" s="552">
        <f t="shared" si="759"/>
        <v>76109.069492686336</v>
      </c>
      <c r="Q327" s="552">
        <f t="shared" si="759"/>
        <v>78912.463090797522</v>
      </c>
      <c r="R327" s="552">
        <f t="shared" si="759"/>
        <v>81715.756640144915</v>
      </c>
      <c r="S327" s="552">
        <f t="shared" si="759"/>
        <v>84518.749948327721</v>
      </c>
      <c r="T327" s="552">
        <f t="shared" si="759"/>
        <v>87322.143791843002</v>
      </c>
      <c r="U327" s="552">
        <f t="shared" si="759"/>
        <v>90126.038314372621</v>
      </c>
      <c r="V327" s="552">
        <f t="shared" si="759"/>
        <v>92390.256607081421</v>
      </c>
      <c r="W327" s="552">
        <f t="shared" si="759"/>
        <v>94093.475826987866</v>
      </c>
      <c r="X327" s="552">
        <f t="shared" si="759"/>
        <v>95796.695150868385</v>
      </c>
      <c r="Y327" s="552">
        <f t="shared" si="759"/>
        <v>97499.91459693489</v>
      </c>
      <c r="Z327" s="552">
        <f t="shared" si="759"/>
        <v>99202.633651423224</v>
      </c>
      <c r="AA327" s="552">
        <f t="shared" si="759"/>
        <v>100905.85340793156</v>
      </c>
      <c r="AB327" s="552">
        <f t="shared" si="759"/>
        <v>102608.57282456809</v>
      </c>
      <c r="AC327" s="552">
        <f t="shared" si="759"/>
        <v>104311.79300269426</v>
      </c>
      <c r="AD327" s="552">
        <f t="shared" si="759"/>
        <v>106015.01344368893</v>
      </c>
      <c r="AE327" s="552">
        <f t="shared" si="759"/>
        <v>107717.73365366572</v>
      </c>
      <c r="AF327" s="552">
        <f t="shared" si="759"/>
        <v>109420.95474964588</v>
      </c>
      <c r="AG327" s="552">
        <f t="shared" si="759"/>
        <v>111124.17624980977</v>
      </c>
      <c r="AH327" s="727">
        <f t="shared" si="759"/>
        <v>112826.89767891055</v>
      </c>
      <c r="AI327" s="18"/>
      <c r="AJ327" s="18"/>
      <c r="AK327" s="18"/>
      <c r="AL327" s="18"/>
      <c r="AM327" s="18"/>
      <c r="AN327" s="18"/>
    </row>
    <row r="328" spans="2:41" ht="21.9" customHeight="1" x14ac:dyDescent="0.25">
      <c r="B328" s="229"/>
      <c r="C328" s="690"/>
      <c r="D328" s="690"/>
      <c r="E328" s="114"/>
      <c r="F328" s="114" t="s">
        <v>274</v>
      </c>
      <c r="G328" s="114" t="s">
        <v>317</v>
      </c>
      <c r="H328" s="114" t="s">
        <v>20</v>
      </c>
      <c r="I328" s="552">
        <f t="shared" ref="I328:AH328" si="760">I267*$K$20</f>
        <v>300.01661128584107</v>
      </c>
      <c r="J328" s="552">
        <f t="shared" si="760"/>
        <v>308.52413940082653</v>
      </c>
      <c r="K328" s="552">
        <f t="shared" si="760"/>
        <v>318.2182654321835</v>
      </c>
      <c r="L328" s="552">
        <f t="shared" si="760"/>
        <v>330.60511581872754</v>
      </c>
      <c r="M328" s="552">
        <f t="shared" si="760"/>
        <v>342.99604445669263</v>
      </c>
      <c r="N328" s="552">
        <f t="shared" si="760"/>
        <v>355.38508145247897</v>
      </c>
      <c r="O328" s="552">
        <f t="shared" si="760"/>
        <v>367.77226748290343</v>
      </c>
      <c r="P328" s="552">
        <f t="shared" si="760"/>
        <v>380.16215679746438</v>
      </c>
      <c r="Q328" s="552">
        <f t="shared" si="760"/>
        <v>394.1660607980283</v>
      </c>
      <c r="R328" s="552">
        <f t="shared" si="760"/>
        <v>408.16994908273102</v>
      </c>
      <c r="S328" s="552">
        <f t="shared" si="760"/>
        <v>422.17299978588147</v>
      </c>
      <c r="T328" s="552">
        <f t="shared" si="760"/>
        <v>436.17894836822734</v>
      </c>
      <c r="U328" s="552">
        <f t="shared" si="760"/>
        <v>450.18860135487324</v>
      </c>
      <c r="V328" s="552">
        <f t="shared" si="760"/>
        <v>461.50290770989523</v>
      </c>
      <c r="W328" s="552">
        <f t="shared" si="760"/>
        <v>470.01474053874466</v>
      </c>
      <c r="X328" s="552">
        <f t="shared" si="760"/>
        <v>478.52743962667887</v>
      </c>
      <c r="Y328" s="552">
        <f t="shared" si="760"/>
        <v>487.04115670646547</v>
      </c>
      <c r="Z328" s="552">
        <f t="shared" si="760"/>
        <v>495.55356415412052</v>
      </c>
      <c r="AA328" s="552">
        <f t="shared" si="760"/>
        <v>504.06986767768689</v>
      </c>
      <c r="AB328" s="552">
        <f t="shared" si="760"/>
        <v>512.58529236010725</v>
      </c>
      <c r="AC328" s="552">
        <f t="shared" si="760"/>
        <v>521.10510858864859</v>
      </c>
      <c r="AD328" s="552">
        <f t="shared" si="760"/>
        <v>529.62711490368838</v>
      </c>
      <c r="AE328" s="552">
        <f t="shared" si="760"/>
        <v>538.14914929411157</v>
      </c>
      <c r="AF328" s="552">
        <f t="shared" si="760"/>
        <v>546.67661261534693</v>
      </c>
      <c r="AG328" s="552">
        <f t="shared" si="760"/>
        <v>555.20744338997144</v>
      </c>
      <c r="AH328" s="727">
        <f t="shared" si="760"/>
        <v>563.73963490160838</v>
      </c>
      <c r="AI328" s="18"/>
      <c r="AJ328" s="18"/>
      <c r="AK328" s="18"/>
      <c r="AL328" s="18"/>
      <c r="AM328" s="18"/>
      <c r="AN328" s="18"/>
    </row>
    <row r="329" spans="2:41" ht="21.9" customHeight="1" x14ac:dyDescent="0.25">
      <c r="B329" s="229"/>
      <c r="C329" s="690"/>
      <c r="D329" s="690"/>
      <c r="E329" s="114"/>
      <c r="F329" s="114"/>
      <c r="G329" s="114"/>
      <c r="H329" s="122" t="s">
        <v>19</v>
      </c>
      <c r="I329" s="552">
        <f t="shared" ref="I329:AH329" si="761">I267*$K$21</f>
        <v>1200.0664451433643</v>
      </c>
      <c r="J329" s="552">
        <f t="shared" si="761"/>
        <v>1234.0965576033061</v>
      </c>
      <c r="K329" s="552">
        <f t="shared" si="761"/>
        <v>1272.873061728734</v>
      </c>
      <c r="L329" s="552">
        <f t="shared" si="761"/>
        <v>1322.4204632749102</v>
      </c>
      <c r="M329" s="552">
        <f t="shared" si="761"/>
        <v>1371.9841778267705</v>
      </c>
      <c r="N329" s="552">
        <f t="shared" si="761"/>
        <v>1421.5403258099159</v>
      </c>
      <c r="O329" s="552">
        <f t="shared" si="761"/>
        <v>1471.0890699316137</v>
      </c>
      <c r="P329" s="552">
        <f t="shared" si="761"/>
        <v>1520.6486271898575</v>
      </c>
      <c r="Q329" s="552">
        <f t="shared" si="761"/>
        <v>1576.6642431921132</v>
      </c>
      <c r="R329" s="552">
        <f t="shared" si="761"/>
        <v>1632.6797963309241</v>
      </c>
      <c r="S329" s="552">
        <f t="shared" si="761"/>
        <v>1688.6919991435259</v>
      </c>
      <c r="T329" s="552">
        <f t="shared" si="761"/>
        <v>1744.7157934729094</v>
      </c>
      <c r="U329" s="552">
        <f t="shared" si="761"/>
        <v>1800.754405419493</v>
      </c>
      <c r="V329" s="552">
        <f t="shared" si="761"/>
        <v>1846.0116308395809</v>
      </c>
      <c r="W329" s="552">
        <f t="shared" si="761"/>
        <v>1880.0589621549786</v>
      </c>
      <c r="X329" s="552">
        <f t="shared" si="761"/>
        <v>1914.1097585067155</v>
      </c>
      <c r="Y329" s="552">
        <f t="shared" si="761"/>
        <v>1948.1646268258619</v>
      </c>
      <c r="Z329" s="552">
        <f t="shared" si="761"/>
        <v>1982.2142566164821</v>
      </c>
      <c r="AA329" s="552">
        <f t="shared" si="761"/>
        <v>2016.2794707107475</v>
      </c>
      <c r="AB329" s="552">
        <f t="shared" si="761"/>
        <v>2050.341169440429</v>
      </c>
      <c r="AC329" s="552">
        <f t="shared" si="761"/>
        <v>2084.4204343545944</v>
      </c>
      <c r="AD329" s="552">
        <f t="shared" si="761"/>
        <v>2118.5084596147535</v>
      </c>
      <c r="AE329" s="552">
        <f t="shared" si="761"/>
        <v>2152.5965971764463</v>
      </c>
      <c r="AF329" s="552">
        <f t="shared" si="761"/>
        <v>2186.7064504613877</v>
      </c>
      <c r="AG329" s="552">
        <f t="shared" si="761"/>
        <v>2220.8297735598858</v>
      </c>
      <c r="AH329" s="727">
        <f t="shared" si="761"/>
        <v>2254.9585396064335</v>
      </c>
      <c r="AI329" s="18"/>
      <c r="AJ329" s="18"/>
      <c r="AK329" s="18"/>
      <c r="AL329" s="18"/>
      <c r="AM329" s="18"/>
      <c r="AN329" s="18"/>
    </row>
    <row r="330" spans="2:41" ht="21.9" customHeight="1" thickBot="1" x14ac:dyDescent="0.3">
      <c r="B330" s="464"/>
      <c r="C330" s="739"/>
      <c r="D330" s="739"/>
      <c r="E330" s="274"/>
      <c r="F330" s="274"/>
      <c r="G330" s="274"/>
      <c r="H330" s="740" t="s">
        <v>25</v>
      </c>
      <c r="I330" s="710">
        <f t="shared" ref="I330:AH330" si="762">SUM(I328:I329)</f>
        <v>1500.0830564292053</v>
      </c>
      <c r="J330" s="710">
        <f t="shared" si="762"/>
        <v>1542.6206970041326</v>
      </c>
      <c r="K330" s="710">
        <f t="shared" si="762"/>
        <v>1591.0913271609174</v>
      </c>
      <c r="L330" s="710">
        <f t="shared" si="762"/>
        <v>1653.0255790936376</v>
      </c>
      <c r="M330" s="710">
        <f t="shared" si="762"/>
        <v>1714.9802222834633</v>
      </c>
      <c r="N330" s="710">
        <f t="shared" si="762"/>
        <v>1776.9254072623949</v>
      </c>
      <c r="O330" s="710">
        <f t="shared" si="762"/>
        <v>1838.861337414517</v>
      </c>
      <c r="P330" s="710">
        <f t="shared" si="762"/>
        <v>1900.8107839873219</v>
      </c>
      <c r="Q330" s="710">
        <f t="shared" si="762"/>
        <v>1970.8303039901416</v>
      </c>
      <c r="R330" s="710">
        <f t="shared" si="762"/>
        <v>2040.849745413655</v>
      </c>
      <c r="S330" s="710">
        <f t="shared" si="762"/>
        <v>2110.8649989294072</v>
      </c>
      <c r="T330" s="710">
        <f t="shared" si="762"/>
        <v>2180.8947418411367</v>
      </c>
      <c r="U330" s="710">
        <f t="shared" si="762"/>
        <v>2250.943006774366</v>
      </c>
      <c r="V330" s="710">
        <f t="shared" si="762"/>
        <v>2307.5145385494761</v>
      </c>
      <c r="W330" s="710">
        <f t="shared" si="762"/>
        <v>2350.0737026937231</v>
      </c>
      <c r="X330" s="710">
        <f t="shared" si="762"/>
        <v>2392.6371981333941</v>
      </c>
      <c r="Y330" s="710">
        <f t="shared" si="762"/>
        <v>2435.2057835323276</v>
      </c>
      <c r="Z330" s="710">
        <f t="shared" si="762"/>
        <v>2477.7678207706026</v>
      </c>
      <c r="AA330" s="710">
        <f t="shared" si="762"/>
        <v>2520.3493383884343</v>
      </c>
      <c r="AB330" s="710">
        <f t="shared" si="762"/>
        <v>2562.9264618005363</v>
      </c>
      <c r="AC330" s="710">
        <f t="shared" si="762"/>
        <v>2605.5255429432427</v>
      </c>
      <c r="AD330" s="710">
        <f t="shared" si="762"/>
        <v>2648.1355745184419</v>
      </c>
      <c r="AE330" s="710">
        <f t="shared" si="762"/>
        <v>2690.7457464705576</v>
      </c>
      <c r="AF330" s="710">
        <f t="shared" si="762"/>
        <v>2733.3830630767347</v>
      </c>
      <c r="AG330" s="710">
        <f t="shared" si="762"/>
        <v>2776.0372169498573</v>
      </c>
      <c r="AH330" s="741">
        <f t="shared" si="762"/>
        <v>2818.698174508042</v>
      </c>
      <c r="AI330" s="18"/>
      <c r="AJ330" s="18"/>
      <c r="AK330" s="18"/>
      <c r="AL330" s="18"/>
      <c r="AM330" s="18"/>
      <c r="AN330" s="18"/>
    </row>
    <row r="331" spans="2:41" ht="21.9" customHeight="1" thickBot="1" x14ac:dyDescent="0.3">
      <c r="B331" s="464"/>
      <c r="C331" s="739"/>
      <c r="D331" s="739"/>
      <c r="E331" s="274"/>
      <c r="F331" s="274"/>
      <c r="G331" s="274"/>
      <c r="H331" s="742" t="s">
        <v>481</v>
      </c>
      <c r="I331" s="742">
        <f>SUM(I273,I276,I279,I282,I285,I288,I291,I294,I297,I300,I303,I306,I312,I315,I318,I321,I324,I327,I330)</f>
        <v>691944.53345760773</v>
      </c>
      <c r="J331" s="742">
        <f t="shared" ref="J331:AH331" si="763">SUM(J273,J276,J279,J282,J285,J288,J291,J294,J297,J300,J303,J306,J312,J315,J318,J321,J324,J327,J330)</f>
        <v>732016.26844562148</v>
      </c>
      <c r="K331" s="742">
        <f t="shared" si="763"/>
        <v>812339.5484063091</v>
      </c>
      <c r="L331" s="742">
        <f t="shared" si="763"/>
        <v>948474.85558861319</v>
      </c>
      <c r="M331" s="742">
        <f t="shared" si="763"/>
        <v>1085368.4765472447</v>
      </c>
      <c r="N331" s="742">
        <f t="shared" si="763"/>
        <v>1223361.182847786</v>
      </c>
      <c r="O331" s="742">
        <f t="shared" si="763"/>
        <v>1363163.731818428</v>
      </c>
      <c r="P331" s="742">
        <f t="shared" si="763"/>
        <v>1507387.3549178392</v>
      </c>
      <c r="Q331" s="742">
        <f t="shared" si="763"/>
        <v>1649872.5476780445</v>
      </c>
      <c r="R331" s="742">
        <f t="shared" si="763"/>
        <v>1805070.8395086944</v>
      </c>
      <c r="S331" s="742">
        <f t="shared" si="763"/>
        <v>1984799.6052816557</v>
      </c>
      <c r="T331" s="742">
        <f t="shared" si="763"/>
        <v>2212132.1073980341</v>
      </c>
      <c r="U331" s="742">
        <f t="shared" si="763"/>
        <v>2509093.3751397217</v>
      </c>
      <c r="V331" s="742">
        <f t="shared" si="763"/>
        <v>2664168.5886875074</v>
      </c>
      <c r="W331" s="742">
        <f t="shared" si="763"/>
        <v>2745808.0361707942</v>
      </c>
      <c r="X331" s="742">
        <f t="shared" si="763"/>
        <v>2817164.7961361152</v>
      </c>
      <c r="Y331" s="742">
        <f t="shared" si="763"/>
        <v>2864405.38134471</v>
      </c>
      <c r="Z331" s="742">
        <f t="shared" si="763"/>
        <v>2911908.0883909394</v>
      </c>
      <c r="AA331" s="742">
        <f t="shared" si="763"/>
        <v>2959607.7420010399</v>
      </c>
      <c r="AB331" s="742">
        <f t="shared" si="763"/>
        <v>3007656.7617791859</v>
      </c>
      <c r="AC331" s="742">
        <f t="shared" si="763"/>
        <v>3056002.83834237</v>
      </c>
      <c r="AD331" s="742">
        <f t="shared" si="763"/>
        <v>3104761.9507023906</v>
      </c>
      <c r="AE331" s="742">
        <f t="shared" si="763"/>
        <v>3154060.5582225109</v>
      </c>
      <c r="AF331" s="742">
        <f t="shared" si="763"/>
        <v>3203875.303411081</v>
      </c>
      <c r="AG331" s="742">
        <f t="shared" si="763"/>
        <v>3254356.1409308729</v>
      </c>
      <c r="AH331" s="742">
        <f t="shared" si="763"/>
        <v>3305669.3091156771</v>
      </c>
      <c r="AI331" s="18"/>
      <c r="AJ331" s="18"/>
      <c r="AK331" s="18"/>
      <c r="AL331" s="18"/>
      <c r="AM331" s="18"/>
      <c r="AN331" s="18"/>
    </row>
    <row r="332" spans="2:41" ht="21.9" customHeight="1" x14ac:dyDescent="0.25">
      <c r="B332" s="9"/>
      <c r="C332" s="690"/>
      <c r="D332" s="690"/>
      <c r="E332" s="114"/>
      <c r="F332" s="114"/>
      <c r="G332" s="114"/>
      <c r="H332" s="743"/>
      <c r="I332" s="743"/>
      <c r="J332" s="743"/>
      <c r="K332" s="743"/>
      <c r="L332" s="743"/>
      <c r="M332" s="743"/>
      <c r="N332" s="743"/>
      <c r="O332" s="743"/>
      <c r="P332" s="743"/>
      <c r="Q332" s="743"/>
      <c r="R332" s="743"/>
      <c r="S332" s="743"/>
      <c r="T332" s="743"/>
      <c r="U332" s="743"/>
      <c r="V332" s="743"/>
      <c r="W332" s="743"/>
      <c r="X332" s="743"/>
      <c r="Y332" s="743"/>
      <c r="Z332" s="743"/>
      <c r="AA332" s="743"/>
      <c r="AB332" s="743"/>
      <c r="AC332" s="743"/>
      <c r="AD332" s="743"/>
      <c r="AE332" s="743"/>
      <c r="AF332" s="743"/>
      <c r="AG332" s="743"/>
      <c r="AH332" s="743"/>
      <c r="AI332" s="18"/>
      <c r="AJ332" s="18"/>
      <c r="AK332" s="18"/>
      <c r="AL332" s="18"/>
      <c r="AM332" s="18"/>
      <c r="AN332" s="18"/>
    </row>
    <row r="333" spans="2:41" ht="21.9" customHeight="1" thickBot="1" x14ac:dyDescent="0.3">
      <c r="B333" s="9"/>
      <c r="C333" s="690"/>
      <c r="D333" s="690"/>
      <c r="E333" s="114"/>
      <c r="F333" s="114"/>
      <c r="G333" s="114"/>
      <c r="H333" s="743"/>
      <c r="I333" s="743"/>
      <c r="J333" s="743"/>
      <c r="K333" s="743"/>
      <c r="L333" s="743"/>
      <c r="M333" s="743"/>
      <c r="N333" s="743"/>
      <c r="O333" s="743"/>
      <c r="P333" s="743"/>
      <c r="Q333" s="743"/>
      <c r="R333" s="743"/>
      <c r="S333" s="743"/>
      <c r="T333" s="743"/>
      <c r="U333" s="743"/>
      <c r="V333" s="743"/>
      <c r="W333" s="743"/>
      <c r="X333" s="743"/>
      <c r="Y333" s="743"/>
      <c r="Z333" s="743"/>
      <c r="AA333" s="743"/>
      <c r="AB333" s="743"/>
      <c r="AC333" s="743"/>
      <c r="AD333" s="743"/>
      <c r="AE333" s="743"/>
      <c r="AF333" s="743"/>
      <c r="AG333" s="743"/>
      <c r="AH333" s="743"/>
      <c r="AI333" s="18"/>
      <c r="AJ333" s="18"/>
      <c r="AK333" s="18"/>
      <c r="AL333" s="18"/>
      <c r="AM333" s="18"/>
      <c r="AN333" s="18"/>
    </row>
    <row r="334" spans="2:41" s="7" customFormat="1" ht="21.9" customHeight="1" thickBot="1" x14ac:dyDescent="0.3">
      <c r="B334" s="231"/>
      <c r="C334" s="462" t="s">
        <v>2</v>
      </c>
      <c r="D334" s="462"/>
      <c r="E334" s="462" t="s">
        <v>312</v>
      </c>
      <c r="F334" s="1326" t="s">
        <v>18</v>
      </c>
      <c r="G334" s="1326"/>
      <c r="H334" s="462" t="s">
        <v>24</v>
      </c>
      <c r="I334" s="738">
        <v>2023</v>
      </c>
      <c r="J334" s="738">
        <v>2024</v>
      </c>
      <c r="K334" s="738">
        <v>2025</v>
      </c>
      <c r="L334" s="738">
        <v>2026</v>
      </c>
      <c r="M334" s="738">
        <v>2027</v>
      </c>
      <c r="N334" s="738">
        <v>2028</v>
      </c>
      <c r="O334" s="738">
        <v>2029</v>
      </c>
      <c r="P334" s="738">
        <v>2030</v>
      </c>
      <c r="Q334" s="738">
        <v>2031</v>
      </c>
      <c r="R334" s="738">
        <v>2032</v>
      </c>
      <c r="S334" s="738">
        <v>2033</v>
      </c>
      <c r="T334" s="738">
        <v>2034</v>
      </c>
      <c r="U334" s="738">
        <v>2035</v>
      </c>
      <c r="V334" s="738">
        <v>2036</v>
      </c>
      <c r="W334" s="738">
        <v>2037</v>
      </c>
      <c r="X334" s="738">
        <v>2038</v>
      </c>
      <c r="Y334" s="738">
        <v>2039</v>
      </c>
      <c r="Z334" s="738">
        <v>2040</v>
      </c>
      <c r="AA334" s="738">
        <v>2041</v>
      </c>
      <c r="AB334" s="738">
        <v>2042</v>
      </c>
      <c r="AC334" s="738">
        <v>2043</v>
      </c>
      <c r="AD334" s="738">
        <v>2044</v>
      </c>
      <c r="AE334" s="738">
        <v>2045</v>
      </c>
      <c r="AF334" s="738">
        <v>2046</v>
      </c>
      <c r="AG334" s="738">
        <v>2047</v>
      </c>
      <c r="AH334" s="737">
        <v>2048</v>
      </c>
      <c r="AI334" s="461"/>
      <c r="AJ334" s="461"/>
      <c r="AK334" s="461"/>
      <c r="AL334" s="461"/>
      <c r="AM334" s="461"/>
      <c r="AN334" s="461"/>
      <c r="AO334" s="461"/>
    </row>
    <row r="335" spans="2:41" ht="21.9" customHeight="1" x14ac:dyDescent="0.25">
      <c r="B335" s="196" t="s">
        <v>211</v>
      </c>
      <c r="C335" s="114" t="s">
        <v>130</v>
      </c>
      <c r="D335" s="237" t="s">
        <v>23</v>
      </c>
      <c r="E335" s="1327" t="s">
        <v>315</v>
      </c>
      <c r="F335" s="114" t="s">
        <v>316</v>
      </c>
      <c r="G335" s="114" t="s">
        <v>276</v>
      </c>
      <c r="H335" s="114" t="s">
        <v>20</v>
      </c>
      <c r="I335" s="552">
        <f t="shared" ref="I335:AH335" si="764">I271*$D$11</f>
        <v>2839.7034752162758</v>
      </c>
      <c r="J335" s="552">
        <f t="shared" si="764"/>
        <v>2968.833342052636</v>
      </c>
      <c r="K335" s="552">
        <f t="shared" si="764"/>
        <v>3150.7686661133293</v>
      </c>
      <c r="L335" s="552">
        <f t="shared" si="764"/>
        <v>3418.3997915320092</v>
      </c>
      <c r="M335" s="552">
        <f t="shared" si="764"/>
        <v>3686.1581842869969</v>
      </c>
      <c r="N335" s="552">
        <f t="shared" si="764"/>
        <v>3953.9747185570686</v>
      </c>
      <c r="O335" s="552">
        <f t="shared" si="764"/>
        <v>4221.8023589608683</v>
      </c>
      <c r="P335" s="552">
        <f t="shared" si="764"/>
        <v>4490.0210524056411</v>
      </c>
      <c r="Q335" s="552">
        <f t="shared" si="764"/>
        <v>4755.3994730540635</v>
      </c>
      <c r="R335" s="552">
        <f t="shared" si="764"/>
        <v>5021.3850580921871</v>
      </c>
      <c r="S335" s="552">
        <f t="shared" si="764"/>
        <v>5288.217004989101</v>
      </c>
      <c r="T335" s="552">
        <f t="shared" si="764"/>
        <v>5556.4755597440217</v>
      </c>
      <c r="U335" s="552">
        <f t="shared" si="764"/>
        <v>5827.1464933995849</v>
      </c>
      <c r="V335" s="552">
        <f t="shared" si="764"/>
        <v>6011.7639965267981</v>
      </c>
      <c r="W335" s="552">
        <f t="shared" si="764"/>
        <v>6146.2620294136414</v>
      </c>
      <c r="X335" s="552">
        <f t="shared" si="764"/>
        <v>6282.0212968713513</v>
      </c>
      <c r="Y335" s="552">
        <f t="shared" si="764"/>
        <v>6419.3023690735254</v>
      </c>
      <c r="Z335" s="552">
        <f t="shared" si="764"/>
        <v>6558.4607448453226</v>
      </c>
      <c r="AA335" s="552">
        <f t="shared" si="764"/>
        <v>6699.7622691808983</v>
      </c>
      <c r="AB335" s="552">
        <f t="shared" si="764"/>
        <v>6843.7278349002245</v>
      </c>
      <c r="AC335" s="552">
        <f t="shared" si="764"/>
        <v>6990.7534289797177</v>
      </c>
      <c r="AD335" s="552">
        <f t="shared" si="764"/>
        <v>7141.4643437971181</v>
      </c>
      <c r="AE335" s="552">
        <f t="shared" si="764"/>
        <v>7296.5840951259834</v>
      </c>
      <c r="AF335" s="552">
        <f t="shared" si="764"/>
        <v>7456.7817382616922</v>
      </c>
      <c r="AG335" s="552">
        <f t="shared" si="764"/>
        <v>7623.0055767363974</v>
      </c>
      <c r="AH335" s="727">
        <f t="shared" si="764"/>
        <v>7796.3487471025346</v>
      </c>
      <c r="AI335" s="18"/>
      <c r="AJ335" s="18"/>
      <c r="AK335" s="18"/>
      <c r="AL335" s="18"/>
      <c r="AM335" s="18"/>
      <c r="AN335" s="18"/>
    </row>
    <row r="336" spans="2:41" ht="21.9" customHeight="1" x14ac:dyDescent="0.25">
      <c r="B336" s="463" t="s">
        <v>158</v>
      </c>
      <c r="C336" s="690"/>
      <c r="D336" s="237"/>
      <c r="E336" s="1327"/>
      <c r="F336" s="114"/>
      <c r="G336" s="114"/>
      <c r="H336" s="122" t="s">
        <v>19</v>
      </c>
      <c r="I336" s="552">
        <f t="shared" ref="I336:AH336" si="765">I272*$D$12</f>
        <v>6028.7662239213269</v>
      </c>
      <c r="J336" s="552">
        <f t="shared" si="765"/>
        <v>6302.9123756152858</v>
      </c>
      <c r="K336" s="552">
        <f t="shared" si="765"/>
        <v>6689.1659215253048</v>
      </c>
      <c r="L336" s="552">
        <f t="shared" si="765"/>
        <v>7257.3539395616972</v>
      </c>
      <c r="M336" s="552">
        <f t="shared" si="765"/>
        <v>7825.8121495477899</v>
      </c>
      <c r="N336" s="552">
        <f t="shared" si="765"/>
        <v>8394.3937955212677</v>
      </c>
      <c r="O336" s="552">
        <f t="shared" si="765"/>
        <v>8962.999020112893</v>
      </c>
      <c r="P336" s="552">
        <f t="shared" si="765"/>
        <v>9532.4344607414259</v>
      </c>
      <c r="Q336" s="552">
        <f t="shared" si="765"/>
        <v>10095.839926462084</v>
      </c>
      <c r="R336" s="552">
        <f t="shared" si="765"/>
        <v>10660.534418377534</v>
      </c>
      <c r="S336" s="552">
        <f t="shared" si="765"/>
        <v>11227.02575909499</v>
      </c>
      <c r="T336" s="552">
        <f t="shared" si="765"/>
        <v>11796.545826348223</v>
      </c>
      <c r="U336" s="552">
        <f t="shared" si="765"/>
        <v>12371.187438355135</v>
      </c>
      <c r="V336" s="552">
        <f t="shared" si="765"/>
        <v>12763.135321967617</v>
      </c>
      <c r="W336" s="552">
        <f t="shared" si="765"/>
        <v>13048.678233376811</v>
      </c>
      <c r="X336" s="552">
        <f t="shared" si="765"/>
        <v>13336.898779422032</v>
      </c>
      <c r="Y336" s="552">
        <f t="shared" si="765"/>
        <v>13628.350157532253</v>
      </c>
      <c r="Z336" s="552">
        <f t="shared" si="765"/>
        <v>13923.787101195841</v>
      </c>
      <c r="AA336" s="552">
        <f t="shared" si="765"/>
        <v>14223.774006426513</v>
      </c>
      <c r="AB336" s="552">
        <f t="shared" si="765"/>
        <v>14529.416742575326</v>
      </c>
      <c r="AC336" s="552">
        <f t="shared" si="765"/>
        <v>14841.556000555745</v>
      </c>
      <c r="AD336" s="552">
        <f t="shared" si="765"/>
        <v>15161.519292764708</v>
      </c>
      <c r="AE336" s="552">
        <f t="shared" si="765"/>
        <v>15490.842662488481</v>
      </c>
      <c r="AF336" s="552">
        <f t="shared" si="765"/>
        <v>15830.946531965488</v>
      </c>
      <c r="AG336" s="552">
        <f t="shared" si="765"/>
        <v>16183.844174889466</v>
      </c>
      <c r="AH336" s="727">
        <f t="shared" si="765"/>
        <v>16551.856349319482</v>
      </c>
      <c r="AI336" s="18"/>
      <c r="AJ336" s="18"/>
      <c r="AK336" s="18"/>
      <c r="AL336" s="18"/>
      <c r="AM336" s="18"/>
      <c r="AN336" s="18"/>
    </row>
    <row r="337" spans="2:40" ht="21.9" customHeight="1" x14ac:dyDescent="0.25">
      <c r="B337" s="196"/>
      <c r="C337" s="114"/>
      <c r="D337" s="237"/>
      <c r="E337" s="1327"/>
      <c r="F337" s="114"/>
      <c r="G337" s="114"/>
      <c r="H337" s="695" t="s">
        <v>25</v>
      </c>
      <c r="I337" s="552">
        <f t="shared" ref="I337" si="766">SUM(I335:I336)</f>
        <v>8868.4696991376022</v>
      </c>
      <c r="J337" s="552">
        <f t="shared" ref="J337:AH337" si="767">SUM(J335:J336)</f>
        <v>9271.7457176679218</v>
      </c>
      <c r="K337" s="552">
        <f t="shared" si="767"/>
        <v>9839.9345876386342</v>
      </c>
      <c r="L337" s="552">
        <f t="shared" si="767"/>
        <v>10675.753731093706</v>
      </c>
      <c r="M337" s="552">
        <f t="shared" si="767"/>
        <v>11511.970333834786</v>
      </c>
      <c r="N337" s="552">
        <f t="shared" si="767"/>
        <v>12348.368514078336</v>
      </c>
      <c r="O337" s="552">
        <f t="shared" si="767"/>
        <v>13184.80137907376</v>
      </c>
      <c r="P337" s="552">
        <f t="shared" si="767"/>
        <v>14022.455513147066</v>
      </c>
      <c r="Q337" s="552">
        <f t="shared" si="767"/>
        <v>14851.239399516147</v>
      </c>
      <c r="R337" s="552">
        <f t="shared" si="767"/>
        <v>15681.91947646972</v>
      </c>
      <c r="S337" s="552">
        <f t="shared" si="767"/>
        <v>16515.242764084091</v>
      </c>
      <c r="T337" s="552">
        <f t="shared" si="767"/>
        <v>17353.021386092245</v>
      </c>
      <c r="U337" s="552">
        <f t="shared" si="767"/>
        <v>18198.333931754722</v>
      </c>
      <c r="V337" s="552">
        <f t="shared" si="767"/>
        <v>18774.899318494416</v>
      </c>
      <c r="W337" s="552">
        <f t="shared" si="767"/>
        <v>19194.940262790453</v>
      </c>
      <c r="X337" s="552">
        <f t="shared" si="767"/>
        <v>19618.920076293383</v>
      </c>
      <c r="Y337" s="552">
        <f t="shared" si="767"/>
        <v>20047.65252660578</v>
      </c>
      <c r="Z337" s="552">
        <f t="shared" si="767"/>
        <v>20482.247846041166</v>
      </c>
      <c r="AA337" s="552">
        <f t="shared" si="767"/>
        <v>20923.53627560741</v>
      </c>
      <c r="AB337" s="552">
        <f t="shared" si="767"/>
        <v>21373.144577475548</v>
      </c>
      <c r="AC337" s="552">
        <f t="shared" si="767"/>
        <v>21832.309429535464</v>
      </c>
      <c r="AD337" s="552">
        <f t="shared" si="767"/>
        <v>22302.983636561825</v>
      </c>
      <c r="AE337" s="552">
        <f t="shared" si="767"/>
        <v>22787.426757614463</v>
      </c>
      <c r="AF337" s="552">
        <f t="shared" si="767"/>
        <v>23287.72827022718</v>
      </c>
      <c r="AG337" s="552">
        <f t="shared" si="767"/>
        <v>23806.849751625865</v>
      </c>
      <c r="AH337" s="727">
        <f t="shared" si="767"/>
        <v>24348.205096422018</v>
      </c>
      <c r="AI337" s="18"/>
      <c r="AJ337" s="18"/>
      <c r="AK337" s="18"/>
      <c r="AL337" s="18"/>
      <c r="AM337" s="18"/>
      <c r="AN337" s="18"/>
    </row>
    <row r="338" spans="2:40" ht="21.9" customHeight="1" x14ac:dyDescent="0.25">
      <c r="B338" s="194"/>
      <c r="C338" s="690"/>
      <c r="D338" s="690"/>
      <c r="E338" s="1327"/>
      <c r="F338" s="114" t="s">
        <v>276</v>
      </c>
      <c r="G338" s="114" t="s">
        <v>274</v>
      </c>
      <c r="H338" s="114" t="s">
        <v>20</v>
      </c>
      <c r="I338" s="552">
        <f t="shared" ref="I338:AH338" si="768">I274*$D$11</f>
        <v>91311.52253867338</v>
      </c>
      <c r="J338" s="552">
        <f t="shared" si="768"/>
        <v>96131.441104935249</v>
      </c>
      <c r="K338" s="552">
        <f t="shared" si="768"/>
        <v>103366.76271725613</v>
      </c>
      <c r="L338" s="552">
        <f t="shared" si="768"/>
        <v>115320.74695708769</v>
      </c>
      <c r="M338" s="552">
        <f t="shared" si="768"/>
        <v>127280.67466658521</v>
      </c>
      <c r="N338" s="552">
        <f t="shared" si="768"/>
        <v>139241.20518894235</v>
      </c>
      <c r="O338" s="552">
        <f t="shared" si="768"/>
        <v>151199.84428818477</v>
      </c>
      <c r="P338" s="552">
        <f t="shared" si="768"/>
        <v>163175.24833349735</v>
      </c>
      <c r="Q338" s="552">
        <f t="shared" si="768"/>
        <v>175268.85149160255</v>
      </c>
      <c r="R338" s="552">
        <f t="shared" si="768"/>
        <v>187389.14023242891</v>
      </c>
      <c r="S338" s="552">
        <f t="shared" si="768"/>
        <v>199546.39721426327</v>
      </c>
      <c r="T338" s="552">
        <f t="shared" si="768"/>
        <v>211775.4391607221</v>
      </c>
      <c r="U338" s="552">
        <f t="shared" si="768"/>
        <v>224137.17592909027</v>
      </c>
      <c r="V338" s="552">
        <f t="shared" si="768"/>
        <v>231745.81213648838</v>
      </c>
      <c r="W338" s="552">
        <f t="shared" si="768"/>
        <v>236788.87048701913</v>
      </c>
      <c r="X338" s="552">
        <f t="shared" si="768"/>
        <v>241882.55052898737</v>
      </c>
      <c r="Y338" s="552">
        <f t="shared" si="768"/>
        <v>247036.96416431118</v>
      </c>
      <c r="Z338" s="552">
        <f t="shared" si="768"/>
        <v>252266.93596541754</v>
      </c>
      <c r="AA338" s="552">
        <f t="shared" si="768"/>
        <v>257580.4909983415</v>
      </c>
      <c r="AB338" s="552">
        <f t="shared" si="768"/>
        <v>262999.81439182477</v>
      </c>
      <c r="AC338" s="552">
        <f t="shared" si="768"/>
        <v>268537.6785192056</v>
      </c>
      <c r="AD338" s="552">
        <f t="shared" si="768"/>
        <v>274218.95144821005</v>
      </c>
      <c r="AE338" s="552">
        <f t="shared" si="768"/>
        <v>280072.2546423676</v>
      </c>
      <c r="AF338" s="552">
        <f t="shared" si="768"/>
        <v>286120.2086149563</v>
      </c>
      <c r="AG338" s="552">
        <f t="shared" si="768"/>
        <v>292399.62454634061</v>
      </c>
      <c r="AH338" s="727">
        <f t="shared" si="768"/>
        <v>298952.81230898295</v>
      </c>
      <c r="AI338" s="18"/>
      <c r="AJ338" s="18"/>
      <c r="AK338" s="18"/>
      <c r="AL338" s="18"/>
      <c r="AM338" s="18"/>
      <c r="AN338" s="18"/>
    </row>
    <row r="339" spans="2:40" ht="21.9" customHeight="1" x14ac:dyDescent="0.25">
      <c r="B339" s="463"/>
      <c r="C339" s="690"/>
      <c r="D339" s="690"/>
      <c r="E339" s="1327"/>
      <c r="F339" s="114"/>
      <c r="G339" s="114"/>
      <c r="H339" s="122" t="s">
        <v>19</v>
      </c>
      <c r="I339" s="552">
        <f t="shared" ref="I339:AH339" si="769">I275*$D$12</f>
        <v>193856.79798629624</v>
      </c>
      <c r="J339" s="552">
        <f t="shared" si="769"/>
        <v>204089.61366861596</v>
      </c>
      <c r="K339" s="552">
        <f t="shared" si="769"/>
        <v>219450.39444599833</v>
      </c>
      <c r="L339" s="552">
        <f t="shared" si="769"/>
        <v>244829.02184683835</v>
      </c>
      <c r="M339" s="552">
        <f t="shared" si="769"/>
        <v>270220.2673923148</v>
      </c>
      <c r="N339" s="552">
        <f t="shared" si="769"/>
        <v>295612.79272557166</v>
      </c>
      <c r="O339" s="552">
        <f t="shared" si="769"/>
        <v>321001.30251710437</v>
      </c>
      <c r="P339" s="552">
        <f t="shared" si="769"/>
        <v>346425.40473633079</v>
      </c>
      <c r="Q339" s="552">
        <f t="shared" si="769"/>
        <v>372100.44682485028</v>
      </c>
      <c r="R339" s="552">
        <f t="shared" si="769"/>
        <v>397832.14311729604</v>
      </c>
      <c r="S339" s="552">
        <f t="shared" si="769"/>
        <v>423642.32397148979</v>
      </c>
      <c r="T339" s="552">
        <f t="shared" si="769"/>
        <v>449604.90622036817</v>
      </c>
      <c r="U339" s="552">
        <f t="shared" si="769"/>
        <v>475849.20311565173</v>
      </c>
      <c r="V339" s="552">
        <f t="shared" si="769"/>
        <v>492002.54073614854</v>
      </c>
      <c r="W339" s="552">
        <f t="shared" si="769"/>
        <v>502709.08813248487</v>
      </c>
      <c r="X339" s="552">
        <f t="shared" si="769"/>
        <v>513523.10673002223</v>
      </c>
      <c r="Y339" s="552">
        <f t="shared" si="769"/>
        <v>524466.06436625682</v>
      </c>
      <c r="Z339" s="552">
        <f t="shared" si="769"/>
        <v>535569.43400388048</v>
      </c>
      <c r="AA339" s="552">
        <f t="shared" si="769"/>
        <v>546850.25307214574</v>
      </c>
      <c r="AB339" s="552">
        <f t="shared" si="769"/>
        <v>558355.62119113596</v>
      </c>
      <c r="AC339" s="552">
        <f t="shared" si="769"/>
        <v>570112.65445013717</v>
      </c>
      <c r="AD339" s="552">
        <f t="shared" si="769"/>
        <v>582174.14842026087</v>
      </c>
      <c r="AE339" s="552">
        <f t="shared" si="769"/>
        <v>594600.86723202711</v>
      </c>
      <c r="AF339" s="552">
        <f t="shared" si="769"/>
        <v>607440.83483850269</v>
      </c>
      <c r="AG339" s="552">
        <f t="shared" si="769"/>
        <v>620772.20235750056</v>
      </c>
      <c r="AH339" s="727">
        <f t="shared" si="769"/>
        <v>634684.79477682838</v>
      </c>
      <c r="AI339" s="18"/>
      <c r="AJ339" s="18"/>
      <c r="AK339" s="18"/>
      <c r="AL339" s="18"/>
      <c r="AM339" s="18"/>
      <c r="AN339" s="18"/>
    </row>
    <row r="340" spans="2:40" ht="21.9" customHeight="1" x14ac:dyDescent="0.25">
      <c r="B340" s="463"/>
      <c r="C340" s="690"/>
      <c r="D340" s="690"/>
      <c r="E340" s="1327"/>
      <c r="F340" s="114"/>
      <c r="G340" s="114"/>
      <c r="H340" s="695" t="s">
        <v>25</v>
      </c>
      <c r="I340" s="552">
        <f t="shared" ref="I340:AH340" si="770">SUM(I338:I339)</f>
        <v>285168.3205249696</v>
      </c>
      <c r="J340" s="552">
        <f t="shared" si="770"/>
        <v>300221.05477355118</v>
      </c>
      <c r="K340" s="552">
        <f t="shared" si="770"/>
        <v>322817.15716325445</v>
      </c>
      <c r="L340" s="552">
        <f t="shared" si="770"/>
        <v>360149.76880392607</v>
      </c>
      <c r="M340" s="552">
        <f t="shared" si="770"/>
        <v>397500.94205890002</v>
      </c>
      <c r="N340" s="552">
        <f t="shared" si="770"/>
        <v>434853.99791451404</v>
      </c>
      <c r="O340" s="552">
        <f t="shared" si="770"/>
        <v>472201.14680528914</v>
      </c>
      <c r="P340" s="552">
        <f t="shared" si="770"/>
        <v>509600.65306982817</v>
      </c>
      <c r="Q340" s="552">
        <f t="shared" si="770"/>
        <v>547369.29831645289</v>
      </c>
      <c r="R340" s="552">
        <f t="shared" si="770"/>
        <v>585221.28334972495</v>
      </c>
      <c r="S340" s="552">
        <f t="shared" si="770"/>
        <v>623188.72118575312</v>
      </c>
      <c r="T340" s="552">
        <f t="shared" si="770"/>
        <v>661380.3453810903</v>
      </c>
      <c r="U340" s="552">
        <f t="shared" si="770"/>
        <v>699986.37904474197</v>
      </c>
      <c r="V340" s="552">
        <f t="shared" si="770"/>
        <v>723748.35287263687</v>
      </c>
      <c r="W340" s="552">
        <f t="shared" si="770"/>
        <v>739497.958619504</v>
      </c>
      <c r="X340" s="552">
        <f t="shared" si="770"/>
        <v>755405.65725900955</v>
      </c>
      <c r="Y340" s="552">
        <f t="shared" si="770"/>
        <v>771503.028530568</v>
      </c>
      <c r="Z340" s="552">
        <f t="shared" si="770"/>
        <v>787836.36996929802</v>
      </c>
      <c r="AA340" s="552">
        <f t="shared" si="770"/>
        <v>804430.74407048721</v>
      </c>
      <c r="AB340" s="552">
        <f t="shared" si="770"/>
        <v>821355.43558296072</v>
      </c>
      <c r="AC340" s="552">
        <f t="shared" si="770"/>
        <v>838650.33296934282</v>
      </c>
      <c r="AD340" s="552">
        <f t="shared" si="770"/>
        <v>856393.09986847092</v>
      </c>
      <c r="AE340" s="552">
        <f t="shared" si="770"/>
        <v>874673.12187439471</v>
      </c>
      <c r="AF340" s="552">
        <f t="shared" si="770"/>
        <v>893561.04345345893</v>
      </c>
      <c r="AG340" s="552">
        <f t="shared" si="770"/>
        <v>913171.82690384123</v>
      </c>
      <c r="AH340" s="727">
        <f t="shared" si="770"/>
        <v>933637.60708581132</v>
      </c>
      <c r="AI340" s="18"/>
      <c r="AJ340" s="18"/>
      <c r="AK340" s="18"/>
      <c r="AL340" s="18"/>
      <c r="AM340" s="18"/>
      <c r="AN340" s="18"/>
    </row>
    <row r="341" spans="2:40" ht="21.9" customHeight="1" x14ac:dyDescent="0.25">
      <c r="B341" s="463"/>
      <c r="C341" s="690"/>
      <c r="D341" s="690"/>
      <c r="E341" s="1327"/>
      <c r="F341" s="114" t="s">
        <v>274</v>
      </c>
      <c r="G341" s="114" t="s">
        <v>317</v>
      </c>
      <c r="H341" s="114" t="s">
        <v>20</v>
      </c>
      <c r="I341" s="552">
        <f t="shared" ref="I341:AH341" si="771">I277*$D$11</f>
        <v>2129.7737071876254</v>
      </c>
      <c r="J341" s="552">
        <f t="shared" si="771"/>
        <v>2218.709630098399</v>
      </c>
      <c r="K341" s="552">
        <f t="shared" si="771"/>
        <v>2328.7836791877257</v>
      </c>
      <c r="L341" s="552">
        <f t="shared" si="771"/>
        <v>2476.9810204789037</v>
      </c>
      <c r="M341" s="552">
        <f t="shared" si="771"/>
        <v>2625.2320995043146</v>
      </c>
      <c r="N341" s="552">
        <f t="shared" si="771"/>
        <v>2773.4662604444911</v>
      </c>
      <c r="O341" s="552">
        <f t="shared" si="771"/>
        <v>2921.6662824069867</v>
      </c>
      <c r="P341" s="552">
        <f t="shared" si="771"/>
        <v>3069.9749632358817</v>
      </c>
      <c r="Q341" s="552">
        <f t="shared" si="771"/>
        <v>3213.6721740955413</v>
      </c>
      <c r="R341" s="552">
        <f t="shared" si="771"/>
        <v>3357.4274162837241</v>
      </c>
      <c r="S341" s="552">
        <f t="shared" si="771"/>
        <v>3501.1364914673341</v>
      </c>
      <c r="T341" s="552">
        <f t="shared" si="771"/>
        <v>3644.8558830678517</v>
      </c>
      <c r="U341" s="552">
        <f t="shared" si="771"/>
        <v>3788.6966087476926</v>
      </c>
      <c r="V341" s="552">
        <f t="shared" si="771"/>
        <v>3894.2554624809945</v>
      </c>
      <c r="W341" s="552">
        <f t="shared" si="771"/>
        <v>3983.2413434086866</v>
      </c>
      <c r="X341" s="552">
        <f t="shared" si="771"/>
        <v>4072.2397511727409</v>
      </c>
      <c r="Y341" s="552">
        <f t="shared" si="771"/>
        <v>4161.2534382482063</v>
      </c>
      <c r="Z341" s="552">
        <f t="shared" si="771"/>
        <v>4250.3212209788535</v>
      </c>
      <c r="AA341" s="552">
        <f t="shared" si="771"/>
        <v>4339.3759194522972</v>
      </c>
      <c r="AB341" s="552">
        <f t="shared" si="771"/>
        <v>4428.4932214512928</v>
      </c>
      <c r="AC341" s="552">
        <f t="shared" si="771"/>
        <v>4517.6074348730945</v>
      </c>
      <c r="AD341" s="552">
        <f t="shared" si="771"/>
        <v>4606.7604669727498</v>
      </c>
      <c r="AE341" s="552">
        <f t="shared" si="771"/>
        <v>4695.9953720549947</v>
      </c>
      <c r="AF341" s="552">
        <f t="shared" si="771"/>
        <v>4785.2496355217045</v>
      </c>
      <c r="AG341" s="552">
        <f t="shared" si="771"/>
        <v>4874.5689549650233</v>
      </c>
      <c r="AH341" s="727">
        <f t="shared" si="771"/>
        <v>4964.0007530211078</v>
      </c>
      <c r="AI341" s="18"/>
      <c r="AJ341" s="18"/>
      <c r="AK341" s="18"/>
      <c r="AL341" s="18"/>
      <c r="AM341" s="18"/>
      <c r="AN341" s="18"/>
    </row>
    <row r="342" spans="2:40" ht="21.9" customHeight="1" x14ac:dyDescent="0.25">
      <c r="B342" s="463"/>
      <c r="C342" s="690"/>
      <c r="D342" s="690"/>
      <c r="E342" s="1327"/>
      <c r="F342" s="114"/>
      <c r="G342" s="114"/>
      <c r="H342" s="122" t="s">
        <v>19</v>
      </c>
      <c r="I342" s="552">
        <f t="shared" ref="I342:AH342" si="772">I278*$D$12</f>
        <v>4521.5663897832019</v>
      </c>
      <c r="J342" s="552">
        <f t="shared" si="772"/>
        <v>4710.3797263928991</v>
      </c>
      <c r="K342" s="552">
        <f t="shared" si="772"/>
        <v>4944.0698687164577</v>
      </c>
      <c r="L342" s="552">
        <f t="shared" si="772"/>
        <v>5258.6967772823755</v>
      </c>
      <c r="M342" s="552">
        <f t="shared" si="772"/>
        <v>5573.4377724914693</v>
      </c>
      <c r="N342" s="552">
        <f t="shared" si="772"/>
        <v>5888.1428501543369</v>
      </c>
      <c r="O342" s="552">
        <f t="shared" si="772"/>
        <v>6202.7754498569675</v>
      </c>
      <c r="P342" s="552">
        <f t="shared" si="772"/>
        <v>6517.6387352313222</v>
      </c>
      <c r="Q342" s="552">
        <f t="shared" si="772"/>
        <v>6822.7117468549886</v>
      </c>
      <c r="R342" s="552">
        <f t="shared" si="772"/>
        <v>7127.9079605370307</v>
      </c>
      <c r="S342" s="552">
        <f t="shared" si="772"/>
        <v>7433.0061604369102</v>
      </c>
      <c r="T342" s="552">
        <f t="shared" si="772"/>
        <v>7738.1262623650637</v>
      </c>
      <c r="U342" s="552">
        <f t="shared" si="772"/>
        <v>8043.5039597800769</v>
      </c>
      <c r="V342" s="552">
        <f t="shared" si="772"/>
        <v>8267.6082219248128</v>
      </c>
      <c r="W342" s="552">
        <f t="shared" si="772"/>
        <v>8456.5276207370043</v>
      </c>
      <c r="X342" s="552">
        <f t="shared" si="772"/>
        <v>8645.4736143569353</v>
      </c>
      <c r="Y342" s="552">
        <f t="shared" si="772"/>
        <v>8834.4520463625522</v>
      </c>
      <c r="Z342" s="552">
        <f t="shared" si="772"/>
        <v>9023.5453248870599</v>
      </c>
      <c r="AA342" s="552">
        <f t="shared" si="772"/>
        <v>9212.6108251845162</v>
      </c>
      <c r="AB342" s="552">
        <f t="shared" si="772"/>
        <v>9401.809234436605</v>
      </c>
      <c r="AC342" s="552">
        <f t="shared" si="772"/>
        <v>9591.0010865569257</v>
      </c>
      <c r="AD342" s="552">
        <f t="shared" si="772"/>
        <v>9780.2753517657729</v>
      </c>
      <c r="AE342" s="552">
        <f t="shared" si="772"/>
        <v>9969.7234355005348</v>
      </c>
      <c r="AF342" s="552">
        <f t="shared" si="772"/>
        <v>10159.212617601877</v>
      </c>
      <c r="AG342" s="552">
        <f t="shared" si="772"/>
        <v>10348.839915276862</v>
      </c>
      <c r="AH342" s="727">
        <f t="shared" si="772"/>
        <v>10538.706008046991</v>
      </c>
      <c r="AI342" s="18"/>
      <c r="AJ342" s="18"/>
      <c r="AK342" s="18"/>
      <c r="AL342" s="18"/>
      <c r="AM342" s="18"/>
      <c r="AN342" s="18"/>
    </row>
    <row r="343" spans="2:40" ht="21.9" customHeight="1" x14ac:dyDescent="0.25">
      <c r="B343" s="229"/>
      <c r="C343" s="690"/>
      <c r="D343" s="690"/>
      <c r="E343" s="1327"/>
      <c r="F343" s="114"/>
      <c r="G343" s="114"/>
      <c r="H343" s="696" t="s">
        <v>25</v>
      </c>
      <c r="I343" s="552">
        <f t="shared" ref="I343:AH343" si="773">SUM(I341:I342)</f>
        <v>6651.3400969708273</v>
      </c>
      <c r="J343" s="552">
        <f t="shared" si="773"/>
        <v>6929.0893564912985</v>
      </c>
      <c r="K343" s="552">
        <f t="shared" si="773"/>
        <v>7272.8535479041839</v>
      </c>
      <c r="L343" s="552">
        <f t="shared" si="773"/>
        <v>7735.6777977612792</v>
      </c>
      <c r="M343" s="552">
        <f t="shared" si="773"/>
        <v>8198.669871995784</v>
      </c>
      <c r="N343" s="552">
        <f t="shared" si="773"/>
        <v>8661.6091105988271</v>
      </c>
      <c r="O343" s="552">
        <f t="shared" si="773"/>
        <v>9124.4417322639547</v>
      </c>
      <c r="P343" s="552">
        <f t="shared" si="773"/>
        <v>9587.6136984672048</v>
      </c>
      <c r="Q343" s="552">
        <f t="shared" si="773"/>
        <v>10036.38392095053</v>
      </c>
      <c r="R343" s="552">
        <f t="shared" si="773"/>
        <v>10485.335376820754</v>
      </c>
      <c r="S343" s="552">
        <f t="shared" si="773"/>
        <v>10934.142651904243</v>
      </c>
      <c r="T343" s="552">
        <f t="shared" si="773"/>
        <v>11382.982145432916</v>
      </c>
      <c r="U343" s="552">
        <f t="shared" si="773"/>
        <v>11832.200568527769</v>
      </c>
      <c r="V343" s="552">
        <f t="shared" si="773"/>
        <v>12161.863684405807</v>
      </c>
      <c r="W343" s="552">
        <f t="shared" si="773"/>
        <v>12439.768964145691</v>
      </c>
      <c r="X343" s="552">
        <f t="shared" si="773"/>
        <v>12717.713365529677</v>
      </c>
      <c r="Y343" s="552">
        <f t="shared" si="773"/>
        <v>12995.705484610759</v>
      </c>
      <c r="Z343" s="552">
        <f t="shared" si="773"/>
        <v>13273.866545865912</v>
      </c>
      <c r="AA343" s="552">
        <f t="shared" si="773"/>
        <v>13551.986744636813</v>
      </c>
      <c r="AB343" s="552">
        <f t="shared" si="773"/>
        <v>13830.302455887897</v>
      </c>
      <c r="AC343" s="552">
        <f t="shared" si="773"/>
        <v>14108.60852143002</v>
      </c>
      <c r="AD343" s="552">
        <f t="shared" si="773"/>
        <v>14387.035818738523</v>
      </c>
      <c r="AE343" s="552">
        <f t="shared" si="773"/>
        <v>14665.71880755553</v>
      </c>
      <c r="AF343" s="552">
        <f t="shared" si="773"/>
        <v>14944.462253123582</v>
      </c>
      <c r="AG343" s="552">
        <f t="shared" si="773"/>
        <v>15223.408870241885</v>
      </c>
      <c r="AH343" s="727">
        <f t="shared" si="773"/>
        <v>15502.706761068099</v>
      </c>
      <c r="AI343" s="18"/>
      <c r="AJ343" s="18"/>
      <c r="AK343" s="18"/>
      <c r="AL343" s="18"/>
      <c r="AM343" s="18"/>
      <c r="AN343" s="18"/>
    </row>
    <row r="344" spans="2:40" ht="21.9" customHeight="1" x14ac:dyDescent="0.25">
      <c r="B344" s="229"/>
      <c r="C344" s="690"/>
      <c r="D344" s="690"/>
      <c r="E344" s="1325" t="s">
        <v>274</v>
      </c>
      <c r="F344" s="217" t="s">
        <v>275</v>
      </c>
      <c r="G344" s="217" t="s">
        <v>318</v>
      </c>
      <c r="H344" s="114" t="s">
        <v>20</v>
      </c>
      <c r="I344" s="552">
        <f t="shared" ref="I344:AH344" si="774">I280*$D$11</f>
        <v>21965.001739212668</v>
      </c>
      <c r="J344" s="552">
        <f t="shared" si="774"/>
        <v>24186.871490289515</v>
      </c>
      <c r="K344" s="552">
        <f t="shared" si="774"/>
        <v>29154.366460217629</v>
      </c>
      <c r="L344" s="552">
        <f t="shared" si="774"/>
        <v>39131.968545554875</v>
      </c>
      <c r="M344" s="552">
        <f t="shared" si="774"/>
        <v>49115.721313529888</v>
      </c>
      <c r="N344" s="552">
        <f t="shared" si="774"/>
        <v>59098.379128008492</v>
      </c>
      <c r="O344" s="552">
        <f t="shared" si="774"/>
        <v>69076.001237153687</v>
      </c>
      <c r="P344" s="552">
        <f t="shared" si="774"/>
        <v>79065.987323697816</v>
      </c>
      <c r="Q344" s="552">
        <f t="shared" si="774"/>
        <v>88868.811227153652</v>
      </c>
      <c r="R344" s="552">
        <f t="shared" si="774"/>
        <v>98677.140153419197</v>
      </c>
      <c r="S344" s="552">
        <f t="shared" si="774"/>
        <v>108481.94999382074</v>
      </c>
      <c r="T344" s="552">
        <f t="shared" si="774"/>
        <v>118290.06480416507</v>
      </c>
      <c r="U344" s="552">
        <f t="shared" si="774"/>
        <v>128117.64817290785</v>
      </c>
      <c r="V344" s="552">
        <f t="shared" si="774"/>
        <v>132914.77919746251</v>
      </c>
      <c r="W344" s="552">
        <f t="shared" si="774"/>
        <v>135143.18612327971</v>
      </c>
      <c r="X344" s="552">
        <f t="shared" si="774"/>
        <v>137372.76126578799</v>
      </c>
      <c r="Y344" s="552">
        <f t="shared" si="774"/>
        <v>139603.6893718295</v>
      </c>
      <c r="Z344" s="552">
        <f t="shared" si="774"/>
        <v>141839.60278866289</v>
      </c>
      <c r="AA344" s="552">
        <f t="shared" si="774"/>
        <v>144073.8988579479</v>
      </c>
      <c r="AB344" s="552">
        <f t="shared" si="774"/>
        <v>146313.69635428549</v>
      </c>
      <c r="AC344" s="552">
        <f t="shared" si="774"/>
        <v>148552.44829507201</v>
      </c>
      <c r="AD344" s="552">
        <f t="shared" si="774"/>
        <v>150793.92562525143</v>
      </c>
      <c r="AE344" s="552">
        <f t="shared" si="774"/>
        <v>153041.96013143178</v>
      </c>
      <c r="AF344" s="552">
        <f t="shared" si="774"/>
        <v>155290.11219545564</v>
      </c>
      <c r="AG344" s="552">
        <f t="shared" si="774"/>
        <v>157542.31143507682</v>
      </c>
      <c r="AH344" s="727">
        <f t="shared" si="774"/>
        <v>159802.57230220712</v>
      </c>
      <c r="AI344" s="18"/>
      <c r="AJ344" s="18"/>
      <c r="AK344" s="18"/>
      <c r="AL344" s="18"/>
      <c r="AM344" s="18"/>
      <c r="AN344" s="18"/>
    </row>
    <row r="345" spans="2:40" ht="21.9" customHeight="1" x14ac:dyDescent="0.25">
      <c r="B345" s="229"/>
      <c r="C345" s="690"/>
      <c r="D345" s="690"/>
      <c r="E345" s="1325"/>
      <c r="F345" s="114"/>
      <c r="G345" s="114"/>
      <c r="H345" s="122" t="s">
        <v>19</v>
      </c>
      <c r="I345" s="552">
        <f t="shared" ref="I345:AH345" si="775">I281*$D$12</f>
        <v>52610.782608892623</v>
      </c>
      <c r="J345" s="552">
        <f t="shared" si="775"/>
        <v>57932.626324046745</v>
      </c>
      <c r="K345" s="552">
        <f t="shared" si="775"/>
        <v>69830.817868784739</v>
      </c>
      <c r="L345" s="552">
        <f t="shared" si="775"/>
        <v>93729.265977376956</v>
      </c>
      <c r="M345" s="552">
        <f t="shared" si="775"/>
        <v>117642.44625995183</v>
      </c>
      <c r="N345" s="552">
        <f t="shared" si="775"/>
        <v>141553.00389942154</v>
      </c>
      <c r="O345" s="552">
        <f t="shared" si="775"/>
        <v>165451.49996923038</v>
      </c>
      <c r="P345" s="552">
        <f t="shared" si="775"/>
        <v>189379.61035616245</v>
      </c>
      <c r="Q345" s="552">
        <f t="shared" si="775"/>
        <v>212859.4280889908</v>
      </c>
      <c r="R345" s="552">
        <f t="shared" si="775"/>
        <v>236352.43150519568</v>
      </c>
      <c r="S345" s="552">
        <f t="shared" si="775"/>
        <v>259837.00597322336</v>
      </c>
      <c r="T345" s="552">
        <f t="shared" si="775"/>
        <v>283329.49653692235</v>
      </c>
      <c r="U345" s="552">
        <f t="shared" si="775"/>
        <v>306868.6183782224</v>
      </c>
      <c r="V345" s="552">
        <f t="shared" si="775"/>
        <v>318358.75256877247</v>
      </c>
      <c r="W345" s="552">
        <f t="shared" si="775"/>
        <v>323696.25418749632</v>
      </c>
      <c r="X345" s="552">
        <f t="shared" si="775"/>
        <v>329036.55393003114</v>
      </c>
      <c r="Y345" s="552">
        <f t="shared" si="775"/>
        <v>334380.09430378326</v>
      </c>
      <c r="Z345" s="552">
        <f t="shared" si="775"/>
        <v>339735.57554170751</v>
      </c>
      <c r="AA345" s="552">
        <f t="shared" si="775"/>
        <v>345087.18289328844</v>
      </c>
      <c r="AB345" s="552">
        <f t="shared" si="775"/>
        <v>350451.96731565392</v>
      </c>
      <c r="AC345" s="552">
        <f t="shared" si="775"/>
        <v>355814.24741334614</v>
      </c>
      <c r="AD345" s="552">
        <f t="shared" si="775"/>
        <v>361183.0553898238</v>
      </c>
      <c r="AE345" s="552">
        <f t="shared" si="775"/>
        <v>366567.5691770821</v>
      </c>
      <c r="AF345" s="552">
        <f t="shared" si="775"/>
        <v>371952.36454001354</v>
      </c>
      <c r="AG345" s="552">
        <f t="shared" si="775"/>
        <v>377346.85373671097</v>
      </c>
      <c r="AH345" s="727">
        <f t="shared" si="775"/>
        <v>382760.65222085541</v>
      </c>
      <c r="AI345" s="18"/>
      <c r="AJ345" s="18"/>
      <c r="AK345" s="18"/>
      <c r="AL345" s="18"/>
      <c r="AM345" s="18"/>
      <c r="AN345" s="18"/>
    </row>
    <row r="346" spans="2:40" ht="21.9" customHeight="1" x14ac:dyDescent="0.25">
      <c r="B346" s="229"/>
      <c r="C346" s="690"/>
      <c r="D346" s="690"/>
      <c r="E346" s="1325"/>
      <c r="F346" s="114"/>
      <c r="G346" s="114"/>
      <c r="H346" s="695" t="s">
        <v>25</v>
      </c>
      <c r="I346" s="552">
        <f t="shared" ref="I346:AH346" si="776">SUM(I344:I345)</f>
        <v>74575.784348105284</v>
      </c>
      <c r="J346" s="552">
        <f t="shared" si="776"/>
        <v>82119.497814336268</v>
      </c>
      <c r="K346" s="552">
        <f t="shared" si="776"/>
        <v>98985.184329002368</v>
      </c>
      <c r="L346" s="552">
        <f t="shared" si="776"/>
        <v>132861.23452293183</v>
      </c>
      <c r="M346" s="552">
        <f t="shared" si="776"/>
        <v>166758.16757348171</v>
      </c>
      <c r="N346" s="552">
        <f t="shared" si="776"/>
        <v>200651.38302743004</v>
      </c>
      <c r="O346" s="552">
        <f t="shared" si="776"/>
        <v>234527.50120638407</v>
      </c>
      <c r="P346" s="552">
        <f t="shared" si="776"/>
        <v>268445.59767986025</v>
      </c>
      <c r="Q346" s="552">
        <f t="shared" si="776"/>
        <v>301728.23931614443</v>
      </c>
      <c r="R346" s="552">
        <f t="shared" si="776"/>
        <v>335029.57165861491</v>
      </c>
      <c r="S346" s="552">
        <f t="shared" si="776"/>
        <v>368318.95596704411</v>
      </c>
      <c r="T346" s="552">
        <f t="shared" si="776"/>
        <v>401619.56134108745</v>
      </c>
      <c r="U346" s="552">
        <f t="shared" si="776"/>
        <v>434986.26655113022</v>
      </c>
      <c r="V346" s="552">
        <f t="shared" si="776"/>
        <v>451273.53176623501</v>
      </c>
      <c r="W346" s="552">
        <f t="shared" si="776"/>
        <v>458839.440310776</v>
      </c>
      <c r="X346" s="552">
        <f t="shared" si="776"/>
        <v>466409.31519581913</v>
      </c>
      <c r="Y346" s="552">
        <f t="shared" si="776"/>
        <v>473983.78367561277</v>
      </c>
      <c r="Z346" s="552">
        <f t="shared" si="776"/>
        <v>481575.1783303704</v>
      </c>
      <c r="AA346" s="552">
        <f t="shared" si="776"/>
        <v>489161.08175123634</v>
      </c>
      <c r="AB346" s="552">
        <f t="shared" si="776"/>
        <v>496765.66366993939</v>
      </c>
      <c r="AC346" s="552">
        <f t="shared" si="776"/>
        <v>504366.69570841815</v>
      </c>
      <c r="AD346" s="552">
        <f t="shared" si="776"/>
        <v>511976.98101507523</v>
      </c>
      <c r="AE346" s="552">
        <f t="shared" si="776"/>
        <v>519609.52930851385</v>
      </c>
      <c r="AF346" s="552">
        <f t="shared" si="776"/>
        <v>527242.47673546919</v>
      </c>
      <c r="AG346" s="552">
        <f t="shared" si="776"/>
        <v>534889.16517178784</v>
      </c>
      <c r="AH346" s="727">
        <f t="shared" si="776"/>
        <v>542563.22452306258</v>
      </c>
      <c r="AI346" s="18"/>
      <c r="AJ346" s="18"/>
      <c r="AK346" s="18"/>
      <c r="AL346" s="18"/>
      <c r="AM346" s="18"/>
      <c r="AN346" s="18"/>
    </row>
    <row r="347" spans="2:40" ht="21.9" customHeight="1" x14ac:dyDescent="0.25">
      <c r="B347" s="229"/>
      <c r="C347" s="690"/>
      <c r="D347" s="690"/>
      <c r="E347" s="1325"/>
      <c r="F347" s="114" t="s">
        <v>318</v>
      </c>
      <c r="G347" s="114" t="s">
        <v>308</v>
      </c>
      <c r="H347" s="114" t="s">
        <v>20</v>
      </c>
      <c r="I347" s="552">
        <f t="shared" ref="I347:AH347" si="777">I283*$D$11</f>
        <v>2955.3956340115947</v>
      </c>
      <c r="J347" s="552">
        <f t="shared" si="777"/>
        <v>3263.8436037958463</v>
      </c>
      <c r="K347" s="552">
        <f t="shared" si="777"/>
        <v>3689.6563942356879</v>
      </c>
      <c r="L347" s="552">
        <f t="shared" si="777"/>
        <v>4471.7461182047</v>
      </c>
      <c r="M347" s="552">
        <f t="shared" si="777"/>
        <v>5254.7039837050161</v>
      </c>
      <c r="N347" s="552">
        <f t="shared" si="777"/>
        <v>6040.4431077128465</v>
      </c>
      <c r="O347" s="552">
        <f t="shared" si="777"/>
        <v>6834.7131054555994</v>
      </c>
      <c r="P347" s="552">
        <f t="shared" si="777"/>
        <v>7655.848767266818</v>
      </c>
      <c r="Q347" s="552">
        <f t="shared" si="777"/>
        <v>8977.9831109575553</v>
      </c>
      <c r="R347" s="552">
        <f t="shared" si="777"/>
        <v>10808.632743311951</v>
      </c>
      <c r="S347" s="552">
        <f t="shared" si="777"/>
        <v>14121.158657430437</v>
      </c>
      <c r="T347" s="552">
        <f t="shared" si="777"/>
        <v>21302.265785114654</v>
      </c>
      <c r="U347" s="552">
        <f t="shared" si="777"/>
        <v>30366.910776116983</v>
      </c>
      <c r="V347" s="552">
        <f t="shared" si="777"/>
        <v>32131.321220134079</v>
      </c>
      <c r="W347" s="552">
        <f t="shared" si="777"/>
        <v>32839.699210271676</v>
      </c>
      <c r="X347" s="552">
        <f t="shared" si="777"/>
        <v>33547.955096888996</v>
      </c>
      <c r="Y347" s="552">
        <f t="shared" si="777"/>
        <v>34256.256692703413</v>
      </c>
      <c r="Z347" s="552">
        <f t="shared" si="777"/>
        <v>34965.122496825978</v>
      </c>
      <c r="AA347" s="552">
        <f t="shared" si="777"/>
        <v>35673.546489299297</v>
      </c>
      <c r="AB347" s="552">
        <f t="shared" si="777"/>
        <v>36382.559382945175</v>
      </c>
      <c r="AC347" s="552">
        <f t="shared" si="777"/>
        <v>37091.159887706832</v>
      </c>
      <c r="AD347" s="552">
        <f t="shared" si="777"/>
        <v>37799.874716675549</v>
      </c>
      <c r="AE347" s="552">
        <f t="shared" si="777"/>
        <v>38509.234737170431</v>
      </c>
      <c r="AF347" s="552">
        <f t="shared" si="777"/>
        <v>39218.248099494958</v>
      </c>
      <c r="AG347" s="552">
        <f t="shared" si="777"/>
        <v>39927.451758320436</v>
      </c>
      <c r="AH347" s="727">
        <f t="shared" si="777"/>
        <v>40637.389140516825</v>
      </c>
      <c r="AI347" s="18"/>
      <c r="AJ347" s="18"/>
      <c r="AK347" s="18"/>
      <c r="AL347" s="18"/>
      <c r="AM347" s="18"/>
      <c r="AN347" s="18"/>
    </row>
    <row r="348" spans="2:40" ht="21.9" customHeight="1" x14ac:dyDescent="0.25">
      <c r="B348" s="229"/>
      <c r="C348" s="690"/>
      <c r="D348" s="690"/>
      <c r="E348" s="1325"/>
      <c r="F348" s="114"/>
      <c r="G348" s="114"/>
      <c r="H348" s="122" t="s">
        <v>19</v>
      </c>
      <c r="I348" s="552">
        <f t="shared" ref="I348:AH348" si="778">I284*$D$12</f>
        <v>7078.7919377523231</v>
      </c>
      <c r="J348" s="552">
        <f t="shared" si="778"/>
        <v>7817.5894701696925</v>
      </c>
      <c r="K348" s="552">
        <f t="shared" si="778"/>
        <v>8837.500345474702</v>
      </c>
      <c r="L348" s="552">
        <f t="shared" si="778"/>
        <v>10710.76914540048</v>
      </c>
      <c r="M348" s="552">
        <f t="shared" si="778"/>
        <v>12586.11732623956</v>
      </c>
      <c r="N348" s="552">
        <f t="shared" si="778"/>
        <v>14468.127204102628</v>
      </c>
      <c r="O348" s="552">
        <f t="shared" si="778"/>
        <v>16370.570312468502</v>
      </c>
      <c r="P348" s="552">
        <f t="shared" si="778"/>
        <v>18337.36231680675</v>
      </c>
      <c r="Q348" s="552">
        <f t="shared" si="778"/>
        <v>21504.151163970193</v>
      </c>
      <c r="R348" s="552">
        <f t="shared" si="778"/>
        <v>25888.940702543598</v>
      </c>
      <c r="S348" s="552">
        <f t="shared" si="778"/>
        <v>33823.134508815419</v>
      </c>
      <c r="T348" s="552">
        <f t="shared" si="778"/>
        <v>51023.391102071029</v>
      </c>
      <c r="U348" s="552">
        <f t="shared" si="778"/>
        <v>72735.115631417924</v>
      </c>
      <c r="V348" s="552">
        <f t="shared" si="778"/>
        <v>76961.24843145888</v>
      </c>
      <c r="W348" s="552">
        <f t="shared" si="778"/>
        <v>78657.962180291448</v>
      </c>
      <c r="X348" s="552">
        <f t="shared" si="778"/>
        <v>80354.383465602383</v>
      </c>
      <c r="Y348" s="552">
        <f t="shared" si="778"/>
        <v>82050.914234020151</v>
      </c>
      <c r="Z348" s="552">
        <f t="shared" si="778"/>
        <v>83748.796399583181</v>
      </c>
      <c r="AA348" s="552">
        <f t="shared" si="778"/>
        <v>85445.620333651008</v>
      </c>
      <c r="AB348" s="552">
        <f t="shared" si="778"/>
        <v>87143.85480944952</v>
      </c>
      <c r="AC348" s="552">
        <f t="shared" si="778"/>
        <v>88841.101527441511</v>
      </c>
      <c r="AD348" s="552">
        <f t="shared" si="778"/>
        <v>90538.622075869585</v>
      </c>
      <c r="AE348" s="552">
        <f t="shared" si="778"/>
        <v>92237.6879932226</v>
      </c>
      <c r="AF348" s="552">
        <f t="shared" si="778"/>
        <v>93935.923591604689</v>
      </c>
      <c r="AG348" s="552">
        <f t="shared" si="778"/>
        <v>95634.614989989073</v>
      </c>
      <c r="AH348" s="727">
        <f t="shared" si="778"/>
        <v>97335.063809621148</v>
      </c>
      <c r="AI348" s="18"/>
      <c r="AJ348" s="18"/>
      <c r="AK348" s="18"/>
      <c r="AL348" s="18"/>
      <c r="AM348" s="18"/>
      <c r="AN348" s="18"/>
    </row>
    <row r="349" spans="2:40" ht="21.9" customHeight="1" x14ac:dyDescent="0.25">
      <c r="B349" s="229"/>
      <c r="C349" s="690"/>
      <c r="D349" s="690"/>
      <c r="E349" s="1325"/>
      <c r="F349" s="114"/>
      <c r="G349" s="114"/>
      <c r="H349" s="695" t="s">
        <v>25</v>
      </c>
      <c r="I349" s="552">
        <f t="shared" ref="I349:AH349" si="779">SUM(I347:I348)</f>
        <v>10034.187571763918</v>
      </c>
      <c r="J349" s="552">
        <f t="shared" si="779"/>
        <v>11081.433073965538</v>
      </c>
      <c r="K349" s="552">
        <f t="shared" si="779"/>
        <v>12527.15673971039</v>
      </c>
      <c r="L349" s="552">
        <f t="shared" si="779"/>
        <v>15182.515263605179</v>
      </c>
      <c r="M349" s="552">
        <f t="shared" si="779"/>
        <v>17840.821309944578</v>
      </c>
      <c r="N349" s="552">
        <f t="shared" si="779"/>
        <v>20508.570311815474</v>
      </c>
      <c r="O349" s="552">
        <f t="shared" si="779"/>
        <v>23205.283417924104</v>
      </c>
      <c r="P349" s="552">
        <f t="shared" si="779"/>
        <v>25993.21108407357</v>
      </c>
      <c r="Q349" s="552">
        <f t="shared" si="779"/>
        <v>30482.134274927746</v>
      </c>
      <c r="R349" s="552">
        <f t="shared" si="779"/>
        <v>36697.573445855553</v>
      </c>
      <c r="S349" s="552">
        <f t="shared" si="779"/>
        <v>47944.293166245858</v>
      </c>
      <c r="T349" s="552">
        <f t="shared" si="779"/>
        <v>72325.656887185687</v>
      </c>
      <c r="U349" s="552">
        <f t="shared" si="779"/>
        <v>103102.02640753491</v>
      </c>
      <c r="V349" s="552">
        <f t="shared" si="779"/>
        <v>109092.56965159296</v>
      </c>
      <c r="W349" s="552">
        <f t="shared" si="779"/>
        <v>111497.66139056312</v>
      </c>
      <c r="X349" s="552">
        <f t="shared" si="779"/>
        <v>113902.33856249138</v>
      </c>
      <c r="Y349" s="552">
        <f t="shared" si="779"/>
        <v>116307.17092672357</v>
      </c>
      <c r="Z349" s="552">
        <f t="shared" si="779"/>
        <v>118713.91889640916</v>
      </c>
      <c r="AA349" s="552">
        <f t="shared" si="779"/>
        <v>121119.1668229503</v>
      </c>
      <c r="AB349" s="552">
        <f t="shared" si="779"/>
        <v>123526.4141923947</v>
      </c>
      <c r="AC349" s="552">
        <f t="shared" si="779"/>
        <v>125932.26141514834</v>
      </c>
      <c r="AD349" s="552">
        <f t="shared" si="779"/>
        <v>128338.49679254513</v>
      </c>
      <c r="AE349" s="552">
        <f t="shared" si="779"/>
        <v>130746.92273039304</v>
      </c>
      <c r="AF349" s="552">
        <f t="shared" si="779"/>
        <v>133154.17169109965</v>
      </c>
      <c r="AG349" s="552">
        <f t="shared" si="779"/>
        <v>135562.0667483095</v>
      </c>
      <c r="AH349" s="727">
        <f t="shared" si="779"/>
        <v>137972.45295013796</v>
      </c>
      <c r="AI349" s="18"/>
      <c r="AJ349" s="18"/>
      <c r="AK349" s="18"/>
      <c r="AL349" s="18"/>
      <c r="AM349" s="18"/>
      <c r="AN349" s="18"/>
    </row>
    <row r="350" spans="2:40" ht="21.9" customHeight="1" x14ac:dyDescent="0.25">
      <c r="B350" s="229"/>
      <c r="C350" s="690"/>
      <c r="D350" s="690"/>
      <c r="E350" s="1325"/>
      <c r="F350" s="114" t="s">
        <v>308</v>
      </c>
      <c r="G350" s="114" t="s">
        <v>319</v>
      </c>
      <c r="H350" s="114" t="s">
        <v>20</v>
      </c>
      <c r="I350" s="552">
        <f t="shared" ref="I350:AH350" si="780">I286*$D$11</f>
        <v>41936.86127123647</v>
      </c>
      <c r="J350" s="552">
        <f t="shared" si="780"/>
        <v>43185.813214468035</v>
      </c>
      <c r="K350" s="552">
        <f t="shared" si="780"/>
        <v>45011.080571799641</v>
      </c>
      <c r="L350" s="552">
        <f t="shared" si="780"/>
        <v>47701.79750762914</v>
      </c>
      <c r="M350" s="552">
        <f t="shared" si="780"/>
        <v>50622.39128962301</v>
      </c>
      <c r="N350" s="552">
        <f t="shared" si="780"/>
        <v>53896.674423475037</v>
      </c>
      <c r="O350" s="552">
        <f t="shared" si="780"/>
        <v>57706.301373050017</v>
      </c>
      <c r="P350" s="552">
        <f t="shared" si="780"/>
        <v>62318.451765775404</v>
      </c>
      <c r="Q350" s="552">
        <f t="shared" si="780"/>
        <v>68163.53761182414</v>
      </c>
      <c r="R350" s="552">
        <f t="shared" si="780"/>
        <v>75737.758823967772</v>
      </c>
      <c r="S350" s="552">
        <f t="shared" si="780"/>
        <v>85771.003233376381</v>
      </c>
      <c r="T350" s="552">
        <f t="shared" si="780"/>
        <v>99268.352094976566</v>
      </c>
      <c r="U350" s="552">
        <f t="shared" si="780"/>
        <v>117594.45081546636</v>
      </c>
      <c r="V350" s="552">
        <f t="shared" si="780"/>
        <v>134614.30369497353</v>
      </c>
      <c r="W350" s="552">
        <f t="shared" si="780"/>
        <v>148796.31130160246</v>
      </c>
      <c r="X350" s="552">
        <f t="shared" si="780"/>
        <v>159495.33374459678</v>
      </c>
      <c r="Y350" s="552">
        <f t="shared" si="780"/>
        <v>162081.02077995209</v>
      </c>
      <c r="Z350" s="552">
        <f t="shared" si="780"/>
        <v>164667.98022732895</v>
      </c>
      <c r="AA350" s="552">
        <f t="shared" si="780"/>
        <v>167253.75660490524</v>
      </c>
      <c r="AB350" s="552">
        <f t="shared" si="780"/>
        <v>169840.81900877302</v>
      </c>
      <c r="AC350" s="552">
        <f t="shared" si="780"/>
        <v>172426.71398322462</v>
      </c>
      <c r="AD350" s="552">
        <f t="shared" si="780"/>
        <v>175012.68155245401</v>
      </c>
      <c r="AE350" s="552">
        <f t="shared" si="780"/>
        <v>177599.963523324</v>
      </c>
      <c r="AF350" s="552">
        <f t="shared" si="780"/>
        <v>180186.11005384268</v>
      </c>
      <c r="AG350" s="552">
        <f t="shared" si="780"/>
        <v>182772.36501194531</v>
      </c>
      <c r="AH350" s="727">
        <f t="shared" si="780"/>
        <v>185359.97481642067</v>
      </c>
      <c r="AI350" s="18"/>
      <c r="AJ350" s="18"/>
      <c r="AK350" s="18"/>
      <c r="AL350" s="18"/>
      <c r="AM350" s="18"/>
      <c r="AN350" s="18"/>
    </row>
    <row r="351" spans="2:40" ht="21.9" customHeight="1" x14ac:dyDescent="0.25">
      <c r="B351" s="229"/>
      <c r="C351" s="690"/>
      <c r="D351" s="690"/>
      <c r="E351" s="1325"/>
      <c r="F351" s="114"/>
      <c r="G351" s="114"/>
      <c r="H351" s="114" t="s">
        <v>19</v>
      </c>
      <c r="I351" s="552">
        <f t="shared" ref="I351:AH351" si="781">I287*$D$12</f>
        <v>100447.57190715322</v>
      </c>
      <c r="J351" s="552">
        <f t="shared" si="781"/>
        <v>103439.07356758812</v>
      </c>
      <c r="K351" s="552">
        <f t="shared" si="781"/>
        <v>107810.97142946022</v>
      </c>
      <c r="L351" s="552">
        <f t="shared" si="781"/>
        <v>114255.80241348298</v>
      </c>
      <c r="M351" s="552">
        <f t="shared" si="781"/>
        <v>121251.23662185152</v>
      </c>
      <c r="N351" s="552">
        <f t="shared" si="781"/>
        <v>129093.83095443124</v>
      </c>
      <c r="O351" s="552">
        <f t="shared" si="781"/>
        <v>138218.68592347309</v>
      </c>
      <c r="P351" s="552">
        <f t="shared" si="781"/>
        <v>149265.75273239618</v>
      </c>
      <c r="Q351" s="552">
        <f t="shared" si="781"/>
        <v>163265.95835167461</v>
      </c>
      <c r="R351" s="552">
        <f t="shared" si="781"/>
        <v>181407.80556638987</v>
      </c>
      <c r="S351" s="552">
        <f t="shared" si="781"/>
        <v>205439.52870269792</v>
      </c>
      <c r="T351" s="552">
        <f t="shared" si="781"/>
        <v>237768.50801191991</v>
      </c>
      <c r="U351" s="552">
        <f t="shared" si="781"/>
        <v>281663.35524662602</v>
      </c>
      <c r="V351" s="552">
        <f t="shared" si="781"/>
        <v>322429.46992808033</v>
      </c>
      <c r="W351" s="552">
        <f t="shared" si="781"/>
        <v>356398.35042299994</v>
      </c>
      <c r="X351" s="552">
        <f t="shared" si="781"/>
        <v>382024.75148406415</v>
      </c>
      <c r="Y351" s="552">
        <f t="shared" si="781"/>
        <v>388218.01384419663</v>
      </c>
      <c r="Z351" s="552">
        <f t="shared" si="781"/>
        <v>394414.32389779389</v>
      </c>
      <c r="AA351" s="552">
        <f t="shared" si="781"/>
        <v>400607.80025127006</v>
      </c>
      <c r="AB351" s="552">
        <f t="shared" si="781"/>
        <v>406804.35690724081</v>
      </c>
      <c r="AC351" s="552">
        <f t="shared" si="781"/>
        <v>412998.11732508894</v>
      </c>
      <c r="AD351" s="552">
        <f t="shared" si="781"/>
        <v>419192.05162264436</v>
      </c>
      <c r="AE351" s="552">
        <f t="shared" si="781"/>
        <v>425389.13418760244</v>
      </c>
      <c r="AF351" s="552">
        <f t="shared" si="781"/>
        <v>431583.49713495257</v>
      </c>
      <c r="AG351" s="552">
        <f t="shared" si="781"/>
        <v>437778.11978909059</v>
      </c>
      <c r="AH351" s="727">
        <f t="shared" si="781"/>
        <v>443975.98758424114</v>
      </c>
      <c r="AI351" s="18"/>
      <c r="AJ351" s="18"/>
      <c r="AK351" s="18"/>
      <c r="AL351" s="18"/>
      <c r="AM351" s="18"/>
      <c r="AN351" s="18"/>
    </row>
    <row r="352" spans="2:40" ht="21.9" customHeight="1" x14ac:dyDescent="0.25">
      <c r="B352" s="229"/>
      <c r="C352" s="690"/>
      <c r="D352" s="690"/>
      <c r="E352" s="1321"/>
      <c r="F352" s="250"/>
      <c r="G352" s="250"/>
      <c r="H352" s="696" t="s">
        <v>25</v>
      </c>
      <c r="I352" s="562">
        <f t="shared" ref="I352:AH352" si="782">SUM(I350:I351)</f>
        <v>142384.43317838968</v>
      </c>
      <c r="J352" s="562">
        <f t="shared" si="782"/>
        <v>146624.88678205616</v>
      </c>
      <c r="K352" s="562">
        <f t="shared" si="782"/>
        <v>152822.05200125987</v>
      </c>
      <c r="L352" s="562">
        <f t="shared" si="782"/>
        <v>161957.59992111212</v>
      </c>
      <c r="M352" s="562">
        <f t="shared" si="782"/>
        <v>171873.62791147453</v>
      </c>
      <c r="N352" s="562">
        <f t="shared" si="782"/>
        <v>182990.50537790626</v>
      </c>
      <c r="O352" s="562">
        <f t="shared" si="782"/>
        <v>195924.98729652312</v>
      </c>
      <c r="P352" s="562">
        <f t="shared" si="782"/>
        <v>211584.20449817157</v>
      </c>
      <c r="Q352" s="562">
        <f t="shared" si="782"/>
        <v>231429.49596349875</v>
      </c>
      <c r="R352" s="562">
        <f t="shared" si="782"/>
        <v>257145.56439035764</v>
      </c>
      <c r="S352" s="562">
        <f t="shared" si="782"/>
        <v>291210.53193607432</v>
      </c>
      <c r="T352" s="562">
        <f t="shared" si="782"/>
        <v>337036.86010689649</v>
      </c>
      <c r="U352" s="562">
        <f t="shared" si="782"/>
        <v>399257.80606209236</v>
      </c>
      <c r="V352" s="562">
        <f t="shared" si="782"/>
        <v>457043.77362305386</v>
      </c>
      <c r="W352" s="562">
        <f t="shared" si="782"/>
        <v>505194.6617246024</v>
      </c>
      <c r="X352" s="562">
        <f t="shared" si="782"/>
        <v>541520.08522866096</v>
      </c>
      <c r="Y352" s="562">
        <f t="shared" si="782"/>
        <v>550299.03462414874</v>
      </c>
      <c r="Z352" s="562">
        <f t="shared" si="782"/>
        <v>559082.30412512284</v>
      </c>
      <c r="AA352" s="562">
        <f t="shared" si="782"/>
        <v>567861.5568561753</v>
      </c>
      <c r="AB352" s="562">
        <f t="shared" si="782"/>
        <v>576645.17591601377</v>
      </c>
      <c r="AC352" s="562">
        <f t="shared" si="782"/>
        <v>585424.83130831353</v>
      </c>
      <c r="AD352" s="562">
        <f t="shared" si="782"/>
        <v>594204.73317509843</v>
      </c>
      <c r="AE352" s="562">
        <f t="shared" si="782"/>
        <v>602989.09771092643</v>
      </c>
      <c r="AF352" s="562">
        <f t="shared" si="782"/>
        <v>611769.60718879523</v>
      </c>
      <c r="AG352" s="562">
        <f t="shared" si="782"/>
        <v>620550.48480103584</v>
      </c>
      <c r="AH352" s="729">
        <f t="shared" si="782"/>
        <v>629335.96240066178</v>
      </c>
      <c r="AI352" s="18"/>
      <c r="AJ352" s="18"/>
      <c r="AK352" s="18"/>
      <c r="AL352" s="18"/>
      <c r="AM352" s="18"/>
      <c r="AN352" s="18"/>
    </row>
    <row r="353" spans="2:40" ht="21.9" customHeight="1" x14ac:dyDescent="0.25">
      <c r="B353" s="229"/>
      <c r="C353" s="690"/>
      <c r="D353" s="690"/>
      <c r="E353" s="114" t="s">
        <v>320</v>
      </c>
      <c r="F353" s="114" t="s">
        <v>318</v>
      </c>
      <c r="G353" s="114" t="s">
        <v>308</v>
      </c>
      <c r="H353" s="114" t="s">
        <v>20</v>
      </c>
      <c r="I353" s="552">
        <f t="shared" ref="I353:AH353" si="783">I289*$D$11</f>
        <v>132.6335648148148</v>
      </c>
      <c r="J353" s="552">
        <f t="shared" si="783"/>
        <v>1005.2297877314815</v>
      </c>
      <c r="K353" s="552">
        <f t="shared" si="783"/>
        <v>5823.8071976335805</v>
      </c>
      <c r="L353" s="552">
        <f t="shared" si="783"/>
        <v>13413.63205106456</v>
      </c>
      <c r="M353" s="552">
        <f t="shared" si="783"/>
        <v>21008.470326277071</v>
      </c>
      <c r="N353" s="552">
        <f t="shared" si="783"/>
        <v>28610.439553792497</v>
      </c>
      <c r="O353" s="552">
        <f t="shared" si="783"/>
        <v>36289.115117928079</v>
      </c>
      <c r="P353" s="552">
        <f t="shared" si="783"/>
        <v>44574.845556844753</v>
      </c>
      <c r="Q353" s="552">
        <f t="shared" si="783"/>
        <v>50234.782580462153</v>
      </c>
      <c r="R353" s="552">
        <f t="shared" si="783"/>
        <v>57874.142368389046</v>
      </c>
      <c r="S353" s="552">
        <f t="shared" si="783"/>
        <v>69734.868323113871</v>
      </c>
      <c r="T353" s="552">
        <f t="shared" si="783"/>
        <v>90090.494511671102</v>
      </c>
      <c r="U353" s="552">
        <f t="shared" si="783"/>
        <v>126833.16653229565</v>
      </c>
      <c r="V353" s="552">
        <f t="shared" si="783"/>
        <v>139197.91090186755</v>
      </c>
      <c r="W353" s="552">
        <f t="shared" si="783"/>
        <v>141020.98775735425</v>
      </c>
      <c r="X353" s="552">
        <f t="shared" si="783"/>
        <v>142843.99271995822</v>
      </c>
      <c r="Y353" s="552">
        <f t="shared" si="783"/>
        <v>144667.02336225993</v>
      </c>
      <c r="Z353" s="552">
        <f t="shared" si="783"/>
        <v>146497.28663888198</v>
      </c>
      <c r="AA353" s="552">
        <f t="shared" si="783"/>
        <v>148320.37946142518</v>
      </c>
      <c r="AB353" s="552">
        <f t="shared" si="783"/>
        <v>150150.71136457263</v>
      </c>
      <c r="AC353" s="552">
        <f t="shared" si="783"/>
        <v>151973.88119765528</v>
      </c>
      <c r="AD353" s="552">
        <f t="shared" si="783"/>
        <v>153797.09497324054</v>
      </c>
      <c r="AE353" s="552">
        <f t="shared" si="783"/>
        <v>155627.56293394859</v>
      </c>
      <c r="AF353" s="552">
        <f t="shared" si="783"/>
        <v>157450.88492363686</v>
      </c>
      <c r="AG353" s="552">
        <f t="shared" si="783"/>
        <v>159274.26747994547</v>
      </c>
      <c r="AH353" s="727">
        <f t="shared" si="783"/>
        <v>161104.9231334051</v>
      </c>
      <c r="AI353" s="18"/>
      <c r="AJ353" s="18"/>
      <c r="AK353" s="18"/>
      <c r="AL353" s="18"/>
      <c r="AM353" s="18"/>
      <c r="AN353" s="18"/>
    </row>
    <row r="354" spans="2:40" ht="21.9" customHeight="1" x14ac:dyDescent="0.25">
      <c r="B354" s="229"/>
      <c r="C354" s="690"/>
      <c r="D354" s="690"/>
      <c r="E354" s="114"/>
      <c r="F354" s="114"/>
      <c r="G354" s="114"/>
      <c r="H354" s="122" t="s">
        <v>19</v>
      </c>
      <c r="I354" s="552">
        <f t="shared" ref="I354:AH354" si="784">I290*$D$12</f>
        <v>317.68518518518516</v>
      </c>
      <c r="J354" s="552">
        <f t="shared" si="784"/>
        <v>2407.7360185185184</v>
      </c>
      <c r="K354" s="552">
        <f t="shared" si="784"/>
        <v>13949.238796727139</v>
      </c>
      <c r="L354" s="552">
        <f t="shared" si="784"/>
        <v>32128.460002549844</v>
      </c>
      <c r="M354" s="552">
        <f t="shared" si="784"/>
        <v>50319.68940425646</v>
      </c>
      <c r="N354" s="552">
        <f t="shared" si="784"/>
        <v>68527.998931239519</v>
      </c>
      <c r="O354" s="552">
        <f t="shared" si="784"/>
        <v>86920.03621060618</v>
      </c>
      <c r="P354" s="552">
        <f t="shared" si="784"/>
        <v>106766.09714214313</v>
      </c>
      <c r="Q354" s="552">
        <f t="shared" si="784"/>
        <v>120322.83252805307</v>
      </c>
      <c r="R354" s="552">
        <f t="shared" si="784"/>
        <v>138620.70028356658</v>
      </c>
      <c r="S354" s="552">
        <f t="shared" si="784"/>
        <v>167029.62472602125</v>
      </c>
      <c r="T354" s="552">
        <f t="shared" si="784"/>
        <v>215785.61559681702</v>
      </c>
      <c r="U354" s="552">
        <f t="shared" si="784"/>
        <v>303792.01564621716</v>
      </c>
      <c r="V354" s="552">
        <f t="shared" si="784"/>
        <v>333408.16982483247</v>
      </c>
      <c r="W354" s="552">
        <f t="shared" si="784"/>
        <v>337774.82097569882</v>
      </c>
      <c r="X354" s="552">
        <f t="shared" si="784"/>
        <v>342141.29992804368</v>
      </c>
      <c r="Y354" s="552">
        <f t="shared" si="784"/>
        <v>346507.84038864658</v>
      </c>
      <c r="Z354" s="552">
        <f t="shared" si="784"/>
        <v>350891.70452426822</v>
      </c>
      <c r="AA354" s="552">
        <f t="shared" si="784"/>
        <v>355258.39391958131</v>
      </c>
      <c r="AB354" s="552">
        <f t="shared" si="784"/>
        <v>359642.42243011412</v>
      </c>
      <c r="AC354" s="552">
        <f t="shared" si="784"/>
        <v>364009.2962818091</v>
      </c>
      <c r="AD354" s="552">
        <f t="shared" si="784"/>
        <v>368376.27538500732</v>
      </c>
      <c r="AE354" s="552">
        <f t="shared" si="784"/>
        <v>372760.62978191284</v>
      </c>
      <c r="AF354" s="552">
        <f t="shared" si="784"/>
        <v>377127.86808056734</v>
      </c>
      <c r="AG354" s="552">
        <f t="shared" si="784"/>
        <v>381495.25144897122</v>
      </c>
      <c r="AH354" s="727">
        <f t="shared" si="784"/>
        <v>385880.05540935352</v>
      </c>
      <c r="AI354" s="18"/>
      <c r="AJ354" s="18"/>
      <c r="AK354" s="18"/>
      <c r="AL354" s="18"/>
      <c r="AM354" s="18"/>
      <c r="AN354" s="18"/>
    </row>
    <row r="355" spans="2:40" ht="21.9" customHeight="1" x14ac:dyDescent="0.25">
      <c r="B355" s="229"/>
      <c r="C355" s="690"/>
      <c r="D355" s="690"/>
      <c r="E355" s="114"/>
      <c r="F355" s="114"/>
      <c r="G355" s="114"/>
      <c r="H355" s="696" t="s">
        <v>25</v>
      </c>
      <c r="I355" s="552">
        <f t="shared" ref="I355:AH355" si="785">SUM(I353:I354)</f>
        <v>450.31874999999997</v>
      </c>
      <c r="J355" s="552">
        <f t="shared" si="785"/>
        <v>3412.9658062499998</v>
      </c>
      <c r="K355" s="552">
        <f t="shared" si="785"/>
        <v>19773.04599436072</v>
      </c>
      <c r="L355" s="552">
        <f t="shared" si="785"/>
        <v>45542.092053614404</v>
      </c>
      <c r="M355" s="552">
        <f t="shared" si="785"/>
        <v>71328.159730533531</v>
      </c>
      <c r="N355" s="552">
        <f t="shared" si="785"/>
        <v>97138.43848503202</v>
      </c>
      <c r="O355" s="552">
        <f t="shared" si="785"/>
        <v>123209.15132853427</v>
      </c>
      <c r="P355" s="552">
        <f t="shared" si="785"/>
        <v>151340.9426989879</v>
      </c>
      <c r="Q355" s="552">
        <f t="shared" si="785"/>
        <v>170557.61510851522</v>
      </c>
      <c r="R355" s="552">
        <f t="shared" si="785"/>
        <v>196494.84265195561</v>
      </c>
      <c r="S355" s="552">
        <f t="shared" si="785"/>
        <v>236764.49304913514</v>
      </c>
      <c r="T355" s="552">
        <f t="shared" si="785"/>
        <v>305876.11010848812</v>
      </c>
      <c r="U355" s="552">
        <f t="shared" si="785"/>
        <v>430625.1821785128</v>
      </c>
      <c r="V355" s="552">
        <f t="shared" si="785"/>
        <v>472606.08072670002</v>
      </c>
      <c r="W355" s="552">
        <f t="shared" si="785"/>
        <v>478795.80873305304</v>
      </c>
      <c r="X355" s="552">
        <f t="shared" si="785"/>
        <v>484985.29264800192</v>
      </c>
      <c r="Y355" s="552">
        <f t="shared" si="785"/>
        <v>491174.86375090654</v>
      </c>
      <c r="Z355" s="552">
        <f t="shared" si="785"/>
        <v>497388.99116315017</v>
      </c>
      <c r="AA355" s="552">
        <f t="shared" si="785"/>
        <v>503578.7733810065</v>
      </c>
      <c r="AB355" s="552">
        <f t="shared" si="785"/>
        <v>509793.13379468676</v>
      </c>
      <c r="AC355" s="552">
        <f t="shared" si="785"/>
        <v>515983.17747946439</v>
      </c>
      <c r="AD355" s="552">
        <f t="shared" si="785"/>
        <v>522173.37035824789</v>
      </c>
      <c r="AE355" s="552">
        <f t="shared" si="785"/>
        <v>528388.19271586137</v>
      </c>
      <c r="AF355" s="552">
        <f t="shared" si="785"/>
        <v>534578.75300420425</v>
      </c>
      <c r="AG355" s="552">
        <f t="shared" si="785"/>
        <v>540769.51892891666</v>
      </c>
      <c r="AH355" s="727">
        <f t="shared" si="785"/>
        <v>546984.97854275862</v>
      </c>
      <c r="AI355" s="18"/>
      <c r="AJ355" s="18"/>
      <c r="AK355" s="18"/>
      <c r="AL355" s="18"/>
      <c r="AM355" s="18"/>
      <c r="AN355" s="18"/>
    </row>
    <row r="356" spans="2:40" ht="21.9" customHeight="1" x14ac:dyDescent="0.25">
      <c r="B356" s="229"/>
      <c r="C356" s="690"/>
      <c r="D356" s="690"/>
      <c r="E356" s="1325" t="s">
        <v>308</v>
      </c>
      <c r="F356" s="217" t="s">
        <v>276</v>
      </c>
      <c r="G356" s="217" t="s">
        <v>320</v>
      </c>
      <c r="H356" s="114" t="s">
        <v>20</v>
      </c>
      <c r="I356" s="552">
        <f t="shared" ref="I356:AH356" si="786">I292*$D$11</f>
        <v>400.43430656934305</v>
      </c>
      <c r="J356" s="552">
        <f t="shared" si="786"/>
        <v>889.96524635036485</v>
      </c>
      <c r="K356" s="552">
        <f t="shared" si="786"/>
        <v>3761.479658759124</v>
      </c>
      <c r="L356" s="552">
        <f t="shared" si="786"/>
        <v>8455.5708175186264</v>
      </c>
      <c r="M356" s="552">
        <f t="shared" si="786"/>
        <v>13152.264799318662</v>
      </c>
      <c r="N356" s="552">
        <f t="shared" si="786"/>
        <v>17849.158999572515</v>
      </c>
      <c r="O356" s="552">
        <f t="shared" si="786"/>
        <v>22543.250175160163</v>
      </c>
      <c r="P356" s="552">
        <f t="shared" si="786"/>
        <v>27242.747325139575</v>
      </c>
      <c r="Q356" s="552">
        <f t="shared" si="786"/>
        <v>30866.6782312426</v>
      </c>
      <c r="R356" s="552">
        <f t="shared" si="786"/>
        <v>34491.210739396767</v>
      </c>
      <c r="S356" s="552">
        <f t="shared" si="786"/>
        <v>38115.14513640276</v>
      </c>
      <c r="T356" s="552">
        <f t="shared" si="786"/>
        <v>41739.085704492187</v>
      </c>
      <c r="U356" s="552">
        <f t="shared" si="786"/>
        <v>45367.845384213208</v>
      </c>
      <c r="V356" s="552">
        <f t="shared" si="786"/>
        <v>47166.417402916049</v>
      </c>
      <c r="W356" s="552">
        <f t="shared" si="786"/>
        <v>47655.955716176475</v>
      </c>
      <c r="X356" s="552">
        <f t="shared" si="786"/>
        <v>48145.49482683633</v>
      </c>
      <c r="Y356" s="552">
        <f t="shared" si="786"/>
        <v>48635.034811933328</v>
      </c>
      <c r="Z356" s="552">
        <f t="shared" si="786"/>
        <v>49125.977304979213</v>
      </c>
      <c r="AA356" s="552">
        <f t="shared" si="786"/>
        <v>49615.51929909733</v>
      </c>
      <c r="AB356" s="552">
        <f t="shared" si="786"/>
        <v>50106.463996181803</v>
      </c>
      <c r="AC356" s="552">
        <f t="shared" si="786"/>
        <v>50596.008392362579</v>
      </c>
      <c r="AD356" s="552">
        <f t="shared" si="786"/>
        <v>51085.554155467544</v>
      </c>
      <c r="AE356" s="552">
        <f t="shared" si="786"/>
        <v>51576.502978266682</v>
      </c>
      <c r="AF356" s="552">
        <f t="shared" si="786"/>
        <v>52066.051861104606</v>
      </c>
      <c r="AG356" s="552">
        <f t="shared" si="786"/>
        <v>52555.602512719088</v>
      </c>
      <c r="AH356" s="727">
        <f t="shared" si="786"/>
        <v>53046.556673454463</v>
      </c>
      <c r="AI356" s="18"/>
      <c r="AJ356" s="18"/>
      <c r="AK356" s="18"/>
      <c r="AL356" s="18"/>
      <c r="AM356" s="18"/>
      <c r="AN356" s="18"/>
    </row>
    <row r="357" spans="2:40" ht="21.9" customHeight="1" x14ac:dyDescent="0.25">
      <c r="B357" s="229"/>
      <c r="C357" s="690"/>
      <c r="D357" s="690"/>
      <c r="E357" s="1325"/>
      <c r="F357" s="114"/>
      <c r="G357" s="114"/>
      <c r="H357" s="122" t="s">
        <v>19</v>
      </c>
      <c r="I357" s="552">
        <f t="shared" ref="I357:AH357" si="787">I293*$D$12</f>
        <v>959.12408759124082</v>
      </c>
      <c r="J357" s="552">
        <f t="shared" si="787"/>
        <v>2131.6532846715327</v>
      </c>
      <c r="K357" s="552">
        <f t="shared" si="787"/>
        <v>9009.5321167883212</v>
      </c>
      <c r="L357" s="552">
        <f t="shared" si="787"/>
        <v>20252.864233577548</v>
      </c>
      <c r="M357" s="552">
        <f t="shared" si="787"/>
        <v>31502.430657050689</v>
      </c>
      <c r="N357" s="552">
        <f t="shared" si="787"/>
        <v>42752.476645682669</v>
      </c>
      <c r="O357" s="552">
        <f t="shared" si="787"/>
        <v>53995.808802778833</v>
      </c>
      <c r="P357" s="552">
        <f t="shared" si="787"/>
        <v>65252.089401531921</v>
      </c>
      <c r="Q357" s="552">
        <f t="shared" si="787"/>
        <v>73932.16342812599</v>
      </c>
      <c r="R357" s="552">
        <f t="shared" si="787"/>
        <v>82613.678417716816</v>
      </c>
      <c r="S357" s="552">
        <f t="shared" si="787"/>
        <v>91293.760805755112</v>
      </c>
      <c r="T357" s="552">
        <f t="shared" si="787"/>
        <v>99973.857974831582</v>
      </c>
      <c r="U357" s="552">
        <f t="shared" si="787"/>
        <v>108665.49792625918</v>
      </c>
      <c r="V357" s="552">
        <f t="shared" si="787"/>
        <v>112973.45485728396</v>
      </c>
      <c r="W357" s="552">
        <f t="shared" si="787"/>
        <v>114146.00171539276</v>
      </c>
      <c r="X357" s="552">
        <f t="shared" si="787"/>
        <v>115318.55048344031</v>
      </c>
      <c r="Y357" s="552">
        <f t="shared" si="787"/>
        <v>116491.10134594809</v>
      </c>
      <c r="Z357" s="552">
        <f t="shared" si="787"/>
        <v>117667.01150893225</v>
      </c>
      <c r="AA357" s="552">
        <f t="shared" si="787"/>
        <v>118839.56718346666</v>
      </c>
      <c r="AB357" s="552">
        <f t="shared" si="787"/>
        <v>120015.48262558517</v>
      </c>
      <c r="AC357" s="552">
        <f t="shared" si="787"/>
        <v>121188.04405356306</v>
      </c>
      <c r="AD357" s="552">
        <f t="shared" si="787"/>
        <v>122360.60875561088</v>
      </c>
      <c r="AE357" s="552">
        <f t="shared" si="787"/>
        <v>123536.53407968068</v>
      </c>
      <c r="AF357" s="552">
        <f t="shared" si="787"/>
        <v>124709.10625414277</v>
      </c>
      <c r="AG357" s="552">
        <f t="shared" si="787"/>
        <v>125881.68266519543</v>
      </c>
      <c r="AH357" s="727">
        <f t="shared" si="787"/>
        <v>127057.62077474123</v>
      </c>
      <c r="AI357" s="18"/>
      <c r="AJ357" s="18"/>
      <c r="AK357" s="18"/>
      <c r="AL357" s="18"/>
      <c r="AM357" s="18"/>
      <c r="AN357" s="18"/>
    </row>
    <row r="358" spans="2:40" ht="21.9" customHeight="1" x14ac:dyDescent="0.25">
      <c r="B358" s="229"/>
      <c r="C358" s="690"/>
      <c r="D358" s="690"/>
      <c r="E358" s="1325"/>
      <c r="F358" s="114"/>
      <c r="G358" s="114"/>
      <c r="H358" s="695" t="s">
        <v>25</v>
      </c>
      <c r="I358" s="552">
        <f t="shared" ref="I358:AH358" si="788">SUM(I356:I357)</f>
        <v>1359.5583941605839</v>
      </c>
      <c r="J358" s="552">
        <f t="shared" si="788"/>
        <v>3021.6185310218975</v>
      </c>
      <c r="K358" s="552">
        <f t="shared" si="788"/>
        <v>12771.011775547446</v>
      </c>
      <c r="L358" s="552">
        <f t="shared" si="788"/>
        <v>28708.435051096174</v>
      </c>
      <c r="M358" s="552">
        <f t="shared" si="788"/>
        <v>44654.695456369351</v>
      </c>
      <c r="N358" s="552">
        <f t="shared" si="788"/>
        <v>60601.635645255184</v>
      </c>
      <c r="O358" s="552">
        <f t="shared" si="788"/>
        <v>76539.058977938999</v>
      </c>
      <c r="P358" s="552">
        <f t="shared" si="788"/>
        <v>92494.836726671492</v>
      </c>
      <c r="Q358" s="552">
        <f t="shared" si="788"/>
        <v>104798.8416593686</v>
      </c>
      <c r="R358" s="552">
        <f t="shared" si="788"/>
        <v>117104.88915711359</v>
      </c>
      <c r="S358" s="552">
        <f t="shared" si="788"/>
        <v>129408.90594215787</v>
      </c>
      <c r="T358" s="552">
        <f t="shared" si="788"/>
        <v>141712.94367932377</v>
      </c>
      <c r="U358" s="552">
        <f t="shared" si="788"/>
        <v>154033.34331047238</v>
      </c>
      <c r="V358" s="552">
        <f t="shared" si="788"/>
        <v>160139.87226020001</v>
      </c>
      <c r="W358" s="552">
        <f t="shared" si="788"/>
        <v>161801.95743156923</v>
      </c>
      <c r="X358" s="552">
        <f t="shared" si="788"/>
        <v>163464.04531027665</v>
      </c>
      <c r="Y358" s="552">
        <f t="shared" si="788"/>
        <v>165126.13615788141</v>
      </c>
      <c r="Z358" s="552">
        <f t="shared" si="788"/>
        <v>166792.98881391145</v>
      </c>
      <c r="AA358" s="552">
        <f t="shared" si="788"/>
        <v>168455.08648256399</v>
      </c>
      <c r="AB358" s="552">
        <f t="shared" si="788"/>
        <v>170121.94662176695</v>
      </c>
      <c r="AC358" s="552">
        <f t="shared" si="788"/>
        <v>171784.05244592566</v>
      </c>
      <c r="AD358" s="552">
        <f t="shared" si="788"/>
        <v>173446.16291107843</v>
      </c>
      <c r="AE358" s="552">
        <f t="shared" si="788"/>
        <v>175113.03705794737</v>
      </c>
      <c r="AF358" s="552">
        <f t="shared" si="788"/>
        <v>176775.15811524738</v>
      </c>
      <c r="AG358" s="552">
        <f t="shared" si="788"/>
        <v>178437.28517791451</v>
      </c>
      <c r="AH358" s="727">
        <f t="shared" si="788"/>
        <v>180104.1774481957</v>
      </c>
      <c r="AI358" s="18"/>
      <c r="AJ358" s="18"/>
      <c r="AK358" s="18"/>
      <c r="AL358" s="18"/>
      <c r="AM358" s="18"/>
      <c r="AN358" s="18"/>
    </row>
    <row r="359" spans="2:40" ht="21.9" customHeight="1" x14ac:dyDescent="0.25">
      <c r="B359" s="229"/>
      <c r="C359" s="690"/>
      <c r="D359" s="690"/>
      <c r="E359" s="1325"/>
      <c r="F359" s="114" t="s">
        <v>320</v>
      </c>
      <c r="G359" s="114" t="s">
        <v>282</v>
      </c>
      <c r="H359" s="114" t="s">
        <v>20</v>
      </c>
      <c r="I359" s="552">
        <f t="shared" ref="I359:AH359" si="789">I295*$D$11</f>
        <v>0</v>
      </c>
      <c r="J359" s="552">
        <f t="shared" si="789"/>
        <v>272.41397566909984</v>
      </c>
      <c r="K359" s="552">
        <f t="shared" si="789"/>
        <v>780.15874403892951</v>
      </c>
      <c r="L359" s="552">
        <f t="shared" si="789"/>
        <v>1753.7480214112704</v>
      </c>
      <c r="M359" s="552">
        <f t="shared" si="789"/>
        <v>2727.8771435623889</v>
      </c>
      <c r="N359" s="552">
        <f t="shared" si="789"/>
        <v>3702.0477925039286</v>
      </c>
      <c r="O359" s="552">
        <f t="shared" si="789"/>
        <v>4675.6370733665526</v>
      </c>
      <c r="P359" s="552">
        <f t="shared" si="789"/>
        <v>5650.3475933622831</v>
      </c>
      <c r="Q359" s="552">
        <f t="shared" si="789"/>
        <v>6401.9777072206871</v>
      </c>
      <c r="R359" s="552">
        <f t="shared" si="789"/>
        <v>7153.7325978008093</v>
      </c>
      <c r="S359" s="552">
        <f t="shared" si="789"/>
        <v>7905.3634356983493</v>
      </c>
      <c r="T359" s="552">
        <f t="shared" si="789"/>
        <v>8656.9955535243062</v>
      </c>
      <c r="U359" s="552">
        <f t="shared" si="789"/>
        <v>9409.6271907997761</v>
      </c>
      <c r="V359" s="552">
        <f t="shared" si="789"/>
        <v>9782.6643502344396</v>
      </c>
      <c r="W359" s="552">
        <f t="shared" si="789"/>
        <v>9884.1982226143809</v>
      </c>
      <c r="X359" s="552">
        <f t="shared" si="789"/>
        <v>9985.7322603808661</v>
      </c>
      <c r="Y359" s="552">
        <f t="shared" si="789"/>
        <v>10087.266479512098</v>
      </c>
      <c r="Z359" s="552">
        <f t="shared" si="789"/>
        <v>10189.091589180875</v>
      </c>
      <c r="AA359" s="552">
        <f t="shared" si="789"/>
        <v>10290.626224997963</v>
      </c>
      <c r="AB359" s="552">
        <f t="shared" si="789"/>
        <v>10392.451791800671</v>
      </c>
      <c r="AC359" s="552">
        <f t="shared" si="789"/>
        <v>10493.98692582335</v>
      </c>
      <c r="AD359" s="552">
        <f t="shared" si="789"/>
        <v>10595.52234335623</v>
      </c>
      <c r="AE359" s="552">
        <f t="shared" si="789"/>
        <v>10697.348765862722</v>
      </c>
      <c r="AF359" s="552">
        <f t="shared" si="789"/>
        <v>10798.884830451325</v>
      </c>
      <c r="AG359" s="552">
        <f t="shared" si="789"/>
        <v>10900.421261897292</v>
      </c>
      <c r="AH359" s="727">
        <f t="shared" si="789"/>
        <v>11002.248791531296</v>
      </c>
      <c r="AI359" s="18"/>
      <c r="AJ359" s="18"/>
      <c r="AK359" s="18"/>
      <c r="AL359" s="18"/>
      <c r="AM359" s="18"/>
      <c r="AN359" s="18"/>
    </row>
    <row r="360" spans="2:40" ht="21.9" customHeight="1" x14ac:dyDescent="0.25">
      <c r="B360" s="229"/>
      <c r="C360" s="690"/>
      <c r="D360" s="690"/>
      <c r="E360" s="1325"/>
      <c r="F360" s="114"/>
      <c r="G360" s="114"/>
      <c r="H360" s="122" t="s">
        <v>19</v>
      </c>
      <c r="I360" s="552">
        <f t="shared" ref="I360:AH360" si="790">I296*$D$12</f>
        <v>0</v>
      </c>
      <c r="J360" s="552">
        <f t="shared" si="790"/>
        <v>652.48856447688581</v>
      </c>
      <c r="K360" s="552">
        <f t="shared" si="790"/>
        <v>1868.6436982968371</v>
      </c>
      <c r="L360" s="552">
        <f t="shared" si="790"/>
        <v>4200.5940632605279</v>
      </c>
      <c r="M360" s="552">
        <f t="shared" si="790"/>
        <v>6533.8374696105129</v>
      </c>
      <c r="N360" s="552">
        <f t="shared" si="790"/>
        <v>8867.1803413267753</v>
      </c>
      <c r="O360" s="552">
        <f t="shared" si="790"/>
        <v>11199.130714650426</v>
      </c>
      <c r="P360" s="552">
        <f t="shared" si="790"/>
        <v>13533.766690688104</v>
      </c>
      <c r="Q360" s="552">
        <f t="shared" si="790"/>
        <v>15334.078340648353</v>
      </c>
      <c r="R360" s="552">
        <f t="shared" si="790"/>
        <v>17134.688857007928</v>
      </c>
      <c r="S360" s="552">
        <f t="shared" si="790"/>
        <v>18935.002241193652</v>
      </c>
      <c r="T360" s="552">
        <f t="shared" si="790"/>
        <v>20735.318691076183</v>
      </c>
      <c r="U360" s="552">
        <f t="shared" si="790"/>
        <v>22538.029199520424</v>
      </c>
      <c r="V360" s="552">
        <f t="shared" si="790"/>
        <v>23431.531377807041</v>
      </c>
      <c r="W360" s="552">
        <f t="shared" si="790"/>
        <v>23674.726281711093</v>
      </c>
      <c r="X360" s="552">
        <f t="shared" si="790"/>
        <v>23917.921581750579</v>
      </c>
      <c r="Y360" s="552">
        <f t="shared" si="790"/>
        <v>24161.117316196644</v>
      </c>
      <c r="Z360" s="552">
        <f t="shared" si="790"/>
        <v>24405.00979444521</v>
      </c>
      <c r="AA360" s="552">
        <f t="shared" si="790"/>
        <v>24648.206526941231</v>
      </c>
      <c r="AB360" s="552">
        <f t="shared" si="790"/>
        <v>24892.10010012137</v>
      </c>
      <c r="AC360" s="552">
        <f t="shared" si="790"/>
        <v>25135.298025924192</v>
      </c>
      <c r="AD360" s="552">
        <f t="shared" si="790"/>
        <v>25378.496630793365</v>
      </c>
      <c r="AE360" s="552">
        <f t="shared" si="790"/>
        <v>25622.392253563405</v>
      </c>
      <c r="AF360" s="552">
        <f t="shared" si="790"/>
        <v>25865.592408266646</v>
      </c>
      <c r="AG360" s="552">
        <f t="shared" si="790"/>
        <v>26108.793441670161</v>
      </c>
      <c r="AH360" s="727">
        <f t="shared" si="790"/>
        <v>26352.691716242625</v>
      </c>
      <c r="AI360" s="18"/>
      <c r="AJ360" s="18"/>
      <c r="AK360" s="18"/>
      <c r="AL360" s="18"/>
      <c r="AM360" s="18"/>
      <c r="AN360" s="18"/>
    </row>
    <row r="361" spans="2:40" ht="21.9" customHeight="1" x14ac:dyDescent="0.25">
      <c r="B361" s="229"/>
      <c r="C361" s="690"/>
      <c r="D361" s="690"/>
      <c r="E361" s="1325"/>
      <c r="F361" s="114"/>
      <c r="G361" s="114"/>
      <c r="H361" s="695" t="s">
        <v>25</v>
      </c>
      <c r="I361" s="552">
        <f t="shared" ref="I361:AH361" si="791">SUM(I359:I360)</f>
        <v>0</v>
      </c>
      <c r="J361" s="552">
        <f t="shared" si="791"/>
        <v>924.90254014598565</v>
      </c>
      <c r="K361" s="552">
        <f t="shared" si="791"/>
        <v>2648.8024423357665</v>
      </c>
      <c r="L361" s="552">
        <f t="shared" si="791"/>
        <v>5954.3420846717981</v>
      </c>
      <c r="M361" s="552">
        <f t="shared" si="791"/>
        <v>9261.7146131729023</v>
      </c>
      <c r="N361" s="552">
        <f t="shared" si="791"/>
        <v>12569.228133830704</v>
      </c>
      <c r="O361" s="552">
        <f t="shared" si="791"/>
        <v>15874.767788016979</v>
      </c>
      <c r="P361" s="552">
        <f t="shared" si="791"/>
        <v>19184.114284050389</v>
      </c>
      <c r="Q361" s="552">
        <f t="shared" si="791"/>
        <v>21736.056047869039</v>
      </c>
      <c r="R361" s="552">
        <f t="shared" si="791"/>
        <v>24288.421454808737</v>
      </c>
      <c r="S361" s="552">
        <f t="shared" si="791"/>
        <v>26840.365676892001</v>
      </c>
      <c r="T361" s="552">
        <f t="shared" si="791"/>
        <v>29392.314244600489</v>
      </c>
      <c r="U361" s="552">
        <f t="shared" si="791"/>
        <v>31947.6563903202</v>
      </c>
      <c r="V361" s="552">
        <f t="shared" si="791"/>
        <v>33214.195728041479</v>
      </c>
      <c r="W361" s="552">
        <f t="shared" si="791"/>
        <v>33558.924504325478</v>
      </c>
      <c r="X361" s="552">
        <f t="shared" si="791"/>
        <v>33903.653842131447</v>
      </c>
      <c r="Y361" s="552">
        <f t="shared" si="791"/>
        <v>34248.383795708738</v>
      </c>
      <c r="Z361" s="552">
        <f t="shared" si="791"/>
        <v>34594.101383626083</v>
      </c>
      <c r="AA361" s="552">
        <f t="shared" si="791"/>
        <v>34938.83275193919</v>
      </c>
      <c r="AB361" s="552">
        <f t="shared" si="791"/>
        <v>35284.551891922041</v>
      </c>
      <c r="AC361" s="552">
        <f t="shared" si="791"/>
        <v>35629.284951747541</v>
      </c>
      <c r="AD361" s="552">
        <f t="shared" si="791"/>
        <v>35974.018974149592</v>
      </c>
      <c r="AE361" s="552">
        <f t="shared" si="791"/>
        <v>36319.741019426125</v>
      </c>
      <c r="AF361" s="552">
        <f t="shared" si="791"/>
        <v>36664.477238717969</v>
      </c>
      <c r="AG361" s="552">
        <f t="shared" si="791"/>
        <v>37009.214703567457</v>
      </c>
      <c r="AH361" s="727">
        <f t="shared" si="791"/>
        <v>37354.940507773921</v>
      </c>
      <c r="AI361" s="18"/>
      <c r="AJ361" s="18"/>
      <c r="AK361" s="18"/>
      <c r="AL361" s="18"/>
      <c r="AM361" s="18"/>
      <c r="AN361" s="18"/>
    </row>
    <row r="362" spans="2:40" ht="21.9" customHeight="1" x14ac:dyDescent="0.25">
      <c r="B362" s="229"/>
      <c r="C362" s="690"/>
      <c r="D362" s="690"/>
      <c r="E362" s="1325"/>
      <c r="F362" s="114" t="s">
        <v>282</v>
      </c>
      <c r="G362" s="114" t="s">
        <v>321</v>
      </c>
      <c r="H362" s="114" t="s">
        <v>20</v>
      </c>
      <c r="I362" s="552">
        <f t="shared" ref="I362:AH362" si="792">I298*$D$11</f>
        <v>0</v>
      </c>
      <c r="J362" s="552">
        <f t="shared" si="792"/>
        <v>710.22215085158155</v>
      </c>
      <c r="K362" s="552">
        <f t="shared" si="792"/>
        <v>2033.9852969586373</v>
      </c>
      <c r="L362" s="552">
        <f t="shared" si="792"/>
        <v>4572.2716272508114</v>
      </c>
      <c r="M362" s="552">
        <f t="shared" si="792"/>
        <v>7111.9654100019416</v>
      </c>
      <c r="N362" s="552">
        <f t="shared" si="792"/>
        <v>9651.7674590280967</v>
      </c>
      <c r="O362" s="552">
        <f t="shared" si="792"/>
        <v>12190.05379841994</v>
      </c>
      <c r="P362" s="552">
        <f t="shared" si="792"/>
        <v>14731.26336840881</v>
      </c>
      <c r="Q362" s="552">
        <f t="shared" si="792"/>
        <v>16690.870450968221</v>
      </c>
      <c r="R362" s="552">
        <f t="shared" si="792"/>
        <v>18650.802844266396</v>
      </c>
      <c r="S362" s="552">
        <f t="shared" si="792"/>
        <v>20610.411814499264</v>
      </c>
      <c r="T362" s="552">
        <f t="shared" si="792"/>
        <v>22570.024121688359</v>
      </c>
      <c r="U362" s="552">
        <f t="shared" si="792"/>
        <v>24532.242318870842</v>
      </c>
      <c r="V362" s="552">
        <f t="shared" si="792"/>
        <v>25504.803484539785</v>
      </c>
      <c r="W362" s="552">
        <f t="shared" si="792"/>
        <v>25769.516794673204</v>
      </c>
      <c r="X362" s="552">
        <f t="shared" si="792"/>
        <v>26034.230535992978</v>
      </c>
      <c r="Y362" s="552">
        <f t="shared" si="792"/>
        <v>26298.944750156537</v>
      </c>
      <c r="Z362" s="552">
        <f t="shared" si="792"/>
        <v>26564.417357507278</v>
      </c>
      <c r="AA362" s="552">
        <f t="shared" si="792"/>
        <v>26829.132658030405</v>
      </c>
      <c r="AB362" s="552">
        <f t="shared" si="792"/>
        <v>27094.606457194601</v>
      </c>
      <c r="AC362" s="552">
        <f t="shared" si="792"/>
        <v>27359.323056610876</v>
      </c>
      <c r="AD362" s="552">
        <f t="shared" si="792"/>
        <v>27624.040395178738</v>
      </c>
      <c r="AE362" s="552">
        <f t="shared" si="792"/>
        <v>27889.516425284946</v>
      </c>
      <c r="AF362" s="552">
        <f t="shared" si="792"/>
        <v>28154.23545081952</v>
      </c>
      <c r="AG362" s="552">
        <f t="shared" si="792"/>
        <v>28418.955432803657</v>
      </c>
      <c r="AH362" s="727">
        <f t="shared" si="792"/>
        <v>28684.434349349445</v>
      </c>
      <c r="AI362" s="18"/>
      <c r="AJ362" s="18"/>
      <c r="AK362" s="18"/>
      <c r="AL362" s="18"/>
      <c r="AM362" s="18"/>
      <c r="AN362" s="18"/>
    </row>
    <row r="363" spans="2:40" ht="21.9" customHeight="1" x14ac:dyDescent="0.25">
      <c r="B363" s="229"/>
      <c r="C363" s="690"/>
      <c r="D363" s="690"/>
      <c r="E363" s="1325"/>
      <c r="F363" s="114"/>
      <c r="G363" s="114"/>
      <c r="H363" s="122" t="s">
        <v>19</v>
      </c>
      <c r="I363" s="552">
        <f t="shared" ref="I363:AH363" si="793">I299*$D$12</f>
        <v>0</v>
      </c>
      <c r="J363" s="552">
        <f t="shared" si="793"/>
        <v>1701.130900243309</v>
      </c>
      <c r="K363" s="552">
        <f t="shared" si="793"/>
        <v>4871.8210705596102</v>
      </c>
      <c r="L363" s="552">
        <f t="shared" si="793"/>
        <v>10951.548807786376</v>
      </c>
      <c r="M363" s="552">
        <f t="shared" si="793"/>
        <v>17034.647688627407</v>
      </c>
      <c r="N363" s="552">
        <f t="shared" si="793"/>
        <v>23118.00588988766</v>
      </c>
      <c r="O363" s="552">
        <f t="shared" si="793"/>
        <v>29197.733648910038</v>
      </c>
      <c r="P363" s="552">
        <f t="shared" si="793"/>
        <v>35284.463157865415</v>
      </c>
      <c r="Q363" s="552">
        <f t="shared" si="793"/>
        <v>39978.132816690348</v>
      </c>
      <c r="R363" s="552">
        <f t="shared" si="793"/>
        <v>44672.58166291353</v>
      </c>
      <c r="S363" s="552">
        <f t="shared" si="793"/>
        <v>49366.255843112012</v>
      </c>
      <c r="T363" s="552">
        <f t="shared" si="793"/>
        <v>54059.938016020023</v>
      </c>
      <c r="U363" s="552">
        <f t="shared" si="793"/>
        <v>58759.861841606806</v>
      </c>
      <c r="V363" s="552">
        <f t="shared" si="793"/>
        <v>61089.349663568348</v>
      </c>
      <c r="W363" s="552">
        <f t="shared" si="793"/>
        <v>61723.393520175341</v>
      </c>
      <c r="X363" s="552">
        <f t="shared" si="793"/>
        <v>62357.43840956402</v>
      </c>
      <c r="Y363" s="552">
        <f t="shared" si="793"/>
        <v>62991.484431512668</v>
      </c>
      <c r="Z363" s="552">
        <f t="shared" si="793"/>
        <v>63627.346964089294</v>
      </c>
      <c r="AA363" s="552">
        <f t="shared" si="793"/>
        <v>64261.395588096784</v>
      </c>
      <c r="AB363" s="552">
        <f t="shared" si="793"/>
        <v>64897.260975316414</v>
      </c>
      <c r="AC363" s="552">
        <f t="shared" si="793"/>
        <v>65531.312710445214</v>
      </c>
      <c r="AD363" s="552">
        <f t="shared" si="793"/>
        <v>66165.366215996983</v>
      </c>
      <c r="AE363" s="552">
        <f t="shared" si="793"/>
        <v>66801.23694679029</v>
      </c>
      <c r="AF363" s="552">
        <f t="shared" si="793"/>
        <v>67435.294492980887</v>
      </c>
      <c r="AG363" s="552">
        <f t="shared" si="793"/>
        <v>68069.354330068643</v>
      </c>
      <c r="AH363" s="727">
        <f t="shared" si="793"/>
        <v>68705.231974489696</v>
      </c>
      <c r="AI363" s="18"/>
      <c r="AJ363" s="18"/>
      <c r="AK363" s="18"/>
      <c r="AL363" s="18"/>
      <c r="AM363" s="18"/>
      <c r="AN363" s="18"/>
    </row>
    <row r="364" spans="2:40" ht="21.9" customHeight="1" x14ac:dyDescent="0.25">
      <c r="B364" s="229"/>
      <c r="C364" s="690"/>
      <c r="D364" s="690"/>
      <c r="E364" s="1325"/>
      <c r="F364" s="114"/>
      <c r="G364" s="114"/>
      <c r="H364" s="695" t="s">
        <v>25</v>
      </c>
      <c r="I364" s="552">
        <f t="shared" ref="I364:AH364" si="794">SUM(I362:I363)</f>
        <v>0</v>
      </c>
      <c r="J364" s="552">
        <f t="shared" si="794"/>
        <v>2411.3530510948904</v>
      </c>
      <c r="K364" s="552">
        <f t="shared" si="794"/>
        <v>6905.8063675182475</v>
      </c>
      <c r="L364" s="552">
        <f t="shared" si="794"/>
        <v>15523.820435037187</v>
      </c>
      <c r="M364" s="552">
        <f t="shared" si="794"/>
        <v>24146.61309862935</v>
      </c>
      <c r="N364" s="552">
        <f t="shared" si="794"/>
        <v>32769.773348915754</v>
      </c>
      <c r="O364" s="552">
        <f t="shared" si="794"/>
        <v>41387.787447329974</v>
      </c>
      <c r="P364" s="552">
        <f t="shared" si="794"/>
        <v>50015.726526274229</v>
      </c>
      <c r="Q364" s="552">
        <f t="shared" si="794"/>
        <v>56669.003267658569</v>
      </c>
      <c r="R364" s="552">
        <f t="shared" si="794"/>
        <v>63323.38450717993</v>
      </c>
      <c r="S364" s="552">
        <f t="shared" si="794"/>
        <v>69976.66765761128</v>
      </c>
      <c r="T364" s="552">
        <f t="shared" si="794"/>
        <v>76629.962137708382</v>
      </c>
      <c r="U364" s="552">
        <f t="shared" si="794"/>
        <v>83292.10416047764</v>
      </c>
      <c r="V364" s="552">
        <f t="shared" si="794"/>
        <v>86594.153148108133</v>
      </c>
      <c r="W364" s="552">
        <f t="shared" si="794"/>
        <v>87492.910314848545</v>
      </c>
      <c r="X364" s="552">
        <f t="shared" si="794"/>
        <v>88391.668945557001</v>
      </c>
      <c r="Y364" s="552">
        <f t="shared" si="794"/>
        <v>89290.429181669198</v>
      </c>
      <c r="Z364" s="552">
        <f t="shared" si="794"/>
        <v>90191.764321596565</v>
      </c>
      <c r="AA364" s="552">
        <f t="shared" si="794"/>
        <v>91090.528246127185</v>
      </c>
      <c r="AB364" s="552">
        <f t="shared" si="794"/>
        <v>91991.867432511019</v>
      </c>
      <c r="AC364" s="552">
        <f t="shared" si="794"/>
        <v>92890.635767056083</v>
      </c>
      <c r="AD364" s="552">
        <f t="shared" si="794"/>
        <v>93789.406611175713</v>
      </c>
      <c r="AE364" s="552">
        <f t="shared" si="794"/>
        <v>94690.75337207524</v>
      </c>
      <c r="AF364" s="552">
        <f t="shared" si="794"/>
        <v>95589.529943800415</v>
      </c>
      <c r="AG364" s="552">
        <f t="shared" si="794"/>
        <v>96488.309762872304</v>
      </c>
      <c r="AH364" s="727">
        <f t="shared" si="794"/>
        <v>97389.666323839134</v>
      </c>
      <c r="AI364" s="18"/>
      <c r="AJ364" s="18"/>
      <c r="AK364" s="18"/>
      <c r="AL364" s="18"/>
      <c r="AM364" s="18"/>
      <c r="AN364" s="18"/>
    </row>
    <row r="365" spans="2:40" ht="21.9" customHeight="1" x14ac:dyDescent="0.25">
      <c r="B365" s="229"/>
      <c r="C365" s="690"/>
      <c r="D365" s="690"/>
      <c r="E365" s="1325"/>
      <c r="F365" s="114" t="s">
        <v>321</v>
      </c>
      <c r="G365" s="114" t="s">
        <v>274</v>
      </c>
      <c r="H365" s="114" t="s">
        <v>20</v>
      </c>
      <c r="I365" s="552">
        <f t="shared" ref="I365:AH365" si="795">I301*$D$11</f>
        <v>934.34671532846721</v>
      </c>
      <c r="J365" s="552">
        <f t="shared" si="795"/>
        <v>1392.8306485401458</v>
      </c>
      <c r="K365" s="552">
        <f t="shared" si="795"/>
        <v>1961.0068861313866</v>
      </c>
      <c r="L365" s="552">
        <f t="shared" si="795"/>
        <v>3397.3469467153286</v>
      </c>
      <c r="M365" s="552">
        <f t="shared" si="795"/>
        <v>4833.8427317518335</v>
      </c>
      <c r="N365" s="552">
        <f t="shared" si="795"/>
        <v>6271.0548492702465</v>
      </c>
      <c r="O365" s="552">
        <f t="shared" si="795"/>
        <v>7707.3949098556923</v>
      </c>
      <c r="P365" s="552">
        <f t="shared" si="795"/>
        <v>9143.2677970912828</v>
      </c>
      <c r="Q365" s="552">
        <f t="shared" si="795"/>
        <v>12798.151843874848</v>
      </c>
      <c r="R365" s="552">
        <f t="shared" si="795"/>
        <v>16451.603231852147</v>
      </c>
      <c r="S365" s="552">
        <f t="shared" si="795"/>
        <v>20104.774366051759</v>
      </c>
      <c r="T365" s="552">
        <f t="shared" si="795"/>
        <v>23759.658749585618</v>
      </c>
      <c r="U365" s="552">
        <f t="shared" si="795"/>
        <v>27414.077156445896</v>
      </c>
      <c r="V365" s="552">
        <f t="shared" si="795"/>
        <v>30199.710983976867</v>
      </c>
      <c r="W365" s="552">
        <f t="shared" si="795"/>
        <v>30658.195928602996</v>
      </c>
      <c r="X365" s="552">
        <f t="shared" si="795"/>
        <v>31116.681036305115</v>
      </c>
      <c r="Y365" s="552">
        <f t="shared" si="795"/>
        <v>31575.166330430875</v>
      </c>
      <c r="Z365" s="552">
        <f t="shared" si="795"/>
        <v>32032.250311965923</v>
      </c>
      <c r="AA365" s="552">
        <f t="shared" si="795"/>
        <v>32490.736060044419</v>
      </c>
      <c r="AB365" s="552">
        <f t="shared" si="795"/>
        <v>32947.820556217244</v>
      </c>
      <c r="AC365" s="552">
        <f t="shared" si="795"/>
        <v>33406.306890257816</v>
      </c>
      <c r="AD365" s="552">
        <f t="shared" si="795"/>
        <v>33864.79357743443</v>
      </c>
      <c r="AE365" s="552">
        <f t="shared" si="795"/>
        <v>34321.879133456612</v>
      </c>
      <c r="AF365" s="552">
        <f t="shared" si="795"/>
        <v>34780.366668954033</v>
      </c>
      <c r="AG365" s="552">
        <f t="shared" si="795"/>
        <v>35238.854711972817</v>
      </c>
      <c r="AH365" s="727">
        <f t="shared" si="795"/>
        <v>35695.941790663601</v>
      </c>
      <c r="AI365" s="18"/>
      <c r="AJ365" s="18"/>
      <c r="AK365" s="18"/>
      <c r="AL365" s="18"/>
      <c r="AM365" s="18"/>
      <c r="AN365" s="18"/>
    </row>
    <row r="366" spans="2:40" ht="21.9" customHeight="1" x14ac:dyDescent="0.25">
      <c r="B366" s="229"/>
      <c r="C366" s="690"/>
      <c r="D366" s="690"/>
      <c r="E366" s="1325"/>
      <c r="F366" s="114"/>
      <c r="G366" s="114"/>
      <c r="H366" s="114" t="s">
        <v>19</v>
      </c>
      <c r="I366" s="552">
        <f t="shared" ref="I366:AH366" si="796">I302*$D$12</f>
        <v>2237.9562043795622</v>
      </c>
      <c r="J366" s="552">
        <f t="shared" si="796"/>
        <v>3336.121313868613</v>
      </c>
      <c r="K366" s="552">
        <f t="shared" si="796"/>
        <v>4697.0224817518247</v>
      </c>
      <c r="L366" s="552">
        <f t="shared" si="796"/>
        <v>8137.3579562043806</v>
      </c>
      <c r="M366" s="552">
        <f t="shared" si="796"/>
        <v>11578.066423357686</v>
      </c>
      <c r="N366" s="552">
        <f t="shared" si="796"/>
        <v>15020.490656934722</v>
      </c>
      <c r="O366" s="552">
        <f t="shared" si="796"/>
        <v>18460.826131390881</v>
      </c>
      <c r="P366" s="552">
        <f t="shared" si="796"/>
        <v>21900.042627763552</v>
      </c>
      <c r="Q366" s="552">
        <f t="shared" si="796"/>
        <v>30654.255913472691</v>
      </c>
      <c r="R366" s="552">
        <f t="shared" si="796"/>
        <v>39405.037681082991</v>
      </c>
      <c r="S366" s="552">
        <f t="shared" si="796"/>
        <v>48155.148182159908</v>
      </c>
      <c r="T366" s="552">
        <f t="shared" si="796"/>
        <v>56909.362274456573</v>
      </c>
      <c r="U366" s="552">
        <f t="shared" si="796"/>
        <v>65662.460254960228</v>
      </c>
      <c r="V366" s="552">
        <f t="shared" si="796"/>
        <v>72334.637087369745</v>
      </c>
      <c r="W366" s="552">
        <f t="shared" si="796"/>
        <v>73432.804619408373</v>
      </c>
      <c r="X366" s="552">
        <f t="shared" si="796"/>
        <v>74530.972542048185</v>
      </c>
      <c r="Y366" s="552">
        <f t="shared" si="796"/>
        <v>75629.140911211682</v>
      </c>
      <c r="Z366" s="552">
        <f t="shared" si="796"/>
        <v>76723.952843032152</v>
      </c>
      <c r="AA366" s="552">
        <f t="shared" si="796"/>
        <v>77822.122299507595</v>
      </c>
      <c r="AB366" s="552">
        <f t="shared" si="796"/>
        <v>78916.935463993403</v>
      </c>
      <c r="AC366" s="552">
        <f t="shared" si="796"/>
        <v>80015.106323970816</v>
      </c>
      <c r="AD366" s="552">
        <f t="shared" si="796"/>
        <v>81113.278029783076</v>
      </c>
      <c r="AE366" s="552">
        <f t="shared" si="796"/>
        <v>82208.09373283021</v>
      </c>
      <c r="AF366" s="552">
        <f t="shared" si="796"/>
        <v>83306.267470548584</v>
      </c>
      <c r="AG366" s="552">
        <f t="shared" si="796"/>
        <v>84404.442423886998</v>
      </c>
      <c r="AH366" s="727">
        <f t="shared" si="796"/>
        <v>85499.261774044557</v>
      </c>
      <c r="AI366" s="18"/>
      <c r="AJ366" s="18"/>
      <c r="AK366" s="18"/>
      <c r="AL366" s="18"/>
      <c r="AM366" s="18"/>
      <c r="AN366" s="18"/>
    </row>
    <row r="367" spans="2:40" ht="21.9" customHeight="1" x14ac:dyDescent="0.25">
      <c r="B367" s="229"/>
      <c r="C367" s="690"/>
      <c r="D367" s="690"/>
      <c r="E367" s="1325"/>
      <c r="F367" s="250"/>
      <c r="G367" s="250"/>
      <c r="H367" s="696" t="s">
        <v>25</v>
      </c>
      <c r="I367" s="562">
        <f t="shared" ref="I367:AH367" si="797">SUM(I365:I366)</f>
        <v>3172.3029197080295</v>
      </c>
      <c r="J367" s="562">
        <f t="shared" si="797"/>
        <v>4728.9519624087588</v>
      </c>
      <c r="K367" s="562">
        <f t="shared" si="797"/>
        <v>6658.0293678832113</v>
      </c>
      <c r="L367" s="562">
        <f t="shared" si="797"/>
        <v>11534.70490291971</v>
      </c>
      <c r="M367" s="562">
        <f t="shared" si="797"/>
        <v>16411.909155109519</v>
      </c>
      <c r="N367" s="562">
        <f t="shared" si="797"/>
        <v>21291.54550620497</v>
      </c>
      <c r="O367" s="562">
        <f t="shared" si="797"/>
        <v>26168.221041246572</v>
      </c>
      <c r="P367" s="562">
        <f t="shared" si="797"/>
        <v>31043.310424854833</v>
      </c>
      <c r="Q367" s="562">
        <f t="shared" si="797"/>
        <v>43452.407757347537</v>
      </c>
      <c r="R367" s="562">
        <f t="shared" si="797"/>
        <v>55856.640912935138</v>
      </c>
      <c r="S367" s="562">
        <f t="shared" si="797"/>
        <v>68259.922548211674</v>
      </c>
      <c r="T367" s="562">
        <f t="shared" si="797"/>
        <v>80669.021024042187</v>
      </c>
      <c r="U367" s="562">
        <f t="shared" si="797"/>
        <v>93076.537411406127</v>
      </c>
      <c r="V367" s="562">
        <f t="shared" si="797"/>
        <v>102534.34807134661</v>
      </c>
      <c r="W367" s="562">
        <f t="shared" si="797"/>
        <v>104091.00054801136</v>
      </c>
      <c r="X367" s="562">
        <f t="shared" si="797"/>
        <v>105647.6535783533</v>
      </c>
      <c r="Y367" s="562">
        <f t="shared" si="797"/>
        <v>107204.30724164256</v>
      </c>
      <c r="Z367" s="562">
        <f t="shared" si="797"/>
        <v>108756.20315499807</v>
      </c>
      <c r="AA367" s="562">
        <f t="shared" si="797"/>
        <v>110312.85835955202</v>
      </c>
      <c r="AB367" s="562">
        <f t="shared" si="797"/>
        <v>111864.75602021065</v>
      </c>
      <c r="AC367" s="562">
        <f t="shared" si="797"/>
        <v>113421.41321422864</v>
      </c>
      <c r="AD367" s="562">
        <f t="shared" si="797"/>
        <v>114978.07160721751</v>
      </c>
      <c r="AE367" s="562">
        <f t="shared" si="797"/>
        <v>116529.97286628681</v>
      </c>
      <c r="AF367" s="562">
        <f t="shared" si="797"/>
        <v>118086.63413950262</v>
      </c>
      <c r="AG367" s="562">
        <f t="shared" si="797"/>
        <v>119643.29713585982</v>
      </c>
      <c r="AH367" s="729">
        <f t="shared" si="797"/>
        <v>121195.20356470815</v>
      </c>
      <c r="AI367" s="18"/>
      <c r="AJ367" s="18"/>
      <c r="AK367" s="18"/>
      <c r="AL367" s="18"/>
      <c r="AM367" s="18"/>
      <c r="AN367" s="18"/>
    </row>
    <row r="368" spans="2:40" ht="21.9" customHeight="1" x14ac:dyDescent="0.25">
      <c r="B368" s="229"/>
      <c r="C368" s="690"/>
      <c r="D368" s="690"/>
      <c r="E368" s="114" t="s">
        <v>282</v>
      </c>
      <c r="F368" s="114" t="s">
        <v>308</v>
      </c>
      <c r="G368" s="114" t="s">
        <v>324</v>
      </c>
      <c r="H368" s="114" t="s">
        <v>20</v>
      </c>
      <c r="I368" s="552">
        <f t="shared" ref="I368:AH368" si="798">I304*$D$11</f>
        <v>7893.4535565156511</v>
      </c>
      <c r="J368" s="552">
        <f t="shared" si="798"/>
        <v>8378.8135216537084</v>
      </c>
      <c r="K368" s="552">
        <f t="shared" si="798"/>
        <v>9021.1221237156478</v>
      </c>
      <c r="L368" s="552">
        <f t="shared" si="798"/>
        <v>9874.7137476661246</v>
      </c>
      <c r="M368" s="552">
        <f t="shared" si="798"/>
        <v>10728.571709168287</v>
      </c>
      <c r="N368" s="552">
        <f t="shared" si="798"/>
        <v>11584.278265325627</v>
      </c>
      <c r="O368" s="552">
        <f t="shared" si="798"/>
        <v>12437.893268742926</v>
      </c>
      <c r="P368" s="552">
        <f t="shared" si="798"/>
        <v>13292.45452984531</v>
      </c>
      <c r="Q368" s="552">
        <f t="shared" si="798"/>
        <v>14071.711923203178</v>
      </c>
      <c r="R368" s="552">
        <f t="shared" si="798"/>
        <v>14850.37470582579</v>
      </c>
      <c r="S368" s="552">
        <f t="shared" si="798"/>
        <v>15629.841888241006</v>
      </c>
      <c r="T368" s="552">
        <f t="shared" si="798"/>
        <v>16409.427593521137</v>
      </c>
      <c r="U368" s="552">
        <f t="shared" si="798"/>
        <v>17192.03020632148</v>
      </c>
      <c r="V368" s="552">
        <f t="shared" si="798"/>
        <v>17760.022228184458</v>
      </c>
      <c r="W368" s="552">
        <f t="shared" si="798"/>
        <v>18246.204968645714</v>
      </c>
      <c r="X368" s="552">
        <f t="shared" si="798"/>
        <v>18732.638448084541</v>
      </c>
      <c r="Y368" s="552">
        <f t="shared" si="798"/>
        <v>19219.389440354582</v>
      </c>
      <c r="Z368" s="552">
        <f t="shared" si="798"/>
        <v>19707.068505747953</v>
      </c>
      <c r="AA368" s="552">
        <f t="shared" si="798"/>
        <v>20194.71991231529</v>
      </c>
      <c r="AB368" s="552">
        <f t="shared" si="798"/>
        <v>20684.186014209794</v>
      </c>
      <c r="AC368" s="552">
        <f t="shared" si="798"/>
        <v>21173.233237813005</v>
      </c>
      <c r="AD368" s="552">
        <f t="shared" si="798"/>
        <v>21663.230952810951</v>
      </c>
      <c r="AE368" s="552">
        <f t="shared" si="798"/>
        <v>22154.927493711351</v>
      </c>
      <c r="AF368" s="552">
        <f t="shared" si="798"/>
        <v>22647.515392189649</v>
      </c>
      <c r="AG368" s="552">
        <f t="shared" si="798"/>
        <v>23141.833189230416</v>
      </c>
      <c r="AH368" s="727">
        <f t="shared" si="798"/>
        <v>23639.458857696904</v>
      </c>
      <c r="AI368" s="18"/>
      <c r="AJ368" s="18"/>
      <c r="AK368" s="18"/>
      <c r="AL368" s="18"/>
      <c r="AM368" s="18"/>
      <c r="AN368" s="18"/>
    </row>
    <row r="369" spans="2:40" ht="21.9" customHeight="1" x14ac:dyDescent="0.25">
      <c r="B369" s="229"/>
      <c r="C369" s="690"/>
      <c r="D369" s="690"/>
      <c r="E369" s="114"/>
      <c r="F369" s="114"/>
      <c r="G369" s="114"/>
      <c r="H369" s="122" t="s">
        <v>19</v>
      </c>
      <c r="I369" s="552">
        <f t="shared" ref="I369:AH369" si="799">I305*$D$12</f>
        <v>18906.475584468626</v>
      </c>
      <c r="J369" s="552">
        <f t="shared" si="799"/>
        <v>20069.014423122655</v>
      </c>
      <c r="K369" s="552">
        <f t="shared" si="799"/>
        <v>21607.478140636282</v>
      </c>
      <c r="L369" s="552">
        <f t="shared" si="799"/>
        <v>23652.00897644581</v>
      </c>
      <c r="M369" s="552">
        <f t="shared" si="799"/>
        <v>25697.177746510868</v>
      </c>
      <c r="N369" s="552">
        <f t="shared" si="799"/>
        <v>27746.774288205095</v>
      </c>
      <c r="O369" s="552">
        <f t="shared" si="799"/>
        <v>29791.361122737548</v>
      </c>
      <c r="P369" s="552">
        <f t="shared" si="799"/>
        <v>31838.214442743258</v>
      </c>
      <c r="Q369" s="552">
        <f t="shared" si="799"/>
        <v>33704.699217253125</v>
      </c>
      <c r="R369" s="552">
        <f t="shared" si="799"/>
        <v>35569.759774433034</v>
      </c>
      <c r="S369" s="552">
        <f t="shared" si="799"/>
        <v>37436.747037703011</v>
      </c>
      <c r="T369" s="552">
        <f t="shared" si="799"/>
        <v>39304.01818807458</v>
      </c>
      <c r="U369" s="552">
        <f t="shared" si="799"/>
        <v>41178.515464243072</v>
      </c>
      <c r="V369" s="552">
        <f t="shared" si="799"/>
        <v>42538.975396849004</v>
      </c>
      <c r="W369" s="552">
        <f t="shared" si="799"/>
        <v>43703.484954840038</v>
      </c>
      <c r="X369" s="552">
        <f t="shared" si="799"/>
        <v>44868.595085232431</v>
      </c>
      <c r="Y369" s="552">
        <f t="shared" si="799"/>
        <v>46034.465725400194</v>
      </c>
      <c r="Z369" s="552">
        <f t="shared" si="799"/>
        <v>47202.559295204679</v>
      </c>
      <c r="AA369" s="552">
        <f t="shared" si="799"/>
        <v>48370.58661632405</v>
      </c>
      <c r="AB369" s="552">
        <f t="shared" si="799"/>
        <v>49542.960513077356</v>
      </c>
      <c r="AC369" s="552">
        <f t="shared" si="799"/>
        <v>50714.331108534148</v>
      </c>
      <c r="AD369" s="552">
        <f t="shared" si="799"/>
        <v>51887.978330086116</v>
      </c>
      <c r="AE369" s="552">
        <f t="shared" si="799"/>
        <v>53065.694595715817</v>
      </c>
      <c r="AF369" s="552">
        <f t="shared" si="799"/>
        <v>54245.545849556045</v>
      </c>
      <c r="AG369" s="552">
        <f t="shared" si="799"/>
        <v>55429.540573006991</v>
      </c>
      <c r="AH369" s="727">
        <f t="shared" si="799"/>
        <v>56621.458341788995</v>
      </c>
      <c r="AI369" s="18"/>
      <c r="AJ369" s="18"/>
      <c r="AK369" s="18"/>
      <c r="AL369" s="18"/>
      <c r="AM369" s="18"/>
      <c r="AN369" s="18"/>
    </row>
    <row r="370" spans="2:40" ht="21.9" customHeight="1" x14ac:dyDescent="0.25">
      <c r="B370" s="229"/>
      <c r="C370" s="690"/>
      <c r="D370" s="690"/>
      <c r="E370" s="114"/>
      <c r="F370" s="114"/>
      <c r="G370" s="114"/>
      <c r="H370" s="696" t="s">
        <v>25</v>
      </c>
      <c r="I370" s="552">
        <f t="shared" ref="I370:AH370" si="800">SUM(I368:I369)</f>
        <v>26799.929140984277</v>
      </c>
      <c r="J370" s="552">
        <f t="shared" si="800"/>
        <v>28447.827944776363</v>
      </c>
      <c r="K370" s="552">
        <f t="shared" si="800"/>
        <v>30628.600264351931</v>
      </c>
      <c r="L370" s="552">
        <f t="shared" si="800"/>
        <v>33526.722724111933</v>
      </c>
      <c r="M370" s="552">
        <f t="shared" si="800"/>
        <v>36425.749455679157</v>
      </c>
      <c r="N370" s="552">
        <f t="shared" si="800"/>
        <v>39331.052553530724</v>
      </c>
      <c r="O370" s="552">
        <f t="shared" si="800"/>
        <v>42229.25439148047</v>
      </c>
      <c r="P370" s="552">
        <f t="shared" si="800"/>
        <v>45130.668972588566</v>
      </c>
      <c r="Q370" s="552">
        <f t="shared" si="800"/>
        <v>47776.411140456301</v>
      </c>
      <c r="R370" s="552">
        <f t="shared" si="800"/>
        <v>50420.134480258828</v>
      </c>
      <c r="S370" s="552">
        <f t="shared" si="800"/>
        <v>53066.588925944016</v>
      </c>
      <c r="T370" s="552">
        <f t="shared" si="800"/>
        <v>55713.445781595714</v>
      </c>
      <c r="U370" s="552">
        <f t="shared" si="800"/>
        <v>58370.545670564548</v>
      </c>
      <c r="V370" s="552">
        <f t="shared" si="800"/>
        <v>60298.997625033458</v>
      </c>
      <c r="W370" s="552">
        <f t="shared" si="800"/>
        <v>61949.689923485756</v>
      </c>
      <c r="X370" s="552">
        <f t="shared" si="800"/>
        <v>63601.233533316976</v>
      </c>
      <c r="Y370" s="552">
        <f t="shared" si="800"/>
        <v>65253.85516575478</v>
      </c>
      <c r="Z370" s="552">
        <f t="shared" si="800"/>
        <v>66909.627800952629</v>
      </c>
      <c r="AA370" s="552">
        <f t="shared" si="800"/>
        <v>68565.306528639339</v>
      </c>
      <c r="AB370" s="552">
        <f t="shared" si="800"/>
        <v>70227.146527287143</v>
      </c>
      <c r="AC370" s="552">
        <f t="shared" si="800"/>
        <v>71887.56434634715</v>
      </c>
      <c r="AD370" s="552">
        <f t="shared" si="800"/>
        <v>73551.209282897064</v>
      </c>
      <c r="AE370" s="552">
        <f t="shared" si="800"/>
        <v>75220.622089427168</v>
      </c>
      <c r="AF370" s="552">
        <f t="shared" si="800"/>
        <v>76893.061241745687</v>
      </c>
      <c r="AG370" s="552">
        <f t="shared" si="800"/>
        <v>78571.373762237403</v>
      </c>
      <c r="AH370" s="727">
        <f t="shared" si="800"/>
        <v>80260.917199485906</v>
      </c>
      <c r="AI370" s="18"/>
      <c r="AJ370" s="18"/>
      <c r="AK370" s="18"/>
      <c r="AL370" s="18"/>
      <c r="AM370" s="18"/>
      <c r="AN370" s="18"/>
    </row>
    <row r="371" spans="2:40" ht="21.9" customHeight="1" x14ac:dyDescent="0.25">
      <c r="B371" s="229"/>
      <c r="C371" s="690"/>
      <c r="D371" s="690"/>
      <c r="E371" s="217" t="s">
        <v>321</v>
      </c>
      <c r="F371" s="217" t="s">
        <v>318</v>
      </c>
      <c r="G371" s="217" t="s">
        <v>308</v>
      </c>
      <c r="H371" s="114" t="s">
        <v>20</v>
      </c>
      <c r="I371" s="552" t="e">
        <f t="shared" ref="I371:AH371" si="801">I307*$D$11</f>
        <v>#DIV/0!</v>
      </c>
      <c r="J371" s="552" t="e">
        <f t="shared" si="801"/>
        <v>#DIV/0!</v>
      </c>
      <c r="K371" s="552" t="e">
        <f t="shared" si="801"/>
        <v>#DIV/0!</v>
      </c>
      <c r="L371" s="552" t="e">
        <f t="shared" si="801"/>
        <v>#DIV/0!</v>
      </c>
      <c r="M371" s="552" t="e">
        <f t="shared" si="801"/>
        <v>#DIV/0!</v>
      </c>
      <c r="N371" s="552" t="e">
        <f t="shared" si="801"/>
        <v>#DIV/0!</v>
      </c>
      <c r="O371" s="552" t="e">
        <f t="shared" si="801"/>
        <v>#DIV/0!</v>
      </c>
      <c r="P371" s="552" t="e">
        <f t="shared" si="801"/>
        <v>#DIV/0!</v>
      </c>
      <c r="Q371" s="552" t="e">
        <f t="shared" si="801"/>
        <v>#DIV/0!</v>
      </c>
      <c r="R371" s="552" t="e">
        <f t="shared" si="801"/>
        <v>#DIV/0!</v>
      </c>
      <c r="S371" s="552" t="e">
        <f t="shared" si="801"/>
        <v>#DIV/0!</v>
      </c>
      <c r="T371" s="552" t="e">
        <f t="shared" si="801"/>
        <v>#DIV/0!</v>
      </c>
      <c r="U371" s="552" t="e">
        <f t="shared" si="801"/>
        <v>#DIV/0!</v>
      </c>
      <c r="V371" s="552" t="e">
        <f t="shared" si="801"/>
        <v>#DIV/0!</v>
      </c>
      <c r="W371" s="552" t="e">
        <f t="shared" si="801"/>
        <v>#DIV/0!</v>
      </c>
      <c r="X371" s="552" t="e">
        <f t="shared" si="801"/>
        <v>#DIV/0!</v>
      </c>
      <c r="Y371" s="552" t="e">
        <f t="shared" si="801"/>
        <v>#DIV/0!</v>
      </c>
      <c r="Z371" s="552" t="e">
        <f t="shared" si="801"/>
        <v>#DIV/0!</v>
      </c>
      <c r="AA371" s="552" t="e">
        <f t="shared" si="801"/>
        <v>#DIV/0!</v>
      </c>
      <c r="AB371" s="552" t="e">
        <f t="shared" si="801"/>
        <v>#DIV/0!</v>
      </c>
      <c r="AC371" s="552" t="e">
        <f t="shared" si="801"/>
        <v>#DIV/0!</v>
      </c>
      <c r="AD371" s="552" t="e">
        <f t="shared" si="801"/>
        <v>#DIV/0!</v>
      </c>
      <c r="AE371" s="552" t="e">
        <f t="shared" si="801"/>
        <v>#DIV/0!</v>
      </c>
      <c r="AF371" s="552" t="e">
        <f t="shared" si="801"/>
        <v>#DIV/0!</v>
      </c>
      <c r="AG371" s="552" t="e">
        <f t="shared" si="801"/>
        <v>#DIV/0!</v>
      </c>
      <c r="AH371" s="727" t="e">
        <f t="shared" si="801"/>
        <v>#DIV/0!</v>
      </c>
      <c r="AI371" s="18"/>
      <c r="AJ371" s="18"/>
      <c r="AK371" s="18"/>
      <c r="AL371" s="18"/>
      <c r="AM371" s="18"/>
      <c r="AN371" s="18"/>
    </row>
    <row r="372" spans="2:40" ht="21.9" customHeight="1" x14ac:dyDescent="0.25">
      <c r="B372" s="229"/>
      <c r="C372" s="690"/>
      <c r="D372" s="690"/>
      <c r="E372" s="114"/>
      <c r="F372" s="114"/>
      <c r="G372" s="114"/>
      <c r="H372" s="122" t="s">
        <v>19</v>
      </c>
      <c r="I372" s="552" t="e">
        <f t="shared" ref="I372:AH372" si="802">I308*$D$12</f>
        <v>#DIV/0!</v>
      </c>
      <c r="J372" s="552" t="e">
        <f t="shared" si="802"/>
        <v>#DIV/0!</v>
      </c>
      <c r="K372" s="552" t="e">
        <f t="shared" si="802"/>
        <v>#DIV/0!</v>
      </c>
      <c r="L372" s="552" t="e">
        <f t="shared" si="802"/>
        <v>#DIV/0!</v>
      </c>
      <c r="M372" s="552" t="e">
        <f t="shared" si="802"/>
        <v>#DIV/0!</v>
      </c>
      <c r="N372" s="552" t="e">
        <f t="shared" si="802"/>
        <v>#DIV/0!</v>
      </c>
      <c r="O372" s="552" t="e">
        <f t="shared" si="802"/>
        <v>#DIV/0!</v>
      </c>
      <c r="P372" s="552" t="e">
        <f t="shared" si="802"/>
        <v>#DIV/0!</v>
      </c>
      <c r="Q372" s="552" t="e">
        <f t="shared" si="802"/>
        <v>#DIV/0!</v>
      </c>
      <c r="R372" s="552" t="e">
        <f t="shared" si="802"/>
        <v>#DIV/0!</v>
      </c>
      <c r="S372" s="552" t="e">
        <f t="shared" si="802"/>
        <v>#DIV/0!</v>
      </c>
      <c r="T372" s="552" t="e">
        <f t="shared" si="802"/>
        <v>#DIV/0!</v>
      </c>
      <c r="U372" s="552" t="e">
        <f t="shared" si="802"/>
        <v>#DIV/0!</v>
      </c>
      <c r="V372" s="552" t="e">
        <f t="shared" si="802"/>
        <v>#DIV/0!</v>
      </c>
      <c r="W372" s="552" t="e">
        <f t="shared" si="802"/>
        <v>#DIV/0!</v>
      </c>
      <c r="X372" s="552" t="e">
        <f t="shared" si="802"/>
        <v>#DIV/0!</v>
      </c>
      <c r="Y372" s="552" t="e">
        <f t="shared" si="802"/>
        <v>#DIV/0!</v>
      </c>
      <c r="Z372" s="552" t="e">
        <f t="shared" si="802"/>
        <v>#DIV/0!</v>
      </c>
      <c r="AA372" s="552" t="e">
        <f t="shared" si="802"/>
        <v>#DIV/0!</v>
      </c>
      <c r="AB372" s="552" t="e">
        <f t="shared" si="802"/>
        <v>#DIV/0!</v>
      </c>
      <c r="AC372" s="552" t="e">
        <f t="shared" si="802"/>
        <v>#DIV/0!</v>
      </c>
      <c r="AD372" s="552" t="e">
        <f t="shared" si="802"/>
        <v>#DIV/0!</v>
      </c>
      <c r="AE372" s="552" t="e">
        <f t="shared" si="802"/>
        <v>#DIV/0!</v>
      </c>
      <c r="AF372" s="552" t="e">
        <f t="shared" si="802"/>
        <v>#DIV/0!</v>
      </c>
      <c r="AG372" s="552" t="e">
        <f t="shared" si="802"/>
        <v>#DIV/0!</v>
      </c>
      <c r="AH372" s="727" t="e">
        <f t="shared" si="802"/>
        <v>#DIV/0!</v>
      </c>
      <c r="AI372" s="18"/>
      <c r="AJ372" s="18"/>
      <c r="AK372" s="18"/>
      <c r="AL372" s="18"/>
      <c r="AM372" s="18"/>
      <c r="AN372" s="18"/>
    </row>
    <row r="373" spans="2:40" ht="21.9" customHeight="1" x14ac:dyDescent="0.25">
      <c r="B373" s="229"/>
      <c r="C373" s="690"/>
      <c r="D373" s="690"/>
      <c r="E373" s="250"/>
      <c r="F373" s="250"/>
      <c r="G373" s="250"/>
      <c r="H373" s="696" t="s">
        <v>25</v>
      </c>
      <c r="I373" s="552" t="e">
        <f t="shared" ref="I373:AH373" si="803">SUM(I371:I372)</f>
        <v>#DIV/0!</v>
      </c>
      <c r="J373" s="552" t="e">
        <f t="shared" si="803"/>
        <v>#DIV/0!</v>
      </c>
      <c r="K373" s="552" t="e">
        <f t="shared" si="803"/>
        <v>#DIV/0!</v>
      </c>
      <c r="L373" s="552" t="e">
        <f t="shared" si="803"/>
        <v>#DIV/0!</v>
      </c>
      <c r="M373" s="552" t="e">
        <f t="shared" si="803"/>
        <v>#DIV/0!</v>
      </c>
      <c r="N373" s="552" t="e">
        <f t="shared" si="803"/>
        <v>#DIV/0!</v>
      </c>
      <c r="O373" s="552" t="e">
        <f t="shared" si="803"/>
        <v>#DIV/0!</v>
      </c>
      <c r="P373" s="552" t="e">
        <f t="shared" si="803"/>
        <v>#DIV/0!</v>
      </c>
      <c r="Q373" s="552" t="e">
        <f t="shared" si="803"/>
        <v>#DIV/0!</v>
      </c>
      <c r="R373" s="552" t="e">
        <f t="shared" si="803"/>
        <v>#DIV/0!</v>
      </c>
      <c r="S373" s="552" t="e">
        <f t="shared" si="803"/>
        <v>#DIV/0!</v>
      </c>
      <c r="T373" s="552" t="e">
        <f t="shared" si="803"/>
        <v>#DIV/0!</v>
      </c>
      <c r="U373" s="552" t="e">
        <f t="shared" si="803"/>
        <v>#DIV/0!</v>
      </c>
      <c r="V373" s="552" t="e">
        <f t="shared" si="803"/>
        <v>#DIV/0!</v>
      </c>
      <c r="W373" s="552" t="e">
        <f t="shared" si="803"/>
        <v>#DIV/0!</v>
      </c>
      <c r="X373" s="552" t="e">
        <f t="shared" si="803"/>
        <v>#DIV/0!</v>
      </c>
      <c r="Y373" s="552" t="e">
        <f t="shared" si="803"/>
        <v>#DIV/0!</v>
      </c>
      <c r="Z373" s="552" t="e">
        <f t="shared" si="803"/>
        <v>#DIV/0!</v>
      </c>
      <c r="AA373" s="552" t="e">
        <f t="shared" si="803"/>
        <v>#DIV/0!</v>
      </c>
      <c r="AB373" s="552" t="e">
        <f t="shared" si="803"/>
        <v>#DIV/0!</v>
      </c>
      <c r="AC373" s="552" t="e">
        <f t="shared" si="803"/>
        <v>#DIV/0!</v>
      </c>
      <c r="AD373" s="552" t="e">
        <f t="shared" si="803"/>
        <v>#DIV/0!</v>
      </c>
      <c r="AE373" s="552" t="e">
        <f t="shared" si="803"/>
        <v>#DIV/0!</v>
      </c>
      <c r="AF373" s="552" t="e">
        <f t="shared" si="803"/>
        <v>#DIV/0!</v>
      </c>
      <c r="AG373" s="552" t="e">
        <f t="shared" si="803"/>
        <v>#DIV/0!</v>
      </c>
      <c r="AH373" s="727" t="e">
        <f t="shared" si="803"/>
        <v>#DIV/0!</v>
      </c>
      <c r="AI373" s="18"/>
      <c r="AJ373" s="18"/>
      <c r="AK373" s="18"/>
      <c r="AL373" s="18"/>
      <c r="AM373" s="18"/>
      <c r="AN373" s="18"/>
    </row>
    <row r="374" spans="2:40" ht="21.9" customHeight="1" x14ac:dyDescent="0.25">
      <c r="B374" s="229"/>
      <c r="C374" s="690"/>
      <c r="D374" s="690"/>
      <c r="E374" s="217" t="s">
        <v>333</v>
      </c>
      <c r="F374" s="217" t="s">
        <v>319</v>
      </c>
      <c r="G374" s="217" t="s">
        <v>308</v>
      </c>
      <c r="H374" s="114" t="s">
        <v>20</v>
      </c>
      <c r="I374" s="552">
        <f t="shared" ref="I374:AH374" si="804">I310*$D$11</f>
        <v>12757.824207646447</v>
      </c>
      <c r="J374" s="552">
        <f t="shared" si="804"/>
        <v>12933.074441110428</v>
      </c>
      <c r="K374" s="552">
        <f t="shared" si="804"/>
        <v>13236.025476474169</v>
      </c>
      <c r="L374" s="552">
        <f t="shared" si="804"/>
        <v>13652.021382959087</v>
      </c>
      <c r="M374" s="552">
        <f t="shared" si="804"/>
        <v>14068.308752895213</v>
      </c>
      <c r="N374" s="552">
        <f t="shared" si="804"/>
        <v>14485.349036816229</v>
      </c>
      <c r="O374" s="552">
        <f t="shared" si="804"/>
        <v>14901.802946953612</v>
      </c>
      <c r="P374" s="552">
        <f t="shared" si="804"/>
        <v>15319.964318609869</v>
      </c>
      <c r="Q374" s="552">
        <f t="shared" si="804"/>
        <v>15610.137432316791</v>
      </c>
      <c r="R374" s="552">
        <f t="shared" si="804"/>
        <v>15900.529662557989</v>
      </c>
      <c r="S374" s="552">
        <f t="shared" si="804"/>
        <v>16191.17407475105</v>
      </c>
      <c r="T374" s="552">
        <f t="shared" si="804"/>
        <v>16482.001990716435</v>
      </c>
      <c r="U374" s="552">
        <f t="shared" si="804"/>
        <v>16775.198284351973</v>
      </c>
      <c r="V374" s="552">
        <f t="shared" si="804"/>
        <v>16951.654103119574</v>
      </c>
      <c r="W374" s="552">
        <f t="shared" si="804"/>
        <v>17128.250548425422</v>
      </c>
      <c r="X374" s="552">
        <f t="shared" si="804"/>
        <v>17305.001270962308</v>
      </c>
      <c r="Y374" s="552">
        <f t="shared" si="804"/>
        <v>17481.921075234717</v>
      </c>
      <c r="Z374" s="552">
        <f t="shared" si="804"/>
        <v>17660.244896861383</v>
      </c>
      <c r="AA374" s="552">
        <f t="shared" si="804"/>
        <v>17837.553824688068</v>
      </c>
      <c r="AB374" s="552">
        <f t="shared" si="804"/>
        <v>18015.767098934582</v>
      </c>
      <c r="AC374" s="552">
        <f t="shared" si="804"/>
        <v>18193.540380193364</v>
      </c>
      <c r="AD374" s="552">
        <f t="shared" si="804"/>
        <v>18371.577668775204</v>
      </c>
      <c r="AE374" s="552">
        <f t="shared" si="804"/>
        <v>18551.130423020619</v>
      </c>
      <c r="AF374" s="552">
        <f t="shared" si="804"/>
        <v>18729.771295440332</v>
      </c>
      <c r="AG374" s="552">
        <f t="shared" si="804"/>
        <v>18908.7536014129</v>
      </c>
      <c r="AH374" s="727">
        <f t="shared" si="804"/>
        <v>19088.7973933582</v>
      </c>
      <c r="AI374" s="18"/>
      <c r="AJ374" s="18"/>
      <c r="AK374" s="18"/>
      <c r="AL374" s="18"/>
      <c r="AM374" s="18"/>
      <c r="AN374" s="18"/>
    </row>
    <row r="375" spans="2:40" ht="21.9" customHeight="1" x14ac:dyDescent="0.25">
      <c r="B375" s="229"/>
      <c r="C375" s="690"/>
      <c r="D375" s="690"/>
      <c r="E375" s="114"/>
      <c r="F375" s="114"/>
      <c r="G375" s="114"/>
      <c r="H375" s="122" t="s">
        <v>19</v>
      </c>
      <c r="I375" s="552">
        <f t="shared" ref="I375:AH375" si="805">I311*$D$12</f>
        <v>30557.662772805863</v>
      </c>
      <c r="J375" s="552">
        <f t="shared" si="805"/>
        <v>30977.423811042943</v>
      </c>
      <c r="K375" s="552">
        <f t="shared" si="805"/>
        <v>31703.055033471064</v>
      </c>
      <c r="L375" s="552">
        <f t="shared" si="805"/>
        <v>32699.452414273263</v>
      </c>
      <c r="M375" s="552">
        <f t="shared" si="805"/>
        <v>33696.547911126261</v>
      </c>
      <c r="N375" s="552">
        <f t="shared" si="805"/>
        <v>34695.446794769414</v>
      </c>
      <c r="O375" s="552">
        <f t="shared" si="805"/>
        <v>35692.941190308055</v>
      </c>
      <c r="P375" s="552">
        <f t="shared" si="805"/>
        <v>36694.525314035614</v>
      </c>
      <c r="Q375" s="552">
        <f t="shared" si="805"/>
        <v>37389.550736088124</v>
      </c>
      <c r="R375" s="552">
        <f t="shared" si="805"/>
        <v>38085.100988162849</v>
      </c>
      <c r="S375" s="552">
        <f t="shared" si="805"/>
        <v>38781.255268864792</v>
      </c>
      <c r="T375" s="552">
        <f t="shared" si="805"/>
        <v>39477.849079560321</v>
      </c>
      <c r="U375" s="552">
        <f t="shared" si="805"/>
        <v>40180.115651142449</v>
      </c>
      <c r="V375" s="552">
        <f t="shared" si="805"/>
        <v>40602.76431884928</v>
      </c>
      <c r="W375" s="552">
        <f t="shared" si="805"/>
        <v>41025.749816587835</v>
      </c>
      <c r="X375" s="552">
        <f t="shared" si="805"/>
        <v>41449.104840628286</v>
      </c>
      <c r="Y375" s="552">
        <f t="shared" si="805"/>
        <v>41872.864850861602</v>
      </c>
      <c r="Z375" s="552">
        <f t="shared" si="805"/>
        <v>42299.987776913491</v>
      </c>
      <c r="AA375" s="552">
        <f t="shared" si="805"/>
        <v>42724.679819612138</v>
      </c>
      <c r="AB375" s="552">
        <f t="shared" si="805"/>
        <v>43151.537961519956</v>
      </c>
      <c r="AC375" s="552">
        <f t="shared" si="805"/>
        <v>43577.342228008063</v>
      </c>
      <c r="AD375" s="552">
        <f t="shared" si="805"/>
        <v>44003.778847365764</v>
      </c>
      <c r="AE375" s="552">
        <f t="shared" si="805"/>
        <v>44433.84532460029</v>
      </c>
      <c r="AF375" s="552">
        <f t="shared" si="805"/>
        <v>44861.727653749302</v>
      </c>
      <c r="AG375" s="552">
        <f t="shared" si="805"/>
        <v>45290.42778781533</v>
      </c>
      <c r="AH375" s="727">
        <f t="shared" si="805"/>
        <v>45721.670403253178</v>
      </c>
      <c r="AI375" s="18"/>
      <c r="AJ375" s="18"/>
      <c r="AK375" s="18"/>
      <c r="AL375" s="18"/>
      <c r="AM375" s="18"/>
      <c r="AN375" s="18"/>
    </row>
    <row r="376" spans="2:40" ht="21.9" customHeight="1" x14ac:dyDescent="0.25">
      <c r="B376" s="229"/>
      <c r="C376" s="690"/>
      <c r="D376" s="690"/>
      <c r="E376" s="250"/>
      <c r="F376" s="250"/>
      <c r="G376" s="250"/>
      <c r="H376" s="696" t="s">
        <v>25</v>
      </c>
      <c r="I376" s="552">
        <f t="shared" ref="I376:AH376" si="806">SUM(I374:I375)</f>
        <v>43315.486980452311</v>
      </c>
      <c r="J376" s="552">
        <f t="shared" si="806"/>
        <v>43910.498252153368</v>
      </c>
      <c r="K376" s="552">
        <f t="shared" si="806"/>
        <v>44939.080509945234</v>
      </c>
      <c r="L376" s="552">
        <f t="shared" si="806"/>
        <v>46351.473797232349</v>
      </c>
      <c r="M376" s="552">
        <f t="shared" si="806"/>
        <v>47764.85666402147</v>
      </c>
      <c r="N376" s="552">
        <f t="shared" si="806"/>
        <v>49180.795831585645</v>
      </c>
      <c r="O376" s="552">
        <f t="shared" si="806"/>
        <v>50594.744137261667</v>
      </c>
      <c r="P376" s="552">
        <f t="shared" si="806"/>
        <v>52014.489632645484</v>
      </c>
      <c r="Q376" s="552">
        <f t="shared" si="806"/>
        <v>52999.688168404915</v>
      </c>
      <c r="R376" s="552">
        <f t="shared" si="806"/>
        <v>53985.630650720836</v>
      </c>
      <c r="S376" s="552">
        <f t="shared" si="806"/>
        <v>54972.42934361584</v>
      </c>
      <c r="T376" s="552">
        <f t="shared" si="806"/>
        <v>55959.851070276753</v>
      </c>
      <c r="U376" s="552">
        <f t="shared" si="806"/>
        <v>56955.313935494421</v>
      </c>
      <c r="V376" s="552">
        <f t="shared" si="806"/>
        <v>57554.418421968854</v>
      </c>
      <c r="W376" s="552">
        <f t="shared" si="806"/>
        <v>58154.000365013257</v>
      </c>
      <c r="X376" s="552">
        <f t="shared" si="806"/>
        <v>58754.10611159059</v>
      </c>
      <c r="Y376" s="552">
        <f t="shared" si="806"/>
        <v>59354.785926096316</v>
      </c>
      <c r="Z376" s="552">
        <f t="shared" si="806"/>
        <v>59960.232673774874</v>
      </c>
      <c r="AA376" s="552">
        <f t="shared" si="806"/>
        <v>60562.233644300206</v>
      </c>
      <c r="AB376" s="552">
        <f t="shared" si="806"/>
        <v>61167.305060454542</v>
      </c>
      <c r="AC376" s="552">
        <f t="shared" si="806"/>
        <v>61770.882608201428</v>
      </c>
      <c r="AD376" s="552">
        <f t="shared" si="806"/>
        <v>62375.356516140964</v>
      </c>
      <c r="AE376" s="552">
        <f t="shared" si="806"/>
        <v>62984.975747620905</v>
      </c>
      <c r="AF376" s="552">
        <f t="shared" si="806"/>
        <v>63591.498949189634</v>
      </c>
      <c r="AG376" s="552">
        <f t="shared" si="806"/>
        <v>64199.18138922823</v>
      </c>
      <c r="AH376" s="727">
        <f t="shared" si="806"/>
        <v>64810.467796611381</v>
      </c>
      <c r="AI376" s="18"/>
      <c r="AJ376" s="18"/>
      <c r="AK376" s="18"/>
      <c r="AL376" s="18"/>
      <c r="AM376" s="18"/>
      <c r="AN376" s="18"/>
    </row>
    <row r="377" spans="2:40" ht="21.9" customHeight="1" x14ac:dyDescent="0.25">
      <c r="B377" s="229"/>
      <c r="C377" s="690"/>
      <c r="D377" s="690"/>
      <c r="E377" s="114" t="s">
        <v>319</v>
      </c>
      <c r="F377" s="114" t="s">
        <v>276</v>
      </c>
      <c r="G377" s="114" t="s">
        <v>333</v>
      </c>
      <c r="H377" s="114" t="s">
        <v>20</v>
      </c>
      <c r="I377" s="552">
        <f t="shared" ref="I377:AH377" si="807">I313*$D$11</f>
        <v>26145.523115976084</v>
      </c>
      <c r="J377" s="552">
        <f t="shared" si="807"/>
        <v>26899.22061349525</v>
      </c>
      <c r="K377" s="552">
        <f t="shared" si="807"/>
        <v>27715.013969983043</v>
      </c>
      <c r="L377" s="552">
        <f t="shared" si="807"/>
        <v>28797.309317045369</v>
      </c>
      <c r="M377" s="552">
        <f t="shared" si="807"/>
        <v>29879.788357256264</v>
      </c>
      <c r="N377" s="552">
        <f t="shared" si="807"/>
        <v>30962.712812167189</v>
      </c>
      <c r="O377" s="552">
        <f t="shared" si="807"/>
        <v>32045.011066032326</v>
      </c>
      <c r="P377" s="552">
        <f t="shared" si="807"/>
        <v>33127.598683184391</v>
      </c>
      <c r="Q377" s="552">
        <f t="shared" si="807"/>
        <v>34318.850478284599</v>
      </c>
      <c r="R377" s="552">
        <f t="shared" si="807"/>
        <v>35509.714039849845</v>
      </c>
      <c r="S377" s="552">
        <f t="shared" si="807"/>
        <v>36700.975160954433</v>
      </c>
      <c r="T377" s="552">
        <f t="shared" si="807"/>
        <v>37892.2435097833</v>
      </c>
      <c r="U377" s="552">
        <f t="shared" si="807"/>
        <v>39084.201297145693</v>
      </c>
      <c r="V377" s="552">
        <f t="shared" si="807"/>
        <v>40008.87398575656</v>
      </c>
      <c r="W377" s="552">
        <f t="shared" si="807"/>
        <v>40762.607429593787</v>
      </c>
      <c r="X377" s="552">
        <f t="shared" si="807"/>
        <v>41516.348282901585</v>
      </c>
      <c r="Y377" s="552">
        <f t="shared" si="807"/>
        <v>42270.097873385828</v>
      </c>
      <c r="Z377" s="552">
        <f t="shared" si="807"/>
        <v>43023.779292360588</v>
      </c>
      <c r="AA377" s="552">
        <f t="shared" si="807"/>
        <v>43777.551196118089</v>
      </c>
      <c r="AB377" s="552">
        <f t="shared" si="807"/>
        <v>44531.258731846865</v>
      </c>
      <c r="AC377" s="552">
        <f t="shared" si="807"/>
        <v>45285.061127917419</v>
      </c>
      <c r="AD377" s="552">
        <f t="shared" si="807"/>
        <v>46038.882614839153</v>
      </c>
      <c r="AE377" s="552">
        <f t="shared" si="807"/>
        <v>46792.64779594935</v>
      </c>
      <c r="AF377" s="552">
        <f t="shared" si="807"/>
        <v>47546.517058508674</v>
      </c>
      <c r="AG377" s="552">
        <f t="shared" si="807"/>
        <v>48300.415914697449</v>
      </c>
      <c r="AH377" s="727">
        <f t="shared" si="807"/>
        <v>49054.270399815658</v>
      </c>
      <c r="AI377" s="18"/>
      <c r="AJ377" s="18"/>
      <c r="AK377" s="18"/>
      <c r="AL377" s="18"/>
      <c r="AM377" s="18"/>
      <c r="AN377" s="18"/>
    </row>
    <row r="378" spans="2:40" ht="21.9" customHeight="1" x14ac:dyDescent="0.25">
      <c r="B378" s="229"/>
      <c r="C378" s="690"/>
      <c r="D378" s="690"/>
      <c r="E378" s="114"/>
      <c r="F378" s="114"/>
      <c r="G378" s="114"/>
      <c r="H378" s="122" t="s">
        <v>19</v>
      </c>
      <c r="I378" s="552">
        <f t="shared" ref="I378:AH378" si="808">I314*$D$12</f>
        <v>62624.007463415772</v>
      </c>
      <c r="J378" s="552">
        <f t="shared" si="808"/>
        <v>64429.270930527549</v>
      </c>
      <c r="K378" s="552">
        <f t="shared" si="808"/>
        <v>66383.266993971367</v>
      </c>
      <c r="L378" s="552">
        <f t="shared" si="808"/>
        <v>68975.591178551782</v>
      </c>
      <c r="M378" s="552">
        <f t="shared" si="808"/>
        <v>71568.355346721597</v>
      </c>
      <c r="N378" s="552">
        <f t="shared" si="808"/>
        <v>74162.186376448357</v>
      </c>
      <c r="O378" s="552">
        <f t="shared" si="808"/>
        <v>76754.517523430724</v>
      </c>
      <c r="P378" s="552">
        <f t="shared" si="808"/>
        <v>79347.541756130289</v>
      </c>
      <c r="Q378" s="552">
        <f t="shared" si="808"/>
        <v>82200.839468945152</v>
      </c>
      <c r="R378" s="552">
        <f t="shared" si="808"/>
        <v>85053.207281077484</v>
      </c>
      <c r="S378" s="552">
        <f t="shared" si="808"/>
        <v>87906.527331627396</v>
      </c>
      <c r="T378" s="552">
        <f t="shared" si="808"/>
        <v>90759.864694091739</v>
      </c>
      <c r="U378" s="552">
        <f t="shared" si="808"/>
        <v>93614.853406336988</v>
      </c>
      <c r="V378" s="552">
        <f t="shared" si="808"/>
        <v>95829.638289237279</v>
      </c>
      <c r="W378" s="552">
        <f t="shared" si="808"/>
        <v>97634.987855314466</v>
      </c>
      <c r="X378" s="552">
        <f t="shared" si="808"/>
        <v>99440.355168626556</v>
      </c>
      <c r="Y378" s="552">
        <f t="shared" si="808"/>
        <v>101245.74340930738</v>
      </c>
      <c r="Z378" s="552">
        <f t="shared" si="808"/>
        <v>103050.96836493554</v>
      </c>
      <c r="AA378" s="552">
        <f t="shared" si="808"/>
        <v>104856.41005058226</v>
      </c>
      <c r="AB378" s="552">
        <f t="shared" si="808"/>
        <v>106661.69756130986</v>
      </c>
      <c r="AC378" s="552">
        <f t="shared" si="808"/>
        <v>108467.21228243693</v>
      </c>
      <c r="AD378" s="552">
        <f t="shared" si="808"/>
        <v>110272.77273015367</v>
      </c>
      <c r="AE378" s="552">
        <f t="shared" si="808"/>
        <v>112078.19831365114</v>
      </c>
      <c r="AF378" s="552">
        <f t="shared" si="808"/>
        <v>113883.87319403276</v>
      </c>
      <c r="AG378" s="552">
        <f t="shared" si="808"/>
        <v>115689.61895735917</v>
      </c>
      <c r="AH378" s="727">
        <f t="shared" si="808"/>
        <v>117495.25844267223</v>
      </c>
      <c r="AI378" s="18"/>
      <c r="AJ378" s="18"/>
      <c r="AK378" s="18"/>
      <c r="AL378" s="18"/>
      <c r="AM378" s="18"/>
      <c r="AN378" s="18"/>
    </row>
    <row r="379" spans="2:40" ht="21.9" customHeight="1" x14ac:dyDescent="0.25">
      <c r="B379" s="229"/>
      <c r="C379" s="690"/>
      <c r="D379" s="690"/>
      <c r="E379" s="114"/>
      <c r="F379" s="114"/>
      <c r="G379" s="114"/>
      <c r="H379" s="696" t="s">
        <v>25</v>
      </c>
      <c r="I379" s="552">
        <f t="shared" ref="I379:AH379" si="809">SUM(I377:I378)</f>
        <v>88769.530579391852</v>
      </c>
      <c r="J379" s="552">
        <f t="shared" si="809"/>
        <v>91328.491544022807</v>
      </c>
      <c r="K379" s="552">
        <f t="shared" si="809"/>
        <v>94098.280963954414</v>
      </c>
      <c r="L379" s="552">
        <f t="shared" si="809"/>
        <v>97772.900495597147</v>
      </c>
      <c r="M379" s="552">
        <f t="shared" si="809"/>
        <v>101448.14370397787</v>
      </c>
      <c r="N379" s="552">
        <f t="shared" si="809"/>
        <v>105124.89918861554</v>
      </c>
      <c r="O379" s="552">
        <f t="shared" si="809"/>
        <v>108799.52858946305</v>
      </c>
      <c r="P379" s="552">
        <f t="shared" si="809"/>
        <v>112475.14043931468</v>
      </c>
      <c r="Q379" s="552">
        <f t="shared" si="809"/>
        <v>116519.68994722975</v>
      </c>
      <c r="R379" s="552">
        <f t="shared" si="809"/>
        <v>120562.92132092733</v>
      </c>
      <c r="S379" s="552">
        <f t="shared" si="809"/>
        <v>124607.50249258183</v>
      </c>
      <c r="T379" s="552">
        <f t="shared" si="809"/>
        <v>128652.10820387505</v>
      </c>
      <c r="U379" s="552">
        <f t="shared" si="809"/>
        <v>132699.05470348269</v>
      </c>
      <c r="V379" s="552">
        <f t="shared" si="809"/>
        <v>135838.51227499385</v>
      </c>
      <c r="W379" s="552">
        <f t="shared" si="809"/>
        <v>138397.59528490825</v>
      </c>
      <c r="X379" s="552">
        <f t="shared" si="809"/>
        <v>140956.70345152816</v>
      </c>
      <c r="Y379" s="552">
        <f t="shared" si="809"/>
        <v>143515.8412826932</v>
      </c>
      <c r="Z379" s="552">
        <f t="shared" si="809"/>
        <v>146074.74765729613</v>
      </c>
      <c r="AA379" s="552">
        <f t="shared" si="809"/>
        <v>148633.96124670035</v>
      </c>
      <c r="AB379" s="552">
        <f t="shared" si="809"/>
        <v>151192.95629315672</v>
      </c>
      <c r="AC379" s="552">
        <f t="shared" si="809"/>
        <v>153752.27341035433</v>
      </c>
      <c r="AD379" s="552">
        <f t="shared" si="809"/>
        <v>156311.65534499282</v>
      </c>
      <c r="AE379" s="552">
        <f t="shared" si="809"/>
        <v>158870.8461096005</v>
      </c>
      <c r="AF379" s="552">
        <f t="shared" si="809"/>
        <v>161430.39025254143</v>
      </c>
      <c r="AG379" s="552">
        <f t="shared" si="809"/>
        <v>163990.03487205663</v>
      </c>
      <c r="AH379" s="727">
        <f t="shared" si="809"/>
        <v>166549.5288424879</v>
      </c>
      <c r="AI379" s="18"/>
      <c r="AJ379" s="18"/>
      <c r="AK379" s="18"/>
      <c r="AL379" s="18"/>
      <c r="AM379" s="18"/>
      <c r="AN379" s="18"/>
    </row>
    <row r="380" spans="2:40" ht="21.9" customHeight="1" x14ac:dyDescent="0.25">
      <c r="B380" s="229"/>
      <c r="C380" s="690"/>
      <c r="D380" s="690"/>
      <c r="E380" s="114"/>
      <c r="F380" s="114" t="s">
        <v>333</v>
      </c>
      <c r="G380" s="114" t="s">
        <v>323</v>
      </c>
      <c r="H380" s="114" t="s">
        <v>20</v>
      </c>
      <c r="I380" s="552">
        <f t="shared" ref="I380:AH380" si="810">I316*$D$11</f>
        <v>3807.746219262337</v>
      </c>
      <c r="J380" s="552">
        <f t="shared" si="810"/>
        <v>3915.816073817934</v>
      </c>
      <c r="K380" s="552">
        <f t="shared" si="810"/>
        <v>4035.7450561603737</v>
      </c>
      <c r="L380" s="552">
        <f t="shared" si="810"/>
        <v>4204.077514565518</v>
      </c>
      <c r="M380" s="552">
        <f t="shared" si="810"/>
        <v>4372.4400414941565</v>
      </c>
      <c r="N380" s="552">
        <f t="shared" si="810"/>
        <v>4540.8376502599467</v>
      </c>
      <c r="O380" s="552">
        <f t="shared" si="810"/>
        <v>4709.1701412284037</v>
      </c>
      <c r="P380" s="552">
        <f t="shared" si="810"/>
        <v>4877.5126729922922</v>
      </c>
      <c r="Q380" s="552">
        <f t="shared" si="810"/>
        <v>5066.7226982837219</v>
      </c>
      <c r="R380" s="552">
        <f t="shared" si="810"/>
        <v>5255.8676408574956</v>
      </c>
      <c r="S380" s="552">
        <f t="shared" si="810"/>
        <v>5445.0777852652509</v>
      </c>
      <c r="T380" s="552">
        <f t="shared" si="810"/>
        <v>5634.2880248785732</v>
      </c>
      <c r="U380" s="552">
        <f t="shared" si="810"/>
        <v>5823.5284551413415</v>
      </c>
      <c r="V380" s="552">
        <f t="shared" si="810"/>
        <v>5964.3553904227656</v>
      </c>
      <c r="W380" s="552">
        <f t="shared" si="810"/>
        <v>6072.4256632449751</v>
      </c>
      <c r="X380" s="552">
        <f t="shared" si="810"/>
        <v>6180.4960184969359</v>
      </c>
      <c r="Y380" s="552">
        <f t="shared" si="810"/>
        <v>6288.5664703567099</v>
      </c>
      <c r="Z380" s="552">
        <f t="shared" si="810"/>
        <v>6396.5819226156736</v>
      </c>
      <c r="AA380" s="552">
        <f t="shared" si="810"/>
        <v>6504.6526189326414</v>
      </c>
      <c r="AB380" s="552">
        <f t="shared" si="810"/>
        <v>6612.6683555979853</v>
      </c>
      <c r="AC380" s="552">
        <f t="shared" si="810"/>
        <v>6720.7393823042985</v>
      </c>
      <c r="AD380" s="552">
        <f t="shared" si="810"/>
        <v>6828.8106143303276</v>
      </c>
      <c r="AE380" s="552">
        <f t="shared" si="810"/>
        <v>6936.8269703548822</v>
      </c>
      <c r="AF380" s="552">
        <f t="shared" si="810"/>
        <v>7044.8987122074623</v>
      </c>
      <c r="AG380" s="552">
        <f t="shared" si="810"/>
        <v>7152.9707677401084</v>
      </c>
      <c r="AH380" s="727">
        <f t="shared" si="810"/>
        <v>7260.9880694747008</v>
      </c>
      <c r="AI380" s="18"/>
      <c r="AJ380" s="18"/>
      <c r="AK380" s="18"/>
      <c r="AL380" s="18"/>
      <c r="AM380" s="18"/>
      <c r="AN380" s="18"/>
    </row>
    <row r="381" spans="2:40" ht="21.9" customHeight="1" x14ac:dyDescent="0.25">
      <c r="B381" s="229"/>
      <c r="C381" s="690"/>
      <c r="D381" s="690"/>
      <c r="E381" s="114"/>
      <c r="F381" s="114"/>
      <c r="G381" s="114"/>
      <c r="H381" s="122" t="s">
        <v>19</v>
      </c>
      <c r="I381" s="552">
        <f t="shared" ref="I381:AH381" si="811">I317*$D$12</f>
        <v>9120.3502257780528</v>
      </c>
      <c r="J381" s="552">
        <f t="shared" si="811"/>
        <v>9379.2001768094233</v>
      </c>
      <c r="K381" s="552">
        <f t="shared" si="811"/>
        <v>9666.455224336225</v>
      </c>
      <c r="L381" s="552">
        <f t="shared" si="811"/>
        <v>10069.646741474295</v>
      </c>
      <c r="M381" s="552">
        <f t="shared" si="811"/>
        <v>10472.910279027919</v>
      </c>
      <c r="N381" s="552">
        <f t="shared" si="811"/>
        <v>10876.257844934004</v>
      </c>
      <c r="O381" s="552">
        <f t="shared" si="811"/>
        <v>11279.449440068034</v>
      </c>
      <c r="P381" s="552">
        <f t="shared" si="811"/>
        <v>11682.665085011478</v>
      </c>
      <c r="Q381" s="552">
        <f t="shared" si="811"/>
        <v>12135.862750380173</v>
      </c>
      <c r="R381" s="552">
        <f t="shared" si="811"/>
        <v>12588.90452899999</v>
      </c>
      <c r="S381" s="552">
        <f t="shared" si="811"/>
        <v>13042.102479677249</v>
      </c>
      <c r="T381" s="552">
        <f t="shared" si="811"/>
        <v>13495.300658391792</v>
      </c>
      <c r="U381" s="552">
        <f t="shared" si="811"/>
        <v>13948.571150039143</v>
      </c>
      <c r="V381" s="552">
        <f t="shared" si="811"/>
        <v>14285.881174665308</v>
      </c>
      <c r="W381" s="552">
        <f t="shared" si="811"/>
        <v>14544.732127532876</v>
      </c>
      <c r="X381" s="552">
        <f t="shared" si="811"/>
        <v>14803.583277836973</v>
      </c>
      <c r="Y381" s="552">
        <f t="shared" si="811"/>
        <v>15062.43465953703</v>
      </c>
      <c r="Z381" s="552">
        <f t="shared" si="811"/>
        <v>15321.154305666285</v>
      </c>
      <c r="AA381" s="552">
        <f t="shared" si="811"/>
        <v>15580.006272892555</v>
      </c>
      <c r="AB381" s="552">
        <f t="shared" si="811"/>
        <v>15838.726600234695</v>
      </c>
      <c r="AC381" s="552">
        <f t="shared" si="811"/>
        <v>16097.579358812691</v>
      </c>
      <c r="AD381" s="552">
        <f t="shared" si="811"/>
        <v>16356.432609174437</v>
      </c>
      <c r="AE381" s="552">
        <f t="shared" si="811"/>
        <v>16615.154420011695</v>
      </c>
      <c r="AF381" s="552">
        <f t="shared" si="811"/>
        <v>16874.008891514881</v>
      </c>
      <c r="AG381" s="552">
        <f t="shared" si="811"/>
        <v>17132.864114347565</v>
      </c>
      <c r="AH381" s="727">
        <f t="shared" si="811"/>
        <v>17391.588190358565</v>
      </c>
      <c r="AI381" s="18"/>
      <c r="AJ381" s="18"/>
      <c r="AK381" s="18"/>
      <c r="AL381" s="18"/>
      <c r="AM381" s="18"/>
      <c r="AN381" s="18"/>
    </row>
    <row r="382" spans="2:40" ht="21.9" customHeight="1" x14ac:dyDescent="0.25">
      <c r="B382" s="229"/>
      <c r="C382" s="690"/>
      <c r="D382" s="690"/>
      <c r="E382" s="114"/>
      <c r="F382" s="114"/>
      <c r="G382" s="114"/>
      <c r="H382" s="696" t="s">
        <v>25</v>
      </c>
      <c r="I382" s="552">
        <f t="shared" ref="I382:AH382" si="812">SUM(I380:I381)</f>
        <v>12928.09644504039</v>
      </c>
      <c r="J382" s="552">
        <f t="shared" si="812"/>
        <v>13295.016250627357</v>
      </c>
      <c r="K382" s="552">
        <f t="shared" si="812"/>
        <v>13702.2002804966</v>
      </c>
      <c r="L382" s="552">
        <f t="shared" si="812"/>
        <v>14273.724256039812</v>
      </c>
      <c r="M382" s="552">
        <f t="shared" si="812"/>
        <v>14845.350320522077</v>
      </c>
      <c r="N382" s="552">
        <f t="shared" si="812"/>
        <v>15417.095495193949</v>
      </c>
      <c r="O382" s="552">
        <f t="shared" si="812"/>
        <v>15988.619581296438</v>
      </c>
      <c r="P382" s="552">
        <f t="shared" si="812"/>
        <v>16560.177758003771</v>
      </c>
      <c r="Q382" s="552">
        <f t="shared" si="812"/>
        <v>17202.585448663893</v>
      </c>
      <c r="R382" s="552">
        <f t="shared" si="812"/>
        <v>17844.772169857486</v>
      </c>
      <c r="S382" s="552">
        <f t="shared" si="812"/>
        <v>18487.180264942501</v>
      </c>
      <c r="T382" s="552">
        <f t="shared" si="812"/>
        <v>19129.588683270365</v>
      </c>
      <c r="U382" s="552">
        <f t="shared" si="812"/>
        <v>19772.099605180483</v>
      </c>
      <c r="V382" s="552">
        <f t="shared" si="812"/>
        <v>20250.236565088075</v>
      </c>
      <c r="W382" s="552">
        <f t="shared" si="812"/>
        <v>20617.157790777852</v>
      </c>
      <c r="X382" s="552">
        <f t="shared" si="812"/>
        <v>20984.079296333908</v>
      </c>
      <c r="Y382" s="552">
        <f t="shared" si="812"/>
        <v>21351.001129893739</v>
      </c>
      <c r="Z382" s="552">
        <f t="shared" si="812"/>
        <v>21717.736228281959</v>
      </c>
      <c r="AA382" s="552">
        <f t="shared" si="812"/>
        <v>22084.658891825195</v>
      </c>
      <c r="AB382" s="552">
        <f t="shared" si="812"/>
        <v>22451.394955832679</v>
      </c>
      <c r="AC382" s="552">
        <f t="shared" si="812"/>
        <v>22818.318741116989</v>
      </c>
      <c r="AD382" s="552">
        <f t="shared" si="812"/>
        <v>23185.243223504764</v>
      </c>
      <c r="AE382" s="552">
        <f t="shared" si="812"/>
        <v>23551.981390366578</v>
      </c>
      <c r="AF382" s="552">
        <f t="shared" si="812"/>
        <v>23918.907603722342</v>
      </c>
      <c r="AG382" s="552">
        <f t="shared" si="812"/>
        <v>24285.834882087674</v>
      </c>
      <c r="AH382" s="727">
        <f t="shared" si="812"/>
        <v>24652.576259833266</v>
      </c>
      <c r="AI382" s="18"/>
      <c r="AJ382" s="18"/>
      <c r="AK382" s="18"/>
      <c r="AL382" s="18"/>
      <c r="AM382" s="18"/>
      <c r="AN382" s="18"/>
    </row>
    <row r="383" spans="2:40" ht="21.9" customHeight="1" x14ac:dyDescent="0.25">
      <c r="B383" s="229"/>
      <c r="C383" s="690"/>
      <c r="D383" s="690"/>
      <c r="E383" s="114"/>
      <c r="F383" s="114" t="s">
        <v>323</v>
      </c>
      <c r="G383" s="114" t="s">
        <v>322</v>
      </c>
      <c r="H383" s="114" t="s">
        <v>20</v>
      </c>
      <c r="I383" s="552">
        <f t="shared" ref="I383:AH383" si="813">I319*$D$11</f>
        <v>1146.9053391920515</v>
      </c>
      <c r="J383" s="552">
        <f t="shared" si="813"/>
        <v>1179.4563274089844</v>
      </c>
      <c r="K383" s="552">
        <f t="shared" si="813"/>
        <v>1215.5793240822234</v>
      </c>
      <c r="L383" s="552">
        <f t="shared" si="813"/>
        <v>1266.2816063569853</v>
      </c>
      <c r="M383" s="552">
        <f t="shared" si="813"/>
        <v>1316.9929491861353</v>
      </c>
      <c r="N383" s="552">
        <f t="shared" si="813"/>
        <v>1367.7148642133316</v>
      </c>
      <c r="O383" s="552">
        <f t="shared" si="813"/>
        <v>1418.4171731717345</v>
      </c>
      <c r="P383" s="552">
        <f t="shared" si="813"/>
        <v>1469.1225170273574</v>
      </c>
      <c r="Q383" s="552">
        <f t="shared" si="813"/>
        <v>1526.1132385454123</v>
      </c>
      <c r="R383" s="552">
        <f t="shared" si="813"/>
        <v>1583.0843827403251</v>
      </c>
      <c r="S383" s="552">
        <f t="shared" si="813"/>
        <v>1640.0752018669184</v>
      </c>
      <c r="T383" s="552">
        <f t="shared" si="813"/>
        <v>1697.0660990086437</v>
      </c>
      <c r="U383" s="552">
        <f t="shared" si="813"/>
        <v>1754.066156779498</v>
      </c>
      <c r="V383" s="552">
        <f t="shared" si="813"/>
        <v>1796.4839119783039</v>
      </c>
      <c r="W383" s="552">
        <f t="shared" si="813"/>
        <v>1829.0352429391196</v>
      </c>
      <c r="X383" s="552">
        <f t="shared" si="813"/>
        <v>1861.5866414460693</v>
      </c>
      <c r="Y383" s="552">
        <f t="shared" si="813"/>
        <v>1894.1381191172095</v>
      </c>
      <c r="Z383" s="552">
        <f t="shared" si="813"/>
        <v>1926.6730890422314</v>
      </c>
      <c r="AA383" s="552">
        <f t="shared" si="813"/>
        <v>1959.2247670310765</v>
      </c>
      <c r="AB383" s="552">
        <f t="shared" si="813"/>
        <v>1991.7599700097142</v>
      </c>
      <c r="AC383" s="552">
        <f t="shared" si="813"/>
        <v>2024.311918732403</v>
      </c>
      <c r="AD383" s="552">
        <f t="shared" si="813"/>
        <v>2056.8640357020267</v>
      </c>
      <c r="AE383" s="552">
        <f t="shared" si="813"/>
        <v>2089.3997462076259</v>
      </c>
      <c r="AF383" s="552">
        <f t="shared" si="813"/>
        <v>2121.9522809488972</v>
      </c>
      <c r="AG383" s="552">
        <f t="shared" si="813"/>
        <v>2154.5050727317816</v>
      </c>
      <c r="AH383" s="727">
        <f t="shared" si="813"/>
        <v>2187.0415581888601</v>
      </c>
      <c r="AI383" s="18"/>
      <c r="AJ383" s="18"/>
      <c r="AK383" s="18"/>
      <c r="AL383" s="18"/>
      <c r="AM383" s="18"/>
      <c r="AN383" s="18"/>
    </row>
    <row r="384" spans="2:40" ht="21.9" customHeight="1" x14ac:dyDescent="0.25">
      <c r="B384" s="229"/>
      <c r="C384" s="690"/>
      <c r="D384" s="690"/>
      <c r="E384" s="114"/>
      <c r="F384" s="114"/>
      <c r="G384" s="114"/>
      <c r="H384" s="122" t="s">
        <v>19</v>
      </c>
      <c r="I384" s="552">
        <f t="shared" ref="I384:AH384" si="814">I320*$D$12</f>
        <v>2747.0786567474288</v>
      </c>
      <c r="J384" s="552">
        <f t="shared" si="814"/>
        <v>2825.0450955903821</v>
      </c>
      <c r="K384" s="552">
        <f t="shared" si="814"/>
        <v>2911.5672433107147</v>
      </c>
      <c r="L384" s="552">
        <f t="shared" si="814"/>
        <v>3033.0098355855939</v>
      </c>
      <c r="M384" s="552">
        <f t="shared" si="814"/>
        <v>3154.4741297871506</v>
      </c>
      <c r="N384" s="552">
        <f t="shared" si="814"/>
        <v>3275.9637466187583</v>
      </c>
      <c r="O384" s="552">
        <f t="shared" si="814"/>
        <v>3397.4064028065495</v>
      </c>
      <c r="P384" s="552">
        <f t="shared" si="814"/>
        <v>3518.8563282092396</v>
      </c>
      <c r="Q384" s="552">
        <f t="shared" si="814"/>
        <v>3655.3610504081735</v>
      </c>
      <c r="R384" s="552">
        <f t="shared" si="814"/>
        <v>3791.8188808151499</v>
      </c>
      <c r="S384" s="552">
        <f t="shared" si="814"/>
        <v>3928.3238368069901</v>
      </c>
      <c r="T384" s="552">
        <f t="shared" si="814"/>
        <v>4064.8289796614222</v>
      </c>
      <c r="U384" s="552">
        <f t="shared" si="814"/>
        <v>4201.3560641425101</v>
      </c>
      <c r="V384" s="552">
        <f t="shared" si="814"/>
        <v>4302.9554777923449</v>
      </c>
      <c r="W384" s="552">
        <f t="shared" si="814"/>
        <v>4380.9227375787295</v>
      </c>
      <c r="X384" s="552">
        <f t="shared" si="814"/>
        <v>4458.8901591522617</v>
      </c>
      <c r="Y384" s="552">
        <f t="shared" si="814"/>
        <v>4536.8577703406218</v>
      </c>
      <c r="Z384" s="552">
        <f t="shared" si="814"/>
        <v>4614.7858420173206</v>
      </c>
      <c r="AA384" s="552">
        <f t="shared" si="814"/>
        <v>4692.7539330085665</v>
      </c>
      <c r="AB384" s="552">
        <f t="shared" si="814"/>
        <v>4770.6825628975193</v>
      </c>
      <c r="AC384" s="552">
        <f t="shared" si="814"/>
        <v>4848.6513023530615</v>
      </c>
      <c r="AD384" s="552">
        <f t="shared" si="814"/>
        <v>4926.6204447952741</v>
      </c>
      <c r="AE384" s="552">
        <f t="shared" si="814"/>
        <v>5004.5502903176666</v>
      </c>
      <c r="AF384" s="552">
        <f t="shared" si="814"/>
        <v>5082.5204334105329</v>
      </c>
      <c r="AG384" s="552">
        <f t="shared" si="814"/>
        <v>5160.4911921719322</v>
      </c>
      <c r="AH384" s="727">
        <f t="shared" si="814"/>
        <v>5238.4228938655333</v>
      </c>
      <c r="AI384" s="18"/>
      <c r="AJ384" s="18"/>
      <c r="AK384" s="18"/>
      <c r="AL384" s="18"/>
      <c r="AM384" s="18"/>
      <c r="AN384" s="18"/>
    </row>
    <row r="385" spans="2:41" ht="21.9" customHeight="1" x14ac:dyDescent="0.25">
      <c r="B385" s="229"/>
      <c r="C385" s="690"/>
      <c r="D385" s="690"/>
      <c r="E385" s="114"/>
      <c r="F385" s="114"/>
      <c r="G385" s="114"/>
      <c r="H385" s="696" t="s">
        <v>25</v>
      </c>
      <c r="I385" s="552">
        <f t="shared" ref="I385:AH385" si="815">SUM(I383:I384)</f>
        <v>3893.9839959394803</v>
      </c>
      <c r="J385" s="552">
        <f t="shared" si="815"/>
        <v>4004.5014229993667</v>
      </c>
      <c r="K385" s="552">
        <f t="shared" si="815"/>
        <v>4127.1465673929379</v>
      </c>
      <c r="L385" s="552">
        <f t="shared" si="815"/>
        <v>4299.2914419425797</v>
      </c>
      <c r="M385" s="552">
        <f t="shared" si="815"/>
        <v>4471.4670789732863</v>
      </c>
      <c r="N385" s="552">
        <f t="shared" si="815"/>
        <v>4643.6786108320903</v>
      </c>
      <c r="O385" s="552">
        <f t="shared" si="815"/>
        <v>4815.8235759782838</v>
      </c>
      <c r="P385" s="552">
        <f t="shared" si="815"/>
        <v>4987.9788452365974</v>
      </c>
      <c r="Q385" s="552">
        <f t="shared" si="815"/>
        <v>5181.4742889535855</v>
      </c>
      <c r="R385" s="552">
        <f t="shared" si="815"/>
        <v>5374.903263555475</v>
      </c>
      <c r="S385" s="552">
        <f t="shared" si="815"/>
        <v>5568.3990386739088</v>
      </c>
      <c r="T385" s="552">
        <f t="shared" si="815"/>
        <v>5761.8950786700661</v>
      </c>
      <c r="U385" s="552">
        <f t="shared" si="815"/>
        <v>5955.4222209220079</v>
      </c>
      <c r="V385" s="552">
        <f t="shared" si="815"/>
        <v>6099.4393897706486</v>
      </c>
      <c r="W385" s="552">
        <f t="shared" si="815"/>
        <v>6209.9579805178491</v>
      </c>
      <c r="X385" s="552">
        <f t="shared" si="815"/>
        <v>6320.4768005983315</v>
      </c>
      <c r="Y385" s="552">
        <f t="shared" si="815"/>
        <v>6430.9958894578313</v>
      </c>
      <c r="Z385" s="552">
        <f t="shared" si="815"/>
        <v>6541.458931059552</v>
      </c>
      <c r="AA385" s="552">
        <f t="shared" si="815"/>
        <v>6651.9787000396427</v>
      </c>
      <c r="AB385" s="552">
        <f t="shared" si="815"/>
        <v>6762.4425329072337</v>
      </c>
      <c r="AC385" s="552">
        <f t="shared" si="815"/>
        <v>6872.9632210854643</v>
      </c>
      <c r="AD385" s="552">
        <f t="shared" si="815"/>
        <v>6983.4844804973009</v>
      </c>
      <c r="AE385" s="552">
        <f t="shared" si="815"/>
        <v>7093.9500365252925</v>
      </c>
      <c r="AF385" s="552">
        <f t="shared" si="815"/>
        <v>7204.47271435943</v>
      </c>
      <c r="AG385" s="552">
        <f t="shared" si="815"/>
        <v>7314.9962649037134</v>
      </c>
      <c r="AH385" s="727">
        <f t="shared" si="815"/>
        <v>7425.4644520543934</v>
      </c>
      <c r="AI385" s="18"/>
      <c r="AJ385" s="18"/>
      <c r="AK385" s="18"/>
      <c r="AL385" s="18"/>
      <c r="AM385" s="18"/>
      <c r="AN385" s="18"/>
    </row>
    <row r="386" spans="2:41" ht="21.9" customHeight="1" x14ac:dyDescent="0.25">
      <c r="B386" s="229"/>
      <c r="C386" s="690"/>
      <c r="D386" s="690"/>
      <c r="E386" s="114"/>
      <c r="F386" s="114" t="s">
        <v>322</v>
      </c>
      <c r="G386" s="114" t="s">
        <v>326</v>
      </c>
      <c r="H386" s="114" t="s">
        <v>20</v>
      </c>
      <c r="I386" s="552">
        <f t="shared" ref="I386:AH386" si="816">I322*$D$11</f>
        <v>2942.7176201021002</v>
      </c>
      <c r="J386" s="552">
        <f t="shared" si="816"/>
        <v>3026.1632836625404</v>
      </c>
      <c r="K386" s="552">
        <f t="shared" si="816"/>
        <v>3121.2473959259214</v>
      </c>
      <c r="L386" s="552">
        <f t="shared" si="816"/>
        <v>3242.7424000338774</v>
      </c>
      <c r="M386" s="552">
        <f t="shared" si="816"/>
        <v>3364.2766416250943</v>
      </c>
      <c r="N386" s="552">
        <f t="shared" si="816"/>
        <v>3485.7912668341337</v>
      </c>
      <c r="O386" s="552">
        <f t="shared" si="816"/>
        <v>3607.2862763117419</v>
      </c>
      <c r="P386" s="552">
        <f t="shared" si="816"/>
        <v>3728.8058116861221</v>
      </c>
      <c r="Q386" s="552">
        <f t="shared" si="816"/>
        <v>3866.1522701319832</v>
      </c>
      <c r="R386" s="552">
        <f t="shared" si="816"/>
        <v>4003.4938317965311</v>
      </c>
      <c r="S386" s="552">
        <f t="shared" si="816"/>
        <v>4140.8206904717226</v>
      </c>
      <c r="T386" s="552">
        <f t="shared" si="816"/>
        <v>4278.1671816269418</v>
      </c>
      <c r="U386" s="552">
        <f t="shared" si="816"/>
        <v>4415.5382146949196</v>
      </c>
      <c r="V386" s="552">
        <f t="shared" si="816"/>
        <v>4526.468934787631</v>
      </c>
      <c r="W386" s="552">
        <f t="shared" si="816"/>
        <v>4609.9146672151765</v>
      </c>
      <c r="X386" s="552">
        <f t="shared" si="816"/>
        <v>4693.360413501191</v>
      </c>
      <c r="Y386" s="552">
        <f t="shared" si="816"/>
        <v>4776.806176073108</v>
      </c>
      <c r="Z386" s="552">
        <f t="shared" si="816"/>
        <v>4860.227435043992</v>
      </c>
      <c r="AA386" s="552">
        <f t="shared" si="816"/>
        <v>4943.6732389940098</v>
      </c>
      <c r="AB386" s="552">
        <f t="shared" si="816"/>
        <v>5027.0945462348182</v>
      </c>
      <c r="AC386" s="552">
        <f t="shared" si="816"/>
        <v>5110.5404063813294</v>
      </c>
      <c r="AD386" s="552">
        <f t="shared" si="816"/>
        <v>5193.9863015649944</v>
      </c>
      <c r="AE386" s="552">
        <f t="shared" si="816"/>
        <v>5277.407714548357</v>
      </c>
      <c r="AF386" s="552">
        <f t="shared" si="816"/>
        <v>5360.8536970335754</v>
      </c>
      <c r="AG386" s="552">
        <f t="shared" si="816"/>
        <v>5444.2997333915391</v>
      </c>
      <c r="AH386" s="727">
        <f t="shared" si="816"/>
        <v>5527.721308869217</v>
      </c>
      <c r="AI386" s="18"/>
      <c r="AJ386" s="18"/>
      <c r="AK386" s="18"/>
      <c r="AL386" s="18"/>
      <c r="AM386" s="18"/>
      <c r="AN386" s="18"/>
    </row>
    <row r="387" spans="2:41" ht="21.9" customHeight="1" x14ac:dyDescent="0.25">
      <c r="B387" s="229"/>
      <c r="C387" s="690"/>
      <c r="D387" s="690"/>
      <c r="E387" s="114"/>
      <c r="F387" s="114"/>
      <c r="G387" s="114"/>
      <c r="H387" s="122" t="s">
        <v>19</v>
      </c>
      <c r="I387" s="552">
        <f t="shared" ref="I387:AH387" si="817">I323*$D$12</f>
        <v>7048.4254373702997</v>
      </c>
      <c r="J387" s="552">
        <f t="shared" si="817"/>
        <v>7248.2952902096777</v>
      </c>
      <c r="K387" s="552">
        <f t="shared" si="817"/>
        <v>7476.0416668884345</v>
      </c>
      <c r="L387" s="552">
        <f t="shared" si="817"/>
        <v>7767.0476647518026</v>
      </c>
      <c r="M387" s="552">
        <f t="shared" si="817"/>
        <v>8058.1476446110046</v>
      </c>
      <c r="N387" s="552">
        <f t="shared" si="817"/>
        <v>8349.2006391236737</v>
      </c>
      <c r="O387" s="552">
        <f t="shared" si="817"/>
        <v>8640.2066498484837</v>
      </c>
      <c r="P387" s="552">
        <f t="shared" si="817"/>
        <v>8931.2714052362207</v>
      </c>
      <c r="Q387" s="552">
        <f t="shared" si="817"/>
        <v>9260.2449583999605</v>
      </c>
      <c r="R387" s="552">
        <f t="shared" si="817"/>
        <v>9589.2067827461833</v>
      </c>
      <c r="S387" s="552">
        <f t="shared" si="817"/>
        <v>9918.1333903514314</v>
      </c>
      <c r="T387" s="552">
        <f t="shared" si="817"/>
        <v>10247.107021860938</v>
      </c>
      <c r="U387" s="552">
        <f t="shared" si="817"/>
        <v>10576.139436395018</v>
      </c>
      <c r="V387" s="552">
        <f t="shared" si="817"/>
        <v>10841.841759970375</v>
      </c>
      <c r="W387" s="552">
        <f t="shared" si="817"/>
        <v>11041.711777760902</v>
      </c>
      <c r="X387" s="552">
        <f t="shared" si="817"/>
        <v>11241.581828745368</v>
      </c>
      <c r="Y387" s="552">
        <f t="shared" si="817"/>
        <v>11441.451918737985</v>
      </c>
      <c r="Z387" s="552">
        <f t="shared" si="817"/>
        <v>11641.263317470641</v>
      </c>
      <c r="AA387" s="552">
        <f t="shared" si="817"/>
        <v>11841.13350657248</v>
      </c>
      <c r="AB387" s="552">
        <f t="shared" si="817"/>
        <v>12040.945020921721</v>
      </c>
      <c r="AC387" s="552">
        <f t="shared" si="817"/>
        <v>12240.815344625938</v>
      </c>
      <c r="AD387" s="552">
        <f t="shared" si="817"/>
        <v>12440.685752251484</v>
      </c>
      <c r="AE387" s="552">
        <f t="shared" si="817"/>
        <v>12640.497519876306</v>
      </c>
      <c r="AF387" s="552">
        <f t="shared" si="817"/>
        <v>12840.368136607367</v>
      </c>
      <c r="AG387" s="552">
        <f t="shared" si="817"/>
        <v>13040.238882374944</v>
      </c>
      <c r="AH387" s="727">
        <f t="shared" si="817"/>
        <v>13240.051039207705</v>
      </c>
      <c r="AI387" s="18"/>
      <c r="AJ387" s="18"/>
      <c r="AK387" s="18"/>
      <c r="AL387" s="18"/>
      <c r="AM387" s="18"/>
      <c r="AN387" s="18"/>
    </row>
    <row r="388" spans="2:41" ht="21.9" customHeight="1" x14ac:dyDescent="0.25">
      <c r="B388" s="229"/>
      <c r="C388" s="690"/>
      <c r="D388" s="690"/>
      <c r="E388" s="114"/>
      <c r="F388" s="114"/>
      <c r="G388" s="114"/>
      <c r="H388" s="696" t="s">
        <v>25</v>
      </c>
      <c r="I388" s="552">
        <f t="shared" ref="I388:AH388" si="818">SUM(I386:I387)</f>
        <v>9991.1430574724</v>
      </c>
      <c r="J388" s="552">
        <f t="shared" si="818"/>
        <v>10274.458573872218</v>
      </c>
      <c r="K388" s="552">
        <f t="shared" si="818"/>
        <v>10597.289062814356</v>
      </c>
      <c r="L388" s="552">
        <f t="shared" si="818"/>
        <v>11009.79006478568</v>
      </c>
      <c r="M388" s="552">
        <f t="shared" si="818"/>
        <v>11422.424286236099</v>
      </c>
      <c r="N388" s="552">
        <f t="shared" si="818"/>
        <v>11834.991905957808</v>
      </c>
      <c r="O388" s="552">
        <f t="shared" si="818"/>
        <v>12247.492926160226</v>
      </c>
      <c r="P388" s="552">
        <f t="shared" si="818"/>
        <v>12660.077216922342</v>
      </c>
      <c r="Q388" s="552">
        <f t="shared" si="818"/>
        <v>13126.397228531943</v>
      </c>
      <c r="R388" s="552">
        <f t="shared" si="818"/>
        <v>13592.700614542715</v>
      </c>
      <c r="S388" s="552">
        <f t="shared" si="818"/>
        <v>14058.954080823154</v>
      </c>
      <c r="T388" s="552">
        <f t="shared" si="818"/>
        <v>14525.274203487879</v>
      </c>
      <c r="U388" s="552">
        <f t="shared" si="818"/>
        <v>14991.677651089938</v>
      </c>
      <c r="V388" s="552">
        <f t="shared" si="818"/>
        <v>15368.310694758005</v>
      </c>
      <c r="W388" s="552">
        <f t="shared" si="818"/>
        <v>15651.626444976078</v>
      </c>
      <c r="X388" s="552">
        <f t="shared" si="818"/>
        <v>15934.942242246558</v>
      </c>
      <c r="Y388" s="552">
        <f t="shared" si="818"/>
        <v>16218.258094811092</v>
      </c>
      <c r="Z388" s="552">
        <f t="shared" si="818"/>
        <v>16501.490752514634</v>
      </c>
      <c r="AA388" s="552">
        <f t="shared" si="818"/>
        <v>16784.80674556649</v>
      </c>
      <c r="AB388" s="552">
        <f t="shared" si="818"/>
        <v>17068.039567156538</v>
      </c>
      <c r="AC388" s="552">
        <f t="shared" si="818"/>
        <v>17351.355751007268</v>
      </c>
      <c r="AD388" s="552">
        <f t="shared" si="818"/>
        <v>17634.672053816477</v>
      </c>
      <c r="AE388" s="552">
        <f t="shared" si="818"/>
        <v>17917.905234424663</v>
      </c>
      <c r="AF388" s="552">
        <f t="shared" si="818"/>
        <v>18201.221833640942</v>
      </c>
      <c r="AG388" s="552">
        <f t="shared" si="818"/>
        <v>18484.538615766483</v>
      </c>
      <c r="AH388" s="727">
        <f t="shared" si="818"/>
        <v>18767.77234807692</v>
      </c>
      <c r="AI388" s="18"/>
      <c r="AJ388" s="18"/>
      <c r="AK388" s="18"/>
      <c r="AL388" s="18"/>
      <c r="AM388" s="18"/>
      <c r="AN388" s="18"/>
    </row>
    <row r="389" spans="2:41" ht="21.9" customHeight="1" x14ac:dyDescent="0.25">
      <c r="B389" s="229"/>
      <c r="C389" s="690"/>
      <c r="D389" s="690"/>
      <c r="E389" s="114"/>
      <c r="F389" s="114" t="s">
        <v>326</v>
      </c>
      <c r="G389" s="114" t="s">
        <v>274</v>
      </c>
      <c r="H389" s="114" t="s">
        <v>20</v>
      </c>
      <c r="I389" s="552">
        <f t="shared" ref="I389:AH389" si="819">I325*$D$11</f>
        <v>20061.421579509875</v>
      </c>
      <c r="J389" s="552">
        <f t="shared" si="819"/>
        <v>20630.296626387557</v>
      </c>
      <c r="K389" s="552">
        <f t="shared" si="819"/>
        <v>21278.514596903802</v>
      </c>
      <c r="L389" s="552">
        <f t="shared" si="819"/>
        <v>22106.783829113603</v>
      </c>
      <c r="M389" s="552">
        <f t="shared" si="819"/>
        <v>22935.320550072589</v>
      </c>
      <c r="N389" s="552">
        <f t="shared" si="819"/>
        <v>23763.723532569442</v>
      </c>
      <c r="O389" s="552">
        <f t="shared" si="819"/>
        <v>24591.992778234817</v>
      </c>
      <c r="P389" s="552">
        <f t="shared" si="819"/>
        <v>25420.429210557235</v>
      </c>
      <c r="Q389" s="552">
        <f t="shared" si="819"/>
        <v>26356.762672326375</v>
      </c>
      <c r="R389" s="552">
        <f t="shared" si="819"/>
        <v>27293.062717808403</v>
      </c>
      <c r="S389" s="552">
        <f t="shared" si="819"/>
        <v>28229.262482741455</v>
      </c>
      <c r="T389" s="552">
        <f t="shared" si="819"/>
        <v>29165.596026475563</v>
      </c>
      <c r="U389" s="552">
        <f t="shared" si="819"/>
        <v>30102.096797000453</v>
      </c>
      <c r="V389" s="552">
        <f t="shared" si="819"/>
        <v>30858.345706765194</v>
      </c>
      <c r="W389" s="552">
        <f t="shared" si="819"/>
        <v>31427.220926213948</v>
      </c>
      <c r="X389" s="552">
        <f t="shared" si="819"/>
        <v>31996.096180390039</v>
      </c>
      <c r="Y389" s="552">
        <f t="shared" si="819"/>
        <v>32564.971475376249</v>
      </c>
      <c r="Z389" s="552">
        <f t="shared" si="819"/>
        <v>33133.679639575355</v>
      </c>
      <c r="AA389" s="552">
        <f t="shared" si="819"/>
        <v>33702.555038249135</v>
      </c>
      <c r="AB389" s="552">
        <f t="shared" si="819"/>
        <v>34271.263323405743</v>
      </c>
      <c r="AC389" s="552">
        <f t="shared" si="819"/>
        <v>34840.138862899883</v>
      </c>
      <c r="AD389" s="552">
        <f t="shared" si="819"/>
        <v>35409.014490192101</v>
      </c>
      <c r="AE389" s="552">
        <f t="shared" si="819"/>
        <v>35977.723040324352</v>
      </c>
      <c r="AF389" s="552">
        <f t="shared" si="819"/>
        <v>36546.598886381726</v>
      </c>
      <c r="AG389" s="552">
        <f t="shared" si="819"/>
        <v>37115.47486743646</v>
      </c>
      <c r="AH389" s="727">
        <f t="shared" si="819"/>
        <v>37684.183824756125</v>
      </c>
      <c r="AI389" s="18"/>
      <c r="AJ389" s="18"/>
      <c r="AK389" s="18"/>
      <c r="AL389" s="18"/>
      <c r="AM389" s="18"/>
      <c r="AN389" s="18"/>
    </row>
    <row r="390" spans="2:41" ht="21.9" customHeight="1" x14ac:dyDescent="0.25">
      <c r="B390" s="229"/>
      <c r="C390" s="690"/>
      <c r="D390" s="690"/>
      <c r="E390" s="114"/>
      <c r="F390" s="114"/>
      <c r="G390" s="114"/>
      <c r="H390" s="122" t="s">
        <v>19</v>
      </c>
      <c r="I390" s="552">
        <f t="shared" ref="I390:AH390" si="820">I326*$D$12</f>
        <v>48051.309172478745</v>
      </c>
      <c r="J390" s="552">
        <f t="shared" si="820"/>
        <v>49413.88413506002</v>
      </c>
      <c r="K390" s="552">
        <f t="shared" si="820"/>
        <v>50966.502028512106</v>
      </c>
      <c r="L390" s="552">
        <f t="shared" si="820"/>
        <v>52950.380429014622</v>
      </c>
      <c r="M390" s="552">
        <f t="shared" si="820"/>
        <v>54934.899521131956</v>
      </c>
      <c r="N390" s="552">
        <f t="shared" si="820"/>
        <v>56919.098281603452</v>
      </c>
      <c r="O390" s="552">
        <f t="shared" si="820"/>
        <v>58902.976714334894</v>
      </c>
      <c r="P390" s="552">
        <f t="shared" si="820"/>
        <v>60887.255594149072</v>
      </c>
      <c r="Q390" s="552">
        <f t="shared" si="820"/>
        <v>63129.970472638022</v>
      </c>
      <c r="R390" s="552">
        <f t="shared" si="820"/>
        <v>65372.605312115935</v>
      </c>
      <c r="S390" s="552">
        <f t="shared" si="820"/>
        <v>67614.999958662171</v>
      </c>
      <c r="T390" s="552">
        <f t="shared" si="820"/>
        <v>69857.715033474407</v>
      </c>
      <c r="U390" s="552">
        <f t="shared" si="820"/>
        <v>72100.830651498094</v>
      </c>
      <c r="V390" s="552">
        <f t="shared" si="820"/>
        <v>73912.205285665143</v>
      </c>
      <c r="W390" s="552">
        <f t="shared" si="820"/>
        <v>75274.780661590295</v>
      </c>
      <c r="X390" s="552">
        <f t="shared" si="820"/>
        <v>76637.356120694705</v>
      </c>
      <c r="Y390" s="552">
        <f t="shared" si="820"/>
        <v>77999.931677547909</v>
      </c>
      <c r="Z390" s="552">
        <f t="shared" si="820"/>
        <v>79362.106921138577</v>
      </c>
      <c r="AA390" s="552">
        <f t="shared" si="820"/>
        <v>80724.682726345243</v>
      </c>
      <c r="AB390" s="552">
        <f t="shared" si="820"/>
        <v>82086.858259654473</v>
      </c>
      <c r="AC390" s="552">
        <f t="shared" si="820"/>
        <v>83449.434402155413</v>
      </c>
      <c r="AD390" s="552">
        <f t="shared" si="820"/>
        <v>84812.010754951145</v>
      </c>
      <c r="AE390" s="552">
        <f t="shared" si="820"/>
        <v>86174.186922932582</v>
      </c>
      <c r="AF390" s="552">
        <f t="shared" si="820"/>
        <v>87536.763799716704</v>
      </c>
      <c r="AG390" s="552">
        <f t="shared" si="820"/>
        <v>88899.340999847816</v>
      </c>
      <c r="AH390" s="727">
        <f t="shared" si="820"/>
        <v>90261.518143128444</v>
      </c>
      <c r="AI390" s="18"/>
      <c r="AJ390" s="18"/>
      <c r="AK390" s="18"/>
      <c r="AL390" s="18"/>
      <c r="AM390" s="18"/>
      <c r="AN390" s="18"/>
    </row>
    <row r="391" spans="2:41" ht="21.9" customHeight="1" x14ac:dyDescent="0.25">
      <c r="B391" s="229"/>
      <c r="C391" s="690"/>
      <c r="D391" s="690"/>
      <c r="E391" s="114"/>
      <c r="F391" s="114"/>
      <c r="G391" s="114"/>
      <c r="H391" s="696" t="s">
        <v>25</v>
      </c>
      <c r="I391" s="552">
        <f t="shared" ref="I391:AH391" si="821">SUM(I389:I390)</f>
        <v>68112.730751988624</v>
      </c>
      <c r="J391" s="552">
        <f t="shared" si="821"/>
        <v>70044.180761447584</v>
      </c>
      <c r="K391" s="552">
        <f t="shared" si="821"/>
        <v>72245.016625415912</v>
      </c>
      <c r="L391" s="552">
        <f t="shared" si="821"/>
        <v>75057.164258128221</v>
      </c>
      <c r="M391" s="552">
        <f t="shared" si="821"/>
        <v>77870.220071204545</v>
      </c>
      <c r="N391" s="552">
        <f t="shared" si="821"/>
        <v>80682.821814172901</v>
      </c>
      <c r="O391" s="552">
        <f t="shared" si="821"/>
        <v>83494.969492569711</v>
      </c>
      <c r="P391" s="552">
        <f t="shared" si="821"/>
        <v>86307.68480470631</v>
      </c>
      <c r="Q391" s="552">
        <f t="shared" si="821"/>
        <v>89486.733144964397</v>
      </c>
      <c r="R391" s="552">
        <f t="shared" si="821"/>
        <v>92665.668029924331</v>
      </c>
      <c r="S391" s="552">
        <f t="shared" si="821"/>
        <v>95844.262441403625</v>
      </c>
      <c r="T391" s="552">
        <f t="shared" si="821"/>
        <v>99023.311059949978</v>
      </c>
      <c r="U391" s="552">
        <f t="shared" si="821"/>
        <v>102202.92744849855</v>
      </c>
      <c r="V391" s="552">
        <f t="shared" si="821"/>
        <v>104770.55099243033</v>
      </c>
      <c r="W391" s="552">
        <f t="shared" si="821"/>
        <v>106702.00158780425</v>
      </c>
      <c r="X391" s="552">
        <f t="shared" si="821"/>
        <v>108633.45230108475</v>
      </c>
      <c r="Y391" s="552">
        <f t="shared" si="821"/>
        <v>110564.90315292416</v>
      </c>
      <c r="Z391" s="552">
        <f t="shared" si="821"/>
        <v>112495.78656071392</v>
      </c>
      <c r="AA391" s="552">
        <f t="shared" si="821"/>
        <v>114427.23776459438</v>
      </c>
      <c r="AB391" s="552">
        <f t="shared" si="821"/>
        <v>116358.12158306022</v>
      </c>
      <c r="AC391" s="552">
        <f t="shared" si="821"/>
        <v>118289.5732650553</v>
      </c>
      <c r="AD391" s="552">
        <f t="shared" si="821"/>
        <v>120221.02524514325</v>
      </c>
      <c r="AE391" s="552">
        <f t="shared" si="821"/>
        <v>122151.90996325694</v>
      </c>
      <c r="AF391" s="552">
        <f t="shared" si="821"/>
        <v>124083.36268609844</v>
      </c>
      <c r="AG391" s="552">
        <f t="shared" si="821"/>
        <v>126014.81586728428</v>
      </c>
      <c r="AH391" s="727">
        <f t="shared" si="821"/>
        <v>127945.70196788457</v>
      </c>
      <c r="AI391" s="18"/>
      <c r="AJ391" s="18"/>
      <c r="AK391" s="18"/>
      <c r="AL391" s="18"/>
      <c r="AM391" s="18"/>
      <c r="AN391" s="18"/>
    </row>
    <row r="392" spans="2:41" ht="21.9" customHeight="1" x14ac:dyDescent="0.25">
      <c r="B392" s="229"/>
      <c r="C392" s="690"/>
      <c r="D392" s="690"/>
      <c r="E392" s="114"/>
      <c r="F392" s="114" t="s">
        <v>274</v>
      </c>
      <c r="G392" s="114" t="s">
        <v>317</v>
      </c>
      <c r="H392" s="114" t="s">
        <v>20</v>
      </c>
      <c r="I392" s="552">
        <f t="shared" ref="I392:AH392" si="822">I328*$D$11</f>
        <v>501.02774084735455</v>
      </c>
      <c r="J392" s="552">
        <f t="shared" si="822"/>
        <v>515.23531279938027</v>
      </c>
      <c r="K392" s="552">
        <f t="shared" si="822"/>
        <v>531.4245032717464</v>
      </c>
      <c r="L392" s="552">
        <f t="shared" si="822"/>
        <v>552.11054341727493</v>
      </c>
      <c r="M392" s="552">
        <f t="shared" si="822"/>
        <v>572.80339424267663</v>
      </c>
      <c r="N392" s="552">
        <f t="shared" si="822"/>
        <v>593.49308602563985</v>
      </c>
      <c r="O392" s="552">
        <f t="shared" si="822"/>
        <v>614.1796866964487</v>
      </c>
      <c r="P392" s="552">
        <f t="shared" si="822"/>
        <v>634.87080185176546</v>
      </c>
      <c r="Q392" s="552">
        <f t="shared" si="822"/>
        <v>658.25732153270724</v>
      </c>
      <c r="R392" s="552">
        <f t="shared" si="822"/>
        <v>681.64381496816077</v>
      </c>
      <c r="S392" s="552">
        <f t="shared" si="822"/>
        <v>705.02890964242204</v>
      </c>
      <c r="T392" s="552">
        <f t="shared" si="822"/>
        <v>728.41884377493966</v>
      </c>
      <c r="U392" s="552">
        <f t="shared" si="822"/>
        <v>751.81496426263823</v>
      </c>
      <c r="V392" s="552">
        <f t="shared" si="822"/>
        <v>770.70985587552502</v>
      </c>
      <c r="W392" s="552">
        <f t="shared" si="822"/>
        <v>784.92461669970351</v>
      </c>
      <c r="X392" s="552">
        <f t="shared" si="822"/>
        <v>799.14082417655368</v>
      </c>
      <c r="Y392" s="552">
        <f t="shared" si="822"/>
        <v>813.35873169979732</v>
      </c>
      <c r="Z392" s="552">
        <f t="shared" si="822"/>
        <v>827.57445213738129</v>
      </c>
      <c r="AA392" s="552">
        <f t="shared" si="822"/>
        <v>841.79667902173708</v>
      </c>
      <c r="AB392" s="552">
        <f t="shared" si="822"/>
        <v>856.01743824137907</v>
      </c>
      <c r="AC392" s="552">
        <f t="shared" si="822"/>
        <v>870.24553134304313</v>
      </c>
      <c r="AD392" s="552">
        <f t="shared" si="822"/>
        <v>884.4772818891596</v>
      </c>
      <c r="AE392" s="552">
        <f t="shared" si="822"/>
        <v>898.70907932116631</v>
      </c>
      <c r="AF392" s="552">
        <f t="shared" si="822"/>
        <v>912.94994306762931</v>
      </c>
      <c r="AG392" s="552">
        <f t="shared" si="822"/>
        <v>927.19643046125225</v>
      </c>
      <c r="AH392" s="727">
        <f t="shared" si="822"/>
        <v>941.44519028568595</v>
      </c>
      <c r="AI392" s="18"/>
      <c r="AJ392" s="18"/>
      <c r="AK392" s="18"/>
      <c r="AL392" s="18"/>
      <c r="AM392" s="18"/>
      <c r="AN392" s="18"/>
    </row>
    <row r="393" spans="2:41" ht="21.9" customHeight="1" x14ac:dyDescent="0.25">
      <c r="B393" s="229"/>
      <c r="C393" s="690"/>
      <c r="D393" s="690"/>
      <c r="E393" s="114"/>
      <c r="F393" s="114"/>
      <c r="G393" s="114"/>
      <c r="H393" s="122" t="s">
        <v>19</v>
      </c>
      <c r="I393" s="552">
        <f t="shared" ref="I393:AH393" si="823">I329*$D$12</f>
        <v>1200.0664451433643</v>
      </c>
      <c r="J393" s="552">
        <f t="shared" si="823"/>
        <v>1234.0965576033061</v>
      </c>
      <c r="K393" s="552">
        <f t="shared" si="823"/>
        <v>1272.873061728734</v>
      </c>
      <c r="L393" s="552">
        <f t="shared" si="823"/>
        <v>1322.4204632749102</v>
      </c>
      <c r="M393" s="552">
        <f t="shared" si="823"/>
        <v>1371.9841778267705</v>
      </c>
      <c r="N393" s="552">
        <f t="shared" si="823"/>
        <v>1421.5403258099159</v>
      </c>
      <c r="O393" s="552">
        <f t="shared" si="823"/>
        <v>1471.0890699316137</v>
      </c>
      <c r="P393" s="552">
        <f t="shared" si="823"/>
        <v>1520.6486271898575</v>
      </c>
      <c r="Q393" s="552">
        <f t="shared" si="823"/>
        <v>1576.6642431921132</v>
      </c>
      <c r="R393" s="552">
        <f t="shared" si="823"/>
        <v>1632.6797963309241</v>
      </c>
      <c r="S393" s="552">
        <f t="shared" si="823"/>
        <v>1688.6919991435259</v>
      </c>
      <c r="T393" s="552">
        <f t="shared" si="823"/>
        <v>1744.7157934729094</v>
      </c>
      <c r="U393" s="552">
        <f t="shared" si="823"/>
        <v>1800.754405419493</v>
      </c>
      <c r="V393" s="552">
        <f t="shared" si="823"/>
        <v>1846.0116308395809</v>
      </c>
      <c r="W393" s="552">
        <f t="shared" si="823"/>
        <v>1880.0589621549786</v>
      </c>
      <c r="X393" s="552">
        <f t="shared" si="823"/>
        <v>1914.1097585067155</v>
      </c>
      <c r="Y393" s="552">
        <f t="shared" si="823"/>
        <v>1948.1646268258619</v>
      </c>
      <c r="Z393" s="552">
        <f t="shared" si="823"/>
        <v>1982.2142566164821</v>
      </c>
      <c r="AA393" s="552">
        <f t="shared" si="823"/>
        <v>2016.2794707107475</v>
      </c>
      <c r="AB393" s="552">
        <f t="shared" si="823"/>
        <v>2050.341169440429</v>
      </c>
      <c r="AC393" s="552">
        <f t="shared" si="823"/>
        <v>2084.4204343545944</v>
      </c>
      <c r="AD393" s="552">
        <f t="shared" si="823"/>
        <v>2118.5084596147535</v>
      </c>
      <c r="AE393" s="552">
        <f t="shared" si="823"/>
        <v>2152.5965971764463</v>
      </c>
      <c r="AF393" s="552">
        <f t="shared" si="823"/>
        <v>2186.7064504613877</v>
      </c>
      <c r="AG393" s="552">
        <f t="shared" si="823"/>
        <v>2220.8297735598858</v>
      </c>
      <c r="AH393" s="727">
        <f t="shared" si="823"/>
        <v>2254.9585396064335</v>
      </c>
      <c r="AI393" s="18"/>
      <c r="AJ393" s="18"/>
      <c r="AK393" s="18"/>
      <c r="AL393" s="18"/>
      <c r="AM393" s="18"/>
      <c r="AN393" s="18"/>
    </row>
    <row r="394" spans="2:41" ht="21.9" customHeight="1" thickBot="1" x14ac:dyDescent="0.3">
      <c r="B394" s="464"/>
      <c r="C394" s="739"/>
      <c r="D394" s="739"/>
      <c r="E394" s="274"/>
      <c r="F394" s="274"/>
      <c r="G394" s="274"/>
      <c r="H394" s="740" t="s">
        <v>25</v>
      </c>
      <c r="I394" s="710">
        <f t="shared" ref="I394:AH394" si="824">SUM(I392:I393)</f>
        <v>1701.0941859907189</v>
      </c>
      <c r="J394" s="710">
        <f t="shared" si="824"/>
        <v>1749.3318704026865</v>
      </c>
      <c r="K394" s="710">
        <f t="shared" si="824"/>
        <v>1804.2975650004805</v>
      </c>
      <c r="L394" s="710">
        <f t="shared" si="824"/>
        <v>1874.5310066921852</v>
      </c>
      <c r="M394" s="710">
        <f t="shared" si="824"/>
        <v>1944.7875720694472</v>
      </c>
      <c r="N394" s="710">
        <f t="shared" si="824"/>
        <v>2015.0334118355559</v>
      </c>
      <c r="O394" s="710">
        <f t="shared" si="824"/>
        <v>2085.2687566280624</v>
      </c>
      <c r="P394" s="710">
        <f t="shared" si="824"/>
        <v>2155.519429041623</v>
      </c>
      <c r="Q394" s="710">
        <f t="shared" si="824"/>
        <v>2234.9215647248202</v>
      </c>
      <c r="R394" s="710">
        <f t="shared" si="824"/>
        <v>2314.3236112990849</v>
      </c>
      <c r="S394" s="710">
        <f t="shared" si="824"/>
        <v>2393.7209087859478</v>
      </c>
      <c r="T394" s="710">
        <f t="shared" si="824"/>
        <v>2473.1346372478492</v>
      </c>
      <c r="U394" s="710">
        <f t="shared" si="824"/>
        <v>2552.5693696821313</v>
      </c>
      <c r="V394" s="710">
        <f t="shared" si="824"/>
        <v>2616.721486715106</v>
      </c>
      <c r="W394" s="710">
        <f t="shared" si="824"/>
        <v>2664.983578854682</v>
      </c>
      <c r="X394" s="710">
        <f t="shared" si="824"/>
        <v>2713.2505826832694</v>
      </c>
      <c r="Y394" s="710">
        <f t="shared" si="824"/>
        <v>2761.5233585256592</v>
      </c>
      <c r="Z394" s="710">
        <f t="shared" si="824"/>
        <v>2809.7887087538634</v>
      </c>
      <c r="AA394" s="710">
        <f t="shared" si="824"/>
        <v>2858.0761497324847</v>
      </c>
      <c r="AB394" s="710">
        <f t="shared" si="824"/>
        <v>2906.3586076818083</v>
      </c>
      <c r="AC394" s="710">
        <f t="shared" si="824"/>
        <v>2954.6659656976376</v>
      </c>
      <c r="AD394" s="710">
        <f t="shared" si="824"/>
        <v>3002.9857415039132</v>
      </c>
      <c r="AE394" s="710">
        <f t="shared" si="824"/>
        <v>3051.3056764976127</v>
      </c>
      <c r="AF394" s="710">
        <f t="shared" si="824"/>
        <v>3099.6563935290169</v>
      </c>
      <c r="AG394" s="710">
        <f t="shared" si="824"/>
        <v>3148.0262040211383</v>
      </c>
      <c r="AH394" s="741">
        <f t="shared" si="824"/>
        <v>3196.4037298921194</v>
      </c>
      <c r="AI394" s="18"/>
      <c r="AJ394" s="18"/>
      <c r="AK394" s="18"/>
      <c r="AL394" s="18"/>
      <c r="AM394" s="18"/>
      <c r="AN394" s="18"/>
    </row>
    <row r="395" spans="2:41" ht="21.9" customHeight="1" thickBot="1" x14ac:dyDescent="0.3">
      <c r="B395" s="464"/>
      <c r="C395" s="739"/>
      <c r="D395" s="739"/>
      <c r="E395" s="274"/>
      <c r="F395" s="274"/>
      <c r="G395" s="274"/>
      <c r="H395" s="742" t="s">
        <v>481</v>
      </c>
      <c r="I395" s="742">
        <f>SUM(I337,I340,I343,I346,I349,I352,I355,I358,I361,I364,I367,I370,I376,I379,I382,I385,I388,I391,I394)</f>
        <v>788176.7106204658</v>
      </c>
      <c r="J395" s="742">
        <f t="shared" ref="J395:AH395" si="825">SUM(J337,J340,J343,J346,J349,J352,J355,J358,J361,J364,J367,J370,J376,J379,J382,J385,J388,J391,J394)</f>
        <v>833801.80602929159</v>
      </c>
      <c r="K395" s="742">
        <f t="shared" si="825"/>
        <v>925162.9461557871</v>
      </c>
      <c r="L395" s="742">
        <f t="shared" si="825"/>
        <v>1079991.5426122993</v>
      </c>
      <c r="M395" s="742">
        <f t="shared" si="825"/>
        <v>1235680.2902661301</v>
      </c>
      <c r="N395" s="742">
        <f t="shared" si="825"/>
        <v>1392615.4241873058</v>
      </c>
      <c r="O395" s="742">
        <f t="shared" si="825"/>
        <v>1551602.8498713633</v>
      </c>
      <c r="P395" s="742">
        <f t="shared" si="825"/>
        <v>1715604.403302846</v>
      </c>
      <c r="Q395" s="742">
        <f t="shared" si="825"/>
        <v>1877638.6159641794</v>
      </c>
      <c r="R395" s="742">
        <f t="shared" si="825"/>
        <v>2054090.4805229225</v>
      </c>
      <c r="S395" s="742">
        <f t="shared" si="825"/>
        <v>2258361.2800418846</v>
      </c>
      <c r="T395" s="742">
        <f t="shared" si="825"/>
        <v>2516617.3871603222</v>
      </c>
      <c r="U395" s="742">
        <f t="shared" si="825"/>
        <v>2853837.4466218865</v>
      </c>
      <c r="V395" s="742">
        <f t="shared" si="825"/>
        <v>3029980.8283015732</v>
      </c>
      <c r="W395" s="742">
        <f t="shared" si="825"/>
        <v>3122752.0457605268</v>
      </c>
      <c r="X395" s="742">
        <f t="shared" si="825"/>
        <v>3203864.5883315066</v>
      </c>
      <c r="Y395" s="742">
        <f t="shared" si="825"/>
        <v>3257631.6598962345</v>
      </c>
      <c r="Z395" s="742">
        <f t="shared" si="825"/>
        <v>3311698.8038637368</v>
      </c>
      <c r="AA395" s="742">
        <f t="shared" si="825"/>
        <v>3365992.4114136794</v>
      </c>
      <c r="AB395" s="742">
        <f t="shared" si="825"/>
        <v>3420686.1572833066</v>
      </c>
      <c r="AC395" s="742">
        <f t="shared" si="825"/>
        <v>3475721.2005194761</v>
      </c>
      <c r="AD395" s="742">
        <f t="shared" si="825"/>
        <v>3531229.9926568554</v>
      </c>
      <c r="AE395" s="742">
        <f t="shared" si="825"/>
        <v>3587357.0104687139</v>
      </c>
      <c r="AF395" s="742">
        <f t="shared" si="825"/>
        <v>3644076.6137084737</v>
      </c>
      <c r="AG395" s="742">
        <f t="shared" si="825"/>
        <v>3701560.229813558</v>
      </c>
      <c r="AH395" s="742">
        <f t="shared" si="825"/>
        <v>3759997.9578007665</v>
      </c>
      <c r="AI395" s="18"/>
      <c r="AJ395" s="18"/>
      <c r="AK395" s="18"/>
      <c r="AL395" s="18"/>
      <c r="AM395" s="18"/>
      <c r="AN395" s="18"/>
    </row>
    <row r="396" spans="2:41" ht="21.9" customHeight="1" x14ac:dyDescent="0.25">
      <c r="B396" s="9"/>
      <c r="C396" s="690"/>
      <c r="D396" s="690"/>
      <c r="E396" s="114"/>
      <c r="F396" s="114"/>
      <c r="G396" s="114"/>
      <c r="H396" s="743"/>
      <c r="I396" s="743"/>
      <c r="J396" s="743"/>
      <c r="K396" s="743"/>
      <c r="L396" s="743"/>
      <c r="M396" s="743"/>
      <c r="N396" s="743"/>
      <c r="O396" s="743"/>
      <c r="P396" s="743"/>
      <c r="Q396" s="743"/>
      <c r="R396" s="743"/>
      <c r="S396" s="743"/>
      <c r="T396" s="743"/>
      <c r="U396" s="743"/>
      <c r="V396" s="743"/>
      <c r="W396" s="743"/>
      <c r="X396" s="743"/>
      <c r="Y396" s="743"/>
      <c r="Z396" s="743"/>
      <c r="AA396" s="743"/>
      <c r="AB396" s="743"/>
      <c r="AC396" s="743"/>
      <c r="AD396" s="743"/>
      <c r="AE396" s="743"/>
      <c r="AF396" s="743"/>
      <c r="AG396" s="743"/>
      <c r="AH396" s="743"/>
      <c r="AI396" s="18"/>
      <c r="AJ396" s="18"/>
      <c r="AK396" s="18"/>
      <c r="AL396" s="18"/>
      <c r="AM396" s="18"/>
      <c r="AN396" s="18"/>
    </row>
    <row r="397" spans="2:41" ht="21.9" customHeight="1" thickBot="1" x14ac:dyDescent="0.3">
      <c r="B397" s="9"/>
      <c r="C397" s="690"/>
      <c r="D397" s="690"/>
      <c r="E397" s="114"/>
      <c r="F397" s="114"/>
      <c r="G397" s="114"/>
      <c r="H397" s="743"/>
      <c r="I397" s="743"/>
      <c r="J397" s="743"/>
      <c r="K397" s="743"/>
      <c r="L397" s="743"/>
      <c r="M397" s="743"/>
      <c r="N397" s="743"/>
      <c r="O397" s="743"/>
      <c r="P397" s="743"/>
      <c r="Q397" s="743"/>
      <c r="R397" s="743"/>
      <c r="S397" s="743"/>
      <c r="T397" s="743"/>
      <c r="U397" s="743"/>
      <c r="V397" s="743"/>
      <c r="W397" s="743"/>
      <c r="X397" s="743"/>
      <c r="Y397" s="743"/>
      <c r="Z397" s="743"/>
      <c r="AA397" s="743"/>
      <c r="AB397" s="743"/>
      <c r="AC397" s="743"/>
      <c r="AD397" s="743"/>
      <c r="AE397" s="743"/>
      <c r="AF397" s="743"/>
      <c r="AG397" s="743"/>
      <c r="AH397" s="743"/>
      <c r="AI397" s="18"/>
      <c r="AJ397" s="18"/>
      <c r="AK397" s="18"/>
      <c r="AL397" s="18"/>
      <c r="AM397" s="18"/>
      <c r="AN397" s="18"/>
    </row>
    <row r="398" spans="2:41" s="7" customFormat="1" ht="21.9" customHeight="1" thickBot="1" x14ac:dyDescent="0.3">
      <c r="B398" s="231"/>
      <c r="C398" s="462" t="s">
        <v>2</v>
      </c>
      <c r="D398" s="462"/>
      <c r="E398" s="462" t="s">
        <v>312</v>
      </c>
      <c r="F398" s="1326" t="s">
        <v>18</v>
      </c>
      <c r="G398" s="1326"/>
      <c r="H398" s="462" t="s">
        <v>24</v>
      </c>
      <c r="I398" s="738">
        <v>2023</v>
      </c>
      <c r="J398" s="738">
        <v>2024</v>
      </c>
      <c r="K398" s="738">
        <v>2025</v>
      </c>
      <c r="L398" s="738">
        <v>2026</v>
      </c>
      <c r="M398" s="738">
        <v>2027</v>
      </c>
      <c r="N398" s="738">
        <v>2028</v>
      </c>
      <c r="O398" s="738">
        <v>2029</v>
      </c>
      <c r="P398" s="738">
        <v>2030</v>
      </c>
      <c r="Q398" s="738">
        <v>2031</v>
      </c>
      <c r="R398" s="738">
        <v>2032</v>
      </c>
      <c r="S398" s="738">
        <v>2033</v>
      </c>
      <c r="T398" s="738">
        <v>2034</v>
      </c>
      <c r="U398" s="738">
        <v>2035</v>
      </c>
      <c r="V398" s="738">
        <v>2036</v>
      </c>
      <c r="W398" s="738">
        <v>2037</v>
      </c>
      <c r="X398" s="738">
        <v>2038</v>
      </c>
      <c r="Y398" s="738">
        <v>2039</v>
      </c>
      <c r="Z398" s="738">
        <v>2040</v>
      </c>
      <c r="AA398" s="738">
        <v>2041</v>
      </c>
      <c r="AB398" s="738">
        <v>2042</v>
      </c>
      <c r="AC398" s="738">
        <v>2043</v>
      </c>
      <c r="AD398" s="738">
        <v>2044</v>
      </c>
      <c r="AE398" s="738">
        <v>2045</v>
      </c>
      <c r="AF398" s="738">
        <v>2046</v>
      </c>
      <c r="AG398" s="738">
        <v>2047</v>
      </c>
      <c r="AH398" s="737">
        <v>2048</v>
      </c>
      <c r="AI398" s="461"/>
      <c r="AJ398" s="461"/>
      <c r="AK398" s="461"/>
      <c r="AL398" s="461"/>
      <c r="AM398" s="461"/>
      <c r="AN398" s="461"/>
      <c r="AO398" s="461"/>
    </row>
    <row r="399" spans="2:41" ht="21.9" customHeight="1" x14ac:dyDescent="0.25">
      <c r="B399" s="196" t="s">
        <v>131</v>
      </c>
      <c r="C399" s="114" t="str">
        <f>baseYear &amp; "$"</f>
        <v>2022$</v>
      </c>
      <c r="D399" s="237" t="s">
        <v>23</v>
      </c>
      <c r="E399" s="1327" t="s">
        <v>315</v>
      </c>
      <c r="F399" s="114" t="s">
        <v>316</v>
      </c>
      <c r="G399" s="114" t="s">
        <v>276</v>
      </c>
      <c r="H399" s="114" t="s">
        <v>20</v>
      </c>
      <c r="I399" s="552">
        <f t="shared" ref="I399:AH399" si="826">I335*$D$13</f>
        <v>55658.188114239012</v>
      </c>
      <c r="J399" s="552">
        <f t="shared" si="826"/>
        <v>58189.133504231671</v>
      </c>
      <c r="K399" s="552">
        <f t="shared" si="826"/>
        <v>61755.06585582126</v>
      </c>
      <c r="L399" s="552">
        <f t="shared" si="826"/>
        <v>67000.635914027385</v>
      </c>
      <c r="M399" s="552">
        <f t="shared" si="826"/>
        <v>72248.700412025137</v>
      </c>
      <c r="N399" s="552">
        <f t="shared" si="826"/>
        <v>77497.90448371855</v>
      </c>
      <c r="O399" s="552">
        <f t="shared" si="826"/>
        <v>82747.326235633023</v>
      </c>
      <c r="P399" s="552">
        <f t="shared" si="826"/>
        <v>88004.412627150567</v>
      </c>
      <c r="Q399" s="552">
        <f t="shared" si="826"/>
        <v>93205.829671859654</v>
      </c>
      <c r="R399" s="552">
        <f t="shared" si="826"/>
        <v>98419.147138606873</v>
      </c>
      <c r="S399" s="552">
        <f t="shared" si="826"/>
        <v>103649.05329778639</v>
      </c>
      <c r="T399" s="552">
        <f t="shared" si="826"/>
        <v>108906.92097098283</v>
      </c>
      <c r="U399" s="552">
        <f t="shared" si="826"/>
        <v>114212.07127063187</v>
      </c>
      <c r="V399" s="552">
        <f t="shared" si="826"/>
        <v>117830.57433192525</v>
      </c>
      <c r="W399" s="552">
        <f t="shared" si="826"/>
        <v>120466.73577650738</v>
      </c>
      <c r="X399" s="552">
        <f t="shared" si="826"/>
        <v>123127.61741867849</v>
      </c>
      <c r="Y399" s="552">
        <f t="shared" si="826"/>
        <v>125818.32643384111</v>
      </c>
      <c r="Z399" s="552">
        <f t="shared" si="826"/>
        <v>128545.83059896833</v>
      </c>
      <c r="AA399" s="552">
        <f t="shared" si="826"/>
        <v>131315.34047594562</v>
      </c>
      <c r="AB399" s="552">
        <f t="shared" si="826"/>
        <v>134137.0655640444</v>
      </c>
      <c r="AC399" s="552">
        <f t="shared" si="826"/>
        <v>137018.76720800248</v>
      </c>
      <c r="AD399" s="552">
        <f t="shared" si="826"/>
        <v>139972.70113842352</v>
      </c>
      <c r="AE399" s="552">
        <f t="shared" si="826"/>
        <v>143013.04826446928</v>
      </c>
      <c r="AF399" s="552">
        <f t="shared" si="826"/>
        <v>146152.92206992919</v>
      </c>
      <c r="AG399" s="552">
        <f t="shared" si="826"/>
        <v>149410.90930403341</v>
      </c>
      <c r="AH399" s="727">
        <f t="shared" si="826"/>
        <v>152808.43544320969</v>
      </c>
      <c r="AI399" s="18"/>
      <c r="AJ399" s="18"/>
      <c r="AK399" s="18"/>
      <c r="AL399" s="18"/>
      <c r="AM399" s="18"/>
      <c r="AN399" s="18"/>
    </row>
    <row r="400" spans="2:41" ht="21.9" customHeight="1" x14ac:dyDescent="0.25">
      <c r="B400" s="463" t="s">
        <v>134</v>
      </c>
      <c r="C400" s="690"/>
      <c r="D400" s="237"/>
      <c r="E400" s="1327"/>
      <c r="F400" s="114"/>
      <c r="G400" s="114"/>
      <c r="H400" s="122" t="s">
        <v>19</v>
      </c>
      <c r="I400" s="552">
        <f t="shared" ref="I400:AH400" si="827">I336*$D$14</f>
        <v>201963.66850136445</v>
      </c>
      <c r="J400" s="552">
        <f t="shared" si="827"/>
        <v>211147.56458311208</v>
      </c>
      <c r="K400" s="552">
        <f t="shared" si="827"/>
        <v>224087.05837109772</v>
      </c>
      <c r="L400" s="552">
        <f t="shared" si="827"/>
        <v>243121.35697531686</v>
      </c>
      <c r="M400" s="552">
        <f t="shared" si="827"/>
        <v>262164.70700985094</v>
      </c>
      <c r="N400" s="552">
        <f t="shared" si="827"/>
        <v>281212.19214996247</v>
      </c>
      <c r="O400" s="552">
        <f t="shared" si="827"/>
        <v>300260.46717378194</v>
      </c>
      <c r="P400" s="552">
        <f t="shared" si="827"/>
        <v>319336.55443483777</v>
      </c>
      <c r="Q400" s="552">
        <f t="shared" si="827"/>
        <v>338210.6375364798</v>
      </c>
      <c r="R400" s="552">
        <f t="shared" si="827"/>
        <v>357127.90301564737</v>
      </c>
      <c r="S400" s="552">
        <f t="shared" si="827"/>
        <v>376105.36292968213</v>
      </c>
      <c r="T400" s="552">
        <f t="shared" si="827"/>
        <v>395184.28518266545</v>
      </c>
      <c r="U400" s="552">
        <f t="shared" si="827"/>
        <v>414434.77918489702</v>
      </c>
      <c r="V400" s="552">
        <f t="shared" si="827"/>
        <v>427565.03328591515</v>
      </c>
      <c r="W400" s="552">
        <f t="shared" si="827"/>
        <v>437130.7208181232</v>
      </c>
      <c r="X400" s="552">
        <f t="shared" si="827"/>
        <v>446786.10911063809</v>
      </c>
      <c r="Y400" s="552">
        <f t="shared" si="827"/>
        <v>456549.7302773305</v>
      </c>
      <c r="Z400" s="552">
        <f t="shared" si="827"/>
        <v>466446.8678900607</v>
      </c>
      <c r="AA400" s="552">
        <f t="shared" si="827"/>
        <v>476496.4292152882</v>
      </c>
      <c r="AB400" s="552">
        <f t="shared" si="827"/>
        <v>486735.4608762734</v>
      </c>
      <c r="AC400" s="552">
        <f t="shared" si="827"/>
        <v>497192.12601861748</v>
      </c>
      <c r="AD400" s="552">
        <f t="shared" si="827"/>
        <v>507910.89630761772</v>
      </c>
      <c r="AE400" s="552">
        <f t="shared" si="827"/>
        <v>518943.22919336415</v>
      </c>
      <c r="AF400" s="552">
        <f t="shared" si="827"/>
        <v>530336.70882084384</v>
      </c>
      <c r="AG400" s="552">
        <f t="shared" si="827"/>
        <v>542158.77985879709</v>
      </c>
      <c r="AH400" s="727">
        <f t="shared" si="827"/>
        <v>554487.18770220259</v>
      </c>
      <c r="AI400" s="18"/>
      <c r="AJ400" s="18"/>
      <c r="AK400" s="18"/>
      <c r="AL400" s="18"/>
      <c r="AM400" s="18"/>
      <c r="AN400" s="18"/>
    </row>
    <row r="401" spans="2:40" ht="21.9" customHeight="1" x14ac:dyDescent="0.25">
      <c r="B401" s="196"/>
      <c r="C401" s="114"/>
      <c r="D401" s="237"/>
      <c r="E401" s="1327"/>
      <c r="F401" s="114"/>
      <c r="G401" s="114"/>
      <c r="H401" s="695" t="s">
        <v>25</v>
      </c>
      <c r="I401" s="552">
        <f t="shared" ref="I401:AH401" si="828">SUM(I399:I400)</f>
        <v>257621.85661560346</v>
      </c>
      <c r="J401" s="552">
        <f t="shared" si="828"/>
        <v>269336.69808734377</v>
      </c>
      <c r="K401" s="552">
        <f t="shared" si="828"/>
        <v>285842.12422691897</v>
      </c>
      <c r="L401" s="552">
        <f t="shared" si="828"/>
        <v>310121.99288934423</v>
      </c>
      <c r="M401" s="552">
        <f t="shared" si="828"/>
        <v>334413.40742187609</v>
      </c>
      <c r="N401" s="552">
        <f t="shared" si="828"/>
        <v>358710.09663368104</v>
      </c>
      <c r="O401" s="552">
        <f t="shared" si="828"/>
        <v>383007.79340941494</v>
      </c>
      <c r="P401" s="552">
        <f t="shared" si="828"/>
        <v>407340.96706198831</v>
      </c>
      <c r="Q401" s="552">
        <f t="shared" si="828"/>
        <v>431416.46720833948</v>
      </c>
      <c r="R401" s="552">
        <f t="shared" si="828"/>
        <v>455547.05015425425</v>
      </c>
      <c r="S401" s="552">
        <f t="shared" si="828"/>
        <v>479754.41622746852</v>
      </c>
      <c r="T401" s="552">
        <f t="shared" si="828"/>
        <v>504091.20615364827</v>
      </c>
      <c r="U401" s="552">
        <f t="shared" si="828"/>
        <v>528646.85045552894</v>
      </c>
      <c r="V401" s="552">
        <f t="shared" si="828"/>
        <v>545395.6076178404</v>
      </c>
      <c r="W401" s="552">
        <f t="shared" si="828"/>
        <v>557597.45659463061</v>
      </c>
      <c r="X401" s="552">
        <f t="shared" si="828"/>
        <v>569913.72652931663</v>
      </c>
      <c r="Y401" s="552">
        <f t="shared" si="828"/>
        <v>582368.05671117164</v>
      </c>
      <c r="Z401" s="552">
        <f t="shared" si="828"/>
        <v>594992.69848902908</v>
      </c>
      <c r="AA401" s="552">
        <f t="shared" si="828"/>
        <v>607811.76969123376</v>
      </c>
      <c r="AB401" s="552">
        <f t="shared" si="828"/>
        <v>620872.52644031774</v>
      </c>
      <c r="AC401" s="552">
        <f t="shared" si="828"/>
        <v>634210.89322661993</v>
      </c>
      <c r="AD401" s="552">
        <f t="shared" si="828"/>
        <v>647883.59744604118</v>
      </c>
      <c r="AE401" s="552">
        <f t="shared" si="828"/>
        <v>661956.27745783341</v>
      </c>
      <c r="AF401" s="552">
        <f t="shared" si="828"/>
        <v>676489.63089077303</v>
      </c>
      <c r="AG401" s="552">
        <f t="shared" si="828"/>
        <v>691569.68916283047</v>
      </c>
      <c r="AH401" s="727">
        <f t="shared" si="828"/>
        <v>707295.6231454123</v>
      </c>
      <c r="AI401" s="18"/>
      <c r="AJ401" s="18"/>
      <c r="AK401" s="18"/>
      <c r="AL401" s="18"/>
      <c r="AM401" s="18"/>
      <c r="AN401" s="18"/>
    </row>
    <row r="402" spans="2:40" ht="21.9" customHeight="1" x14ac:dyDescent="0.25">
      <c r="B402" s="194"/>
      <c r="C402" s="690"/>
      <c r="D402" s="690"/>
      <c r="E402" s="1327"/>
      <c r="F402" s="114" t="s">
        <v>276</v>
      </c>
      <c r="G402" s="114" t="s">
        <v>274</v>
      </c>
      <c r="H402" s="114" t="s">
        <v>20</v>
      </c>
      <c r="I402" s="552">
        <f t="shared" ref="I402:AH402" si="829">I338*$D$13</f>
        <v>1789705.8417579983</v>
      </c>
      <c r="J402" s="552">
        <f t="shared" si="829"/>
        <v>1884176.2456567311</v>
      </c>
      <c r="K402" s="552">
        <f t="shared" si="829"/>
        <v>2025988.5492582205</v>
      </c>
      <c r="L402" s="552">
        <f t="shared" si="829"/>
        <v>2260286.6403589188</v>
      </c>
      <c r="M402" s="552">
        <f t="shared" si="829"/>
        <v>2494701.2234650701</v>
      </c>
      <c r="N402" s="552">
        <f t="shared" si="829"/>
        <v>2729127.6217032704</v>
      </c>
      <c r="O402" s="552">
        <f t="shared" si="829"/>
        <v>2963516.9480484216</v>
      </c>
      <c r="P402" s="552">
        <f t="shared" si="829"/>
        <v>3198234.8673365484</v>
      </c>
      <c r="Q402" s="552">
        <f t="shared" si="829"/>
        <v>3435269.48923541</v>
      </c>
      <c r="R402" s="552">
        <f t="shared" si="829"/>
        <v>3672827.1485556071</v>
      </c>
      <c r="S402" s="552">
        <f t="shared" si="829"/>
        <v>3911109.3853995604</v>
      </c>
      <c r="T402" s="552">
        <f t="shared" si="829"/>
        <v>4150798.6075501535</v>
      </c>
      <c r="U402" s="552">
        <f t="shared" si="829"/>
        <v>4393088.6482101697</v>
      </c>
      <c r="V402" s="552">
        <f t="shared" si="829"/>
        <v>4542217.9178751726</v>
      </c>
      <c r="W402" s="552">
        <f t="shared" si="829"/>
        <v>4641061.8615455749</v>
      </c>
      <c r="X402" s="552">
        <f t="shared" si="829"/>
        <v>4740897.990368153</v>
      </c>
      <c r="Y402" s="552">
        <f t="shared" si="829"/>
        <v>4841924.4976204997</v>
      </c>
      <c r="Z402" s="552">
        <f t="shared" si="829"/>
        <v>4944431.9449221836</v>
      </c>
      <c r="AA402" s="552">
        <f t="shared" si="829"/>
        <v>5048577.6235674936</v>
      </c>
      <c r="AB402" s="552">
        <f t="shared" si="829"/>
        <v>5154796.3620797656</v>
      </c>
      <c r="AC402" s="552">
        <f t="shared" si="829"/>
        <v>5263338.4989764299</v>
      </c>
      <c r="AD402" s="552">
        <f t="shared" si="829"/>
        <v>5374691.4483849173</v>
      </c>
      <c r="AE402" s="552">
        <f t="shared" si="829"/>
        <v>5489416.1909904052</v>
      </c>
      <c r="AF402" s="552">
        <f t="shared" si="829"/>
        <v>5607956.0888531441</v>
      </c>
      <c r="AG402" s="552">
        <f t="shared" si="829"/>
        <v>5731032.6411082763</v>
      </c>
      <c r="AH402" s="727">
        <f t="shared" si="829"/>
        <v>5859475.1212560665</v>
      </c>
      <c r="AI402" s="18"/>
      <c r="AJ402" s="18"/>
      <c r="AK402" s="18"/>
      <c r="AL402" s="18"/>
      <c r="AM402" s="18"/>
      <c r="AN402" s="18"/>
    </row>
    <row r="403" spans="2:40" ht="21.9" customHeight="1" x14ac:dyDescent="0.25">
      <c r="B403" s="463"/>
      <c r="C403" s="690"/>
      <c r="D403" s="690"/>
      <c r="E403" s="1327"/>
      <c r="F403" s="114"/>
      <c r="G403" s="114"/>
      <c r="H403" s="122" t="s">
        <v>19</v>
      </c>
      <c r="I403" s="552">
        <f t="shared" ref="I403:AH403" si="830">I339*$D$14</f>
        <v>6494202.7325409241</v>
      </c>
      <c r="J403" s="552">
        <f t="shared" si="830"/>
        <v>6837002.057898635</v>
      </c>
      <c r="K403" s="552">
        <f t="shared" si="830"/>
        <v>7351588.2139409445</v>
      </c>
      <c r="L403" s="552">
        <f t="shared" si="830"/>
        <v>8201772.2318690848</v>
      </c>
      <c r="M403" s="552">
        <f t="shared" si="830"/>
        <v>9052378.9576425459</v>
      </c>
      <c r="N403" s="552">
        <f t="shared" si="830"/>
        <v>9903028.5563066509</v>
      </c>
      <c r="O403" s="552">
        <f t="shared" si="830"/>
        <v>10753543.634322997</v>
      </c>
      <c r="P403" s="552">
        <f t="shared" si="830"/>
        <v>11605251.058667082</v>
      </c>
      <c r="Q403" s="552">
        <f t="shared" si="830"/>
        <v>12465364.968632484</v>
      </c>
      <c r="R403" s="552">
        <f t="shared" si="830"/>
        <v>13327376.794429418</v>
      </c>
      <c r="S403" s="552">
        <f t="shared" si="830"/>
        <v>14192017.853044908</v>
      </c>
      <c r="T403" s="552">
        <f t="shared" si="830"/>
        <v>15061764.358382333</v>
      </c>
      <c r="U403" s="552">
        <f t="shared" si="830"/>
        <v>15940948.304374333</v>
      </c>
      <c r="V403" s="552">
        <f t="shared" si="830"/>
        <v>16482085.114660976</v>
      </c>
      <c r="W403" s="552">
        <f t="shared" si="830"/>
        <v>16840754.452438243</v>
      </c>
      <c r="X403" s="552">
        <f t="shared" si="830"/>
        <v>17203024.075455744</v>
      </c>
      <c r="Y403" s="552">
        <f t="shared" si="830"/>
        <v>17569613.156269602</v>
      </c>
      <c r="Z403" s="552">
        <f t="shared" si="830"/>
        <v>17941576.039129995</v>
      </c>
      <c r="AA403" s="552">
        <f t="shared" si="830"/>
        <v>18319483.477916881</v>
      </c>
      <c r="AB403" s="552">
        <f t="shared" si="830"/>
        <v>18704913.309903055</v>
      </c>
      <c r="AC403" s="552">
        <f t="shared" si="830"/>
        <v>19098773.924079597</v>
      </c>
      <c r="AD403" s="552">
        <f t="shared" si="830"/>
        <v>19502833.972078741</v>
      </c>
      <c r="AE403" s="552">
        <f t="shared" si="830"/>
        <v>19919129.052272908</v>
      </c>
      <c r="AF403" s="552">
        <f t="shared" si="830"/>
        <v>20349267.967089839</v>
      </c>
      <c r="AG403" s="552">
        <f t="shared" si="830"/>
        <v>20795868.778976269</v>
      </c>
      <c r="AH403" s="727">
        <f t="shared" si="830"/>
        <v>21261940.625023752</v>
      </c>
      <c r="AI403" s="18"/>
      <c r="AJ403" s="18"/>
      <c r="AK403" s="18"/>
      <c r="AL403" s="18"/>
      <c r="AM403" s="18"/>
      <c r="AN403" s="18"/>
    </row>
    <row r="404" spans="2:40" ht="21.9" customHeight="1" x14ac:dyDescent="0.25">
      <c r="B404" s="463"/>
      <c r="C404" s="690"/>
      <c r="D404" s="690"/>
      <c r="E404" s="1327"/>
      <c r="F404" s="114"/>
      <c r="G404" s="114"/>
      <c r="H404" s="695" t="s">
        <v>25</v>
      </c>
      <c r="I404" s="552">
        <f t="shared" ref="I404:AH404" si="831">SUM(I402:I403)</f>
        <v>8283908.574298922</v>
      </c>
      <c r="J404" s="552">
        <f t="shared" si="831"/>
        <v>8721178.3035553657</v>
      </c>
      <c r="K404" s="552">
        <f t="shared" si="831"/>
        <v>9377576.7631991655</v>
      </c>
      <c r="L404" s="552">
        <f t="shared" si="831"/>
        <v>10462058.872228004</v>
      </c>
      <c r="M404" s="552">
        <f t="shared" si="831"/>
        <v>11547080.181107616</v>
      </c>
      <c r="N404" s="552">
        <f t="shared" si="831"/>
        <v>12632156.178009922</v>
      </c>
      <c r="O404" s="552">
        <f t="shared" si="831"/>
        <v>13717060.582371419</v>
      </c>
      <c r="P404" s="552">
        <f t="shared" si="831"/>
        <v>14803485.926003631</v>
      </c>
      <c r="Q404" s="552">
        <f t="shared" si="831"/>
        <v>15900634.457867894</v>
      </c>
      <c r="R404" s="552">
        <f t="shared" si="831"/>
        <v>17000203.942985024</v>
      </c>
      <c r="S404" s="552">
        <f t="shared" si="831"/>
        <v>18103127.23844447</v>
      </c>
      <c r="T404" s="552">
        <f t="shared" si="831"/>
        <v>19212562.965932488</v>
      </c>
      <c r="U404" s="552">
        <f t="shared" si="831"/>
        <v>20334036.952584505</v>
      </c>
      <c r="V404" s="552">
        <f t="shared" si="831"/>
        <v>21024303.032536149</v>
      </c>
      <c r="W404" s="552">
        <f t="shared" si="831"/>
        <v>21481816.313983817</v>
      </c>
      <c r="X404" s="552">
        <f t="shared" si="831"/>
        <v>21943922.065823898</v>
      </c>
      <c r="Y404" s="552">
        <f t="shared" si="831"/>
        <v>22411537.653890103</v>
      </c>
      <c r="Z404" s="552">
        <f t="shared" si="831"/>
        <v>22886007.984052178</v>
      </c>
      <c r="AA404" s="552">
        <f t="shared" si="831"/>
        <v>23368061.101484373</v>
      </c>
      <c r="AB404" s="552">
        <f t="shared" si="831"/>
        <v>23859709.671982821</v>
      </c>
      <c r="AC404" s="552">
        <f t="shared" si="831"/>
        <v>24362112.423056029</v>
      </c>
      <c r="AD404" s="552">
        <f t="shared" si="831"/>
        <v>24877525.420463659</v>
      </c>
      <c r="AE404" s="552">
        <f t="shared" si="831"/>
        <v>25408545.243263312</v>
      </c>
      <c r="AF404" s="552">
        <f t="shared" si="831"/>
        <v>25957224.055942982</v>
      </c>
      <c r="AG404" s="552">
        <f t="shared" si="831"/>
        <v>26526901.420084544</v>
      </c>
      <c r="AH404" s="727">
        <f t="shared" si="831"/>
        <v>27121415.746279821</v>
      </c>
      <c r="AI404" s="18"/>
      <c r="AJ404" s="18"/>
      <c r="AK404" s="18"/>
      <c r="AL404" s="18"/>
      <c r="AM404" s="18"/>
      <c r="AN404" s="18"/>
    </row>
    <row r="405" spans="2:40" ht="21.9" customHeight="1" x14ac:dyDescent="0.25">
      <c r="B405" s="463"/>
      <c r="C405" s="690"/>
      <c r="D405" s="690"/>
      <c r="E405" s="1327"/>
      <c r="F405" s="114" t="s">
        <v>274</v>
      </c>
      <c r="G405" s="114" t="s">
        <v>317</v>
      </c>
      <c r="H405" s="114" t="s">
        <v>20</v>
      </c>
      <c r="I405" s="552">
        <f t="shared" ref="I405:AH405" si="832">I341*$D$13</f>
        <v>41743.564660877462</v>
      </c>
      <c r="J405" s="552">
        <f t="shared" si="832"/>
        <v>43486.708749928621</v>
      </c>
      <c r="K405" s="552">
        <f t="shared" si="832"/>
        <v>45644.160112079429</v>
      </c>
      <c r="L405" s="552">
        <f t="shared" si="832"/>
        <v>48548.828001386515</v>
      </c>
      <c r="M405" s="552">
        <f t="shared" si="832"/>
        <v>51454.549150284569</v>
      </c>
      <c r="N405" s="552">
        <f t="shared" si="832"/>
        <v>54359.938704712033</v>
      </c>
      <c r="O405" s="552">
        <f t="shared" si="832"/>
        <v>57264.659135176946</v>
      </c>
      <c r="P405" s="552">
        <f t="shared" si="832"/>
        <v>60171.509279423284</v>
      </c>
      <c r="Q405" s="552">
        <f t="shared" si="832"/>
        <v>62987.974612272614</v>
      </c>
      <c r="R405" s="552">
        <f t="shared" si="832"/>
        <v>65805.577359161005</v>
      </c>
      <c r="S405" s="552">
        <f t="shared" si="832"/>
        <v>68622.275232759755</v>
      </c>
      <c r="T405" s="552">
        <f t="shared" si="832"/>
        <v>71439.175308129896</v>
      </c>
      <c r="U405" s="552">
        <f t="shared" si="832"/>
        <v>74258.453531454783</v>
      </c>
      <c r="V405" s="552">
        <f t="shared" si="832"/>
        <v>76327.407064627492</v>
      </c>
      <c r="W405" s="552">
        <f t="shared" si="832"/>
        <v>78071.530330810259</v>
      </c>
      <c r="X405" s="552">
        <f t="shared" si="832"/>
        <v>79815.89912298572</v>
      </c>
      <c r="Y405" s="552">
        <f t="shared" si="832"/>
        <v>81560.567389664851</v>
      </c>
      <c r="Z405" s="552">
        <f t="shared" si="832"/>
        <v>83306.295931185537</v>
      </c>
      <c r="AA405" s="552">
        <f t="shared" si="832"/>
        <v>85051.76802126503</v>
      </c>
      <c r="AB405" s="552">
        <f t="shared" si="832"/>
        <v>86798.46714044534</v>
      </c>
      <c r="AC405" s="552">
        <f t="shared" si="832"/>
        <v>88545.105723512665</v>
      </c>
      <c r="AD405" s="552">
        <f t="shared" si="832"/>
        <v>90292.505152665908</v>
      </c>
      <c r="AE405" s="552">
        <f t="shared" si="832"/>
        <v>92041.5092922779</v>
      </c>
      <c r="AF405" s="552">
        <f t="shared" si="832"/>
        <v>93790.892856225415</v>
      </c>
      <c r="AG405" s="552">
        <f t="shared" si="832"/>
        <v>95541.551517314467</v>
      </c>
      <c r="AH405" s="727">
        <f t="shared" si="832"/>
        <v>97294.414759213716</v>
      </c>
      <c r="AI405" s="18"/>
      <c r="AJ405" s="18"/>
      <c r="AK405" s="18"/>
      <c r="AL405" s="18"/>
      <c r="AM405" s="18"/>
      <c r="AN405" s="18"/>
    </row>
    <row r="406" spans="2:40" ht="21.9" customHeight="1" x14ac:dyDescent="0.25">
      <c r="B406" s="463"/>
      <c r="C406" s="690"/>
      <c r="D406" s="690"/>
      <c r="E406" s="1327"/>
      <c r="F406" s="114"/>
      <c r="G406" s="114"/>
      <c r="H406" s="122" t="s">
        <v>19</v>
      </c>
      <c r="I406" s="552">
        <f t="shared" ref="I406:AH406" si="833">I342*$D$14</f>
        <v>151472.47405773727</v>
      </c>
      <c r="J406" s="552">
        <f t="shared" si="833"/>
        <v>157797.72083416212</v>
      </c>
      <c r="K406" s="552">
        <f t="shared" si="833"/>
        <v>165626.34060200132</v>
      </c>
      <c r="L406" s="552">
        <f t="shared" si="833"/>
        <v>176166.34203895958</v>
      </c>
      <c r="M406" s="552">
        <f t="shared" si="833"/>
        <v>186710.16537846421</v>
      </c>
      <c r="N406" s="552">
        <f t="shared" si="833"/>
        <v>197252.78548017028</v>
      </c>
      <c r="O406" s="552">
        <f t="shared" si="833"/>
        <v>207792.9775702084</v>
      </c>
      <c r="P406" s="552">
        <f t="shared" si="833"/>
        <v>218340.8976302493</v>
      </c>
      <c r="Q406" s="552">
        <f t="shared" si="833"/>
        <v>228560.84351964211</v>
      </c>
      <c r="R406" s="552">
        <f t="shared" si="833"/>
        <v>238784.91667799052</v>
      </c>
      <c r="S406" s="552">
        <f t="shared" si="833"/>
        <v>249005.7063746365</v>
      </c>
      <c r="T406" s="552">
        <f t="shared" si="833"/>
        <v>259227.22978922963</v>
      </c>
      <c r="U406" s="552">
        <f t="shared" si="833"/>
        <v>269457.3826526326</v>
      </c>
      <c r="V406" s="552">
        <f t="shared" si="833"/>
        <v>276964.87543448125</v>
      </c>
      <c r="W406" s="552">
        <f t="shared" si="833"/>
        <v>283293.67529468966</v>
      </c>
      <c r="X406" s="552">
        <f t="shared" si="833"/>
        <v>289623.36608095735</v>
      </c>
      <c r="Y406" s="552">
        <f t="shared" si="833"/>
        <v>295954.14355314552</v>
      </c>
      <c r="Z406" s="552">
        <f t="shared" si="833"/>
        <v>302288.76838371652</v>
      </c>
      <c r="AA406" s="552">
        <f t="shared" si="833"/>
        <v>308622.46264368127</v>
      </c>
      <c r="AB406" s="552">
        <f t="shared" si="833"/>
        <v>314960.60935362626</v>
      </c>
      <c r="AC406" s="552">
        <f t="shared" si="833"/>
        <v>321298.53639965702</v>
      </c>
      <c r="AD406" s="552">
        <f t="shared" si="833"/>
        <v>327639.22428415337</v>
      </c>
      <c r="AE406" s="552">
        <f t="shared" si="833"/>
        <v>333985.7350892679</v>
      </c>
      <c r="AF406" s="552">
        <f t="shared" si="833"/>
        <v>340333.62268966291</v>
      </c>
      <c r="AG406" s="552">
        <f t="shared" si="833"/>
        <v>346686.13716177485</v>
      </c>
      <c r="AH406" s="727">
        <f t="shared" si="833"/>
        <v>353046.65126957418</v>
      </c>
      <c r="AI406" s="18"/>
      <c r="AJ406" s="18"/>
      <c r="AK406" s="18"/>
      <c r="AL406" s="18"/>
      <c r="AM406" s="18"/>
      <c r="AN406" s="18"/>
    </row>
    <row r="407" spans="2:40" ht="21.9" customHeight="1" x14ac:dyDescent="0.25">
      <c r="B407" s="229"/>
      <c r="C407" s="690"/>
      <c r="D407" s="690"/>
      <c r="E407" s="1327"/>
      <c r="F407" s="114"/>
      <c r="G407" s="114"/>
      <c r="H407" s="696" t="s">
        <v>25</v>
      </c>
      <c r="I407" s="552">
        <f t="shared" ref="I407:AH407" si="834">SUM(I405:I406)</f>
        <v>193216.03871861473</v>
      </c>
      <c r="J407" s="552">
        <f t="shared" si="834"/>
        <v>201284.42958409074</v>
      </c>
      <c r="K407" s="552">
        <f t="shared" si="834"/>
        <v>211270.50071408076</v>
      </c>
      <c r="L407" s="552">
        <f t="shared" si="834"/>
        <v>224715.1700403461</v>
      </c>
      <c r="M407" s="552">
        <f t="shared" si="834"/>
        <v>238164.71452874877</v>
      </c>
      <c r="N407" s="552">
        <f t="shared" si="834"/>
        <v>251612.7241848823</v>
      </c>
      <c r="O407" s="552">
        <f t="shared" si="834"/>
        <v>265057.63670538535</v>
      </c>
      <c r="P407" s="552">
        <f t="shared" si="834"/>
        <v>278512.4069096726</v>
      </c>
      <c r="Q407" s="552">
        <f t="shared" si="834"/>
        <v>291548.81813191471</v>
      </c>
      <c r="R407" s="552">
        <f t="shared" si="834"/>
        <v>304590.49403715151</v>
      </c>
      <c r="S407" s="552">
        <f t="shared" si="834"/>
        <v>317627.98160739627</v>
      </c>
      <c r="T407" s="552">
        <f t="shared" si="834"/>
        <v>330666.40509735956</v>
      </c>
      <c r="U407" s="552">
        <f t="shared" si="834"/>
        <v>343715.83618408738</v>
      </c>
      <c r="V407" s="552">
        <f t="shared" si="834"/>
        <v>353292.28249910875</v>
      </c>
      <c r="W407" s="552">
        <f t="shared" si="834"/>
        <v>361365.20562549995</v>
      </c>
      <c r="X407" s="552">
        <f t="shared" si="834"/>
        <v>369439.26520394307</v>
      </c>
      <c r="Y407" s="552">
        <f t="shared" si="834"/>
        <v>377514.7109428104</v>
      </c>
      <c r="Z407" s="552">
        <f t="shared" si="834"/>
        <v>385595.06431490206</v>
      </c>
      <c r="AA407" s="552">
        <f t="shared" si="834"/>
        <v>393674.23066494631</v>
      </c>
      <c r="AB407" s="552">
        <f t="shared" si="834"/>
        <v>401759.07649407163</v>
      </c>
      <c r="AC407" s="552">
        <f t="shared" si="834"/>
        <v>409843.64212316967</v>
      </c>
      <c r="AD407" s="552">
        <f t="shared" si="834"/>
        <v>417931.72943681927</v>
      </c>
      <c r="AE407" s="552">
        <f t="shared" si="834"/>
        <v>426027.24438154581</v>
      </c>
      <c r="AF407" s="552">
        <f t="shared" si="834"/>
        <v>434124.51554588834</v>
      </c>
      <c r="AG407" s="552">
        <f t="shared" si="834"/>
        <v>442227.6886790893</v>
      </c>
      <c r="AH407" s="727">
        <f t="shared" si="834"/>
        <v>450341.06602878787</v>
      </c>
      <c r="AI407" s="18"/>
      <c r="AJ407" s="18"/>
      <c r="AK407" s="18"/>
      <c r="AL407" s="18"/>
      <c r="AM407" s="18"/>
      <c r="AN407" s="18"/>
    </row>
    <row r="408" spans="2:40" ht="21.9" customHeight="1" x14ac:dyDescent="0.25">
      <c r="B408" s="229"/>
      <c r="C408" s="690"/>
      <c r="D408" s="690"/>
      <c r="E408" s="1325" t="s">
        <v>274</v>
      </c>
      <c r="F408" s="217" t="s">
        <v>275</v>
      </c>
      <c r="G408" s="217" t="s">
        <v>318</v>
      </c>
      <c r="H408" s="114" t="s">
        <v>20</v>
      </c>
      <c r="I408" s="552">
        <f t="shared" ref="I408:AH408" si="835">I344*$D$13</f>
        <v>430514.03408856835</v>
      </c>
      <c r="J408" s="552">
        <f t="shared" si="835"/>
        <v>474062.68120967451</v>
      </c>
      <c r="K408" s="552">
        <f t="shared" si="835"/>
        <v>571425.58262026554</v>
      </c>
      <c r="L408" s="552">
        <f t="shared" si="835"/>
        <v>766986.58349287556</v>
      </c>
      <c r="M408" s="552">
        <f t="shared" si="835"/>
        <v>962668.13774518587</v>
      </c>
      <c r="N408" s="552">
        <f t="shared" si="835"/>
        <v>1158328.2309089666</v>
      </c>
      <c r="O408" s="552">
        <f t="shared" si="835"/>
        <v>1353889.6242482124</v>
      </c>
      <c r="P408" s="552">
        <f t="shared" si="835"/>
        <v>1549693.3515444773</v>
      </c>
      <c r="Q408" s="552">
        <f t="shared" si="835"/>
        <v>1741828.7000522118</v>
      </c>
      <c r="R408" s="552">
        <f t="shared" si="835"/>
        <v>1934071.9470070165</v>
      </c>
      <c r="S408" s="552">
        <f t="shared" si="835"/>
        <v>2126246.2198788868</v>
      </c>
      <c r="T408" s="552">
        <f t="shared" si="835"/>
        <v>2318485.2701616357</v>
      </c>
      <c r="U408" s="552">
        <f t="shared" si="835"/>
        <v>2511105.9041889939</v>
      </c>
      <c r="V408" s="552">
        <f t="shared" si="835"/>
        <v>2605129.6722702654</v>
      </c>
      <c r="W408" s="552">
        <f t="shared" si="835"/>
        <v>2648806.4480162826</v>
      </c>
      <c r="X408" s="552">
        <f t="shared" si="835"/>
        <v>2692506.1208094447</v>
      </c>
      <c r="Y408" s="552">
        <f t="shared" si="835"/>
        <v>2736232.3116878583</v>
      </c>
      <c r="Z408" s="552">
        <f t="shared" si="835"/>
        <v>2780056.2146577928</v>
      </c>
      <c r="AA408" s="552">
        <f t="shared" si="835"/>
        <v>2823848.4176157792</v>
      </c>
      <c r="AB408" s="552">
        <f t="shared" si="835"/>
        <v>2867748.4485439961</v>
      </c>
      <c r="AC408" s="552">
        <f t="shared" si="835"/>
        <v>2911627.9865834117</v>
      </c>
      <c r="AD408" s="552">
        <f t="shared" si="835"/>
        <v>2955560.9422549284</v>
      </c>
      <c r="AE408" s="552">
        <f t="shared" si="835"/>
        <v>2999622.4185760631</v>
      </c>
      <c r="AF408" s="552">
        <f t="shared" si="835"/>
        <v>3043686.1990309306</v>
      </c>
      <c r="AG408" s="552">
        <f t="shared" si="835"/>
        <v>3087829.304127506</v>
      </c>
      <c r="AH408" s="727">
        <f t="shared" si="835"/>
        <v>3132130.4171232595</v>
      </c>
      <c r="AI408" s="18"/>
      <c r="AJ408" s="18"/>
      <c r="AK408" s="18"/>
      <c r="AL408" s="18"/>
      <c r="AM408" s="18"/>
      <c r="AN408" s="18"/>
    </row>
    <row r="409" spans="2:40" ht="21.9" customHeight="1" x14ac:dyDescent="0.25">
      <c r="B409" s="229"/>
      <c r="C409" s="690"/>
      <c r="D409" s="690"/>
      <c r="E409" s="1325"/>
      <c r="F409" s="114"/>
      <c r="G409" s="114"/>
      <c r="H409" s="122" t="s">
        <v>19</v>
      </c>
      <c r="I409" s="552">
        <f t="shared" ref="I409:AH409" si="836">I345*$D$14</f>
        <v>1762461.2173979029</v>
      </c>
      <c r="J409" s="552">
        <f t="shared" si="836"/>
        <v>1940742.9818555659</v>
      </c>
      <c r="K409" s="552">
        <f t="shared" si="836"/>
        <v>2339332.3986042887</v>
      </c>
      <c r="L409" s="552">
        <f t="shared" si="836"/>
        <v>3139930.4102421282</v>
      </c>
      <c r="M409" s="552">
        <f t="shared" si="836"/>
        <v>3941021.9497083863</v>
      </c>
      <c r="N409" s="552">
        <f t="shared" si="836"/>
        <v>4742025.6306306217</v>
      </c>
      <c r="O409" s="552">
        <f t="shared" si="836"/>
        <v>5542625.2489692178</v>
      </c>
      <c r="P409" s="552">
        <f t="shared" si="836"/>
        <v>6344216.9469314422</v>
      </c>
      <c r="Q409" s="552">
        <f t="shared" si="836"/>
        <v>7130790.840981192</v>
      </c>
      <c r="R409" s="552">
        <f t="shared" si="836"/>
        <v>7917806.4554240555</v>
      </c>
      <c r="S409" s="552">
        <f t="shared" si="836"/>
        <v>8704539.700102983</v>
      </c>
      <c r="T409" s="552">
        <f t="shared" si="836"/>
        <v>9491538.1339868996</v>
      </c>
      <c r="U409" s="552">
        <f t="shared" si="836"/>
        <v>10280098.71567045</v>
      </c>
      <c r="V409" s="552">
        <f t="shared" si="836"/>
        <v>10665018.211053878</v>
      </c>
      <c r="W409" s="552">
        <f t="shared" si="836"/>
        <v>10843824.515281126</v>
      </c>
      <c r="X409" s="552">
        <f t="shared" si="836"/>
        <v>11022724.556656044</v>
      </c>
      <c r="Y409" s="552">
        <f t="shared" si="836"/>
        <v>11201733.159176739</v>
      </c>
      <c r="Z409" s="552">
        <f t="shared" si="836"/>
        <v>11381141.780647201</v>
      </c>
      <c r="AA409" s="552">
        <f t="shared" si="836"/>
        <v>11560420.626925163</v>
      </c>
      <c r="AB409" s="552">
        <f t="shared" si="836"/>
        <v>11740140.905074406</v>
      </c>
      <c r="AC409" s="552">
        <f t="shared" si="836"/>
        <v>11919777.288347095</v>
      </c>
      <c r="AD409" s="552">
        <f t="shared" si="836"/>
        <v>12099632.355559098</v>
      </c>
      <c r="AE409" s="552">
        <f t="shared" si="836"/>
        <v>12280013.567432251</v>
      </c>
      <c r="AF409" s="552">
        <f t="shared" si="836"/>
        <v>12460404.212090453</v>
      </c>
      <c r="AG409" s="552">
        <f t="shared" si="836"/>
        <v>12641119.600179818</v>
      </c>
      <c r="AH409" s="727">
        <f t="shared" si="836"/>
        <v>12822481.849398656</v>
      </c>
      <c r="AI409" s="18"/>
      <c r="AJ409" s="18"/>
      <c r="AK409" s="18"/>
      <c r="AL409" s="18"/>
      <c r="AM409" s="18"/>
      <c r="AN409" s="18"/>
    </row>
    <row r="410" spans="2:40" ht="21.9" customHeight="1" x14ac:dyDescent="0.25">
      <c r="B410" s="229"/>
      <c r="C410" s="690"/>
      <c r="D410" s="690"/>
      <c r="E410" s="1325"/>
      <c r="F410" s="114"/>
      <c r="G410" s="114"/>
      <c r="H410" s="695" t="s">
        <v>25</v>
      </c>
      <c r="I410" s="552">
        <f t="shared" ref="I410:AH410" si="837">SUM(I408:I409)</f>
        <v>2192975.2514864714</v>
      </c>
      <c r="J410" s="552">
        <f t="shared" si="837"/>
        <v>2414805.6630652403</v>
      </c>
      <c r="K410" s="552">
        <f t="shared" si="837"/>
        <v>2910757.9812245541</v>
      </c>
      <c r="L410" s="552">
        <f t="shared" si="837"/>
        <v>3906916.9937350038</v>
      </c>
      <c r="M410" s="552">
        <f t="shared" si="837"/>
        <v>4903690.0874535721</v>
      </c>
      <c r="N410" s="552">
        <f t="shared" si="837"/>
        <v>5900353.8615395883</v>
      </c>
      <c r="O410" s="552">
        <f t="shared" si="837"/>
        <v>6896514.87321743</v>
      </c>
      <c r="P410" s="552">
        <f t="shared" si="837"/>
        <v>7893910.2984759193</v>
      </c>
      <c r="Q410" s="552">
        <f t="shared" si="837"/>
        <v>8872619.5410334039</v>
      </c>
      <c r="R410" s="552">
        <f t="shared" si="837"/>
        <v>9851878.4024310727</v>
      </c>
      <c r="S410" s="552">
        <f t="shared" si="837"/>
        <v>10830785.919981871</v>
      </c>
      <c r="T410" s="552">
        <f t="shared" si="837"/>
        <v>11810023.404148536</v>
      </c>
      <c r="U410" s="552">
        <f t="shared" si="837"/>
        <v>12791204.619859444</v>
      </c>
      <c r="V410" s="552">
        <f t="shared" si="837"/>
        <v>13270147.883324143</v>
      </c>
      <c r="W410" s="552">
        <f t="shared" si="837"/>
        <v>13492630.963297408</v>
      </c>
      <c r="X410" s="552">
        <f t="shared" si="837"/>
        <v>13715230.677465489</v>
      </c>
      <c r="Y410" s="552">
        <f t="shared" si="837"/>
        <v>13937965.470864598</v>
      </c>
      <c r="Z410" s="552">
        <f t="shared" si="837"/>
        <v>14161197.995304994</v>
      </c>
      <c r="AA410" s="552">
        <f t="shared" si="837"/>
        <v>14384269.044540942</v>
      </c>
      <c r="AB410" s="552">
        <f t="shared" si="837"/>
        <v>14607889.353618402</v>
      </c>
      <c r="AC410" s="552">
        <f t="shared" si="837"/>
        <v>14831405.274930507</v>
      </c>
      <c r="AD410" s="552">
        <f t="shared" si="837"/>
        <v>15055193.297814026</v>
      </c>
      <c r="AE410" s="552">
        <f t="shared" si="837"/>
        <v>15279635.986008314</v>
      </c>
      <c r="AF410" s="552">
        <f t="shared" si="837"/>
        <v>15504090.411121383</v>
      </c>
      <c r="AG410" s="552">
        <f t="shared" si="837"/>
        <v>15728948.904307324</v>
      </c>
      <c r="AH410" s="727">
        <f t="shared" si="837"/>
        <v>15954612.266521916</v>
      </c>
      <c r="AI410" s="18"/>
      <c r="AJ410" s="18"/>
      <c r="AK410" s="18"/>
      <c r="AL410" s="18"/>
      <c r="AM410" s="18"/>
      <c r="AN410" s="18"/>
    </row>
    <row r="411" spans="2:40" ht="21.9" customHeight="1" x14ac:dyDescent="0.25">
      <c r="B411" s="229"/>
      <c r="C411" s="690"/>
      <c r="D411" s="690"/>
      <c r="E411" s="1325"/>
      <c r="F411" s="114" t="s">
        <v>318</v>
      </c>
      <c r="G411" s="114" t="s">
        <v>308</v>
      </c>
      <c r="H411" s="114" t="s">
        <v>20</v>
      </c>
      <c r="I411" s="552">
        <f t="shared" ref="I411:AH411" si="838">I347*$D$13</f>
        <v>57925.75442662726</v>
      </c>
      <c r="J411" s="552">
        <f t="shared" si="838"/>
        <v>63971.33463439859</v>
      </c>
      <c r="K411" s="552">
        <f t="shared" si="838"/>
        <v>72317.265327019486</v>
      </c>
      <c r="L411" s="552">
        <f t="shared" si="838"/>
        <v>87646.22391681213</v>
      </c>
      <c r="M411" s="552">
        <f t="shared" si="838"/>
        <v>102992.19808061833</v>
      </c>
      <c r="N411" s="552">
        <f t="shared" si="838"/>
        <v>118392.6849111718</v>
      </c>
      <c r="O411" s="552">
        <f t="shared" si="838"/>
        <v>133960.37686692976</v>
      </c>
      <c r="P411" s="552">
        <f t="shared" si="838"/>
        <v>150054.63583842965</v>
      </c>
      <c r="Q411" s="552">
        <f t="shared" si="838"/>
        <v>175968.4689747681</v>
      </c>
      <c r="R411" s="552">
        <f t="shared" si="838"/>
        <v>211849.20176891427</v>
      </c>
      <c r="S411" s="552">
        <f t="shared" si="838"/>
        <v>276774.70968563657</v>
      </c>
      <c r="T411" s="552">
        <f t="shared" si="838"/>
        <v>417524.40938824724</v>
      </c>
      <c r="U411" s="552">
        <f t="shared" si="838"/>
        <v>595191.45121189288</v>
      </c>
      <c r="V411" s="552">
        <f t="shared" si="838"/>
        <v>629773.89591462805</v>
      </c>
      <c r="W411" s="552">
        <f t="shared" si="838"/>
        <v>643658.10452132486</v>
      </c>
      <c r="X411" s="552">
        <f t="shared" si="838"/>
        <v>657539.91989902442</v>
      </c>
      <c r="Y411" s="552">
        <f t="shared" si="838"/>
        <v>671422.63117698696</v>
      </c>
      <c r="Z411" s="552">
        <f t="shared" si="838"/>
        <v>685316.40093778924</v>
      </c>
      <c r="AA411" s="552">
        <f t="shared" si="838"/>
        <v>699201.51119026623</v>
      </c>
      <c r="AB411" s="552">
        <f t="shared" si="838"/>
        <v>713098.16390572547</v>
      </c>
      <c r="AC411" s="552">
        <f t="shared" si="838"/>
        <v>726986.73379905394</v>
      </c>
      <c r="AD411" s="552">
        <f t="shared" si="838"/>
        <v>740877.54444684077</v>
      </c>
      <c r="AE411" s="552">
        <f t="shared" si="838"/>
        <v>754781.00084854045</v>
      </c>
      <c r="AF411" s="552">
        <f t="shared" si="838"/>
        <v>768677.66275010118</v>
      </c>
      <c r="AG411" s="552">
        <f t="shared" si="838"/>
        <v>782578.0544630806</v>
      </c>
      <c r="AH411" s="727">
        <f t="shared" si="838"/>
        <v>796492.82715412986</v>
      </c>
      <c r="AI411" s="18"/>
      <c r="AJ411" s="18"/>
      <c r="AK411" s="18"/>
      <c r="AL411" s="18"/>
      <c r="AM411" s="18"/>
      <c r="AN411" s="18"/>
    </row>
    <row r="412" spans="2:40" ht="21.9" customHeight="1" x14ac:dyDescent="0.25">
      <c r="B412" s="229"/>
      <c r="C412" s="690"/>
      <c r="D412" s="690"/>
      <c r="E412" s="1325"/>
      <c r="F412" s="114"/>
      <c r="G412" s="114"/>
      <c r="H412" s="122" t="s">
        <v>19</v>
      </c>
      <c r="I412" s="552">
        <f t="shared" ref="I412:AH412" si="839">I348*$D$14</f>
        <v>237139.52991470281</v>
      </c>
      <c r="J412" s="552">
        <f t="shared" si="839"/>
        <v>261889.24725068471</v>
      </c>
      <c r="K412" s="552">
        <f t="shared" si="839"/>
        <v>296056.2615734025</v>
      </c>
      <c r="L412" s="552">
        <f t="shared" si="839"/>
        <v>358810.7663709161</v>
      </c>
      <c r="M412" s="552">
        <f t="shared" si="839"/>
        <v>421634.93042902526</v>
      </c>
      <c r="N412" s="552">
        <f t="shared" si="839"/>
        <v>484682.26133743802</v>
      </c>
      <c r="O412" s="552">
        <f t="shared" si="839"/>
        <v>548414.10546769481</v>
      </c>
      <c r="P412" s="552">
        <f t="shared" si="839"/>
        <v>614301.63761302608</v>
      </c>
      <c r="Q412" s="552">
        <f t="shared" si="839"/>
        <v>720389.06399300147</v>
      </c>
      <c r="R412" s="552">
        <f t="shared" si="839"/>
        <v>867279.51353521051</v>
      </c>
      <c r="S412" s="552">
        <f t="shared" si="839"/>
        <v>1133075.0060453166</v>
      </c>
      <c r="T412" s="552">
        <f t="shared" si="839"/>
        <v>1709283.6019193796</v>
      </c>
      <c r="U412" s="552">
        <f t="shared" si="839"/>
        <v>2436626.3736525006</v>
      </c>
      <c r="V412" s="552">
        <f t="shared" si="839"/>
        <v>2578201.8224538723</v>
      </c>
      <c r="W412" s="552">
        <f t="shared" si="839"/>
        <v>2635041.7330397633</v>
      </c>
      <c r="X412" s="552">
        <f t="shared" si="839"/>
        <v>2691871.8460976798</v>
      </c>
      <c r="Y412" s="552">
        <f t="shared" si="839"/>
        <v>2748705.626839675</v>
      </c>
      <c r="Z412" s="552">
        <f t="shared" si="839"/>
        <v>2805584.6793860365</v>
      </c>
      <c r="AA412" s="552">
        <f t="shared" si="839"/>
        <v>2862428.2811773089</v>
      </c>
      <c r="AB412" s="552">
        <f t="shared" si="839"/>
        <v>2919319.1361165587</v>
      </c>
      <c r="AC412" s="552">
        <f t="shared" si="839"/>
        <v>2976176.9011692908</v>
      </c>
      <c r="AD412" s="552">
        <f t="shared" si="839"/>
        <v>3033043.8395416313</v>
      </c>
      <c r="AE412" s="552">
        <f t="shared" si="839"/>
        <v>3089962.547772957</v>
      </c>
      <c r="AF412" s="552">
        <f t="shared" si="839"/>
        <v>3146853.4403187572</v>
      </c>
      <c r="AG412" s="552">
        <f t="shared" si="839"/>
        <v>3203759.602164634</v>
      </c>
      <c r="AH412" s="727">
        <f t="shared" si="839"/>
        <v>3260724.6376223085</v>
      </c>
      <c r="AI412" s="18"/>
      <c r="AJ412" s="18"/>
      <c r="AK412" s="18"/>
      <c r="AL412" s="18"/>
      <c r="AM412" s="18"/>
      <c r="AN412" s="18"/>
    </row>
    <row r="413" spans="2:40" ht="21.9" customHeight="1" x14ac:dyDescent="0.25">
      <c r="B413" s="229"/>
      <c r="C413" s="690"/>
      <c r="D413" s="690"/>
      <c r="E413" s="1325"/>
      <c r="F413" s="114"/>
      <c r="G413" s="114"/>
      <c r="H413" s="695" t="s">
        <v>25</v>
      </c>
      <c r="I413" s="552">
        <f t="shared" ref="I413:AH413" si="840">SUM(I411:I412)</f>
        <v>295065.28434133006</v>
      </c>
      <c r="J413" s="552">
        <f t="shared" si="840"/>
        <v>325860.58188508329</v>
      </c>
      <c r="K413" s="552">
        <f t="shared" si="840"/>
        <v>368373.526900422</v>
      </c>
      <c r="L413" s="552">
        <f t="shared" si="840"/>
        <v>446456.99028772826</v>
      </c>
      <c r="M413" s="552">
        <f t="shared" si="840"/>
        <v>524627.1285096436</v>
      </c>
      <c r="N413" s="552">
        <f t="shared" si="840"/>
        <v>603074.94624860981</v>
      </c>
      <c r="O413" s="552">
        <f t="shared" si="840"/>
        <v>682374.48233462451</v>
      </c>
      <c r="P413" s="552">
        <f t="shared" si="840"/>
        <v>764356.27345145575</v>
      </c>
      <c r="Q413" s="552">
        <f t="shared" si="840"/>
        <v>896357.53296776954</v>
      </c>
      <c r="R413" s="552">
        <f t="shared" si="840"/>
        <v>1079128.7153041249</v>
      </c>
      <c r="S413" s="552">
        <f t="shared" si="840"/>
        <v>1409849.715730953</v>
      </c>
      <c r="T413" s="552">
        <f t="shared" si="840"/>
        <v>2126808.011307627</v>
      </c>
      <c r="U413" s="552">
        <f t="shared" si="840"/>
        <v>3031817.8248643936</v>
      </c>
      <c r="V413" s="552">
        <f t="shared" si="840"/>
        <v>3207975.7183685005</v>
      </c>
      <c r="W413" s="552">
        <f t="shared" si="840"/>
        <v>3278699.8375610881</v>
      </c>
      <c r="X413" s="552">
        <f t="shared" si="840"/>
        <v>3349411.7659967043</v>
      </c>
      <c r="Y413" s="552">
        <f t="shared" si="840"/>
        <v>3420128.2580166617</v>
      </c>
      <c r="Z413" s="552">
        <f t="shared" si="840"/>
        <v>3490901.0803238256</v>
      </c>
      <c r="AA413" s="552">
        <f t="shared" si="840"/>
        <v>3561629.7923675752</v>
      </c>
      <c r="AB413" s="552">
        <f t="shared" si="840"/>
        <v>3632417.300022284</v>
      </c>
      <c r="AC413" s="552">
        <f t="shared" si="840"/>
        <v>3703163.6349683446</v>
      </c>
      <c r="AD413" s="552">
        <f t="shared" si="840"/>
        <v>3773921.3839884722</v>
      </c>
      <c r="AE413" s="552">
        <f t="shared" si="840"/>
        <v>3844743.5486214976</v>
      </c>
      <c r="AF413" s="552">
        <f t="shared" si="840"/>
        <v>3915531.1030688584</v>
      </c>
      <c r="AG413" s="552">
        <f t="shared" si="840"/>
        <v>3986337.6566277146</v>
      </c>
      <c r="AH413" s="727">
        <f t="shared" si="840"/>
        <v>4057217.4647764382</v>
      </c>
      <c r="AI413" s="18"/>
      <c r="AJ413" s="18"/>
      <c r="AK413" s="18"/>
      <c r="AL413" s="18"/>
      <c r="AM413" s="18"/>
      <c r="AN413" s="18"/>
    </row>
    <row r="414" spans="2:40" ht="21.9" customHeight="1" x14ac:dyDescent="0.25">
      <c r="B414" s="229"/>
      <c r="C414" s="690"/>
      <c r="D414" s="690"/>
      <c r="E414" s="1325"/>
      <c r="F414" s="114" t="s">
        <v>308</v>
      </c>
      <c r="G414" s="114" t="s">
        <v>319</v>
      </c>
      <c r="H414" s="114" t="s">
        <v>20</v>
      </c>
      <c r="I414" s="552">
        <f t="shared" ref="I414:AH414" si="841">I350*$D$13</f>
        <v>821962.4809162349</v>
      </c>
      <c r="J414" s="552">
        <f t="shared" si="841"/>
        <v>846441.9390035735</v>
      </c>
      <c r="K414" s="552">
        <f t="shared" si="841"/>
        <v>882217.17920727306</v>
      </c>
      <c r="L414" s="552">
        <f t="shared" si="841"/>
        <v>934955.2311495312</v>
      </c>
      <c r="M414" s="552">
        <f t="shared" si="841"/>
        <v>992198.86927661102</v>
      </c>
      <c r="N414" s="552">
        <f t="shared" si="841"/>
        <v>1056374.8187001108</v>
      </c>
      <c r="O414" s="552">
        <f t="shared" si="841"/>
        <v>1131043.5069117805</v>
      </c>
      <c r="P414" s="552">
        <f t="shared" si="841"/>
        <v>1221441.654609198</v>
      </c>
      <c r="Q414" s="552">
        <f t="shared" si="841"/>
        <v>1336005.3371917533</v>
      </c>
      <c r="R414" s="552">
        <f t="shared" si="841"/>
        <v>1484460.0729497685</v>
      </c>
      <c r="S414" s="552">
        <f t="shared" si="841"/>
        <v>1681111.6633741772</v>
      </c>
      <c r="T414" s="552">
        <f t="shared" si="841"/>
        <v>1945659.7010615407</v>
      </c>
      <c r="U414" s="552">
        <f t="shared" si="841"/>
        <v>2304851.2359831408</v>
      </c>
      <c r="V414" s="552">
        <f t="shared" si="841"/>
        <v>2638440.3524214812</v>
      </c>
      <c r="W414" s="552">
        <f t="shared" si="841"/>
        <v>2916407.7015114082</v>
      </c>
      <c r="X414" s="552">
        <f t="shared" si="841"/>
        <v>3126108.5413940973</v>
      </c>
      <c r="Y414" s="552">
        <f t="shared" si="841"/>
        <v>3176788.0072870613</v>
      </c>
      <c r="Z414" s="552">
        <f t="shared" si="841"/>
        <v>3227492.4124556477</v>
      </c>
      <c r="AA414" s="552">
        <f t="shared" si="841"/>
        <v>3278173.6294561429</v>
      </c>
      <c r="AB414" s="552">
        <f t="shared" si="841"/>
        <v>3328880.0525719514</v>
      </c>
      <c r="AC414" s="552">
        <f t="shared" si="841"/>
        <v>3379563.5940712029</v>
      </c>
      <c r="AD414" s="552">
        <f t="shared" si="841"/>
        <v>3430248.5584280989</v>
      </c>
      <c r="AE414" s="552">
        <f t="shared" si="841"/>
        <v>3480959.2850571508</v>
      </c>
      <c r="AF414" s="552">
        <f t="shared" si="841"/>
        <v>3531647.7570553171</v>
      </c>
      <c r="AG414" s="552">
        <f t="shared" si="841"/>
        <v>3582338.3542341283</v>
      </c>
      <c r="AH414" s="727">
        <f t="shared" si="841"/>
        <v>3633055.5064018453</v>
      </c>
      <c r="AI414" s="18"/>
      <c r="AJ414" s="18"/>
      <c r="AK414" s="18"/>
      <c r="AL414" s="18"/>
      <c r="AM414" s="18"/>
      <c r="AN414" s="18"/>
    </row>
    <row r="415" spans="2:40" ht="21.9" customHeight="1" x14ac:dyDescent="0.25">
      <c r="B415" s="229"/>
      <c r="C415" s="690"/>
      <c r="D415" s="690"/>
      <c r="E415" s="1325"/>
      <c r="F415" s="114"/>
      <c r="G415" s="114"/>
      <c r="H415" s="114" t="s">
        <v>19</v>
      </c>
      <c r="I415" s="552">
        <f t="shared" ref="I415:AH415" si="842">I351*$D$14</f>
        <v>3364993.6588896331</v>
      </c>
      <c r="J415" s="552">
        <f t="shared" si="842"/>
        <v>3465208.964514202</v>
      </c>
      <c r="K415" s="552">
        <f t="shared" si="842"/>
        <v>3611667.5428869175</v>
      </c>
      <c r="L415" s="552">
        <f t="shared" si="842"/>
        <v>3827569.3808516795</v>
      </c>
      <c r="M415" s="552">
        <f t="shared" si="842"/>
        <v>4061916.4268320259</v>
      </c>
      <c r="N415" s="552">
        <f t="shared" si="842"/>
        <v>4324643.3369734464</v>
      </c>
      <c r="O415" s="552">
        <f t="shared" si="842"/>
        <v>4630325.978436349</v>
      </c>
      <c r="P415" s="552">
        <f t="shared" si="842"/>
        <v>5000402.7165352721</v>
      </c>
      <c r="Q415" s="552">
        <f t="shared" si="842"/>
        <v>5469409.6047810996</v>
      </c>
      <c r="R415" s="552">
        <f t="shared" si="842"/>
        <v>6077161.4864740605</v>
      </c>
      <c r="S415" s="552">
        <f t="shared" si="842"/>
        <v>6882224.2115403805</v>
      </c>
      <c r="T415" s="552">
        <f t="shared" si="842"/>
        <v>7965245.0183993168</v>
      </c>
      <c r="U415" s="552">
        <f t="shared" si="842"/>
        <v>9435722.4007619713</v>
      </c>
      <c r="V415" s="552">
        <f t="shared" si="842"/>
        <v>10801387.242590692</v>
      </c>
      <c r="W415" s="552">
        <f t="shared" si="842"/>
        <v>11939344.739170497</v>
      </c>
      <c r="X415" s="552">
        <f t="shared" si="842"/>
        <v>12797829.174716149</v>
      </c>
      <c r="Y415" s="552">
        <f t="shared" si="842"/>
        <v>13005303.463780588</v>
      </c>
      <c r="Z415" s="552">
        <f t="shared" si="842"/>
        <v>13212879.850576095</v>
      </c>
      <c r="AA415" s="552">
        <f t="shared" si="842"/>
        <v>13420361.308417547</v>
      </c>
      <c r="AB415" s="552">
        <f t="shared" si="842"/>
        <v>13627945.956392568</v>
      </c>
      <c r="AC415" s="552">
        <f t="shared" si="842"/>
        <v>13835436.930390479</v>
      </c>
      <c r="AD415" s="552">
        <f t="shared" si="842"/>
        <v>14042933.729358586</v>
      </c>
      <c r="AE415" s="552">
        <f t="shared" si="842"/>
        <v>14250535.995284682</v>
      </c>
      <c r="AF415" s="552">
        <f t="shared" si="842"/>
        <v>14458047.154020911</v>
      </c>
      <c r="AG415" s="552">
        <f t="shared" si="842"/>
        <v>14665567.012934534</v>
      </c>
      <c r="AH415" s="727">
        <f t="shared" si="842"/>
        <v>14873195.584072078</v>
      </c>
      <c r="AI415" s="18"/>
      <c r="AJ415" s="18"/>
      <c r="AK415" s="18"/>
      <c r="AL415" s="18"/>
      <c r="AM415" s="18"/>
      <c r="AN415" s="18"/>
    </row>
    <row r="416" spans="2:40" ht="21.9" customHeight="1" x14ac:dyDescent="0.25">
      <c r="B416" s="229"/>
      <c r="C416" s="690"/>
      <c r="D416" s="690"/>
      <c r="E416" s="1321"/>
      <c r="F416" s="250"/>
      <c r="G416" s="250"/>
      <c r="H416" s="696" t="s">
        <v>25</v>
      </c>
      <c r="I416" s="562">
        <f t="shared" ref="I416:AH416" si="843">SUM(I414:I415)</f>
        <v>4186956.1398058683</v>
      </c>
      <c r="J416" s="562">
        <f t="shared" si="843"/>
        <v>4311650.9035177752</v>
      </c>
      <c r="K416" s="562">
        <f t="shared" si="843"/>
        <v>4493884.7220941903</v>
      </c>
      <c r="L416" s="562">
        <f t="shared" si="843"/>
        <v>4762524.6120012105</v>
      </c>
      <c r="M416" s="562">
        <f t="shared" si="843"/>
        <v>5054115.296108637</v>
      </c>
      <c r="N416" s="562">
        <f t="shared" si="843"/>
        <v>5381018.155673557</v>
      </c>
      <c r="O416" s="562">
        <f t="shared" si="843"/>
        <v>5761369.4853481296</v>
      </c>
      <c r="P416" s="562">
        <f t="shared" si="843"/>
        <v>6221844.3711444698</v>
      </c>
      <c r="Q416" s="562">
        <f t="shared" si="843"/>
        <v>6805414.9419728527</v>
      </c>
      <c r="R416" s="562">
        <f t="shared" si="843"/>
        <v>7561621.5594238285</v>
      </c>
      <c r="S416" s="562">
        <f t="shared" si="843"/>
        <v>8563335.8749145567</v>
      </c>
      <c r="T416" s="562">
        <f t="shared" si="843"/>
        <v>9910904.719460858</v>
      </c>
      <c r="U416" s="562">
        <f t="shared" si="843"/>
        <v>11740573.636745112</v>
      </c>
      <c r="V416" s="562">
        <f t="shared" si="843"/>
        <v>13439827.595012173</v>
      </c>
      <c r="W416" s="562">
        <f t="shared" si="843"/>
        <v>14855752.440681905</v>
      </c>
      <c r="X416" s="562">
        <f t="shared" si="843"/>
        <v>15923937.716110246</v>
      </c>
      <c r="Y416" s="562">
        <f t="shared" si="843"/>
        <v>16182091.471067648</v>
      </c>
      <c r="Z416" s="562">
        <f t="shared" si="843"/>
        <v>16440372.263031743</v>
      </c>
      <c r="AA416" s="562">
        <f t="shared" si="843"/>
        <v>16698534.937873691</v>
      </c>
      <c r="AB416" s="562">
        <f t="shared" si="843"/>
        <v>16956826.00896452</v>
      </c>
      <c r="AC416" s="562">
        <f t="shared" si="843"/>
        <v>17215000.524461683</v>
      </c>
      <c r="AD416" s="562">
        <f t="shared" si="843"/>
        <v>17473182.287786685</v>
      </c>
      <c r="AE416" s="562">
        <f t="shared" si="843"/>
        <v>17731495.280341834</v>
      </c>
      <c r="AF416" s="562">
        <f t="shared" si="843"/>
        <v>17989694.911076229</v>
      </c>
      <c r="AG416" s="562">
        <f t="shared" si="843"/>
        <v>18247905.367168661</v>
      </c>
      <c r="AH416" s="729">
        <f t="shared" si="843"/>
        <v>18506251.090473924</v>
      </c>
      <c r="AI416" s="18"/>
      <c r="AJ416" s="18"/>
      <c r="AK416" s="18"/>
      <c r="AL416" s="18"/>
      <c r="AM416" s="18"/>
      <c r="AN416" s="18"/>
    </row>
    <row r="417" spans="2:40" ht="21.9" customHeight="1" x14ac:dyDescent="0.25">
      <c r="B417" s="229"/>
      <c r="C417" s="690"/>
      <c r="D417" s="690"/>
      <c r="E417" s="114" t="s">
        <v>320</v>
      </c>
      <c r="F417" s="114" t="s">
        <v>318</v>
      </c>
      <c r="G417" s="114" t="s">
        <v>308</v>
      </c>
      <c r="H417" s="114" t="s">
        <v>20</v>
      </c>
      <c r="I417" s="552">
        <f t="shared" ref="I417:AH417" si="844">I353*$D$13</f>
        <v>2599.6178703703704</v>
      </c>
      <c r="J417" s="552">
        <f t="shared" si="844"/>
        <v>19702.503839537039</v>
      </c>
      <c r="K417" s="552">
        <f t="shared" si="844"/>
        <v>114146.62107361818</v>
      </c>
      <c r="L417" s="552">
        <f t="shared" si="844"/>
        <v>262907.18820086541</v>
      </c>
      <c r="M417" s="552">
        <f t="shared" si="844"/>
        <v>411766.01839503064</v>
      </c>
      <c r="N417" s="552">
        <f t="shared" si="844"/>
        <v>560764.61525433301</v>
      </c>
      <c r="O417" s="552">
        <f t="shared" si="844"/>
        <v>711266.65631139034</v>
      </c>
      <c r="P417" s="552">
        <f t="shared" si="844"/>
        <v>873666.9729141572</v>
      </c>
      <c r="Q417" s="552">
        <f t="shared" si="844"/>
        <v>984601.73857705831</v>
      </c>
      <c r="R417" s="552">
        <f t="shared" si="844"/>
        <v>1134333.1904204255</v>
      </c>
      <c r="S417" s="552">
        <f t="shared" si="844"/>
        <v>1366803.419133032</v>
      </c>
      <c r="T417" s="552">
        <f t="shared" si="844"/>
        <v>1765773.6924287537</v>
      </c>
      <c r="U417" s="552">
        <f t="shared" si="844"/>
        <v>2485930.0640329951</v>
      </c>
      <c r="V417" s="552">
        <f t="shared" si="844"/>
        <v>2728279.0536766043</v>
      </c>
      <c r="W417" s="552">
        <f t="shared" si="844"/>
        <v>2764011.3600441436</v>
      </c>
      <c r="X417" s="552">
        <f t="shared" si="844"/>
        <v>2799742.2573111812</v>
      </c>
      <c r="Y417" s="552">
        <f t="shared" si="844"/>
        <v>2835473.6579002948</v>
      </c>
      <c r="Z417" s="552">
        <f t="shared" si="844"/>
        <v>2871346.818122087</v>
      </c>
      <c r="AA417" s="552">
        <f t="shared" si="844"/>
        <v>2907079.4374439339</v>
      </c>
      <c r="AB417" s="552">
        <f t="shared" si="844"/>
        <v>2942953.9427456236</v>
      </c>
      <c r="AC417" s="552">
        <f t="shared" si="844"/>
        <v>2978688.0714740437</v>
      </c>
      <c r="AD417" s="552">
        <f t="shared" si="844"/>
        <v>3014423.0614755149</v>
      </c>
      <c r="AE417" s="552">
        <f t="shared" si="844"/>
        <v>3050300.2335053924</v>
      </c>
      <c r="AF417" s="552">
        <f t="shared" si="844"/>
        <v>3086037.3445032826</v>
      </c>
      <c r="AG417" s="552">
        <f t="shared" si="844"/>
        <v>3121775.6426069313</v>
      </c>
      <c r="AH417" s="727">
        <f t="shared" si="844"/>
        <v>3157656.4934147401</v>
      </c>
      <c r="AI417" s="18"/>
      <c r="AJ417" s="18"/>
      <c r="AK417" s="18"/>
      <c r="AL417" s="18"/>
      <c r="AM417" s="18"/>
      <c r="AN417" s="18"/>
    </row>
    <row r="418" spans="2:40" ht="21.9" customHeight="1" x14ac:dyDescent="0.25">
      <c r="B418" s="229"/>
      <c r="C418" s="690"/>
      <c r="D418" s="690"/>
      <c r="E418" s="114"/>
      <c r="F418" s="114"/>
      <c r="G418" s="114"/>
      <c r="H418" s="122" t="s">
        <v>19</v>
      </c>
      <c r="I418" s="552">
        <f t="shared" ref="I418:AH418" si="845">I354*$D$14</f>
        <v>10642.453703703703</v>
      </c>
      <c r="J418" s="552">
        <f t="shared" si="845"/>
        <v>80659.15662037037</v>
      </c>
      <c r="K418" s="552">
        <f t="shared" si="845"/>
        <v>467299.49969035917</v>
      </c>
      <c r="L418" s="552">
        <f t="shared" si="845"/>
        <v>1076303.4100854197</v>
      </c>
      <c r="M418" s="552">
        <f t="shared" si="845"/>
        <v>1685709.5950425914</v>
      </c>
      <c r="N418" s="552">
        <f t="shared" si="845"/>
        <v>2295687.9641965241</v>
      </c>
      <c r="O418" s="552">
        <f t="shared" si="845"/>
        <v>2911821.213055307</v>
      </c>
      <c r="P418" s="552">
        <f t="shared" si="845"/>
        <v>3576664.254261795</v>
      </c>
      <c r="Q418" s="552">
        <f t="shared" si="845"/>
        <v>4030814.889689778</v>
      </c>
      <c r="R418" s="552">
        <f t="shared" si="845"/>
        <v>4643793.4594994802</v>
      </c>
      <c r="S418" s="552">
        <f t="shared" si="845"/>
        <v>5595492.4283217117</v>
      </c>
      <c r="T418" s="552">
        <f t="shared" si="845"/>
        <v>7228818.1224933704</v>
      </c>
      <c r="U418" s="552">
        <f t="shared" si="845"/>
        <v>10177032.524148274</v>
      </c>
      <c r="V418" s="552">
        <f t="shared" si="845"/>
        <v>11169173.689131888</v>
      </c>
      <c r="W418" s="552">
        <f t="shared" si="845"/>
        <v>11315456.50268591</v>
      </c>
      <c r="X418" s="552">
        <f t="shared" si="845"/>
        <v>11461733.547589464</v>
      </c>
      <c r="Y418" s="552">
        <f t="shared" si="845"/>
        <v>11608012.653019661</v>
      </c>
      <c r="Z418" s="552">
        <f t="shared" si="845"/>
        <v>11754872.101562986</v>
      </c>
      <c r="AA418" s="552">
        <f t="shared" si="845"/>
        <v>11901156.196305973</v>
      </c>
      <c r="AB418" s="552">
        <f t="shared" si="845"/>
        <v>12048021.151408823</v>
      </c>
      <c r="AC418" s="552">
        <f t="shared" si="845"/>
        <v>12194311.425440606</v>
      </c>
      <c r="AD418" s="552">
        <f t="shared" si="845"/>
        <v>12340605.225397745</v>
      </c>
      <c r="AE418" s="552">
        <f t="shared" si="845"/>
        <v>12487481.09769408</v>
      </c>
      <c r="AF418" s="552">
        <f t="shared" si="845"/>
        <v>12633783.580699006</v>
      </c>
      <c r="AG418" s="552">
        <f t="shared" si="845"/>
        <v>12780090.923540536</v>
      </c>
      <c r="AH418" s="727">
        <f t="shared" si="845"/>
        <v>12926981.856213342</v>
      </c>
      <c r="AI418" s="18"/>
      <c r="AJ418" s="18"/>
      <c r="AK418" s="18"/>
      <c r="AL418" s="18"/>
      <c r="AM418" s="18"/>
      <c r="AN418" s="18"/>
    </row>
    <row r="419" spans="2:40" ht="21.9" customHeight="1" x14ac:dyDescent="0.25">
      <c r="B419" s="229"/>
      <c r="C419" s="690"/>
      <c r="D419" s="690"/>
      <c r="E419" s="114"/>
      <c r="F419" s="114"/>
      <c r="G419" s="114"/>
      <c r="H419" s="696" t="s">
        <v>25</v>
      </c>
      <c r="I419" s="552">
        <f t="shared" ref="I419:AH419" si="846">SUM(I417:I418)</f>
        <v>13242.071574074072</v>
      </c>
      <c r="J419" s="552">
        <f t="shared" si="846"/>
        <v>100361.66045990741</v>
      </c>
      <c r="K419" s="552">
        <f t="shared" si="846"/>
        <v>581446.12076397729</v>
      </c>
      <c r="L419" s="552">
        <f t="shared" si="846"/>
        <v>1339210.5982862851</v>
      </c>
      <c r="M419" s="552">
        <f t="shared" si="846"/>
        <v>2097475.6134376219</v>
      </c>
      <c r="N419" s="552">
        <f t="shared" si="846"/>
        <v>2856452.5794508569</v>
      </c>
      <c r="O419" s="552">
        <f t="shared" si="846"/>
        <v>3623087.8693666975</v>
      </c>
      <c r="P419" s="552">
        <f t="shared" si="846"/>
        <v>4450331.2271759519</v>
      </c>
      <c r="Q419" s="552">
        <f t="shared" si="846"/>
        <v>5015416.6282668365</v>
      </c>
      <c r="R419" s="552">
        <f t="shared" si="846"/>
        <v>5778126.6499199057</v>
      </c>
      <c r="S419" s="552">
        <f t="shared" si="846"/>
        <v>6962295.8474547435</v>
      </c>
      <c r="T419" s="552">
        <f t="shared" si="846"/>
        <v>8994591.8149221241</v>
      </c>
      <c r="U419" s="552">
        <f t="shared" si="846"/>
        <v>12662962.588181268</v>
      </c>
      <c r="V419" s="552">
        <f t="shared" si="846"/>
        <v>13897452.742808491</v>
      </c>
      <c r="W419" s="552">
        <f t="shared" si="846"/>
        <v>14079467.862730054</v>
      </c>
      <c r="X419" s="552">
        <f t="shared" si="846"/>
        <v>14261475.804900646</v>
      </c>
      <c r="Y419" s="552">
        <f t="shared" si="846"/>
        <v>14443486.310919955</v>
      </c>
      <c r="Z419" s="552">
        <f t="shared" si="846"/>
        <v>14626218.919685073</v>
      </c>
      <c r="AA419" s="552">
        <f t="shared" si="846"/>
        <v>14808235.633749908</v>
      </c>
      <c r="AB419" s="552">
        <f t="shared" si="846"/>
        <v>14990975.094154447</v>
      </c>
      <c r="AC419" s="552">
        <f t="shared" si="846"/>
        <v>15172999.496914649</v>
      </c>
      <c r="AD419" s="552">
        <f t="shared" si="846"/>
        <v>15355028.286873261</v>
      </c>
      <c r="AE419" s="552">
        <f t="shared" si="846"/>
        <v>15537781.331199473</v>
      </c>
      <c r="AF419" s="552">
        <f t="shared" si="846"/>
        <v>15719820.925202288</v>
      </c>
      <c r="AG419" s="552">
        <f t="shared" si="846"/>
        <v>15901866.566147467</v>
      </c>
      <c r="AH419" s="727">
        <f t="shared" si="846"/>
        <v>16084638.349628083</v>
      </c>
      <c r="AI419" s="18"/>
      <c r="AJ419" s="18"/>
      <c r="AK419" s="18"/>
      <c r="AL419" s="18"/>
      <c r="AM419" s="18"/>
      <c r="AN419" s="18"/>
    </row>
    <row r="420" spans="2:40" ht="21.9" customHeight="1" x14ac:dyDescent="0.25">
      <c r="B420" s="229"/>
      <c r="C420" s="690"/>
      <c r="D420" s="690"/>
      <c r="E420" s="1325" t="s">
        <v>308</v>
      </c>
      <c r="F420" s="217" t="s">
        <v>276</v>
      </c>
      <c r="G420" s="217" t="s">
        <v>320</v>
      </c>
      <c r="H420" s="114" t="s">
        <v>20</v>
      </c>
      <c r="I420" s="552">
        <f t="shared" ref="I420:AH420" si="847">I356*$D$13</f>
        <v>7848.5124087591248</v>
      </c>
      <c r="J420" s="552">
        <f t="shared" si="847"/>
        <v>17443.318828467152</v>
      </c>
      <c r="K420" s="552">
        <f t="shared" si="847"/>
        <v>73725.001311678832</v>
      </c>
      <c r="L420" s="552">
        <f t="shared" si="847"/>
        <v>165729.1880233651</v>
      </c>
      <c r="M420" s="552">
        <f t="shared" si="847"/>
        <v>257784.39006664581</v>
      </c>
      <c r="N420" s="552">
        <f t="shared" si="847"/>
        <v>349843.51639162132</v>
      </c>
      <c r="O420" s="552">
        <f t="shared" si="847"/>
        <v>441847.70343313925</v>
      </c>
      <c r="P420" s="552">
        <f t="shared" si="847"/>
        <v>533957.84757273574</v>
      </c>
      <c r="Q420" s="552">
        <f t="shared" si="847"/>
        <v>604986.89333235496</v>
      </c>
      <c r="R420" s="552">
        <f t="shared" si="847"/>
        <v>676027.73049217672</v>
      </c>
      <c r="S420" s="552">
        <f t="shared" si="847"/>
        <v>747056.84467349411</v>
      </c>
      <c r="T420" s="552">
        <f t="shared" si="847"/>
        <v>818086.07980804692</v>
      </c>
      <c r="U420" s="552">
        <f t="shared" si="847"/>
        <v>889209.76953057898</v>
      </c>
      <c r="V420" s="552">
        <f t="shared" si="847"/>
        <v>924461.7810971546</v>
      </c>
      <c r="W420" s="552">
        <f t="shared" si="847"/>
        <v>934056.73203705903</v>
      </c>
      <c r="X420" s="552">
        <f t="shared" si="847"/>
        <v>943651.69860599213</v>
      </c>
      <c r="Y420" s="552">
        <f t="shared" si="847"/>
        <v>953246.68231389334</v>
      </c>
      <c r="Z420" s="552">
        <f t="shared" si="847"/>
        <v>962869.15517759265</v>
      </c>
      <c r="AA420" s="552">
        <f t="shared" si="847"/>
        <v>972464.17826230777</v>
      </c>
      <c r="AB420" s="552">
        <f t="shared" si="847"/>
        <v>982086.69432516338</v>
      </c>
      <c r="AC420" s="552">
        <f t="shared" si="847"/>
        <v>991681.76449030661</v>
      </c>
      <c r="AD420" s="552">
        <f t="shared" si="847"/>
        <v>1001276.861447164</v>
      </c>
      <c r="AE420" s="552">
        <f t="shared" si="847"/>
        <v>1010899.458374027</v>
      </c>
      <c r="AF420" s="552">
        <f t="shared" si="847"/>
        <v>1020494.6164776504</v>
      </c>
      <c r="AG420" s="552">
        <f t="shared" si="847"/>
        <v>1030089.8092492942</v>
      </c>
      <c r="AH420" s="727">
        <f t="shared" si="847"/>
        <v>1039712.5107997075</v>
      </c>
      <c r="AI420" s="18"/>
      <c r="AJ420" s="18"/>
      <c r="AK420" s="18"/>
      <c r="AL420" s="18"/>
      <c r="AM420" s="18"/>
      <c r="AN420" s="18"/>
    </row>
    <row r="421" spans="2:40" ht="21.9" customHeight="1" x14ac:dyDescent="0.25">
      <c r="B421" s="229"/>
      <c r="C421" s="690"/>
      <c r="D421" s="690"/>
      <c r="E421" s="1325"/>
      <c r="F421" s="114"/>
      <c r="G421" s="114"/>
      <c r="H421" s="122" t="s">
        <v>19</v>
      </c>
      <c r="I421" s="552">
        <f t="shared" ref="I421:AH421" si="848">I357*$D$14</f>
        <v>32130.656934306568</v>
      </c>
      <c r="J421" s="552">
        <f t="shared" si="848"/>
        <v>71410.385036496344</v>
      </c>
      <c r="K421" s="552">
        <f t="shared" si="848"/>
        <v>301819.32591240876</v>
      </c>
      <c r="L421" s="552">
        <f t="shared" si="848"/>
        <v>678470.95182484784</v>
      </c>
      <c r="M421" s="552">
        <f t="shared" si="848"/>
        <v>1055331.4270111981</v>
      </c>
      <c r="N421" s="552">
        <f t="shared" si="848"/>
        <v>1432207.9676303694</v>
      </c>
      <c r="O421" s="552">
        <f t="shared" si="848"/>
        <v>1808859.5948930909</v>
      </c>
      <c r="P421" s="552">
        <f t="shared" si="848"/>
        <v>2185944.9949513194</v>
      </c>
      <c r="Q421" s="552">
        <f t="shared" si="848"/>
        <v>2476727.4748422205</v>
      </c>
      <c r="R421" s="552">
        <f t="shared" si="848"/>
        <v>2767558.2269935133</v>
      </c>
      <c r="S421" s="552">
        <f t="shared" si="848"/>
        <v>3058340.9869927964</v>
      </c>
      <c r="T421" s="552">
        <f t="shared" si="848"/>
        <v>3349124.2421568581</v>
      </c>
      <c r="U421" s="552">
        <f t="shared" si="848"/>
        <v>3640294.1805296824</v>
      </c>
      <c r="V421" s="552">
        <f t="shared" si="848"/>
        <v>3784610.7377190124</v>
      </c>
      <c r="W421" s="552">
        <f t="shared" si="848"/>
        <v>3823891.0574656576</v>
      </c>
      <c r="X421" s="552">
        <f t="shared" si="848"/>
        <v>3863171.4411952505</v>
      </c>
      <c r="Y421" s="552">
        <f t="shared" si="848"/>
        <v>3902451.8950892608</v>
      </c>
      <c r="Z421" s="552">
        <f t="shared" si="848"/>
        <v>3941844.8855492305</v>
      </c>
      <c r="AA421" s="552">
        <f t="shared" si="848"/>
        <v>3981125.500646133</v>
      </c>
      <c r="AB421" s="552">
        <f t="shared" si="848"/>
        <v>4020518.6679571029</v>
      </c>
      <c r="AC421" s="552">
        <f t="shared" si="848"/>
        <v>4059799.4757943624</v>
      </c>
      <c r="AD421" s="552">
        <f t="shared" si="848"/>
        <v>4099080.3933129646</v>
      </c>
      <c r="AE421" s="552">
        <f t="shared" si="848"/>
        <v>4138473.8916693032</v>
      </c>
      <c r="AF421" s="552">
        <f t="shared" si="848"/>
        <v>4177755.0595137826</v>
      </c>
      <c r="AG421" s="552">
        <f t="shared" si="848"/>
        <v>4217036.3692840468</v>
      </c>
      <c r="AH421" s="727">
        <f t="shared" si="848"/>
        <v>4256430.2959538307</v>
      </c>
      <c r="AI421" s="18"/>
      <c r="AJ421" s="18"/>
      <c r="AK421" s="18"/>
      <c r="AL421" s="18"/>
      <c r="AM421" s="18"/>
      <c r="AN421" s="18"/>
    </row>
    <row r="422" spans="2:40" ht="21.9" customHeight="1" x14ac:dyDescent="0.25">
      <c r="B422" s="229"/>
      <c r="C422" s="690"/>
      <c r="D422" s="690"/>
      <c r="E422" s="1325"/>
      <c r="F422" s="114"/>
      <c r="G422" s="114"/>
      <c r="H422" s="695" t="s">
        <v>25</v>
      </c>
      <c r="I422" s="552">
        <f t="shared" ref="I422:AH422" si="849">SUM(I420:I421)</f>
        <v>39979.169343065689</v>
      </c>
      <c r="J422" s="552">
        <f t="shared" si="849"/>
        <v>88853.703864963492</v>
      </c>
      <c r="K422" s="552">
        <f t="shared" si="849"/>
        <v>375544.32722408761</v>
      </c>
      <c r="L422" s="552">
        <f t="shared" si="849"/>
        <v>844200.13984821294</v>
      </c>
      <c r="M422" s="552">
        <f t="shared" si="849"/>
        <v>1313115.8170778439</v>
      </c>
      <c r="N422" s="552">
        <f t="shared" si="849"/>
        <v>1782051.4840219906</v>
      </c>
      <c r="O422" s="552">
        <f t="shared" si="849"/>
        <v>2250707.2983262301</v>
      </c>
      <c r="P422" s="552">
        <f t="shared" si="849"/>
        <v>2719902.8425240554</v>
      </c>
      <c r="Q422" s="552">
        <f t="shared" si="849"/>
        <v>3081714.3681745753</v>
      </c>
      <c r="R422" s="552">
        <f t="shared" si="849"/>
        <v>3443585.9574856898</v>
      </c>
      <c r="S422" s="552">
        <f t="shared" si="849"/>
        <v>3805397.8316662908</v>
      </c>
      <c r="T422" s="552">
        <f t="shared" si="849"/>
        <v>4167210.3219649051</v>
      </c>
      <c r="U422" s="552">
        <f t="shared" si="849"/>
        <v>4529503.9500602614</v>
      </c>
      <c r="V422" s="552">
        <f t="shared" si="849"/>
        <v>4709072.5188161675</v>
      </c>
      <c r="W422" s="552">
        <f t="shared" si="849"/>
        <v>4757947.7895027166</v>
      </c>
      <c r="X422" s="552">
        <f t="shared" si="849"/>
        <v>4806823.1398012424</v>
      </c>
      <c r="Y422" s="552">
        <f t="shared" si="849"/>
        <v>4855698.5774031542</v>
      </c>
      <c r="Z422" s="552">
        <f t="shared" si="849"/>
        <v>4904714.0407268228</v>
      </c>
      <c r="AA422" s="552">
        <f t="shared" si="849"/>
        <v>4953589.6789084412</v>
      </c>
      <c r="AB422" s="552">
        <f t="shared" si="849"/>
        <v>5002605.3622822659</v>
      </c>
      <c r="AC422" s="552">
        <f t="shared" si="849"/>
        <v>5051481.2402846692</v>
      </c>
      <c r="AD422" s="552">
        <f t="shared" si="849"/>
        <v>5100357.2547601284</v>
      </c>
      <c r="AE422" s="552">
        <f t="shared" si="849"/>
        <v>5149373.3500433303</v>
      </c>
      <c r="AF422" s="552">
        <f t="shared" si="849"/>
        <v>5198249.6759914327</v>
      </c>
      <c r="AG422" s="552">
        <f t="shared" si="849"/>
        <v>5247126.1785333408</v>
      </c>
      <c r="AH422" s="727">
        <f t="shared" si="849"/>
        <v>5296142.8067535385</v>
      </c>
      <c r="AI422" s="18"/>
      <c r="AJ422" s="18"/>
      <c r="AK422" s="18"/>
      <c r="AL422" s="18"/>
      <c r="AM422" s="18"/>
      <c r="AN422" s="18"/>
    </row>
    <row r="423" spans="2:40" ht="21.9" customHeight="1" x14ac:dyDescent="0.25">
      <c r="B423" s="229"/>
      <c r="C423" s="690"/>
      <c r="D423" s="690"/>
      <c r="E423" s="1325"/>
      <c r="F423" s="114" t="s">
        <v>320</v>
      </c>
      <c r="G423" s="114" t="s">
        <v>282</v>
      </c>
      <c r="H423" s="114" t="s">
        <v>20</v>
      </c>
      <c r="I423" s="552">
        <f t="shared" ref="I423:AH423" si="850">I359*$D$13</f>
        <v>0</v>
      </c>
      <c r="J423" s="552">
        <f t="shared" si="850"/>
        <v>5339.3139231143568</v>
      </c>
      <c r="K423" s="552">
        <f t="shared" si="850"/>
        <v>15291.111383163019</v>
      </c>
      <c r="L423" s="552">
        <f t="shared" si="850"/>
        <v>34373.461219660901</v>
      </c>
      <c r="M423" s="552">
        <f t="shared" si="850"/>
        <v>53466.392013822828</v>
      </c>
      <c r="N423" s="552">
        <f t="shared" si="850"/>
        <v>72560.136733077001</v>
      </c>
      <c r="O423" s="552">
        <f t="shared" si="850"/>
        <v>91642.486637984432</v>
      </c>
      <c r="P423" s="552">
        <f t="shared" si="850"/>
        <v>110746.81282990075</v>
      </c>
      <c r="Q423" s="552">
        <f t="shared" si="850"/>
        <v>125478.76306152547</v>
      </c>
      <c r="R423" s="552">
        <f t="shared" si="850"/>
        <v>140213.15891689586</v>
      </c>
      <c r="S423" s="552">
        <f t="shared" si="850"/>
        <v>154945.12333968765</v>
      </c>
      <c r="T423" s="552">
        <f t="shared" si="850"/>
        <v>169677.11284907642</v>
      </c>
      <c r="U423" s="552">
        <f t="shared" si="850"/>
        <v>184428.69293967562</v>
      </c>
      <c r="V423" s="552">
        <f t="shared" si="850"/>
        <v>191740.22126459502</v>
      </c>
      <c r="W423" s="552">
        <f t="shared" si="850"/>
        <v>193730.28516324188</v>
      </c>
      <c r="X423" s="552">
        <f t="shared" si="850"/>
        <v>195720.35230346498</v>
      </c>
      <c r="Y423" s="552">
        <f t="shared" si="850"/>
        <v>197710.42299843713</v>
      </c>
      <c r="Z423" s="552">
        <f t="shared" si="850"/>
        <v>199706.19514794517</v>
      </c>
      <c r="AA423" s="552">
        <f t="shared" si="850"/>
        <v>201696.27400996009</v>
      </c>
      <c r="AB423" s="552">
        <f t="shared" si="850"/>
        <v>203692.05511929316</v>
      </c>
      <c r="AC423" s="552">
        <f t="shared" si="850"/>
        <v>205682.14374613768</v>
      </c>
      <c r="AD423" s="552">
        <f t="shared" si="850"/>
        <v>207672.2379297821</v>
      </c>
      <c r="AE423" s="552">
        <f t="shared" si="850"/>
        <v>209668.03581090935</v>
      </c>
      <c r="AF423" s="552">
        <f t="shared" si="850"/>
        <v>211658.14267684598</v>
      </c>
      <c r="AG423" s="552">
        <f t="shared" si="850"/>
        <v>213648.25673318695</v>
      </c>
      <c r="AH423" s="727">
        <f t="shared" si="850"/>
        <v>215644.07631401342</v>
      </c>
      <c r="AI423" s="18"/>
      <c r="AJ423" s="18"/>
      <c r="AK423" s="18"/>
      <c r="AL423" s="18"/>
      <c r="AM423" s="18"/>
      <c r="AN423" s="18"/>
    </row>
    <row r="424" spans="2:40" ht="21.9" customHeight="1" x14ac:dyDescent="0.25">
      <c r="B424" s="229"/>
      <c r="C424" s="690"/>
      <c r="D424" s="690"/>
      <c r="E424" s="1325"/>
      <c r="F424" s="114"/>
      <c r="G424" s="114"/>
      <c r="H424" s="122" t="s">
        <v>19</v>
      </c>
      <c r="I424" s="552">
        <f t="shared" ref="I424:AH424" si="851">I360*$D$14</f>
        <v>0</v>
      </c>
      <c r="J424" s="552">
        <f t="shared" si="851"/>
        <v>21858.366909975673</v>
      </c>
      <c r="K424" s="552">
        <f t="shared" si="851"/>
        <v>62599.563892944047</v>
      </c>
      <c r="L424" s="552">
        <f t="shared" si="851"/>
        <v>140719.9011192277</v>
      </c>
      <c r="M424" s="552">
        <f t="shared" si="851"/>
        <v>218883.5552319522</v>
      </c>
      <c r="N424" s="552">
        <f t="shared" si="851"/>
        <v>297050.54143444699</v>
      </c>
      <c r="O424" s="552">
        <f t="shared" si="851"/>
        <v>375170.87894078926</v>
      </c>
      <c r="P424" s="552">
        <f t="shared" si="851"/>
        <v>453381.18413805147</v>
      </c>
      <c r="Q424" s="552">
        <f t="shared" si="851"/>
        <v>513691.62441171985</v>
      </c>
      <c r="R424" s="552">
        <f t="shared" si="851"/>
        <v>574012.07670976559</v>
      </c>
      <c r="S424" s="552">
        <f t="shared" si="851"/>
        <v>634322.57507998729</v>
      </c>
      <c r="T424" s="552">
        <f t="shared" si="851"/>
        <v>694633.17615105212</v>
      </c>
      <c r="U424" s="552">
        <f t="shared" si="851"/>
        <v>755023.97818393423</v>
      </c>
      <c r="V424" s="552">
        <f t="shared" si="851"/>
        <v>784956.30115653586</v>
      </c>
      <c r="W424" s="552">
        <f t="shared" si="851"/>
        <v>793103.33043732157</v>
      </c>
      <c r="X424" s="552">
        <f t="shared" si="851"/>
        <v>801250.37298864441</v>
      </c>
      <c r="Y424" s="552">
        <f t="shared" si="851"/>
        <v>809397.4300925876</v>
      </c>
      <c r="Z424" s="552">
        <f t="shared" si="851"/>
        <v>817567.82811391458</v>
      </c>
      <c r="AA424" s="552">
        <f t="shared" si="851"/>
        <v>825714.91865253123</v>
      </c>
      <c r="AB424" s="552">
        <f t="shared" si="851"/>
        <v>833885.35335406591</v>
      </c>
      <c r="AC424" s="552">
        <f t="shared" si="851"/>
        <v>842032.4838684604</v>
      </c>
      <c r="AD424" s="552">
        <f t="shared" si="851"/>
        <v>850179.63713157771</v>
      </c>
      <c r="AE424" s="552">
        <f t="shared" si="851"/>
        <v>858350.14049437409</v>
      </c>
      <c r="AF424" s="552">
        <f t="shared" si="851"/>
        <v>866497.3456769326</v>
      </c>
      <c r="AG424" s="552">
        <f t="shared" si="851"/>
        <v>874644.58029595041</v>
      </c>
      <c r="AH424" s="727">
        <f t="shared" si="851"/>
        <v>882815.172494128</v>
      </c>
      <c r="AI424" s="18"/>
      <c r="AJ424" s="18"/>
      <c r="AK424" s="18"/>
      <c r="AL424" s="18"/>
      <c r="AM424" s="18"/>
      <c r="AN424" s="18"/>
    </row>
    <row r="425" spans="2:40" ht="21.9" customHeight="1" x14ac:dyDescent="0.25">
      <c r="B425" s="229"/>
      <c r="C425" s="690"/>
      <c r="D425" s="690"/>
      <c r="E425" s="1325"/>
      <c r="F425" s="114"/>
      <c r="G425" s="114"/>
      <c r="H425" s="695" t="s">
        <v>25</v>
      </c>
      <c r="I425" s="552">
        <f t="shared" ref="I425:AH425" si="852">SUM(I423:I424)</f>
        <v>0</v>
      </c>
      <c r="J425" s="552">
        <f t="shared" si="852"/>
        <v>27197.680833090031</v>
      </c>
      <c r="K425" s="552">
        <f t="shared" si="852"/>
        <v>77890.675276107067</v>
      </c>
      <c r="L425" s="552">
        <f t="shared" si="852"/>
        <v>175093.3623388886</v>
      </c>
      <c r="M425" s="552">
        <f t="shared" si="852"/>
        <v>272349.94724577502</v>
      </c>
      <c r="N425" s="552">
        <f t="shared" si="852"/>
        <v>369610.67816752399</v>
      </c>
      <c r="O425" s="552">
        <f t="shared" si="852"/>
        <v>466813.36557877366</v>
      </c>
      <c r="P425" s="552">
        <f t="shared" si="852"/>
        <v>564127.99696795223</v>
      </c>
      <c r="Q425" s="552">
        <f t="shared" si="852"/>
        <v>639170.38747324538</v>
      </c>
      <c r="R425" s="552">
        <f t="shared" si="852"/>
        <v>714225.23562666145</v>
      </c>
      <c r="S425" s="552">
        <f t="shared" si="852"/>
        <v>789267.698419675</v>
      </c>
      <c r="T425" s="552">
        <f t="shared" si="852"/>
        <v>864310.28900012851</v>
      </c>
      <c r="U425" s="552">
        <f t="shared" si="852"/>
        <v>939452.67112360988</v>
      </c>
      <c r="V425" s="552">
        <f t="shared" si="852"/>
        <v>976696.52242113091</v>
      </c>
      <c r="W425" s="552">
        <f t="shared" si="852"/>
        <v>986833.61560056347</v>
      </c>
      <c r="X425" s="552">
        <f t="shared" si="852"/>
        <v>996970.72529210942</v>
      </c>
      <c r="Y425" s="552">
        <f t="shared" si="852"/>
        <v>1007107.8530910248</v>
      </c>
      <c r="Z425" s="552">
        <f t="shared" si="852"/>
        <v>1017274.0232618598</v>
      </c>
      <c r="AA425" s="552">
        <f t="shared" si="852"/>
        <v>1027411.1926624913</v>
      </c>
      <c r="AB425" s="552">
        <f t="shared" si="852"/>
        <v>1037577.4084733591</v>
      </c>
      <c r="AC425" s="552">
        <f t="shared" si="852"/>
        <v>1047714.627614598</v>
      </c>
      <c r="AD425" s="552">
        <f t="shared" si="852"/>
        <v>1057851.8750613597</v>
      </c>
      <c r="AE425" s="552">
        <f t="shared" si="852"/>
        <v>1068018.1763052833</v>
      </c>
      <c r="AF425" s="552">
        <f t="shared" si="852"/>
        <v>1078155.4883537786</v>
      </c>
      <c r="AG425" s="552">
        <f t="shared" si="852"/>
        <v>1088292.8370291374</v>
      </c>
      <c r="AH425" s="727">
        <f t="shared" si="852"/>
        <v>1098459.2488081413</v>
      </c>
      <c r="AI425" s="18"/>
      <c r="AJ425" s="18"/>
      <c r="AK425" s="18"/>
      <c r="AL425" s="18"/>
      <c r="AM425" s="18"/>
      <c r="AN425" s="18"/>
    </row>
    <row r="426" spans="2:40" ht="21.9" customHeight="1" x14ac:dyDescent="0.25">
      <c r="B426" s="229"/>
      <c r="C426" s="690"/>
      <c r="D426" s="690"/>
      <c r="E426" s="1325"/>
      <c r="F426" s="114" t="s">
        <v>282</v>
      </c>
      <c r="G426" s="114" t="s">
        <v>321</v>
      </c>
      <c r="H426" s="114" t="s">
        <v>20</v>
      </c>
      <c r="I426" s="552">
        <f t="shared" ref="I426:AH426" si="853">I362*$D$13</f>
        <v>0</v>
      </c>
      <c r="J426" s="552">
        <f t="shared" si="853"/>
        <v>13920.354156690999</v>
      </c>
      <c r="K426" s="552">
        <f t="shared" si="853"/>
        <v>39866.111820389291</v>
      </c>
      <c r="L426" s="552">
        <f t="shared" si="853"/>
        <v>89616.523894115904</v>
      </c>
      <c r="M426" s="552">
        <f t="shared" si="853"/>
        <v>139394.52203603808</v>
      </c>
      <c r="N426" s="552">
        <f t="shared" si="853"/>
        <v>189174.64219695071</v>
      </c>
      <c r="O426" s="552">
        <f t="shared" si="853"/>
        <v>238925.05444903084</v>
      </c>
      <c r="P426" s="552">
        <f t="shared" si="853"/>
        <v>288732.76202081272</v>
      </c>
      <c r="Q426" s="552">
        <f t="shared" si="853"/>
        <v>327141.06083897717</v>
      </c>
      <c r="R426" s="552">
        <f t="shared" si="853"/>
        <v>365555.73574762139</v>
      </c>
      <c r="S426" s="552">
        <f t="shared" si="853"/>
        <v>403964.07156418561</v>
      </c>
      <c r="T426" s="552">
        <f t="shared" si="853"/>
        <v>442372.47278509184</v>
      </c>
      <c r="U426" s="552">
        <f t="shared" si="853"/>
        <v>480831.94944986852</v>
      </c>
      <c r="V426" s="552">
        <f t="shared" si="853"/>
        <v>499894.14829697984</v>
      </c>
      <c r="W426" s="552">
        <f t="shared" si="853"/>
        <v>505082.5291755948</v>
      </c>
      <c r="X426" s="552">
        <f t="shared" si="853"/>
        <v>510270.91850546241</v>
      </c>
      <c r="Y426" s="552">
        <f t="shared" si="853"/>
        <v>515459.31710306817</v>
      </c>
      <c r="Z426" s="552">
        <f t="shared" si="853"/>
        <v>520662.58020714269</v>
      </c>
      <c r="AA426" s="552">
        <f t="shared" si="853"/>
        <v>525851.00009739597</v>
      </c>
      <c r="AB426" s="552">
        <f t="shared" si="853"/>
        <v>531054.28656101425</v>
      </c>
      <c r="AC426" s="552">
        <f t="shared" si="853"/>
        <v>536242.73190957319</v>
      </c>
      <c r="AD426" s="552">
        <f t="shared" si="853"/>
        <v>541431.19174550334</v>
      </c>
      <c r="AE426" s="552">
        <f t="shared" si="853"/>
        <v>546634.52193558495</v>
      </c>
      <c r="AF426" s="552">
        <f t="shared" si="853"/>
        <v>551823.01483606268</v>
      </c>
      <c r="AG426" s="552">
        <f t="shared" si="853"/>
        <v>557011.52648295171</v>
      </c>
      <c r="AH426" s="727">
        <f t="shared" si="853"/>
        <v>562214.91324724921</v>
      </c>
      <c r="AI426" s="18"/>
      <c r="AJ426" s="18"/>
      <c r="AK426" s="18"/>
      <c r="AL426" s="18"/>
      <c r="AM426" s="18"/>
      <c r="AN426" s="18"/>
    </row>
    <row r="427" spans="2:40" ht="21.9" customHeight="1" x14ac:dyDescent="0.25">
      <c r="B427" s="229"/>
      <c r="C427" s="690"/>
      <c r="D427" s="690"/>
      <c r="E427" s="1325"/>
      <c r="F427" s="114"/>
      <c r="G427" s="114"/>
      <c r="H427" s="122" t="s">
        <v>19</v>
      </c>
      <c r="I427" s="552">
        <f t="shared" ref="I427:AH427" si="854">I363*$D$14</f>
        <v>0</v>
      </c>
      <c r="J427" s="552">
        <f t="shared" si="854"/>
        <v>56987.88515815085</v>
      </c>
      <c r="K427" s="552">
        <f t="shared" si="854"/>
        <v>163206.00586374695</v>
      </c>
      <c r="L427" s="552">
        <f t="shared" si="854"/>
        <v>366876.8850608436</v>
      </c>
      <c r="M427" s="552">
        <f t="shared" si="854"/>
        <v>570660.69756901811</v>
      </c>
      <c r="N427" s="552">
        <f t="shared" si="854"/>
        <v>774453.19731123664</v>
      </c>
      <c r="O427" s="552">
        <f t="shared" si="854"/>
        <v>978124.07723848626</v>
      </c>
      <c r="P427" s="552">
        <f t="shared" si="854"/>
        <v>1182029.5157884913</v>
      </c>
      <c r="Q427" s="552">
        <f t="shared" si="854"/>
        <v>1339267.4493591266</v>
      </c>
      <c r="R427" s="552">
        <f t="shared" si="854"/>
        <v>1496531.4857076032</v>
      </c>
      <c r="S427" s="552">
        <f t="shared" si="854"/>
        <v>1653769.5707442523</v>
      </c>
      <c r="T427" s="552">
        <f t="shared" si="854"/>
        <v>1811007.9235366709</v>
      </c>
      <c r="U427" s="552">
        <f t="shared" si="854"/>
        <v>1968455.3716938279</v>
      </c>
      <c r="V427" s="552">
        <f t="shared" si="854"/>
        <v>2046493.2137295397</v>
      </c>
      <c r="W427" s="552">
        <f t="shared" si="854"/>
        <v>2067733.6829258739</v>
      </c>
      <c r="X427" s="552">
        <f t="shared" si="854"/>
        <v>2088974.1867203948</v>
      </c>
      <c r="Y427" s="552">
        <f t="shared" si="854"/>
        <v>2110214.7284556744</v>
      </c>
      <c r="Z427" s="552">
        <f t="shared" si="854"/>
        <v>2131516.1232969915</v>
      </c>
      <c r="AA427" s="552">
        <f t="shared" si="854"/>
        <v>2152756.7522012424</v>
      </c>
      <c r="AB427" s="552">
        <f t="shared" si="854"/>
        <v>2174058.2426731</v>
      </c>
      <c r="AC427" s="552">
        <f t="shared" si="854"/>
        <v>2195298.9757999144</v>
      </c>
      <c r="AD427" s="552">
        <f t="shared" si="854"/>
        <v>2216539.768235899</v>
      </c>
      <c r="AE427" s="552">
        <f t="shared" si="854"/>
        <v>2237841.4377174745</v>
      </c>
      <c r="AF427" s="552">
        <f t="shared" si="854"/>
        <v>2259082.3655148596</v>
      </c>
      <c r="AG427" s="552">
        <f t="shared" si="854"/>
        <v>2280323.3700572997</v>
      </c>
      <c r="AH427" s="727">
        <f t="shared" si="854"/>
        <v>2301625.2711454048</v>
      </c>
      <c r="AI427" s="18"/>
      <c r="AJ427" s="18"/>
      <c r="AK427" s="18"/>
      <c r="AL427" s="18"/>
      <c r="AM427" s="18"/>
      <c r="AN427" s="18"/>
    </row>
    <row r="428" spans="2:40" ht="21.9" customHeight="1" x14ac:dyDescent="0.25">
      <c r="B428" s="229"/>
      <c r="C428" s="690"/>
      <c r="D428" s="690"/>
      <c r="E428" s="1325"/>
      <c r="F428" s="114"/>
      <c r="G428" s="114"/>
      <c r="H428" s="695" t="s">
        <v>25</v>
      </c>
      <c r="I428" s="552">
        <f t="shared" ref="I428:AH428" si="855">SUM(I426:I427)</f>
        <v>0</v>
      </c>
      <c r="J428" s="552">
        <f t="shared" si="855"/>
        <v>70908.239314841849</v>
      </c>
      <c r="K428" s="552">
        <f t="shared" si="855"/>
        <v>203072.11768413623</v>
      </c>
      <c r="L428" s="552">
        <f t="shared" si="855"/>
        <v>456493.40895495948</v>
      </c>
      <c r="M428" s="552">
        <f t="shared" si="855"/>
        <v>710055.21960505622</v>
      </c>
      <c r="N428" s="552">
        <f t="shared" si="855"/>
        <v>963627.83950818738</v>
      </c>
      <c r="O428" s="552">
        <f t="shared" si="855"/>
        <v>1217049.131687517</v>
      </c>
      <c r="P428" s="552">
        <f t="shared" si="855"/>
        <v>1470762.2778093042</v>
      </c>
      <c r="Q428" s="552">
        <f t="shared" si="855"/>
        <v>1666408.5101981037</v>
      </c>
      <c r="R428" s="552">
        <f t="shared" si="855"/>
        <v>1862087.2214552246</v>
      </c>
      <c r="S428" s="552">
        <f t="shared" si="855"/>
        <v>2057733.642308438</v>
      </c>
      <c r="T428" s="552">
        <f t="shared" si="855"/>
        <v>2253380.3963217628</v>
      </c>
      <c r="U428" s="552">
        <f t="shared" si="855"/>
        <v>2449287.3211436966</v>
      </c>
      <c r="V428" s="552">
        <f t="shared" si="855"/>
        <v>2546387.3620265196</v>
      </c>
      <c r="W428" s="552">
        <f t="shared" si="855"/>
        <v>2572816.2121014688</v>
      </c>
      <c r="X428" s="552">
        <f t="shared" si="855"/>
        <v>2599245.1052258573</v>
      </c>
      <c r="Y428" s="552">
        <f t="shared" si="855"/>
        <v>2625674.0455587427</v>
      </c>
      <c r="Z428" s="552">
        <f t="shared" si="855"/>
        <v>2652178.703504134</v>
      </c>
      <c r="AA428" s="552">
        <f t="shared" si="855"/>
        <v>2678607.7522986382</v>
      </c>
      <c r="AB428" s="552">
        <f t="shared" si="855"/>
        <v>2705112.5292341141</v>
      </c>
      <c r="AC428" s="552">
        <f t="shared" si="855"/>
        <v>2731541.7077094875</v>
      </c>
      <c r="AD428" s="552">
        <f t="shared" si="855"/>
        <v>2757970.9599814024</v>
      </c>
      <c r="AE428" s="552">
        <f t="shared" si="855"/>
        <v>2784475.9596530595</v>
      </c>
      <c r="AF428" s="552">
        <f t="shared" si="855"/>
        <v>2810905.3803509222</v>
      </c>
      <c r="AG428" s="552">
        <f t="shared" si="855"/>
        <v>2837334.8965402516</v>
      </c>
      <c r="AH428" s="727">
        <f t="shared" si="855"/>
        <v>2863840.1843926539</v>
      </c>
      <c r="AI428" s="18"/>
      <c r="AJ428" s="18"/>
      <c r="AK428" s="18"/>
      <c r="AL428" s="18"/>
      <c r="AM428" s="18"/>
      <c r="AN428" s="18"/>
    </row>
    <row r="429" spans="2:40" ht="21.9" customHeight="1" x14ac:dyDescent="0.25">
      <c r="B429" s="229"/>
      <c r="C429" s="690"/>
      <c r="D429" s="690"/>
      <c r="E429" s="1325"/>
      <c r="F429" s="114" t="s">
        <v>321</v>
      </c>
      <c r="G429" s="114" t="s">
        <v>274</v>
      </c>
      <c r="H429" s="114" t="s">
        <v>20</v>
      </c>
      <c r="I429" s="552">
        <f t="shared" ref="I429:AH429" si="856">I365*$D$13</f>
        <v>18313.19562043796</v>
      </c>
      <c r="J429" s="552">
        <f t="shared" si="856"/>
        <v>27299.480711386859</v>
      </c>
      <c r="K429" s="552">
        <f t="shared" si="856"/>
        <v>38435.73496817518</v>
      </c>
      <c r="L429" s="552">
        <f t="shared" si="856"/>
        <v>66588.000155620452</v>
      </c>
      <c r="M429" s="552">
        <f t="shared" si="856"/>
        <v>94743.31754233595</v>
      </c>
      <c r="N429" s="552">
        <f t="shared" si="856"/>
        <v>122912.67504569684</v>
      </c>
      <c r="O429" s="552">
        <f t="shared" si="856"/>
        <v>151064.94023317157</v>
      </c>
      <c r="P429" s="552">
        <f t="shared" si="856"/>
        <v>179208.04882298916</v>
      </c>
      <c r="Q429" s="552">
        <f t="shared" si="856"/>
        <v>250843.77613994703</v>
      </c>
      <c r="R429" s="552">
        <f t="shared" si="856"/>
        <v>322451.42334430211</v>
      </c>
      <c r="S429" s="552">
        <f t="shared" si="856"/>
        <v>394053.57757461449</v>
      </c>
      <c r="T429" s="552">
        <f t="shared" si="856"/>
        <v>465689.31149187818</v>
      </c>
      <c r="U429" s="552">
        <f t="shared" si="856"/>
        <v>537315.91226633964</v>
      </c>
      <c r="V429" s="552">
        <f t="shared" si="856"/>
        <v>591914.33528594661</v>
      </c>
      <c r="W429" s="552">
        <f t="shared" si="856"/>
        <v>600900.64020061877</v>
      </c>
      <c r="X429" s="552">
        <f t="shared" si="856"/>
        <v>609886.94831158035</v>
      </c>
      <c r="Y429" s="552">
        <f t="shared" si="856"/>
        <v>618873.26007644518</v>
      </c>
      <c r="Z429" s="552">
        <f t="shared" si="856"/>
        <v>627832.1061145321</v>
      </c>
      <c r="AA429" s="552">
        <f t="shared" si="856"/>
        <v>636818.42677687062</v>
      </c>
      <c r="AB429" s="552">
        <f t="shared" si="856"/>
        <v>645777.28290185798</v>
      </c>
      <c r="AC429" s="552">
        <f t="shared" si="856"/>
        <v>654763.61504905322</v>
      </c>
      <c r="AD429" s="552">
        <f t="shared" si="856"/>
        <v>663749.95411771489</v>
      </c>
      <c r="AE429" s="552">
        <f t="shared" si="856"/>
        <v>672708.8310157496</v>
      </c>
      <c r="AF429" s="552">
        <f t="shared" si="856"/>
        <v>681695.18671149912</v>
      </c>
      <c r="AG429" s="552">
        <f t="shared" si="856"/>
        <v>690681.55235466722</v>
      </c>
      <c r="AH429" s="727">
        <f t="shared" si="856"/>
        <v>699640.45909700659</v>
      </c>
      <c r="AI429" s="18"/>
      <c r="AJ429" s="18"/>
      <c r="AK429" s="18"/>
      <c r="AL429" s="18"/>
      <c r="AM429" s="18"/>
      <c r="AN429" s="18"/>
    </row>
    <row r="430" spans="2:40" ht="21.9" customHeight="1" x14ac:dyDescent="0.25">
      <c r="B430" s="229"/>
      <c r="C430" s="690"/>
      <c r="D430" s="690"/>
      <c r="E430" s="1325"/>
      <c r="F430" s="114"/>
      <c r="G430" s="114"/>
      <c r="H430" s="114" t="s">
        <v>19</v>
      </c>
      <c r="I430" s="552">
        <f t="shared" ref="I430:AH430" si="857">I366*$D$14</f>
        <v>74971.53284671533</v>
      </c>
      <c r="J430" s="552">
        <f t="shared" si="857"/>
        <v>111760.06401459854</v>
      </c>
      <c r="K430" s="552">
        <f t="shared" si="857"/>
        <v>157350.25313868612</v>
      </c>
      <c r="L430" s="552">
        <f t="shared" si="857"/>
        <v>272601.49153284676</v>
      </c>
      <c r="M430" s="552">
        <f t="shared" si="857"/>
        <v>387865.22518248251</v>
      </c>
      <c r="N430" s="552">
        <f t="shared" si="857"/>
        <v>503186.43700731319</v>
      </c>
      <c r="O430" s="552">
        <f t="shared" si="857"/>
        <v>618437.67540159449</v>
      </c>
      <c r="P430" s="552">
        <f t="shared" si="857"/>
        <v>733651.428030079</v>
      </c>
      <c r="Q430" s="552">
        <f t="shared" si="857"/>
        <v>1026917.5731013351</v>
      </c>
      <c r="R430" s="552">
        <f t="shared" si="857"/>
        <v>1320068.7623162803</v>
      </c>
      <c r="S430" s="552">
        <f t="shared" si="857"/>
        <v>1613197.4641023569</v>
      </c>
      <c r="T430" s="552">
        <f t="shared" si="857"/>
        <v>1906463.6361942952</v>
      </c>
      <c r="U430" s="552">
        <f t="shared" si="857"/>
        <v>2199692.4185411679</v>
      </c>
      <c r="V430" s="552">
        <f t="shared" si="857"/>
        <v>2423210.3424268863</v>
      </c>
      <c r="W430" s="552">
        <f t="shared" si="857"/>
        <v>2459998.9547501807</v>
      </c>
      <c r="X430" s="552">
        <f t="shared" si="857"/>
        <v>2496787.5801586141</v>
      </c>
      <c r="Y430" s="552">
        <f t="shared" si="857"/>
        <v>2533576.2205255912</v>
      </c>
      <c r="Z430" s="552">
        <f t="shared" si="857"/>
        <v>2570252.4202415771</v>
      </c>
      <c r="AA430" s="552">
        <f t="shared" si="857"/>
        <v>2607041.0970335044</v>
      </c>
      <c r="AB430" s="552">
        <f t="shared" si="857"/>
        <v>2643717.3380437791</v>
      </c>
      <c r="AC430" s="552">
        <f t="shared" si="857"/>
        <v>2680506.0618530223</v>
      </c>
      <c r="AD430" s="552">
        <f t="shared" si="857"/>
        <v>2717294.8139977329</v>
      </c>
      <c r="AE430" s="552">
        <f t="shared" si="857"/>
        <v>2753971.1400498119</v>
      </c>
      <c r="AF430" s="552">
        <f t="shared" si="857"/>
        <v>2790759.9602633775</v>
      </c>
      <c r="AG430" s="552">
        <f t="shared" si="857"/>
        <v>2827548.8212002143</v>
      </c>
      <c r="AH430" s="727">
        <f t="shared" si="857"/>
        <v>2864225.2694304925</v>
      </c>
      <c r="AI430" s="18"/>
      <c r="AJ430" s="18"/>
      <c r="AK430" s="18"/>
      <c r="AL430" s="18"/>
      <c r="AM430" s="18"/>
      <c r="AN430" s="18"/>
    </row>
    <row r="431" spans="2:40" ht="21.9" customHeight="1" x14ac:dyDescent="0.25">
      <c r="B431" s="229"/>
      <c r="C431" s="690"/>
      <c r="D431" s="690"/>
      <c r="E431" s="1325"/>
      <c r="F431" s="250"/>
      <c r="G431" s="250"/>
      <c r="H431" s="696" t="s">
        <v>25</v>
      </c>
      <c r="I431" s="562">
        <f t="shared" ref="I431:AH431" si="858">SUM(I429:I430)</f>
        <v>93284.728467153298</v>
      </c>
      <c r="J431" s="562">
        <f t="shared" si="858"/>
        <v>139059.54472598538</v>
      </c>
      <c r="K431" s="562">
        <f t="shared" si="858"/>
        <v>195785.9881068613</v>
      </c>
      <c r="L431" s="562">
        <f t="shared" si="858"/>
        <v>339189.49168846721</v>
      </c>
      <c r="M431" s="562">
        <f t="shared" si="858"/>
        <v>482608.54272481846</v>
      </c>
      <c r="N431" s="562">
        <f t="shared" si="858"/>
        <v>626099.11205301003</v>
      </c>
      <c r="O431" s="562">
        <f t="shared" si="858"/>
        <v>769502.61563476606</v>
      </c>
      <c r="P431" s="562">
        <f t="shared" si="858"/>
        <v>912859.47685306822</v>
      </c>
      <c r="Q431" s="562">
        <f t="shared" si="858"/>
        <v>1277761.3492412821</v>
      </c>
      <c r="R431" s="562">
        <f t="shared" si="858"/>
        <v>1642520.1856605825</v>
      </c>
      <c r="S431" s="562">
        <f t="shared" si="858"/>
        <v>2007251.0416769714</v>
      </c>
      <c r="T431" s="562">
        <f t="shared" si="858"/>
        <v>2372152.9476861735</v>
      </c>
      <c r="U431" s="562">
        <f t="shared" si="858"/>
        <v>2737008.3308075075</v>
      </c>
      <c r="V431" s="562">
        <f t="shared" si="858"/>
        <v>3015124.677712833</v>
      </c>
      <c r="W431" s="562">
        <f t="shared" si="858"/>
        <v>3060899.5949507994</v>
      </c>
      <c r="X431" s="562">
        <f t="shared" si="858"/>
        <v>3106674.5284701944</v>
      </c>
      <c r="Y431" s="562">
        <f t="shared" si="858"/>
        <v>3152449.4806020362</v>
      </c>
      <c r="Z431" s="562">
        <f t="shared" si="858"/>
        <v>3198084.5263561094</v>
      </c>
      <c r="AA431" s="562">
        <f t="shared" si="858"/>
        <v>3243859.523810375</v>
      </c>
      <c r="AB431" s="562">
        <f t="shared" si="858"/>
        <v>3289494.6209456371</v>
      </c>
      <c r="AC431" s="562">
        <f t="shared" si="858"/>
        <v>3335269.6769020753</v>
      </c>
      <c r="AD431" s="562">
        <f t="shared" si="858"/>
        <v>3381044.7681154478</v>
      </c>
      <c r="AE431" s="562">
        <f t="shared" si="858"/>
        <v>3426679.9710655613</v>
      </c>
      <c r="AF431" s="562">
        <f t="shared" si="858"/>
        <v>3472455.1469748765</v>
      </c>
      <c r="AG431" s="562">
        <f t="shared" si="858"/>
        <v>3518230.3735548817</v>
      </c>
      <c r="AH431" s="729">
        <f t="shared" si="858"/>
        <v>3563865.7285274994</v>
      </c>
      <c r="AI431" s="18"/>
      <c r="AJ431" s="18"/>
      <c r="AK431" s="18"/>
      <c r="AL431" s="18"/>
      <c r="AM431" s="18"/>
      <c r="AN431" s="18"/>
    </row>
    <row r="432" spans="2:40" ht="21.9" customHeight="1" x14ac:dyDescent="0.25">
      <c r="B432" s="229"/>
      <c r="C432" s="690"/>
      <c r="D432" s="690"/>
      <c r="E432" s="114" t="s">
        <v>282</v>
      </c>
      <c r="F432" s="114" t="s">
        <v>308</v>
      </c>
      <c r="G432" s="114" t="s">
        <v>324</v>
      </c>
      <c r="H432" s="114" t="s">
        <v>20</v>
      </c>
      <c r="I432" s="552">
        <f t="shared" ref="I432:AH432" si="859">I368*$D$13</f>
        <v>154711.68970770677</v>
      </c>
      <c r="J432" s="552">
        <f t="shared" si="859"/>
        <v>164224.7450244127</v>
      </c>
      <c r="K432" s="552">
        <f t="shared" si="859"/>
        <v>176813.99362482672</v>
      </c>
      <c r="L432" s="552">
        <f t="shared" si="859"/>
        <v>193544.38945425604</v>
      </c>
      <c r="M432" s="552">
        <f t="shared" si="859"/>
        <v>210280.00549969845</v>
      </c>
      <c r="N432" s="552">
        <f t="shared" si="859"/>
        <v>227051.8540003823</v>
      </c>
      <c r="O432" s="552">
        <f t="shared" si="859"/>
        <v>243782.70806736138</v>
      </c>
      <c r="P432" s="552">
        <f t="shared" si="859"/>
        <v>260532.10878496809</v>
      </c>
      <c r="Q432" s="552">
        <f t="shared" si="859"/>
        <v>275805.55369478231</v>
      </c>
      <c r="R432" s="552">
        <f t="shared" si="859"/>
        <v>291067.34423418553</v>
      </c>
      <c r="S432" s="552">
        <f t="shared" si="859"/>
        <v>306344.90100952372</v>
      </c>
      <c r="T432" s="552">
        <f t="shared" si="859"/>
        <v>321624.78083301429</v>
      </c>
      <c r="U432" s="552">
        <f t="shared" si="859"/>
        <v>336963.79204390105</v>
      </c>
      <c r="V432" s="552">
        <f t="shared" si="859"/>
        <v>348096.43567241542</v>
      </c>
      <c r="W432" s="552">
        <f t="shared" si="859"/>
        <v>357625.61738545605</v>
      </c>
      <c r="X432" s="552">
        <f t="shared" si="859"/>
        <v>367159.71358245704</v>
      </c>
      <c r="Y432" s="552">
        <f t="shared" si="859"/>
        <v>376700.03303094982</v>
      </c>
      <c r="Z432" s="552">
        <f t="shared" si="859"/>
        <v>386258.54271265992</v>
      </c>
      <c r="AA432" s="552">
        <f t="shared" si="859"/>
        <v>395816.51028137968</v>
      </c>
      <c r="AB432" s="552">
        <f t="shared" si="859"/>
        <v>405410.04587851197</v>
      </c>
      <c r="AC432" s="552">
        <f t="shared" si="859"/>
        <v>414995.37146113493</v>
      </c>
      <c r="AD432" s="552">
        <f t="shared" si="859"/>
        <v>424599.32667509466</v>
      </c>
      <c r="AE432" s="552">
        <f t="shared" si="859"/>
        <v>434236.57887674251</v>
      </c>
      <c r="AF432" s="552">
        <f t="shared" si="859"/>
        <v>443891.30168691714</v>
      </c>
      <c r="AG432" s="552">
        <f t="shared" si="859"/>
        <v>453579.93050891621</v>
      </c>
      <c r="AH432" s="727">
        <f t="shared" si="859"/>
        <v>463333.39361085935</v>
      </c>
      <c r="AI432" s="18"/>
      <c r="AJ432" s="18"/>
      <c r="AK432" s="18"/>
      <c r="AL432" s="18"/>
      <c r="AM432" s="18"/>
      <c r="AN432" s="18"/>
    </row>
    <row r="433" spans="2:40" ht="21.9" customHeight="1" x14ac:dyDescent="0.25">
      <c r="B433" s="229"/>
      <c r="C433" s="690"/>
      <c r="D433" s="690"/>
      <c r="E433" s="114"/>
      <c r="F433" s="114"/>
      <c r="G433" s="114"/>
      <c r="H433" s="122" t="s">
        <v>19</v>
      </c>
      <c r="I433" s="552">
        <f t="shared" ref="I433:AH433" si="860">I369*$D$14</f>
        <v>633366.93207969901</v>
      </c>
      <c r="J433" s="552">
        <f t="shared" si="860"/>
        <v>672311.9831746089</v>
      </c>
      <c r="K433" s="552">
        <f t="shared" si="860"/>
        <v>723850.51771131542</v>
      </c>
      <c r="L433" s="552">
        <f t="shared" si="860"/>
        <v>792342.30071093468</v>
      </c>
      <c r="M433" s="552">
        <f t="shared" si="860"/>
        <v>860855.45450811402</v>
      </c>
      <c r="N433" s="552">
        <f t="shared" si="860"/>
        <v>929516.93865487073</v>
      </c>
      <c r="O433" s="552">
        <f t="shared" si="860"/>
        <v>998010.59761170787</v>
      </c>
      <c r="P433" s="552">
        <f t="shared" si="860"/>
        <v>1066580.1838318992</v>
      </c>
      <c r="Q433" s="552">
        <f t="shared" si="860"/>
        <v>1129107.4237779796</v>
      </c>
      <c r="R433" s="552">
        <f t="shared" si="860"/>
        <v>1191586.9524435066</v>
      </c>
      <c r="S433" s="552">
        <f t="shared" si="860"/>
        <v>1254131.0257630509</v>
      </c>
      <c r="T433" s="552">
        <f t="shared" si="860"/>
        <v>1316684.6093004984</v>
      </c>
      <c r="U433" s="552">
        <f t="shared" si="860"/>
        <v>1379480.2680521428</v>
      </c>
      <c r="V433" s="552">
        <f t="shared" si="860"/>
        <v>1425055.6757944417</v>
      </c>
      <c r="W433" s="552">
        <f t="shared" si="860"/>
        <v>1464066.7459871413</v>
      </c>
      <c r="X433" s="552">
        <f t="shared" si="860"/>
        <v>1503097.9353552863</v>
      </c>
      <c r="Y433" s="552">
        <f t="shared" si="860"/>
        <v>1542154.6018009065</v>
      </c>
      <c r="Z433" s="552">
        <f t="shared" si="860"/>
        <v>1581285.7363893567</v>
      </c>
      <c r="AA433" s="552">
        <f t="shared" si="860"/>
        <v>1620414.6516468558</v>
      </c>
      <c r="AB433" s="552">
        <f t="shared" si="860"/>
        <v>1659689.1771880914</v>
      </c>
      <c r="AC433" s="552">
        <f t="shared" si="860"/>
        <v>1698930.0921358939</v>
      </c>
      <c r="AD433" s="552">
        <f t="shared" si="860"/>
        <v>1738247.2740578849</v>
      </c>
      <c r="AE433" s="552">
        <f t="shared" si="860"/>
        <v>1777700.7689564798</v>
      </c>
      <c r="AF433" s="552">
        <f t="shared" si="860"/>
        <v>1817225.7859601276</v>
      </c>
      <c r="AG433" s="552">
        <f t="shared" si="860"/>
        <v>1856889.6091957341</v>
      </c>
      <c r="AH433" s="727">
        <f t="shared" si="860"/>
        <v>1896818.8544499313</v>
      </c>
      <c r="AI433" s="18"/>
      <c r="AJ433" s="18"/>
      <c r="AK433" s="18"/>
      <c r="AL433" s="18"/>
      <c r="AM433" s="18"/>
      <c r="AN433" s="18"/>
    </row>
    <row r="434" spans="2:40" ht="21.9" customHeight="1" x14ac:dyDescent="0.25">
      <c r="B434" s="229"/>
      <c r="C434" s="690"/>
      <c r="D434" s="690"/>
      <c r="E434" s="114"/>
      <c r="F434" s="114"/>
      <c r="G434" s="114"/>
      <c r="H434" s="696" t="s">
        <v>25</v>
      </c>
      <c r="I434" s="552">
        <f t="shared" ref="I434:AH434" si="861">SUM(I432:I433)</f>
        <v>788078.62178740581</v>
      </c>
      <c r="J434" s="552">
        <f t="shared" si="861"/>
        <v>836536.72819902166</v>
      </c>
      <c r="K434" s="552">
        <f t="shared" si="861"/>
        <v>900664.5113361422</v>
      </c>
      <c r="L434" s="552">
        <f t="shared" si="861"/>
        <v>985886.69016519072</v>
      </c>
      <c r="M434" s="552">
        <f t="shared" si="861"/>
        <v>1071135.4600078124</v>
      </c>
      <c r="N434" s="552">
        <f t="shared" si="861"/>
        <v>1156568.7926552531</v>
      </c>
      <c r="O434" s="552">
        <f t="shared" si="861"/>
        <v>1241793.3056790694</v>
      </c>
      <c r="P434" s="552">
        <f t="shared" si="861"/>
        <v>1327112.2926168672</v>
      </c>
      <c r="Q434" s="552">
        <f t="shared" si="861"/>
        <v>1404912.9774727619</v>
      </c>
      <c r="R434" s="552">
        <f t="shared" si="861"/>
        <v>1482654.2966776921</v>
      </c>
      <c r="S434" s="552">
        <f t="shared" si="861"/>
        <v>1560475.9267725747</v>
      </c>
      <c r="T434" s="552">
        <f t="shared" si="861"/>
        <v>1638309.3901335127</v>
      </c>
      <c r="U434" s="552">
        <f t="shared" si="861"/>
        <v>1716444.0600960439</v>
      </c>
      <c r="V434" s="552">
        <f t="shared" si="861"/>
        <v>1773152.1114668571</v>
      </c>
      <c r="W434" s="552">
        <f t="shared" si="861"/>
        <v>1821692.3633725974</v>
      </c>
      <c r="X434" s="552">
        <f t="shared" si="861"/>
        <v>1870257.6489377434</v>
      </c>
      <c r="Y434" s="552">
        <f t="shared" si="861"/>
        <v>1918854.6348318562</v>
      </c>
      <c r="Z434" s="552">
        <f t="shared" si="861"/>
        <v>1967544.2791020167</v>
      </c>
      <c r="AA434" s="552">
        <f t="shared" si="861"/>
        <v>2016231.1619282356</v>
      </c>
      <c r="AB434" s="552">
        <f t="shared" si="861"/>
        <v>2065099.2230666033</v>
      </c>
      <c r="AC434" s="552">
        <f t="shared" si="861"/>
        <v>2113925.463597029</v>
      </c>
      <c r="AD434" s="552">
        <f t="shared" si="861"/>
        <v>2162846.6007329794</v>
      </c>
      <c r="AE434" s="552">
        <f t="shared" si="861"/>
        <v>2211937.3478332222</v>
      </c>
      <c r="AF434" s="552">
        <f t="shared" si="861"/>
        <v>2261117.0876470446</v>
      </c>
      <c r="AG434" s="552">
        <f t="shared" si="861"/>
        <v>2310469.5397046502</v>
      </c>
      <c r="AH434" s="727">
        <f t="shared" si="861"/>
        <v>2360152.2480607908</v>
      </c>
      <c r="AI434" s="18"/>
      <c r="AJ434" s="18"/>
      <c r="AK434" s="18"/>
      <c r="AL434" s="18"/>
      <c r="AM434" s="18"/>
      <c r="AN434" s="18"/>
    </row>
    <row r="435" spans="2:40" ht="21.9" customHeight="1" x14ac:dyDescent="0.25">
      <c r="B435" s="229"/>
      <c r="C435" s="690"/>
      <c r="D435" s="690"/>
      <c r="E435" s="217" t="s">
        <v>321</v>
      </c>
      <c r="F435" s="217" t="s">
        <v>318</v>
      </c>
      <c r="G435" s="217" t="s">
        <v>308</v>
      </c>
      <c r="H435" s="114" t="s">
        <v>20</v>
      </c>
      <c r="I435" s="552" t="e">
        <f t="shared" ref="I435:AH435" si="862">I371*$D$13</f>
        <v>#DIV/0!</v>
      </c>
      <c r="J435" s="552" t="e">
        <f t="shared" si="862"/>
        <v>#DIV/0!</v>
      </c>
      <c r="K435" s="552" t="e">
        <f t="shared" si="862"/>
        <v>#DIV/0!</v>
      </c>
      <c r="L435" s="552" t="e">
        <f t="shared" si="862"/>
        <v>#DIV/0!</v>
      </c>
      <c r="M435" s="552" t="e">
        <f t="shared" si="862"/>
        <v>#DIV/0!</v>
      </c>
      <c r="N435" s="552" t="e">
        <f t="shared" si="862"/>
        <v>#DIV/0!</v>
      </c>
      <c r="O435" s="552" t="e">
        <f t="shared" si="862"/>
        <v>#DIV/0!</v>
      </c>
      <c r="P435" s="552" t="e">
        <f t="shared" si="862"/>
        <v>#DIV/0!</v>
      </c>
      <c r="Q435" s="552" t="e">
        <f t="shared" si="862"/>
        <v>#DIV/0!</v>
      </c>
      <c r="R435" s="552" t="e">
        <f t="shared" si="862"/>
        <v>#DIV/0!</v>
      </c>
      <c r="S435" s="552" t="e">
        <f t="shared" si="862"/>
        <v>#DIV/0!</v>
      </c>
      <c r="T435" s="552" t="e">
        <f t="shared" si="862"/>
        <v>#DIV/0!</v>
      </c>
      <c r="U435" s="552" t="e">
        <f t="shared" si="862"/>
        <v>#DIV/0!</v>
      </c>
      <c r="V435" s="552" t="e">
        <f t="shared" si="862"/>
        <v>#DIV/0!</v>
      </c>
      <c r="W435" s="552" t="e">
        <f t="shared" si="862"/>
        <v>#DIV/0!</v>
      </c>
      <c r="X435" s="552" t="e">
        <f t="shared" si="862"/>
        <v>#DIV/0!</v>
      </c>
      <c r="Y435" s="552" t="e">
        <f t="shared" si="862"/>
        <v>#DIV/0!</v>
      </c>
      <c r="Z435" s="552" t="e">
        <f t="shared" si="862"/>
        <v>#DIV/0!</v>
      </c>
      <c r="AA435" s="552" t="e">
        <f t="shared" si="862"/>
        <v>#DIV/0!</v>
      </c>
      <c r="AB435" s="552" t="e">
        <f t="shared" si="862"/>
        <v>#DIV/0!</v>
      </c>
      <c r="AC435" s="552" t="e">
        <f t="shared" si="862"/>
        <v>#DIV/0!</v>
      </c>
      <c r="AD435" s="552" t="e">
        <f t="shared" si="862"/>
        <v>#DIV/0!</v>
      </c>
      <c r="AE435" s="552" t="e">
        <f t="shared" si="862"/>
        <v>#DIV/0!</v>
      </c>
      <c r="AF435" s="552" t="e">
        <f t="shared" si="862"/>
        <v>#DIV/0!</v>
      </c>
      <c r="AG435" s="552" t="e">
        <f t="shared" si="862"/>
        <v>#DIV/0!</v>
      </c>
      <c r="AH435" s="727" t="e">
        <f t="shared" si="862"/>
        <v>#DIV/0!</v>
      </c>
      <c r="AI435" s="18"/>
      <c r="AJ435" s="18"/>
      <c r="AK435" s="18"/>
      <c r="AL435" s="18"/>
      <c r="AM435" s="18"/>
      <c r="AN435" s="18"/>
    </row>
    <row r="436" spans="2:40" ht="21.9" customHeight="1" x14ac:dyDescent="0.25">
      <c r="B436" s="229"/>
      <c r="C436" s="690"/>
      <c r="D436" s="690"/>
      <c r="E436" s="114"/>
      <c r="F436" s="114"/>
      <c r="G436" s="114"/>
      <c r="H436" s="122" t="s">
        <v>19</v>
      </c>
      <c r="I436" s="552" t="e">
        <f t="shared" ref="I436:AH436" si="863">I372*$D$14</f>
        <v>#DIV/0!</v>
      </c>
      <c r="J436" s="552" t="e">
        <f t="shared" si="863"/>
        <v>#DIV/0!</v>
      </c>
      <c r="K436" s="552" t="e">
        <f t="shared" si="863"/>
        <v>#DIV/0!</v>
      </c>
      <c r="L436" s="552" t="e">
        <f t="shared" si="863"/>
        <v>#DIV/0!</v>
      </c>
      <c r="M436" s="552" t="e">
        <f t="shared" si="863"/>
        <v>#DIV/0!</v>
      </c>
      <c r="N436" s="552" t="e">
        <f t="shared" si="863"/>
        <v>#DIV/0!</v>
      </c>
      <c r="O436" s="552" t="e">
        <f t="shared" si="863"/>
        <v>#DIV/0!</v>
      </c>
      <c r="P436" s="552" t="e">
        <f t="shared" si="863"/>
        <v>#DIV/0!</v>
      </c>
      <c r="Q436" s="552" t="e">
        <f t="shared" si="863"/>
        <v>#DIV/0!</v>
      </c>
      <c r="R436" s="552" t="e">
        <f t="shared" si="863"/>
        <v>#DIV/0!</v>
      </c>
      <c r="S436" s="552" t="e">
        <f t="shared" si="863"/>
        <v>#DIV/0!</v>
      </c>
      <c r="T436" s="552" t="e">
        <f t="shared" si="863"/>
        <v>#DIV/0!</v>
      </c>
      <c r="U436" s="552" t="e">
        <f t="shared" si="863"/>
        <v>#DIV/0!</v>
      </c>
      <c r="V436" s="552" t="e">
        <f t="shared" si="863"/>
        <v>#DIV/0!</v>
      </c>
      <c r="W436" s="552" t="e">
        <f t="shared" si="863"/>
        <v>#DIV/0!</v>
      </c>
      <c r="X436" s="552" t="e">
        <f t="shared" si="863"/>
        <v>#DIV/0!</v>
      </c>
      <c r="Y436" s="552" t="e">
        <f t="shared" si="863"/>
        <v>#DIV/0!</v>
      </c>
      <c r="Z436" s="552" t="e">
        <f t="shared" si="863"/>
        <v>#DIV/0!</v>
      </c>
      <c r="AA436" s="552" t="e">
        <f t="shared" si="863"/>
        <v>#DIV/0!</v>
      </c>
      <c r="AB436" s="552" t="e">
        <f t="shared" si="863"/>
        <v>#DIV/0!</v>
      </c>
      <c r="AC436" s="552" t="e">
        <f t="shared" si="863"/>
        <v>#DIV/0!</v>
      </c>
      <c r="AD436" s="552" t="e">
        <f t="shared" si="863"/>
        <v>#DIV/0!</v>
      </c>
      <c r="AE436" s="552" t="e">
        <f t="shared" si="863"/>
        <v>#DIV/0!</v>
      </c>
      <c r="AF436" s="552" t="e">
        <f t="shared" si="863"/>
        <v>#DIV/0!</v>
      </c>
      <c r="AG436" s="552" t="e">
        <f t="shared" si="863"/>
        <v>#DIV/0!</v>
      </c>
      <c r="AH436" s="727" t="e">
        <f t="shared" si="863"/>
        <v>#DIV/0!</v>
      </c>
      <c r="AI436" s="18"/>
      <c r="AJ436" s="18"/>
      <c r="AK436" s="18"/>
      <c r="AL436" s="18"/>
      <c r="AM436" s="18"/>
      <c r="AN436" s="18"/>
    </row>
    <row r="437" spans="2:40" ht="21.9" customHeight="1" x14ac:dyDescent="0.25">
      <c r="B437" s="229"/>
      <c r="C437" s="690"/>
      <c r="D437" s="690"/>
      <c r="E437" s="250"/>
      <c r="F437" s="250"/>
      <c r="G437" s="250"/>
      <c r="H437" s="696" t="s">
        <v>25</v>
      </c>
      <c r="I437" s="552" t="e">
        <f t="shared" ref="I437:AH437" si="864">SUM(I435:I436)</f>
        <v>#DIV/0!</v>
      </c>
      <c r="J437" s="552" t="e">
        <f t="shared" si="864"/>
        <v>#DIV/0!</v>
      </c>
      <c r="K437" s="552" t="e">
        <f t="shared" si="864"/>
        <v>#DIV/0!</v>
      </c>
      <c r="L437" s="552" t="e">
        <f t="shared" si="864"/>
        <v>#DIV/0!</v>
      </c>
      <c r="M437" s="552" t="e">
        <f t="shared" si="864"/>
        <v>#DIV/0!</v>
      </c>
      <c r="N437" s="552" t="e">
        <f t="shared" si="864"/>
        <v>#DIV/0!</v>
      </c>
      <c r="O437" s="552" t="e">
        <f t="shared" si="864"/>
        <v>#DIV/0!</v>
      </c>
      <c r="P437" s="552" t="e">
        <f t="shared" si="864"/>
        <v>#DIV/0!</v>
      </c>
      <c r="Q437" s="552" t="e">
        <f t="shared" si="864"/>
        <v>#DIV/0!</v>
      </c>
      <c r="R437" s="552" t="e">
        <f t="shared" si="864"/>
        <v>#DIV/0!</v>
      </c>
      <c r="S437" s="552" t="e">
        <f t="shared" si="864"/>
        <v>#DIV/0!</v>
      </c>
      <c r="T437" s="552" t="e">
        <f t="shared" si="864"/>
        <v>#DIV/0!</v>
      </c>
      <c r="U437" s="552" t="e">
        <f t="shared" si="864"/>
        <v>#DIV/0!</v>
      </c>
      <c r="V437" s="552" t="e">
        <f t="shared" si="864"/>
        <v>#DIV/0!</v>
      </c>
      <c r="W437" s="552" t="e">
        <f t="shared" si="864"/>
        <v>#DIV/0!</v>
      </c>
      <c r="X437" s="552" t="e">
        <f t="shared" si="864"/>
        <v>#DIV/0!</v>
      </c>
      <c r="Y437" s="552" t="e">
        <f t="shared" si="864"/>
        <v>#DIV/0!</v>
      </c>
      <c r="Z437" s="552" t="e">
        <f t="shared" si="864"/>
        <v>#DIV/0!</v>
      </c>
      <c r="AA437" s="552" t="e">
        <f t="shared" si="864"/>
        <v>#DIV/0!</v>
      </c>
      <c r="AB437" s="552" t="e">
        <f t="shared" si="864"/>
        <v>#DIV/0!</v>
      </c>
      <c r="AC437" s="552" t="e">
        <f t="shared" si="864"/>
        <v>#DIV/0!</v>
      </c>
      <c r="AD437" s="552" t="e">
        <f t="shared" si="864"/>
        <v>#DIV/0!</v>
      </c>
      <c r="AE437" s="552" t="e">
        <f t="shared" si="864"/>
        <v>#DIV/0!</v>
      </c>
      <c r="AF437" s="552" t="e">
        <f t="shared" si="864"/>
        <v>#DIV/0!</v>
      </c>
      <c r="AG437" s="552" t="e">
        <f t="shared" si="864"/>
        <v>#DIV/0!</v>
      </c>
      <c r="AH437" s="727" t="e">
        <f t="shared" si="864"/>
        <v>#DIV/0!</v>
      </c>
      <c r="AI437" s="18"/>
      <c r="AJ437" s="18"/>
      <c r="AK437" s="18"/>
      <c r="AL437" s="18"/>
      <c r="AM437" s="18"/>
      <c r="AN437" s="18"/>
    </row>
    <row r="438" spans="2:40" ht="21.9" customHeight="1" x14ac:dyDescent="0.25">
      <c r="B438" s="229"/>
      <c r="C438" s="690"/>
      <c r="D438" s="690"/>
      <c r="E438" s="217" t="s">
        <v>333</v>
      </c>
      <c r="F438" s="217" t="s">
        <v>319</v>
      </c>
      <c r="G438" s="217" t="s">
        <v>308</v>
      </c>
      <c r="H438" s="114" t="s">
        <v>20</v>
      </c>
      <c r="I438" s="552">
        <f t="shared" ref="I438:AH438" si="865">I374*$D$13</f>
        <v>250053.35446987036</v>
      </c>
      <c r="J438" s="552">
        <f t="shared" si="865"/>
        <v>253488.2590457644</v>
      </c>
      <c r="K438" s="552">
        <f t="shared" si="865"/>
        <v>259426.09933889375</v>
      </c>
      <c r="L438" s="552">
        <f t="shared" si="865"/>
        <v>267579.61910599814</v>
      </c>
      <c r="M438" s="552">
        <f t="shared" si="865"/>
        <v>275738.85155674617</v>
      </c>
      <c r="N438" s="552">
        <f t="shared" si="865"/>
        <v>283912.84112159809</v>
      </c>
      <c r="O438" s="552">
        <f t="shared" si="865"/>
        <v>292075.33776029083</v>
      </c>
      <c r="P438" s="552">
        <f t="shared" si="865"/>
        <v>300271.30064475344</v>
      </c>
      <c r="Q438" s="552">
        <f t="shared" si="865"/>
        <v>305958.69367340911</v>
      </c>
      <c r="R438" s="552">
        <f t="shared" si="865"/>
        <v>311650.38138613658</v>
      </c>
      <c r="S438" s="552">
        <f t="shared" si="865"/>
        <v>317347.01186512061</v>
      </c>
      <c r="T438" s="552">
        <f t="shared" si="865"/>
        <v>323047.23901804216</v>
      </c>
      <c r="U438" s="552">
        <f t="shared" si="865"/>
        <v>328793.88637329871</v>
      </c>
      <c r="V438" s="552">
        <f t="shared" si="865"/>
        <v>332252.42042114364</v>
      </c>
      <c r="W438" s="552">
        <f t="shared" si="865"/>
        <v>335713.71074913826</v>
      </c>
      <c r="X438" s="552">
        <f t="shared" si="865"/>
        <v>339178.02491086128</v>
      </c>
      <c r="Y438" s="552">
        <f t="shared" si="865"/>
        <v>342645.6530746005</v>
      </c>
      <c r="Z438" s="552">
        <f t="shared" si="865"/>
        <v>346140.79997848312</v>
      </c>
      <c r="AA438" s="552">
        <f t="shared" si="865"/>
        <v>349616.05496388616</v>
      </c>
      <c r="AB438" s="552">
        <f t="shared" si="865"/>
        <v>353109.03513911786</v>
      </c>
      <c r="AC438" s="552">
        <f t="shared" si="865"/>
        <v>356593.39145178994</v>
      </c>
      <c r="AD438" s="552">
        <f t="shared" si="865"/>
        <v>360082.92230799404</v>
      </c>
      <c r="AE438" s="552">
        <f t="shared" si="865"/>
        <v>363602.15629120416</v>
      </c>
      <c r="AF438" s="552">
        <f t="shared" si="865"/>
        <v>367103.51739063056</v>
      </c>
      <c r="AG438" s="552">
        <f t="shared" si="865"/>
        <v>370611.57058769284</v>
      </c>
      <c r="AH438" s="727">
        <f t="shared" si="865"/>
        <v>374140.42890982074</v>
      </c>
      <c r="AI438" s="18"/>
      <c r="AJ438" s="18"/>
      <c r="AK438" s="18"/>
      <c r="AL438" s="18"/>
      <c r="AM438" s="18"/>
      <c r="AN438" s="18"/>
    </row>
    <row r="439" spans="2:40" ht="21.9" customHeight="1" x14ac:dyDescent="0.25">
      <c r="B439" s="229"/>
      <c r="C439" s="690"/>
      <c r="D439" s="690"/>
      <c r="E439" s="114"/>
      <c r="F439" s="114"/>
      <c r="G439" s="114"/>
      <c r="H439" s="122" t="s">
        <v>19</v>
      </c>
      <c r="I439" s="552">
        <f t="shared" ref="I439:AH439" si="866">I375*$D$14</f>
        <v>1023681.7028889965</v>
      </c>
      <c r="J439" s="552">
        <f t="shared" si="866"/>
        <v>1037743.6976699386</v>
      </c>
      <c r="K439" s="552">
        <f t="shared" si="866"/>
        <v>1062052.3436212807</v>
      </c>
      <c r="L439" s="552">
        <f t="shared" si="866"/>
        <v>1095431.6558781543</v>
      </c>
      <c r="M439" s="552">
        <f t="shared" si="866"/>
        <v>1128834.3550227298</v>
      </c>
      <c r="N439" s="552">
        <f t="shared" si="866"/>
        <v>1162297.4676247754</v>
      </c>
      <c r="O439" s="552">
        <f t="shared" si="866"/>
        <v>1195713.5298753199</v>
      </c>
      <c r="P439" s="552">
        <f t="shared" si="866"/>
        <v>1229266.5980201932</v>
      </c>
      <c r="Q439" s="552">
        <f t="shared" si="866"/>
        <v>1252549.9496589522</v>
      </c>
      <c r="R439" s="552">
        <f t="shared" si="866"/>
        <v>1275850.8831034554</v>
      </c>
      <c r="S439" s="552">
        <f t="shared" si="866"/>
        <v>1299172.0515069705</v>
      </c>
      <c r="T439" s="552">
        <f t="shared" si="866"/>
        <v>1322507.9441652708</v>
      </c>
      <c r="U439" s="552">
        <f t="shared" si="866"/>
        <v>1346033.8743132721</v>
      </c>
      <c r="V439" s="552">
        <f t="shared" si="866"/>
        <v>1360192.6046814509</v>
      </c>
      <c r="W439" s="552">
        <f t="shared" si="866"/>
        <v>1374362.6188556924</v>
      </c>
      <c r="X439" s="552">
        <f t="shared" si="866"/>
        <v>1388545.0121610477</v>
      </c>
      <c r="Y439" s="552">
        <f t="shared" si="866"/>
        <v>1402740.9725038637</v>
      </c>
      <c r="Z439" s="552">
        <f t="shared" si="866"/>
        <v>1417049.590526602</v>
      </c>
      <c r="AA439" s="552">
        <f t="shared" si="866"/>
        <v>1431276.7739570066</v>
      </c>
      <c r="AB439" s="552">
        <f t="shared" si="866"/>
        <v>1445576.5217109185</v>
      </c>
      <c r="AC439" s="552">
        <f t="shared" si="866"/>
        <v>1459840.9646382702</v>
      </c>
      <c r="AD439" s="552">
        <f t="shared" si="866"/>
        <v>1474126.5913867531</v>
      </c>
      <c r="AE439" s="552">
        <f t="shared" si="866"/>
        <v>1488533.8183741097</v>
      </c>
      <c r="AF439" s="552">
        <f t="shared" si="866"/>
        <v>1502867.8764006016</v>
      </c>
      <c r="AG439" s="552">
        <f t="shared" si="866"/>
        <v>1517229.3308918136</v>
      </c>
      <c r="AH439" s="727">
        <f t="shared" si="866"/>
        <v>1531675.9585089814</v>
      </c>
      <c r="AI439" s="18"/>
      <c r="AJ439" s="18"/>
      <c r="AK439" s="18"/>
      <c r="AL439" s="18"/>
      <c r="AM439" s="18"/>
      <c r="AN439" s="18"/>
    </row>
    <row r="440" spans="2:40" ht="21.9" customHeight="1" x14ac:dyDescent="0.25">
      <c r="B440" s="229"/>
      <c r="C440" s="690"/>
      <c r="D440" s="690"/>
      <c r="E440" s="250"/>
      <c r="F440" s="250"/>
      <c r="G440" s="250"/>
      <c r="H440" s="696" t="s">
        <v>25</v>
      </c>
      <c r="I440" s="552">
        <f t="shared" ref="I440:AH440" si="867">SUM(I438:I439)</f>
        <v>1273735.0573588668</v>
      </c>
      <c r="J440" s="552">
        <f t="shared" si="867"/>
        <v>1291231.956715703</v>
      </c>
      <c r="K440" s="552">
        <f t="shared" si="867"/>
        <v>1321478.4429601745</v>
      </c>
      <c r="L440" s="552">
        <f t="shared" si="867"/>
        <v>1363011.2749841525</v>
      </c>
      <c r="M440" s="552">
        <f t="shared" si="867"/>
        <v>1404573.2065794761</v>
      </c>
      <c r="N440" s="552">
        <f t="shared" si="867"/>
        <v>1446210.3087463735</v>
      </c>
      <c r="O440" s="552">
        <f t="shared" si="867"/>
        <v>1487788.8676356107</v>
      </c>
      <c r="P440" s="552">
        <f t="shared" si="867"/>
        <v>1529537.8986649467</v>
      </c>
      <c r="Q440" s="552">
        <f t="shared" si="867"/>
        <v>1558508.6433323612</v>
      </c>
      <c r="R440" s="552">
        <f t="shared" si="867"/>
        <v>1587501.2644895921</v>
      </c>
      <c r="S440" s="552">
        <f t="shared" si="867"/>
        <v>1616519.0633720912</v>
      </c>
      <c r="T440" s="552">
        <f t="shared" si="867"/>
        <v>1645555.1831833129</v>
      </c>
      <c r="U440" s="552">
        <f t="shared" si="867"/>
        <v>1674827.7606865708</v>
      </c>
      <c r="V440" s="552">
        <f t="shared" si="867"/>
        <v>1692445.0251025944</v>
      </c>
      <c r="W440" s="552">
        <f t="shared" si="867"/>
        <v>1710076.3296048306</v>
      </c>
      <c r="X440" s="552">
        <f t="shared" si="867"/>
        <v>1727723.0370719088</v>
      </c>
      <c r="Y440" s="552">
        <f t="shared" si="867"/>
        <v>1745386.6255784642</v>
      </c>
      <c r="Z440" s="552">
        <f t="shared" si="867"/>
        <v>1763190.3905050852</v>
      </c>
      <c r="AA440" s="552">
        <f t="shared" si="867"/>
        <v>1780892.8289208929</v>
      </c>
      <c r="AB440" s="552">
        <f t="shared" si="867"/>
        <v>1798685.5568500364</v>
      </c>
      <c r="AC440" s="552">
        <f t="shared" si="867"/>
        <v>1816434.3560900602</v>
      </c>
      <c r="AD440" s="552">
        <f t="shared" si="867"/>
        <v>1834209.5136947471</v>
      </c>
      <c r="AE440" s="552">
        <f t="shared" si="867"/>
        <v>1852135.974665314</v>
      </c>
      <c r="AF440" s="552">
        <f t="shared" si="867"/>
        <v>1869971.3937912323</v>
      </c>
      <c r="AG440" s="552">
        <f t="shared" si="867"/>
        <v>1887840.9014795064</v>
      </c>
      <c r="AH440" s="727">
        <f t="shared" si="867"/>
        <v>1905816.3874188021</v>
      </c>
      <c r="AI440" s="18"/>
      <c r="AJ440" s="18"/>
      <c r="AK440" s="18"/>
      <c r="AL440" s="18"/>
      <c r="AM440" s="18"/>
      <c r="AN440" s="18"/>
    </row>
    <row r="441" spans="2:40" ht="21.9" customHeight="1" x14ac:dyDescent="0.25">
      <c r="B441" s="229"/>
      <c r="C441" s="690"/>
      <c r="D441" s="690"/>
      <c r="E441" s="114" t="s">
        <v>319</v>
      </c>
      <c r="F441" s="114" t="s">
        <v>276</v>
      </c>
      <c r="G441" s="114" t="s">
        <v>333</v>
      </c>
      <c r="H441" s="114" t="s">
        <v>20</v>
      </c>
      <c r="I441" s="552">
        <f t="shared" ref="I441:AH441" si="868">I377*$D$13</f>
        <v>512452.25307313132</v>
      </c>
      <c r="J441" s="552">
        <f t="shared" si="868"/>
        <v>527224.72402450698</v>
      </c>
      <c r="K441" s="552">
        <f t="shared" si="868"/>
        <v>543214.27381166769</v>
      </c>
      <c r="L441" s="552">
        <f t="shared" si="868"/>
        <v>564427.2626140893</v>
      </c>
      <c r="M441" s="552">
        <f t="shared" si="868"/>
        <v>585643.85180222278</v>
      </c>
      <c r="N441" s="552">
        <f t="shared" si="868"/>
        <v>606869.17111847689</v>
      </c>
      <c r="O441" s="552">
        <f t="shared" si="868"/>
        <v>628082.2168942336</v>
      </c>
      <c r="P441" s="552">
        <f t="shared" si="868"/>
        <v>649300.93419041415</v>
      </c>
      <c r="Q441" s="552">
        <f t="shared" si="868"/>
        <v>672649.46937437821</v>
      </c>
      <c r="R441" s="552">
        <f t="shared" si="868"/>
        <v>695990.39518105704</v>
      </c>
      <c r="S441" s="552">
        <f t="shared" si="868"/>
        <v>719339.11315470689</v>
      </c>
      <c r="T441" s="552">
        <f t="shared" si="868"/>
        <v>742687.97279175278</v>
      </c>
      <c r="U441" s="552">
        <f t="shared" si="868"/>
        <v>766050.3454240557</v>
      </c>
      <c r="V441" s="552">
        <f t="shared" si="868"/>
        <v>784173.93012082868</v>
      </c>
      <c r="W441" s="552">
        <f t="shared" si="868"/>
        <v>798947.10562003823</v>
      </c>
      <c r="X441" s="552">
        <f t="shared" si="868"/>
        <v>813720.42634487117</v>
      </c>
      <c r="Y441" s="552">
        <f t="shared" si="868"/>
        <v>828493.91831836232</v>
      </c>
      <c r="Z441" s="552">
        <f t="shared" si="868"/>
        <v>843266.0741302676</v>
      </c>
      <c r="AA441" s="552">
        <f t="shared" si="868"/>
        <v>858040.00344391458</v>
      </c>
      <c r="AB441" s="552">
        <f t="shared" si="868"/>
        <v>872812.67114419863</v>
      </c>
      <c r="AC441" s="552">
        <f t="shared" si="868"/>
        <v>887587.19810718147</v>
      </c>
      <c r="AD441" s="552">
        <f t="shared" si="868"/>
        <v>902362.09925084747</v>
      </c>
      <c r="AE441" s="552">
        <f t="shared" si="868"/>
        <v>917135.89680060733</v>
      </c>
      <c r="AF441" s="552">
        <f t="shared" si="868"/>
        <v>931911.7343467701</v>
      </c>
      <c r="AG441" s="552">
        <f t="shared" si="868"/>
        <v>946688.15192807012</v>
      </c>
      <c r="AH441" s="727">
        <f t="shared" si="868"/>
        <v>961463.69983638695</v>
      </c>
      <c r="AI441" s="18"/>
      <c r="AJ441" s="18"/>
      <c r="AK441" s="18"/>
      <c r="AL441" s="18"/>
      <c r="AM441" s="18"/>
      <c r="AN441" s="18"/>
    </row>
    <row r="442" spans="2:40" ht="21.9" customHeight="1" x14ac:dyDescent="0.25">
      <c r="B442" s="229"/>
      <c r="C442" s="690"/>
      <c r="D442" s="690"/>
      <c r="E442" s="114"/>
      <c r="F442" s="114"/>
      <c r="G442" s="114"/>
      <c r="H442" s="122" t="s">
        <v>19</v>
      </c>
      <c r="I442" s="552">
        <f t="shared" ref="I442:AH442" si="869">I378*$D$14</f>
        <v>2097904.2500244281</v>
      </c>
      <c r="J442" s="552">
        <f t="shared" si="869"/>
        <v>2158380.5761726727</v>
      </c>
      <c r="K442" s="552">
        <f t="shared" si="869"/>
        <v>2223839.4442980406</v>
      </c>
      <c r="L442" s="552">
        <f t="shared" si="869"/>
        <v>2310682.3044814849</v>
      </c>
      <c r="M442" s="552">
        <f t="shared" si="869"/>
        <v>2397539.9041151735</v>
      </c>
      <c r="N442" s="552">
        <f t="shared" si="869"/>
        <v>2484433.24361102</v>
      </c>
      <c r="O442" s="552">
        <f t="shared" si="869"/>
        <v>2571276.3370349291</v>
      </c>
      <c r="P442" s="552">
        <f t="shared" si="869"/>
        <v>2658142.6488303645</v>
      </c>
      <c r="Q442" s="552">
        <f t="shared" si="869"/>
        <v>2753728.1222096626</v>
      </c>
      <c r="R442" s="552">
        <f t="shared" si="869"/>
        <v>2849282.4439160959</v>
      </c>
      <c r="S442" s="552">
        <f t="shared" si="869"/>
        <v>2944868.6656095176</v>
      </c>
      <c r="T442" s="552">
        <f t="shared" si="869"/>
        <v>3040455.4672520733</v>
      </c>
      <c r="U442" s="552">
        <f t="shared" si="869"/>
        <v>3136097.5891122892</v>
      </c>
      <c r="V442" s="552">
        <f t="shared" si="869"/>
        <v>3210292.882689449</v>
      </c>
      <c r="W442" s="552">
        <f t="shared" si="869"/>
        <v>3270772.0931530348</v>
      </c>
      <c r="X442" s="552">
        <f t="shared" si="869"/>
        <v>3331251.8981489898</v>
      </c>
      <c r="Y442" s="552">
        <f t="shared" si="869"/>
        <v>3391732.4042117973</v>
      </c>
      <c r="Z442" s="552">
        <f t="shared" si="869"/>
        <v>3452207.4402253409</v>
      </c>
      <c r="AA442" s="552">
        <f t="shared" si="869"/>
        <v>3512689.7366945054</v>
      </c>
      <c r="AB442" s="552">
        <f t="shared" si="869"/>
        <v>3573166.8683038806</v>
      </c>
      <c r="AC442" s="552">
        <f t="shared" si="869"/>
        <v>3633651.6114616371</v>
      </c>
      <c r="AD442" s="552">
        <f t="shared" si="869"/>
        <v>3694137.8864601478</v>
      </c>
      <c r="AE442" s="552">
        <f t="shared" si="869"/>
        <v>3754619.643507313</v>
      </c>
      <c r="AF442" s="552">
        <f t="shared" si="869"/>
        <v>3815109.7520000972</v>
      </c>
      <c r="AG442" s="552">
        <f t="shared" si="869"/>
        <v>3875602.235071532</v>
      </c>
      <c r="AH442" s="727">
        <f t="shared" si="869"/>
        <v>3936091.1578295198</v>
      </c>
      <c r="AI442" s="18"/>
      <c r="AJ442" s="18"/>
      <c r="AK442" s="18"/>
      <c r="AL442" s="18"/>
      <c r="AM442" s="18"/>
      <c r="AN442" s="18"/>
    </row>
    <row r="443" spans="2:40" ht="21.9" customHeight="1" x14ac:dyDescent="0.25">
      <c r="B443" s="229"/>
      <c r="C443" s="690"/>
      <c r="D443" s="690"/>
      <c r="E443" s="114"/>
      <c r="F443" s="114"/>
      <c r="G443" s="114"/>
      <c r="H443" s="696" t="s">
        <v>25</v>
      </c>
      <c r="I443" s="552">
        <f t="shared" ref="I443:AH443" si="870">SUM(I441:I442)</f>
        <v>2610356.5030975593</v>
      </c>
      <c r="J443" s="552">
        <f t="shared" si="870"/>
        <v>2685605.3001971794</v>
      </c>
      <c r="K443" s="552">
        <f t="shared" si="870"/>
        <v>2767053.7181097083</v>
      </c>
      <c r="L443" s="552">
        <f t="shared" si="870"/>
        <v>2875109.567095574</v>
      </c>
      <c r="M443" s="552">
        <f t="shared" si="870"/>
        <v>2983183.7559173964</v>
      </c>
      <c r="N443" s="552">
        <f t="shared" si="870"/>
        <v>3091302.4147294969</v>
      </c>
      <c r="O443" s="552">
        <f t="shared" si="870"/>
        <v>3199358.5539291627</v>
      </c>
      <c r="P443" s="552">
        <f t="shared" si="870"/>
        <v>3307443.5830207784</v>
      </c>
      <c r="Q443" s="552">
        <f t="shared" si="870"/>
        <v>3426377.5915840408</v>
      </c>
      <c r="R443" s="552">
        <f t="shared" si="870"/>
        <v>3545272.8390971529</v>
      </c>
      <c r="S443" s="552">
        <f t="shared" si="870"/>
        <v>3664207.7787642246</v>
      </c>
      <c r="T443" s="552">
        <f t="shared" si="870"/>
        <v>3783143.4400438261</v>
      </c>
      <c r="U443" s="552">
        <f t="shared" si="870"/>
        <v>3902147.9345363448</v>
      </c>
      <c r="V443" s="552">
        <f t="shared" si="870"/>
        <v>3994466.8128102776</v>
      </c>
      <c r="W443" s="552">
        <f t="shared" si="870"/>
        <v>4069719.198773073</v>
      </c>
      <c r="X443" s="552">
        <f t="shared" si="870"/>
        <v>4144972.3244938608</v>
      </c>
      <c r="Y443" s="552">
        <f t="shared" si="870"/>
        <v>4220226.3225301597</v>
      </c>
      <c r="Z443" s="552">
        <f t="shared" si="870"/>
        <v>4295473.5143556083</v>
      </c>
      <c r="AA443" s="552">
        <f t="shared" si="870"/>
        <v>4370729.7401384199</v>
      </c>
      <c r="AB443" s="552">
        <f t="shared" si="870"/>
        <v>4445979.5394480787</v>
      </c>
      <c r="AC443" s="552">
        <f t="shared" si="870"/>
        <v>4521238.8095688187</v>
      </c>
      <c r="AD443" s="552">
        <f t="shared" si="870"/>
        <v>4596499.9857109953</v>
      </c>
      <c r="AE443" s="552">
        <f t="shared" si="870"/>
        <v>4671755.5403079204</v>
      </c>
      <c r="AF443" s="552">
        <f t="shared" si="870"/>
        <v>4747021.4863468669</v>
      </c>
      <c r="AG443" s="552">
        <f t="shared" si="870"/>
        <v>4822290.3869996024</v>
      </c>
      <c r="AH443" s="727">
        <f t="shared" si="870"/>
        <v>4897554.8576659067</v>
      </c>
      <c r="AI443" s="18"/>
      <c r="AJ443" s="18"/>
      <c r="AK443" s="18"/>
      <c r="AL443" s="18"/>
      <c r="AM443" s="18"/>
      <c r="AN443" s="18"/>
    </row>
    <row r="444" spans="2:40" ht="21.9" customHeight="1" x14ac:dyDescent="0.25">
      <c r="B444" s="229"/>
      <c r="C444" s="690"/>
      <c r="D444" s="690"/>
      <c r="E444" s="114"/>
      <c r="F444" s="114" t="s">
        <v>333</v>
      </c>
      <c r="G444" s="114" t="s">
        <v>323</v>
      </c>
      <c r="H444" s="114" t="s">
        <v>20</v>
      </c>
      <c r="I444" s="552">
        <f t="shared" ref="I444:AH444" si="871">I380*$D$13</f>
        <v>74631.825897541814</v>
      </c>
      <c r="J444" s="552">
        <f t="shared" si="871"/>
        <v>76749.995046831507</v>
      </c>
      <c r="K444" s="552">
        <f t="shared" si="871"/>
        <v>79100.603100743334</v>
      </c>
      <c r="L444" s="552">
        <f t="shared" si="871"/>
        <v>82399.919285484153</v>
      </c>
      <c r="M444" s="552">
        <f t="shared" si="871"/>
        <v>85699.824813285479</v>
      </c>
      <c r="N444" s="552">
        <f t="shared" si="871"/>
        <v>89000.41794509496</v>
      </c>
      <c r="O444" s="552">
        <f t="shared" si="871"/>
        <v>92299.734768076727</v>
      </c>
      <c r="P444" s="552">
        <f t="shared" si="871"/>
        <v>95599.248390648936</v>
      </c>
      <c r="Q444" s="552">
        <f t="shared" si="871"/>
        <v>99307.76488636095</v>
      </c>
      <c r="R444" s="552">
        <f t="shared" si="871"/>
        <v>103015.00576080692</v>
      </c>
      <c r="S444" s="552">
        <f t="shared" si="871"/>
        <v>106723.52459119892</v>
      </c>
      <c r="T444" s="552">
        <f t="shared" si="871"/>
        <v>110432.04528762004</v>
      </c>
      <c r="U444" s="552">
        <f t="shared" si="871"/>
        <v>114141.15772077031</v>
      </c>
      <c r="V444" s="552">
        <f t="shared" si="871"/>
        <v>116901.36565228621</v>
      </c>
      <c r="W444" s="552">
        <f t="shared" si="871"/>
        <v>119019.54299960152</v>
      </c>
      <c r="X444" s="552">
        <f t="shared" si="871"/>
        <v>121137.72196253996</v>
      </c>
      <c r="Y444" s="552">
        <f t="shared" si="871"/>
        <v>123255.90281899153</v>
      </c>
      <c r="Z444" s="552">
        <f t="shared" si="871"/>
        <v>125373.00568326721</v>
      </c>
      <c r="AA444" s="552">
        <f t="shared" si="871"/>
        <v>127491.19133107978</v>
      </c>
      <c r="AB444" s="552">
        <f t="shared" si="871"/>
        <v>129608.29976972051</v>
      </c>
      <c r="AC444" s="552">
        <f t="shared" si="871"/>
        <v>131726.49189316426</v>
      </c>
      <c r="AD444" s="552">
        <f t="shared" si="871"/>
        <v>133844.68804087443</v>
      </c>
      <c r="AE444" s="552">
        <f t="shared" si="871"/>
        <v>135961.80861895569</v>
      </c>
      <c r="AF444" s="552">
        <f t="shared" si="871"/>
        <v>138080.01475926628</v>
      </c>
      <c r="AG444" s="552">
        <f t="shared" si="871"/>
        <v>140198.22704770614</v>
      </c>
      <c r="AH444" s="727">
        <f t="shared" si="871"/>
        <v>142315.36616170415</v>
      </c>
      <c r="AI444" s="18"/>
      <c r="AJ444" s="18"/>
      <c r="AK444" s="18"/>
      <c r="AL444" s="18"/>
      <c r="AM444" s="18"/>
      <c r="AN444" s="18"/>
    </row>
    <row r="445" spans="2:40" ht="21.9" customHeight="1" x14ac:dyDescent="0.25">
      <c r="B445" s="229"/>
      <c r="C445" s="690"/>
      <c r="D445" s="690"/>
      <c r="E445" s="114"/>
      <c r="F445" s="114"/>
      <c r="G445" s="114"/>
      <c r="H445" s="122" t="s">
        <v>19</v>
      </c>
      <c r="I445" s="552">
        <f t="shared" ref="I445:AH445" si="872">I381*$D$14</f>
        <v>305531.73256356479</v>
      </c>
      <c r="J445" s="552">
        <f t="shared" si="872"/>
        <v>314203.20592311566</v>
      </c>
      <c r="K445" s="552">
        <f t="shared" si="872"/>
        <v>323826.25001526356</v>
      </c>
      <c r="L445" s="552">
        <f t="shared" si="872"/>
        <v>337333.16583938885</v>
      </c>
      <c r="M445" s="552">
        <f t="shared" si="872"/>
        <v>350842.49434743531</v>
      </c>
      <c r="N445" s="552">
        <f t="shared" si="872"/>
        <v>364354.63780528912</v>
      </c>
      <c r="O445" s="552">
        <f t="shared" si="872"/>
        <v>377861.55624227913</v>
      </c>
      <c r="P445" s="552">
        <f t="shared" si="872"/>
        <v>391369.28034788452</v>
      </c>
      <c r="Q445" s="552">
        <f t="shared" si="872"/>
        <v>406551.4021377358</v>
      </c>
      <c r="R445" s="552">
        <f t="shared" si="872"/>
        <v>421728.30172149965</v>
      </c>
      <c r="S445" s="552">
        <f t="shared" si="872"/>
        <v>436910.43306918786</v>
      </c>
      <c r="T445" s="552">
        <f t="shared" si="872"/>
        <v>452092.57205612503</v>
      </c>
      <c r="U445" s="552">
        <f t="shared" si="872"/>
        <v>467277.13352631126</v>
      </c>
      <c r="V445" s="552">
        <f t="shared" si="872"/>
        <v>478577.0193512878</v>
      </c>
      <c r="W445" s="552">
        <f t="shared" si="872"/>
        <v>487248.52627235133</v>
      </c>
      <c r="X445" s="552">
        <f t="shared" si="872"/>
        <v>495920.03980753862</v>
      </c>
      <c r="Y445" s="552">
        <f t="shared" si="872"/>
        <v>504591.56109449052</v>
      </c>
      <c r="Z445" s="552">
        <f t="shared" si="872"/>
        <v>513258.66923982056</v>
      </c>
      <c r="AA445" s="552">
        <f t="shared" si="872"/>
        <v>521930.21014190058</v>
      </c>
      <c r="AB445" s="552">
        <f t="shared" si="872"/>
        <v>530597.3411078623</v>
      </c>
      <c r="AC445" s="552">
        <f t="shared" si="872"/>
        <v>539268.90852022509</v>
      </c>
      <c r="AD445" s="552">
        <f t="shared" si="872"/>
        <v>547940.49240734358</v>
      </c>
      <c r="AE445" s="552">
        <f t="shared" si="872"/>
        <v>556607.67307039176</v>
      </c>
      <c r="AF445" s="552">
        <f t="shared" si="872"/>
        <v>565279.29786574852</v>
      </c>
      <c r="AG445" s="552">
        <f t="shared" si="872"/>
        <v>573950.94783064339</v>
      </c>
      <c r="AH445" s="727">
        <f t="shared" si="872"/>
        <v>582618.20437701198</v>
      </c>
      <c r="AI445" s="18"/>
      <c r="AJ445" s="18"/>
      <c r="AK445" s="18"/>
      <c r="AL445" s="18"/>
      <c r="AM445" s="18"/>
      <c r="AN445" s="18"/>
    </row>
    <row r="446" spans="2:40" ht="21.9" customHeight="1" x14ac:dyDescent="0.25">
      <c r="B446" s="229"/>
      <c r="C446" s="690"/>
      <c r="D446" s="690"/>
      <c r="E446" s="114"/>
      <c r="F446" s="114"/>
      <c r="G446" s="114"/>
      <c r="H446" s="696" t="s">
        <v>25</v>
      </c>
      <c r="I446" s="552">
        <f t="shared" ref="I446:AH446" si="873">SUM(I444:I445)</f>
        <v>380163.55846110662</v>
      </c>
      <c r="J446" s="552">
        <f t="shared" si="873"/>
        <v>390953.20096994715</v>
      </c>
      <c r="K446" s="552">
        <f t="shared" si="873"/>
        <v>402926.85311600688</v>
      </c>
      <c r="L446" s="552">
        <f t="shared" si="873"/>
        <v>419733.08512487297</v>
      </c>
      <c r="M446" s="552">
        <f t="shared" si="873"/>
        <v>436542.3191607208</v>
      </c>
      <c r="N446" s="552">
        <f t="shared" si="873"/>
        <v>453355.05575038411</v>
      </c>
      <c r="O446" s="552">
        <f t="shared" si="873"/>
        <v>470161.29101035587</v>
      </c>
      <c r="P446" s="552">
        <f t="shared" si="873"/>
        <v>486968.52873853344</v>
      </c>
      <c r="Q446" s="552">
        <f t="shared" si="873"/>
        <v>505859.16702409677</v>
      </c>
      <c r="R446" s="552">
        <f t="shared" si="873"/>
        <v>524743.30748230661</v>
      </c>
      <c r="S446" s="552">
        <f t="shared" si="873"/>
        <v>543633.9576603868</v>
      </c>
      <c r="T446" s="552">
        <f t="shared" si="873"/>
        <v>562524.61734374508</v>
      </c>
      <c r="U446" s="552">
        <f t="shared" si="873"/>
        <v>581418.29124708159</v>
      </c>
      <c r="V446" s="552">
        <f t="shared" si="873"/>
        <v>595478.38500357396</v>
      </c>
      <c r="W446" s="552">
        <f t="shared" si="873"/>
        <v>606268.06927195285</v>
      </c>
      <c r="X446" s="552">
        <f t="shared" si="873"/>
        <v>617057.76177007856</v>
      </c>
      <c r="Y446" s="552">
        <f t="shared" si="873"/>
        <v>627847.46391348203</v>
      </c>
      <c r="Z446" s="552">
        <f t="shared" si="873"/>
        <v>638631.67492308782</v>
      </c>
      <c r="AA446" s="552">
        <f t="shared" si="873"/>
        <v>649421.40147298039</v>
      </c>
      <c r="AB446" s="552">
        <f t="shared" si="873"/>
        <v>660205.64087758283</v>
      </c>
      <c r="AC446" s="552">
        <f t="shared" si="873"/>
        <v>670995.40041338932</v>
      </c>
      <c r="AD446" s="552">
        <f t="shared" si="873"/>
        <v>681785.18044821802</v>
      </c>
      <c r="AE446" s="552">
        <f t="shared" si="873"/>
        <v>692569.48168934742</v>
      </c>
      <c r="AF446" s="552">
        <f t="shared" si="873"/>
        <v>703359.31262501481</v>
      </c>
      <c r="AG446" s="552">
        <f t="shared" si="873"/>
        <v>714149.17487834953</v>
      </c>
      <c r="AH446" s="727">
        <f t="shared" si="873"/>
        <v>724933.57053871616</v>
      </c>
      <c r="AI446" s="18"/>
      <c r="AJ446" s="18"/>
      <c r="AK446" s="18"/>
      <c r="AL446" s="18"/>
      <c r="AM446" s="18"/>
      <c r="AN446" s="18"/>
    </row>
    <row r="447" spans="2:40" ht="21.9" customHeight="1" x14ac:dyDescent="0.25">
      <c r="B447" s="229"/>
      <c r="C447" s="690"/>
      <c r="D447" s="690"/>
      <c r="E447" s="114"/>
      <c r="F447" s="114" t="s">
        <v>323</v>
      </c>
      <c r="G447" s="114" t="s">
        <v>322</v>
      </c>
      <c r="H447" s="114" t="s">
        <v>20</v>
      </c>
      <c r="I447" s="552">
        <f t="shared" ref="I447:AH447" si="874">I383*$D$13</f>
        <v>22479.344648164213</v>
      </c>
      <c r="J447" s="552">
        <f t="shared" si="874"/>
        <v>23117.344017216095</v>
      </c>
      <c r="K447" s="552">
        <f t="shared" si="874"/>
        <v>23825.354752011579</v>
      </c>
      <c r="L447" s="552">
        <f t="shared" si="874"/>
        <v>24819.119484596915</v>
      </c>
      <c r="M447" s="552">
        <f t="shared" si="874"/>
        <v>25813.061804048255</v>
      </c>
      <c r="N447" s="552">
        <f t="shared" si="874"/>
        <v>26807.211338581299</v>
      </c>
      <c r="O447" s="552">
        <f t="shared" si="874"/>
        <v>27800.976594165997</v>
      </c>
      <c r="P447" s="552">
        <f t="shared" si="874"/>
        <v>28794.801333736206</v>
      </c>
      <c r="Q447" s="552">
        <f t="shared" si="874"/>
        <v>29911.819475490083</v>
      </c>
      <c r="R447" s="552">
        <f t="shared" si="874"/>
        <v>31028.453901710374</v>
      </c>
      <c r="S447" s="552">
        <f t="shared" si="874"/>
        <v>32145.473956591602</v>
      </c>
      <c r="T447" s="552">
        <f t="shared" si="874"/>
        <v>33262.49554056942</v>
      </c>
      <c r="U447" s="552">
        <f t="shared" si="874"/>
        <v>34379.696672878163</v>
      </c>
      <c r="V447" s="552">
        <f t="shared" si="874"/>
        <v>35211.084674774756</v>
      </c>
      <c r="W447" s="552">
        <f t="shared" si="874"/>
        <v>35849.090761606749</v>
      </c>
      <c r="X447" s="552">
        <f t="shared" si="874"/>
        <v>36487.098172342958</v>
      </c>
      <c r="Y447" s="552">
        <f t="shared" si="874"/>
        <v>37125.107134697311</v>
      </c>
      <c r="Z447" s="552">
        <f t="shared" si="874"/>
        <v>37762.792545227734</v>
      </c>
      <c r="AA447" s="552">
        <f t="shared" si="874"/>
        <v>38400.805433809102</v>
      </c>
      <c r="AB447" s="552">
        <f t="shared" si="874"/>
        <v>39038.495412190401</v>
      </c>
      <c r="AC447" s="552">
        <f t="shared" si="874"/>
        <v>39676.513607155102</v>
      </c>
      <c r="AD447" s="552">
        <f t="shared" si="874"/>
        <v>40314.535099759727</v>
      </c>
      <c r="AE447" s="552">
        <f t="shared" si="874"/>
        <v>40952.23502566947</v>
      </c>
      <c r="AF447" s="552">
        <f t="shared" si="874"/>
        <v>41590.264706598391</v>
      </c>
      <c r="AG447" s="552">
        <f t="shared" si="874"/>
        <v>42228.299425542922</v>
      </c>
      <c r="AH447" s="727">
        <f t="shared" si="874"/>
        <v>42866.014540501659</v>
      </c>
      <c r="AI447" s="18"/>
      <c r="AJ447" s="18"/>
      <c r="AK447" s="18"/>
      <c r="AL447" s="18"/>
      <c r="AM447" s="18"/>
      <c r="AN447" s="18"/>
    </row>
    <row r="448" spans="2:40" ht="21.9" customHeight="1" x14ac:dyDescent="0.25">
      <c r="B448" s="229"/>
      <c r="C448" s="690"/>
      <c r="D448" s="690"/>
      <c r="E448" s="114"/>
      <c r="F448" s="114"/>
      <c r="G448" s="114"/>
      <c r="H448" s="122" t="s">
        <v>19</v>
      </c>
      <c r="I448" s="552">
        <f t="shared" ref="I448:AH448" si="875">I384*$D$14</f>
        <v>92027.135001038871</v>
      </c>
      <c r="J448" s="552">
        <f t="shared" si="875"/>
        <v>94639.010702277796</v>
      </c>
      <c r="K448" s="552">
        <f t="shared" si="875"/>
        <v>97537.502650908937</v>
      </c>
      <c r="L448" s="552">
        <f t="shared" si="875"/>
        <v>101605.82949211739</v>
      </c>
      <c r="M448" s="552">
        <f t="shared" si="875"/>
        <v>105674.88334786955</v>
      </c>
      <c r="N448" s="552">
        <f t="shared" si="875"/>
        <v>109744.78551172841</v>
      </c>
      <c r="O448" s="552">
        <f t="shared" si="875"/>
        <v>113813.11449401941</v>
      </c>
      <c r="P448" s="552">
        <f t="shared" si="875"/>
        <v>117881.68699500953</v>
      </c>
      <c r="Q448" s="552">
        <f t="shared" si="875"/>
        <v>122454.59518867382</v>
      </c>
      <c r="R448" s="552">
        <f t="shared" si="875"/>
        <v>127025.93250730752</v>
      </c>
      <c r="S448" s="552">
        <f t="shared" si="875"/>
        <v>131598.84853303418</v>
      </c>
      <c r="T448" s="552">
        <f t="shared" si="875"/>
        <v>136171.77081865765</v>
      </c>
      <c r="U448" s="552">
        <f t="shared" si="875"/>
        <v>140745.42814877408</v>
      </c>
      <c r="V448" s="552">
        <f t="shared" si="875"/>
        <v>144149.00850604355</v>
      </c>
      <c r="W448" s="552">
        <f t="shared" si="875"/>
        <v>146760.91170888743</v>
      </c>
      <c r="X448" s="552">
        <f t="shared" si="875"/>
        <v>149372.82033160076</v>
      </c>
      <c r="Y448" s="552">
        <f t="shared" si="875"/>
        <v>151984.73530641082</v>
      </c>
      <c r="Z448" s="552">
        <f t="shared" si="875"/>
        <v>154595.32570758025</v>
      </c>
      <c r="AA448" s="552">
        <f t="shared" si="875"/>
        <v>157207.25675578698</v>
      </c>
      <c r="AB448" s="552">
        <f t="shared" si="875"/>
        <v>159817.86585706691</v>
      </c>
      <c r="AC448" s="552">
        <f t="shared" si="875"/>
        <v>162429.81862882755</v>
      </c>
      <c r="AD448" s="552">
        <f t="shared" si="875"/>
        <v>165041.78490064168</v>
      </c>
      <c r="AE448" s="552">
        <f t="shared" si="875"/>
        <v>167652.43472564183</v>
      </c>
      <c r="AF448" s="552">
        <f t="shared" si="875"/>
        <v>170264.43451925286</v>
      </c>
      <c r="AG448" s="552">
        <f t="shared" si="875"/>
        <v>172876.45493775973</v>
      </c>
      <c r="AH448" s="727">
        <f t="shared" si="875"/>
        <v>175487.16694449537</v>
      </c>
      <c r="AI448" s="18"/>
      <c r="AJ448" s="18"/>
      <c r="AK448" s="18"/>
      <c r="AL448" s="18"/>
      <c r="AM448" s="18"/>
      <c r="AN448" s="18"/>
    </row>
    <row r="449" spans="1:41" ht="21.9" customHeight="1" x14ac:dyDescent="0.25">
      <c r="B449" s="229"/>
      <c r="C449" s="690"/>
      <c r="D449" s="690"/>
      <c r="E449" s="114"/>
      <c r="F449" s="114"/>
      <c r="G449" s="114"/>
      <c r="H449" s="696" t="s">
        <v>25</v>
      </c>
      <c r="I449" s="552">
        <f t="shared" ref="I449:AH449" si="876">SUM(I447:I448)</f>
        <v>114506.47964920309</v>
      </c>
      <c r="J449" s="552">
        <f t="shared" si="876"/>
        <v>117756.35471949389</v>
      </c>
      <c r="K449" s="552">
        <f t="shared" si="876"/>
        <v>121362.85740292052</v>
      </c>
      <c r="L449" s="552">
        <f t="shared" si="876"/>
        <v>126424.94897671431</v>
      </c>
      <c r="M449" s="552">
        <f t="shared" si="876"/>
        <v>131487.94515191781</v>
      </c>
      <c r="N449" s="552">
        <f t="shared" si="876"/>
        <v>136551.99685030972</v>
      </c>
      <c r="O449" s="552">
        <f t="shared" si="876"/>
        <v>141614.09108818541</v>
      </c>
      <c r="P449" s="552">
        <f t="shared" si="876"/>
        <v>146676.48832874573</v>
      </c>
      <c r="Q449" s="552">
        <f t="shared" si="876"/>
        <v>152366.41466416389</v>
      </c>
      <c r="R449" s="552">
        <f t="shared" si="876"/>
        <v>158054.3864090179</v>
      </c>
      <c r="S449" s="552">
        <f t="shared" si="876"/>
        <v>163744.32248962577</v>
      </c>
      <c r="T449" s="552">
        <f t="shared" si="876"/>
        <v>169434.26635922707</v>
      </c>
      <c r="U449" s="552">
        <f t="shared" si="876"/>
        <v>175125.12482165225</v>
      </c>
      <c r="V449" s="552">
        <f t="shared" si="876"/>
        <v>179360.09318081831</v>
      </c>
      <c r="W449" s="552">
        <f t="shared" si="876"/>
        <v>182610.00247049419</v>
      </c>
      <c r="X449" s="552">
        <f t="shared" si="876"/>
        <v>185859.91850394371</v>
      </c>
      <c r="Y449" s="552">
        <f t="shared" si="876"/>
        <v>189109.84244110814</v>
      </c>
      <c r="Z449" s="552">
        <f t="shared" si="876"/>
        <v>192358.118252808</v>
      </c>
      <c r="AA449" s="552">
        <f t="shared" si="876"/>
        <v>195608.06218959606</v>
      </c>
      <c r="AB449" s="552">
        <f t="shared" si="876"/>
        <v>198856.36126925732</v>
      </c>
      <c r="AC449" s="552">
        <f t="shared" si="876"/>
        <v>202106.33223598264</v>
      </c>
      <c r="AD449" s="552">
        <f t="shared" si="876"/>
        <v>205356.32000040141</v>
      </c>
      <c r="AE449" s="552">
        <f t="shared" si="876"/>
        <v>208604.6697513113</v>
      </c>
      <c r="AF449" s="552">
        <f t="shared" si="876"/>
        <v>211854.69922585125</v>
      </c>
      <c r="AG449" s="552">
        <f t="shared" si="876"/>
        <v>215104.75436330267</v>
      </c>
      <c r="AH449" s="727">
        <f t="shared" si="876"/>
        <v>218353.18148499704</v>
      </c>
      <c r="AI449" s="18"/>
      <c r="AJ449" s="18"/>
      <c r="AK449" s="18"/>
      <c r="AL449" s="18"/>
      <c r="AM449" s="18"/>
      <c r="AN449" s="18"/>
    </row>
    <row r="450" spans="1:41" ht="21.9" customHeight="1" x14ac:dyDescent="0.25">
      <c r="B450" s="229"/>
      <c r="C450" s="690"/>
      <c r="D450" s="690"/>
      <c r="E450" s="114"/>
      <c r="F450" s="114" t="s">
        <v>322</v>
      </c>
      <c r="G450" s="114" t="s">
        <v>326</v>
      </c>
      <c r="H450" s="114" t="s">
        <v>20</v>
      </c>
      <c r="I450" s="552">
        <f t="shared" ref="I450:AH450" si="877">I386*$D$13</f>
        <v>57677.265354001167</v>
      </c>
      <c r="J450" s="552">
        <f t="shared" si="877"/>
        <v>59312.800359785797</v>
      </c>
      <c r="K450" s="552">
        <f t="shared" si="877"/>
        <v>61176.448960148067</v>
      </c>
      <c r="L450" s="552">
        <f t="shared" si="877"/>
        <v>63557.751040663999</v>
      </c>
      <c r="M450" s="552">
        <f t="shared" si="877"/>
        <v>65939.822175851848</v>
      </c>
      <c r="N450" s="552">
        <f t="shared" si="877"/>
        <v>68321.508829949031</v>
      </c>
      <c r="O450" s="552">
        <f t="shared" si="877"/>
        <v>70702.811015710147</v>
      </c>
      <c r="P450" s="552">
        <f t="shared" si="877"/>
        <v>73084.593909047995</v>
      </c>
      <c r="Q450" s="552">
        <f t="shared" si="877"/>
        <v>75776.584494586874</v>
      </c>
      <c r="R450" s="552">
        <f t="shared" si="877"/>
        <v>78468.479103212012</v>
      </c>
      <c r="S450" s="552">
        <f t="shared" si="877"/>
        <v>81160.085533245772</v>
      </c>
      <c r="T450" s="552">
        <f t="shared" si="877"/>
        <v>83852.076759888063</v>
      </c>
      <c r="U450" s="552">
        <f t="shared" si="877"/>
        <v>86544.549008020433</v>
      </c>
      <c r="V450" s="552">
        <f t="shared" si="877"/>
        <v>88718.791121837581</v>
      </c>
      <c r="W450" s="552">
        <f t="shared" si="877"/>
        <v>90354.327477417464</v>
      </c>
      <c r="X450" s="552">
        <f t="shared" si="877"/>
        <v>91989.864104623353</v>
      </c>
      <c r="Y450" s="552">
        <f t="shared" si="877"/>
        <v>93625.401051032924</v>
      </c>
      <c r="Z450" s="552">
        <f t="shared" si="877"/>
        <v>95260.457726862252</v>
      </c>
      <c r="AA450" s="552">
        <f t="shared" si="877"/>
        <v>96895.995484282597</v>
      </c>
      <c r="AB450" s="552">
        <f t="shared" si="877"/>
        <v>98531.053106202438</v>
      </c>
      <c r="AC450" s="552">
        <f t="shared" si="877"/>
        <v>100166.59196507407</v>
      </c>
      <c r="AD450" s="552">
        <f t="shared" si="877"/>
        <v>101802.13151067389</v>
      </c>
      <c r="AE450" s="552">
        <f t="shared" si="877"/>
        <v>103437.1912051478</v>
      </c>
      <c r="AF450" s="552">
        <f t="shared" si="877"/>
        <v>105072.73246185809</v>
      </c>
      <c r="AG450" s="552">
        <f t="shared" si="877"/>
        <v>106708.27477447418</v>
      </c>
      <c r="AH450" s="727">
        <f t="shared" si="877"/>
        <v>108343.33765383666</v>
      </c>
      <c r="AI450" s="18"/>
      <c r="AJ450" s="18"/>
      <c r="AK450" s="18"/>
      <c r="AL450" s="18"/>
      <c r="AM450" s="18"/>
      <c r="AN450" s="18"/>
    </row>
    <row r="451" spans="1:41" ht="21.9" customHeight="1" x14ac:dyDescent="0.25">
      <c r="B451" s="229"/>
      <c r="C451" s="690"/>
      <c r="D451" s="690"/>
      <c r="E451" s="114"/>
      <c r="F451" s="114"/>
      <c r="G451" s="114"/>
      <c r="H451" s="122" t="s">
        <v>19</v>
      </c>
      <c r="I451" s="552">
        <f t="shared" ref="I451:AH451" si="878">I387*$D$14</f>
        <v>236122.25215190504</v>
      </c>
      <c r="J451" s="552">
        <f t="shared" si="878"/>
        <v>242817.89222202421</v>
      </c>
      <c r="K451" s="552">
        <f t="shared" si="878"/>
        <v>250447.39584076256</v>
      </c>
      <c r="L451" s="552">
        <f t="shared" si="878"/>
        <v>260196.09676918539</v>
      </c>
      <c r="M451" s="552">
        <f t="shared" si="878"/>
        <v>269947.94609446864</v>
      </c>
      <c r="N451" s="552">
        <f t="shared" si="878"/>
        <v>279698.22141064308</v>
      </c>
      <c r="O451" s="552">
        <f t="shared" si="878"/>
        <v>289446.92276992422</v>
      </c>
      <c r="P451" s="552">
        <f t="shared" si="878"/>
        <v>299197.59207541338</v>
      </c>
      <c r="Q451" s="552">
        <f t="shared" si="878"/>
        <v>310218.20610639866</v>
      </c>
      <c r="R451" s="552">
        <f t="shared" si="878"/>
        <v>321238.42722199712</v>
      </c>
      <c r="S451" s="552">
        <f t="shared" si="878"/>
        <v>332257.46857677295</v>
      </c>
      <c r="T451" s="552">
        <f t="shared" si="878"/>
        <v>343278.08523234143</v>
      </c>
      <c r="U451" s="552">
        <f t="shared" si="878"/>
        <v>354300.67111923313</v>
      </c>
      <c r="V451" s="552">
        <f t="shared" si="878"/>
        <v>363201.69895900757</v>
      </c>
      <c r="W451" s="552">
        <f t="shared" si="878"/>
        <v>369897.34455499024</v>
      </c>
      <c r="X451" s="552">
        <f t="shared" si="878"/>
        <v>376592.99126296979</v>
      </c>
      <c r="Y451" s="552">
        <f t="shared" si="878"/>
        <v>383288.63927772251</v>
      </c>
      <c r="Z451" s="552">
        <f t="shared" si="878"/>
        <v>389982.32113526645</v>
      </c>
      <c r="AA451" s="552">
        <f t="shared" si="878"/>
        <v>396677.97247017809</v>
      </c>
      <c r="AB451" s="552">
        <f t="shared" si="878"/>
        <v>403371.65820087766</v>
      </c>
      <c r="AC451" s="552">
        <f t="shared" si="878"/>
        <v>410067.31404496892</v>
      </c>
      <c r="AD451" s="552">
        <f t="shared" si="878"/>
        <v>416762.97270042473</v>
      </c>
      <c r="AE451" s="552">
        <f t="shared" si="878"/>
        <v>423456.66691585624</v>
      </c>
      <c r="AF451" s="552">
        <f t="shared" si="878"/>
        <v>430152.33257634682</v>
      </c>
      <c r="AG451" s="552">
        <f t="shared" si="878"/>
        <v>436848.00255956064</v>
      </c>
      <c r="AH451" s="727">
        <f t="shared" si="878"/>
        <v>443541.70981345809</v>
      </c>
      <c r="AI451" s="18"/>
      <c r="AJ451" s="18"/>
      <c r="AK451" s="18"/>
      <c r="AL451" s="18"/>
      <c r="AM451" s="18"/>
      <c r="AN451" s="18"/>
    </row>
    <row r="452" spans="1:41" ht="21.9" customHeight="1" x14ac:dyDescent="0.25">
      <c r="B452" s="229"/>
      <c r="C452" s="690"/>
      <c r="D452" s="690"/>
      <c r="E452" s="114"/>
      <c r="F452" s="114"/>
      <c r="G452" s="114"/>
      <c r="H452" s="696" t="s">
        <v>25</v>
      </c>
      <c r="I452" s="552">
        <f t="shared" ref="I452:AH452" si="879">SUM(I450:I451)</f>
        <v>293799.51750590617</v>
      </c>
      <c r="J452" s="552">
        <f t="shared" si="879"/>
        <v>302130.69258181</v>
      </c>
      <c r="K452" s="552">
        <f t="shared" si="879"/>
        <v>311623.84480091062</v>
      </c>
      <c r="L452" s="552">
        <f t="shared" si="879"/>
        <v>323753.84780984937</v>
      </c>
      <c r="M452" s="552">
        <f t="shared" si="879"/>
        <v>335887.76827032049</v>
      </c>
      <c r="N452" s="552">
        <f t="shared" si="879"/>
        <v>348019.73024059209</v>
      </c>
      <c r="O452" s="552">
        <f t="shared" si="879"/>
        <v>360149.73378563439</v>
      </c>
      <c r="P452" s="552">
        <f t="shared" si="879"/>
        <v>372282.18598446139</v>
      </c>
      <c r="Q452" s="552">
        <f t="shared" si="879"/>
        <v>385994.79060098552</v>
      </c>
      <c r="R452" s="552">
        <f t="shared" si="879"/>
        <v>399706.90632520913</v>
      </c>
      <c r="S452" s="552">
        <f t="shared" si="879"/>
        <v>413417.55411001871</v>
      </c>
      <c r="T452" s="552">
        <f t="shared" si="879"/>
        <v>427130.16199222952</v>
      </c>
      <c r="U452" s="552">
        <f t="shared" si="879"/>
        <v>440845.22012725356</v>
      </c>
      <c r="V452" s="552">
        <f t="shared" si="879"/>
        <v>451920.49008084513</v>
      </c>
      <c r="W452" s="552">
        <f t="shared" si="879"/>
        <v>460251.67203240772</v>
      </c>
      <c r="X452" s="552">
        <f t="shared" si="879"/>
        <v>468582.85536759312</v>
      </c>
      <c r="Y452" s="552">
        <f t="shared" si="879"/>
        <v>476914.04032875545</v>
      </c>
      <c r="Z452" s="552">
        <f t="shared" si="879"/>
        <v>485242.77886212873</v>
      </c>
      <c r="AA452" s="552">
        <f t="shared" si="879"/>
        <v>493573.96795446071</v>
      </c>
      <c r="AB452" s="552">
        <f t="shared" si="879"/>
        <v>501902.71130708011</v>
      </c>
      <c r="AC452" s="552">
        <f t="shared" si="879"/>
        <v>510233.90601004299</v>
      </c>
      <c r="AD452" s="552">
        <f t="shared" si="879"/>
        <v>518565.10421109863</v>
      </c>
      <c r="AE452" s="552">
        <f t="shared" si="879"/>
        <v>526893.85812100407</v>
      </c>
      <c r="AF452" s="552">
        <f t="shared" si="879"/>
        <v>535225.06503820489</v>
      </c>
      <c r="AG452" s="552">
        <f t="shared" si="879"/>
        <v>543556.27733403479</v>
      </c>
      <c r="AH452" s="727">
        <f t="shared" si="879"/>
        <v>551885.04746729473</v>
      </c>
      <c r="AI452" s="18"/>
      <c r="AJ452" s="18"/>
      <c r="AK452" s="18"/>
      <c r="AL452" s="18"/>
      <c r="AM452" s="18"/>
      <c r="AN452" s="18"/>
    </row>
    <row r="453" spans="1:41" ht="21.9" customHeight="1" x14ac:dyDescent="0.25">
      <c r="B453" s="229"/>
      <c r="C453" s="690"/>
      <c r="D453" s="690"/>
      <c r="E453" s="114"/>
      <c r="F453" s="114" t="s">
        <v>326</v>
      </c>
      <c r="G453" s="114" t="s">
        <v>274</v>
      </c>
      <c r="H453" s="114" t="s">
        <v>20</v>
      </c>
      <c r="I453" s="552">
        <f t="shared" ref="I453:AH453" si="880">I389*$D$13</f>
        <v>393203.86295839358</v>
      </c>
      <c r="J453" s="552">
        <f t="shared" si="880"/>
        <v>404353.81387719617</v>
      </c>
      <c r="K453" s="552">
        <f t="shared" si="880"/>
        <v>417058.88609931455</v>
      </c>
      <c r="L453" s="552">
        <f t="shared" si="880"/>
        <v>433292.96305062663</v>
      </c>
      <c r="M453" s="552">
        <f t="shared" si="880"/>
        <v>449532.28278142278</v>
      </c>
      <c r="N453" s="552">
        <f t="shared" si="880"/>
        <v>465768.9812383611</v>
      </c>
      <c r="O453" s="552">
        <f t="shared" si="880"/>
        <v>482003.05845340242</v>
      </c>
      <c r="P453" s="552">
        <f t="shared" si="880"/>
        <v>498240.41252692183</v>
      </c>
      <c r="Q453" s="552">
        <f t="shared" si="880"/>
        <v>516592.54837759701</v>
      </c>
      <c r="R453" s="552">
        <f t="shared" si="880"/>
        <v>534944.02926904475</v>
      </c>
      <c r="S453" s="552">
        <f t="shared" si="880"/>
        <v>553293.54466173251</v>
      </c>
      <c r="T453" s="552">
        <f t="shared" si="880"/>
        <v>571645.68211892108</v>
      </c>
      <c r="U453" s="552">
        <f t="shared" si="880"/>
        <v>590001.09722120897</v>
      </c>
      <c r="V453" s="552">
        <f t="shared" si="880"/>
        <v>604823.57585259783</v>
      </c>
      <c r="W453" s="552">
        <f t="shared" si="880"/>
        <v>615973.5301537934</v>
      </c>
      <c r="X453" s="552">
        <f t="shared" si="880"/>
        <v>627123.48513564479</v>
      </c>
      <c r="Y453" s="552">
        <f t="shared" si="880"/>
        <v>638273.44091737457</v>
      </c>
      <c r="Z453" s="552">
        <f t="shared" si="880"/>
        <v>649420.12093567697</v>
      </c>
      <c r="AA453" s="552">
        <f t="shared" si="880"/>
        <v>660570.0787496831</v>
      </c>
      <c r="AB453" s="552">
        <f t="shared" si="880"/>
        <v>671716.76113875257</v>
      </c>
      <c r="AC453" s="552">
        <f t="shared" si="880"/>
        <v>682866.72171283781</v>
      </c>
      <c r="AD453" s="552">
        <f t="shared" si="880"/>
        <v>694016.68400776526</v>
      </c>
      <c r="AE453" s="552">
        <f t="shared" si="880"/>
        <v>705163.37159035739</v>
      </c>
      <c r="AF453" s="552">
        <f t="shared" si="880"/>
        <v>716313.33817308187</v>
      </c>
      <c r="AG453" s="552">
        <f t="shared" si="880"/>
        <v>727463.30740175466</v>
      </c>
      <c r="AH453" s="727">
        <f t="shared" si="880"/>
        <v>738610.00296522013</v>
      </c>
      <c r="AI453" s="18"/>
      <c r="AJ453" s="18"/>
      <c r="AK453" s="18"/>
      <c r="AL453" s="18"/>
      <c r="AM453" s="18"/>
      <c r="AN453" s="18"/>
    </row>
    <row r="454" spans="1:41" ht="21.9" customHeight="1" x14ac:dyDescent="0.25">
      <c r="B454" s="229"/>
      <c r="C454" s="690"/>
      <c r="D454" s="690"/>
      <c r="E454" s="114"/>
      <c r="F454" s="114"/>
      <c r="G454" s="114"/>
      <c r="H454" s="122" t="s">
        <v>19</v>
      </c>
      <c r="I454" s="552">
        <f t="shared" ref="I454:AH454" si="881">I390*$D$14</f>
        <v>1609718.857278038</v>
      </c>
      <c r="J454" s="552">
        <f t="shared" si="881"/>
        <v>1655365.1185245106</v>
      </c>
      <c r="K454" s="552">
        <f t="shared" si="881"/>
        <v>1707377.8179551556</v>
      </c>
      <c r="L454" s="552">
        <f t="shared" si="881"/>
        <v>1773837.7443719897</v>
      </c>
      <c r="M454" s="552">
        <f t="shared" si="881"/>
        <v>1840319.1339579206</v>
      </c>
      <c r="N454" s="552">
        <f t="shared" si="881"/>
        <v>1906789.7924337157</v>
      </c>
      <c r="O454" s="552">
        <f t="shared" si="881"/>
        <v>1973249.719930219</v>
      </c>
      <c r="P454" s="552">
        <f t="shared" si="881"/>
        <v>2039723.0624039939</v>
      </c>
      <c r="Q454" s="552">
        <f t="shared" si="881"/>
        <v>2114854.0108333738</v>
      </c>
      <c r="R454" s="552">
        <f t="shared" si="881"/>
        <v>2189982.2779558836</v>
      </c>
      <c r="S454" s="552">
        <f t="shared" si="881"/>
        <v>2265102.4986151829</v>
      </c>
      <c r="T454" s="552">
        <f t="shared" si="881"/>
        <v>2340233.4536213926</v>
      </c>
      <c r="U454" s="552">
        <f t="shared" si="881"/>
        <v>2415377.8268251861</v>
      </c>
      <c r="V454" s="552">
        <f t="shared" si="881"/>
        <v>2476058.8770697825</v>
      </c>
      <c r="W454" s="552">
        <f t="shared" si="881"/>
        <v>2521705.1521632751</v>
      </c>
      <c r="X454" s="552">
        <f t="shared" si="881"/>
        <v>2567351.4300432727</v>
      </c>
      <c r="Y454" s="552">
        <f t="shared" si="881"/>
        <v>2612997.711197855</v>
      </c>
      <c r="Z454" s="552">
        <f t="shared" si="881"/>
        <v>2658630.5818581423</v>
      </c>
      <c r="AA454" s="552">
        <f t="shared" si="881"/>
        <v>2704276.8713325658</v>
      </c>
      <c r="AB454" s="552">
        <f t="shared" si="881"/>
        <v>2749909.751698425</v>
      </c>
      <c r="AC454" s="552">
        <f t="shared" si="881"/>
        <v>2795556.0524722063</v>
      </c>
      <c r="AD454" s="552">
        <f t="shared" si="881"/>
        <v>2841202.3602908636</v>
      </c>
      <c r="AE454" s="552">
        <f t="shared" si="881"/>
        <v>2886835.2619182416</v>
      </c>
      <c r="AF454" s="552">
        <f t="shared" si="881"/>
        <v>2932481.5872905096</v>
      </c>
      <c r="AG454" s="552">
        <f t="shared" si="881"/>
        <v>2978127.923494902</v>
      </c>
      <c r="AH454" s="727">
        <f t="shared" si="881"/>
        <v>3023760.8577948026</v>
      </c>
      <c r="AI454" s="18"/>
      <c r="AJ454" s="18"/>
      <c r="AK454" s="18"/>
      <c r="AL454" s="18"/>
      <c r="AM454" s="18"/>
      <c r="AN454" s="18"/>
    </row>
    <row r="455" spans="1:41" ht="21.9" customHeight="1" x14ac:dyDescent="0.25">
      <c r="B455" s="229"/>
      <c r="C455" s="690"/>
      <c r="D455" s="690"/>
      <c r="E455" s="114"/>
      <c r="F455" s="114"/>
      <c r="G455" s="114"/>
      <c r="H455" s="696" t="s">
        <v>25</v>
      </c>
      <c r="I455" s="552">
        <f t="shared" ref="I455:AH455" si="882">SUM(I453:I454)</f>
        <v>2002922.7202364316</v>
      </c>
      <c r="J455" s="552">
        <f t="shared" si="882"/>
        <v>2059718.9324017069</v>
      </c>
      <c r="K455" s="552">
        <f t="shared" si="882"/>
        <v>2124436.7040544702</v>
      </c>
      <c r="L455" s="552">
        <f t="shared" si="882"/>
        <v>2207130.7074226164</v>
      </c>
      <c r="M455" s="552">
        <f t="shared" si="882"/>
        <v>2289851.4167393432</v>
      </c>
      <c r="N455" s="552">
        <f t="shared" si="882"/>
        <v>2372558.7736720769</v>
      </c>
      <c r="O455" s="552">
        <f t="shared" si="882"/>
        <v>2455252.7783836215</v>
      </c>
      <c r="P455" s="552">
        <f t="shared" si="882"/>
        <v>2537963.474930916</v>
      </c>
      <c r="Q455" s="552">
        <f t="shared" si="882"/>
        <v>2631446.559210971</v>
      </c>
      <c r="R455" s="552">
        <f t="shared" si="882"/>
        <v>2724926.3072249284</v>
      </c>
      <c r="S455" s="552">
        <f t="shared" si="882"/>
        <v>2818396.0432769153</v>
      </c>
      <c r="T455" s="552">
        <f t="shared" si="882"/>
        <v>2911879.1357403137</v>
      </c>
      <c r="U455" s="552">
        <f t="shared" si="882"/>
        <v>3005378.9240463953</v>
      </c>
      <c r="V455" s="552">
        <f t="shared" si="882"/>
        <v>3080882.4529223805</v>
      </c>
      <c r="W455" s="552">
        <f t="shared" si="882"/>
        <v>3137678.6823170683</v>
      </c>
      <c r="X455" s="552">
        <f t="shared" si="882"/>
        <v>3194474.9151789173</v>
      </c>
      <c r="Y455" s="552">
        <f t="shared" si="882"/>
        <v>3251271.1521152295</v>
      </c>
      <c r="Z455" s="552">
        <f t="shared" si="882"/>
        <v>3308050.7027938194</v>
      </c>
      <c r="AA455" s="552">
        <f t="shared" si="882"/>
        <v>3364846.950082249</v>
      </c>
      <c r="AB455" s="552">
        <f t="shared" si="882"/>
        <v>3421626.5128371776</v>
      </c>
      <c r="AC455" s="552">
        <f t="shared" si="882"/>
        <v>3478422.7741850442</v>
      </c>
      <c r="AD455" s="552">
        <f t="shared" si="882"/>
        <v>3535219.0442986288</v>
      </c>
      <c r="AE455" s="552">
        <f t="shared" si="882"/>
        <v>3591998.6335085989</v>
      </c>
      <c r="AF455" s="552">
        <f t="shared" si="882"/>
        <v>3648794.9254635917</v>
      </c>
      <c r="AG455" s="552">
        <f t="shared" si="882"/>
        <v>3705591.2308966564</v>
      </c>
      <c r="AH455" s="727">
        <f t="shared" si="882"/>
        <v>3762370.8607600229</v>
      </c>
      <c r="AI455" s="18"/>
      <c r="AJ455" s="18"/>
      <c r="AK455" s="18"/>
      <c r="AL455" s="18"/>
      <c r="AM455" s="18"/>
      <c r="AN455" s="18"/>
    </row>
    <row r="456" spans="1:41" ht="21.9" customHeight="1" x14ac:dyDescent="0.25">
      <c r="B456" s="229"/>
      <c r="C456" s="690"/>
      <c r="D456" s="690"/>
      <c r="E456" s="114"/>
      <c r="F456" s="114" t="s">
        <v>274</v>
      </c>
      <c r="G456" s="114" t="s">
        <v>317</v>
      </c>
      <c r="H456" s="114" t="s">
        <v>20</v>
      </c>
      <c r="I456" s="552">
        <f t="shared" ref="I456:AH456" si="883">I392*$D$13</f>
        <v>9820.14372060815</v>
      </c>
      <c r="J456" s="552">
        <f t="shared" si="883"/>
        <v>10098.612130867854</v>
      </c>
      <c r="K456" s="552">
        <f t="shared" si="883"/>
        <v>10415.920264126231</v>
      </c>
      <c r="L456" s="552">
        <f t="shared" si="883"/>
        <v>10821.366650978589</v>
      </c>
      <c r="M456" s="552">
        <f t="shared" si="883"/>
        <v>11226.946527156462</v>
      </c>
      <c r="N456" s="552">
        <f t="shared" si="883"/>
        <v>11632.464486102543</v>
      </c>
      <c r="O456" s="552">
        <f t="shared" si="883"/>
        <v>12037.921859250395</v>
      </c>
      <c r="P456" s="552">
        <f t="shared" si="883"/>
        <v>12443.467716294605</v>
      </c>
      <c r="Q456" s="552">
        <f t="shared" si="883"/>
        <v>12901.843502041063</v>
      </c>
      <c r="R456" s="552">
        <f t="shared" si="883"/>
        <v>13360.218773375953</v>
      </c>
      <c r="S456" s="552">
        <f t="shared" si="883"/>
        <v>13818.566628991473</v>
      </c>
      <c r="T456" s="552">
        <f t="shared" si="883"/>
        <v>14277.009337988819</v>
      </c>
      <c r="U456" s="552">
        <f t="shared" si="883"/>
        <v>14735.57329954771</v>
      </c>
      <c r="V456" s="552">
        <f t="shared" si="883"/>
        <v>15105.913175160291</v>
      </c>
      <c r="W456" s="552">
        <f t="shared" si="883"/>
        <v>15384.522487314191</v>
      </c>
      <c r="X456" s="552">
        <f t="shared" si="883"/>
        <v>15663.160153860454</v>
      </c>
      <c r="Y456" s="552">
        <f t="shared" si="883"/>
        <v>15941.831141316028</v>
      </c>
      <c r="Z456" s="552">
        <f t="shared" si="883"/>
        <v>16220.459261892674</v>
      </c>
      <c r="AA456" s="552">
        <f t="shared" si="883"/>
        <v>16499.214908826048</v>
      </c>
      <c r="AB456" s="552">
        <f t="shared" si="883"/>
        <v>16777.941789531033</v>
      </c>
      <c r="AC456" s="552">
        <f t="shared" si="883"/>
        <v>17056.812414323645</v>
      </c>
      <c r="AD456" s="552">
        <f t="shared" si="883"/>
        <v>17335.754725027531</v>
      </c>
      <c r="AE456" s="552">
        <f t="shared" si="883"/>
        <v>17614.697954694861</v>
      </c>
      <c r="AF456" s="552">
        <f t="shared" si="883"/>
        <v>17893.818884125536</v>
      </c>
      <c r="AG456" s="552">
        <f t="shared" si="883"/>
        <v>18173.050037040546</v>
      </c>
      <c r="AH456" s="727">
        <f t="shared" si="883"/>
        <v>18452.325729599444</v>
      </c>
      <c r="AI456" s="18"/>
      <c r="AJ456" s="18"/>
      <c r="AK456" s="18"/>
      <c r="AL456" s="18"/>
      <c r="AM456" s="18"/>
      <c r="AN456" s="18"/>
    </row>
    <row r="457" spans="1:41" ht="21.9" customHeight="1" x14ac:dyDescent="0.25">
      <c r="B457" s="229"/>
      <c r="C457" s="690"/>
      <c r="D457" s="690"/>
      <c r="E457" s="114"/>
      <c r="F457" s="114"/>
      <c r="G457" s="114"/>
      <c r="H457" s="122" t="s">
        <v>19</v>
      </c>
      <c r="I457" s="552">
        <f t="shared" ref="I457:AH457" si="884">I393*$D$14</f>
        <v>40202.225912302703</v>
      </c>
      <c r="J457" s="552">
        <f t="shared" si="884"/>
        <v>41342.234679710753</v>
      </c>
      <c r="K457" s="552">
        <f t="shared" si="884"/>
        <v>42641.247567912586</v>
      </c>
      <c r="L457" s="552">
        <f t="shared" si="884"/>
        <v>44301.085519709493</v>
      </c>
      <c r="M457" s="552">
        <f t="shared" si="884"/>
        <v>45961.469957196816</v>
      </c>
      <c r="N457" s="552">
        <f t="shared" si="884"/>
        <v>47621.600914632181</v>
      </c>
      <c r="O457" s="552">
        <f t="shared" si="884"/>
        <v>49281.483842709058</v>
      </c>
      <c r="P457" s="552">
        <f t="shared" si="884"/>
        <v>50941.729010860225</v>
      </c>
      <c r="Q457" s="552">
        <f t="shared" si="884"/>
        <v>52818.252146935789</v>
      </c>
      <c r="R457" s="552">
        <f t="shared" si="884"/>
        <v>54694.773177085954</v>
      </c>
      <c r="S457" s="552">
        <f t="shared" si="884"/>
        <v>56571.18197130812</v>
      </c>
      <c r="T457" s="552">
        <f t="shared" si="884"/>
        <v>58447.979081342462</v>
      </c>
      <c r="U457" s="552">
        <f t="shared" si="884"/>
        <v>60325.272581553014</v>
      </c>
      <c r="V457" s="552">
        <f t="shared" si="884"/>
        <v>61841.38963312596</v>
      </c>
      <c r="W457" s="552">
        <f t="shared" si="884"/>
        <v>62981.975232191784</v>
      </c>
      <c r="X457" s="552">
        <f t="shared" si="884"/>
        <v>64122.676909974965</v>
      </c>
      <c r="Y457" s="552">
        <f t="shared" si="884"/>
        <v>65263.514998666375</v>
      </c>
      <c r="Z457" s="552">
        <f t="shared" si="884"/>
        <v>66404.177596652153</v>
      </c>
      <c r="AA457" s="552">
        <f t="shared" si="884"/>
        <v>67545.362268810044</v>
      </c>
      <c r="AB457" s="552">
        <f t="shared" si="884"/>
        <v>68686.429176254373</v>
      </c>
      <c r="AC457" s="552">
        <f t="shared" si="884"/>
        <v>69828.084550878906</v>
      </c>
      <c r="AD457" s="552">
        <f t="shared" si="884"/>
        <v>70970.033397094245</v>
      </c>
      <c r="AE457" s="552">
        <f t="shared" si="884"/>
        <v>72111.986005410945</v>
      </c>
      <c r="AF457" s="552">
        <f t="shared" si="884"/>
        <v>73254.666090456492</v>
      </c>
      <c r="AG457" s="552">
        <f t="shared" si="884"/>
        <v>74397.797414256172</v>
      </c>
      <c r="AH457" s="727">
        <f t="shared" si="884"/>
        <v>75541.111076815519</v>
      </c>
      <c r="AI457" s="18"/>
      <c r="AJ457" s="18"/>
      <c r="AK457" s="18"/>
      <c r="AL457" s="18"/>
      <c r="AM457" s="18"/>
      <c r="AN457" s="18"/>
    </row>
    <row r="458" spans="1:41" ht="21.9" customHeight="1" thickBot="1" x14ac:dyDescent="0.3">
      <c r="B458" s="464"/>
      <c r="C458" s="739"/>
      <c r="D458" s="739"/>
      <c r="E458" s="274"/>
      <c r="F458" s="274"/>
      <c r="G458" s="274"/>
      <c r="H458" s="740" t="s">
        <v>25</v>
      </c>
      <c r="I458" s="710">
        <f t="shared" ref="I458:AH458" si="885">SUM(I456:I457)</f>
        <v>50022.36963291085</v>
      </c>
      <c r="J458" s="710">
        <f t="shared" si="885"/>
        <v>51440.846810578609</v>
      </c>
      <c r="K458" s="710">
        <f t="shared" si="885"/>
        <v>53057.167832038816</v>
      </c>
      <c r="L458" s="710">
        <f t="shared" si="885"/>
        <v>55122.452170688084</v>
      </c>
      <c r="M458" s="710">
        <f t="shared" si="885"/>
        <v>57188.416484353278</v>
      </c>
      <c r="N458" s="710">
        <f t="shared" si="885"/>
        <v>59254.065400734726</v>
      </c>
      <c r="O458" s="710">
        <f t="shared" si="885"/>
        <v>61319.405701959455</v>
      </c>
      <c r="P458" s="710">
        <f t="shared" si="885"/>
        <v>63385.196727154827</v>
      </c>
      <c r="Q458" s="710">
        <f t="shared" si="885"/>
        <v>65720.095648976858</v>
      </c>
      <c r="R458" s="710">
        <f t="shared" si="885"/>
        <v>68054.991950461903</v>
      </c>
      <c r="S458" s="710">
        <f t="shared" si="885"/>
        <v>70389.748600299587</v>
      </c>
      <c r="T458" s="710">
        <f t="shared" si="885"/>
        <v>72724.988419331276</v>
      </c>
      <c r="U458" s="710">
        <f t="shared" si="885"/>
        <v>75060.845881100729</v>
      </c>
      <c r="V458" s="710">
        <f t="shared" si="885"/>
        <v>76947.302808286244</v>
      </c>
      <c r="W458" s="710">
        <f t="shared" si="885"/>
        <v>78366.497719505976</v>
      </c>
      <c r="X458" s="710">
        <f t="shared" si="885"/>
        <v>79785.837063835424</v>
      </c>
      <c r="Y458" s="710">
        <f t="shared" si="885"/>
        <v>81205.346139982401</v>
      </c>
      <c r="Z458" s="710">
        <f t="shared" si="885"/>
        <v>82624.636858544822</v>
      </c>
      <c r="AA458" s="710">
        <f t="shared" si="885"/>
        <v>84044.577177636093</v>
      </c>
      <c r="AB458" s="710">
        <f t="shared" si="885"/>
        <v>85464.370965785405</v>
      </c>
      <c r="AC458" s="710">
        <f t="shared" si="885"/>
        <v>86884.896965202555</v>
      </c>
      <c r="AD458" s="710">
        <f t="shared" si="885"/>
        <v>88305.788122121769</v>
      </c>
      <c r="AE458" s="710">
        <f t="shared" si="885"/>
        <v>89726.683960105802</v>
      </c>
      <c r="AF458" s="710">
        <f t="shared" si="885"/>
        <v>91148.484974582025</v>
      </c>
      <c r="AG458" s="710">
        <f t="shared" si="885"/>
        <v>92570.847451296722</v>
      </c>
      <c r="AH458" s="741">
        <f t="shared" si="885"/>
        <v>93993.43680641496</v>
      </c>
      <c r="AI458" s="18"/>
      <c r="AJ458" s="18"/>
      <c r="AK458" s="18"/>
      <c r="AL458" s="18"/>
      <c r="AM458" s="18"/>
      <c r="AN458" s="18"/>
    </row>
    <row r="459" spans="1:41" ht="21.9" customHeight="1" thickBot="1" x14ac:dyDescent="0.3">
      <c r="B459" s="464"/>
      <c r="C459" s="739"/>
      <c r="D459" s="739"/>
      <c r="E459" s="274"/>
      <c r="F459" s="274"/>
      <c r="G459" s="274"/>
      <c r="H459" s="742" t="s">
        <v>481</v>
      </c>
      <c r="I459" s="742">
        <f>SUM(I401,I404,I407,I410,I413,I416,I419,I422,I425,I428,I431,I434,I440,I443,I446,I449,I452,I455,I458)</f>
        <v>23069833.942380495</v>
      </c>
      <c r="J459" s="742">
        <f t="shared" ref="J459:AH459" si="886">SUM(J401,J404,J407,J410,J413,J416,J419,J422,J425,J428,J431,J434,J440,J443,J446,J449,J452,J455,J458)</f>
        <v>24405871.421489127</v>
      </c>
      <c r="K459" s="742">
        <f t="shared" si="886"/>
        <v>27084048.947026871</v>
      </c>
      <c r="L459" s="742">
        <f t="shared" si="886"/>
        <v>31623154.206048116</v>
      </c>
      <c r="M459" s="742">
        <f t="shared" si="886"/>
        <v>36187546.243532553</v>
      </c>
      <c r="N459" s="742">
        <f t="shared" si="886"/>
        <v>40788588.793537028</v>
      </c>
      <c r="O459" s="742">
        <f t="shared" si="886"/>
        <v>45449983.161193982</v>
      </c>
      <c r="P459" s="742">
        <f t="shared" si="886"/>
        <v>50258803.713389874</v>
      </c>
      <c r="Q459" s="742">
        <f t="shared" si="886"/>
        <v>55009649.242074564</v>
      </c>
      <c r="R459" s="742">
        <f t="shared" si="886"/>
        <v>60184429.714139879</v>
      </c>
      <c r="S459" s="742">
        <f t="shared" si="886"/>
        <v>66177211.603478961</v>
      </c>
      <c r="T459" s="742">
        <f t="shared" si="886"/>
        <v>73757403.665211111</v>
      </c>
      <c r="U459" s="742">
        <f t="shared" si="886"/>
        <v>83659458.743451864</v>
      </c>
      <c r="V459" s="742">
        <f t="shared" si="886"/>
        <v>88830328.616518676</v>
      </c>
      <c r="W459" s="742">
        <f t="shared" si="886"/>
        <v>91552490.108191863</v>
      </c>
      <c r="X459" s="742">
        <f t="shared" si="886"/>
        <v>93931758.819207534</v>
      </c>
      <c r="Y459" s="742">
        <f t="shared" si="886"/>
        <v>95506837.316946968</v>
      </c>
      <c r="Z459" s="742">
        <f t="shared" si="886"/>
        <v>97090653.394703791</v>
      </c>
      <c r="AA459" s="742">
        <f t="shared" si="886"/>
        <v>98681033.347917065</v>
      </c>
      <c r="AB459" s="742">
        <f t="shared" si="886"/>
        <v>100283058.8692338</v>
      </c>
      <c r="AC459" s="742">
        <f t="shared" si="886"/>
        <v>101894985.08125742</v>
      </c>
      <c r="AD459" s="742">
        <f t="shared" si="886"/>
        <v>103520678.39894648</v>
      </c>
      <c r="AE459" s="742">
        <f t="shared" si="886"/>
        <v>105164354.55817787</v>
      </c>
      <c r="AF459" s="742">
        <f t="shared" si="886"/>
        <v>106825233.6996318</v>
      </c>
      <c r="AG459" s="742">
        <f t="shared" si="886"/>
        <v>108508314.69094266</v>
      </c>
      <c r="AH459" s="742">
        <f t="shared" si="886"/>
        <v>110219139.16553918</v>
      </c>
      <c r="AI459" s="18"/>
      <c r="AJ459" s="18"/>
      <c r="AK459" s="18"/>
      <c r="AL459" s="18"/>
      <c r="AM459" s="18"/>
      <c r="AN459" s="18"/>
    </row>
    <row r="460" spans="1:41" ht="21.9" customHeight="1" x14ac:dyDescent="0.25">
      <c r="C460" s="114"/>
      <c r="D460" s="114"/>
      <c r="E460" s="114"/>
      <c r="F460" s="114"/>
      <c r="G460" s="114"/>
      <c r="H460" s="237"/>
      <c r="I460" s="699"/>
      <c r="J460" s="699"/>
      <c r="K460" s="699"/>
      <c r="L460" s="699"/>
      <c r="M460" s="699"/>
      <c r="N460" s="699"/>
      <c r="O460" s="699"/>
      <c r="P460" s="699"/>
      <c r="Q460" s="699"/>
      <c r="R460" s="699"/>
      <c r="S460" s="699"/>
      <c r="T460" s="699"/>
      <c r="U460" s="699"/>
      <c r="V460" s="699"/>
      <c r="W460" s="699"/>
      <c r="X460" s="699"/>
      <c r="Y460" s="699"/>
      <c r="Z460" s="699"/>
      <c r="AA460" s="699"/>
      <c r="AB460" s="699"/>
      <c r="AC460" s="699"/>
      <c r="AD460" s="699"/>
      <c r="AE460" s="699"/>
      <c r="AF460" s="699"/>
      <c r="AG460" s="699"/>
      <c r="AH460" s="699"/>
      <c r="AI460" s="18"/>
      <c r="AJ460" s="18"/>
      <c r="AK460" s="18"/>
      <c r="AL460" s="18"/>
      <c r="AM460" s="18"/>
      <c r="AN460" s="18"/>
      <c r="AO460" s="18"/>
    </row>
    <row r="461" spans="1:41" ht="21.9" customHeight="1" x14ac:dyDescent="0.25">
      <c r="C461" s="114"/>
      <c r="D461" s="114"/>
      <c r="E461" s="114"/>
      <c r="F461" s="114"/>
      <c r="G461" s="114"/>
      <c r="H461" s="225"/>
      <c r="I461" s="225"/>
      <c r="J461" s="225"/>
      <c r="K461" s="225"/>
      <c r="L461" s="225"/>
      <c r="M461" s="225"/>
      <c r="N461" s="225"/>
      <c r="O461" s="225"/>
      <c r="P461" s="225"/>
      <c r="Q461" s="225"/>
      <c r="R461" s="225"/>
      <c r="S461" s="225"/>
      <c r="T461" s="225"/>
      <c r="U461" s="225"/>
      <c r="V461" s="225"/>
      <c r="W461" s="225"/>
      <c r="X461" s="225"/>
      <c r="Y461" s="225"/>
      <c r="Z461" s="225"/>
      <c r="AA461" s="225"/>
      <c r="AB461" s="225"/>
      <c r="AC461" s="225"/>
      <c r="AD461" s="225"/>
      <c r="AE461" s="114"/>
      <c r="AF461" s="114"/>
      <c r="AG461" s="114"/>
      <c r="AH461" s="114"/>
    </row>
    <row r="462" spans="1:41" ht="21.9" customHeight="1" x14ac:dyDescent="0.25">
      <c r="A462" s="526"/>
      <c r="B462" s="527" t="s">
        <v>287</v>
      </c>
      <c r="C462" s="114"/>
      <c r="D462" s="114"/>
      <c r="E462" s="114"/>
      <c r="F462" s="114"/>
      <c r="G462" s="225"/>
      <c r="H462" s="225"/>
      <c r="I462" s="225"/>
      <c r="J462" s="114"/>
      <c r="K462" s="114"/>
      <c r="L462" s="114"/>
      <c r="M462" s="114"/>
      <c r="N462" s="225"/>
      <c r="O462" s="225"/>
      <c r="P462" s="225"/>
      <c r="Q462" s="225"/>
      <c r="R462" s="225"/>
      <c r="S462" s="225"/>
      <c r="T462" s="225"/>
      <c r="U462" s="225"/>
      <c r="V462" s="225"/>
      <c r="W462" s="225"/>
      <c r="X462" s="225"/>
      <c r="Y462" s="225"/>
      <c r="Z462" s="225"/>
      <c r="AA462" s="225"/>
      <c r="AB462" s="225"/>
      <c r="AC462" s="225"/>
      <c r="AD462" s="114"/>
      <c r="AE462" s="114"/>
      <c r="AF462" s="114"/>
      <c r="AG462" s="114"/>
      <c r="AH462" s="114"/>
    </row>
    <row r="463" spans="1:41" ht="21.9" customHeight="1" x14ac:dyDescent="0.25">
      <c r="B463" s="1"/>
      <c r="C463" s="237"/>
      <c r="D463" s="237"/>
      <c r="E463" s="237"/>
      <c r="F463" s="237"/>
      <c r="G463" s="225"/>
      <c r="H463" s="225"/>
      <c r="I463" s="225"/>
      <c r="J463" s="225"/>
      <c r="K463" s="225"/>
      <c r="L463" s="225"/>
      <c r="M463" s="225"/>
      <c r="N463" s="225"/>
      <c r="O463" s="225"/>
      <c r="P463" s="225"/>
      <c r="Q463" s="225"/>
      <c r="R463" s="225"/>
      <c r="S463" s="225"/>
      <c r="T463" s="225"/>
      <c r="U463" s="225"/>
      <c r="V463" s="225"/>
      <c r="W463" s="225"/>
      <c r="X463" s="225"/>
      <c r="Y463" s="225"/>
      <c r="Z463" s="225"/>
      <c r="AA463" s="225"/>
      <c r="AB463" s="225"/>
      <c r="AC463" s="225"/>
      <c r="AD463" s="114"/>
      <c r="AE463" s="114"/>
      <c r="AF463" s="114"/>
      <c r="AG463" s="114"/>
      <c r="AH463" s="114"/>
    </row>
    <row r="464" spans="1:41" ht="21.9" customHeight="1" x14ac:dyDescent="0.25">
      <c r="B464" s="191" t="s">
        <v>13</v>
      </c>
      <c r="C464" s="237"/>
      <c r="D464" s="237"/>
      <c r="E464" s="237"/>
      <c r="F464" s="237"/>
      <c r="G464" s="225"/>
      <c r="H464" s="225"/>
      <c r="I464" s="225"/>
      <c r="J464" s="225"/>
      <c r="K464" s="225"/>
      <c r="L464" s="225"/>
      <c r="M464" s="225"/>
      <c r="N464" s="225"/>
      <c r="O464" s="225"/>
      <c r="P464" s="225"/>
      <c r="Q464" s="225"/>
      <c r="R464" s="225"/>
      <c r="S464" s="225"/>
      <c r="T464" s="225"/>
      <c r="U464" s="225"/>
      <c r="V464" s="225"/>
      <c r="W464" s="225"/>
      <c r="X464" s="225"/>
      <c r="Y464" s="225"/>
      <c r="Z464" s="225"/>
      <c r="AA464" s="225"/>
      <c r="AB464" s="225"/>
      <c r="AC464" s="225"/>
      <c r="AD464" s="114"/>
      <c r="AE464" s="114"/>
      <c r="AF464" s="114"/>
      <c r="AG464" s="114"/>
      <c r="AH464" s="114"/>
    </row>
    <row r="465" spans="2:41" ht="21.9" customHeight="1" thickBot="1" x14ac:dyDescent="0.3">
      <c r="B465" s="9" t="s">
        <v>246</v>
      </c>
      <c r="C465" s="237"/>
      <c r="D465" s="237"/>
      <c r="E465" s="237"/>
      <c r="F465" s="237"/>
      <c r="G465" s="237"/>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114"/>
      <c r="AF465" s="114"/>
      <c r="AG465" s="114"/>
      <c r="AH465" s="114"/>
    </row>
    <row r="466" spans="2:41" s="7" customFormat="1" ht="21.9" customHeight="1" thickBot="1" x14ac:dyDescent="0.3">
      <c r="B466" s="231"/>
      <c r="C466" s="462" t="s">
        <v>2</v>
      </c>
      <c r="D466" s="462"/>
      <c r="E466" s="462" t="s">
        <v>312</v>
      </c>
      <c r="F466" s="1326" t="s">
        <v>18</v>
      </c>
      <c r="G466" s="1326"/>
      <c r="H466" s="459" t="s">
        <v>24</v>
      </c>
      <c r="I466" s="244">
        <v>2023</v>
      </c>
      <c r="J466" s="244">
        <v>2024</v>
      </c>
      <c r="K466" s="244">
        <v>2025</v>
      </c>
      <c r="L466" s="244">
        <v>2026</v>
      </c>
      <c r="M466" s="244">
        <v>2027</v>
      </c>
      <c r="N466" s="244">
        <v>2028</v>
      </c>
      <c r="O466" s="244">
        <v>2029</v>
      </c>
      <c r="P466" s="244">
        <v>2030</v>
      </c>
      <c r="Q466" s="244">
        <v>2031</v>
      </c>
      <c r="R466" s="244">
        <v>2032</v>
      </c>
      <c r="S466" s="244">
        <v>2033</v>
      </c>
      <c r="T466" s="244">
        <v>2034</v>
      </c>
      <c r="U466" s="244">
        <v>2035</v>
      </c>
      <c r="V466" s="244">
        <v>2036</v>
      </c>
      <c r="W466" s="244">
        <v>2037</v>
      </c>
      <c r="X466" s="244">
        <v>2038</v>
      </c>
      <c r="Y466" s="244">
        <v>2039</v>
      </c>
      <c r="Z466" s="244">
        <v>2040</v>
      </c>
      <c r="AA466" s="244">
        <v>2041</v>
      </c>
      <c r="AB466" s="244">
        <v>2042</v>
      </c>
      <c r="AC466" s="244">
        <v>2043</v>
      </c>
      <c r="AD466" s="244">
        <v>2044</v>
      </c>
      <c r="AE466" s="244">
        <v>2045</v>
      </c>
      <c r="AF466" s="244">
        <v>2046</v>
      </c>
      <c r="AG466" s="244">
        <v>2047</v>
      </c>
      <c r="AH466" s="473">
        <v>2048</v>
      </c>
      <c r="AI466" s="461"/>
      <c r="AJ466" s="461"/>
      <c r="AK466" s="461"/>
      <c r="AL466" s="461"/>
      <c r="AM466" s="461"/>
      <c r="AN466" s="461"/>
      <c r="AO466" s="461"/>
    </row>
    <row r="467" spans="2:41" ht="21.9" customHeight="1" x14ac:dyDescent="0.25">
      <c r="B467" s="196" t="s">
        <v>210</v>
      </c>
      <c r="C467" s="114" t="s">
        <v>156</v>
      </c>
      <c r="D467" s="237" t="s">
        <v>23</v>
      </c>
      <c r="E467" s="1327" t="s">
        <v>315</v>
      </c>
      <c r="F467" s="114" t="s">
        <v>316</v>
      </c>
      <c r="G467" s="114" t="s">
        <v>276</v>
      </c>
      <c r="H467" s="701" t="s">
        <v>23</v>
      </c>
      <c r="I467" s="701">
        <f>'Volume and Speed'!H517</f>
        <v>7729.1874665658033</v>
      </c>
      <c r="J467" s="701">
        <f>'Volume and Speed'!I517</f>
        <v>8080.6568918144685</v>
      </c>
      <c r="K467" s="701">
        <f>'Volume and Speed'!J517</f>
        <v>8575.8537455452624</v>
      </c>
      <c r="L467" s="701">
        <f>'Volume and Speed'!K517</f>
        <v>9304.2999225149961</v>
      </c>
      <c r="M467" s="701">
        <f>'Volume and Speed'!L517</f>
        <v>10033.092499420243</v>
      </c>
      <c r="N467" s="701">
        <f>'Volume and Speed'!M517</f>
        <v>10762.043327591367</v>
      </c>
      <c r="O467" s="701">
        <f>'Volume and Speed'!N517</f>
        <v>11491.02438476012</v>
      </c>
      <c r="P467" s="701">
        <f>'Volume and Speed'!O517</f>
        <v>12221.069821463367</v>
      </c>
      <c r="Q467" s="701">
        <f>'Volume and Speed'!P517</f>
        <v>12943.384521105236</v>
      </c>
      <c r="R467" s="701">
        <f>'Volume and Speed'!Q517</f>
        <v>13667.351818432737</v>
      </c>
      <c r="S467" s="701">
        <f>'Volume and Speed'!R517</f>
        <v>14393.622768070498</v>
      </c>
      <c r="T467" s="701">
        <f>'Volume and Speed'!S517</f>
        <v>15123.776700446439</v>
      </c>
      <c r="U467" s="701">
        <f>'Volume and Speed'!T517</f>
        <v>15860.496715839916</v>
      </c>
      <c r="V467" s="701">
        <f>'Volume and Speed'!U517</f>
        <v>16362.994002522586</v>
      </c>
      <c r="W467" s="701">
        <f>'Volume and Speed'!V517</f>
        <v>16729.074658175399</v>
      </c>
      <c r="X467" s="701">
        <f>'Volume and Speed'!W517</f>
        <v>17098.588178746195</v>
      </c>
      <c r="Y467" s="701">
        <f>'Volume and Speed'!X517</f>
        <v>17472.243791708017</v>
      </c>
      <c r="Z467" s="701">
        <f>'Volume and Speed'!Y517</f>
        <v>17851.009104097233</v>
      </c>
      <c r="AA467" s="701">
        <f>'Volume and Speed'!Z517</f>
        <v>18235.607700546811</v>
      </c>
      <c r="AB467" s="701">
        <f>'Volume and Speed'!AA517</f>
        <v>18627.457362276058</v>
      </c>
      <c r="AC467" s="701">
        <f>'Volume and Speed'!AB517</f>
        <v>19027.63589814839</v>
      </c>
      <c r="AD467" s="701">
        <f>'Volume and Speed'!AC517</f>
        <v>19437.845247134239</v>
      </c>
      <c r="AE467" s="701">
        <f>'Volume and Speed'!AD517</f>
        <v>19860.054695498053</v>
      </c>
      <c r="AF467" s="701">
        <f>'Volume and Speed'!AE517</f>
        <v>20296.085297391652</v>
      </c>
      <c r="AG467" s="701">
        <f>'Volume and Speed'!AF517</f>
        <v>20748.518172935212</v>
      </c>
      <c r="AH467" s="726">
        <f>'Volume and Speed'!AG517</f>
        <v>21220.328652973694</v>
      </c>
      <c r="AI467" s="18"/>
      <c r="AJ467" s="18"/>
      <c r="AK467" s="18"/>
      <c r="AL467" s="18"/>
      <c r="AM467" s="18"/>
      <c r="AN467" s="18"/>
    </row>
    <row r="468" spans="2:41" ht="21.9" customHeight="1" x14ac:dyDescent="0.25">
      <c r="B468" s="229" t="s">
        <v>480</v>
      </c>
      <c r="C468" s="690"/>
      <c r="D468" s="690"/>
      <c r="E468" s="1325"/>
      <c r="F468" s="114" t="s">
        <v>276</v>
      </c>
      <c r="G468" s="114" t="s">
        <v>274</v>
      </c>
      <c r="H468" s="552" t="s">
        <v>23</v>
      </c>
      <c r="I468" s="552">
        <f>'Volume and Speed'!H518</f>
        <v>248534.35639268748</v>
      </c>
      <c r="J468" s="552">
        <f>'Volume and Speed'!I518</f>
        <v>261653.35085719993</v>
      </c>
      <c r="K468" s="552">
        <f>'Volume and Speed'!J518</f>
        <v>281346.6595461517</v>
      </c>
      <c r="L468" s="552">
        <f>'Volume and Speed'!K518</f>
        <v>313883.36134210043</v>
      </c>
      <c r="M468" s="552">
        <f>'Volume and Speed'!L518</f>
        <v>346436.24024655746</v>
      </c>
      <c r="N468" s="552">
        <f>'Volume and Speed'!M518</f>
        <v>378990.75990457903</v>
      </c>
      <c r="O468" s="552">
        <f>'Volume and Speed'!N518</f>
        <v>411540.13143218507</v>
      </c>
      <c r="P468" s="552">
        <f>'Volume and Speed'!O518</f>
        <v>444135.13427734718</v>
      </c>
      <c r="Q468" s="552">
        <f>'Volume and Speed'!P518</f>
        <v>477051.8549036542</v>
      </c>
      <c r="R468" s="552">
        <f>'Volume and Speed'!Q518</f>
        <v>510041.20912473847</v>
      </c>
      <c r="S468" s="552">
        <f>'Volume and Speed'!R518</f>
        <v>543131.18457883305</v>
      </c>
      <c r="T468" s="552">
        <f>'Volume and Speed'!S518</f>
        <v>576416.54643636942</v>
      </c>
      <c r="U468" s="552">
        <f>'Volume and Speed'!T518</f>
        <v>610063.08091750217</v>
      </c>
      <c r="V468" s="552">
        <f>'Volume and Speed'!U518</f>
        <v>630772.48812326731</v>
      </c>
      <c r="W468" s="552">
        <f>'Volume and Speed'!V518</f>
        <v>644498.83093908313</v>
      </c>
      <c r="X468" s="552">
        <f>'Volume and Speed'!W518</f>
        <v>658362.95734618232</v>
      </c>
      <c r="Y468" s="552">
        <f>'Volume and Speed'!X518</f>
        <v>672392.39021314972</v>
      </c>
      <c r="Z468" s="552">
        <f>'Volume and Speed'!Y518</f>
        <v>686627.47949215444</v>
      </c>
      <c r="AA468" s="552">
        <f>'Volume and Speed'!Z518</f>
        <v>701090.06804121251</v>
      </c>
      <c r="AB468" s="552">
        <f>'Volume and Speed'!AA518</f>
        <v>715840.53998863581</v>
      </c>
      <c r="AC468" s="552">
        <f>'Volume and Speed'!AB518</f>
        <v>730913.65955145785</v>
      </c>
      <c r="AD468" s="552">
        <f>'Volume and Speed'!AC518</f>
        <v>746377.1133593088</v>
      </c>
      <c r="AE468" s="552">
        <f>'Volume and Speed'!AD518</f>
        <v>762308.8041436245</v>
      </c>
      <c r="AF468" s="552">
        <f>'Volume and Speed'!AE518</f>
        <v>778770.30107500346</v>
      </c>
      <c r="AG468" s="552">
        <f>'Volume and Speed'!AF518</f>
        <v>795861.79789423151</v>
      </c>
      <c r="AH468" s="727">
        <f>'Volume and Speed'!AG518</f>
        <v>813698.45484208758</v>
      </c>
      <c r="AI468" s="18"/>
      <c r="AJ468" s="18"/>
      <c r="AK468" s="18"/>
      <c r="AL468" s="18"/>
      <c r="AM468" s="18"/>
      <c r="AN468" s="18"/>
    </row>
    <row r="469" spans="2:41" ht="21.9" customHeight="1" x14ac:dyDescent="0.25">
      <c r="B469" s="229"/>
      <c r="C469" s="690"/>
      <c r="D469" s="690"/>
      <c r="E469" s="1325"/>
      <c r="F469" s="114" t="s">
        <v>274</v>
      </c>
      <c r="G469" s="114" t="s">
        <v>317</v>
      </c>
      <c r="H469" s="552" t="s">
        <v>23</v>
      </c>
      <c r="I469" s="562">
        <f>'Volume and Speed'!H519</f>
        <v>5797.5278744446077</v>
      </c>
      <c r="J469" s="562">
        <f>'Volume and Speed'!I519</f>
        <v>6039.9644619952387</v>
      </c>
      <c r="K469" s="562">
        <f>'Volume and Speed'!J519</f>
        <v>6340.2819218374116</v>
      </c>
      <c r="L469" s="562">
        <f>'Volume and Speed'!K519</f>
        <v>6745.3306870503566</v>
      </c>
      <c r="M469" s="562">
        <f>'Volume and Speed'!L519</f>
        <v>7151.8995481951924</v>
      </c>
      <c r="N469" s="562">
        <f>'Volume and Speed'!M519</f>
        <v>7560.7335143730634</v>
      </c>
      <c r="O469" s="562">
        <f>'Volume and Speed'!N519</f>
        <v>7973.2537206034203</v>
      </c>
      <c r="P469" s="562">
        <f>'Volume and Speed'!O519</f>
        <v>8392.1124297514179</v>
      </c>
      <c r="Q469" s="562">
        <f>'Volume and Speed'!P519</f>
        <v>8806.882020079338</v>
      </c>
      <c r="R469" s="562">
        <f>'Volume and Speed'!Q519</f>
        <v>9235.1386103994082</v>
      </c>
      <c r="S469" s="562">
        <f>'Volume and Speed'!R519</f>
        <v>9682.9758864209689</v>
      </c>
      <c r="T469" s="562">
        <f>'Volume and Speed'!S519</f>
        <v>10159.56659443544</v>
      </c>
      <c r="U469" s="562">
        <f>'Volume and Speed'!T519</f>
        <v>10677.823562668429</v>
      </c>
      <c r="V469" s="562">
        <f>'Volume and Speed'!U519</f>
        <v>11094.128788060096</v>
      </c>
      <c r="W469" s="562">
        <f>'Volume and Speed'!V519</f>
        <v>11475.806010678632</v>
      </c>
      <c r="X469" s="562">
        <f>'Volume and Speed'!W519</f>
        <v>11892.397442432946</v>
      </c>
      <c r="Y469" s="562">
        <f>'Volume and Speed'!X519</f>
        <v>12351.57465231662</v>
      </c>
      <c r="Z469" s="562">
        <f>'Volume and Speed'!Y519</f>
        <v>12862.687935047634</v>
      </c>
      <c r="AA469" s="562">
        <f>'Volume and Speed'!Z519</f>
        <v>13436.170184478029</v>
      </c>
      <c r="AB469" s="562">
        <f>'Volume and Speed'!AA519</f>
        <v>14085.301242906455</v>
      </c>
      <c r="AC469" s="562">
        <f>'Volume and Speed'!AB519</f>
        <v>14824.660757215519</v>
      </c>
      <c r="AD469" s="562">
        <f>'Volume and Speed'!AC519</f>
        <v>15672.213864678801</v>
      </c>
      <c r="AE469" s="562">
        <f>'Volume and Speed'!AD519</f>
        <v>16649.122705484915</v>
      </c>
      <c r="AF469" s="562">
        <f>'Volume and Speed'!AE519</f>
        <v>17778.823117965192</v>
      </c>
      <c r="AG469" s="562">
        <f>'Volume and Speed'!AF519</f>
        <v>19089.844488663046</v>
      </c>
      <c r="AH469" s="729">
        <f>'Volume and Speed'!AG519</f>
        <v>20615.524165646661</v>
      </c>
      <c r="AI469" s="18"/>
      <c r="AJ469" s="18"/>
      <c r="AK469" s="18"/>
      <c r="AL469" s="18"/>
      <c r="AM469" s="18"/>
      <c r="AN469" s="18"/>
    </row>
    <row r="470" spans="2:41" ht="21.9" customHeight="1" x14ac:dyDescent="0.25">
      <c r="B470" s="229"/>
      <c r="C470" s="690"/>
      <c r="D470" s="690"/>
      <c r="E470" s="1325" t="s">
        <v>274</v>
      </c>
      <c r="F470" s="217" t="s">
        <v>275</v>
      </c>
      <c r="G470" s="217" t="s">
        <v>318</v>
      </c>
      <c r="H470" s="558" t="s">
        <v>23</v>
      </c>
      <c r="I470" s="552">
        <f>'Volume and Speed'!H520</f>
        <v>65763.478261261611</v>
      </c>
      <c r="J470" s="552">
        <f>'Volume and Speed'!I520</f>
        <v>72415.782905479355</v>
      </c>
      <c r="K470" s="552">
        <f>'Volume and Speed'!J520</f>
        <v>87288.522339266085</v>
      </c>
      <c r="L470" s="552">
        <f>'Volume and Speed'!K520</f>
        <v>117161.58255540981</v>
      </c>
      <c r="M470" s="552">
        <f>'Volume and Speed'!L520</f>
        <v>147053.05884410304</v>
      </c>
      <c r="N470" s="552">
        <f>'Volume and Speed'!M520</f>
        <v>176941.26267525891</v>
      </c>
      <c r="O470" s="552">
        <f>'Volume and Speed'!N520</f>
        <v>206814.41835417983</v>
      </c>
      <c r="P470" s="552">
        <f>'Volume and Speed'!O520</f>
        <v>236724.70467922481</v>
      </c>
      <c r="Q470" s="552">
        <f>'Volume and Speed'!P520</f>
        <v>266074.97860319499</v>
      </c>
      <c r="R470" s="552">
        <f>'Volume and Speed'!Q520</f>
        <v>295442.73290277738</v>
      </c>
      <c r="S470" s="552">
        <f>'Volume and Speed'!R520</f>
        <v>324802.47470902756</v>
      </c>
      <c r="T470" s="552">
        <f>'Volume and Speed'!S520</f>
        <v>354177.97283947672</v>
      </c>
      <c r="U470" s="552">
        <f>'Volume and Speed'!T520</f>
        <v>383624.47244799929</v>
      </c>
      <c r="V470" s="552">
        <f>'Volume and Speed'!U520</f>
        <v>398006.37738548004</v>
      </c>
      <c r="W470" s="552">
        <f>'Volume and Speed'!V520</f>
        <v>404689.8477729091</v>
      </c>
      <c r="X470" s="552">
        <f>'Volume and Speed'!W520</f>
        <v>411378.88759099506</v>
      </c>
      <c r="Y470" s="552">
        <f>'Volume and Speed'!X520</f>
        <v>418074.37761359976</v>
      </c>
      <c r="Z470" s="552">
        <f>'Volume and Speed'!Y520</f>
        <v>424787.59707454138</v>
      </c>
      <c r="AA470" s="552">
        <f>'Volume and Speed'!Z520</f>
        <v>431499.14373961923</v>
      </c>
      <c r="AB470" s="552">
        <f>'Volume and Speed'!AA520</f>
        <v>438230.88040856714</v>
      </c>
      <c r="AC470" s="552">
        <f>'Volume and Speed'!AB520</f>
        <v>444963.67027923669</v>
      </c>
      <c r="AD470" s="552">
        <f>'Volume and Speed'!AC520</f>
        <v>451709.45334487868</v>
      </c>
      <c r="AE470" s="552">
        <f>'Volume and Speed'!AD520</f>
        <v>458480.45965916745</v>
      </c>
      <c r="AF470" s="552">
        <f>'Volume and Speed'!AE520</f>
        <v>465258.06427605473</v>
      </c>
      <c r="AG470" s="552">
        <f>'Volume and Speed'!AF520</f>
        <v>472054.9636556498</v>
      </c>
      <c r="AH470" s="727">
        <f>'Volume and Speed'!AG520</f>
        <v>478884.25870183099</v>
      </c>
      <c r="AI470" s="18"/>
      <c r="AJ470" s="18"/>
      <c r="AK470" s="18"/>
      <c r="AL470" s="18"/>
      <c r="AM470" s="18"/>
      <c r="AN470" s="18"/>
    </row>
    <row r="471" spans="2:41" ht="21.9" customHeight="1" x14ac:dyDescent="0.25">
      <c r="B471" s="229"/>
      <c r="C471" s="690"/>
      <c r="D471" s="690"/>
      <c r="E471" s="1325"/>
      <c r="F471" s="114" t="s">
        <v>318</v>
      </c>
      <c r="G471" s="114" t="s">
        <v>308</v>
      </c>
      <c r="H471" s="552" t="s">
        <v>23</v>
      </c>
      <c r="I471" s="552">
        <f>'Volume and Speed'!H521</f>
        <v>8848.4899221904034</v>
      </c>
      <c r="J471" s="552">
        <f>'Volume and Speed'!I521</f>
        <v>9688.5885075925544</v>
      </c>
      <c r="K471" s="552">
        <f>'Volume and Speed'!J521</f>
        <v>10880.367478794094</v>
      </c>
      <c r="L471" s="552">
        <f>'Volume and Speed'!K521</f>
        <v>12822.418318768614</v>
      </c>
      <c r="M471" s="552">
        <f>'Volume and Speed'!L521</f>
        <v>14765.924432374451</v>
      </c>
      <c r="N471" s="552">
        <f>'Volume and Speed'!M521</f>
        <v>16712.598895484894</v>
      </c>
      <c r="O471" s="552">
        <f>'Volume and Speed'!N521</f>
        <v>18667.372614188738</v>
      </c>
      <c r="P471" s="552">
        <f>'Volume and Speed'!O521</f>
        <v>20647.817545622693</v>
      </c>
      <c r="Q471" s="552">
        <f>'Volume and Speed'!P521</f>
        <v>22973.419692461855</v>
      </c>
      <c r="R471" s="552">
        <f>'Volume and Speed'!Q521</f>
        <v>25485.14475233596</v>
      </c>
      <c r="S471" s="552">
        <f>'Volume and Speed'!R521</f>
        <v>28417.099562131079</v>
      </c>
      <c r="T471" s="552">
        <f>'Volume and Speed'!S521</f>
        <v>32246.205065692226</v>
      </c>
      <c r="U471" s="552">
        <f>'Volume and Speed'!T521</f>
        <v>37883.09792185804</v>
      </c>
      <c r="V471" s="552">
        <f>'Volume and Speed'!U521</f>
        <v>43343.021499089074</v>
      </c>
      <c r="W471" s="552">
        <f>'Volume and Speed'!V521</f>
        <v>47428.951547444565</v>
      </c>
      <c r="X471" s="552">
        <f>'Volume and Speed'!W521</f>
        <v>52425.604715419307</v>
      </c>
      <c r="Y471" s="552">
        <f>'Volume and Speed'!X521</f>
        <v>58556.881843177965</v>
      </c>
      <c r="Z471" s="552">
        <f>'Volume and Speed'!Y521</f>
        <v>66103.837600834668</v>
      </c>
      <c r="AA471" s="552">
        <f>'Volume and Speed'!Z521</f>
        <v>75377.451640749176</v>
      </c>
      <c r="AB471" s="552">
        <f>'Volume and Speed'!AA521</f>
        <v>86794.047192523052</v>
      </c>
      <c r="AC471" s="552">
        <f>'Volume and Speed'!AB521</f>
        <v>89520.500476160436</v>
      </c>
      <c r="AD471" s="552">
        <f>'Volume and Speed'!AC521</f>
        <v>91449.213930593614</v>
      </c>
      <c r="AE471" s="552">
        <f>'Volume and Speed'!AD521</f>
        <v>93380.176641897851</v>
      </c>
      <c r="AF471" s="552">
        <f>'Volume and Speed'!AE521</f>
        <v>95308.998127571176</v>
      </c>
      <c r="AG471" s="552">
        <f>'Volume and Speed'!AF521</f>
        <v>97237.890457528643</v>
      </c>
      <c r="AH471" s="727">
        <f>'Volume and Speed'!AG521</f>
        <v>99169.068835525919</v>
      </c>
      <c r="AI471" s="18"/>
      <c r="AJ471" s="18"/>
      <c r="AK471" s="18"/>
      <c r="AL471" s="18"/>
      <c r="AM471" s="18"/>
      <c r="AN471" s="18"/>
    </row>
    <row r="472" spans="2:41" ht="21.9" customHeight="1" x14ac:dyDescent="0.25">
      <c r="B472" s="229"/>
      <c r="C472" s="690"/>
      <c r="D472" s="690"/>
      <c r="E472" s="1321"/>
      <c r="F472" s="250" t="s">
        <v>308</v>
      </c>
      <c r="G472" s="250" t="s">
        <v>319</v>
      </c>
      <c r="H472" s="562" t="s">
        <v>23</v>
      </c>
      <c r="I472" s="562">
        <f>'Volume and Speed'!H522</f>
        <v>125559.46488394152</v>
      </c>
      <c r="J472" s="562">
        <f>'Volume and Speed'!I522</f>
        <v>129298.84195948513</v>
      </c>
      <c r="K472" s="562">
        <f>'Volume and Speed'!J522</f>
        <v>134763.71428682527</v>
      </c>
      <c r="L472" s="562">
        <f>'Volume and Speed'!K522</f>
        <v>142819.75301685371</v>
      </c>
      <c r="M472" s="562">
        <f>'Volume and Speed'!L522</f>
        <v>151564.0457773144</v>
      </c>
      <c r="N472" s="562">
        <f>'Volume and Speed'!M522</f>
        <v>161367.28869303904</v>
      </c>
      <c r="O472" s="562">
        <f>'Volume and Speed'!N522</f>
        <v>172773.35740434137</v>
      </c>
      <c r="P472" s="562">
        <f>'Volume and Speed'!O522</f>
        <v>186582.19091549522</v>
      </c>
      <c r="Q472" s="562">
        <f>'Volume and Speed'!P522</f>
        <v>204082.44793959323</v>
      </c>
      <c r="R472" s="562">
        <f>'Volume and Speed'!Q522</f>
        <v>226759.75695798732</v>
      </c>
      <c r="S472" s="562">
        <f>'Volume and Speed'!R522</f>
        <v>256799.41087837238</v>
      </c>
      <c r="T472" s="562">
        <f>'Volume and Speed'!S522</f>
        <v>297210.63501489989</v>
      </c>
      <c r="U472" s="562">
        <f>'Volume and Speed'!T522</f>
        <v>352079.19405828248</v>
      </c>
      <c r="V472" s="562">
        <f>'Volume and Speed'!U522</f>
        <v>403036.83741010039</v>
      </c>
      <c r="W472" s="562">
        <f>'Volume and Speed'!V522</f>
        <v>445497.93802874989</v>
      </c>
      <c r="X472" s="562">
        <f>'Volume and Speed'!W522</f>
        <v>477530.93935508019</v>
      </c>
      <c r="Y472" s="562">
        <f>'Volume and Speed'!X522</f>
        <v>485272.51730524574</v>
      </c>
      <c r="Z472" s="562">
        <f>'Volume and Speed'!Y522</f>
        <v>493017.90487224236</v>
      </c>
      <c r="AA472" s="562">
        <f>'Volume and Speed'!Z522</f>
        <v>500759.75031408755</v>
      </c>
      <c r="AB472" s="562">
        <f>'Volume and Speed'!AA522</f>
        <v>508505.44613405102</v>
      </c>
      <c r="AC472" s="562">
        <f>'Volume and Speed'!AB522</f>
        <v>516247.64665636112</v>
      </c>
      <c r="AD472" s="562">
        <f>'Volume and Speed'!AC522</f>
        <v>523990.06452830543</v>
      </c>
      <c r="AE472" s="562">
        <f>'Volume and Speed'!AD522</f>
        <v>531736.41773450305</v>
      </c>
      <c r="AF472" s="562">
        <f>'Volume and Speed'!AE522</f>
        <v>539479.37141869066</v>
      </c>
      <c r="AG472" s="562">
        <f>'Volume and Speed'!AF522</f>
        <v>547222.64973636321</v>
      </c>
      <c r="AH472" s="729">
        <f>'Volume and Speed'!AG522</f>
        <v>554969.98448030138</v>
      </c>
      <c r="AI472" s="18"/>
      <c r="AJ472" s="18"/>
      <c r="AK472" s="18"/>
      <c r="AL472" s="18"/>
      <c r="AM472" s="18"/>
      <c r="AN472" s="18"/>
    </row>
    <row r="473" spans="2:41" ht="21.9" customHeight="1" x14ac:dyDescent="0.25">
      <c r="B473" s="229"/>
      <c r="C473" s="690"/>
      <c r="D473" s="690"/>
      <c r="E473" s="114" t="s">
        <v>320</v>
      </c>
      <c r="F473" s="114" t="s">
        <v>318</v>
      </c>
      <c r="G473" s="114" t="s">
        <v>308</v>
      </c>
      <c r="H473" s="552" t="s">
        <v>23</v>
      </c>
      <c r="I473" s="568">
        <f>'Volume and Speed'!H523</f>
        <v>397.10648148148141</v>
      </c>
      <c r="J473" s="568">
        <f>'Volume and Speed'!I523</f>
        <v>1649.3817708333331</v>
      </c>
      <c r="K473" s="568">
        <f>'Volume and Speed'!J523</f>
        <v>14714.582118138806</v>
      </c>
      <c r="L473" s="568">
        <f>'Volume and Speed'!K523</f>
        <v>34803.604435508329</v>
      </c>
      <c r="M473" s="568">
        <f>'Volume and Speed'!L523</f>
        <v>54907.083007054956</v>
      </c>
      <c r="N473" s="568">
        <f>'Volume and Speed'!M523</f>
        <v>75007.318638135228</v>
      </c>
      <c r="O473" s="568">
        <f>'Volume and Speed'!N523</f>
        <v>95159.663067112328</v>
      </c>
      <c r="P473" s="568">
        <f>'Volume and Speed'!O523</f>
        <v>115772.18898341974</v>
      </c>
      <c r="Q473" s="568">
        <f>'Volume and Speed'!P523</f>
        <v>124704.21763673876</v>
      </c>
      <c r="R473" s="568">
        <f>'Volume and Speed'!Q523</f>
        <v>134259.90252086625</v>
      </c>
      <c r="S473" s="568">
        <f>'Volume and Speed'!R523</f>
        <v>144916.52225817193</v>
      </c>
      <c r="T473" s="568">
        <f>'Volume and Speed'!S523</f>
        <v>157470.82077452834</v>
      </c>
      <c r="U473" s="568">
        <f>'Volume and Speed'!T523</f>
        <v>173252.26914442139</v>
      </c>
      <c r="V473" s="568">
        <f>'Volume and Speed'!U523</f>
        <v>176022.9671175917</v>
      </c>
      <c r="W473" s="568">
        <f>'Volume and Speed'!V523</f>
        <v>178918.88082641189</v>
      </c>
      <c r="X473" s="568">
        <f>'Volume and Speed'!W523</f>
        <v>181949.32729113434</v>
      </c>
      <c r="Y473" s="568">
        <f>'Volume and Speed'!X523</f>
        <v>185124.13712602586</v>
      </c>
      <c r="Z473" s="568">
        <f>'Volume and Speed'!Y523</f>
        <v>188478.11353383906</v>
      </c>
      <c r="AA473" s="568">
        <f>'Volume and Speed'!Z523</f>
        <v>191974.93707875133</v>
      </c>
      <c r="AB473" s="568">
        <f>'Volume and Speed'!AA523</f>
        <v>195661.59550874622</v>
      </c>
      <c r="AC473" s="568">
        <f>'Volume and Speed'!AB523</f>
        <v>199527.40554806791</v>
      </c>
      <c r="AD473" s="568">
        <f>'Volume and Speed'!AC523</f>
        <v>203597.10963019443</v>
      </c>
      <c r="AE473" s="568">
        <f>'Volume and Speed'!AD523</f>
        <v>207916.3261736953</v>
      </c>
      <c r="AF473" s="568">
        <f>'Volume and Speed'!AE523</f>
        <v>212439.03031614795</v>
      </c>
      <c r="AG473" s="568">
        <f>'Volume and Speed'!AF523</f>
        <v>217211.03010496756</v>
      </c>
      <c r="AH473" s="730">
        <f>'Volume and Speed'!AG523</f>
        <v>222265.71920613194</v>
      </c>
      <c r="AI473" s="18"/>
      <c r="AJ473" s="18"/>
      <c r="AK473" s="18"/>
      <c r="AL473" s="18"/>
      <c r="AM473" s="18"/>
      <c r="AN473" s="18"/>
    </row>
    <row r="474" spans="2:41" ht="21.9" customHeight="1" x14ac:dyDescent="0.25">
      <c r="B474" s="229"/>
      <c r="C474" s="690"/>
      <c r="D474" s="690"/>
      <c r="E474" s="1325" t="s">
        <v>308</v>
      </c>
      <c r="F474" s="217" t="s">
        <v>276</v>
      </c>
      <c r="G474" s="217" t="s">
        <v>320</v>
      </c>
      <c r="H474" s="558" t="s">
        <v>23</v>
      </c>
      <c r="I474" s="552">
        <f>'Volume and Speed'!H524</f>
        <v>1198.905109489051</v>
      </c>
      <c r="J474" s="552">
        <f>'Volume and Speed'!I524</f>
        <v>2664.5666058394158</v>
      </c>
      <c r="K474" s="552">
        <f>'Volume and Speed'!J524</f>
        <v>11261.9151459854</v>
      </c>
      <c r="L474" s="552">
        <f>'Volume and Speed'!K524</f>
        <v>25316.080291971932</v>
      </c>
      <c r="M474" s="552">
        <f>'Volume and Speed'!L524</f>
        <v>39378.038321313361</v>
      </c>
      <c r="N474" s="552">
        <f>'Volume and Speed'!M524</f>
        <v>53440.595807103331</v>
      </c>
      <c r="O474" s="552">
        <f>'Volume and Speed'!N524</f>
        <v>67494.761003473541</v>
      </c>
      <c r="P474" s="552">
        <f>'Volume and Speed'!O524</f>
        <v>81565.111751914897</v>
      </c>
      <c r="Q474" s="552">
        <f>'Volume and Speed'!P524</f>
        <v>92415.204285157481</v>
      </c>
      <c r="R474" s="552">
        <f>'Volume and Speed'!Q524</f>
        <v>103267.098022146</v>
      </c>
      <c r="S474" s="552">
        <f>'Volume and Speed'!R524</f>
        <v>114117.20100719389</v>
      </c>
      <c r="T474" s="552">
        <f>'Volume and Speed'!S524</f>
        <v>124967.32246853947</v>
      </c>
      <c r="U474" s="552">
        <f>'Volume and Speed'!T524</f>
        <v>135831.87240782398</v>
      </c>
      <c r="V474" s="552">
        <f>'Volume and Speed'!U524</f>
        <v>141216.81857160493</v>
      </c>
      <c r="W474" s="552">
        <f>'Volume and Speed'!V524</f>
        <v>142682.50214424095</v>
      </c>
      <c r="X474" s="552">
        <f>'Volume and Speed'!W524</f>
        <v>144148.18810430038</v>
      </c>
      <c r="Y474" s="552">
        <f>'Volume and Speed'!X524</f>
        <v>145613.8766824351</v>
      </c>
      <c r="Z474" s="552">
        <f>'Volume and Speed'!Y524</f>
        <v>147083.76438616531</v>
      </c>
      <c r="AA474" s="552">
        <f>'Volume and Speed'!Z524</f>
        <v>148549.45897933331</v>
      </c>
      <c r="AB474" s="552">
        <f>'Volume and Speed'!AA524</f>
        <v>150019.35328198146</v>
      </c>
      <c r="AC474" s="552">
        <f>'Volume and Speed'!AB524</f>
        <v>151485.05506695382</v>
      </c>
      <c r="AD474" s="552">
        <f>'Volume and Speed'!AC524</f>
        <v>152950.7609445136</v>
      </c>
      <c r="AE474" s="552">
        <f>'Volume and Speed'!AD524</f>
        <v>154420.66759960086</v>
      </c>
      <c r="AF474" s="552">
        <f>'Volume and Speed'!AE524</f>
        <v>155886.38281767844</v>
      </c>
      <c r="AG474" s="552">
        <f>'Volume and Speed'!AF524</f>
        <v>157352.10333149429</v>
      </c>
      <c r="AH474" s="727">
        <f>'Volume and Speed'!AG524</f>
        <v>158822.02596842652</v>
      </c>
      <c r="AI474" s="18"/>
      <c r="AJ474" s="18"/>
      <c r="AK474" s="18"/>
      <c r="AL474" s="18"/>
      <c r="AM474" s="18"/>
      <c r="AN474" s="18"/>
    </row>
    <row r="475" spans="2:41" ht="21.9" customHeight="1" x14ac:dyDescent="0.25">
      <c r="B475" s="229"/>
      <c r="C475" s="690"/>
      <c r="D475" s="690"/>
      <c r="E475" s="1325"/>
      <c r="F475" s="114" t="s">
        <v>320</v>
      </c>
      <c r="G475" s="114" t="s">
        <v>282</v>
      </c>
      <c r="H475" s="552" t="s">
        <v>23</v>
      </c>
      <c r="I475" s="552">
        <f>'Volume and Speed'!H525</f>
        <v>0</v>
      </c>
      <c r="J475" s="552">
        <f>'Volume and Speed'!I525</f>
        <v>808.15085158150828</v>
      </c>
      <c r="K475" s="552">
        <f>'Volume and Speed'!J525</f>
        <v>2335.8046228710464</v>
      </c>
      <c r="L475" s="552">
        <f>'Volume and Speed'!K525</f>
        <v>5250.7425790756597</v>
      </c>
      <c r="M475" s="552">
        <f>'Volume and Speed'!L525</f>
        <v>8167.2968370131402</v>
      </c>
      <c r="N475" s="552">
        <f>'Volume and Speed'!M525</f>
        <v>11083.97542665847</v>
      </c>
      <c r="O475" s="552">
        <f>'Volume and Speed'!N525</f>
        <v>13998.913393313032</v>
      </c>
      <c r="P475" s="552">
        <f>'Volume and Speed'!O525</f>
        <v>16917.208363360129</v>
      </c>
      <c r="Q475" s="552">
        <f>'Volume and Speed'!P525</f>
        <v>19167.597925810442</v>
      </c>
      <c r="R475" s="552">
        <f>'Volume and Speed'!Q525</f>
        <v>21418.361071259911</v>
      </c>
      <c r="S475" s="552">
        <f>'Volume and Speed'!R525</f>
        <v>23668.752801492064</v>
      </c>
      <c r="T475" s="552">
        <f>'Volume and Speed'!S525</f>
        <v>25919.148363845226</v>
      </c>
      <c r="U475" s="552">
        <f>'Volume and Speed'!T525</f>
        <v>28172.536499400529</v>
      </c>
      <c r="V475" s="552">
        <f>'Volume and Speed'!U525</f>
        <v>29289.414222258802</v>
      </c>
      <c r="W475" s="552">
        <f>'Volume and Speed'!V525</f>
        <v>29593.407852138866</v>
      </c>
      <c r="X475" s="552">
        <f>'Volume and Speed'!W525</f>
        <v>29897.401977188223</v>
      </c>
      <c r="Y475" s="552">
        <f>'Volume and Speed'!X525</f>
        <v>30201.396645245804</v>
      </c>
      <c r="Z475" s="552">
        <f>'Volume and Speed'!Y525</f>
        <v>30506.26224305651</v>
      </c>
      <c r="AA475" s="552">
        <f>'Volume and Speed'!Z525</f>
        <v>30810.258158676537</v>
      </c>
      <c r="AB475" s="552">
        <f>'Volume and Speed'!AA525</f>
        <v>31115.12512515171</v>
      </c>
      <c r="AC475" s="552">
        <f>'Volume and Speed'!AB525</f>
        <v>31419.122532405239</v>
      </c>
      <c r="AD475" s="552">
        <f>'Volume and Speed'!AC525</f>
        <v>31723.120788491702</v>
      </c>
      <c r="AE475" s="552">
        <f>'Volume and Speed'!AD525</f>
        <v>32027.990316954256</v>
      </c>
      <c r="AF475" s="552">
        <f>'Volume and Speed'!AE525</f>
        <v>32331.990510333308</v>
      </c>
      <c r="AG475" s="552">
        <f>'Volume and Speed'!AF525</f>
        <v>32635.991802087701</v>
      </c>
      <c r="AH475" s="727">
        <f>'Volume and Speed'!AG525</f>
        <v>32940.864645303278</v>
      </c>
      <c r="AI475" s="18"/>
      <c r="AJ475" s="18"/>
      <c r="AK475" s="18"/>
      <c r="AL475" s="18"/>
      <c r="AM475" s="18"/>
      <c r="AN475" s="18"/>
    </row>
    <row r="476" spans="2:41" ht="21.9" customHeight="1" x14ac:dyDescent="0.25">
      <c r="B476" s="229"/>
      <c r="C476" s="690"/>
      <c r="D476" s="690"/>
      <c r="E476" s="1325"/>
      <c r="F476" s="114" t="s">
        <v>282</v>
      </c>
      <c r="G476" s="114" t="s">
        <v>321</v>
      </c>
      <c r="H476" s="552" t="s">
        <v>23</v>
      </c>
      <c r="I476" s="552">
        <f>'Volume and Speed'!H526</f>
        <v>0</v>
      </c>
      <c r="J476" s="552">
        <f>'Volume and Speed'!I526</f>
        <v>2106.9647201946473</v>
      </c>
      <c r="K476" s="552">
        <f>'Volume and Speed'!J526</f>
        <v>6089.7763381995128</v>
      </c>
      <c r="L476" s="552">
        <f>'Volume and Speed'!K526</f>
        <v>13689.436009732968</v>
      </c>
      <c r="M476" s="552">
        <f>'Volume and Speed'!L526</f>
        <v>21293.309610784258</v>
      </c>
      <c r="N476" s="552">
        <f>'Volume and Speed'!M526</f>
        <v>28897.507362359574</v>
      </c>
      <c r="O476" s="552">
        <f>'Volume and Speed'!N526</f>
        <v>36497.167061137545</v>
      </c>
      <c r="P476" s="552">
        <f>'Volume and Speed'!O526</f>
        <v>44105.578947331764</v>
      </c>
      <c r="Q476" s="552">
        <f>'Volume and Speed'!P526</f>
        <v>49972.666020862933</v>
      </c>
      <c r="R476" s="552">
        <f>'Volume and Speed'!Q526</f>
        <v>55840.72707864191</v>
      </c>
      <c r="S476" s="552">
        <f>'Volume and Speed'!R526</f>
        <v>61707.819803890015</v>
      </c>
      <c r="T476" s="552">
        <f>'Volume and Speed'!S526</f>
        <v>67574.922520025022</v>
      </c>
      <c r="U476" s="552">
        <f>'Volume and Speed'!T526</f>
        <v>73449.827302008503</v>
      </c>
      <c r="V476" s="552">
        <f>'Volume and Speed'!U526</f>
        <v>76361.687079460433</v>
      </c>
      <c r="W476" s="552">
        <f>'Volume and Speed'!V526</f>
        <v>77154.241900219175</v>
      </c>
      <c r="X476" s="552">
        <f>'Volume and Speed'!W526</f>
        <v>77946.798011955019</v>
      </c>
      <c r="Y476" s="552">
        <f>'Volume and Speed'!X526</f>
        <v>78739.355539390832</v>
      </c>
      <c r="Z476" s="552">
        <f>'Volume and Speed'!Y526</f>
        <v>79534.183705111616</v>
      </c>
      <c r="AA476" s="552">
        <f>'Volume and Speed'!Z526</f>
        <v>80326.744485120973</v>
      </c>
      <c r="AB476" s="552">
        <f>'Volume and Speed'!AA526</f>
        <v>81121.576219145514</v>
      </c>
      <c r="AC476" s="552">
        <f>'Volume and Speed'!AB526</f>
        <v>81914.140888056514</v>
      </c>
      <c r="AD476" s="552">
        <f>'Volume and Speed'!AC526</f>
        <v>82706.707769996225</v>
      </c>
      <c r="AE476" s="552">
        <f>'Volume and Speed'!AD526</f>
        <v>83501.546183487866</v>
      </c>
      <c r="AF476" s="552">
        <f>'Volume and Speed'!AE526</f>
        <v>84294.118116226105</v>
      </c>
      <c r="AG476" s="552">
        <f>'Volume and Speed'!AF526</f>
        <v>85086.692912585801</v>
      </c>
      <c r="AH476" s="727">
        <f>'Volume and Speed'!AG526</f>
        <v>85881.53996811212</v>
      </c>
      <c r="AI476" s="18"/>
      <c r="AJ476" s="18"/>
      <c r="AK476" s="18"/>
      <c r="AL476" s="18"/>
      <c r="AM476" s="18"/>
      <c r="AN476" s="18"/>
    </row>
    <row r="477" spans="2:41" ht="21.9" customHeight="1" x14ac:dyDescent="0.25">
      <c r="B477" s="229"/>
      <c r="C477" s="690"/>
      <c r="D477" s="690"/>
      <c r="E477" s="1325"/>
      <c r="F477" s="250" t="s">
        <v>321</v>
      </c>
      <c r="G477" s="250" t="s">
        <v>274</v>
      </c>
      <c r="H477" s="562" t="s">
        <v>23</v>
      </c>
      <c r="I477" s="562">
        <f>'Volume and Speed'!H527</f>
        <v>2797.4452554744526</v>
      </c>
      <c r="J477" s="562">
        <f>'Volume and Speed'!I527</f>
        <v>4134.3443430656926</v>
      </c>
      <c r="K477" s="562">
        <f>'Volume and Speed'!J527</f>
        <v>5799.85</v>
      </c>
      <c r="L477" s="562">
        <f>'Volume and Speed'!K527</f>
        <v>9366.0332116788322</v>
      </c>
      <c r="M477" s="562">
        <f>'Volume and Speed'!L527</f>
        <v>12932.682664233587</v>
      </c>
      <c r="N477" s="562">
        <f>'Volume and Speed'!M527</f>
        <v>16500.824087591365</v>
      </c>
      <c r="O477" s="562">
        <f>'Volume and Speed'!N527</f>
        <v>20067.00729927115</v>
      </c>
      <c r="P477" s="562">
        <f>'Volume and Speed'!O527</f>
        <v>23631.325547451786</v>
      </c>
      <c r="Q477" s="562">
        <f>'Volume and Speed'!P527</f>
        <v>30788.309489170948</v>
      </c>
      <c r="R477" s="562">
        <f>'Volume and Speed'!Q527</f>
        <v>37941.190512141889</v>
      </c>
      <c r="S477" s="562">
        <f>'Volume and Speed'!R527</f>
        <v>45095.656759802892</v>
      </c>
      <c r="T477" s="562">
        <f>'Volume and Speed'!S527</f>
        <v>52252.640733758701</v>
      </c>
      <c r="U477" s="562">
        <f>'Volume and Speed'!T527</f>
        <v>59407.759836992336</v>
      </c>
      <c r="V477" s="562">
        <f>'Volume and Speed'!U527</f>
        <v>64663.879982477069</v>
      </c>
      <c r="W477" s="562">
        <f>'Volume and Speed'!V527</f>
        <v>66000.779176209689</v>
      </c>
      <c r="X477" s="562">
        <f>'Volume and Speed'!W527</f>
        <v>67337.678393764189</v>
      </c>
      <c r="Y477" s="562">
        <f>'Volume and Speed'!X527</f>
        <v>68674.577639852505</v>
      </c>
      <c r="Z477" s="562">
        <f>'Volume and Speed'!Y527</f>
        <v>70007.467247826862</v>
      </c>
      <c r="AA477" s="562">
        <f>'Volume and Speed'!Z527</f>
        <v>71344.366568339159</v>
      </c>
      <c r="AB477" s="562">
        <f>'Volume and Speed'!AA527</f>
        <v>72677.256264387222</v>
      </c>
      <c r="AC477" s="562">
        <f>'Volume and Speed'!AB527</f>
        <v>74014.155689420746</v>
      </c>
      <c r="AD477" s="562">
        <f>'Volume and Speed'!AC527</f>
        <v>75351.055181241478</v>
      </c>
      <c r="AE477" s="562">
        <f>'Volume and Speed'!AD527</f>
        <v>76683.945078408971</v>
      </c>
      <c r="AF477" s="562">
        <f>'Volume and Speed'!AE527</f>
        <v>78020.844740296001</v>
      </c>
      <c r="AG477" s="562">
        <f>'Volume and Speed'!AF527</f>
        <v>79357.744509500684</v>
      </c>
      <c r="AH477" s="729">
        <f>'Volume and Speed'!AG527</f>
        <v>80690.634729588026</v>
      </c>
      <c r="AI477" s="18"/>
      <c r="AJ477" s="18"/>
      <c r="AK477" s="18"/>
      <c r="AL477" s="18"/>
      <c r="AM477" s="18"/>
      <c r="AN477" s="18"/>
    </row>
    <row r="478" spans="2:41" ht="21.9" customHeight="1" x14ac:dyDescent="0.25">
      <c r="B478" s="229"/>
      <c r="C478" s="690"/>
      <c r="D478" s="690"/>
      <c r="E478" s="114" t="s">
        <v>282</v>
      </c>
      <c r="F478" s="114" t="s">
        <v>308</v>
      </c>
      <c r="G478" s="114" t="s">
        <v>324</v>
      </c>
      <c r="H478" s="568" t="s">
        <v>23</v>
      </c>
      <c r="I478" s="568">
        <f>'Volume and Speed'!H528</f>
        <v>24514.925373134458</v>
      </c>
      <c r="J478" s="568">
        <f>'Volume and Speed'!I528</f>
        <v>26022.32089552264</v>
      </c>
      <c r="K478" s="568">
        <f>'Volume and Speed'!J528</f>
        <v>28017.154850746825</v>
      </c>
      <c r="L478" s="568">
        <f>'Volume and Speed'!K528</f>
        <v>30668.171641792556</v>
      </c>
      <c r="M478" s="568">
        <f>'Volume and Speed'!L528</f>
        <v>33320.005597018695</v>
      </c>
      <c r="N478" s="568">
        <f>'Volume and Speed'!M528</f>
        <v>35977.559701501305</v>
      </c>
      <c r="O478" s="568">
        <f>'Volume and Speed'!N528</f>
        <v>38628.576492556465</v>
      </c>
      <c r="P478" s="568">
        <f>'Volume and Speed'!O528</f>
        <v>41282.453358248742</v>
      </c>
      <c r="Q478" s="568">
        <f>'Volume and Speed'!P528</f>
        <v>43702.348880671481</v>
      </c>
      <c r="R478" s="568">
        <f>'Volume and Speed'!Q528</f>
        <v>46120.201492671971</v>
      </c>
      <c r="S478" s="568">
        <f>'Volume and Speed'!R528</f>
        <v>48540.23320919156</v>
      </c>
      <c r="T478" s="568">
        <f>'Volume and Speed'!S528</f>
        <v>50960.128731746881</v>
      </c>
      <c r="U478" s="568">
        <f>'Volume and Speed'!T528</f>
        <v>53388.604478285459</v>
      </c>
      <c r="V478" s="568">
        <f>'Volume and Speed'!U528</f>
        <v>55150.410448723793</v>
      </c>
      <c r="W478" s="568">
        <f>'Volume and Speed'!V528</f>
        <v>56657.80597144425</v>
      </c>
      <c r="X478" s="568">
        <f>'Volume and Speed'!W528</f>
        <v>58165.201494265944</v>
      </c>
      <c r="Y478" s="568">
        <f>'Volume and Speed'!X528</f>
        <v>59672.5970172159</v>
      </c>
      <c r="Z478" s="568">
        <f>'Volume and Speed'!Y528</f>
        <v>61181.626868686326</v>
      </c>
      <c r="AA478" s="568">
        <f>'Volume and Speed'!Z528</f>
        <v>62689.022391999883</v>
      </c>
      <c r="AB478" s="568">
        <f>'Volume and Speed'!AA528</f>
        <v>64200.095154374125</v>
      </c>
      <c r="AC478" s="568">
        <f>'Volume and Speed'!AB528</f>
        <v>65707.490678251372</v>
      </c>
      <c r="AD478" s="568">
        <f>'Volume and Speed'!AC528</f>
        <v>67214.886202512498</v>
      </c>
      <c r="AE478" s="568">
        <f>'Volume and Speed'!AD528</f>
        <v>68723.916055605339</v>
      </c>
      <c r="AF478" s="568">
        <f>'Volume and Speed'!AE528</f>
        <v>70231.311580912501</v>
      </c>
      <c r="AG478" s="568">
        <f>'Volume and Speed'!AF528</f>
        <v>71738.707106918242</v>
      </c>
      <c r="AH478" s="730">
        <f>'Volume and Speed'!AG528</f>
        <v>73249.779872587678</v>
      </c>
      <c r="AI478" s="18"/>
      <c r="AJ478" s="18"/>
      <c r="AK478" s="18"/>
      <c r="AL478" s="18"/>
      <c r="AM478" s="18"/>
      <c r="AN478" s="18"/>
    </row>
    <row r="479" spans="2:41" ht="21.9" customHeight="1" x14ac:dyDescent="0.25">
      <c r="B479" s="229"/>
      <c r="C479" s="690"/>
      <c r="D479" s="690"/>
      <c r="E479" s="273" t="s">
        <v>321</v>
      </c>
      <c r="F479" s="273" t="s">
        <v>318</v>
      </c>
      <c r="G479" s="273" t="s">
        <v>308</v>
      </c>
      <c r="H479" s="552" t="s">
        <v>23</v>
      </c>
      <c r="I479" s="568">
        <f>'Volume and Speed'!H529</f>
        <v>0</v>
      </c>
      <c r="J479" s="568">
        <f>'Volume and Speed'!I529</f>
        <v>25506.695298631377</v>
      </c>
      <c r="K479" s="568">
        <f>'Volume and Speed'!J529</f>
        <v>27462.004335917474</v>
      </c>
      <c r="L479" s="568">
        <f>'Volume and Speed'!K529</f>
        <v>30060.498908605485</v>
      </c>
      <c r="M479" s="568">
        <f>'Volume and Speed'!L529</f>
        <v>32659.804263244878</v>
      </c>
      <c r="N479" s="568">
        <f>'Volume and Speed'!M529</f>
        <v>35264.737090136579</v>
      </c>
      <c r="O479" s="568">
        <f>'Volume and Speed'!N529</f>
        <v>37863.302834349641</v>
      </c>
      <c r="P479" s="568">
        <f>'Volume and Speed'!O529</f>
        <v>40464.749166176349</v>
      </c>
      <c r="Q479" s="568">
        <f>'Volume and Speed'!P529</f>
        <v>42836.956262113017</v>
      </c>
      <c r="R479" s="568">
        <f>'Volume and Speed'!Q529</f>
        <v>45207.353250352906</v>
      </c>
      <c r="S479" s="568">
        <f>'Volume and Speed'!R529</f>
        <v>47580.198983913971</v>
      </c>
      <c r="T479" s="568">
        <f>'Volume and Speed'!S529</f>
        <v>49953.40552352395</v>
      </c>
      <c r="U479" s="568">
        <f>'Volume and Speed'!T529</f>
        <v>52335.79610102468</v>
      </c>
      <c r="V479" s="568">
        <f>'Volume and Speed'!U529</f>
        <v>54064.871392685047</v>
      </c>
      <c r="W479" s="568">
        <f>'Volume and Speed'!V529</f>
        <v>55544.903737164168</v>
      </c>
      <c r="X479" s="568">
        <f>'Volume and Speed'!W529</f>
        <v>57025.699378580684</v>
      </c>
      <c r="Y479" s="568">
        <f>'Volume and Speed'!X529</f>
        <v>58507.461589192069</v>
      </c>
      <c r="Z479" s="568">
        <f>'Volume and Speed'!Y529</f>
        <v>59992.049030166963</v>
      </c>
      <c r="AA479" s="568">
        <f>'Volume and Speed'!Z529</f>
        <v>61476.552272436835</v>
      </c>
      <c r="AB479" s="568">
        <f>'Volume and Speed'!AA529</f>
        <v>62966.579790984062</v>
      </c>
      <c r="AC479" s="568">
        <f>'Volume and Speed'!AB529</f>
        <v>64455.332164677471</v>
      </c>
      <c r="AD479" s="568">
        <f>'Volume and Speed'!AC529</f>
        <v>65946.978014198554</v>
      </c>
      <c r="AE479" s="568">
        <f>'Volume and Speed'!AD529</f>
        <v>67443.795411522588</v>
      </c>
      <c r="AF479" s="568">
        <f>'Volume and Speed'!AE529</f>
        <v>68943.326270135978</v>
      </c>
      <c r="AG479" s="568">
        <f>'Volume and Speed'!AF529</f>
        <v>70448.12326761453</v>
      </c>
      <c r="AH479" s="730">
        <f>'Volume and Speed'!AG529</f>
        <v>71962.99005222047</v>
      </c>
      <c r="AI479" s="18"/>
      <c r="AJ479" s="18"/>
      <c r="AK479" s="18"/>
      <c r="AL479" s="18"/>
      <c r="AM479" s="18"/>
      <c r="AN479" s="18"/>
    </row>
    <row r="480" spans="2:41" ht="21.9" customHeight="1" x14ac:dyDescent="0.25">
      <c r="B480" s="229"/>
      <c r="C480" s="690"/>
      <c r="D480" s="690"/>
      <c r="E480" s="273" t="s">
        <v>333</v>
      </c>
      <c r="F480" s="273" t="s">
        <v>319</v>
      </c>
      <c r="G480" s="273" t="s">
        <v>308</v>
      </c>
      <c r="H480" s="568" t="s">
        <v>23</v>
      </c>
      <c r="I480" s="568">
        <f>'Volume and Speed'!H530</f>
        <v>38197.078466007326</v>
      </c>
      <c r="J480" s="568">
        <f>'Volume and Speed'!I530</f>
        <v>38721.779763803679</v>
      </c>
      <c r="K480" s="568">
        <f>'Volume and Speed'!J530</f>
        <v>39628.818791838828</v>
      </c>
      <c r="L480" s="568">
        <f>'Volume and Speed'!K530</f>
        <v>40874.315517841576</v>
      </c>
      <c r="M480" s="568">
        <f>'Volume and Speed'!L530</f>
        <v>42120.684888907825</v>
      </c>
      <c r="N480" s="568">
        <f>'Volume and Speed'!M530</f>
        <v>43369.308493461765</v>
      </c>
      <c r="O480" s="568">
        <f>'Volume and Speed'!N530</f>
        <v>44616.176487885066</v>
      </c>
      <c r="P480" s="568">
        <f>'Volume and Speed'!O530</f>
        <v>45868.15664254452</v>
      </c>
      <c r="Q480" s="568">
        <f>'Volume and Speed'!P530</f>
        <v>46736.938420110149</v>
      </c>
      <c r="R480" s="568">
        <f>'Volume and Speed'!Q530</f>
        <v>47606.376235203563</v>
      </c>
      <c r="S480" s="568">
        <f>'Volume and Speed'!R530</f>
        <v>48476.569086080985</v>
      </c>
      <c r="T480" s="568">
        <f>'Volume and Speed'!S530</f>
        <v>49347.3113494504</v>
      </c>
      <c r="U480" s="568">
        <f>'Volume and Speed'!T530</f>
        <v>50225.144563928057</v>
      </c>
      <c r="V480" s="568">
        <f>'Volume and Speed'!U530</f>
        <v>50753.455398561593</v>
      </c>
      <c r="W480" s="568">
        <f>'Volume and Speed'!V530</f>
        <v>51282.187270734794</v>
      </c>
      <c r="X480" s="568">
        <f>'Volume and Speed'!W530</f>
        <v>51811.381050785356</v>
      </c>
      <c r="Y480" s="568">
        <f>'Volume and Speed'!X530</f>
        <v>52341.081063577003</v>
      </c>
      <c r="Z480" s="568">
        <f>'Volume and Speed'!Y530</f>
        <v>52874.98472114186</v>
      </c>
      <c r="AA480" s="568">
        <f>'Volume and Speed'!Z530</f>
        <v>53405.849774515169</v>
      </c>
      <c r="AB480" s="568">
        <f>'Volume and Speed'!AA530</f>
        <v>53939.42245189994</v>
      </c>
      <c r="AC480" s="568">
        <f>'Volume and Speed'!AB530</f>
        <v>54471.677785010077</v>
      </c>
      <c r="AD480" s="568">
        <f>'Volume and Speed'!AC530</f>
        <v>55004.723559207203</v>
      </c>
      <c r="AE480" s="568">
        <f>'Volume and Speed'!AD530</f>
        <v>55542.306655750363</v>
      </c>
      <c r="AF480" s="568">
        <f>'Volume and Speed'!AE530</f>
        <v>56077.159567186623</v>
      </c>
      <c r="AG480" s="568">
        <f>'Volume and Speed'!AF530</f>
        <v>56613.034734769157</v>
      </c>
      <c r="AH480" s="730">
        <f>'Volume and Speed'!AG530</f>
        <v>57152.088004066471</v>
      </c>
      <c r="AI480" s="18"/>
      <c r="AJ480" s="18"/>
      <c r="AK480" s="18"/>
      <c r="AL480" s="18"/>
      <c r="AM480" s="18"/>
      <c r="AN480" s="18"/>
    </row>
    <row r="481" spans="2:41" ht="21.9" customHeight="1" x14ac:dyDescent="0.25">
      <c r="B481" s="229"/>
      <c r="C481" s="690"/>
      <c r="D481" s="690"/>
      <c r="E481" s="114" t="s">
        <v>319</v>
      </c>
      <c r="F481" s="114" t="s">
        <v>276</v>
      </c>
      <c r="G481" s="114" t="s">
        <v>333</v>
      </c>
      <c r="H481" s="552" t="s">
        <v>23</v>
      </c>
      <c r="I481" s="552">
        <f>'Volume and Speed'!H531</f>
        <v>78280.009329269713</v>
      </c>
      <c r="J481" s="552">
        <f>'Volume and Speed'!I531</f>
        <v>80536.588663159433</v>
      </c>
      <c r="K481" s="552">
        <f>'Volume and Speed'!J531</f>
        <v>82979.083742464209</v>
      </c>
      <c r="L481" s="552">
        <f>'Volume and Speed'!K531</f>
        <v>86219.488973189727</v>
      </c>
      <c r="M481" s="552">
        <f>'Volume and Speed'!L531</f>
        <v>89460.444183401996</v>
      </c>
      <c r="N481" s="552">
        <f>'Volume and Speed'!M531</f>
        <v>92702.73297056045</v>
      </c>
      <c r="O481" s="552">
        <f>'Volume and Speed'!N531</f>
        <v>95943.146904288398</v>
      </c>
      <c r="P481" s="552">
        <f>'Volume and Speed'!O531</f>
        <v>99184.427195162862</v>
      </c>
      <c r="Q481" s="552">
        <f>'Volume and Speed'!P531</f>
        <v>102751.04933618143</v>
      </c>
      <c r="R481" s="552">
        <f>'Volume and Speed'!Q531</f>
        <v>106316.50910134685</v>
      </c>
      <c r="S481" s="552">
        <f>'Volume and Speed'!R531</f>
        <v>109883.15916453424</v>
      </c>
      <c r="T481" s="552">
        <f>'Volume and Speed'!S531</f>
        <v>113449.83086761467</v>
      </c>
      <c r="U481" s="552">
        <f>'Volume and Speed'!T531</f>
        <v>117018.56675792123</v>
      </c>
      <c r="V481" s="552">
        <f>'Volume and Speed'!U531</f>
        <v>119787.04786154658</v>
      </c>
      <c r="W481" s="552">
        <f>'Volume and Speed'!V531</f>
        <v>122043.73481914308</v>
      </c>
      <c r="X481" s="552">
        <f>'Volume and Speed'!W531</f>
        <v>124300.44396078319</v>
      </c>
      <c r="Y481" s="552">
        <f>'Volume and Speed'!X531</f>
        <v>126557.17926163421</v>
      </c>
      <c r="Z481" s="552">
        <f>'Volume and Speed'!Y531</f>
        <v>128813.71045616941</v>
      </c>
      <c r="AA481" s="552">
        <f>'Volume and Speed'!Z531</f>
        <v>131070.51256322782</v>
      </c>
      <c r="AB481" s="552">
        <f>'Volume and Speed'!AA531</f>
        <v>133327.12195163732</v>
      </c>
      <c r="AC481" s="552">
        <f>'Volume and Speed'!AB531</f>
        <v>135584.01535304615</v>
      </c>
      <c r="AD481" s="552">
        <f>'Volume and Speed'!AC531</f>
        <v>137840.96591269207</v>
      </c>
      <c r="AE481" s="552">
        <f>'Volume and Speed'!AD531</f>
        <v>140097.74789206393</v>
      </c>
      <c r="AF481" s="552">
        <f>'Volume and Speed'!AE531</f>
        <v>142354.84149254093</v>
      </c>
      <c r="AG481" s="552">
        <f>'Volume and Speed'!AF531</f>
        <v>144612.02369669895</v>
      </c>
      <c r="AH481" s="727">
        <f>'Volume and Speed'!AG531</f>
        <v>146869.07305334028</v>
      </c>
      <c r="AI481" s="18"/>
      <c r="AJ481" s="18"/>
      <c r="AK481" s="18"/>
      <c r="AL481" s="18"/>
      <c r="AM481" s="18"/>
      <c r="AN481" s="18"/>
    </row>
    <row r="482" spans="2:41" ht="21.9" customHeight="1" x14ac:dyDescent="0.25">
      <c r="B482" s="229"/>
      <c r="C482" s="690"/>
      <c r="D482" s="690"/>
      <c r="E482" s="114"/>
      <c r="F482" s="114" t="s">
        <v>333</v>
      </c>
      <c r="G482" s="114" t="s">
        <v>323</v>
      </c>
      <c r="H482" s="552" t="s">
        <v>23</v>
      </c>
      <c r="I482" s="552">
        <f>'Volume and Speed'!H532</f>
        <v>11400.437782222565</v>
      </c>
      <c r="J482" s="552">
        <f>'Volume and Speed'!I532</f>
        <v>11724.000221011778</v>
      </c>
      <c r="K482" s="552">
        <f>'Volume and Speed'!J532</f>
        <v>12083.06903042028</v>
      </c>
      <c r="L482" s="552">
        <f>'Volume and Speed'!K532</f>
        <v>12587.058426842868</v>
      </c>
      <c r="M482" s="552">
        <f>'Volume and Speed'!L532</f>
        <v>13091.137848784898</v>
      </c>
      <c r="N482" s="552">
        <f>'Volume and Speed'!M532</f>
        <v>13595.322306167503</v>
      </c>
      <c r="O482" s="552">
        <f>'Volume and Speed'!N532</f>
        <v>14099.311800085041</v>
      </c>
      <c r="P482" s="552">
        <f>'Volume and Speed'!O532</f>
        <v>14603.331356264347</v>
      </c>
      <c r="Q482" s="552">
        <f>'Volume and Speed'!P532</f>
        <v>15169.828437975215</v>
      </c>
      <c r="R482" s="552">
        <f>'Volume and Speed'!Q532</f>
        <v>15736.130661249987</v>
      </c>
      <c r="S482" s="552">
        <f>'Volume and Speed'!R532</f>
        <v>16302.628099596561</v>
      </c>
      <c r="T482" s="552">
        <f>'Volume and Speed'!S532</f>
        <v>16869.125822989739</v>
      </c>
      <c r="U482" s="552">
        <f>'Volume and Speed'!T532</f>
        <v>17435.713937548928</v>
      </c>
      <c r="V482" s="552">
        <f>'Volume and Speed'!U532</f>
        <v>17857.351468331635</v>
      </c>
      <c r="W482" s="552">
        <f>'Volume and Speed'!V532</f>
        <v>18180.915159416094</v>
      </c>
      <c r="X482" s="552">
        <f>'Volume and Speed'!W532</f>
        <v>18504.479097296215</v>
      </c>
      <c r="Y482" s="552">
        <f>'Volume and Speed'!X532</f>
        <v>18828.043324421287</v>
      </c>
      <c r="Z482" s="552">
        <f>'Volume and Speed'!Y532</f>
        <v>19151.442882082854</v>
      </c>
      <c r="AA482" s="552">
        <f>'Volume and Speed'!Z532</f>
        <v>19475.007841115694</v>
      </c>
      <c r="AB482" s="552">
        <f>'Volume and Speed'!AA532</f>
        <v>19798.408250293367</v>
      </c>
      <c r="AC482" s="552">
        <f>'Volume and Speed'!AB532</f>
        <v>20121.974198515862</v>
      </c>
      <c r="AD482" s="552">
        <f>'Volume and Speed'!AC532</f>
        <v>20445.540761468044</v>
      </c>
      <c r="AE482" s="552">
        <f>'Volume and Speed'!AD532</f>
        <v>20768.943025014618</v>
      </c>
      <c r="AF482" s="552">
        <f>'Volume and Speed'!AE532</f>
        <v>21092.511114393601</v>
      </c>
      <c r="AG482" s="552">
        <f>'Volume and Speed'!AF532</f>
        <v>21416.080142934457</v>
      </c>
      <c r="AH482" s="727">
        <f>'Volume and Speed'!AG532</f>
        <v>21739.485237948207</v>
      </c>
      <c r="AI482" s="18"/>
      <c r="AJ482" s="18"/>
      <c r="AK482" s="18"/>
      <c r="AL482" s="18"/>
      <c r="AM482" s="18"/>
      <c r="AN482" s="18"/>
    </row>
    <row r="483" spans="2:41" ht="21.9" customHeight="1" x14ac:dyDescent="0.25">
      <c r="B483" s="229"/>
      <c r="C483" s="690"/>
      <c r="D483" s="690"/>
      <c r="E483" s="114"/>
      <c r="F483" s="114" t="s">
        <v>323</v>
      </c>
      <c r="G483" s="114" t="s">
        <v>322</v>
      </c>
      <c r="H483" s="552" t="s">
        <v>23</v>
      </c>
      <c r="I483" s="552">
        <f>'Volume and Speed'!H533</f>
        <v>3433.8483209342858</v>
      </c>
      <c r="J483" s="552">
        <f>'Volume and Speed'!I533</f>
        <v>3531.3063694879775</v>
      </c>
      <c r="K483" s="552">
        <f>'Volume and Speed'!J533</f>
        <v>3639.4590541383932</v>
      </c>
      <c r="L483" s="552">
        <f>'Volume and Speed'!K533</f>
        <v>3791.2622944819923</v>
      </c>
      <c r="M483" s="552">
        <f>'Volume and Speed'!L533</f>
        <v>3943.092662233938</v>
      </c>
      <c r="N483" s="552">
        <f>'Volume and Speed'!M533</f>
        <v>4094.9546832734477</v>
      </c>
      <c r="O483" s="552">
        <f>'Volume and Speed'!N533</f>
        <v>4246.7580035081864</v>
      </c>
      <c r="P483" s="552">
        <f>'Volume and Speed'!O533</f>
        <v>4398.5704102615491</v>
      </c>
      <c r="Q483" s="552">
        <f>'Volume and Speed'!P533</f>
        <v>4569.2013130102168</v>
      </c>
      <c r="R483" s="552">
        <f>'Volume and Speed'!Q533</f>
        <v>4739.7736010189374</v>
      </c>
      <c r="S483" s="552">
        <f>'Volume and Speed'!R533</f>
        <v>4910.4047960087373</v>
      </c>
      <c r="T483" s="552">
        <f>'Volume and Speed'!S533</f>
        <v>5081.0362245767774</v>
      </c>
      <c r="U483" s="552">
        <f>'Volume and Speed'!T533</f>
        <v>5251.6950801781377</v>
      </c>
      <c r="V483" s="552">
        <f>'Volume and Speed'!U533</f>
        <v>5378.6943472404309</v>
      </c>
      <c r="W483" s="552">
        <f>'Volume and Speed'!V533</f>
        <v>5476.1534219734112</v>
      </c>
      <c r="X483" s="552">
        <f>'Volume and Speed'!W533</f>
        <v>5573.6126989403265</v>
      </c>
      <c r="Y483" s="552">
        <f>'Volume and Speed'!X533</f>
        <v>5671.0722129257765</v>
      </c>
      <c r="Z483" s="552">
        <f>'Volume and Speed'!Y533</f>
        <v>5768.4823025216501</v>
      </c>
      <c r="AA483" s="552">
        <f>'Volume and Speed'!Z533</f>
        <v>5865.9424162607083</v>
      </c>
      <c r="AB483" s="552">
        <f>'Volume and Speed'!AA533</f>
        <v>5963.3532036218994</v>
      </c>
      <c r="AC483" s="552">
        <f>'Volume and Speed'!AB533</f>
        <v>6060.8141279413267</v>
      </c>
      <c r="AD483" s="552">
        <f>'Volume and Speed'!AC533</f>
        <v>6158.2755559940924</v>
      </c>
      <c r="AE483" s="552">
        <f>'Volume and Speed'!AD533</f>
        <v>6255.6878628970826</v>
      </c>
      <c r="AF483" s="552">
        <f>'Volume and Speed'!AE533</f>
        <v>6353.1505417631652</v>
      </c>
      <c r="AG483" s="552">
        <f>'Volume and Speed'!AF533</f>
        <v>6450.6139902149152</v>
      </c>
      <c r="AH483" s="727">
        <f>'Volume and Speed'!AG533</f>
        <v>6548.0286173319164</v>
      </c>
      <c r="AI483" s="18"/>
      <c r="AJ483" s="18"/>
      <c r="AK483" s="18"/>
      <c r="AL483" s="18"/>
      <c r="AM483" s="18"/>
      <c r="AN483" s="18"/>
    </row>
    <row r="484" spans="2:41" ht="21.9" customHeight="1" x14ac:dyDescent="0.25">
      <c r="B484" s="229"/>
      <c r="C484" s="690"/>
      <c r="D484" s="690"/>
      <c r="E484" s="114"/>
      <c r="F484" s="114" t="s">
        <v>322</v>
      </c>
      <c r="G484" s="114" t="s">
        <v>326</v>
      </c>
      <c r="H484" s="552" t="s">
        <v>23</v>
      </c>
      <c r="I484" s="552">
        <f>'Volume and Speed'!H534</f>
        <v>8810.531796712874</v>
      </c>
      <c r="J484" s="552">
        <f>'Volume and Speed'!I534</f>
        <v>9060.3691127620968</v>
      </c>
      <c r="K484" s="552">
        <f>'Volume and Speed'!J534</f>
        <v>9345.0520836105425</v>
      </c>
      <c r="L484" s="552">
        <f>'Volume and Speed'!K534</f>
        <v>9708.8095809397528</v>
      </c>
      <c r="M484" s="552">
        <f>'Volume and Speed'!L534</f>
        <v>10072.684555763755</v>
      </c>
      <c r="N484" s="552">
        <f>'Volume and Speed'!M534</f>
        <v>10436.500798904592</v>
      </c>
      <c r="O484" s="552">
        <f>'Volume and Speed'!N534</f>
        <v>10800.258312310603</v>
      </c>
      <c r="P484" s="552">
        <f>'Volume and Speed'!O534</f>
        <v>11164.089256545276</v>
      </c>
      <c r="Q484" s="552">
        <f>'Volume and Speed'!P534</f>
        <v>11575.306197999951</v>
      </c>
      <c r="R484" s="552">
        <f>'Volume and Speed'!Q534</f>
        <v>11986.508478432728</v>
      </c>
      <c r="S484" s="552">
        <f>'Volume and Speed'!R534</f>
        <v>12397.666737939287</v>
      </c>
      <c r="T484" s="552">
        <f>'Volume and Speed'!S534</f>
        <v>12808.883777326171</v>
      </c>
      <c r="U484" s="552">
        <f>'Volume and Speed'!T534</f>
        <v>13220.174295493773</v>
      </c>
      <c r="V484" s="552">
        <f>'Volume and Speed'!U534</f>
        <v>13552.302199962967</v>
      </c>
      <c r="W484" s="552">
        <f>'Volume and Speed'!V534</f>
        <v>13802.139722201126</v>
      </c>
      <c r="X484" s="552">
        <f>'Volume and Speed'!W534</f>
        <v>14051.977285931709</v>
      </c>
      <c r="Y484" s="552">
        <f>'Volume and Speed'!X534</f>
        <v>14301.814898422479</v>
      </c>
      <c r="Z484" s="552">
        <f>'Volume and Speed'!Y534</f>
        <v>14551.579146838299</v>
      </c>
      <c r="AA484" s="552">
        <f>'Volume and Speed'!Z534</f>
        <v>14801.416883215599</v>
      </c>
      <c r="AB484" s="552">
        <f>'Volume and Speed'!AA534</f>
        <v>15051.181276152151</v>
      </c>
      <c r="AC484" s="552">
        <f>'Volume and Speed'!AB534</f>
        <v>15301.019180782423</v>
      </c>
      <c r="AD484" s="552">
        <f>'Volume and Speed'!AC534</f>
        <v>15550.857190314353</v>
      </c>
      <c r="AE484" s="552">
        <f>'Volume and Speed'!AD534</f>
        <v>15800.621899845381</v>
      </c>
      <c r="AF484" s="552">
        <f>'Volume and Speed'!AE534</f>
        <v>16050.460170759208</v>
      </c>
      <c r="AG484" s="552">
        <f>'Volume and Speed'!AF534</f>
        <v>16300.29860296868</v>
      </c>
      <c r="AH484" s="727">
        <f>'Volume and Speed'!AG534</f>
        <v>16550.063799009629</v>
      </c>
      <c r="AI484" s="18"/>
      <c r="AJ484" s="18"/>
      <c r="AK484" s="18"/>
      <c r="AL484" s="18"/>
      <c r="AM484" s="18"/>
      <c r="AN484" s="18"/>
    </row>
    <row r="485" spans="2:41" ht="21.9" customHeight="1" x14ac:dyDescent="0.25">
      <c r="B485" s="229"/>
      <c r="C485" s="690"/>
      <c r="D485" s="690"/>
      <c r="E485" s="114"/>
      <c r="F485" s="114" t="s">
        <v>326</v>
      </c>
      <c r="G485" s="114" t="s">
        <v>274</v>
      </c>
      <c r="H485" s="552" t="s">
        <v>23</v>
      </c>
      <c r="I485" s="552">
        <f>'Volume and Speed'!H535</f>
        <v>60064.136465598429</v>
      </c>
      <c r="J485" s="552">
        <f>'Volume and Speed'!I535</f>
        <v>61767.355168825023</v>
      </c>
      <c r="K485" s="552">
        <f>'Volume and Speed'!J535</f>
        <v>63708.127535640131</v>
      </c>
      <c r="L485" s="552">
        <f>'Volume and Speed'!K535</f>
        <v>66187.975536268277</v>
      </c>
      <c r="M485" s="552">
        <f>'Volume and Speed'!L535</f>
        <v>68668.624401414942</v>
      </c>
      <c r="N485" s="552">
        <f>'Volume and Speed'!M535</f>
        <v>71148.872852004308</v>
      </c>
      <c r="O485" s="552">
        <f>'Volume and Speed'!N535</f>
        <v>73628.720892918616</v>
      </c>
      <c r="P485" s="552">
        <f>'Volume and Speed'!O535</f>
        <v>76109.069492686336</v>
      </c>
      <c r="Q485" s="552">
        <f>'Volume and Speed'!P535</f>
        <v>78912.463090797522</v>
      </c>
      <c r="R485" s="552">
        <f>'Volume and Speed'!Q535</f>
        <v>81715.756640144915</v>
      </c>
      <c r="S485" s="552">
        <f>'Volume and Speed'!R535</f>
        <v>84518.749948327706</v>
      </c>
      <c r="T485" s="552">
        <f>'Volume and Speed'!S535</f>
        <v>87322.143791843002</v>
      </c>
      <c r="U485" s="552">
        <f>'Volume and Speed'!T535</f>
        <v>90126.038314372621</v>
      </c>
      <c r="V485" s="552">
        <f>'Volume and Speed'!U535</f>
        <v>92390.256607081421</v>
      </c>
      <c r="W485" s="552">
        <f>'Volume and Speed'!V535</f>
        <v>94093.475826987866</v>
      </c>
      <c r="X485" s="552">
        <f>'Volume and Speed'!W535</f>
        <v>95796.695150868371</v>
      </c>
      <c r="Y485" s="552">
        <f>'Volume and Speed'!X535</f>
        <v>97499.91459693489</v>
      </c>
      <c r="Z485" s="552">
        <f>'Volume and Speed'!Y535</f>
        <v>99202.63365142321</v>
      </c>
      <c r="AA485" s="552">
        <f>'Volume and Speed'!Z535</f>
        <v>100905.85340793154</v>
      </c>
      <c r="AB485" s="552">
        <f>'Volume and Speed'!AA535</f>
        <v>102608.57282456808</v>
      </c>
      <c r="AC485" s="552">
        <f>'Volume and Speed'!AB535</f>
        <v>104311.79300269426</v>
      </c>
      <c r="AD485" s="552">
        <f>'Volume and Speed'!AC535</f>
        <v>106015.01344368892</v>
      </c>
      <c r="AE485" s="552">
        <f>'Volume and Speed'!AD535</f>
        <v>107717.73365366572</v>
      </c>
      <c r="AF485" s="552">
        <f>'Volume and Speed'!AE535</f>
        <v>109420.95474964587</v>
      </c>
      <c r="AG485" s="552">
        <f>'Volume and Speed'!AF535</f>
        <v>111124.17624980977</v>
      </c>
      <c r="AH485" s="727">
        <f>'Volume and Speed'!AG535</f>
        <v>112826.89767891055</v>
      </c>
      <c r="AI485" s="18"/>
      <c r="AJ485" s="18"/>
      <c r="AK485" s="18"/>
      <c r="AL485" s="18"/>
      <c r="AM485" s="18"/>
      <c r="AN485" s="18"/>
    </row>
    <row r="486" spans="2:41" ht="21.9" customHeight="1" thickBot="1" x14ac:dyDescent="0.3">
      <c r="B486" s="229"/>
      <c r="C486" s="690"/>
      <c r="D486" s="690"/>
      <c r="E486" s="114"/>
      <c r="F486" s="114" t="s">
        <v>274</v>
      </c>
      <c r="G486" s="114" t="s">
        <v>317</v>
      </c>
      <c r="H486" s="552" t="s">
        <v>23</v>
      </c>
      <c r="I486" s="552">
        <f>'Volume and Speed'!H536</f>
        <v>1500.0830564292053</v>
      </c>
      <c r="J486" s="552">
        <f>'Volume and Speed'!I536</f>
        <v>1542.6206970041326</v>
      </c>
      <c r="K486" s="552">
        <f>'Volume and Speed'!J536</f>
        <v>1591.0913271609174</v>
      </c>
      <c r="L486" s="552">
        <f>'Volume and Speed'!K536</f>
        <v>1653.0255790936376</v>
      </c>
      <c r="M486" s="552">
        <f>'Volume and Speed'!L536</f>
        <v>1714.980222283463</v>
      </c>
      <c r="N486" s="552">
        <f>'Volume and Speed'!M536</f>
        <v>1776.9254072623949</v>
      </c>
      <c r="O486" s="552">
        <f>'Volume and Speed'!N536</f>
        <v>1838.861337414517</v>
      </c>
      <c r="P486" s="552">
        <f>'Volume and Speed'!O536</f>
        <v>1900.8107839873219</v>
      </c>
      <c r="Q486" s="552">
        <f>'Volume and Speed'!P536</f>
        <v>1970.8303039901414</v>
      </c>
      <c r="R486" s="552">
        <f>'Volume and Speed'!Q536</f>
        <v>2040.849745413655</v>
      </c>
      <c r="S486" s="552">
        <f>'Volume and Speed'!R536</f>
        <v>2110.8649989294072</v>
      </c>
      <c r="T486" s="552">
        <f>'Volume and Speed'!S536</f>
        <v>2180.8947418411367</v>
      </c>
      <c r="U486" s="552">
        <f>'Volume and Speed'!T536</f>
        <v>2250.943006774366</v>
      </c>
      <c r="V486" s="552">
        <f>'Volume and Speed'!U536</f>
        <v>2307.5145385494761</v>
      </c>
      <c r="W486" s="552">
        <f>'Volume and Speed'!V536</f>
        <v>2350.0737026937231</v>
      </c>
      <c r="X486" s="552">
        <f>'Volume and Speed'!W536</f>
        <v>2392.6371981333941</v>
      </c>
      <c r="Y486" s="552">
        <f>'Volume and Speed'!X536</f>
        <v>2435.2057835323271</v>
      </c>
      <c r="Z486" s="552">
        <f>'Volume and Speed'!Y536</f>
        <v>2477.7678207706026</v>
      </c>
      <c r="AA486" s="552">
        <f>'Volume and Speed'!Z536</f>
        <v>2520.3493383884343</v>
      </c>
      <c r="AB486" s="552">
        <f>'Volume and Speed'!AA536</f>
        <v>2562.9264618005363</v>
      </c>
      <c r="AC486" s="552">
        <f>'Volume and Speed'!AB536</f>
        <v>2605.5255429432427</v>
      </c>
      <c r="AD486" s="552">
        <f>'Volume and Speed'!AC536</f>
        <v>2648.1355745184419</v>
      </c>
      <c r="AE486" s="552">
        <f>'Volume and Speed'!AD536</f>
        <v>2690.7457464705576</v>
      </c>
      <c r="AF486" s="552">
        <f>'Volume and Speed'!AE536</f>
        <v>2733.3830630767343</v>
      </c>
      <c r="AG486" s="552">
        <f>'Volume and Speed'!AF536</f>
        <v>2776.0372169498569</v>
      </c>
      <c r="AH486" s="727">
        <f>'Volume and Speed'!AG536</f>
        <v>2818.698174508042</v>
      </c>
      <c r="AI486" s="18"/>
      <c r="AJ486" s="18"/>
      <c r="AK486" s="18"/>
      <c r="AL486" s="18"/>
      <c r="AM486" s="18"/>
      <c r="AN486" s="18"/>
    </row>
    <row r="487" spans="2:41" ht="21.9" customHeight="1" thickBot="1" x14ac:dyDescent="0.3">
      <c r="B487" s="465"/>
      <c r="C487" s="731"/>
      <c r="D487" s="731"/>
      <c r="E487" s="706"/>
      <c r="F487" s="706"/>
      <c r="G487" s="706"/>
      <c r="H487" s="732" t="s">
        <v>481</v>
      </c>
      <c r="I487" s="732">
        <f t="shared" ref="I487:AH487" si="887">SUM(I467:I486)</f>
        <v>692827.01223784534</v>
      </c>
      <c r="J487" s="732">
        <f t="shared" si="887"/>
        <v>756953.63006528944</v>
      </c>
      <c r="K487" s="732">
        <f t="shared" si="887"/>
        <v>837851.18829555227</v>
      </c>
      <c r="L487" s="732">
        <f t="shared" si="887"/>
        <v>972913.24882972159</v>
      </c>
      <c r="M487" s="732">
        <f t="shared" si="887"/>
        <v>1108734.1304114182</v>
      </c>
      <c r="N487" s="732">
        <f t="shared" si="887"/>
        <v>1245631.8226354467</v>
      </c>
      <c r="O487" s="732">
        <f t="shared" si="887"/>
        <v>1384142.182799882</v>
      </c>
      <c r="P487" s="732">
        <f t="shared" si="887"/>
        <v>1525670.1009242609</v>
      </c>
      <c r="Q487" s="732">
        <f t="shared" si="887"/>
        <v>1657205.8852806783</v>
      </c>
      <c r="R487" s="732">
        <f t="shared" si="887"/>
        <v>1794828.0725775624</v>
      </c>
      <c r="S487" s="732">
        <f t="shared" si="887"/>
        <v>1941453.1960379288</v>
      </c>
      <c r="T487" s="732">
        <f t="shared" si="887"/>
        <v>2101492.3183429297</v>
      </c>
      <c r="U487" s="732">
        <f t="shared" si="887"/>
        <v>2281555.1073503247</v>
      </c>
      <c r="V487" s="732">
        <f t="shared" si="887"/>
        <v>2401412.5184445954</v>
      </c>
      <c r="W487" s="732">
        <f t="shared" si="887"/>
        <v>2484101.6504880195</v>
      </c>
      <c r="X487" s="732">
        <f t="shared" si="887"/>
        <v>2557590.8957227827</v>
      </c>
      <c r="Y487" s="732">
        <f t="shared" si="887"/>
        <v>2608287.6988000041</v>
      </c>
      <c r="Z487" s="732">
        <f t="shared" si="887"/>
        <v>2660874.5840747184</v>
      </c>
      <c r="AA487" s="732">
        <f t="shared" si="887"/>
        <v>2715614.4637800059</v>
      </c>
      <c r="AB487" s="732">
        <f t="shared" si="887"/>
        <v>2773096.2400937029</v>
      </c>
      <c r="AC487" s="732">
        <f t="shared" si="887"/>
        <v>2822477.2953773472</v>
      </c>
      <c r="AD487" s="732">
        <f t="shared" si="887"/>
        <v>2871790.0348039307</v>
      </c>
      <c r="AE487" s="732">
        <f t="shared" si="887"/>
        <v>2922007.0091351587</v>
      </c>
      <c r="AF487" s="732">
        <f t="shared" si="887"/>
        <v>2973121.1083637737</v>
      </c>
      <c r="AG487" s="732">
        <f t="shared" si="887"/>
        <v>3025338.322074885</v>
      </c>
      <c r="AH487" s="733">
        <f t="shared" si="887"/>
        <v>3078875.508685851</v>
      </c>
      <c r="AI487" s="18"/>
      <c r="AJ487" s="18"/>
      <c r="AK487" s="18"/>
      <c r="AL487" s="18"/>
      <c r="AM487" s="18"/>
      <c r="AN487" s="18"/>
    </row>
    <row r="488" spans="2:41" ht="21.9" customHeight="1" thickBot="1" x14ac:dyDescent="0.3">
      <c r="B488" s="9"/>
      <c r="C488" s="690"/>
      <c r="D488" s="690"/>
      <c r="E488" s="114"/>
      <c r="F488" s="114"/>
      <c r="G488" s="114"/>
      <c r="H488" s="743"/>
      <c r="I488" s="743"/>
      <c r="J488" s="743"/>
      <c r="K488" s="743"/>
      <c r="L488" s="743"/>
      <c r="M488" s="743"/>
      <c r="N488" s="743"/>
      <c r="O488" s="743"/>
      <c r="P488" s="743"/>
      <c r="Q488" s="743"/>
      <c r="R488" s="743"/>
      <c r="S488" s="743"/>
      <c r="T488" s="743"/>
      <c r="U488" s="743"/>
      <c r="V488" s="743"/>
      <c r="W488" s="743"/>
      <c r="X488" s="743"/>
      <c r="Y488" s="743"/>
      <c r="Z488" s="743"/>
      <c r="AA488" s="743"/>
      <c r="AB488" s="743"/>
      <c r="AC488" s="743"/>
      <c r="AD488" s="743"/>
      <c r="AE488" s="743"/>
      <c r="AF488" s="743"/>
      <c r="AG488" s="743"/>
      <c r="AH488" s="743"/>
      <c r="AI488" s="18"/>
      <c r="AJ488" s="18"/>
      <c r="AK488" s="18"/>
      <c r="AL488" s="18"/>
      <c r="AM488" s="18"/>
      <c r="AN488" s="18"/>
    </row>
    <row r="489" spans="2:41" s="7" customFormat="1" ht="21.9" customHeight="1" thickBot="1" x14ac:dyDescent="0.3">
      <c r="B489" s="231"/>
      <c r="C489" s="462" t="s">
        <v>2</v>
      </c>
      <c r="D489" s="462"/>
      <c r="E489" s="462" t="s">
        <v>312</v>
      </c>
      <c r="F489" s="1326" t="s">
        <v>18</v>
      </c>
      <c r="G489" s="1326"/>
      <c r="H489" s="462" t="s">
        <v>24</v>
      </c>
      <c r="I489" s="738">
        <v>2023</v>
      </c>
      <c r="J489" s="738">
        <v>2024</v>
      </c>
      <c r="K489" s="738">
        <v>2025</v>
      </c>
      <c r="L489" s="738">
        <v>2026</v>
      </c>
      <c r="M489" s="738">
        <v>2027</v>
      </c>
      <c r="N489" s="738">
        <v>2028</v>
      </c>
      <c r="O489" s="738">
        <v>2029</v>
      </c>
      <c r="P489" s="738">
        <v>2030</v>
      </c>
      <c r="Q489" s="738">
        <v>2031</v>
      </c>
      <c r="R489" s="738">
        <v>2032</v>
      </c>
      <c r="S489" s="738">
        <v>2033</v>
      </c>
      <c r="T489" s="738">
        <v>2034</v>
      </c>
      <c r="U489" s="738">
        <v>2035</v>
      </c>
      <c r="V489" s="738">
        <v>2036</v>
      </c>
      <c r="W489" s="738">
        <v>2037</v>
      </c>
      <c r="X489" s="738">
        <v>2038</v>
      </c>
      <c r="Y489" s="738">
        <v>2039</v>
      </c>
      <c r="Z489" s="738">
        <v>2040</v>
      </c>
      <c r="AA489" s="738">
        <v>2041</v>
      </c>
      <c r="AB489" s="738">
        <v>2042</v>
      </c>
      <c r="AC489" s="738">
        <v>2043</v>
      </c>
      <c r="AD489" s="738">
        <v>2044</v>
      </c>
      <c r="AE489" s="738">
        <v>2045</v>
      </c>
      <c r="AF489" s="738">
        <v>2046</v>
      </c>
      <c r="AG489" s="738">
        <v>2047</v>
      </c>
      <c r="AH489" s="737">
        <v>2048</v>
      </c>
      <c r="AI489" s="461"/>
      <c r="AJ489" s="461"/>
      <c r="AK489" s="461"/>
      <c r="AL489" s="461"/>
      <c r="AM489" s="461"/>
      <c r="AN489" s="461"/>
      <c r="AO489" s="461"/>
    </row>
    <row r="490" spans="2:41" ht="21.9" customHeight="1" x14ac:dyDescent="0.25">
      <c r="B490" s="196" t="s">
        <v>210</v>
      </c>
      <c r="C490" s="114" t="s">
        <v>156</v>
      </c>
      <c r="D490" s="237" t="s">
        <v>23</v>
      </c>
      <c r="E490" s="1327" t="s">
        <v>315</v>
      </c>
      <c r="F490" s="114" t="s">
        <v>316</v>
      </c>
      <c r="G490" s="114" t="s">
        <v>276</v>
      </c>
      <c r="H490" s="114" t="s">
        <v>20</v>
      </c>
      <c r="I490" s="552">
        <f t="shared" ref="I490:AH490" si="888">I467*$C$20</f>
        <v>1700.4212426444767</v>
      </c>
      <c r="J490" s="552">
        <f t="shared" si="888"/>
        <v>1777.7445161991832</v>
      </c>
      <c r="K490" s="552">
        <f t="shared" si="888"/>
        <v>1886.6878240199578</v>
      </c>
      <c r="L490" s="552">
        <f t="shared" si="888"/>
        <v>2046.9459829532991</v>
      </c>
      <c r="M490" s="552">
        <f t="shared" si="888"/>
        <v>2207.2803498724534</v>
      </c>
      <c r="N490" s="552">
        <f t="shared" si="888"/>
        <v>2367.649532070101</v>
      </c>
      <c r="O490" s="552">
        <f t="shared" si="888"/>
        <v>2528.0253646472265</v>
      </c>
      <c r="P490" s="552">
        <f t="shared" si="888"/>
        <v>2688.6353607219407</v>
      </c>
      <c r="Q490" s="552">
        <f t="shared" si="888"/>
        <v>2847.5445946431519</v>
      </c>
      <c r="R490" s="552">
        <f t="shared" si="888"/>
        <v>3006.8174000552021</v>
      </c>
      <c r="S490" s="552">
        <f t="shared" si="888"/>
        <v>3166.5970089755097</v>
      </c>
      <c r="T490" s="552">
        <f t="shared" si="888"/>
        <v>3327.2308740982166</v>
      </c>
      <c r="U490" s="552">
        <f t="shared" si="888"/>
        <v>3489.3092774847814</v>
      </c>
      <c r="V490" s="552">
        <f t="shared" si="888"/>
        <v>3599.8586805549689</v>
      </c>
      <c r="W490" s="552">
        <f t="shared" si="888"/>
        <v>3680.3964247985878</v>
      </c>
      <c r="X490" s="552">
        <f t="shared" si="888"/>
        <v>3761.6893993241629</v>
      </c>
      <c r="Y490" s="552">
        <f t="shared" si="888"/>
        <v>3843.893634175764</v>
      </c>
      <c r="Z490" s="552">
        <f t="shared" si="888"/>
        <v>3927.2220029013911</v>
      </c>
      <c r="AA490" s="552">
        <f t="shared" si="888"/>
        <v>4011.8336941202983</v>
      </c>
      <c r="AB490" s="552">
        <f t="shared" si="888"/>
        <v>4098.0406197007333</v>
      </c>
      <c r="AC490" s="552">
        <f t="shared" si="888"/>
        <v>4186.0798975926455</v>
      </c>
      <c r="AD490" s="552">
        <f t="shared" si="888"/>
        <v>4276.3259543695322</v>
      </c>
      <c r="AE490" s="552">
        <f t="shared" si="888"/>
        <v>4369.2120330095713</v>
      </c>
      <c r="AF490" s="552">
        <f t="shared" si="888"/>
        <v>4465.1387654261634</v>
      </c>
      <c r="AG490" s="552">
        <f t="shared" si="888"/>
        <v>4564.6739980457469</v>
      </c>
      <c r="AH490" s="727">
        <f t="shared" si="888"/>
        <v>4668.4723036542127</v>
      </c>
      <c r="AI490" s="18"/>
      <c r="AJ490" s="18"/>
      <c r="AK490" s="18"/>
      <c r="AL490" s="18"/>
      <c r="AM490" s="18"/>
      <c r="AN490" s="18"/>
    </row>
    <row r="491" spans="2:41" ht="21.9" customHeight="1" x14ac:dyDescent="0.25">
      <c r="B491" s="463" t="s">
        <v>185</v>
      </c>
      <c r="C491" s="114"/>
      <c r="D491" s="237"/>
      <c r="E491" s="1327"/>
      <c r="F491" s="114"/>
      <c r="G491" s="114"/>
      <c r="H491" s="122" t="s">
        <v>19</v>
      </c>
      <c r="I491" s="552">
        <f t="shared" ref="I491:AH491" si="889">I467*$C$21</f>
        <v>6028.7662239213269</v>
      </c>
      <c r="J491" s="552">
        <f t="shared" si="889"/>
        <v>6302.9123756152858</v>
      </c>
      <c r="K491" s="552">
        <f t="shared" si="889"/>
        <v>6689.1659215253048</v>
      </c>
      <c r="L491" s="552">
        <f t="shared" si="889"/>
        <v>7257.3539395616972</v>
      </c>
      <c r="M491" s="552">
        <f t="shared" si="889"/>
        <v>7825.8121495477899</v>
      </c>
      <c r="N491" s="552">
        <f t="shared" si="889"/>
        <v>8394.3937955212677</v>
      </c>
      <c r="O491" s="552">
        <f t="shared" si="889"/>
        <v>8962.999020112893</v>
      </c>
      <c r="P491" s="552">
        <f t="shared" si="889"/>
        <v>9532.4344607414259</v>
      </c>
      <c r="Q491" s="552">
        <f t="shared" si="889"/>
        <v>10095.839926462084</v>
      </c>
      <c r="R491" s="552">
        <f t="shared" si="889"/>
        <v>10660.534418377534</v>
      </c>
      <c r="S491" s="552">
        <f t="shared" si="889"/>
        <v>11227.02575909499</v>
      </c>
      <c r="T491" s="552">
        <f t="shared" si="889"/>
        <v>11796.545826348223</v>
      </c>
      <c r="U491" s="552">
        <f t="shared" si="889"/>
        <v>12371.187438355135</v>
      </c>
      <c r="V491" s="552">
        <f t="shared" si="889"/>
        <v>12763.135321967617</v>
      </c>
      <c r="W491" s="552">
        <f t="shared" si="889"/>
        <v>13048.678233376811</v>
      </c>
      <c r="X491" s="552">
        <f t="shared" si="889"/>
        <v>13336.898779422032</v>
      </c>
      <c r="Y491" s="552">
        <f t="shared" si="889"/>
        <v>13628.350157532253</v>
      </c>
      <c r="Z491" s="552">
        <f t="shared" si="889"/>
        <v>13923.787101195841</v>
      </c>
      <c r="AA491" s="552">
        <f t="shared" si="889"/>
        <v>14223.774006426513</v>
      </c>
      <c r="AB491" s="552">
        <f t="shared" si="889"/>
        <v>14529.416742575326</v>
      </c>
      <c r="AC491" s="552">
        <f t="shared" si="889"/>
        <v>14841.556000555745</v>
      </c>
      <c r="AD491" s="552">
        <f t="shared" si="889"/>
        <v>15161.519292764708</v>
      </c>
      <c r="AE491" s="552">
        <f t="shared" si="889"/>
        <v>15490.842662488481</v>
      </c>
      <c r="AF491" s="552">
        <f t="shared" si="889"/>
        <v>15830.946531965488</v>
      </c>
      <c r="AG491" s="552">
        <f t="shared" si="889"/>
        <v>16183.844174889466</v>
      </c>
      <c r="AH491" s="727">
        <f t="shared" si="889"/>
        <v>16551.856349319482</v>
      </c>
      <c r="AI491" s="18"/>
      <c r="AJ491" s="18"/>
      <c r="AK491" s="18"/>
      <c r="AL491" s="18"/>
      <c r="AM491" s="18"/>
      <c r="AN491" s="18"/>
    </row>
    <row r="492" spans="2:41" ht="21.9" customHeight="1" x14ac:dyDescent="0.25">
      <c r="B492" s="196"/>
      <c r="C492" s="114"/>
      <c r="D492" s="237"/>
      <c r="E492" s="1327"/>
      <c r="F492" s="114"/>
      <c r="G492" s="114"/>
      <c r="H492" s="695" t="s">
        <v>25</v>
      </c>
      <c r="I492" s="552">
        <f t="shared" ref="I492:AH492" si="890">SUM(I490:I491)</f>
        <v>7729.1874665658033</v>
      </c>
      <c r="J492" s="552">
        <f t="shared" si="890"/>
        <v>8080.6568918144694</v>
      </c>
      <c r="K492" s="552">
        <f t="shared" si="890"/>
        <v>8575.8537455452624</v>
      </c>
      <c r="L492" s="552">
        <f t="shared" si="890"/>
        <v>9304.2999225149961</v>
      </c>
      <c r="M492" s="552">
        <f t="shared" si="890"/>
        <v>10033.092499420243</v>
      </c>
      <c r="N492" s="552">
        <f t="shared" si="890"/>
        <v>10762.043327591369</v>
      </c>
      <c r="O492" s="552">
        <f t="shared" si="890"/>
        <v>11491.02438476012</v>
      </c>
      <c r="P492" s="552">
        <f t="shared" si="890"/>
        <v>12221.069821463367</v>
      </c>
      <c r="Q492" s="552">
        <f t="shared" si="890"/>
        <v>12943.384521105236</v>
      </c>
      <c r="R492" s="552">
        <f t="shared" si="890"/>
        <v>13667.351818432737</v>
      </c>
      <c r="S492" s="552">
        <f t="shared" si="890"/>
        <v>14393.6227680705</v>
      </c>
      <c r="T492" s="552">
        <f t="shared" si="890"/>
        <v>15123.77670044644</v>
      </c>
      <c r="U492" s="552">
        <f t="shared" si="890"/>
        <v>15860.496715839916</v>
      </c>
      <c r="V492" s="552">
        <f t="shared" si="890"/>
        <v>16362.994002522586</v>
      </c>
      <c r="W492" s="552">
        <f t="shared" si="890"/>
        <v>16729.074658175399</v>
      </c>
      <c r="X492" s="552">
        <f t="shared" si="890"/>
        <v>17098.588178746195</v>
      </c>
      <c r="Y492" s="552">
        <f t="shared" si="890"/>
        <v>17472.243791708017</v>
      </c>
      <c r="Z492" s="552">
        <f t="shared" si="890"/>
        <v>17851.009104097233</v>
      </c>
      <c r="AA492" s="552">
        <f t="shared" si="890"/>
        <v>18235.607700546811</v>
      </c>
      <c r="AB492" s="552">
        <f t="shared" si="890"/>
        <v>18627.457362276058</v>
      </c>
      <c r="AC492" s="552">
        <f t="shared" si="890"/>
        <v>19027.63589814839</v>
      </c>
      <c r="AD492" s="552">
        <f t="shared" si="890"/>
        <v>19437.845247134239</v>
      </c>
      <c r="AE492" s="552">
        <f t="shared" si="890"/>
        <v>19860.054695498053</v>
      </c>
      <c r="AF492" s="552">
        <f t="shared" si="890"/>
        <v>20296.085297391652</v>
      </c>
      <c r="AG492" s="552">
        <f t="shared" si="890"/>
        <v>20748.518172935212</v>
      </c>
      <c r="AH492" s="727">
        <f t="shared" si="890"/>
        <v>21220.328652973694</v>
      </c>
      <c r="AI492" s="18"/>
      <c r="AJ492" s="18"/>
      <c r="AK492" s="18"/>
      <c r="AL492" s="18"/>
      <c r="AM492" s="18"/>
      <c r="AN492" s="18"/>
    </row>
    <row r="493" spans="2:41" ht="21.9" customHeight="1" x14ac:dyDescent="0.25">
      <c r="B493" s="194"/>
      <c r="C493" s="690"/>
      <c r="D493" s="690"/>
      <c r="E493" s="1327"/>
      <c r="F493" s="114" t="s">
        <v>276</v>
      </c>
      <c r="G493" s="114" t="s">
        <v>274</v>
      </c>
      <c r="H493" s="114" t="s">
        <v>20</v>
      </c>
      <c r="I493" s="552">
        <f t="shared" ref="I493:AH493" si="891">I468*$C$20</f>
        <v>54677.558406391247</v>
      </c>
      <c r="J493" s="552">
        <f t="shared" si="891"/>
        <v>57563.737188583982</v>
      </c>
      <c r="K493" s="552">
        <f t="shared" si="891"/>
        <v>61896.265100153374</v>
      </c>
      <c r="L493" s="552">
        <f t="shared" si="891"/>
        <v>69054.339495262087</v>
      </c>
      <c r="M493" s="552">
        <f t="shared" si="891"/>
        <v>76215.972854242646</v>
      </c>
      <c r="N493" s="552">
        <f t="shared" si="891"/>
        <v>83377.967179007392</v>
      </c>
      <c r="O493" s="552">
        <f t="shared" si="891"/>
        <v>90538.82891508071</v>
      </c>
      <c r="P493" s="552">
        <f t="shared" si="891"/>
        <v>97709.729541016379</v>
      </c>
      <c r="Q493" s="552">
        <f t="shared" si="891"/>
        <v>104951.40807880393</v>
      </c>
      <c r="R493" s="552">
        <f t="shared" si="891"/>
        <v>112209.06600744247</v>
      </c>
      <c r="S493" s="552">
        <f t="shared" si="891"/>
        <v>119488.86060734327</v>
      </c>
      <c r="T493" s="552">
        <f t="shared" si="891"/>
        <v>126811.64021600127</v>
      </c>
      <c r="U493" s="552">
        <f t="shared" si="891"/>
        <v>134213.87780185047</v>
      </c>
      <c r="V493" s="552">
        <f t="shared" si="891"/>
        <v>138769.94738711879</v>
      </c>
      <c r="W493" s="552">
        <f t="shared" si="891"/>
        <v>141789.74280659828</v>
      </c>
      <c r="X493" s="552">
        <f t="shared" si="891"/>
        <v>144839.85061616011</v>
      </c>
      <c r="Y493" s="552">
        <f t="shared" si="891"/>
        <v>147926.32584689293</v>
      </c>
      <c r="Z493" s="552">
        <f t="shared" si="891"/>
        <v>151058.04548827399</v>
      </c>
      <c r="AA493" s="552">
        <f t="shared" si="891"/>
        <v>154239.81496906676</v>
      </c>
      <c r="AB493" s="552">
        <f t="shared" si="891"/>
        <v>157484.91879749988</v>
      </c>
      <c r="AC493" s="552">
        <f t="shared" si="891"/>
        <v>160801.00510132074</v>
      </c>
      <c r="AD493" s="552">
        <f t="shared" si="891"/>
        <v>164202.96493904793</v>
      </c>
      <c r="AE493" s="552">
        <f t="shared" si="891"/>
        <v>167707.93691159738</v>
      </c>
      <c r="AF493" s="552">
        <f t="shared" si="891"/>
        <v>171329.46623650077</v>
      </c>
      <c r="AG493" s="552">
        <f t="shared" si="891"/>
        <v>175089.59553673092</v>
      </c>
      <c r="AH493" s="727">
        <f t="shared" si="891"/>
        <v>179013.66006525926</v>
      </c>
      <c r="AI493" s="18"/>
      <c r="AJ493" s="18"/>
      <c r="AK493" s="18"/>
      <c r="AL493" s="18"/>
      <c r="AM493" s="18"/>
      <c r="AN493" s="18"/>
    </row>
    <row r="494" spans="2:41" ht="21.9" customHeight="1" x14ac:dyDescent="0.25">
      <c r="B494" s="463"/>
      <c r="C494" s="690"/>
      <c r="D494" s="690"/>
      <c r="E494" s="1327"/>
      <c r="F494" s="114"/>
      <c r="G494" s="114"/>
      <c r="H494" s="122" t="s">
        <v>19</v>
      </c>
      <c r="I494" s="552">
        <f t="shared" ref="I494:AH494" si="892">I468*$C$21</f>
        <v>193856.79798629624</v>
      </c>
      <c r="J494" s="552">
        <f t="shared" si="892"/>
        <v>204089.61366861596</v>
      </c>
      <c r="K494" s="552">
        <f t="shared" si="892"/>
        <v>219450.39444599833</v>
      </c>
      <c r="L494" s="552">
        <f t="shared" si="892"/>
        <v>244829.02184683835</v>
      </c>
      <c r="M494" s="552">
        <f t="shared" si="892"/>
        <v>270220.2673923148</v>
      </c>
      <c r="N494" s="552">
        <f t="shared" si="892"/>
        <v>295612.79272557166</v>
      </c>
      <c r="O494" s="552">
        <f t="shared" si="892"/>
        <v>321001.30251710437</v>
      </c>
      <c r="P494" s="552">
        <f t="shared" si="892"/>
        <v>346425.40473633079</v>
      </c>
      <c r="Q494" s="552">
        <f t="shared" si="892"/>
        <v>372100.44682485028</v>
      </c>
      <c r="R494" s="552">
        <f t="shared" si="892"/>
        <v>397832.14311729604</v>
      </c>
      <c r="S494" s="552">
        <f t="shared" si="892"/>
        <v>423642.32397148979</v>
      </c>
      <c r="T494" s="552">
        <f t="shared" si="892"/>
        <v>449604.90622036817</v>
      </c>
      <c r="U494" s="552">
        <f t="shared" si="892"/>
        <v>475849.20311565173</v>
      </c>
      <c r="V494" s="552">
        <f t="shared" si="892"/>
        <v>492002.54073614854</v>
      </c>
      <c r="W494" s="552">
        <f t="shared" si="892"/>
        <v>502709.08813248487</v>
      </c>
      <c r="X494" s="552">
        <f t="shared" si="892"/>
        <v>513523.10673002223</v>
      </c>
      <c r="Y494" s="552">
        <f t="shared" si="892"/>
        <v>524466.06436625682</v>
      </c>
      <c r="Z494" s="552">
        <f t="shared" si="892"/>
        <v>535569.43400388048</v>
      </c>
      <c r="AA494" s="552">
        <f t="shared" si="892"/>
        <v>546850.25307214574</v>
      </c>
      <c r="AB494" s="552">
        <f t="shared" si="892"/>
        <v>558355.62119113596</v>
      </c>
      <c r="AC494" s="552">
        <f t="shared" si="892"/>
        <v>570112.65445013717</v>
      </c>
      <c r="AD494" s="552">
        <f t="shared" si="892"/>
        <v>582174.14842026087</v>
      </c>
      <c r="AE494" s="552">
        <f t="shared" si="892"/>
        <v>594600.86723202711</v>
      </c>
      <c r="AF494" s="552">
        <f t="shared" si="892"/>
        <v>607440.83483850269</v>
      </c>
      <c r="AG494" s="552">
        <f t="shared" si="892"/>
        <v>620772.20235750056</v>
      </c>
      <c r="AH494" s="727">
        <f t="shared" si="892"/>
        <v>634684.79477682838</v>
      </c>
      <c r="AI494" s="18"/>
      <c r="AJ494" s="18"/>
      <c r="AK494" s="18"/>
      <c r="AL494" s="18"/>
      <c r="AM494" s="18"/>
      <c r="AN494" s="18"/>
    </row>
    <row r="495" spans="2:41" ht="21.9" customHeight="1" x14ac:dyDescent="0.25">
      <c r="B495" s="463"/>
      <c r="C495" s="690"/>
      <c r="D495" s="690"/>
      <c r="E495" s="1327"/>
      <c r="F495" s="114"/>
      <c r="G495" s="114"/>
      <c r="H495" s="695" t="s">
        <v>25</v>
      </c>
      <c r="I495" s="552">
        <f t="shared" ref="I495:AH495" si="893">SUM(I493:I494)</f>
        <v>248534.35639268748</v>
      </c>
      <c r="J495" s="552">
        <f t="shared" si="893"/>
        <v>261653.35085719993</v>
      </c>
      <c r="K495" s="552">
        <f t="shared" si="893"/>
        <v>281346.6595461517</v>
      </c>
      <c r="L495" s="552">
        <f t="shared" si="893"/>
        <v>313883.36134210043</v>
      </c>
      <c r="M495" s="552">
        <f t="shared" si="893"/>
        <v>346436.24024655746</v>
      </c>
      <c r="N495" s="552">
        <f t="shared" si="893"/>
        <v>378990.75990457903</v>
      </c>
      <c r="O495" s="552">
        <f t="shared" si="893"/>
        <v>411540.13143218507</v>
      </c>
      <c r="P495" s="552">
        <f t="shared" si="893"/>
        <v>444135.13427734718</v>
      </c>
      <c r="Q495" s="552">
        <f t="shared" si="893"/>
        <v>477051.8549036542</v>
      </c>
      <c r="R495" s="552">
        <f t="shared" si="893"/>
        <v>510041.20912473853</v>
      </c>
      <c r="S495" s="552">
        <f t="shared" si="893"/>
        <v>543131.18457883305</v>
      </c>
      <c r="T495" s="552">
        <f t="shared" si="893"/>
        <v>576416.54643636942</v>
      </c>
      <c r="U495" s="552">
        <f t="shared" si="893"/>
        <v>610063.08091750217</v>
      </c>
      <c r="V495" s="552">
        <f t="shared" si="893"/>
        <v>630772.48812326731</v>
      </c>
      <c r="W495" s="552">
        <f t="shared" si="893"/>
        <v>644498.83093908313</v>
      </c>
      <c r="X495" s="552">
        <f t="shared" si="893"/>
        <v>658362.95734618232</v>
      </c>
      <c r="Y495" s="552">
        <f t="shared" si="893"/>
        <v>672392.39021314972</v>
      </c>
      <c r="Z495" s="552">
        <f t="shared" si="893"/>
        <v>686627.47949215444</v>
      </c>
      <c r="AA495" s="552">
        <f t="shared" si="893"/>
        <v>701090.06804121251</v>
      </c>
      <c r="AB495" s="552">
        <f t="shared" si="893"/>
        <v>715840.53998863581</v>
      </c>
      <c r="AC495" s="552">
        <f t="shared" si="893"/>
        <v>730913.65955145797</v>
      </c>
      <c r="AD495" s="552">
        <f t="shared" si="893"/>
        <v>746377.1133593088</v>
      </c>
      <c r="AE495" s="552">
        <f t="shared" si="893"/>
        <v>762308.8041436245</v>
      </c>
      <c r="AF495" s="552">
        <f t="shared" si="893"/>
        <v>778770.30107500346</v>
      </c>
      <c r="AG495" s="552">
        <f t="shared" si="893"/>
        <v>795861.79789423151</v>
      </c>
      <c r="AH495" s="727">
        <f t="shared" si="893"/>
        <v>813698.45484208758</v>
      </c>
      <c r="AI495" s="18"/>
      <c r="AJ495" s="18"/>
      <c r="AK495" s="18"/>
      <c r="AL495" s="18"/>
      <c r="AM495" s="18"/>
      <c r="AN495" s="18"/>
    </row>
    <row r="496" spans="2:41" ht="21.9" customHeight="1" x14ac:dyDescent="0.25">
      <c r="B496" s="463"/>
      <c r="C496" s="690"/>
      <c r="D496" s="690"/>
      <c r="E496" s="1327"/>
      <c r="F496" s="114" t="s">
        <v>274</v>
      </c>
      <c r="G496" s="114" t="s">
        <v>317</v>
      </c>
      <c r="H496" s="114" t="s">
        <v>20</v>
      </c>
      <c r="I496" s="552">
        <f t="shared" ref="I496:AH496" si="894">I469*$C$20</f>
        <v>1275.4561323778137</v>
      </c>
      <c r="J496" s="552">
        <f t="shared" si="894"/>
        <v>1328.7921816389526</v>
      </c>
      <c r="K496" s="552">
        <f t="shared" si="894"/>
        <v>1394.8620228042305</v>
      </c>
      <c r="L496" s="552">
        <f t="shared" si="894"/>
        <v>1483.9727511510785</v>
      </c>
      <c r="M496" s="552">
        <f t="shared" si="894"/>
        <v>1573.4179006029424</v>
      </c>
      <c r="N496" s="552">
        <f t="shared" si="894"/>
        <v>1663.361373162074</v>
      </c>
      <c r="O496" s="552">
        <f t="shared" si="894"/>
        <v>1754.1158185327524</v>
      </c>
      <c r="P496" s="552">
        <f t="shared" si="894"/>
        <v>1846.264734545312</v>
      </c>
      <c r="Q496" s="552">
        <f t="shared" si="894"/>
        <v>1937.5140444174544</v>
      </c>
      <c r="R496" s="552">
        <f t="shared" si="894"/>
        <v>2031.7304942878698</v>
      </c>
      <c r="S496" s="552">
        <f t="shared" si="894"/>
        <v>2130.254695012613</v>
      </c>
      <c r="T496" s="552">
        <f t="shared" si="894"/>
        <v>2235.1046507757969</v>
      </c>
      <c r="U496" s="552">
        <f t="shared" si="894"/>
        <v>2349.1211837870546</v>
      </c>
      <c r="V496" s="552">
        <f t="shared" si="894"/>
        <v>2440.7083333732212</v>
      </c>
      <c r="W496" s="552">
        <f t="shared" si="894"/>
        <v>2524.6773223492992</v>
      </c>
      <c r="X496" s="552">
        <f t="shared" si="894"/>
        <v>2616.3274373352483</v>
      </c>
      <c r="Y496" s="552">
        <f t="shared" si="894"/>
        <v>2717.3464235096562</v>
      </c>
      <c r="Z496" s="552">
        <f t="shared" si="894"/>
        <v>2829.7913457104796</v>
      </c>
      <c r="AA496" s="552">
        <f t="shared" si="894"/>
        <v>2955.9574405851663</v>
      </c>
      <c r="AB496" s="552">
        <f t="shared" si="894"/>
        <v>3098.7662734394203</v>
      </c>
      <c r="AC496" s="552">
        <f t="shared" si="894"/>
        <v>3261.4253665874144</v>
      </c>
      <c r="AD496" s="552">
        <f t="shared" si="894"/>
        <v>3447.8870502293362</v>
      </c>
      <c r="AE496" s="552">
        <f t="shared" si="894"/>
        <v>3662.8069952066812</v>
      </c>
      <c r="AF496" s="552">
        <f t="shared" si="894"/>
        <v>3911.3410859523424</v>
      </c>
      <c r="AG496" s="552">
        <f t="shared" si="894"/>
        <v>4199.7657875058703</v>
      </c>
      <c r="AH496" s="727">
        <f t="shared" si="894"/>
        <v>4535.4153164422651</v>
      </c>
      <c r="AI496" s="18"/>
      <c r="AJ496" s="18"/>
      <c r="AK496" s="18"/>
      <c r="AL496" s="18"/>
      <c r="AM496" s="18"/>
      <c r="AN496" s="18"/>
    </row>
    <row r="497" spans="2:40" ht="21.9" customHeight="1" x14ac:dyDescent="0.25">
      <c r="B497" s="463"/>
      <c r="C497" s="690"/>
      <c r="D497" s="690"/>
      <c r="E497" s="1327"/>
      <c r="F497" s="114"/>
      <c r="G497" s="114"/>
      <c r="H497" s="122" t="s">
        <v>19</v>
      </c>
      <c r="I497" s="552">
        <f t="shared" ref="I497:AH497" si="895">I469*$C$21</f>
        <v>4522.0717420667943</v>
      </c>
      <c r="J497" s="552">
        <f t="shared" si="895"/>
        <v>4711.1722803562861</v>
      </c>
      <c r="K497" s="552">
        <f t="shared" si="895"/>
        <v>4945.4198990331815</v>
      </c>
      <c r="L497" s="552">
        <f t="shared" si="895"/>
        <v>5261.3579358992783</v>
      </c>
      <c r="M497" s="552">
        <f t="shared" si="895"/>
        <v>5578.4816475922507</v>
      </c>
      <c r="N497" s="552">
        <f t="shared" si="895"/>
        <v>5897.3721412109899</v>
      </c>
      <c r="O497" s="552">
        <f t="shared" si="895"/>
        <v>6219.1379020706681</v>
      </c>
      <c r="P497" s="552">
        <f t="shared" si="895"/>
        <v>6545.8476952061064</v>
      </c>
      <c r="Q497" s="552">
        <f t="shared" si="895"/>
        <v>6869.367975661884</v>
      </c>
      <c r="R497" s="552">
        <f t="shared" si="895"/>
        <v>7203.4081161115382</v>
      </c>
      <c r="S497" s="552">
        <f t="shared" si="895"/>
        <v>7552.7211914083564</v>
      </c>
      <c r="T497" s="552">
        <f t="shared" si="895"/>
        <v>7924.461943659644</v>
      </c>
      <c r="U497" s="552">
        <f t="shared" si="895"/>
        <v>8328.7023788813749</v>
      </c>
      <c r="V497" s="552">
        <f t="shared" si="895"/>
        <v>8653.420454686875</v>
      </c>
      <c r="W497" s="552">
        <f t="shared" si="895"/>
        <v>8951.1286883293342</v>
      </c>
      <c r="X497" s="552">
        <f t="shared" si="895"/>
        <v>9276.0700050976975</v>
      </c>
      <c r="Y497" s="552">
        <f t="shared" si="895"/>
        <v>9634.2282288069637</v>
      </c>
      <c r="Z497" s="552">
        <f t="shared" si="895"/>
        <v>10032.896589337155</v>
      </c>
      <c r="AA497" s="552">
        <f t="shared" si="895"/>
        <v>10480.212743892864</v>
      </c>
      <c r="AB497" s="552">
        <f t="shared" si="895"/>
        <v>10986.534969467035</v>
      </c>
      <c r="AC497" s="552">
        <f t="shared" si="895"/>
        <v>11563.235390628106</v>
      </c>
      <c r="AD497" s="552">
        <f t="shared" si="895"/>
        <v>12224.326814449465</v>
      </c>
      <c r="AE497" s="552">
        <f t="shared" si="895"/>
        <v>12986.315710278233</v>
      </c>
      <c r="AF497" s="552">
        <f t="shared" si="895"/>
        <v>13867.482032012851</v>
      </c>
      <c r="AG497" s="552">
        <f t="shared" si="895"/>
        <v>14890.078701157176</v>
      </c>
      <c r="AH497" s="727">
        <f t="shared" si="895"/>
        <v>16080.108849204396</v>
      </c>
      <c r="AI497" s="18"/>
      <c r="AJ497" s="18"/>
      <c r="AK497" s="18"/>
      <c r="AL497" s="18"/>
      <c r="AM497" s="18"/>
      <c r="AN497" s="18"/>
    </row>
    <row r="498" spans="2:40" ht="21.9" customHeight="1" x14ac:dyDescent="0.25">
      <c r="B498" s="229"/>
      <c r="C498" s="690"/>
      <c r="D498" s="690"/>
      <c r="E498" s="1327"/>
      <c r="F498" s="114"/>
      <c r="G498" s="114"/>
      <c r="H498" s="696" t="s">
        <v>25</v>
      </c>
      <c r="I498" s="552">
        <f t="shared" ref="I498:AH498" si="896">SUM(I496:I497)</f>
        <v>5797.5278744446077</v>
      </c>
      <c r="J498" s="552">
        <f t="shared" si="896"/>
        <v>6039.9644619952387</v>
      </c>
      <c r="K498" s="552">
        <f t="shared" si="896"/>
        <v>6340.2819218374116</v>
      </c>
      <c r="L498" s="552">
        <f t="shared" si="896"/>
        <v>6745.3306870503566</v>
      </c>
      <c r="M498" s="552">
        <f t="shared" si="896"/>
        <v>7151.8995481951933</v>
      </c>
      <c r="N498" s="552">
        <f t="shared" si="896"/>
        <v>7560.7335143730634</v>
      </c>
      <c r="O498" s="552">
        <f t="shared" si="896"/>
        <v>7973.2537206034203</v>
      </c>
      <c r="P498" s="552">
        <f t="shared" si="896"/>
        <v>8392.1124297514179</v>
      </c>
      <c r="Q498" s="552">
        <f t="shared" si="896"/>
        <v>8806.882020079338</v>
      </c>
      <c r="R498" s="552">
        <f t="shared" si="896"/>
        <v>9235.1386103994082</v>
      </c>
      <c r="S498" s="552">
        <f t="shared" si="896"/>
        <v>9682.9758864209689</v>
      </c>
      <c r="T498" s="552">
        <f t="shared" si="896"/>
        <v>10159.56659443544</v>
      </c>
      <c r="U498" s="552">
        <f t="shared" si="896"/>
        <v>10677.823562668429</v>
      </c>
      <c r="V498" s="552">
        <f t="shared" si="896"/>
        <v>11094.128788060096</v>
      </c>
      <c r="W498" s="552">
        <f t="shared" si="896"/>
        <v>11475.806010678632</v>
      </c>
      <c r="X498" s="552">
        <f t="shared" si="896"/>
        <v>11892.397442432946</v>
      </c>
      <c r="Y498" s="552">
        <f t="shared" si="896"/>
        <v>12351.57465231662</v>
      </c>
      <c r="Z498" s="552">
        <f t="shared" si="896"/>
        <v>12862.687935047634</v>
      </c>
      <c r="AA498" s="552">
        <f t="shared" si="896"/>
        <v>13436.170184478029</v>
      </c>
      <c r="AB498" s="552">
        <f t="shared" si="896"/>
        <v>14085.301242906455</v>
      </c>
      <c r="AC498" s="552">
        <f t="shared" si="896"/>
        <v>14824.660757215521</v>
      </c>
      <c r="AD498" s="552">
        <f t="shared" si="896"/>
        <v>15672.213864678801</v>
      </c>
      <c r="AE498" s="552">
        <f t="shared" si="896"/>
        <v>16649.122705484915</v>
      </c>
      <c r="AF498" s="552">
        <f t="shared" si="896"/>
        <v>17778.823117965192</v>
      </c>
      <c r="AG498" s="552">
        <f t="shared" si="896"/>
        <v>19089.844488663046</v>
      </c>
      <c r="AH498" s="727">
        <f t="shared" si="896"/>
        <v>20615.524165646661</v>
      </c>
      <c r="AI498" s="18"/>
      <c r="AJ498" s="18"/>
      <c r="AK498" s="18"/>
      <c r="AL498" s="18"/>
      <c r="AM498" s="18"/>
      <c r="AN498" s="18"/>
    </row>
    <row r="499" spans="2:40" ht="21.9" customHeight="1" x14ac:dyDescent="0.25">
      <c r="B499" s="229"/>
      <c r="C499" s="690"/>
      <c r="D499" s="690"/>
      <c r="E499" s="1325" t="s">
        <v>274</v>
      </c>
      <c r="F499" s="217" t="s">
        <v>275</v>
      </c>
      <c r="G499" s="217" t="s">
        <v>318</v>
      </c>
      <c r="H499" s="114" t="s">
        <v>20</v>
      </c>
      <c r="I499" s="558">
        <f t="shared" ref="I499:AH499" si="897">I470*$D$20</f>
        <v>13152.695652252323</v>
      </c>
      <c r="J499" s="558">
        <f t="shared" si="897"/>
        <v>14483.156581095871</v>
      </c>
      <c r="K499" s="558">
        <f t="shared" si="897"/>
        <v>17457.704467853218</v>
      </c>
      <c r="L499" s="558">
        <f t="shared" si="897"/>
        <v>23432.316511081965</v>
      </c>
      <c r="M499" s="558">
        <f t="shared" si="897"/>
        <v>29410.61176882061</v>
      </c>
      <c r="N499" s="558">
        <f t="shared" si="897"/>
        <v>35388.252535051783</v>
      </c>
      <c r="O499" s="558">
        <f t="shared" si="897"/>
        <v>41362.883670835967</v>
      </c>
      <c r="P499" s="558">
        <f t="shared" si="897"/>
        <v>47344.940935844963</v>
      </c>
      <c r="Q499" s="558">
        <f t="shared" si="897"/>
        <v>53214.995720639003</v>
      </c>
      <c r="R499" s="558">
        <f t="shared" si="897"/>
        <v>59088.546580555478</v>
      </c>
      <c r="S499" s="558">
        <f t="shared" si="897"/>
        <v>64960.494941805518</v>
      </c>
      <c r="T499" s="558">
        <f t="shared" si="897"/>
        <v>70835.594567895343</v>
      </c>
      <c r="U499" s="558">
        <f t="shared" si="897"/>
        <v>76724.894489599857</v>
      </c>
      <c r="V499" s="558">
        <f t="shared" si="897"/>
        <v>79601.275477096016</v>
      </c>
      <c r="W499" s="558">
        <f t="shared" si="897"/>
        <v>80937.969554581825</v>
      </c>
      <c r="X499" s="558">
        <f t="shared" si="897"/>
        <v>82275.777518199015</v>
      </c>
      <c r="Y499" s="558">
        <f t="shared" si="897"/>
        <v>83614.875522719958</v>
      </c>
      <c r="Z499" s="558">
        <f t="shared" si="897"/>
        <v>84957.519414908282</v>
      </c>
      <c r="AA499" s="558">
        <f t="shared" si="897"/>
        <v>86299.82874792385</v>
      </c>
      <c r="AB499" s="558">
        <f t="shared" si="897"/>
        <v>87646.176081713435</v>
      </c>
      <c r="AC499" s="558">
        <f t="shared" si="897"/>
        <v>88992.734055847337</v>
      </c>
      <c r="AD499" s="558">
        <f t="shared" si="897"/>
        <v>90341.890668975742</v>
      </c>
      <c r="AE499" s="558">
        <f t="shared" si="897"/>
        <v>91696.091931833493</v>
      </c>
      <c r="AF499" s="558">
        <f t="shared" si="897"/>
        <v>93051.612855210959</v>
      </c>
      <c r="AG499" s="558">
        <f t="shared" si="897"/>
        <v>94410.992731129969</v>
      </c>
      <c r="AH499" s="728">
        <f t="shared" si="897"/>
        <v>95776.851740366197</v>
      </c>
      <c r="AI499" s="18"/>
      <c r="AJ499" s="18"/>
      <c r="AK499" s="18"/>
      <c r="AL499" s="18"/>
      <c r="AM499" s="18"/>
      <c r="AN499" s="18"/>
    </row>
    <row r="500" spans="2:40" ht="21.9" customHeight="1" x14ac:dyDescent="0.25">
      <c r="B500" s="229"/>
      <c r="C500" s="690"/>
      <c r="D500" s="690"/>
      <c r="E500" s="1325"/>
      <c r="F500" s="114"/>
      <c r="G500" s="114"/>
      <c r="H500" s="122" t="s">
        <v>19</v>
      </c>
      <c r="I500" s="552">
        <f t="shared" ref="I500:AH500" si="898">I470*$D$21</f>
        <v>52610.782609009293</v>
      </c>
      <c r="J500" s="552">
        <f t="shared" si="898"/>
        <v>57932.626324383484</v>
      </c>
      <c r="K500" s="552">
        <f t="shared" si="898"/>
        <v>69830.817871412874</v>
      </c>
      <c r="L500" s="552">
        <f t="shared" si="898"/>
        <v>93729.266044327858</v>
      </c>
      <c r="M500" s="552">
        <f t="shared" si="898"/>
        <v>117642.44707528244</v>
      </c>
      <c r="N500" s="552">
        <f t="shared" si="898"/>
        <v>141553.01014020713</v>
      </c>
      <c r="O500" s="552">
        <f t="shared" si="898"/>
        <v>165451.53468334387</v>
      </c>
      <c r="P500" s="552">
        <f t="shared" si="898"/>
        <v>189379.76374337985</v>
      </c>
      <c r="Q500" s="552">
        <f t="shared" si="898"/>
        <v>212859.98288255601</v>
      </c>
      <c r="R500" s="552">
        <f t="shared" si="898"/>
        <v>236354.18632222191</v>
      </c>
      <c r="S500" s="552">
        <f t="shared" si="898"/>
        <v>259841.97976722207</v>
      </c>
      <c r="T500" s="552">
        <f t="shared" si="898"/>
        <v>283342.37827158137</v>
      </c>
      <c r="U500" s="552">
        <f t="shared" si="898"/>
        <v>306899.57795839943</v>
      </c>
      <c r="V500" s="552">
        <f t="shared" si="898"/>
        <v>318405.10190838407</v>
      </c>
      <c r="W500" s="552">
        <f t="shared" si="898"/>
        <v>323751.8782183273</v>
      </c>
      <c r="X500" s="552">
        <f t="shared" si="898"/>
        <v>329103.11007279606</v>
      </c>
      <c r="Y500" s="552">
        <f t="shared" si="898"/>
        <v>334459.50209087983</v>
      </c>
      <c r="Z500" s="552">
        <f t="shared" si="898"/>
        <v>339830.07765963313</v>
      </c>
      <c r="AA500" s="552">
        <f t="shared" si="898"/>
        <v>345199.3149916954</v>
      </c>
      <c r="AB500" s="552">
        <f t="shared" si="898"/>
        <v>350584.70432685374</v>
      </c>
      <c r="AC500" s="552">
        <f t="shared" si="898"/>
        <v>355970.93622338935</v>
      </c>
      <c r="AD500" s="552">
        <f t="shared" si="898"/>
        <v>361367.56267590297</v>
      </c>
      <c r="AE500" s="552">
        <f t="shared" si="898"/>
        <v>366784.36772733397</v>
      </c>
      <c r="AF500" s="552">
        <f t="shared" si="898"/>
        <v>372206.45142084383</v>
      </c>
      <c r="AG500" s="552">
        <f t="shared" si="898"/>
        <v>377643.97092451988</v>
      </c>
      <c r="AH500" s="727">
        <f t="shared" si="898"/>
        <v>383107.40696146479</v>
      </c>
      <c r="AI500" s="18"/>
      <c r="AJ500" s="18"/>
      <c r="AK500" s="18"/>
      <c r="AL500" s="18"/>
      <c r="AM500" s="18"/>
      <c r="AN500" s="18"/>
    </row>
    <row r="501" spans="2:40" ht="21.9" customHeight="1" x14ac:dyDescent="0.25">
      <c r="B501" s="229"/>
      <c r="C501" s="690"/>
      <c r="D501" s="690"/>
      <c r="E501" s="1325"/>
      <c r="F501" s="114"/>
      <c r="G501" s="114"/>
      <c r="H501" s="695" t="s">
        <v>25</v>
      </c>
      <c r="I501" s="552">
        <f t="shared" ref="I501:AH501" si="899">SUM(I499:I500)</f>
        <v>65763.478261261611</v>
      </c>
      <c r="J501" s="552">
        <f t="shared" si="899"/>
        <v>72415.782905479355</v>
      </c>
      <c r="K501" s="552">
        <f t="shared" si="899"/>
        <v>87288.522339266085</v>
      </c>
      <c r="L501" s="552">
        <f t="shared" si="899"/>
        <v>117161.58255540983</v>
      </c>
      <c r="M501" s="552">
        <f t="shared" si="899"/>
        <v>147053.05884410304</v>
      </c>
      <c r="N501" s="552">
        <f t="shared" si="899"/>
        <v>176941.26267525891</v>
      </c>
      <c r="O501" s="552">
        <f t="shared" si="899"/>
        <v>206814.41835417983</v>
      </c>
      <c r="P501" s="552">
        <f t="shared" si="899"/>
        <v>236724.70467922481</v>
      </c>
      <c r="Q501" s="552">
        <f t="shared" si="899"/>
        <v>266074.97860319499</v>
      </c>
      <c r="R501" s="552">
        <f t="shared" si="899"/>
        <v>295442.73290277738</v>
      </c>
      <c r="S501" s="552">
        <f t="shared" si="899"/>
        <v>324802.47470902756</v>
      </c>
      <c r="T501" s="552">
        <f t="shared" si="899"/>
        <v>354177.97283947672</v>
      </c>
      <c r="U501" s="552">
        <f t="shared" si="899"/>
        <v>383624.47244799929</v>
      </c>
      <c r="V501" s="552">
        <f t="shared" si="899"/>
        <v>398006.3773854801</v>
      </c>
      <c r="W501" s="552">
        <f t="shared" si="899"/>
        <v>404689.8477729091</v>
      </c>
      <c r="X501" s="552">
        <f t="shared" si="899"/>
        <v>411378.88759099506</v>
      </c>
      <c r="Y501" s="552">
        <f t="shared" si="899"/>
        <v>418074.37761359976</v>
      </c>
      <c r="Z501" s="552">
        <f t="shared" si="899"/>
        <v>424787.59707454138</v>
      </c>
      <c r="AA501" s="552">
        <f t="shared" si="899"/>
        <v>431499.14373961923</v>
      </c>
      <c r="AB501" s="552">
        <f t="shared" si="899"/>
        <v>438230.88040856714</v>
      </c>
      <c r="AC501" s="552">
        <f t="shared" si="899"/>
        <v>444963.67027923669</v>
      </c>
      <c r="AD501" s="552">
        <f t="shared" si="899"/>
        <v>451709.45334487874</v>
      </c>
      <c r="AE501" s="552">
        <f t="shared" si="899"/>
        <v>458480.45965916745</v>
      </c>
      <c r="AF501" s="552">
        <f t="shared" si="899"/>
        <v>465258.06427605479</v>
      </c>
      <c r="AG501" s="552">
        <f t="shared" si="899"/>
        <v>472054.96365564986</v>
      </c>
      <c r="AH501" s="727">
        <f t="shared" si="899"/>
        <v>478884.25870183099</v>
      </c>
      <c r="AI501" s="18"/>
      <c r="AJ501" s="18"/>
      <c r="AK501" s="18"/>
      <c r="AL501" s="18"/>
      <c r="AM501" s="18"/>
      <c r="AN501" s="18"/>
    </row>
    <row r="502" spans="2:40" ht="21.9" customHeight="1" x14ac:dyDescent="0.25">
      <c r="B502" s="229"/>
      <c r="C502" s="690"/>
      <c r="D502" s="690"/>
      <c r="E502" s="1325"/>
      <c r="F502" s="114" t="s">
        <v>318</v>
      </c>
      <c r="G502" s="114" t="s">
        <v>308</v>
      </c>
      <c r="H502" s="114" t="s">
        <v>20</v>
      </c>
      <c r="I502" s="552">
        <f t="shared" ref="I502:AH502" si="900">I471*$D$20</f>
        <v>1769.6979844380808</v>
      </c>
      <c r="J502" s="552">
        <f t="shared" si="900"/>
        <v>1937.7177015185109</v>
      </c>
      <c r="K502" s="552">
        <f t="shared" si="900"/>
        <v>2176.0734957588188</v>
      </c>
      <c r="L502" s="552">
        <f t="shared" si="900"/>
        <v>2564.4836637537228</v>
      </c>
      <c r="M502" s="552">
        <f t="shared" si="900"/>
        <v>2953.1848864748904</v>
      </c>
      <c r="N502" s="552">
        <f t="shared" si="900"/>
        <v>3342.5197790969792</v>
      </c>
      <c r="O502" s="552">
        <f t="shared" si="900"/>
        <v>3733.4745228377478</v>
      </c>
      <c r="P502" s="552">
        <f t="shared" si="900"/>
        <v>4129.5635091245385</v>
      </c>
      <c r="Q502" s="552">
        <f t="shared" si="900"/>
        <v>4594.6839384923715</v>
      </c>
      <c r="R502" s="552">
        <f t="shared" si="900"/>
        <v>5097.0289504671928</v>
      </c>
      <c r="S502" s="552">
        <f t="shared" si="900"/>
        <v>5683.4199124262159</v>
      </c>
      <c r="T502" s="552">
        <f t="shared" si="900"/>
        <v>6449.2410131384459</v>
      </c>
      <c r="U502" s="552">
        <f t="shared" si="900"/>
        <v>7576.6195843716087</v>
      </c>
      <c r="V502" s="552">
        <f t="shared" si="900"/>
        <v>8668.6042998178145</v>
      </c>
      <c r="W502" s="552">
        <f t="shared" si="900"/>
        <v>9485.7903094889134</v>
      </c>
      <c r="X502" s="552">
        <f t="shared" si="900"/>
        <v>10485.120943083863</v>
      </c>
      <c r="Y502" s="552">
        <f t="shared" si="900"/>
        <v>11711.376368635594</v>
      </c>
      <c r="Z502" s="552">
        <f t="shared" si="900"/>
        <v>13220.767520166934</v>
      </c>
      <c r="AA502" s="552">
        <f t="shared" si="900"/>
        <v>15075.490328149835</v>
      </c>
      <c r="AB502" s="552">
        <f t="shared" si="900"/>
        <v>17358.80943850461</v>
      </c>
      <c r="AC502" s="552">
        <f t="shared" si="900"/>
        <v>17904.100095232086</v>
      </c>
      <c r="AD502" s="552">
        <f t="shared" si="900"/>
        <v>18289.842786118723</v>
      </c>
      <c r="AE502" s="552">
        <f t="shared" si="900"/>
        <v>18676.03532837957</v>
      </c>
      <c r="AF502" s="552">
        <f t="shared" si="900"/>
        <v>19061.799625514235</v>
      </c>
      <c r="AG502" s="552">
        <f t="shared" si="900"/>
        <v>19447.578091505729</v>
      </c>
      <c r="AH502" s="727">
        <f t="shared" si="900"/>
        <v>19833.813767105185</v>
      </c>
      <c r="AI502" s="18"/>
      <c r="AJ502" s="18"/>
      <c r="AK502" s="18"/>
      <c r="AL502" s="18"/>
      <c r="AM502" s="18"/>
      <c r="AN502" s="18"/>
    </row>
    <row r="503" spans="2:40" ht="21.9" customHeight="1" x14ac:dyDescent="0.25">
      <c r="B503" s="229"/>
      <c r="C503" s="690"/>
      <c r="D503" s="690"/>
      <c r="E503" s="1325"/>
      <c r="F503" s="114"/>
      <c r="G503" s="114"/>
      <c r="H503" s="122" t="s">
        <v>19</v>
      </c>
      <c r="I503" s="552">
        <f t="shared" ref="I503:AH503" si="901">I471*$D$21</f>
        <v>7078.7919377523231</v>
      </c>
      <c r="J503" s="552">
        <f t="shared" si="901"/>
        <v>7750.8708060740437</v>
      </c>
      <c r="K503" s="552">
        <f t="shared" si="901"/>
        <v>8704.2939830352752</v>
      </c>
      <c r="L503" s="552">
        <f t="shared" si="901"/>
        <v>10257.934655014891</v>
      </c>
      <c r="M503" s="552">
        <f t="shared" si="901"/>
        <v>11812.739545899562</v>
      </c>
      <c r="N503" s="552">
        <f t="shared" si="901"/>
        <v>13370.079116387917</v>
      </c>
      <c r="O503" s="552">
        <f t="shared" si="901"/>
        <v>14933.898091350991</v>
      </c>
      <c r="P503" s="552">
        <f t="shared" si="901"/>
        <v>16518.254036498154</v>
      </c>
      <c r="Q503" s="552">
        <f t="shared" si="901"/>
        <v>18378.735753969486</v>
      </c>
      <c r="R503" s="552">
        <f t="shared" si="901"/>
        <v>20388.115801868771</v>
      </c>
      <c r="S503" s="552">
        <f t="shared" si="901"/>
        <v>22733.679649704864</v>
      </c>
      <c r="T503" s="552">
        <f t="shared" si="901"/>
        <v>25796.964052553783</v>
      </c>
      <c r="U503" s="552">
        <f t="shared" si="901"/>
        <v>30306.478337486435</v>
      </c>
      <c r="V503" s="552">
        <f t="shared" si="901"/>
        <v>34674.417199271258</v>
      </c>
      <c r="W503" s="552">
        <f t="shared" si="901"/>
        <v>37943.161237955654</v>
      </c>
      <c r="X503" s="552">
        <f t="shared" si="901"/>
        <v>41940.48377233545</v>
      </c>
      <c r="Y503" s="552">
        <f t="shared" si="901"/>
        <v>46845.505474542377</v>
      </c>
      <c r="Z503" s="552">
        <f t="shared" si="901"/>
        <v>52883.070080667734</v>
      </c>
      <c r="AA503" s="552">
        <f t="shared" si="901"/>
        <v>60301.961312599342</v>
      </c>
      <c r="AB503" s="552">
        <f t="shared" si="901"/>
        <v>69435.237754018439</v>
      </c>
      <c r="AC503" s="552">
        <f t="shared" si="901"/>
        <v>71616.400380928346</v>
      </c>
      <c r="AD503" s="552">
        <f t="shared" si="901"/>
        <v>73159.371144474891</v>
      </c>
      <c r="AE503" s="552">
        <f t="shared" si="901"/>
        <v>74704.141313518281</v>
      </c>
      <c r="AF503" s="552">
        <f t="shared" si="901"/>
        <v>76247.198502056941</v>
      </c>
      <c r="AG503" s="552">
        <f t="shared" si="901"/>
        <v>77790.312366022918</v>
      </c>
      <c r="AH503" s="727">
        <f t="shared" si="901"/>
        <v>79335.255068420738</v>
      </c>
      <c r="AI503" s="18"/>
      <c r="AJ503" s="18"/>
      <c r="AK503" s="18"/>
      <c r="AL503" s="18"/>
      <c r="AM503" s="18"/>
      <c r="AN503" s="18"/>
    </row>
    <row r="504" spans="2:40" ht="21.9" customHeight="1" x14ac:dyDescent="0.25">
      <c r="B504" s="229"/>
      <c r="C504" s="690"/>
      <c r="D504" s="690"/>
      <c r="E504" s="1325"/>
      <c r="F504" s="114"/>
      <c r="G504" s="114"/>
      <c r="H504" s="695" t="s">
        <v>25</v>
      </c>
      <c r="I504" s="552">
        <f t="shared" ref="I504:AH504" si="902">SUM(I502:I503)</f>
        <v>8848.4899221904034</v>
      </c>
      <c r="J504" s="552">
        <f t="shared" si="902"/>
        <v>9688.5885075925544</v>
      </c>
      <c r="K504" s="552">
        <f t="shared" si="902"/>
        <v>10880.367478794094</v>
      </c>
      <c r="L504" s="552">
        <f t="shared" si="902"/>
        <v>12822.418318768614</v>
      </c>
      <c r="M504" s="552">
        <f t="shared" si="902"/>
        <v>14765.924432374451</v>
      </c>
      <c r="N504" s="552">
        <f t="shared" si="902"/>
        <v>16712.598895484894</v>
      </c>
      <c r="O504" s="552">
        <f t="shared" si="902"/>
        <v>18667.372614188738</v>
      </c>
      <c r="P504" s="552">
        <f t="shared" si="902"/>
        <v>20647.817545622693</v>
      </c>
      <c r="Q504" s="552">
        <f t="shared" si="902"/>
        <v>22973.419692461859</v>
      </c>
      <c r="R504" s="552">
        <f t="shared" si="902"/>
        <v>25485.144752335964</v>
      </c>
      <c r="S504" s="552">
        <f t="shared" si="902"/>
        <v>28417.099562131079</v>
      </c>
      <c r="T504" s="552">
        <f t="shared" si="902"/>
        <v>32246.205065692229</v>
      </c>
      <c r="U504" s="552">
        <f t="shared" si="902"/>
        <v>37883.097921858047</v>
      </c>
      <c r="V504" s="552">
        <f t="shared" si="902"/>
        <v>43343.021499089074</v>
      </c>
      <c r="W504" s="552">
        <f t="shared" si="902"/>
        <v>47428.951547444565</v>
      </c>
      <c r="X504" s="552">
        <f t="shared" si="902"/>
        <v>52425.604715419315</v>
      </c>
      <c r="Y504" s="552">
        <f t="shared" si="902"/>
        <v>58556.881843177973</v>
      </c>
      <c r="Z504" s="552">
        <f t="shared" si="902"/>
        <v>66103.837600834668</v>
      </c>
      <c r="AA504" s="552">
        <f t="shared" si="902"/>
        <v>75377.451640749176</v>
      </c>
      <c r="AB504" s="552">
        <f t="shared" si="902"/>
        <v>86794.047192523052</v>
      </c>
      <c r="AC504" s="552">
        <f t="shared" si="902"/>
        <v>89520.500476160436</v>
      </c>
      <c r="AD504" s="552">
        <f t="shared" si="902"/>
        <v>91449.213930593614</v>
      </c>
      <c r="AE504" s="552">
        <f t="shared" si="902"/>
        <v>93380.176641897851</v>
      </c>
      <c r="AF504" s="552">
        <f t="shared" si="902"/>
        <v>95308.998127571176</v>
      </c>
      <c r="AG504" s="552">
        <f t="shared" si="902"/>
        <v>97237.890457528643</v>
      </c>
      <c r="AH504" s="727">
        <f t="shared" si="902"/>
        <v>99169.068835525919</v>
      </c>
      <c r="AI504" s="18"/>
      <c r="AJ504" s="18"/>
      <c r="AK504" s="18"/>
      <c r="AL504" s="18"/>
      <c r="AM504" s="18"/>
      <c r="AN504" s="18"/>
    </row>
    <row r="505" spans="2:40" ht="21.9" customHeight="1" x14ac:dyDescent="0.25">
      <c r="B505" s="229"/>
      <c r="C505" s="690"/>
      <c r="D505" s="690"/>
      <c r="E505" s="1325"/>
      <c r="F505" s="114" t="s">
        <v>308</v>
      </c>
      <c r="G505" s="114" t="s">
        <v>319</v>
      </c>
      <c r="H505" s="114" t="s">
        <v>20</v>
      </c>
      <c r="I505" s="552">
        <f t="shared" ref="I505:AH505" si="903">I472*$D$20</f>
        <v>25111.892976788306</v>
      </c>
      <c r="J505" s="552">
        <f t="shared" si="903"/>
        <v>25859.768391897029</v>
      </c>
      <c r="K505" s="552">
        <f t="shared" si="903"/>
        <v>26952.742857365054</v>
      </c>
      <c r="L505" s="552">
        <f t="shared" si="903"/>
        <v>28563.950603370744</v>
      </c>
      <c r="M505" s="552">
        <f t="shared" si="903"/>
        <v>30312.809155462881</v>
      </c>
      <c r="N505" s="552">
        <f t="shared" si="903"/>
        <v>32273.457738607809</v>
      </c>
      <c r="O505" s="552">
        <f t="shared" si="903"/>
        <v>34554.671480868274</v>
      </c>
      <c r="P505" s="552">
        <f t="shared" si="903"/>
        <v>37316.438183099046</v>
      </c>
      <c r="Q505" s="552">
        <f t="shared" si="903"/>
        <v>40816.489587918652</v>
      </c>
      <c r="R505" s="552">
        <f t="shared" si="903"/>
        <v>45351.951391597468</v>
      </c>
      <c r="S505" s="552">
        <f t="shared" si="903"/>
        <v>51359.88217567448</v>
      </c>
      <c r="T505" s="552">
        <f t="shared" si="903"/>
        <v>59442.127002979978</v>
      </c>
      <c r="U505" s="552">
        <f t="shared" si="903"/>
        <v>70415.838811656504</v>
      </c>
      <c r="V505" s="552">
        <f t="shared" si="903"/>
        <v>80607.367482020083</v>
      </c>
      <c r="W505" s="552">
        <f t="shared" si="903"/>
        <v>89099.587605749985</v>
      </c>
      <c r="X505" s="552">
        <f t="shared" si="903"/>
        <v>95506.187871016038</v>
      </c>
      <c r="Y505" s="552">
        <f t="shared" si="903"/>
        <v>97054.503461049157</v>
      </c>
      <c r="Z505" s="552">
        <f t="shared" si="903"/>
        <v>98603.580974448472</v>
      </c>
      <c r="AA505" s="552">
        <f t="shared" si="903"/>
        <v>100151.95006281752</v>
      </c>
      <c r="AB505" s="552">
        <f t="shared" si="903"/>
        <v>101701.0892268102</v>
      </c>
      <c r="AC505" s="552">
        <f t="shared" si="903"/>
        <v>103249.52933127224</v>
      </c>
      <c r="AD505" s="552">
        <f t="shared" si="903"/>
        <v>104798.01290566109</v>
      </c>
      <c r="AE505" s="552">
        <f t="shared" si="903"/>
        <v>106347.28354690061</v>
      </c>
      <c r="AF505" s="552">
        <f t="shared" si="903"/>
        <v>107895.87428373814</v>
      </c>
      <c r="AG505" s="552">
        <f t="shared" si="903"/>
        <v>109444.52994727265</v>
      </c>
      <c r="AH505" s="727">
        <f t="shared" si="903"/>
        <v>110993.99689606029</v>
      </c>
      <c r="AI505" s="18"/>
      <c r="AJ505" s="18"/>
      <c r="AK505" s="18"/>
      <c r="AL505" s="18"/>
      <c r="AM505" s="18"/>
      <c r="AN505" s="18"/>
    </row>
    <row r="506" spans="2:40" ht="21.9" customHeight="1" x14ac:dyDescent="0.25">
      <c r="B506" s="229"/>
      <c r="C506" s="690"/>
      <c r="D506" s="690"/>
      <c r="E506" s="1325"/>
      <c r="F506" s="114"/>
      <c r="G506" s="114"/>
      <c r="H506" s="114" t="s">
        <v>19</v>
      </c>
      <c r="I506" s="552">
        <f t="shared" ref="I506:AH506" si="904">I472*$D$21</f>
        <v>100447.57190715322</v>
      </c>
      <c r="J506" s="552">
        <f t="shared" si="904"/>
        <v>103439.07356758812</v>
      </c>
      <c r="K506" s="552">
        <f t="shared" si="904"/>
        <v>107810.97142946022</v>
      </c>
      <c r="L506" s="552">
        <f t="shared" si="904"/>
        <v>114255.80241348298</v>
      </c>
      <c r="M506" s="552">
        <f t="shared" si="904"/>
        <v>121251.23662185152</v>
      </c>
      <c r="N506" s="552">
        <f t="shared" si="904"/>
        <v>129093.83095443124</v>
      </c>
      <c r="O506" s="552">
        <f t="shared" si="904"/>
        <v>138218.68592347309</v>
      </c>
      <c r="P506" s="552">
        <f t="shared" si="904"/>
        <v>149265.75273239618</v>
      </c>
      <c r="Q506" s="552">
        <f t="shared" si="904"/>
        <v>163265.95835167461</v>
      </c>
      <c r="R506" s="552">
        <f t="shared" si="904"/>
        <v>181407.80556638987</v>
      </c>
      <c r="S506" s="552">
        <f t="shared" si="904"/>
        <v>205439.52870269792</v>
      </c>
      <c r="T506" s="552">
        <f t="shared" si="904"/>
        <v>237768.50801191991</v>
      </c>
      <c r="U506" s="552">
        <f t="shared" si="904"/>
        <v>281663.35524662602</v>
      </c>
      <c r="V506" s="552">
        <f t="shared" si="904"/>
        <v>322429.46992808033</v>
      </c>
      <c r="W506" s="552">
        <f t="shared" si="904"/>
        <v>356398.35042299994</v>
      </c>
      <c r="X506" s="552">
        <f t="shared" si="904"/>
        <v>382024.75148406415</v>
      </c>
      <c r="Y506" s="552">
        <f t="shared" si="904"/>
        <v>388218.01384419663</v>
      </c>
      <c r="Z506" s="552">
        <f t="shared" si="904"/>
        <v>394414.32389779389</v>
      </c>
      <c r="AA506" s="552">
        <f t="shared" si="904"/>
        <v>400607.80025127006</v>
      </c>
      <c r="AB506" s="552">
        <f t="shared" si="904"/>
        <v>406804.35690724081</v>
      </c>
      <c r="AC506" s="552">
        <f t="shared" si="904"/>
        <v>412998.11732508894</v>
      </c>
      <c r="AD506" s="552">
        <f t="shared" si="904"/>
        <v>419192.05162264436</v>
      </c>
      <c r="AE506" s="552">
        <f t="shared" si="904"/>
        <v>425389.13418760244</v>
      </c>
      <c r="AF506" s="552">
        <f t="shared" si="904"/>
        <v>431583.49713495257</v>
      </c>
      <c r="AG506" s="552">
        <f t="shared" si="904"/>
        <v>437778.11978909059</v>
      </c>
      <c r="AH506" s="727">
        <f t="shared" si="904"/>
        <v>443975.98758424114</v>
      </c>
      <c r="AI506" s="18"/>
      <c r="AJ506" s="18"/>
      <c r="AK506" s="18"/>
      <c r="AL506" s="18"/>
      <c r="AM506" s="18"/>
      <c r="AN506" s="18"/>
    </row>
    <row r="507" spans="2:40" ht="21.9" customHeight="1" x14ac:dyDescent="0.25">
      <c r="B507" s="229"/>
      <c r="C507" s="690"/>
      <c r="D507" s="690"/>
      <c r="E507" s="1321"/>
      <c r="F507" s="250"/>
      <c r="G507" s="250"/>
      <c r="H507" s="696" t="s">
        <v>25</v>
      </c>
      <c r="I507" s="562">
        <f t="shared" ref="I507:AH507" si="905">SUM(I505:I506)</f>
        <v>125559.46488394153</v>
      </c>
      <c r="J507" s="562">
        <f t="shared" si="905"/>
        <v>129298.84195948514</v>
      </c>
      <c r="K507" s="562">
        <f t="shared" si="905"/>
        <v>134763.71428682527</v>
      </c>
      <c r="L507" s="562">
        <f t="shared" si="905"/>
        <v>142819.75301685371</v>
      </c>
      <c r="M507" s="562">
        <f t="shared" si="905"/>
        <v>151564.0457773144</v>
      </c>
      <c r="N507" s="562">
        <f t="shared" si="905"/>
        <v>161367.28869303904</v>
      </c>
      <c r="O507" s="562">
        <f t="shared" si="905"/>
        <v>172773.35740434137</v>
      </c>
      <c r="P507" s="562">
        <f t="shared" si="905"/>
        <v>186582.19091549522</v>
      </c>
      <c r="Q507" s="562">
        <f t="shared" si="905"/>
        <v>204082.44793959326</v>
      </c>
      <c r="R507" s="562">
        <f t="shared" si="905"/>
        <v>226759.75695798732</v>
      </c>
      <c r="S507" s="562">
        <f t="shared" si="905"/>
        <v>256799.41087837241</v>
      </c>
      <c r="T507" s="562">
        <f t="shared" si="905"/>
        <v>297210.63501489989</v>
      </c>
      <c r="U507" s="562">
        <f t="shared" si="905"/>
        <v>352079.19405828253</v>
      </c>
      <c r="V507" s="562">
        <f t="shared" si="905"/>
        <v>403036.83741010039</v>
      </c>
      <c r="W507" s="562">
        <f t="shared" si="905"/>
        <v>445497.93802874989</v>
      </c>
      <c r="X507" s="562">
        <f t="shared" si="905"/>
        <v>477530.93935508019</v>
      </c>
      <c r="Y507" s="562">
        <f t="shared" si="905"/>
        <v>485272.5173052458</v>
      </c>
      <c r="Z507" s="562">
        <f t="shared" si="905"/>
        <v>493017.90487224236</v>
      </c>
      <c r="AA507" s="562">
        <f t="shared" si="905"/>
        <v>500759.75031408761</v>
      </c>
      <c r="AB507" s="562">
        <f t="shared" si="905"/>
        <v>508505.44613405102</v>
      </c>
      <c r="AC507" s="562">
        <f t="shared" si="905"/>
        <v>516247.64665636118</v>
      </c>
      <c r="AD507" s="562">
        <f t="shared" si="905"/>
        <v>523990.06452830543</v>
      </c>
      <c r="AE507" s="562">
        <f t="shared" si="905"/>
        <v>531736.41773450305</v>
      </c>
      <c r="AF507" s="562">
        <f t="shared" si="905"/>
        <v>539479.37141869077</v>
      </c>
      <c r="AG507" s="562">
        <f t="shared" si="905"/>
        <v>547222.64973636321</v>
      </c>
      <c r="AH507" s="729">
        <f t="shared" si="905"/>
        <v>554969.98448030138</v>
      </c>
      <c r="AI507" s="18"/>
      <c r="AJ507" s="18"/>
      <c r="AK507" s="18"/>
      <c r="AL507" s="18"/>
      <c r="AM507" s="18"/>
      <c r="AN507" s="18"/>
    </row>
    <row r="508" spans="2:40" ht="21.9" customHeight="1" x14ac:dyDescent="0.25">
      <c r="B508" s="229"/>
      <c r="C508" s="690"/>
      <c r="D508" s="690"/>
      <c r="E508" s="114" t="s">
        <v>320</v>
      </c>
      <c r="F508" s="114" t="s">
        <v>318</v>
      </c>
      <c r="G508" s="114" t="s">
        <v>308</v>
      </c>
      <c r="H508" s="114" t="s">
        <v>20</v>
      </c>
      <c r="I508" s="552">
        <f t="shared" ref="I508:AH508" si="906">I473*$E$20</f>
        <v>79.421296296296291</v>
      </c>
      <c r="J508" s="552">
        <f t="shared" si="906"/>
        <v>329.87635416666666</v>
      </c>
      <c r="K508" s="552">
        <f t="shared" si="906"/>
        <v>2942.9164236277611</v>
      </c>
      <c r="L508" s="552">
        <f t="shared" si="906"/>
        <v>6960.7208871016664</v>
      </c>
      <c r="M508" s="552">
        <f t="shared" si="906"/>
        <v>10981.416601410992</v>
      </c>
      <c r="N508" s="552">
        <f t="shared" si="906"/>
        <v>15001.463727627046</v>
      </c>
      <c r="O508" s="552">
        <f t="shared" si="906"/>
        <v>19031.932613422465</v>
      </c>
      <c r="P508" s="552">
        <f t="shared" si="906"/>
        <v>23154.437796683949</v>
      </c>
      <c r="Q508" s="552">
        <f t="shared" si="906"/>
        <v>24940.843527347752</v>
      </c>
      <c r="R508" s="552">
        <f t="shared" si="906"/>
        <v>26851.980504173251</v>
      </c>
      <c r="S508" s="552">
        <f t="shared" si="906"/>
        <v>28983.304451634387</v>
      </c>
      <c r="T508" s="552">
        <f t="shared" si="906"/>
        <v>31494.164154905669</v>
      </c>
      <c r="U508" s="552">
        <f t="shared" si="906"/>
        <v>34650.453828884281</v>
      </c>
      <c r="V508" s="552">
        <f t="shared" si="906"/>
        <v>35204.593423518345</v>
      </c>
      <c r="W508" s="552">
        <f t="shared" si="906"/>
        <v>35783.776165282376</v>
      </c>
      <c r="X508" s="552">
        <f t="shared" si="906"/>
        <v>36389.865458226872</v>
      </c>
      <c r="Y508" s="552">
        <f t="shared" si="906"/>
        <v>37024.827425205171</v>
      </c>
      <c r="Z508" s="552">
        <f t="shared" si="906"/>
        <v>37695.622706767812</v>
      </c>
      <c r="AA508" s="552">
        <f t="shared" si="906"/>
        <v>38394.987415750271</v>
      </c>
      <c r="AB508" s="552">
        <f t="shared" si="906"/>
        <v>39132.319101749243</v>
      </c>
      <c r="AC508" s="552">
        <f t="shared" si="906"/>
        <v>39905.481109613582</v>
      </c>
      <c r="AD508" s="552">
        <f t="shared" si="906"/>
        <v>40719.421926038893</v>
      </c>
      <c r="AE508" s="552">
        <f t="shared" si="906"/>
        <v>41583.265234739061</v>
      </c>
      <c r="AF508" s="552">
        <f t="shared" si="906"/>
        <v>42487.806063229596</v>
      </c>
      <c r="AG508" s="552">
        <f t="shared" si="906"/>
        <v>43442.206020993515</v>
      </c>
      <c r="AH508" s="727">
        <f t="shared" si="906"/>
        <v>44453.143841226389</v>
      </c>
      <c r="AI508" s="18"/>
      <c r="AJ508" s="18"/>
      <c r="AK508" s="18"/>
      <c r="AL508" s="18"/>
      <c r="AM508" s="18"/>
      <c r="AN508" s="18"/>
    </row>
    <row r="509" spans="2:40" ht="21.9" customHeight="1" x14ac:dyDescent="0.25">
      <c r="B509" s="229"/>
      <c r="C509" s="690"/>
      <c r="D509" s="690"/>
      <c r="E509" s="114"/>
      <c r="F509" s="114"/>
      <c r="G509" s="114"/>
      <c r="H509" s="122" t="s">
        <v>19</v>
      </c>
      <c r="I509" s="552">
        <f t="shared" ref="I509:AH509" si="907">I473*$E$21</f>
        <v>317.68518518518516</v>
      </c>
      <c r="J509" s="552">
        <f t="shared" si="907"/>
        <v>1319.5054166666666</v>
      </c>
      <c r="K509" s="552">
        <f t="shared" si="907"/>
        <v>11771.665694511044</v>
      </c>
      <c r="L509" s="552">
        <f t="shared" si="907"/>
        <v>27842.883548406666</v>
      </c>
      <c r="M509" s="552">
        <f t="shared" si="907"/>
        <v>43925.666405643969</v>
      </c>
      <c r="N509" s="552">
        <f t="shared" si="907"/>
        <v>60005.854910508184</v>
      </c>
      <c r="O509" s="552">
        <f t="shared" si="907"/>
        <v>76127.730453689859</v>
      </c>
      <c r="P509" s="552">
        <f t="shared" si="907"/>
        <v>92617.751186735797</v>
      </c>
      <c r="Q509" s="552">
        <f t="shared" si="907"/>
        <v>99763.374109391007</v>
      </c>
      <c r="R509" s="552">
        <f t="shared" si="907"/>
        <v>107407.922016693</v>
      </c>
      <c r="S509" s="552">
        <f t="shared" si="907"/>
        <v>115933.21780653755</v>
      </c>
      <c r="T509" s="552">
        <f t="shared" si="907"/>
        <v>125976.65661962268</v>
      </c>
      <c r="U509" s="552">
        <f t="shared" si="907"/>
        <v>138601.81531553713</v>
      </c>
      <c r="V509" s="552">
        <f t="shared" si="907"/>
        <v>140818.37369407338</v>
      </c>
      <c r="W509" s="552">
        <f t="shared" si="907"/>
        <v>143135.1046611295</v>
      </c>
      <c r="X509" s="552">
        <f t="shared" si="907"/>
        <v>145559.46183290749</v>
      </c>
      <c r="Y509" s="552">
        <f t="shared" si="907"/>
        <v>148099.30970082068</v>
      </c>
      <c r="Z509" s="552">
        <f t="shared" si="907"/>
        <v>150782.49082707125</v>
      </c>
      <c r="AA509" s="552">
        <f t="shared" si="907"/>
        <v>153579.94966300108</v>
      </c>
      <c r="AB509" s="552">
        <f t="shared" si="907"/>
        <v>156529.27640699697</v>
      </c>
      <c r="AC509" s="552">
        <f t="shared" si="907"/>
        <v>159621.92443845433</v>
      </c>
      <c r="AD509" s="552">
        <f t="shared" si="907"/>
        <v>162877.68770415557</v>
      </c>
      <c r="AE509" s="552">
        <f t="shared" si="907"/>
        <v>166333.06093895625</v>
      </c>
      <c r="AF509" s="552">
        <f t="shared" si="907"/>
        <v>169951.22425291839</v>
      </c>
      <c r="AG509" s="552">
        <f t="shared" si="907"/>
        <v>173768.82408397406</v>
      </c>
      <c r="AH509" s="727">
        <f t="shared" si="907"/>
        <v>177812.57536490556</v>
      </c>
      <c r="AI509" s="18"/>
      <c r="AJ509" s="18"/>
      <c r="AK509" s="18"/>
      <c r="AL509" s="18"/>
      <c r="AM509" s="18"/>
      <c r="AN509" s="18"/>
    </row>
    <row r="510" spans="2:40" ht="21.9" customHeight="1" x14ac:dyDescent="0.25">
      <c r="B510" s="229"/>
      <c r="C510" s="690"/>
      <c r="D510" s="690"/>
      <c r="E510" s="114"/>
      <c r="F510" s="114"/>
      <c r="G510" s="114"/>
      <c r="H510" s="696" t="s">
        <v>25</v>
      </c>
      <c r="I510" s="552">
        <f t="shared" ref="I510:AH510" si="908">SUM(I508:I509)</f>
        <v>397.10648148148147</v>
      </c>
      <c r="J510" s="552">
        <f t="shared" si="908"/>
        <v>1649.3817708333333</v>
      </c>
      <c r="K510" s="552">
        <f t="shared" si="908"/>
        <v>14714.582118138806</v>
      </c>
      <c r="L510" s="552">
        <f t="shared" si="908"/>
        <v>34803.604435508329</v>
      </c>
      <c r="M510" s="552">
        <f t="shared" si="908"/>
        <v>54907.083007054964</v>
      </c>
      <c r="N510" s="552">
        <f t="shared" si="908"/>
        <v>75007.318638135228</v>
      </c>
      <c r="O510" s="552">
        <f t="shared" si="908"/>
        <v>95159.663067112328</v>
      </c>
      <c r="P510" s="552">
        <f t="shared" si="908"/>
        <v>115772.18898341975</v>
      </c>
      <c r="Q510" s="552">
        <f t="shared" si="908"/>
        <v>124704.21763673876</v>
      </c>
      <c r="R510" s="552">
        <f t="shared" si="908"/>
        <v>134259.90252086625</v>
      </c>
      <c r="S510" s="552">
        <f t="shared" si="908"/>
        <v>144916.52225817193</v>
      </c>
      <c r="T510" s="552">
        <f t="shared" si="908"/>
        <v>157470.82077452834</v>
      </c>
      <c r="U510" s="552">
        <f t="shared" si="908"/>
        <v>173252.26914442141</v>
      </c>
      <c r="V510" s="552">
        <f t="shared" si="908"/>
        <v>176022.96711759173</v>
      </c>
      <c r="W510" s="552">
        <f t="shared" si="908"/>
        <v>178918.88082641189</v>
      </c>
      <c r="X510" s="552">
        <f t="shared" si="908"/>
        <v>181949.32729113437</v>
      </c>
      <c r="Y510" s="552">
        <f t="shared" si="908"/>
        <v>185124.13712602586</v>
      </c>
      <c r="Z510" s="552">
        <f t="shared" si="908"/>
        <v>188478.11353383906</v>
      </c>
      <c r="AA510" s="552">
        <f t="shared" si="908"/>
        <v>191974.93707875136</v>
      </c>
      <c r="AB510" s="552">
        <f t="shared" si="908"/>
        <v>195661.59550874622</v>
      </c>
      <c r="AC510" s="552">
        <f t="shared" si="908"/>
        <v>199527.40554806791</v>
      </c>
      <c r="AD510" s="552">
        <f t="shared" si="908"/>
        <v>203597.10963019446</v>
      </c>
      <c r="AE510" s="552">
        <f t="shared" si="908"/>
        <v>207916.3261736953</v>
      </c>
      <c r="AF510" s="552">
        <f t="shared" si="908"/>
        <v>212439.03031614798</v>
      </c>
      <c r="AG510" s="552">
        <f t="shared" si="908"/>
        <v>217211.03010496759</v>
      </c>
      <c r="AH510" s="727">
        <f t="shared" si="908"/>
        <v>222265.71920613194</v>
      </c>
      <c r="AI510" s="18"/>
      <c r="AJ510" s="18"/>
      <c r="AK510" s="18"/>
      <c r="AL510" s="18"/>
      <c r="AM510" s="18"/>
      <c r="AN510" s="18"/>
    </row>
    <row r="511" spans="2:40" ht="21.9" customHeight="1" x14ac:dyDescent="0.25">
      <c r="B511" s="229"/>
      <c r="C511" s="690"/>
      <c r="D511" s="690"/>
      <c r="E511" s="1325" t="s">
        <v>308</v>
      </c>
      <c r="F511" s="217" t="s">
        <v>276</v>
      </c>
      <c r="G511" s="217" t="s">
        <v>320</v>
      </c>
      <c r="H511" s="114" t="s">
        <v>20</v>
      </c>
      <c r="I511" s="558">
        <f t="shared" ref="I511:AH511" si="909">I474*$F$20</f>
        <v>239.78102189781021</v>
      </c>
      <c r="J511" s="558">
        <f t="shared" si="909"/>
        <v>532.91332116788317</v>
      </c>
      <c r="K511" s="558">
        <f t="shared" si="909"/>
        <v>2252.3830291970803</v>
      </c>
      <c r="L511" s="558">
        <f t="shared" si="909"/>
        <v>5063.2160583943869</v>
      </c>
      <c r="M511" s="558">
        <f t="shared" si="909"/>
        <v>7875.6076642626722</v>
      </c>
      <c r="N511" s="558">
        <f t="shared" si="909"/>
        <v>10688.119161420667</v>
      </c>
      <c r="O511" s="558">
        <f t="shared" si="909"/>
        <v>13498.952200694708</v>
      </c>
      <c r="P511" s="558">
        <f t="shared" si="909"/>
        <v>16313.02235038298</v>
      </c>
      <c r="Q511" s="558">
        <f t="shared" si="909"/>
        <v>18483.040857031498</v>
      </c>
      <c r="R511" s="558">
        <f t="shared" si="909"/>
        <v>20653.419604429204</v>
      </c>
      <c r="S511" s="558">
        <f t="shared" si="909"/>
        <v>22823.440201438778</v>
      </c>
      <c r="T511" s="558">
        <f t="shared" si="909"/>
        <v>24993.464493707896</v>
      </c>
      <c r="U511" s="558">
        <f t="shared" si="909"/>
        <v>27166.374481564795</v>
      </c>
      <c r="V511" s="558">
        <f t="shared" si="909"/>
        <v>28243.363714320989</v>
      </c>
      <c r="W511" s="558">
        <f t="shared" si="909"/>
        <v>28536.50042884819</v>
      </c>
      <c r="X511" s="558">
        <f t="shared" si="909"/>
        <v>28829.637620860078</v>
      </c>
      <c r="Y511" s="558">
        <f t="shared" si="909"/>
        <v>29122.775336487022</v>
      </c>
      <c r="Z511" s="558">
        <f t="shared" si="909"/>
        <v>29416.752877233062</v>
      </c>
      <c r="AA511" s="558">
        <f t="shared" si="909"/>
        <v>29709.891795866664</v>
      </c>
      <c r="AB511" s="558">
        <f t="shared" si="909"/>
        <v>30003.870656396291</v>
      </c>
      <c r="AC511" s="558">
        <f t="shared" si="909"/>
        <v>30297.011013390766</v>
      </c>
      <c r="AD511" s="558">
        <f t="shared" si="909"/>
        <v>30590.152188902721</v>
      </c>
      <c r="AE511" s="558">
        <f t="shared" si="909"/>
        <v>30884.133519920171</v>
      </c>
      <c r="AF511" s="558">
        <f t="shared" si="909"/>
        <v>31177.276563535692</v>
      </c>
      <c r="AG511" s="558">
        <f t="shared" si="909"/>
        <v>31470.420666298858</v>
      </c>
      <c r="AH511" s="728">
        <f t="shared" si="909"/>
        <v>31764.405193685307</v>
      </c>
      <c r="AI511" s="18"/>
      <c r="AJ511" s="18"/>
      <c r="AK511" s="18"/>
      <c r="AL511" s="18"/>
      <c r="AM511" s="18"/>
      <c r="AN511" s="18"/>
    </row>
    <row r="512" spans="2:40" ht="21.9" customHeight="1" x14ac:dyDescent="0.25">
      <c r="B512" s="229"/>
      <c r="C512" s="690"/>
      <c r="D512" s="690"/>
      <c r="E512" s="1325"/>
      <c r="F512" s="114"/>
      <c r="G512" s="114"/>
      <c r="H512" s="122" t="s">
        <v>19</v>
      </c>
      <c r="I512" s="552">
        <f t="shared" ref="I512:AH512" si="910">I474*$F$21</f>
        <v>959.12408759124082</v>
      </c>
      <c r="J512" s="552">
        <f t="shared" si="910"/>
        <v>2131.6532846715327</v>
      </c>
      <c r="K512" s="552">
        <f t="shared" si="910"/>
        <v>9009.5321167883212</v>
      </c>
      <c r="L512" s="552">
        <f t="shared" si="910"/>
        <v>20252.864233577548</v>
      </c>
      <c r="M512" s="552">
        <f t="shared" si="910"/>
        <v>31502.430657050689</v>
      </c>
      <c r="N512" s="552">
        <f t="shared" si="910"/>
        <v>42752.476645682669</v>
      </c>
      <c r="O512" s="552">
        <f t="shared" si="910"/>
        <v>53995.808802778833</v>
      </c>
      <c r="P512" s="552">
        <f t="shared" si="910"/>
        <v>65252.089401531921</v>
      </c>
      <c r="Q512" s="552">
        <f t="shared" si="910"/>
        <v>73932.16342812599</v>
      </c>
      <c r="R512" s="552">
        <f t="shared" si="910"/>
        <v>82613.678417716816</v>
      </c>
      <c r="S512" s="552">
        <f t="shared" si="910"/>
        <v>91293.760805755112</v>
      </c>
      <c r="T512" s="552">
        <f t="shared" si="910"/>
        <v>99973.857974831582</v>
      </c>
      <c r="U512" s="552">
        <f t="shared" si="910"/>
        <v>108665.49792625918</v>
      </c>
      <c r="V512" s="552">
        <f t="shared" si="910"/>
        <v>112973.45485728396</v>
      </c>
      <c r="W512" s="552">
        <f t="shared" si="910"/>
        <v>114146.00171539276</v>
      </c>
      <c r="X512" s="552">
        <f t="shared" si="910"/>
        <v>115318.55048344031</v>
      </c>
      <c r="Y512" s="552">
        <f t="shared" si="910"/>
        <v>116491.10134594809</v>
      </c>
      <c r="Z512" s="552">
        <f t="shared" si="910"/>
        <v>117667.01150893225</v>
      </c>
      <c r="AA512" s="552">
        <f t="shared" si="910"/>
        <v>118839.56718346666</v>
      </c>
      <c r="AB512" s="552">
        <f t="shared" si="910"/>
        <v>120015.48262558517</v>
      </c>
      <c r="AC512" s="552">
        <f t="shared" si="910"/>
        <v>121188.04405356306</v>
      </c>
      <c r="AD512" s="552">
        <f t="shared" si="910"/>
        <v>122360.60875561088</v>
      </c>
      <c r="AE512" s="552">
        <f t="shared" si="910"/>
        <v>123536.53407968068</v>
      </c>
      <c r="AF512" s="552">
        <f t="shared" si="910"/>
        <v>124709.10625414277</v>
      </c>
      <c r="AG512" s="552">
        <f t="shared" si="910"/>
        <v>125881.68266519543</v>
      </c>
      <c r="AH512" s="727">
        <f t="shared" si="910"/>
        <v>127057.62077474123</v>
      </c>
      <c r="AI512" s="18"/>
      <c r="AJ512" s="18"/>
      <c r="AK512" s="18"/>
      <c r="AL512" s="18"/>
      <c r="AM512" s="18"/>
      <c r="AN512" s="18"/>
    </row>
    <row r="513" spans="2:40" ht="21.9" customHeight="1" x14ac:dyDescent="0.25">
      <c r="B513" s="229"/>
      <c r="C513" s="690"/>
      <c r="D513" s="690"/>
      <c r="E513" s="1325"/>
      <c r="F513" s="114"/>
      <c r="G513" s="114"/>
      <c r="H513" s="695" t="s">
        <v>25</v>
      </c>
      <c r="I513" s="552">
        <f t="shared" ref="I513:AH513" si="911">SUM(I511:I512)</f>
        <v>1198.905109489051</v>
      </c>
      <c r="J513" s="552">
        <f t="shared" si="911"/>
        <v>2664.5666058394158</v>
      </c>
      <c r="K513" s="552">
        <f t="shared" si="911"/>
        <v>11261.915145985402</v>
      </c>
      <c r="L513" s="552">
        <f t="shared" si="911"/>
        <v>25316.080291971935</v>
      </c>
      <c r="M513" s="552">
        <f t="shared" si="911"/>
        <v>39378.038321313361</v>
      </c>
      <c r="N513" s="552">
        <f t="shared" si="911"/>
        <v>53440.595807103338</v>
      </c>
      <c r="O513" s="552">
        <f t="shared" si="911"/>
        <v>67494.761003473541</v>
      </c>
      <c r="P513" s="552">
        <f t="shared" si="911"/>
        <v>81565.111751914897</v>
      </c>
      <c r="Q513" s="552">
        <f t="shared" si="911"/>
        <v>92415.204285157495</v>
      </c>
      <c r="R513" s="552">
        <f t="shared" si="911"/>
        <v>103267.09802214602</v>
      </c>
      <c r="S513" s="552">
        <f t="shared" si="911"/>
        <v>114117.20100719389</v>
      </c>
      <c r="T513" s="552">
        <f t="shared" si="911"/>
        <v>124967.32246853948</v>
      </c>
      <c r="U513" s="552">
        <f t="shared" si="911"/>
        <v>135831.87240782398</v>
      </c>
      <c r="V513" s="552">
        <f t="shared" si="911"/>
        <v>141216.81857160493</v>
      </c>
      <c r="W513" s="552">
        <f t="shared" si="911"/>
        <v>142682.50214424095</v>
      </c>
      <c r="X513" s="552">
        <f t="shared" si="911"/>
        <v>144148.18810430038</v>
      </c>
      <c r="Y513" s="552">
        <f t="shared" si="911"/>
        <v>145613.8766824351</v>
      </c>
      <c r="Z513" s="552">
        <f t="shared" si="911"/>
        <v>147083.76438616531</v>
      </c>
      <c r="AA513" s="552">
        <f t="shared" si="911"/>
        <v>148549.45897933331</v>
      </c>
      <c r="AB513" s="552">
        <f t="shared" si="911"/>
        <v>150019.35328198146</v>
      </c>
      <c r="AC513" s="552">
        <f t="shared" si="911"/>
        <v>151485.05506695382</v>
      </c>
      <c r="AD513" s="552">
        <f t="shared" si="911"/>
        <v>152950.7609445136</v>
      </c>
      <c r="AE513" s="552">
        <f t="shared" si="911"/>
        <v>154420.66759960086</v>
      </c>
      <c r="AF513" s="552">
        <f t="shared" si="911"/>
        <v>155886.38281767844</v>
      </c>
      <c r="AG513" s="552">
        <f t="shared" si="911"/>
        <v>157352.10333149429</v>
      </c>
      <c r="AH513" s="727">
        <f t="shared" si="911"/>
        <v>158822.02596842655</v>
      </c>
      <c r="AI513" s="18"/>
      <c r="AJ513" s="18"/>
      <c r="AK513" s="18"/>
      <c r="AL513" s="18"/>
      <c r="AM513" s="18"/>
      <c r="AN513" s="18"/>
    </row>
    <row r="514" spans="2:40" ht="21.9" customHeight="1" x14ac:dyDescent="0.25">
      <c r="B514" s="229"/>
      <c r="C514" s="690"/>
      <c r="D514" s="690"/>
      <c r="E514" s="1325"/>
      <c r="F514" s="114" t="s">
        <v>320</v>
      </c>
      <c r="G514" s="114" t="s">
        <v>282</v>
      </c>
      <c r="H514" s="114" t="s">
        <v>20</v>
      </c>
      <c r="I514" s="552">
        <f t="shared" ref="I514:AH514" si="912">I475*$F$20</f>
        <v>0</v>
      </c>
      <c r="J514" s="552">
        <f t="shared" si="912"/>
        <v>161.63017031630167</v>
      </c>
      <c r="K514" s="552">
        <f t="shared" si="912"/>
        <v>467.16092457420928</v>
      </c>
      <c r="L514" s="552">
        <f t="shared" si="912"/>
        <v>1050.148515815132</v>
      </c>
      <c r="M514" s="552">
        <f t="shared" si="912"/>
        <v>1633.4593674026282</v>
      </c>
      <c r="N514" s="552">
        <f t="shared" si="912"/>
        <v>2216.7950853316938</v>
      </c>
      <c r="O514" s="552">
        <f t="shared" si="912"/>
        <v>2799.7826786626065</v>
      </c>
      <c r="P514" s="552">
        <f t="shared" si="912"/>
        <v>3383.441672672026</v>
      </c>
      <c r="Q514" s="552">
        <f t="shared" si="912"/>
        <v>3833.5195851620883</v>
      </c>
      <c r="R514" s="552">
        <f t="shared" si="912"/>
        <v>4283.672214251982</v>
      </c>
      <c r="S514" s="552">
        <f t="shared" si="912"/>
        <v>4733.7505602984129</v>
      </c>
      <c r="T514" s="552">
        <f t="shared" si="912"/>
        <v>5183.8296727690458</v>
      </c>
      <c r="U514" s="552">
        <f t="shared" si="912"/>
        <v>5634.5072998801061</v>
      </c>
      <c r="V514" s="552">
        <f t="shared" si="912"/>
        <v>5857.8828444517603</v>
      </c>
      <c r="W514" s="552">
        <f t="shared" si="912"/>
        <v>5918.6815704277733</v>
      </c>
      <c r="X514" s="552">
        <f t="shared" si="912"/>
        <v>5979.4803954376448</v>
      </c>
      <c r="Y514" s="552">
        <f t="shared" si="912"/>
        <v>6040.2793290491609</v>
      </c>
      <c r="Z514" s="552">
        <f t="shared" si="912"/>
        <v>6101.2524486113025</v>
      </c>
      <c r="AA514" s="552">
        <f t="shared" si="912"/>
        <v>6162.0516317353076</v>
      </c>
      <c r="AB514" s="552">
        <f t="shared" si="912"/>
        <v>6223.0250250303425</v>
      </c>
      <c r="AC514" s="552">
        <f t="shared" si="912"/>
        <v>6283.824506481048</v>
      </c>
      <c r="AD514" s="552">
        <f t="shared" si="912"/>
        <v>6344.6241576983412</v>
      </c>
      <c r="AE514" s="552">
        <f t="shared" si="912"/>
        <v>6405.5980633908512</v>
      </c>
      <c r="AF514" s="552">
        <f t="shared" si="912"/>
        <v>6466.3981020666615</v>
      </c>
      <c r="AG514" s="552">
        <f t="shared" si="912"/>
        <v>6527.1983604175402</v>
      </c>
      <c r="AH514" s="727">
        <f t="shared" si="912"/>
        <v>6588.1729290606563</v>
      </c>
      <c r="AI514" s="18"/>
      <c r="AJ514" s="18"/>
      <c r="AK514" s="18"/>
      <c r="AL514" s="18"/>
      <c r="AM514" s="18"/>
      <c r="AN514" s="18"/>
    </row>
    <row r="515" spans="2:40" ht="21.9" customHeight="1" x14ac:dyDescent="0.25">
      <c r="B515" s="229"/>
      <c r="C515" s="690"/>
      <c r="D515" s="690"/>
      <c r="E515" s="1325"/>
      <c r="F515" s="114"/>
      <c r="G515" s="114"/>
      <c r="H515" s="122" t="s">
        <v>19</v>
      </c>
      <c r="I515" s="552">
        <f t="shared" ref="I515:AH515" si="913">I475*$F$21</f>
        <v>0</v>
      </c>
      <c r="J515" s="552">
        <f t="shared" si="913"/>
        <v>646.52068126520669</v>
      </c>
      <c r="K515" s="552">
        <f t="shared" si="913"/>
        <v>1868.6436982968371</v>
      </c>
      <c r="L515" s="552">
        <f t="shared" si="913"/>
        <v>4200.5940632605279</v>
      </c>
      <c r="M515" s="552">
        <f t="shared" si="913"/>
        <v>6533.8374696105129</v>
      </c>
      <c r="N515" s="552">
        <f t="shared" si="913"/>
        <v>8867.1803413267753</v>
      </c>
      <c r="O515" s="552">
        <f t="shared" si="913"/>
        <v>11199.130714650426</v>
      </c>
      <c r="P515" s="552">
        <f t="shared" si="913"/>
        <v>13533.766690688104</v>
      </c>
      <c r="Q515" s="552">
        <f t="shared" si="913"/>
        <v>15334.078340648353</v>
      </c>
      <c r="R515" s="552">
        <f t="shared" si="913"/>
        <v>17134.688857007928</v>
      </c>
      <c r="S515" s="552">
        <f t="shared" si="913"/>
        <v>18935.002241193652</v>
      </c>
      <c r="T515" s="552">
        <f t="shared" si="913"/>
        <v>20735.318691076183</v>
      </c>
      <c r="U515" s="552">
        <f t="shared" si="913"/>
        <v>22538.029199520424</v>
      </c>
      <c r="V515" s="552">
        <f t="shared" si="913"/>
        <v>23431.531377807041</v>
      </c>
      <c r="W515" s="552">
        <f t="shared" si="913"/>
        <v>23674.726281711093</v>
      </c>
      <c r="X515" s="552">
        <f t="shared" si="913"/>
        <v>23917.921581750579</v>
      </c>
      <c r="Y515" s="552">
        <f t="shared" si="913"/>
        <v>24161.117316196644</v>
      </c>
      <c r="Z515" s="552">
        <f t="shared" si="913"/>
        <v>24405.00979444521</v>
      </c>
      <c r="AA515" s="552">
        <f t="shared" si="913"/>
        <v>24648.206526941231</v>
      </c>
      <c r="AB515" s="552">
        <f t="shared" si="913"/>
        <v>24892.10010012137</v>
      </c>
      <c r="AC515" s="552">
        <f t="shared" si="913"/>
        <v>25135.298025924192</v>
      </c>
      <c r="AD515" s="552">
        <f t="shared" si="913"/>
        <v>25378.496630793365</v>
      </c>
      <c r="AE515" s="552">
        <f t="shared" si="913"/>
        <v>25622.392253563405</v>
      </c>
      <c r="AF515" s="552">
        <f t="shared" si="913"/>
        <v>25865.592408266646</v>
      </c>
      <c r="AG515" s="552">
        <f t="shared" si="913"/>
        <v>26108.793441670161</v>
      </c>
      <c r="AH515" s="727">
        <f t="shared" si="913"/>
        <v>26352.691716242625</v>
      </c>
      <c r="AI515" s="18"/>
      <c r="AJ515" s="18"/>
      <c r="AK515" s="18"/>
      <c r="AL515" s="18"/>
      <c r="AM515" s="18"/>
      <c r="AN515" s="18"/>
    </row>
    <row r="516" spans="2:40" ht="21.9" customHeight="1" x14ac:dyDescent="0.25">
      <c r="B516" s="229"/>
      <c r="C516" s="690"/>
      <c r="D516" s="690"/>
      <c r="E516" s="1325"/>
      <c r="F516" s="114"/>
      <c r="G516" s="114"/>
      <c r="H516" s="695" t="s">
        <v>25</v>
      </c>
      <c r="I516" s="552">
        <f t="shared" ref="I516:AH516" si="914">SUM(I514:I515)</f>
        <v>0</v>
      </c>
      <c r="J516" s="552">
        <f t="shared" si="914"/>
        <v>808.15085158150839</v>
      </c>
      <c r="K516" s="552">
        <f t="shared" si="914"/>
        <v>2335.8046228710464</v>
      </c>
      <c r="L516" s="552">
        <f t="shared" si="914"/>
        <v>5250.7425790756597</v>
      </c>
      <c r="M516" s="552">
        <f t="shared" si="914"/>
        <v>8167.2968370131412</v>
      </c>
      <c r="N516" s="552">
        <f t="shared" si="914"/>
        <v>11083.97542665847</v>
      </c>
      <c r="O516" s="552">
        <f t="shared" si="914"/>
        <v>13998.913393313032</v>
      </c>
      <c r="P516" s="552">
        <f t="shared" si="914"/>
        <v>16917.208363360129</v>
      </c>
      <c r="Q516" s="552">
        <f t="shared" si="914"/>
        <v>19167.597925810442</v>
      </c>
      <c r="R516" s="552">
        <f t="shared" si="914"/>
        <v>21418.361071259911</v>
      </c>
      <c r="S516" s="552">
        <f t="shared" si="914"/>
        <v>23668.752801492064</v>
      </c>
      <c r="T516" s="552">
        <f t="shared" si="914"/>
        <v>25919.14836384523</v>
      </c>
      <c r="U516" s="552">
        <f t="shared" si="914"/>
        <v>28172.536499400529</v>
      </c>
      <c r="V516" s="552">
        <f t="shared" si="914"/>
        <v>29289.414222258802</v>
      </c>
      <c r="W516" s="552">
        <f t="shared" si="914"/>
        <v>29593.407852138866</v>
      </c>
      <c r="X516" s="552">
        <f t="shared" si="914"/>
        <v>29897.401977188223</v>
      </c>
      <c r="Y516" s="552">
        <f t="shared" si="914"/>
        <v>30201.396645245804</v>
      </c>
      <c r="Z516" s="552">
        <f t="shared" si="914"/>
        <v>30506.262243056513</v>
      </c>
      <c r="AA516" s="552">
        <f t="shared" si="914"/>
        <v>30810.258158676537</v>
      </c>
      <c r="AB516" s="552">
        <f t="shared" si="914"/>
        <v>31115.125125151713</v>
      </c>
      <c r="AC516" s="552">
        <f t="shared" si="914"/>
        <v>31419.122532405239</v>
      </c>
      <c r="AD516" s="552">
        <f t="shared" si="914"/>
        <v>31723.120788491706</v>
      </c>
      <c r="AE516" s="552">
        <f t="shared" si="914"/>
        <v>32027.990316954256</v>
      </c>
      <c r="AF516" s="552">
        <f t="shared" si="914"/>
        <v>32331.990510333308</v>
      </c>
      <c r="AG516" s="552">
        <f t="shared" si="914"/>
        <v>32635.991802087701</v>
      </c>
      <c r="AH516" s="727">
        <f t="shared" si="914"/>
        <v>32940.864645303285</v>
      </c>
      <c r="AI516" s="18"/>
      <c r="AJ516" s="18"/>
      <c r="AK516" s="18"/>
      <c r="AL516" s="18"/>
      <c r="AM516" s="18"/>
      <c r="AN516" s="18"/>
    </row>
    <row r="517" spans="2:40" ht="21.9" customHeight="1" x14ac:dyDescent="0.25">
      <c r="B517" s="229"/>
      <c r="C517" s="690"/>
      <c r="D517" s="690"/>
      <c r="E517" s="1325"/>
      <c r="F517" s="114" t="s">
        <v>282</v>
      </c>
      <c r="G517" s="114" t="s">
        <v>321</v>
      </c>
      <c r="H517" s="114" t="s">
        <v>20</v>
      </c>
      <c r="I517" s="552">
        <f t="shared" ref="I517:AH517" si="915">I476*$F$20</f>
        <v>0</v>
      </c>
      <c r="J517" s="552">
        <f t="shared" si="915"/>
        <v>421.3929440389295</v>
      </c>
      <c r="K517" s="552">
        <f t="shared" si="915"/>
        <v>1217.9552676399026</v>
      </c>
      <c r="L517" s="552">
        <f t="shared" si="915"/>
        <v>2737.8872019465939</v>
      </c>
      <c r="M517" s="552">
        <f t="shared" si="915"/>
        <v>4258.6619221568517</v>
      </c>
      <c r="N517" s="552">
        <f t="shared" si="915"/>
        <v>5779.5014724719149</v>
      </c>
      <c r="O517" s="552">
        <f t="shared" si="915"/>
        <v>7299.4334122275095</v>
      </c>
      <c r="P517" s="552">
        <f t="shared" si="915"/>
        <v>8821.1157894663538</v>
      </c>
      <c r="Q517" s="552">
        <f t="shared" si="915"/>
        <v>9994.5332041725869</v>
      </c>
      <c r="R517" s="552">
        <f t="shared" si="915"/>
        <v>11168.145415728382</v>
      </c>
      <c r="S517" s="552">
        <f t="shared" si="915"/>
        <v>12341.563960778003</v>
      </c>
      <c r="T517" s="552">
        <f t="shared" si="915"/>
        <v>13514.984504005006</v>
      </c>
      <c r="U517" s="552">
        <f t="shared" si="915"/>
        <v>14689.965460401701</v>
      </c>
      <c r="V517" s="552">
        <f t="shared" si="915"/>
        <v>15272.337415892087</v>
      </c>
      <c r="W517" s="552">
        <f t="shared" si="915"/>
        <v>15430.848380043835</v>
      </c>
      <c r="X517" s="552">
        <f t="shared" si="915"/>
        <v>15589.359602391005</v>
      </c>
      <c r="Y517" s="552">
        <f t="shared" si="915"/>
        <v>15747.871107878167</v>
      </c>
      <c r="Z517" s="552">
        <f t="shared" si="915"/>
        <v>15906.836741022324</v>
      </c>
      <c r="AA517" s="552">
        <f t="shared" si="915"/>
        <v>16065.348897024196</v>
      </c>
      <c r="AB517" s="552">
        <f t="shared" si="915"/>
        <v>16224.315243829104</v>
      </c>
      <c r="AC517" s="552">
        <f t="shared" si="915"/>
        <v>16382.828177611304</v>
      </c>
      <c r="AD517" s="552">
        <f t="shared" si="915"/>
        <v>16541.341553999246</v>
      </c>
      <c r="AE517" s="552">
        <f t="shared" si="915"/>
        <v>16700.309236697572</v>
      </c>
      <c r="AF517" s="552">
        <f t="shared" si="915"/>
        <v>16858.823623245222</v>
      </c>
      <c r="AG517" s="552">
        <f t="shared" si="915"/>
        <v>17017.338582517161</v>
      </c>
      <c r="AH517" s="727">
        <f t="shared" si="915"/>
        <v>17176.307993622424</v>
      </c>
      <c r="AI517" s="18"/>
      <c r="AJ517" s="18"/>
      <c r="AK517" s="18"/>
      <c r="AL517" s="18"/>
      <c r="AM517" s="18"/>
      <c r="AN517" s="18"/>
    </row>
    <row r="518" spans="2:40" ht="21.9" customHeight="1" x14ac:dyDescent="0.25">
      <c r="B518" s="229"/>
      <c r="C518" s="690"/>
      <c r="D518" s="690"/>
      <c r="E518" s="1325"/>
      <c r="F518" s="114"/>
      <c r="G518" s="114"/>
      <c r="H518" s="122" t="s">
        <v>19</v>
      </c>
      <c r="I518" s="552">
        <f t="shared" ref="I518:AH518" si="916">I476*$F$21</f>
        <v>0</v>
      </c>
      <c r="J518" s="552">
        <f t="shared" si="916"/>
        <v>1685.571776155718</v>
      </c>
      <c r="K518" s="552">
        <f t="shared" si="916"/>
        <v>4871.8210705596102</v>
      </c>
      <c r="L518" s="552">
        <f t="shared" si="916"/>
        <v>10951.548807786376</v>
      </c>
      <c r="M518" s="552">
        <f t="shared" si="916"/>
        <v>17034.647688627407</v>
      </c>
      <c r="N518" s="552">
        <f t="shared" si="916"/>
        <v>23118.00588988766</v>
      </c>
      <c r="O518" s="552">
        <f t="shared" si="916"/>
        <v>29197.733648910038</v>
      </c>
      <c r="P518" s="552">
        <f t="shared" si="916"/>
        <v>35284.463157865415</v>
      </c>
      <c r="Q518" s="552">
        <f t="shared" si="916"/>
        <v>39978.132816690348</v>
      </c>
      <c r="R518" s="552">
        <f t="shared" si="916"/>
        <v>44672.58166291353</v>
      </c>
      <c r="S518" s="552">
        <f t="shared" si="916"/>
        <v>49366.255843112012</v>
      </c>
      <c r="T518" s="552">
        <f t="shared" si="916"/>
        <v>54059.938016020023</v>
      </c>
      <c r="U518" s="552">
        <f t="shared" si="916"/>
        <v>58759.861841606806</v>
      </c>
      <c r="V518" s="552">
        <f t="shared" si="916"/>
        <v>61089.349663568348</v>
      </c>
      <c r="W518" s="552">
        <f t="shared" si="916"/>
        <v>61723.393520175341</v>
      </c>
      <c r="X518" s="552">
        <f t="shared" si="916"/>
        <v>62357.43840956402</v>
      </c>
      <c r="Y518" s="552">
        <f t="shared" si="916"/>
        <v>62991.484431512668</v>
      </c>
      <c r="Z518" s="552">
        <f t="shared" si="916"/>
        <v>63627.346964089294</v>
      </c>
      <c r="AA518" s="552">
        <f t="shared" si="916"/>
        <v>64261.395588096784</v>
      </c>
      <c r="AB518" s="552">
        <f t="shared" si="916"/>
        <v>64897.260975316414</v>
      </c>
      <c r="AC518" s="552">
        <f t="shared" si="916"/>
        <v>65531.312710445214</v>
      </c>
      <c r="AD518" s="552">
        <f t="shared" si="916"/>
        <v>66165.366215996983</v>
      </c>
      <c r="AE518" s="552">
        <f t="shared" si="916"/>
        <v>66801.23694679029</v>
      </c>
      <c r="AF518" s="552">
        <f t="shared" si="916"/>
        <v>67435.294492980887</v>
      </c>
      <c r="AG518" s="552">
        <f t="shared" si="916"/>
        <v>68069.354330068643</v>
      </c>
      <c r="AH518" s="727">
        <f t="shared" si="916"/>
        <v>68705.231974489696</v>
      </c>
      <c r="AI518" s="18"/>
      <c r="AJ518" s="18"/>
      <c r="AK518" s="18"/>
      <c r="AL518" s="18"/>
      <c r="AM518" s="18"/>
      <c r="AN518" s="18"/>
    </row>
    <row r="519" spans="2:40" ht="21.9" customHeight="1" x14ac:dyDescent="0.25">
      <c r="B519" s="229"/>
      <c r="C519" s="690"/>
      <c r="D519" s="690"/>
      <c r="E519" s="1325"/>
      <c r="F519" s="114"/>
      <c r="G519" s="114"/>
      <c r="H519" s="695" t="s">
        <v>25</v>
      </c>
      <c r="I519" s="552">
        <f t="shared" ref="I519:AH519" si="917">SUM(I517:I518)</f>
        <v>0</v>
      </c>
      <c r="J519" s="552">
        <f t="shared" si="917"/>
        <v>2106.9647201946473</v>
      </c>
      <c r="K519" s="552">
        <f t="shared" si="917"/>
        <v>6089.7763381995128</v>
      </c>
      <c r="L519" s="552">
        <f t="shared" si="917"/>
        <v>13689.43600973297</v>
      </c>
      <c r="M519" s="552">
        <f t="shared" si="917"/>
        <v>21293.309610784258</v>
      </c>
      <c r="N519" s="552">
        <f t="shared" si="917"/>
        <v>28897.507362359574</v>
      </c>
      <c r="O519" s="552">
        <f t="shared" si="917"/>
        <v>36497.167061137545</v>
      </c>
      <c r="P519" s="552">
        <f t="shared" si="917"/>
        <v>44105.578947331771</v>
      </c>
      <c r="Q519" s="552">
        <f t="shared" si="917"/>
        <v>49972.666020862933</v>
      </c>
      <c r="R519" s="552">
        <f t="shared" si="917"/>
        <v>55840.72707864191</v>
      </c>
      <c r="S519" s="552">
        <f t="shared" si="917"/>
        <v>61707.819803890015</v>
      </c>
      <c r="T519" s="552">
        <f t="shared" si="917"/>
        <v>67574.922520025022</v>
      </c>
      <c r="U519" s="552">
        <f t="shared" si="917"/>
        <v>73449.827302008503</v>
      </c>
      <c r="V519" s="552">
        <f t="shared" si="917"/>
        <v>76361.687079460433</v>
      </c>
      <c r="W519" s="552">
        <f t="shared" si="917"/>
        <v>77154.241900219175</v>
      </c>
      <c r="X519" s="552">
        <f t="shared" si="917"/>
        <v>77946.798011955019</v>
      </c>
      <c r="Y519" s="552">
        <f t="shared" si="917"/>
        <v>78739.355539390832</v>
      </c>
      <c r="Z519" s="552">
        <f t="shared" si="917"/>
        <v>79534.183705111616</v>
      </c>
      <c r="AA519" s="552">
        <f t="shared" si="917"/>
        <v>80326.744485120988</v>
      </c>
      <c r="AB519" s="552">
        <f t="shared" si="917"/>
        <v>81121.576219145514</v>
      </c>
      <c r="AC519" s="552">
        <f t="shared" si="917"/>
        <v>81914.140888056514</v>
      </c>
      <c r="AD519" s="552">
        <f t="shared" si="917"/>
        <v>82706.707769996225</v>
      </c>
      <c r="AE519" s="552">
        <f t="shared" si="917"/>
        <v>83501.546183487866</v>
      </c>
      <c r="AF519" s="552">
        <f t="shared" si="917"/>
        <v>84294.118116226105</v>
      </c>
      <c r="AG519" s="552">
        <f t="shared" si="917"/>
        <v>85086.692912585801</v>
      </c>
      <c r="AH519" s="727">
        <f t="shared" si="917"/>
        <v>85881.53996811212</v>
      </c>
      <c r="AI519" s="18"/>
      <c r="AJ519" s="18"/>
      <c r="AK519" s="18"/>
      <c r="AL519" s="18"/>
      <c r="AM519" s="18"/>
      <c r="AN519" s="18"/>
    </row>
    <row r="520" spans="2:40" ht="21.9" customHeight="1" x14ac:dyDescent="0.25">
      <c r="B520" s="229"/>
      <c r="C520" s="690"/>
      <c r="D520" s="690"/>
      <c r="E520" s="1325"/>
      <c r="F520" s="114" t="s">
        <v>321</v>
      </c>
      <c r="G520" s="114" t="s">
        <v>274</v>
      </c>
      <c r="H520" s="114" t="s">
        <v>20</v>
      </c>
      <c r="I520" s="552">
        <f t="shared" ref="I520:AH520" si="918">I477*$F$20</f>
        <v>559.48905109489056</v>
      </c>
      <c r="J520" s="552">
        <f t="shared" si="918"/>
        <v>826.8688686131386</v>
      </c>
      <c r="K520" s="552">
        <f t="shared" si="918"/>
        <v>1159.97</v>
      </c>
      <c r="L520" s="552">
        <f t="shared" si="918"/>
        <v>1873.2066423357664</v>
      </c>
      <c r="M520" s="552">
        <f t="shared" si="918"/>
        <v>2586.5365328467178</v>
      </c>
      <c r="N520" s="552">
        <f t="shared" si="918"/>
        <v>3300.1648175182731</v>
      </c>
      <c r="O520" s="552">
        <f t="shared" si="918"/>
        <v>4013.4014598542303</v>
      </c>
      <c r="P520" s="552">
        <f t="shared" si="918"/>
        <v>4726.2651094903576</v>
      </c>
      <c r="Q520" s="552">
        <f t="shared" si="918"/>
        <v>6157.6618978341903</v>
      </c>
      <c r="R520" s="552">
        <f t="shared" si="918"/>
        <v>7588.2381024283786</v>
      </c>
      <c r="S520" s="552">
        <f t="shared" si="918"/>
        <v>9019.1313519605792</v>
      </c>
      <c r="T520" s="552">
        <f t="shared" si="918"/>
        <v>10450.528146751742</v>
      </c>
      <c r="U520" s="552">
        <f t="shared" si="918"/>
        <v>11881.551967398467</v>
      </c>
      <c r="V520" s="552">
        <f t="shared" si="918"/>
        <v>12932.775996495415</v>
      </c>
      <c r="W520" s="552">
        <f t="shared" si="918"/>
        <v>13200.155835241938</v>
      </c>
      <c r="X520" s="552">
        <f t="shared" si="918"/>
        <v>13467.535678752838</v>
      </c>
      <c r="Y520" s="552">
        <f t="shared" si="918"/>
        <v>13734.915527970501</v>
      </c>
      <c r="Z520" s="552">
        <f t="shared" si="918"/>
        <v>14001.493449565372</v>
      </c>
      <c r="AA520" s="552">
        <f t="shared" si="918"/>
        <v>14268.873313667833</v>
      </c>
      <c r="AB520" s="552">
        <f t="shared" si="918"/>
        <v>14535.451252877445</v>
      </c>
      <c r="AC520" s="552">
        <f t="shared" si="918"/>
        <v>14802.83113788415</v>
      </c>
      <c r="AD520" s="552">
        <f t="shared" si="918"/>
        <v>15070.211036248296</v>
      </c>
      <c r="AE520" s="552">
        <f t="shared" si="918"/>
        <v>15336.789015681796</v>
      </c>
      <c r="AF520" s="552">
        <f t="shared" si="918"/>
        <v>15604.168948059201</v>
      </c>
      <c r="AG520" s="552">
        <f t="shared" si="918"/>
        <v>15871.548901900138</v>
      </c>
      <c r="AH520" s="727">
        <f t="shared" si="918"/>
        <v>16138.126945917606</v>
      </c>
      <c r="AI520" s="18"/>
      <c r="AJ520" s="18"/>
      <c r="AK520" s="18"/>
      <c r="AL520" s="18"/>
      <c r="AM520" s="18"/>
      <c r="AN520" s="18"/>
    </row>
    <row r="521" spans="2:40" ht="21.9" customHeight="1" x14ac:dyDescent="0.25">
      <c r="B521" s="229"/>
      <c r="C521" s="690"/>
      <c r="D521" s="690"/>
      <c r="E521" s="1325"/>
      <c r="F521" s="114"/>
      <c r="G521" s="114"/>
      <c r="H521" s="114" t="s">
        <v>19</v>
      </c>
      <c r="I521" s="552">
        <f t="shared" ref="I521:AH521" si="919">I477*$F$21</f>
        <v>2237.9562043795622</v>
      </c>
      <c r="J521" s="552">
        <f t="shared" si="919"/>
        <v>3307.4754744525544</v>
      </c>
      <c r="K521" s="552">
        <f t="shared" si="919"/>
        <v>4639.88</v>
      </c>
      <c r="L521" s="552">
        <f t="shared" si="919"/>
        <v>7492.8265693430658</v>
      </c>
      <c r="M521" s="552">
        <f t="shared" si="919"/>
        <v>10346.146131386871</v>
      </c>
      <c r="N521" s="552">
        <f t="shared" si="919"/>
        <v>13200.659270073093</v>
      </c>
      <c r="O521" s="552">
        <f t="shared" si="919"/>
        <v>16053.605839416921</v>
      </c>
      <c r="P521" s="552">
        <f t="shared" si="919"/>
        <v>18905.060437961431</v>
      </c>
      <c r="Q521" s="552">
        <f t="shared" si="919"/>
        <v>24630.647591336761</v>
      </c>
      <c r="R521" s="552">
        <f t="shared" si="919"/>
        <v>30352.952409713514</v>
      </c>
      <c r="S521" s="552">
        <f t="shared" si="919"/>
        <v>36076.525407842317</v>
      </c>
      <c r="T521" s="552">
        <f t="shared" si="919"/>
        <v>41802.112587006966</v>
      </c>
      <c r="U521" s="552">
        <f t="shared" si="919"/>
        <v>47526.207869593869</v>
      </c>
      <c r="V521" s="552">
        <f t="shared" si="919"/>
        <v>51731.103985981659</v>
      </c>
      <c r="W521" s="552">
        <f t="shared" si="919"/>
        <v>52800.623340967752</v>
      </c>
      <c r="X521" s="552">
        <f t="shared" si="919"/>
        <v>53870.142715011352</v>
      </c>
      <c r="Y521" s="552">
        <f t="shared" si="919"/>
        <v>54939.662111882004</v>
      </c>
      <c r="Z521" s="552">
        <f t="shared" si="919"/>
        <v>56005.97379826149</v>
      </c>
      <c r="AA521" s="552">
        <f t="shared" si="919"/>
        <v>57075.493254671332</v>
      </c>
      <c r="AB521" s="552">
        <f t="shared" si="919"/>
        <v>58141.805011509779</v>
      </c>
      <c r="AC521" s="552">
        <f t="shared" si="919"/>
        <v>59211.3245515366</v>
      </c>
      <c r="AD521" s="552">
        <f t="shared" si="919"/>
        <v>60280.844144993185</v>
      </c>
      <c r="AE521" s="552">
        <f t="shared" si="919"/>
        <v>61347.156062727183</v>
      </c>
      <c r="AF521" s="552">
        <f t="shared" si="919"/>
        <v>62416.675792236805</v>
      </c>
      <c r="AG521" s="552">
        <f t="shared" si="919"/>
        <v>63486.195607600552</v>
      </c>
      <c r="AH521" s="727">
        <f t="shared" si="919"/>
        <v>64552.507783670422</v>
      </c>
      <c r="AI521" s="18"/>
      <c r="AJ521" s="18"/>
      <c r="AK521" s="18"/>
      <c r="AL521" s="18"/>
      <c r="AM521" s="18"/>
      <c r="AN521" s="18"/>
    </row>
    <row r="522" spans="2:40" ht="21.9" customHeight="1" x14ac:dyDescent="0.25">
      <c r="B522" s="229"/>
      <c r="C522" s="690"/>
      <c r="D522" s="690"/>
      <c r="E522" s="1325"/>
      <c r="F522" s="250"/>
      <c r="G522" s="250"/>
      <c r="H522" s="696" t="s">
        <v>25</v>
      </c>
      <c r="I522" s="562">
        <f t="shared" ref="I522:AH522" si="920">SUM(I520:I521)</f>
        <v>2797.445255474453</v>
      </c>
      <c r="J522" s="562">
        <f t="shared" si="920"/>
        <v>4134.3443430656935</v>
      </c>
      <c r="K522" s="562">
        <f t="shared" si="920"/>
        <v>5799.85</v>
      </c>
      <c r="L522" s="562">
        <f t="shared" si="920"/>
        <v>9366.0332116788322</v>
      </c>
      <c r="M522" s="562">
        <f t="shared" si="920"/>
        <v>12932.682664233589</v>
      </c>
      <c r="N522" s="562">
        <f t="shared" si="920"/>
        <v>16500.824087591365</v>
      </c>
      <c r="O522" s="562">
        <f t="shared" si="920"/>
        <v>20067.00729927115</v>
      </c>
      <c r="P522" s="562">
        <f t="shared" si="920"/>
        <v>23631.325547451786</v>
      </c>
      <c r="Q522" s="562">
        <f t="shared" si="920"/>
        <v>30788.309489170952</v>
      </c>
      <c r="R522" s="562">
        <f t="shared" si="920"/>
        <v>37941.190512141897</v>
      </c>
      <c r="S522" s="562">
        <f t="shared" si="920"/>
        <v>45095.656759802892</v>
      </c>
      <c r="T522" s="562">
        <f t="shared" si="920"/>
        <v>52252.640733758708</v>
      </c>
      <c r="U522" s="562">
        <f t="shared" si="920"/>
        <v>59407.759836992336</v>
      </c>
      <c r="V522" s="562">
        <f t="shared" si="920"/>
        <v>64663.879982477076</v>
      </c>
      <c r="W522" s="562">
        <f t="shared" si="920"/>
        <v>66000.779176209689</v>
      </c>
      <c r="X522" s="562">
        <f t="shared" si="920"/>
        <v>67337.678393764189</v>
      </c>
      <c r="Y522" s="562">
        <f t="shared" si="920"/>
        <v>68674.577639852505</v>
      </c>
      <c r="Z522" s="562">
        <f t="shared" si="920"/>
        <v>70007.467247826862</v>
      </c>
      <c r="AA522" s="562">
        <f t="shared" si="920"/>
        <v>71344.366568339159</v>
      </c>
      <c r="AB522" s="562">
        <f t="shared" si="920"/>
        <v>72677.256264387222</v>
      </c>
      <c r="AC522" s="562">
        <f t="shared" si="920"/>
        <v>74014.155689420746</v>
      </c>
      <c r="AD522" s="562">
        <f t="shared" si="920"/>
        <v>75351.055181241478</v>
      </c>
      <c r="AE522" s="562">
        <f t="shared" si="920"/>
        <v>76683.945078408986</v>
      </c>
      <c r="AF522" s="562">
        <f t="shared" si="920"/>
        <v>78020.844740296001</v>
      </c>
      <c r="AG522" s="562">
        <f t="shared" si="920"/>
        <v>79357.744509500684</v>
      </c>
      <c r="AH522" s="729">
        <f t="shared" si="920"/>
        <v>80690.634729588026</v>
      </c>
      <c r="AI522" s="18"/>
      <c r="AJ522" s="18"/>
      <c r="AK522" s="18"/>
      <c r="AL522" s="18"/>
      <c r="AM522" s="18"/>
      <c r="AN522" s="18"/>
    </row>
    <row r="523" spans="2:40" ht="21.9" customHeight="1" x14ac:dyDescent="0.25">
      <c r="B523" s="229"/>
      <c r="C523" s="690"/>
      <c r="D523" s="690"/>
      <c r="E523" s="114" t="s">
        <v>282</v>
      </c>
      <c r="F523" s="114" t="s">
        <v>308</v>
      </c>
      <c r="G523" s="114" t="s">
        <v>324</v>
      </c>
      <c r="H523" s="114" t="s">
        <v>20</v>
      </c>
      <c r="I523" s="552">
        <f t="shared" ref="I523:AH523" si="921">I478*$H$20</f>
        <v>4902.9850746268921</v>
      </c>
      <c r="J523" s="552">
        <f t="shared" si="921"/>
        <v>5204.4641791045287</v>
      </c>
      <c r="K523" s="552">
        <f t="shared" si="921"/>
        <v>5603.4309701493657</v>
      </c>
      <c r="L523" s="552">
        <f t="shared" si="921"/>
        <v>6133.634328358512</v>
      </c>
      <c r="M523" s="552">
        <f t="shared" si="921"/>
        <v>6664.0011194037397</v>
      </c>
      <c r="N523" s="552">
        <f t="shared" si="921"/>
        <v>7195.5119403002609</v>
      </c>
      <c r="O523" s="552">
        <f t="shared" si="921"/>
        <v>7725.7152985112934</v>
      </c>
      <c r="P523" s="552">
        <f t="shared" si="921"/>
        <v>8256.490671649748</v>
      </c>
      <c r="Q523" s="552">
        <f t="shared" si="921"/>
        <v>8740.4697761342959</v>
      </c>
      <c r="R523" s="552">
        <f t="shared" si="921"/>
        <v>9224.0402985343953</v>
      </c>
      <c r="S523" s="552">
        <f t="shared" si="921"/>
        <v>9708.046641838313</v>
      </c>
      <c r="T523" s="552">
        <f t="shared" si="921"/>
        <v>10192.025746349376</v>
      </c>
      <c r="U523" s="552">
        <f t="shared" si="921"/>
        <v>10677.720895657092</v>
      </c>
      <c r="V523" s="552">
        <f t="shared" si="921"/>
        <v>11030.082089744759</v>
      </c>
      <c r="W523" s="552">
        <f t="shared" si="921"/>
        <v>11331.56119428885</v>
      </c>
      <c r="X523" s="552">
        <f t="shared" si="921"/>
        <v>11633.04029885319</v>
      </c>
      <c r="Y523" s="552">
        <f t="shared" si="921"/>
        <v>11934.519403443181</v>
      </c>
      <c r="Z523" s="552">
        <f t="shared" si="921"/>
        <v>12236.325373737265</v>
      </c>
      <c r="AA523" s="552">
        <f t="shared" si="921"/>
        <v>12537.804478399978</v>
      </c>
      <c r="AB523" s="552">
        <f t="shared" si="921"/>
        <v>12840.019030874826</v>
      </c>
      <c r="AC523" s="552">
        <f t="shared" si="921"/>
        <v>13141.498135650276</v>
      </c>
      <c r="AD523" s="552">
        <f t="shared" si="921"/>
        <v>13442.9772405025</v>
      </c>
      <c r="AE523" s="552">
        <f t="shared" si="921"/>
        <v>13744.783211121068</v>
      </c>
      <c r="AF523" s="552">
        <f t="shared" si="921"/>
        <v>14046.262316182501</v>
      </c>
      <c r="AG523" s="552">
        <f t="shared" si="921"/>
        <v>14347.741421383649</v>
      </c>
      <c r="AH523" s="727">
        <f t="shared" si="921"/>
        <v>14649.955974517536</v>
      </c>
      <c r="AI523" s="18"/>
      <c r="AJ523" s="18"/>
      <c r="AK523" s="18"/>
      <c r="AL523" s="18"/>
      <c r="AM523" s="18"/>
      <c r="AN523" s="18"/>
    </row>
    <row r="524" spans="2:40" ht="21.9" customHeight="1" x14ac:dyDescent="0.25">
      <c r="B524" s="229"/>
      <c r="C524" s="690"/>
      <c r="D524" s="690"/>
      <c r="E524" s="114"/>
      <c r="F524" s="114"/>
      <c r="G524" s="114"/>
      <c r="H524" s="122" t="s">
        <v>19</v>
      </c>
      <c r="I524" s="552">
        <f t="shared" ref="I524:AH524" si="922">I478*$H$21</f>
        <v>19611.940298507569</v>
      </c>
      <c r="J524" s="552">
        <f t="shared" si="922"/>
        <v>20817.856716418115</v>
      </c>
      <c r="K524" s="552">
        <f t="shared" si="922"/>
        <v>22413.723880597463</v>
      </c>
      <c r="L524" s="552">
        <f t="shared" si="922"/>
        <v>24534.537313434048</v>
      </c>
      <c r="M524" s="552">
        <f t="shared" si="922"/>
        <v>26656.004477614959</v>
      </c>
      <c r="N524" s="552">
        <f t="shared" si="922"/>
        <v>28782.047761201044</v>
      </c>
      <c r="O524" s="552">
        <f t="shared" si="922"/>
        <v>30902.861194045174</v>
      </c>
      <c r="P524" s="552">
        <f t="shared" si="922"/>
        <v>33025.962686598992</v>
      </c>
      <c r="Q524" s="552">
        <f t="shared" si="922"/>
        <v>34961.879104537184</v>
      </c>
      <c r="R524" s="552">
        <f t="shared" si="922"/>
        <v>36896.161194137581</v>
      </c>
      <c r="S524" s="552">
        <f t="shared" si="922"/>
        <v>38832.186567353252</v>
      </c>
      <c r="T524" s="552">
        <f t="shared" si="922"/>
        <v>40768.102985397505</v>
      </c>
      <c r="U524" s="552">
        <f t="shared" si="922"/>
        <v>42710.883582628368</v>
      </c>
      <c r="V524" s="552">
        <f t="shared" si="922"/>
        <v>44120.328358979037</v>
      </c>
      <c r="W524" s="552">
        <f t="shared" si="922"/>
        <v>45326.2447771554</v>
      </c>
      <c r="X524" s="552">
        <f t="shared" si="922"/>
        <v>46532.161195412758</v>
      </c>
      <c r="Y524" s="552">
        <f t="shared" si="922"/>
        <v>47738.077613772723</v>
      </c>
      <c r="Z524" s="552">
        <f t="shared" si="922"/>
        <v>48945.301494949061</v>
      </c>
      <c r="AA524" s="552">
        <f t="shared" si="922"/>
        <v>50151.21791359991</v>
      </c>
      <c r="AB524" s="552">
        <f t="shared" si="922"/>
        <v>51360.076123499304</v>
      </c>
      <c r="AC524" s="552">
        <f t="shared" si="922"/>
        <v>52565.992542601103</v>
      </c>
      <c r="AD524" s="552">
        <f t="shared" si="922"/>
        <v>53771.908962009999</v>
      </c>
      <c r="AE524" s="552">
        <f t="shared" si="922"/>
        <v>54979.132844484273</v>
      </c>
      <c r="AF524" s="552">
        <f t="shared" si="922"/>
        <v>56185.049264730005</v>
      </c>
      <c r="AG524" s="552">
        <f t="shared" si="922"/>
        <v>57390.965685534597</v>
      </c>
      <c r="AH524" s="727">
        <f t="shared" si="922"/>
        <v>58599.823898070143</v>
      </c>
      <c r="AI524" s="18"/>
      <c r="AJ524" s="18"/>
      <c r="AK524" s="18"/>
      <c r="AL524" s="18"/>
      <c r="AM524" s="18"/>
      <c r="AN524" s="18"/>
    </row>
    <row r="525" spans="2:40" ht="21.9" customHeight="1" x14ac:dyDescent="0.25">
      <c r="B525" s="229"/>
      <c r="C525" s="690"/>
      <c r="D525" s="690"/>
      <c r="E525" s="114"/>
      <c r="F525" s="114"/>
      <c r="G525" s="114"/>
      <c r="H525" s="696" t="s">
        <v>25</v>
      </c>
      <c r="I525" s="552">
        <f t="shared" ref="I525:AH525" si="923">SUM(I523:I524)</f>
        <v>24514.925373134462</v>
      </c>
      <c r="J525" s="552">
        <f t="shared" si="923"/>
        <v>26022.320895522644</v>
      </c>
      <c r="K525" s="552">
        <f t="shared" si="923"/>
        <v>28017.154850746829</v>
      </c>
      <c r="L525" s="552">
        <f t="shared" si="923"/>
        <v>30668.17164179256</v>
      </c>
      <c r="M525" s="552">
        <f t="shared" si="923"/>
        <v>33320.005597018695</v>
      </c>
      <c r="N525" s="552">
        <f t="shared" si="923"/>
        <v>35977.559701501305</v>
      </c>
      <c r="O525" s="552">
        <f t="shared" si="923"/>
        <v>38628.576492556465</v>
      </c>
      <c r="P525" s="552">
        <f t="shared" si="923"/>
        <v>41282.453358248742</v>
      </c>
      <c r="Q525" s="552">
        <f t="shared" si="923"/>
        <v>43702.348880671481</v>
      </c>
      <c r="R525" s="552">
        <f t="shared" si="923"/>
        <v>46120.201492671978</v>
      </c>
      <c r="S525" s="552">
        <f t="shared" si="923"/>
        <v>48540.233209191567</v>
      </c>
      <c r="T525" s="552">
        <f t="shared" si="923"/>
        <v>50960.128731746881</v>
      </c>
      <c r="U525" s="552">
        <f t="shared" si="923"/>
        <v>53388.604478285459</v>
      </c>
      <c r="V525" s="552">
        <f t="shared" si="923"/>
        <v>55150.410448723793</v>
      </c>
      <c r="W525" s="552">
        <f t="shared" si="923"/>
        <v>56657.80597144425</v>
      </c>
      <c r="X525" s="552">
        <f t="shared" si="923"/>
        <v>58165.201494265944</v>
      </c>
      <c r="Y525" s="552">
        <f t="shared" si="923"/>
        <v>59672.5970172159</v>
      </c>
      <c r="Z525" s="552">
        <f t="shared" si="923"/>
        <v>61181.626868686326</v>
      </c>
      <c r="AA525" s="552">
        <f t="shared" si="923"/>
        <v>62689.02239199989</v>
      </c>
      <c r="AB525" s="552">
        <f t="shared" si="923"/>
        <v>64200.095154374132</v>
      </c>
      <c r="AC525" s="552">
        <f t="shared" si="923"/>
        <v>65707.490678251372</v>
      </c>
      <c r="AD525" s="552">
        <f t="shared" si="923"/>
        <v>67214.886202512498</v>
      </c>
      <c r="AE525" s="552">
        <f t="shared" si="923"/>
        <v>68723.916055605339</v>
      </c>
      <c r="AF525" s="552">
        <f t="shared" si="923"/>
        <v>70231.311580912501</v>
      </c>
      <c r="AG525" s="552">
        <f t="shared" si="923"/>
        <v>71738.707106918242</v>
      </c>
      <c r="AH525" s="727">
        <f t="shared" si="923"/>
        <v>73249.779872587678</v>
      </c>
      <c r="AI525" s="18"/>
      <c r="AJ525" s="18"/>
      <c r="AK525" s="18"/>
      <c r="AL525" s="18"/>
      <c r="AM525" s="18"/>
      <c r="AN525" s="18"/>
    </row>
    <row r="526" spans="2:40" ht="21.9" customHeight="1" x14ac:dyDescent="0.25">
      <c r="B526" s="229"/>
      <c r="C526" s="690"/>
      <c r="D526" s="690"/>
      <c r="E526" s="217" t="s">
        <v>321</v>
      </c>
      <c r="F526" s="217" t="s">
        <v>318</v>
      </c>
      <c r="G526" s="217" t="s">
        <v>308</v>
      </c>
      <c r="H526" s="114" t="s">
        <v>20</v>
      </c>
      <c r="I526" s="552">
        <f t="shared" ref="I526:AH526" si="924">I479*$I$20</f>
        <v>0</v>
      </c>
      <c r="J526" s="552">
        <f t="shared" si="924"/>
        <v>5101.339059726276</v>
      </c>
      <c r="K526" s="552">
        <f t="shared" si="924"/>
        <v>5492.4008671834954</v>
      </c>
      <c r="L526" s="552">
        <f t="shared" si="924"/>
        <v>6012.0997817210973</v>
      </c>
      <c r="M526" s="552">
        <f t="shared" si="924"/>
        <v>6531.9608526489756</v>
      </c>
      <c r="N526" s="552">
        <f t="shared" si="924"/>
        <v>7052.9474180273164</v>
      </c>
      <c r="O526" s="552">
        <f t="shared" si="924"/>
        <v>7572.6605668699285</v>
      </c>
      <c r="P526" s="552">
        <f t="shared" si="924"/>
        <v>8092.9498332352705</v>
      </c>
      <c r="Q526" s="552">
        <f t="shared" si="924"/>
        <v>8567.3912524226034</v>
      </c>
      <c r="R526" s="552">
        <f t="shared" si="924"/>
        <v>9041.4706500705815</v>
      </c>
      <c r="S526" s="552">
        <f t="shared" si="924"/>
        <v>9516.0397967827939</v>
      </c>
      <c r="T526" s="552">
        <f t="shared" si="924"/>
        <v>9990.6811047047904</v>
      </c>
      <c r="U526" s="552">
        <f t="shared" si="924"/>
        <v>10467.159220204936</v>
      </c>
      <c r="V526" s="552">
        <f t="shared" si="924"/>
        <v>10812.974278537011</v>
      </c>
      <c r="W526" s="552">
        <f t="shared" si="924"/>
        <v>11108.980747432834</v>
      </c>
      <c r="X526" s="552">
        <f t="shared" si="924"/>
        <v>11405.139875716137</v>
      </c>
      <c r="Y526" s="552">
        <f t="shared" si="924"/>
        <v>11701.492317838414</v>
      </c>
      <c r="Z526" s="552">
        <f t="shared" si="924"/>
        <v>11998.409806033393</v>
      </c>
      <c r="AA526" s="552">
        <f t="shared" si="924"/>
        <v>12295.310454487368</v>
      </c>
      <c r="AB526" s="552">
        <f t="shared" si="924"/>
        <v>12593.315958196814</v>
      </c>
      <c r="AC526" s="552">
        <f t="shared" si="924"/>
        <v>12891.066432935495</v>
      </c>
      <c r="AD526" s="552">
        <f t="shared" si="924"/>
        <v>13189.395602839712</v>
      </c>
      <c r="AE526" s="552">
        <f t="shared" si="924"/>
        <v>13488.759082304518</v>
      </c>
      <c r="AF526" s="552">
        <f t="shared" si="924"/>
        <v>13788.665254027197</v>
      </c>
      <c r="AG526" s="552">
        <f t="shared" si="924"/>
        <v>14089.624653522907</v>
      </c>
      <c r="AH526" s="727">
        <f t="shared" si="924"/>
        <v>14392.598010444095</v>
      </c>
      <c r="AI526" s="18"/>
      <c r="AJ526" s="18"/>
      <c r="AK526" s="18"/>
      <c r="AL526" s="18"/>
      <c r="AM526" s="18"/>
      <c r="AN526" s="18"/>
    </row>
    <row r="527" spans="2:40" ht="21.9" customHeight="1" x14ac:dyDescent="0.25">
      <c r="B527" s="229"/>
      <c r="C527" s="690"/>
      <c r="D527" s="690"/>
      <c r="E527" s="114"/>
      <c r="F527" s="114"/>
      <c r="G527" s="114"/>
      <c r="H527" s="122" t="s">
        <v>19</v>
      </c>
      <c r="I527" s="552">
        <f t="shared" ref="I527:AH527" si="925">I479*$I$21</f>
        <v>0</v>
      </c>
      <c r="J527" s="552">
        <f t="shared" si="925"/>
        <v>20405.356238905104</v>
      </c>
      <c r="K527" s="552">
        <f t="shared" si="925"/>
        <v>21969.603468733982</v>
      </c>
      <c r="L527" s="552">
        <f t="shared" si="925"/>
        <v>24048.399126884389</v>
      </c>
      <c r="M527" s="552">
        <f t="shared" si="925"/>
        <v>26127.843410595902</v>
      </c>
      <c r="N527" s="552">
        <f t="shared" si="925"/>
        <v>28211.789672109266</v>
      </c>
      <c r="O527" s="552">
        <f t="shared" si="925"/>
        <v>30290.642267479714</v>
      </c>
      <c r="P527" s="552">
        <f t="shared" si="925"/>
        <v>32371.799332941082</v>
      </c>
      <c r="Q527" s="552">
        <f t="shared" si="925"/>
        <v>34269.565009690414</v>
      </c>
      <c r="R527" s="552">
        <f t="shared" si="925"/>
        <v>36165.882600282326</v>
      </c>
      <c r="S527" s="552">
        <f t="shared" si="925"/>
        <v>38064.159187131176</v>
      </c>
      <c r="T527" s="552">
        <f t="shared" si="925"/>
        <v>39962.724418819162</v>
      </c>
      <c r="U527" s="552">
        <f t="shared" si="925"/>
        <v>41868.636880819744</v>
      </c>
      <c r="V527" s="552">
        <f t="shared" si="925"/>
        <v>43251.897114148043</v>
      </c>
      <c r="W527" s="552">
        <f t="shared" si="925"/>
        <v>44435.922989731334</v>
      </c>
      <c r="X527" s="552">
        <f t="shared" si="925"/>
        <v>45620.559502864548</v>
      </c>
      <c r="Y527" s="552">
        <f t="shared" si="925"/>
        <v>46805.969271353657</v>
      </c>
      <c r="Z527" s="552">
        <f t="shared" si="925"/>
        <v>47993.639224133571</v>
      </c>
      <c r="AA527" s="552">
        <f t="shared" si="925"/>
        <v>49181.241817949471</v>
      </c>
      <c r="AB527" s="552">
        <f t="shared" si="925"/>
        <v>50373.263832787256</v>
      </c>
      <c r="AC527" s="552">
        <f t="shared" si="925"/>
        <v>51564.26573174198</v>
      </c>
      <c r="AD527" s="552">
        <f t="shared" si="925"/>
        <v>52757.582411358846</v>
      </c>
      <c r="AE527" s="552">
        <f t="shared" si="925"/>
        <v>53955.03632921807</v>
      </c>
      <c r="AF527" s="552">
        <f t="shared" si="925"/>
        <v>55154.661016108788</v>
      </c>
      <c r="AG527" s="552">
        <f t="shared" si="925"/>
        <v>56358.49861409163</v>
      </c>
      <c r="AH527" s="727">
        <f t="shared" si="925"/>
        <v>57570.39204177638</v>
      </c>
      <c r="AI527" s="18"/>
      <c r="AJ527" s="18"/>
      <c r="AK527" s="18"/>
      <c r="AL527" s="18"/>
      <c r="AM527" s="18"/>
      <c r="AN527" s="18"/>
    </row>
    <row r="528" spans="2:40" ht="21.9" customHeight="1" x14ac:dyDescent="0.25">
      <c r="B528" s="229"/>
      <c r="C528" s="690"/>
      <c r="D528" s="690"/>
      <c r="E528" s="250"/>
      <c r="F528" s="250"/>
      <c r="G528" s="250"/>
      <c r="H528" s="696" t="s">
        <v>25</v>
      </c>
      <c r="I528" s="552">
        <f t="shared" ref="I528:AH528" si="926">SUM(I526:I527)</f>
        <v>0</v>
      </c>
      <c r="J528" s="552">
        <f t="shared" si="926"/>
        <v>25506.695298631381</v>
      </c>
      <c r="K528" s="552">
        <f t="shared" si="926"/>
        <v>27462.004335917478</v>
      </c>
      <c r="L528" s="552">
        <f t="shared" si="926"/>
        <v>30060.498908605485</v>
      </c>
      <c r="M528" s="552">
        <f t="shared" si="926"/>
        <v>32659.804263244878</v>
      </c>
      <c r="N528" s="552">
        <f t="shared" si="926"/>
        <v>35264.737090136579</v>
      </c>
      <c r="O528" s="552">
        <f t="shared" si="926"/>
        <v>37863.302834349641</v>
      </c>
      <c r="P528" s="552">
        <f t="shared" si="926"/>
        <v>40464.749166176349</v>
      </c>
      <c r="Q528" s="552">
        <f t="shared" si="926"/>
        <v>42836.956262113017</v>
      </c>
      <c r="R528" s="552">
        <f t="shared" si="926"/>
        <v>45207.353250352906</v>
      </c>
      <c r="S528" s="552">
        <f t="shared" si="926"/>
        <v>47580.198983913971</v>
      </c>
      <c r="T528" s="552">
        <f t="shared" si="926"/>
        <v>49953.40552352395</v>
      </c>
      <c r="U528" s="552">
        <f t="shared" si="926"/>
        <v>52335.79610102468</v>
      </c>
      <c r="V528" s="552">
        <f t="shared" si="926"/>
        <v>54064.871392685054</v>
      </c>
      <c r="W528" s="552">
        <f t="shared" si="926"/>
        <v>55544.903737164168</v>
      </c>
      <c r="X528" s="552">
        <f t="shared" si="926"/>
        <v>57025.699378580684</v>
      </c>
      <c r="Y528" s="552">
        <f t="shared" si="926"/>
        <v>58507.461589192069</v>
      </c>
      <c r="Z528" s="552">
        <f t="shared" si="926"/>
        <v>59992.049030166963</v>
      </c>
      <c r="AA528" s="552">
        <f t="shared" si="926"/>
        <v>61476.552272436835</v>
      </c>
      <c r="AB528" s="552">
        <f t="shared" si="926"/>
        <v>62966.579790984069</v>
      </c>
      <c r="AC528" s="552">
        <f t="shared" si="926"/>
        <v>64455.332164677471</v>
      </c>
      <c r="AD528" s="552">
        <f t="shared" si="926"/>
        <v>65946.978014198554</v>
      </c>
      <c r="AE528" s="552">
        <f t="shared" si="926"/>
        <v>67443.795411522588</v>
      </c>
      <c r="AF528" s="552">
        <f t="shared" si="926"/>
        <v>68943.326270135993</v>
      </c>
      <c r="AG528" s="552">
        <f t="shared" si="926"/>
        <v>70448.123267614545</v>
      </c>
      <c r="AH528" s="727">
        <f t="shared" si="926"/>
        <v>71962.99005222047</v>
      </c>
      <c r="AI528" s="18"/>
      <c r="AJ528" s="18"/>
      <c r="AK528" s="18"/>
      <c r="AL528" s="18"/>
      <c r="AM528" s="18"/>
      <c r="AN528" s="18"/>
    </row>
    <row r="529" spans="2:40" ht="21.9" customHeight="1" x14ac:dyDescent="0.25">
      <c r="B529" s="229"/>
      <c r="C529" s="690"/>
      <c r="D529" s="690"/>
      <c r="E529" s="217" t="s">
        <v>333</v>
      </c>
      <c r="F529" s="217" t="s">
        <v>319</v>
      </c>
      <c r="G529" s="217" t="s">
        <v>308</v>
      </c>
      <c r="H529" s="114" t="s">
        <v>20</v>
      </c>
      <c r="I529" s="552">
        <f t="shared" ref="I529:AH529" si="927">I480*$J$20</f>
        <v>7639.4156932014657</v>
      </c>
      <c r="J529" s="552">
        <f t="shared" si="927"/>
        <v>7744.3559527607358</v>
      </c>
      <c r="K529" s="552">
        <f t="shared" si="927"/>
        <v>7925.7637583677661</v>
      </c>
      <c r="L529" s="552">
        <f t="shared" si="927"/>
        <v>8174.8631035683156</v>
      </c>
      <c r="M529" s="552">
        <f t="shared" si="927"/>
        <v>8424.1369777815653</v>
      </c>
      <c r="N529" s="552">
        <f t="shared" si="927"/>
        <v>8673.8616986923535</v>
      </c>
      <c r="O529" s="552">
        <f t="shared" si="927"/>
        <v>8923.2352975770136</v>
      </c>
      <c r="P529" s="552">
        <f t="shared" si="927"/>
        <v>9173.6313285089036</v>
      </c>
      <c r="Q529" s="552">
        <f t="shared" si="927"/>
        <v>9347.387684022031</v>
      </c>
      <c r="R529" s="552">
        <f t="shared" si="927"/>
        <v>9521.2752470407122</v>
      </c>
      <c r="S529" s="552">
        <f t="shared" si="927"/>
        <v>9695.313817216198</v>
      </c>
      <c r="T529" s="552">
        <f t="shared" si="927"/>
        <v>9869.4622698900803</v>
      </c>
      <c r="U529" s="552">
        <f t="shared" si="927"/>
        <v>10045.028912785612</v>
      </c>
      <c r="V529" s="552">
        <f t="shared" si="927"/>
        <v>10150.69107971232</v>
      </c>
      <c r="W529" s="552">
        <f t="shared" si="927"/>
        <v>10256.437454146959</v>
      </c>
      <c r="X529" s="552">
        <f t="shared" si="927"/>
        <v>10362.276210157072</v>
      </c>
      <c r="Y529" s="552">
        <f t="shared" si="927"/>
        <v>10468.216212715401</v>
      </c>
      <c r="Z529" s="552">
        <f t="shared" si="927"/>
        <v>10574.996944228373</v>
      </c>
      <c r="AA529" s="552">
        <f t="shared" si="927"/>
        <v>10681.169954903035</v>
      </c>
      <c r="AB529" s="552">
        <f t="shared" si="927"/>
        <v>10787.884490379989</v>
      </c>
      <c r="AC529" s="552">
        <f t="shared" si="927"/>
        <v>10894.335557002016</v>
      </c>
      <c r="AD529" s="552">
        <f t="shared" si="927"/>
        <v>11000.944711841441</v>
      </c>
      <c r="AE529" s="552">
        <f t="shared" si="927"/>
        <v>11108.461331150073</v>
      </c>
      <c r="AF529" s="552">
        <f t="shared" si="927"/>
        <v>11215.431913437325</v>
      </c>
      <c r="AG529" s="552">
        <f t="shared" si="927"/>
        <v>11322.606946953832</v>
      </c>
      <c r="AH529" s="727">
        <f t="shared" si="927"/>
        <v>11430.417600813294</v>
      </c>
      <c r="AI529" s="18"/>
      <c r="AJ529" s="18"/>
      <c r="AK529" s="18"/>
      <c r="AL529" s="18"/>
      <c r="AM529" s="18"/>
      <c r="AN529" s="18"/>
    </row>
    <row r="530" spans="2:40" ht="21.9" customHeight="1" x14ac:dyDescent="0.25">
      <c r="B530" s="229"/>
      <c r="C530" s="690"/>
      <c r="D530" s="690"/>
      <c r="E530" s="114"/>
      <c r="F530" s="114"/>
      <c r="G530" s="114"/>
      <c r="H530" s="122" t="s">
        <v>19</v>
      </c>
      <c r="I530" s="552">
        <f t="shared" ref="I530:AH530" si="928">I480*$J$21</f>
        <v>30557.662772805863</v>
      </c>
      <c r="J530" s="552">
        <f t="shared" si="928"/>
        <v>30977.423811042943</v>
      </c>
      <c r="K530" s="552">
        <f t="shared" si="928"/>
        <v>31703.055033471064</v>
      </c>
      <c r="L530" s="552">
        <f t="shared" si="928"/>
        <v>32699.452414273263</v>
      </c>
      <c r="M530" s="552">
        <f t="shared" si="928"/>
        <v>33696.547911126261</v>
      </c>
      <c r="N530" s="552">
        <f t="shared" si="928"/>
        <v>34695.446794769414</v>
      </c>
      <c r="O530" s="552">
        <f t="shared" si="928"/>
        <v>35692.941190308055</v>
      </c>
      <c r="P530" s="552">
        <f t="shared" si="928"/>
        <v>36694.525314035614</v>
      </c>
      <c r="Q530" s="552">
        <f t="shared" si="928"/>
        <v>37389.550736088124</v>
      </c>
      <c r="R530" s="552">
        <f t="shared" si="928"/>
        <v>38085.100988162849</v>
      </c>
      <c r="S530" s="552">
        <f t="shared" si="928"/>
        <v>38781.255268864792</v>
      </c>
      <c r="T530" s="552">
        <f t="shared" si="928"/>
        <v>39477.849079560321</v>
      </c>
      <c r="U530" s="552">
        <f t="shared" si="928"/>
        <v>40180.115651142449</v>
      </c>
      <c r="V530" s="552">
        <f t="shared" si="928"/>
        <v>40602.76431884928</v>
      </c>
      <c r="W530" s="552">
        <f t="shared" si="928"/>
        <v>41025.749816587835</v>
      </c>
      <c r="X530" s="552">
        <f t="shared" si="928"/>
        <v>41449.104840628286</v>
      </c>
      <c r="Y530" s="552">
        <f t="shared" si="928"/>
        <v>41872.864850861602</v>
      </c>
      <c r="Z530" s="552">
        <f t="shared" si="928"/>
        <v>42299.987776913491</v>
      </c>
      <c r="AA530" s="552">
        <f t="shared" si="928"/>
        <v>42724.679819612138</v>
      </c>
      <c r="AB530" s="552">
        <f t="shared" si="928"/>
        <v>43151.537961519956</v>
      </c>
      <c r="AC530" s="552">
        <f t="shared" si="928"/>
        <v>43577.342228008063</v>
      </c>
      <c r="AD530" s="552">
        <f t="shared" si="928"/>
        <v>44003.778847365764</v>
      </c>
      <c r="AE530" s="552">
        <f t="shared" si="928"/>
        <v>44433.84532460029</v>
      </c>
      <c r="AF530" s="552">
        <f t="shared" si="928"/>
        <v>44861.727653749302</v>
      </c>
      <c r="AG530" s="552">
        <f t="shared" si="928"/>
        <v>45290.42778781533</v>
      </c>
      <c r="AH530" s="727">
        <f t="shared" si="928"/>
        <v>45721.670403253178</v>
      </c>
      <c r="AI530" s="18"/>
      <c r="AJ530" s="18"/>
      <c r="AK530" s="18"/>
      <c r="AL530" s="18"/>
      <c r="AM530" s="18"/>
      <c r="AN530" s="18"/>
    </row>
    <row r="531" spans="2:40" ht="21.9" customHeight="1" x14ac:dyDescent="0.25">
      <c r="B531" s="229"/>
      <c r="C531" s="690"/>
      <c r="D531" s="690"/>
      <c r="E531" s="250"/>
      <c r="F531" s="250"/>
      <c r="G531" s="250"/>
      <c r="H531" s="696" t="s">
        <v>25</v>
      </c>
      <c r="I531" s="552">
        <f t="shared" ref="I531:AH531" si="929">SUM(I529:I530)</f>
        <v>38197.078466007326</v>
      </c>
      <c r="J531" s="552">
        <f t="shared" si="929"/>
        <v>38721.779763803679</v>
      </c>
      <c r="K531" s="552">
        <f t="shared" si="929"/>
        <v>39628.818791838828</v>
      </c>
      <c r="L531" s="552">
        <f t="shared" si="929"/>
        <v>40874.315517841576</v>
      </c>
      <c r="M531" s="552">
        <f t="shared" si="929"/>
        <v>42120.684888907825</v>
      </c>
      <c r="N531" s="552">
        <f t="shared" si="929"/>
        <v>43369.308493461765</v>
      </c>
      <c r="O531" s="552">
        <f t="shared" si="929"/>
        <v>44616.176487885066</v>
      </c>
      <c r="P531" s="552">
        <f t="shared" si="929"/>
        <v>45868.15664254452</v>
      </c>
      <c r="Q531" s="552">
        <f t="shared" si="929"/>
        <v>46736.938420110157</v>
      </c>
      <c r="R531" s="552">
        <f t="shared" si="929"/>
        <v>47606.376235203563</v>
      </c>
      <c r="S531" s="552">
        <f t="shared" si="929"/>
        <v>48476.569086080992</v>
      </c>
      <c r="T531" s="552">
        <f t="shared" si="929"/>
        <v>49347.3113494504</v>
      </c>
      <c r="U531" s="552">
        <f t="shared" si="929"/>
        <v>50225.144563928057</v>
      </c>
      <c r="V531" s="552">
        <f t="shared" si="929"/>
        <v>50753.4553985616</v>
      </c>
      <c r="W531" s="552">
        <f t="shared" si="929"/>
        <v>51282.187270734794</v>
      </c>
      <c r="X531" s="552">
        <f t="shared" si="929"/>
        <v>51811.381050785356</v>
      </c>
      <c r="Y531" s="552">
        <f t="shared" si="929"/>
        <v>52341.081063577003</v>
      </c>
      <c r="Z531" s="552">
        <f t="shared" si="929"/>
        <v>52874.984721141867</v>
      </c>
      <c r="AA531" s="552">
        <f t="shared" si="929"/>
        <v>53405.849774515169</v>
      </c>
      <c r="AB531" s="552">
        <f t="shared" si="929"/>
        <v>53939.422451899947</v>
      </c>
      <c r="AC531" s="552">
        <f t="shared" si="929"/>
        <v>54471.677785010077</v>
      </c>
      <c r="AD531" s="552">
        <f t="shared" si="929"/>
        <v>55004.723559207203</v>
      </c>
      <c r="AE531" s="552">
        <f t="shared" si="929"/>
        <v>55542.306655750363</v>
      </c>
      <c r="AF531" s="552">
        <f t="shared" si="929"/>
        <v>56077.159567186623</v>
      </c>
      <c r="AG531" s="552">
        <f t="shared" si="929"/>
        <v>56613.034734769164</v>
      </c>
      <c r="AH531" s="727">
        <f t="shared" si="929"/>
        <v>57152.088004066471</v>
      </c>
      <c r="AI531" s="18"/>
      <c r="AJ531" s="18"/>
      <c r="AK531" s="18"/>
      <c r="AL531" s="18"/>
      <c r="AM531" s="18"/>
      <c r="AN531" s="18"/>
    </row>
    <row r="532" spans="2:40" ht="21.9" customHeight="1" x14ac:dyDescent="0.25">
      <c r="B532" s="229"/>
      <c r="C532" s="690"/>
      <c r="D532" s="690"/>
      <c r="E532" s="114" t="s">
        <v>319</v>
      </c>
      <c r="F532" s="114" t="s">
        <v>276</v>
      </c>
      <c r="G532" s="114" t="s">
        <v>333</v>
      </c>
      <c r="H532" s="114" t="s">
        <v>20</v>
      </c>
      <c r="I532" s="552">
        <f t="shared" ref="I532:AH532" si="930">I481*$K$20</f>
        <v>15656.001865853943</v>
      </c>
      <c r="J532" s="552">
        <f t="shared" si="930"/>
        <v>16107.317732631887</v>
      </c>
      <c r="K532" s="552">
        <f t="shared" si="930"/>
        <v>16595.816748492842</v>
      </c>
      <c r="L532" s="552">
        <f t="shared" si="930"/>
        <v>17243.897794637945</v>
      </c>
      <c r="M532" s="552">
        <f t="shared" si="930"/>
        <v>17892.088836680399</v>
      </c>
      <c r="N532" s="552">
        <f t="shared" si="930"/>
        <v>18540.546594112089</v>
      </c>
      <c r="O532" s="552">
        <f t="shared" si="930"/>
        <v>19188.629380857681</v>
      </c>
      <c r="P532" s="552">
        <f t="shared" si="930"/>
        <v>19836.885439032572</v>
      </c>
      <c r="Q532" s="552">
        <f t="shared" si="930"/>
        <v>20550.209867236288</v>
      </c>
      <c r="R532" s="552">
        <f t="shared" si="930"/>
        <v>21263.301820269371</v>
      </c>
      <c r="S532" s="552">
        <f t="shared" si="930"/>
        <v>21976.631832906849</v>
      </c>
      <c r="T532" s="552">
        <f t="shared" si="930"/>
        <v>22689.966173522935</v>
      </c>
      <c r="U532" s="552">
        <f t="shared" si="930"/>
        <v>23403.713351584247</v>
      </c>
      <c r="V532" s="552">
        <f t="shared" si="930"/>
        <v>23957.40957230932</v>
      </c>
      <c r="W532" s="552">
        <f t="shared" si="930"/>
        <v>24408.746963828617</v>
      </c>
      <c r="X532" s="552">
        <f t="shared" si="930"/>
        <v>24860.088792156639</v>
      </c>
      <c r="Y532" s="552">
        <f t="shared" si="930"/>
        <v>25311.435852326846</v>
      </c>
      <c r="Z532" s="552">
        <f t="shared" si="930"/>
        <v>25762.742091233886</v>
      </c>
      <c r="AA532" s="552">
        <f t="shared" si="930"/>
        <v>26214.102512645564</v>
      </c>
      <c r="AB532" s="552">
        <f t="shared" si="930"/>
        <v>26665.424390327466</v>
      </c>
      <c r="AC532" s="552">
        <f t="shared" si="930"/>
        <v>27116.803070609232</v>
      </c>
      <c r="AD532" s="552">
        <f t="shared" si="930"/>
        <v>27568.193182538416</v>
      </c>
      <c r="AE532" s="552">
        <f t="shared" si="930"/>
        <v>28019.549578412785</v>
      </c>
      <c r="AF532" s="552">
        <f t="shared" si="930"/>
        <v>28470.968298508189</v>
      </c>
      <c r="AG532" s="552">
        <f t="shared" si="930"/>
        <v>28922.404739339792</v>
      </c>
      <c r="AH532" s="727">
        <f t="shared" si="930"/>
        <v>29373.814610668058</v>
      </c>
      <c r="AI532" s="18"/>
      <c r="AJ532" s="18"/>
      <c r="AK532" s="18"/>
      <c r="AL532" s="18"/>
      <c r="AM532" s="18"/>
      <c r="AN532" s="18"/>
    </row>
    <row r="533" spans="2:40" ht="21.9" customHeight="1" x14ac:dyDescent="0.25">
      <c r="B533" s="229"/>
      <c r="C533" s="690"/>
      <c r="D533" s="690"/>
      <c r="E533" s="114"/>
      <c r="F533" s="114"/>
      <c r="G533" s="114"/>
      <c r="H533" s="122" t="s">
        <v>19</v>
      </c>
      <c r="I533" s="552">
        <f t="shared" ref="I533:AH533" si="931">I481*$K$21</f>
        <v>62624.007463415772</v>
      </c>
      <c r="J533" s="552">
        <f t="shared" si="931"/>
        <v>64429.270930527549</v>
      </c>
      <c r="K533" s="552">
        <f t="shared" si="931"/>
        <v>66383.266993971367</v>
      </c>
      <c r="L533" s="552">
        <f t="shared" si="931"/>
        <v>68975.591178551782</v>
      </c>
      <c r="M533" s="552">
        <f t="shared" si="931"/>
        <v>71568.355346721597</v>
      </c>
      <c r="N533" s="552">
        <f t="shared" si="931"/>
        <v>74162.186376448357</v>
      </c>
      <c r="O533" s="552">
        <f t="shared" si="931"/>
        <v>76754.517523430724</v>
      </c>
      <c r="P533" s="552">
        <f t="shared" si="931"/>
        <v>79347.541756130289</v>
      </c>
      <c r="Q533" s="552">
        <f t="shared" si="931"/>
        <v>82200.839468945152</v>
      </c>
      <c r="R533" s="552">
        <f t="shared" si="931"/>
        <v>85053.207281077484</v>
      </c>
      <c r="S533" s="552">
        <f t="shared" si="931"/>
        <v>87906.527331627396</v>
      </c>
      <c r="T533" s="552">
        <f t="shared" si="931"/>
        <v>90759.864694091739</v>
      </c>
      <c r="U533" s="552">
        <f t="shared" si="931"/>
        <v>93614.853406336988</v>
      </c>
      <c r="V533" s="552">
        <f t="shared" si="931"/>
        <v>95829.638289237279</v>
      </c>
      <c r="W533" s="552">
        <f t="shared" si="931"/>
        <v>97634.987855314466</v>
      </c>
      <c r="X533" s="552">
        <f t="shared" si="931"/>
        <v>99440.355168626556</v>
      </c>
      <c r="Y533" s="552">
        <f t="shared" si="931"/>
        <v>101245.74340930738</v>
      </c>
      <c r="Z533" s="552">
        <f t="shared" si="931"/>
        <v>103050.96836493554</v>
      </c>
      <c r="AA533" s="552">
        <f t="shared" si="931"/>
        <v>104856.41005058226</v>
      </c>
      <c r="AB533" s="552">
        <f t="shared" si="931"/>
        <v>106661.69756130986</v>
      </c>
      <c r="AC533" s="552">
        <f t="shared" si="931"/>
        <v>108467.21228243693</v>
      </c>
      <c r="AD533" s="552">
        <f t="shared" si="931"/>
        <v>110272.77273015367</v>
      </c>
      <c r="AE533" s="552">
        <f t="shared" si="931"/>
        <v>112078.19831365114</v>
      </c>
      <c r="AF533" s="552">
        <f t="shared" si="931"/>
        <v>113883.87319403276</v>
      </c>
      <c r="AG533" s="552">
        <f t="shared" si="931"/>
        <v>115689.61895735917</v>
      </c>
      <c r="AH533" s="727">
        <f t="shared" si="931"/>
        <v>117495.25844267223</v>
      </c>
      <c r="AI533" s="18"/>
      <c r="AJ533" s="18"/>
      <c r="AK533" s="18"/>
      <c r="AL533" s="18"/>
      <c r="AM533" s="18"/>
      <c r="AN533" s="18"/>
    </row>
    <row r="534" spans="2:40" ht="21.9" customHeight="1" x14ac:dyDescent="0.25">
      <c r="B534" s="229"/>
      <c r="C534" s="690"/>
      <c r="D534" s="690"/>
      <c r="E534" s="114"/>
      <c r="F534" s="114"/>
      <c r="G534" s="114"/>
      <c r="H534" s="696" t="s">
        <v>25</v>
      </c>
      <c r="I534" s="552">
        <f t="shared" ref="I534:AH534" si="932">SUM(I532:I533)</f>
        <v>78280.009329269713</v>
      </c>
      <c r="J534" s="552">
        <f t="shared" si="932"/>
        <v>80536.588663159433</v>
      </c>
      <c r="K534" s="552">
        <f t="shared" si="932"/>
        <v>82979.083742464209</v>
      </c>
      <c r="L534" s="552">
        <f t="shared" si="932"/>
        <v>86219.488973189727</v>
      </c>
      <c r="M534" s="552">
        <f t="shared" si="932"/>
        <v>89460.444183401996</v>
      </c>
      <c r="N534" s="552">
        <f t="shared" si="932"/>
        <v>92702.73297056045</v>
      </c>
      <c r="O534" s="552">
        <f t="shared" si="932"/>
        <v>95943.146904288413</v>
      </c>
      <c r="P534" s="552">
        <f t="shared" si="932"/>
        <v>99184.427195162862</v>
      </c>
      <c r="Q534" s="552">
        <f t="shared" si="932"/>
        <v>102751.04933618144</v>
      </c>
      <c r="R534" s="552">
        <f t="shared" si="932"/>
        <v>106316.50910134686</v>
      </c>
      <c r="S534" s="552">
        <f t="shared" si="932"/>
        <v>109883.15916453424</v>
      </c>
      <c r="T534" s="552">
        <f t="shared" si="932"/>
        <v>113449.83086761467</v>
      </c>
      <c r="U534" s="552">
        <f t="shared" si="932"/>
        <v>117018.56675792123</v>
      </c>
      <c r="V534" s="552">
        <f t="shared" si="932"/>
        <v>119787.0478615466</v>
      </c>
      <c r="W534" s="552">
        <f t="shared" si="932"/>
        <v>122043.73481914308</v>
      </c>
      <c r="X534" s="552">
        <f t="shared" si="932"/>
        <v>124300.44396078319</v>
      </c>
      <c r="Y534" s="552">
        <f t="shared" si="932"/>
        <v>126557.17926163423</v>
      </c>
      <c r="Z534" s="552">
        <f t="shared" si="932"/>
        <v>128813.71045616943</v>
      </c>
      <c r="AA534" s="552">
        <f t="shared" si="932"/>
        <v>131070.51256322782</v>
      </c>
      <c r="AB534" s="552">
        <f t="shared" si="932"/>
        <v>133327.12195163732</v>
      </c>
      <c r="AC534" s="552">
        <f t="shared" si="932"/>
        <v>135584.01535304615</v>
      </c>
      <c r="AD534" s="552">
        <f t="shared" si="932"/>
        <v>137840.96591269207</v>
      </c>
      <c r="AE534" s="552">
        <f t="shared" si="932"/>
        <v>140097.74789206393</v>
      </c>
      <c r="AF534" s="552">
        <f t="shared" si="932"/>
        <v>142354.84149254096</v>
      </c>
      <c r="AG534" s="552">
        <f t="shared" si="932"/>
        <v>144612.02369669895</v>
      </c>
      <c r="AH534" s="727">
        <f t="shared" si="932"/>
        <v>146869.07305334028</v>
      </c>
      <c r="AI534" s="18"/>
      <c r="AJ534" s="18"/>
      <c r="AK534" s="18"/>
      <c r="AL534" s="18"/>
      <c r="AM534" s="18"/>
      <c r="AN534" s="18"/>
    </row>
    <row r="535" spans="2:40" ht="21.9" customHeight="1" x14ac:dyDescent="0.25">
      <c r="B535" s="229"/>
      <c r="C535" s="690"/>
      <c r="D535" s="690"/>
      <c r="E535" s="114"/>
      <c r="F535" s="114" t="s">
        <v>333</v>
      </c>
      <c r="G535" s="114" t="s">
        <v>323</v>
      </c>
      <c r="H535" s="114" t="s">
        <v>20</v>
      </c>
      <c r="I535" s="552">
        <f t="shared" ref="I535:AH535" si="933">I482*$K$20</f>
        <v>2280.0875564445132</v>
      </c>
      <c r="J535" s="552">
        <f t="shared" si="933"/>
        <v>2344.8000442023558</v>
      </c>
      <c r="K535" s="552">
        <f t="shared" si="933"/>
        <v>2416.6138060840563</v>
      </c>
      <c r="L535" s="552">
        <f t="shared" si="933"/>
        <v>2517.4116853685737</v>
      </c>
      <c r="M535" s="552">
        <f t="shared" si="933"/>
        <v>2618.2275697569798</v>
      </c>
      <c r="N535" s="552">
        <f t="shared" si="933"/>
        <v>2719.0644612335009</v>
      </c>
      <c r="O535" s="552">
        <f t="shared" si="933"/>
        <v>2819.8623600170085</v>
      </c>
      <c r="P535" s="552">
        <f t="shared" si="933"/>
        <v>2920.6662712528696</v>
      </c>
      <c r="Q535" s="552">
        <f t="shared" si="933"/>
        <v>3033.9656875950432</v>
      </c>
      <c r="R535" s="552">
        <f t="shared" si="933"/>
        <v>3147.2261322499976</v>
      </c>
      <c r="S535" s="552">
        <f t="shared" si="933"/>
        <v>3260.5256199193122</v>
      </c>
      <c r="T535" s="552">
        <f t="shared" si="933"/>
        <v>3373.8251645979481</v>
      </c>
      <c r="U535" s="552">
        <f t="shared" si="933"/>
        <v>3487.1427875097856</v>
      </c>
      <c r="V535" s="552">
        <f t="shared" si="933"/>
        <v>3571.4702936663271</v>
      </c>
      <c r="W535" s="552">
        <f t="shared" si="933"/>
        <v>3636.183031883219</v>
      </c>
      <c r="X535" s="552">
        <f t="shared" si="933"/>
        <v>3700.8958194592433</v>
      </c>
      <c r="Y535" s="552">
        <f t="shared" si="933"/>
        <v>3765.6086648842575</v>
      </c>
      <c r="Z535" s="552">
        <f t="shared" si="933"/>
        <v>3830.2885764165712</v>
      </c>
      <c r="AA535" s="552">
        <f t="shared" si="933"/>
        <v>3895.0015682231387</v>
      </c>
      <c r="AB535" s="552">
        <f t="shared" si="933"/>
        <v>3959.6816500586738</v>
      </c>
      <c r="AC535" s="552">
        <f t="shared" si="933"/>
        <v>4024.3948397031727</v>
      </c>
      <c r="AD535" s="552">
        <f t="shared" si="933"/>
        <v>4089.1081522936092</v>
      </c>
      <c r="AE535" s="552">
        <f t="shared" si="933"/>
        <v>4153.7886050029238</v>
      </c>
      <c r="AF535" s="552">
        <f t="shared" si="933"/>
        <v>4218.5022228787202</v>
      </c>
      <c r="AG535" s="552">
        <f t="shared" si="933"/>
        <v>4283.2160285868913</v>
      </c>
      <c r="AH535" s="727">
        <f t="shared" si="933"/>
        <v>4347.8970475896413</v>
      </c>
      <c r="AI535" s="18"/>
      <c r="AJ535" s="18"/>
      <c r="AK535" s="18"/>
      <c r="AL535" s="18"/>
      <c r="AM535" s="18"/>
      <c r="AN535" s="18"/>
    </row>
    <row r="536" spans="2:40" ht="21.9" customHeight="1" x14ac:dyDescent="0.25">
      <c r="B536" s="229"/>
      <c r="C536" s="690"/>
      <c r="D536" s="690"/>
      <c r="E536" s="114"/>
      <c r="F536" s="114"/>
      <c r="G536" s="114"/>
      <c r="H536" s="122" t="s">
        <v>19</v>
      </c>
      <c r="I536" s="552">
        <f t="shared" ref="I536:AH536" si="934">I482*$K$21</f>
        <v>9120.3502257780528</v>
      </c>
      <c r="J536" s="552">
        <f t="shared" si="934"/>
        <v>9379.2001768094233</v>
      </c>
      <c r="K536" s="552">
        <f t="shared" si="934"/>
        <v>9666.455224336225</v>
      </c>
      <c r="L536" s="552">
        <f t="shared" si="934"/>
        <v>10069.646741474295</v>
      </c>
      <c r="M536" s="552">
        <f t="shared" si="934"/>
        <v>10472.910279027919</v>
      </c>
      <c r="N536" s="552">
        <f t="shared" si="934"/>
        <v>10876.257844934004</v>
      </c>
      <c r="O536" s="552">
        <f t="shared" si="934"/>
        <v>11279.449440068034</v>
      </c>
      <c r="P536" s="552">
        <f t="shared" si="934"/>
        <v>11682.665085011478</v>
      </c>
      <c r="Q536" s="552">
        <f t="shared" si="934"/>
        <v>12135.862750380173</v>
      </c>
      <c r="R536" s="552">
        <f t="shared" si="934"/>
        <v>12588.90452899999</v>
      </c>
      <c r="S536" s="552">
        <f t="shared" si="934"/>
        <v>13042.102479677249</v>
      </c>
      <c r="T536" s="552">
        <f t="shared" si="934"/>
        <v>13495.300658391792</v>
      </c>
      <c r="U536" s="552">
        <f t="shared" si="934"/>
        <v>13948.571150039143</v>
      </c>
      <c r="V536" s="552">
        <f t="shared" si="934"/>
        <v>14285.881174665308</v>
      </c>
      <c r="W536" s="552">
        <f t="shared" si="934"/>
        <v>14544.732127532876</v>
      </c>
      <c r="X536" s="552">
        <f t="shared" si="934"/>
        <v>14803.583277836973</v>
      </c>
      <c r="Y536" s="552">
        <f t="shared" si="934"/>
        <v>15062.43465953703</v>
      </c>
      <c r="Z536" s="552">
        <f t="shared" si="934"/>
        <v>15321.154305666285</v>
      </c>
      <c r="AA536" s="552">
        <f t="shared" si="934"/>
        <v>15580.006272892555</v>
      </c>
      <c r="AB536" s="552">
        <f t="shared" si="934"/>
        <v>15838.726600234695</v>
      </c>
      <c r="AC536" s="552">
        <f t="shared" si="934"/>
        <v>16097.579358812691</v>
      </c>
      <c r="AD536" s="552">
        <f t="shared" si="934"/>
        <v>16356.432609174437</v>
      </c>
      <c r="AE536" s="552">
        <f t="shared" si="934"/>
        <v>16615.154420011695</v>
      </c>
      <c r="AF536" s="552">
        <f t="shared" si="934"/>
        <v>16874.008891514881</v>
      </c>
      <c r="AG536" s="552">
        <f t="shared" si="934"/>
        <v>17132.864114347565</v>
      </c>
      <c r="AH536" s="727">
        <f t="shared" si="934"/>
        <v>17391.588190358565</v>
      </c>
      <c r="AI536" s="18"/>
      <c r="AJ536" s="18"/>
      <c r="AK536" s="18"/>
      <c r="AL536" s="18"/>
      <c r="AM536" s="18"/>
      <c r="AN536" s="18"/>
    </row>
    <row r="537" spans="2:40" ht="21.9" customHeight="1" x14ac:dyDescent="0.25">
      <c r="B537" s="229"/>
      <c r="C537" s="690"/>
      <c r="D537" s="690"/>
      <c r="E537" s="114"/>
      <c r="F537" s="114"/>
      <c r="G537" s="114"/>
      <c r="H537" s="696" t="s">
        <v>25</v>
      </c>
      <c r="I537" s="552">
        <f t="shared" ref="I537:AH537" si="935">SUM(I535:I536)</f>
        <v>11400.437782222565</v>
      </c>
      <c r="J537" s="552">
        <f t="shared" si="935"/>
        <v>11724.000221011778</v>
      </c>
      <c r="K537" s="552">
        <f t="shared" si="935"/>
        <v>12083.069030420282</v>
      </c>
      <c r="L537" s="552">
        <f t="shared" si="935"/>
        <v>12587.058426842868</v>
      </c>
      <c r="M537" s="552">
        <f t="shared" si="935"/>
        <v>13091.1378487849</v>
      </c>
      <c r="N537" s="552">
        <f t="shared" si="935"/>
        <v>13595.322306167505</v>
      </c>
      <c r="O537" s="552">
        <f t="shared" si="935"/>
        <v>14099.311800085043</v>
      </c>
      <c r="P537" s="552">
        <f t="shared" si="935"/>
        <v>14603.331356264349</v>
      </c>
      <c r="Q537" s="552">
        <f t="shared" si="935"/>
        <v>15169.828437975215</v>
      </c>
      <c r="R537" s="552">
        <f t="shared" si="935"/>
        <v>15736.130661249988</v>
      </c>
      <c r="S537" s="552">
        <f t="shared" si="935"/>
        <v>16302.628099596561</v>
      </c>
      <c r="T537" s="552">
        <f t="shared" si="935"/>
        <v>16869.125822989739</v>
      </c>
      <c r="U537" s="552">
        <f t="shared" si="935"/>
        <v>17435.713937548928</v>
      </c>
      <c r="V537" s="552">
        <f t="shared" si="935"/>
        <v>17857.351468331635</v>
      </c>
      <c r="W537" s="552">
        <f t="shared" si="935"/>
        <v>18180.915159416094</v>
      </c>
      <c r="X537" s="552">
        <f t="shared" si="935"/>
        <v>18504.479097296215</v>
      </c>
      <c r="Y537" s="552">
        <f t="shared" si="935"/>
        <v>18828.043324421287</v>
      </c>
      <c r="Z537" s="552">
        <f t="shared" si="935"/>
        <v>19151.442882082854</v>
      </c>
      <c r="AA537" s="552">
        <f t="shared" si="935"/>
        <v>19475.007841115694</v>
      </c>
      <c r="AB537" s="552">
        <f t="shared" si="935"/>
        <v>19798.408250293367</v>
      </c>
      <c r="AC537" s="552">
        <f t="shared" si="935"/>
        <v>20121.974198515862</v>
      </c>
      <c r="AD537" s="552">
        <f t="shared" si="935"/>
        <v>20445.540761468044</v>
      </c>
      <c r="AE537" s="552">
        <f t="shared" si="935"/>
        <v>20768.943025014618</v>
      </c>
      <c r="AF537" s="552">
        <f t="shared" si="935"/>
        <v>21092.511114393601</v>
      </c>
      <c r="AG537" s="552">
        <f t="shared" si="935"/>
        <v>21416.080142934457</v>
      </c>
      <c r="AH537" s="727">
        <f t="shared" si="935"/>
        <v>21739.485237948207</v>
      </c>
      <c r="AI537" s="18"/>
      <c r="AJ537" s="18"/>
      <c r="AK537" s="18"/>
      <c r="AL537" s="18"/>
      <c r="AM537" s="18"/>
      <c r="AN537" s="18"/>
    </row>
    <row r="538" spans="2:40" ht="21.9" customHeight="1" x14ac:dyDescent="0.25">
      <c r="B538" s="229"/>
      <c r="C538" s="690"/>
      <c r="D538" s="690"/>
      <c r="E538" s="114"/>
      <c r="F538" s="114" t="s">
        <v>323</v>
      </c>
      <c r="G538" s="114" t="s">
        <v>322</v>
      </c>
      <c r="H538" s="114" t="s">
        <v>20</v>
      </c>
      <c r="I538" s="552">
        <f t="shared" ref="I538:AH538" si="936">I483*$K$20</f>
        <v>686.7696641868572</v>
      </c>
      <c r="J538" s="552">
        <f t="shared" si="936"/>
        <v>706.26127389759552</v>
      </c>
      <c r="K538" s="552">
        <f t="shared" si="936"/>
        <v>727.89181082767868</v>
      </c>
      <c r="L538" s="552">
        <f t="shared" si="936"/>
        <v>758.25245889639848</v>
      </c>
      <c r="M538" s="552">
        <f t="shared" si="936"/>
        <v>788.61853244678764</v>
      </c>
      <c r="N538" s="552">
        <f t="shared" si="936"/>
        <v>818.99093665468956</v>
      </c>
      <c r="O538" s="552">
        <f t="shared" si="936"/>
        <v>849.35160070163738</v>
      </c>
      <c r="P538" s="552">
        <f t="shared" si="936"/>
        <v>879.71408205230989</v>
      </c>
      <c r="Q538" s="552">
        <f t="shared" si="936"/>
        <v>913.84026260204337</v>
      </c>
      <c r="R538" s="552">
        <f t="shared" si="936"/>
        <v>947.95472020378747</v>
      </c>
      <c r="S538" s="552">
        <f t="shared" si="936"/>
        <v>982.08095920174753</v>
      </c>
      <c r="T538" s="552">
        <f t="shared" si="936"/>
        <v>1016.2072449153555</v>
      </c>
      <c r="U538" s="552">
        <f t="shared" si="936"/>
        <v>1050.3390160356275</v>
      </c>
      <c r="V538" s="552">
        <f t="shared" si="936"/>
        <v>1075.7388694480862</v>
      </c>
      <c r="W538" s="552">
        <f t="shared" si="936"/>
        <v>1095.2306843946824</v>
      </c>
      <c r="X538" s="552">
        <f t="shared" si="936"/>
        <v>1114.7225397880654</v>
      </c>
      <c r="Y538" s="552">
        <f t="shared" si="936"/>
        <v>1134.2144425851554</v>
      </c>
      <c r="Z538" s="552">
        <f t="shared" si="936"/>
        <v>1153.6964605043302</v>
      </c>
      <c r="AA538" s="552">
        <f t="shared" si="936"/>
        <v>1173.1884832521416</v>
      </c>
      <c r="AB538" s="552">
        <f t="shared" si="936"/>
        <v>1192.6706407243798</v>
      </c>
      <c r="AC538" s="552">
        <f t="shared" si="936"/>
        <v>1212.1628255882654</v>
      </c>
      <c r="AD538" s="552">
        <f t="shared" si="936"/>
        <v>1231.6551111988185</v>
      </c>
      <c r="AE538" s="552">
        <f t="shared" si="936"/>
        <v>1251.1375725794167</v>
      </c>
      <c r="AF538" s="552">
        <f t="shared" si="936"/>
        <v>1270.6301083526332</v>
      </c>
      <c r="AG538" s="552">
        <f t="shared" si="936"/>
        <v>1290.122798042983</v>
      </c>
      <c r="AH538" s="727">
        <f t="shared" si="936"/>
        <v>1309.6057234663833</v>
      </c>
      <c r="AI538" s="18"/>
      <c r="AJ538" s="18"/>
      <c r="AK538" s="18"/>
      <c r="AL538" s="18"/>
      <c r="AM538" s="18"/>
      <c r="AN538" s="18"/>
    </row>
    <row r="539" spans="2:40" ht="21.9" customHeight="1" x14ac:dyDescent="0.25">
      <c r="B539" s="229"/>
      <c r="C539" s="690"/>
      <c r="D539" s="690"/>
      <c r="E539" s="114"/>
      <c r="F539" s="114"/>
      <c r="G539" s="114"/>
      <c r="H539" s="122" t="s">
        <v>19</v>
      </c>
      <c r="I539" s="552">
        <f t="shared" ref="I539:AH539" si="937">I483*$K$21</f>
        <v>2747.0786567474288</v>
      </c>
      <c r="J539" s="552">
        <f t="shared" si="937"/>
        <v>2825.0450955903821</v>
      </c>
      <c r="K539" s="552">
        <f t="shared" si="937"/>
        <v>2911.5672433107147</v>
      </c>
      <c r="L539" s="552">
        <f t="shared" si="937"/>
        <v>3033.0098355855939</v>
      </c>
      <c r="M539" s="552">
        <f t="shared" si="937"/>
        <v>3154.4741297871506</v>
      </c>
      <c r="N539" s="552">
        <f t="shared" si="937"/>
        <v>3275.9637466187583</v>
      </c>
      <c r="O539" s="552">
        <f t="shared" si="937"/>
        <v>3397.4064028065495</v>
      </c>
      <c r="P539" s="552">
        <f t="shared" si="937"/>
        <v>3518.8563282092396</v>
      </c>
      <c r="Q539" s="552">
        <f t="shared" si="937"/>
        <v>3655.3610504081735</v>
      </c>
      <c r="R539" s="552">
        <f t="shared" si="937"/>
        <v>3791.8188808151499</v>
      </c>
      <c r="S539" s="552">
        <f t="shared" si="937"/>
        <v>3928.3238368069901</v>
      </c>
      <c r="T539" s="552">
        <f t="shared" si="937"/>
        <v>4064.8289796614222</v>
      </c>
      <c r="U539" s="552">
        <f t="shared" si="937"/>
        <v>4201.3560641425101</v>
      </c>
      <c r="V539" s="552">
        <f t="shared" si="937"/>
        <v>4302.9554777923449</v>
      </c>
      <c r="W539" s="552">
        <f t="shared" si="937"/>
        <v>4380.9227375787295</v>
      </c>
      <c r="X539" s="552">
        <f t="shared" si="937"/>
        <v>4458.8901591522617</v>
      </c>
      <c r="Y539" s="552">
        <f t="shared" si="937"/>
        <v>4536.8577703406218</v>
      </c>
      <c r="Z539" s="552">
        <f t="shared" si="937"/>
        <v>4614.7858420173206</v>
      </c>
      <c r="AA539" s="552">
        <f t="shared" si="937"/>
        <v>4692.7539330085665</v>
      </c>
      <c r="AB539" s="552">
        <f t="shared" si="937"/>
        <v>4770.6825628975193</v>
      </c>
      <c r="AC539" s="552">
        <f t="shared" si="937"/>
        <v>4848.6513023530615</v>
      </c>
      <c r="AD539" s="552">
        <f t="shared" si="937"/>
        <v>4926.6204447952741</v>
      </c>
      <c r="AE539" s="552">
        <f t="shared" si="937"/>
        <v>5004.5502903176666</v>
      </c>
      <c r="AF539" s="552">
        <f t="shared" si="937"/>
        <v>5082.5204334105329</v>
      </c>
      <c r="AG539" s="552">
        <f t="shared" si="937"/>
        <v>5160.4911921719322</v>
      </c>
      <c r="AH539" s="727">
        <f t="shared" si="937"/>
        <v>5238.4228938655333</v>
      </c>
      <c r="AI539" s="18"/>
      <c r="AJ539" s="18"/>
      <c r="AK539" s="18"/>
      <c r="AL539" s="18"/>
      <c r="AM539" s="18"/>
      <c r="AN539" s="18"/>
    </row>
    <row r="540" spans="2:40" ht="21.9" customHeight="1" x14ac:dyDescent="0.25">
      <c r="B540" s="229"/>
      <c r="C540" s="690"/>
      <c r="D540" s="690"/>
      <c r="E540" s="114"/>
      <c r="F540" s="114"/>
      <c r="G540" s="114"/>
      <c r="H540" s="696" t="s">
        <v>25</v>
      </c>
      <c r="I540" s="552">
        <f t="shared" ref="I540:AH540" si="938">SUM(I538:I539)</f>
        <v>3433.8483209342858</v>
      </c>
      <c r="J540" s="552">
        <f t="shared" si="938"/>
        <v>3531.3063694879775</v>
      </c>
      <c r="K540" s="552">
        <f t="shared" si="938"/>
        <v>3639.4590541383932</v>
      </c>
      <c r="L540" s="552">
        <f t="shared" si="938"/>
        <v>3791.2622944819923</v>
      </c>
      <c r="M540" s="552">
        <f t="shared" si="938"/>
        <v>3943.0926622339384</v>
      </c>
      <c r="N540" s="552">
        <f t="shared" si="938"/>
        <v>4094.9546832734477</v>
      </c>
      <c r="O540" s="552">
        <f t="shared" si="938"/>
        <v>4246.7580035081864</v>
      </c>
      <c r="P540" s="552">
        <f t="shared" si="938"/>
        <v>4398.5704102615491</v>
      </c>
      <c r="Q540" s="552">
        <f t="shared" si="938"/>
        <v>4569.2013130102168</v>
      </c>
      <c r="R540" s="552">
        <f t="shared" si="938"/>
        <v>4739.7736010189374</v>
      </c>
      <c r="S540" s="552">
        <f t="shared" si="938"/>
        <v>4910.4047960087373</v>
      </c>
      <c r="T540" s="552">
        <f t="shared" si="938"/>
        <v>5081.0362245767774</v>
      </c>
      <c r="U540" s="552">
        <f t="shared" si="938"/>
        <v>5251.6950801781377</v>
      </c>
      <c r="V540" s="552">
        <f t="shared" si="938"/>
        <v>5378.6943472404309</v>
      </c>
      <c r="W540" s="552">
        <f t="shared" si="938"/>
        <v>5476.1534219734122</v>
      </c>
      <c r="X540" s="552">
        <f t="shared" si="938"/>
        <v>5573.6126989403274</v>
      </c>
      <c r="Y540" s="552">
        <f t="shared" si="938"/>
        <v>5671.0722129257774</v>
      </c>
      <c r="Z540" s="552">
        <f t="shared" si="938"/>
        <v>5768.482302521651</v>
      </c>
      <c r="AA540" s="552">
        <f t="shared" si="938"/>
        <v>5865.9424162607083</v>
      </c>
      <c r="AB540" s="552">
        <f t="shared" si="938"/>
        <v>5963.3532036218994</v>
      </c>
      <c r="AC540" s="552">
        <f t="shared" si="938"/>
        <v>6060.8141279413267</v>
      </c>
      <c r="AD540" s="552">
        <f t="shared" si="938"/>
        <v>6158.2755559940924</v>
      </c>
      <c r="AE540" s="552">
        <f t="shared" si="938"/>
        <v>6255.6878628970835</v>
      </c>
      <c r="AF540" s="552">
        <f t="shared" si="938"/>
        <v>6353.1505417631661</v>
      </c>
      <c r="AG540" s="552">
        <f t="shared" si="938"/>
        <v>6450.6139902149152</v>
      </c>
      <c r="AH540" s="727">
        <f t="shared" si="938"/>
        <v>6548.0286173319164</v>
      </c>
      <c r="AI540" s="18"/>
      <c r="AJ540" s="18"/>
      <c r="AK540" s="18"/>
      <c r="AL540" s="18"/>
      <c r="AM540" s="18"/>
      <c r="AN540" s="18"/>
    </row>
    <row r="541" spans="2:40" ht="21.9" customHeight="1" x14ac:dyDescent="0.25">
      <c r="B541" s="229"/>
      <c r="C541" s="690"/>
      <c r="D541" s="690"/>
      <c r="E541" s="114"/>
      <c r="F541" s="114" t="s">
        <v>322</v>
      </c>
      <c r="G541" s="114" t="s">
        <v>326</v>
      </c>
      <c r="H541" s="114" t="s">
        <v>20</v>
      </c>
      <c r="I541" s="552">
        <f t="shared" ref="I541:AH541" si="939">I484*$K$20</f>
        <v>1762.1063593425749</v>
      </c>
      <c r="J541" s="552">
        <f t="shared" si="939"/>
        <v>1812.0738225524194</v>
      </c>
      <c r="K541" s="552">
        <f t="shared" si="939"/>
        <v>1869.0104167221086</v>
      </c>
      <c r="L541" s="552">
        <f t="shared" si="939"/>
        <v>1941.7619161879506</v>
      </c>
      <c r="M541" s="552">
        <f t="shared" si="939"/>
        <v>2014.5369111527511</v>
      </c>
      <c r="N541" s="552">
        <f t="shared" si="939"/>
        <v>2087.3001597809184</v>
      </c>
      <c r="O541" s="552">
        <f t="shared" si="939"/>
        <v>2160.0516624621209</v>
      </c>
      <c r="P541" s="552">
        <f t="shared" si="939"/>
        <v>2232.8178513090552</v>
      </c>
      <c r="Q541" s="552">
        <f t="shared" si="939"/>
        <v>2315.0612395999901</v>
      </c>
      <c r="R541" s="552">
        <f t="shared" si="939"/>
        <v>2397.3016956865458</v>
      </c>
      <c r="S541" s="552">
        <f t="shared" si="939"/>
        <v>2479.5333475878579</v>
      </c>
      <c r="T541" s="552">
        <f t="shared" si="939"/>
        <v>2561.7767554652346</v>
      </c>
      <c r="U541" s="552">
        <f t="shared" si="939"/>
        <v>2644.0348590987546</v>
      </c>
      <c r="V541" s="552">
        <f t="shared" si="939"/>
        <v>2710.4604399925938</v>
      </c>
      <c r="W541" s="552">
        <f t="shared" si="939"/>
        <v>2760.4279444402255</v>
      </c>
      <c r="X541" s="552">
        <f t="shared" si="939"/>
        <v>2810.3954571863419</v>
      </c>
      <c r="Y541" s="552">
        <f t="shared" si="939"/>
        <v>2860.3629796844962</v>
      </c>
      <c r="Z541" s="552">
        <f t="shared" si="939"/>
        <v>2910.3158293676602</v>
      </c>
      <c r="AA541" s="552">
        <f t="shared" si="939"/>
        <v>2960.2833766431199</v>
      </c>
      <c r="AB541" s="552">
        <f t="shared" si="939"/>
        <v>3010.2362552304303</v>
      </c>
      <c r="AC541" s="552">
        <f t="shared" si="939"/>
        <v>3060.2038361564846</v>
      </c>
      <c r="AD541" s="552">
        <f t="shared" si="939"/>
        <v>3110.1714380628709</v>
      </c>
      <c r="AE541" s="552">
        <f t="shared" si="939"/>
        <v>3160.1243799690765</v>
      </c>
      <c r="AF541" s="552">
        <f t="shared" si="939"/>
        <v>3210.0920341518417</v>
      </c>
      <c r="AG541" s="552">
        <f t="shared" si="939"/>
        <v>3260.0597205937361</v>
      </c>
      <c r="AH541" s="727">
        <f t="shared" si="939"/>
        <v>3310.0127598019262</v>
      </c>
      <c r="AI541" s="18"/>
      <c r="AJ541" s="18"/>
      <c r="AK541" s="18"/>
      <c r="AL541" s="18"/>
      <c r="AM541" s="18"/>
      <c r="AN541" s="18"/>
    </row>
    <row r="542" spans="2:40" ht="21.9" customHeight="1" x14ac:dyDescent="0.25">
      <c r="B542" s="229"/>
      <c r="C542" s="690"/>
      <c r="D542" s="690"/>
      <c r="E542" s="114"/>
      <c r="F542" s="114"/>
      <c r="G542" s="114"/>
      <c r="H542" s="122" t="s">
        <v>19</v>
      </c>
      <c r="I542" s="552">
        <f t="shared" ref="I542:AH542" si="940">I484*$K$21</f>
        <v>7048.4254373702997</v>
      </c>
      <c r="J542" s="552">
        <f t="shared" si="940"/>
        <v>7248.2952902096777</v>
      </c>
      <c r="K542" s="552">
        <f t="shared" si="940"/>
        <v>7476.0416668884345</v>
      </c>
      <c r="L542" s="552">
        <f t="shared" si="940"/>
        <v>7767.0476647518026</v>
      </c>
      <c r="M542" s="552">
        <f t="shared" si="940"/>
        <v>8058.1476446110046</v>
      </c>
      <c r="N542" s="552">
        <f t="shared" si="940"/>
        <v>8349.2006391236737</v>
      </c>
      <c r="O542" s="552">
        <f t="shared" si="940"/>
        <v>8640.2066498484837</v>
      </c>
      <c r="P542" s="552">
        <f t="shared" si="940"/>
        <v>8931.2714052362207</v>
      </c>
      <c r="Q542" s="552">
        <f t="shared" si="940"/>
        <v>9260.2449583999605</v>
      </c>
      <c r="R542" s="552">
        <f t="shared" si="940"/>
        <v>9589.2067827461833</v>
      </c>
      <c r="S542" s="552">
        <f t="shared" si="940"/>
        <v>9918.1333903514314</v>
      </c>
      <c r="T542" s="552">
        <f t="shared" si="940"/>
        <v>10247.107021860938</v>
      </c>
      <c r="U542" s="552">
        <f t="shared" si="940"/>
        <v>10576.139436395018</v>
      </c>
      <c r="V542" s="552">
        <f t="shared" si="940"/>
        <v>10841.841759970375</v>
      </c>
      <c r="W542" s="552">
        <f t="shared" si="940"/>
        <v>11041.711777760902</v>
      </c>
      <c r="X542" s="552">
        <f t="shared" si="940"/>
        <v>11241.581828745368</v>
      </c>
      <c r="Y542" s="552">
        <f t="shared" si="940"/>
        <v>11441.451918737985</v>
      </c>
      <c r="Z542" s="552">
        <f t="shared" si="940"/>
        <v>11641.263317470641</v>
      </c>
      <c r="AA542" s="552">
        <f t="shared" si="940"/>
        <v>11841.13350657248</v>
      </c>
      <c r="AB542" s="552">
        <f t="shared" si="940"/>
        <v>12040.945020921721</v>
      </c>
      <c r="AC542" s="552">
        <f t="shared" si="940"/>
        <v>12240.815344625938</v>
      </c>
      <c r="AD542" s="552">
        <f t="shared" si="940"/>
        <v>12440.685752251484</v>
      </c>
      <c r="AE542" s="552">
        <f t="shared" si="940"/>
        <v>12640.497519876306</v>
      </c>
      <c r="AF542" s="552">
        <f t="shared" si="940"/>
        <v>12840.368136607367</v>
      </c>
      <c r="AG542" s="552">
        <f t="shared" si="940"/>
        <v>13040.238882374944</v>
      </c>
      <c r="AH542" s="727">
        <f t="shared" si="940"/>
        <v>13240.051039207705</v>
      </c>
      <c r="AI542" s="18"/>
      <c r="AJ542" s="18"/>
      <c r="AK542" s="18"/>
      <c r="AL542" s="18"/>
      <c r="AM542" s="18"/>
      <c r="AN542" s="18"/>
    </row>
    <row r="543" spans="2:40" ht="21.9" customHeight="1" x14ac:dyDescent="0.25">
      <c r="B543" s="229"/>
      <c r="C543" s="690"/>
      <c r="D543" s="690"/>
      <c r="E543" s="114"/>
      <c r="F543" s="114"/>
      <c r="G543" s="114"/>
      <c r="H543" s="696" t="s">
        <v>25</v>
      </c>
      <c r="I543" s="552">
        <f t="shared" ref="I543:AH543" si="941">SUM(I541:I542)</f>
        <v>8810.531796712874</v>
      </c>
      <c r="J543" s="552">
        <f t="shared" si="941"/>
        <v>9060.3691127620968</v>
      </c>
      <c r="K543" s="552">
        <f t="shared" si="941"/>
        <v>9345.0520836105425</v>
      </c>
      <c r="L543" s="552">
        <f t="shared" si="941"/>
        <v>9708.8095809397528</v>
      </c>
      <c r="M543" s="552">
        <f t="shared" si="941"/>
        <v>10072.684555763755</v>
      </c>
      <c r="N543" s="552">
        <f t="shared" si="941"/>
        <v>10436.500798904592</v>
      </c>
      <c r="O543" s="552">
        <f t="shared" si="941"/>
        <v>10800.258312310605</v>
      </c>
      <c r="P543" s="552">
        <f t="shared" si="941"/>
        <v>11164.089256545276</v>
      </c>
      <c r="Q543" s="552">
        <f t="shared" si="941"/>
        <v>11575.306197999951</v>
      </c>
      <c r="R543" s="552">
        <f t="shared" si="941"/>
        <v>11986.50847843273</v>
      </c>
      <c r="S543" s="552">
        <f t="shared" si="941"/>
        <v>12397.666737939289</v>
      </c>
      <c r="T543" s="552">
        <f t="shared" si="941"/>
        <v>12808.883777326173</v>
      </c>
      <c r="U543" s="552">
        <f t="shared" si="941"/>
        <v>13220.174295493773</v>
      </c>
      <c r="V543" s="552">
        <f t="shared" si="941"/>
        <v>13552.302199962969</v>
      </c>
      <c r="W543" s="552">
        <f t="shared" si="941"/>
        <v>13802.139722201127</v>
      </c>
      <c r="X543" s="552">
        <f t="shared" si="941"/>
        <v>14051.977285931709</v>
      </c>
      <c r="Y543" s="552">
        <f t="shared" si="941"/>
        <v>14301.814898422481</v>
      </c>
      <c r="Z543" s="552">
        <f t="shared" si="941"/>
        <v>14551.579146838301</v>
      </c>
      <c r="AA543" s="552">
        <f t="shared" si="941"/>
        <v>14801.416883215599</v>
      </c>
      <c r="AB543" s="552">
        <f t="shared" si="941"/>
        <v>15051.181276152151</v>
      </c>
      <c r="AC543" s="552">
        <f t="shared" si="941"/>
        <v>15301.019180782423</v>
      </c>
      <c r="AD543" s="552">
        <f t="shared" si="941"/>
        <v>15550.857190314355</v>
      </c>
      <c r="AE543" s="552">
        <f t="shared" si="941"/>
        <v>15800.621899845382</v>
      </c>
      <c r="AF543" s="552">
        <f t="shared" si="941"/>
        <v>16050.460170759208</v>
      </c>
      <c r="AG543" s="552">
        <f t="shared" si="941"/>
        <v>16300.29860296868</v>
      </c>
      <c r="AH543" s="727">
        <f t="shared" si="941"/>
        <v>16550.063799009629</v>
      </c>
      <c r="AI543" s="18"/>
      <c r="AJ543" s="18"/>
      <c r="AK543" s="18"/>
      <c r="AL543" s="18"/>
      <c r="AM543" s="18"/>
      <c r="AN543" s="18"/>
    </row>
    <row r="544" spans="2:40" ht="21.9" customHeight="1" x14ac:dyDescent="0.25">
      <c r="B544" s="229"/>
      <c r="C544" s="690"/>
      <c r="D544" s="690"/>
      <c r="E544" s="114"/>
      <c r="F544" s="114" t="s">
        <v>326</v>
      </c>
      <c r="G544" s="114" t="s">
        <v>274</v>
      </c>
      <c r="H544" s="114" t="s">
        <v>20</v>
      </c>
      <c r="I544" s="552">
        <f t="shared" ref="I544:AH544" si="942">I485*$K$20</f>
        <v>12012.827293119686</v>
      </c>
      <c r="J544" s="552">
        <f t="shared" si="942"/>
        <v>12353.471033765005</v>
      </c>
      <c r="K544" s="552">
        <f t="shared" si="942"/>
        <v>12741.625507128027</v>
      </c>
      <c r="L544" s="552">
        <f t="shared" si="942"/>
        <v>13237.595107253655</v>
      </c>
      <c r="M544" s="552">
        <f t="shared" si="942"/>
        <v>13733.724880282989</v>
      </c>
      <c r="N544" s="552">
        <f t="shared" si="942"/>
        <v>14229.774570400863</v>
      </c>
      <c r="O544" s="552">
        <f t="shared" si="942"/>
        <v>14725.744178583724</v>
      </c>
      <c r="P544" s="552">
        <f t="shared" si="942"/>
        <v>15221.813898537268</v>
      </c>
      <c r="Q544" s="552">
        <f t="shared" si="942"/>
        <v>15782.492618159506</v>
      </c>
      <c r="R544" s="552">
        <f t="shared" si="942"/>
        <v>16343.151328028984</v>
      </c>
      <c r="S544" s="552">
        <f t="shared" si="942"/>
        <v>16903.749989665543</v>
      </c>
      <c r="T544" s="552">
        <f t="shared" si="942"/>
        <v>17464.428758368602</v>
      </c>
      <c r="U544" s="552">
        <f t="shared" si="942"/>
        <v>18025.207662874524</v>
      </c>
      <c r="V544" s="552">
        <f t="shared" si="942"/>
        <v>18478.051321416286</v>
      </c>
      <c r="W544" s="552">
        <f t="shared" si="942"/>
        <v>18818.695165397574</v>
      </c>
      <c r="X544" s="552">
        <f t="shared" si="942"/>
        <v>19159.339030173676</v>
      </c>
      <c r="Y544" s="552">
        <f t="shared" si="942"/>
        <v>19499.982919386977</v>
      </c>
      <c r="Z544" s="552">
        <f t="shared" si="942"/>
        <v>19840.526730284644</v>
      </c>
      <c r="AA544" s="552">
        <f t="shared" si="942"/>
        <v>20181.170681586311</v>
      </c>
      <c r="AB544" s="552">
        <f t="shared" si="942"/>
        <v>20521.714564913618</v>
      </c>
      <c r="AC544" s="552">
        <f t="shared" si="942"/>
        <v>20862.358600538853</v>
      </c>
      <c r="AD544" s="552">
        <f t="shared" si="942"/>
        <v>21203.002688737786</v>
      </c>
      <c r="AE544" s="552">
        <f t="shared" si="942"/>
        <v>21543.546730733146</v>
      </c>
      <c r="AF544" s="552">
        <f t="shared" si="942"/>
        <v>21884.190949929176</v>
      </c>
      <c r="AG544" s="552">
        <f t="shared" si="942"/>
        <v>22224.835249961954</v>
      </c>
      <c r="AH544" s="727">
        <f t="shared" si="942"/>
        <v>22565.379535782111</v>
      </c>
      <c r="AI544" s="18"/>
      <c r="AJ544" s="18"/>
      <c r="AK544" s="18"/>
      <c r="AL544" s="18"/>
      <c r="AM544" s="18"/>
      <c r="AN544" s="18"/>
    </row>
    <row r="545" spans="2:41" ht="21.9" customHeight="1" x14ac:dyDescent="0.25">
      <c r="B545" s="229"/>
      <c r="C545" s="690"/>
      <c r="D545" s="690"/>
      <c r="E545" s="114"/>
      <c r="F545" s="114"/>
      <c r="G545" s="114"/>
      <c r="H545" s="122" t="s">
        <v>19</v>
      </c>
      <c r="I545" s="552">
        <f t="shared" ref="I545:AH545" si="943">I485*$K$21</f>
        <v>48051.309172478745</v>
      </c>
      <c r="J545" s="552">
        <f t="shared" si="943"/>
        <v>49413.88413506002</v>
      </c>
      <c r="K545" s="552">
        <f t="shared" si="943"/>
        <v>50966.502028512106</v>
      </c>
      <c r="L545" s="552">
        <f t="shared" si="943"/>
        <v>52950.380429014622</v>
      </c>
      <c r="M545" s="552">
        <f t="shared" si="943"/>
        <v>54934.899521131956</v>
      </c>
      <c r="N545" s="552">
        <f t="shared" si="943"/>
        <v>56919.098281603452</v>
      </c>
      <c r="O545" s="552">
        <f t="shared" si="943"/>
        <v>58902.976714334894</v>
      </c>
      <c r="P545" s="552">
        <f t="shared" si="943"/>
        <v>60887.255594149072</v>
      </c>
      <c r="Q545" s="552">
        <f t="shared" si="943"/>
        <v>63129.970472638022</v>
      </c>
      <c r="R545" s="552">
        <f t="shared" si="943"/>
        <v>65372.605312115935</v>
      </c>
      <c r="S545" s="552">
        <f t="shared" si="943"/>
        <v>67614.999958662171</v>
      </c>
      <c r="T545" s="552">
        <f t="shared" si="943"/>
        <v>69857.715033474407</v>
      </c>
      <c r="U545" s="552">
        <f t="shared" si="943"/>
        <v>72100.830651498094</v>
      </c>
      <c r="V545" s="552">
        <f t="shared" si="943"/>
        <v>73912.205285665143</v>
      </c>
      <c r="W545" s="552">
        <f t="shared" si="943"/>
        <v>75274.780661590295</v>
      </c>
      <c r="X545" s="552">
        <f t="shared" si="943"/>
        <v>76637.356120694705</v>
      </c>
      <c r="Y545" s="552">
        <f t="shared" si="943"/>
        <v>77999.931677547909</v>
      </c>
      <c r="Z545" s="552">
        <f t="shared" si="943"/>
        <v>79362.106921138577</v>
      </c>
      <c r="AA545" s="552">
        <f t="shared" si="943"/>
        <v>80724.682726345243</v>
      </c>
      <c r="AB545" s="552">
        <f t="shared" si="943"/>
        <v>82086.858259654473</v>
      </c>
      <c r="AC545" s="552">
        <f t="shared" si="943"/>
        <v>83449.434402155413</v>
      </c>
      <c r="AD545" s="552">
        <f t="shared" si="943"/>
        <v>84812.010754951145</v>
      </c>
      <c r="AE545" s="552">
        <f t="shared" si="943"/>
        <v>86174.186922932582</v>
      </c>
      <c r="AF545" s="552">
        <f t="shared" si="943"/>
        <v>87536.763799716704</v>
      </c>
      <c r="AG545" s="552">
        <f t="shared" si="943"/>
        <v>88899.340999847816</v>
      </c>
      <c r="AH545" s="727">
        <f t="shared" si="943"/>
        <v>90261.518143128444</v>
      </c>
      <c r="AI545" s="18"/>
      <c r="AJ545" s="18"/>
      <c r="AK545" s="18"/>
      <c r="AL545" s="18"/>
      <c r="AM545" s="18"/>
      <c r="AN545" s="18"/>
    </row>
    <row r="546" spans="2:41" ht="21.9" customHeight="1" x14ac:dyDescent="0.25">
      <c r="B546" s="229"/>
      <c r="C546" s="690"/>
      <c r="D546" s="690"/>
      <c r="E546" s="114"/>
      <c r="F546" s="114"/>
      <c r="G546" s="114"/>
      <c r="H546" s="696" t="s">
        <v>25</v>
      </c>
      <c r="I546" s="552">
        <f t="shared" ref="I546:AH546" si="944">SUM(I544:I545)</f>
        <v>60064.136465598429</v>
      </c>
      <c r="J546" s="552">
        <f t="shared" si="944"/>
        <v>61767.355168825023</v>
      </c>
      <c r="K546" s="552">
        <f t="shared" si="944"/>
        <v>63708.127535640131</v>
      </c>
      <c r="L546" s="552">
        <f t="shared" si="944"/>
        <v>66187.975536268277</v>
      </c>
      <c r="M546" s="552">
        <f t="shared" si="944"/>
        <v>68668.624401414942</v>
      </c>
      <c r="N546" s="552">
        <f t="shared" si="944"/>
        <v>71148.872852004308</v>
      </c>
      <c r="O546" s="552">
        <f t="shared" si="944"/>
        <v>73628.720892918616</v>
      </c>
      <c r="P546" s="552">
        <f t="shared" si="944"/>
        <v>76109.069492686336</v>
      </c>
      <c r="Q546" s="552">
        <f t="shared" si="944"/>
        <v>78912.463090797522</v>
      </c>
      <c r="R546" s="552">
        <f t="shared" si="944"/>
        <v>81715.756640144915</v>
      </c>
      <c r="S546" s="552">
        <f t="shared" si="944"/>
        <v>84518.749948327721</v>
      </c>
      <c r="T546" s="552">
        <f t="shared" si="944"/>
        <v>87322.143791843002</v>
      </c>
      <c r="U546" s="552">
        <f t="shared" si="944"/>
        <v>90126.038314372621</v>
      </c>
      <c r="V546" s="552">
        <f t="shared" si="944"/>
        <v>92390.256607081421</v>
      </c>
      <c r="W546" s="552">
        <f t="shared" si="944"/>
        <v>94093.475826987866</v>
      </c>
      <c r="X546" s="552">
        <f t="shared" si="944"/>
        <v>95796.695150868385</v>
      </c>
      <c r="Y546" s="552">
        <f t="shared" si="944"/>
        <v>97499.91459693489</v>
      </c>
      <c r="Z546" s="552">
        <f t="shared" si="944"/>
        <v>99202.633651423224</v>
      </c>
      <c r="AA546" s="552">
        <f t="shared" si="944"/>
        <v>100905.85340793156</v>
      </c>
      <c r="AB546" s="552">
        <f t="shared" si="944"/>
        <v>102608.57282456809</v>
      </c>
      <c r="AC546" s="552">
        <f t="shared" si="944"/>
        <v>104311.79300269426</v>
      </c>
      <c r="AD546" s="552">
        <f t="shared" si="944"/>
        <v>106015.01344368893</v>
      </c>
      <c r="AE546" s="552">
        <f t="shared" si="944"/>
        <v>107717.73365366572</v>
      </c>
      <c r="AF546" s="552">
        <f t="shared" si="944"/>
        <v>109420.95474964588</v>
      </c>
      <c r="AG546" s="552">
        <f t="shared" si="944"/>
        <v>111124.17624980977</v>
      </c>
      <c r="AH546" s="727">
        <f t="shared" si="944"/>
        <v>112826.89767891055</v>
      </c>
      <c r="AI546" s="18"/>
      <c r="AJ546" s="18"/>
      <c r="AK546" s="18"/>
      <c r="AL546" s="18"/>
      <c r="AM546" s="18"/>
      <c r="AN546" s="18"/>
    </row>
    <row r="547" spans="2:41" ht="21.9" customHeight="1" x14ac:dyDescent="0.25">
      <c r="B547" s="229"/>
      <c r="C547" s="690"/>
      <c r="D547" s="690"/>
      <c r="E547" s="114"/>
      <c r="F547" s="114" t="s">
        <v>274</v>
      </c>
      <c r="G547" s="114" t="s">
        <v>317</v>
      </c>
      <c r="H547" s="114" t="s">
        <v>20</v>
      </c>
      <c r="I547" s="552">
        <f t="shared" ref="I547:AH547" si="945">I486*$K$20</f>
        <v>300.01661128584107</v>
      </c>
      <c r="J547" s="552">
        <f t="shared" si="945"/>
        <v>308.52413940082653</v>
      </c>
      <c r="K547" s="552">
        <f t="shared" si="945"/>
        <v>318.2182654321835</v>
      </c>
      <c r="L547" s="552">
        <f t="shared" si="945"/>
        <v>330.60511581872754</v>
      </c>
      <c r="M547" s="552">
        <f t="shared" si="945"/>
        <v>342.99604445669263</v>
      </c>
      <c r="N547" s="552">
        <f t="shared" si="945"/>
        <v>355.38508145247897</v>
      </c>
      <c r="O547" s="552">
        <f t="shared" si="945"/>
        <v>367.77226748290343</v>
      </c>
      <c r="P547" s="552">
        <f t="shared" si="945"/>
        <v>380.16215679746438</v>
      </c>
      <c r="Q547" s="552">
        <f t="shared" si="945"/>
        <v>394.1660607980283</v>
      </c>
      <c r="R547" s="552">
        <f t="shared" si="945"/>
        <v>408.16994908273102</v>
      </c>
      <c r="S547" s="552">
        <f t="shared" si="945"/>
        <v>422.17299978588147</v>
      </c>
      <c r="T547" s="552">
        <f t="shared" si="945"/>
        <v>436.17894836822734</v>
      </c>
      <c r="U547" s="552">
        <f t="shared" si="945"/>
        <v>450.18860135487324</v>
      </c>
      <c r="V547" s="552">
        <f t="shared" si="945"/>
        <v>461.50290770989523</v>
      </c>
      <c r="W547" s="552">
        <f t="shared" si="945"/>
        <v>470.01474053874466</v>
      </c>
      <c r="X547" s="552">
        <f t="shared" si="945"/>
        <v>478.52743962667887</v>
      </c>
      <c r="Y547" s="552">
        <f t="shared" si="945"/>
        <v>487.04115670646547</v>
      </c>
      <c r="Z547" s="552">
        <f t="shared" si="945"/>
        <v>495.55356415412052</v>
      </c>
      <c r="AA547" s="552">
        <f t="shared" si="945"/>
        <v>504.06986767768689</v>
      </c>
      <c r="AB547" s="552">
        <f t="shared" si="945"/>
        <v>512.58529236010725</v>
      </c>
      <c r="AC547" s="552">
        <f t="shared" si="945"/>
        <v>521.10510858864859</v>
      </c>
      <c r="AD547" s="552">
        <f t="shared" si="945"/>
        <v>529.62711490368838</v>
      </c>
      <c r="AE547" s="552">
        <f t="shared" si="945"/>
        <v>538.14914929411157</v>
      </c>
      <c r="AF547" s="552">
        <f t="shared" si="945"/>
        <v>546.67661261534693</v>
      </c>
      <c r="AG547" s="552">
        <f t="shared" si="945"/>
        <v>555.20744338997144</v>
      </c>
      <c r="AH547" s="727">
        <f t="shared" si="945"/>
        <v>563.73963490160838</v>
      </c>
      <c r="AI547" s="18"/>
      <c r="AJ547" s="18"/>
      <c r="AK547" s="18"/>
      <c r="AL547" s="18"/>
      <c r="AM547" s="18"/>
      <c r="AN547" s="18"/>
    </row>
    <row r="548" spans="2:41" ht="21.9" customHeight="1" x14ac:dyDescent="0.25">
      <c r="B548" s="229"/>
      <c r="C548" s="690"/>
      <c r="D548" s="690"/>
      <c r="E548" s="114"/>
      <c r="F548" s="114"/>
      <c r="G548" s="114"/>
      <c r="H548" s="122" t="s">
        <v>19</v>
      </c>
      <c r="I548" s="552">
        <f t="shared" ref="I548:AH548" si="946">I486*$K$21</f>
        <v>1200.0664451433643</v>
      </c>
      <c r="J548" s="552">
        <f t="shared" si="946"/>
        <v>1234.0965576033061</v>
      </c>
      <c r="K548" s="552">
        <f t="shared" si="946"/>
        <v>1272.873061728734</v>
      </c>
      <c r="L548" s="552">
        <f t="shared" si="946"/>
        <v>1322.4204632749102</v>
      </c>
      <c r="M548" s="552">
        <f t="shared" si="946"/>
        <v>1371.9841778267705</v>
      </c>
      <c r="N548" s="552">
        <f t="shared" si="946"/>
        <v>1421.5403258099159</v>
      </c>
      <c r="O548" s="552">
        <f t="shared" si="946"/>
        <v>1471.0890699316137</v>
      </c>
      <c r="P548" s="552">
        <f t="shared" si="946"/>
        <v>1520.6486271898575</v>
      </c>
      <c r="Q548" s="552">
        <f t="shared" si="946"/>
        <v>1576.6642431921132</v>
      </c>
      <c r="R548" s="552">
        <f t="shared" si="946"/>
        <v>1632.6797963309241</v>
      </c>
      <c r="S548" s="552">
        <f t="shared" si="946"/>
        <v>1688.6919991435259</v>
      </c>
      <c r="T548" s="552">
        <f t="shared" si="946"/>
        <v>1744.7157934729094</v>
      </c>
      <c r="U548" s="552">
        <f t="shared" si="946"/>
        <v>1800.754405419493</v>
      </c>
      <c r="V548" s="552">
        <f t="shared" si="946"/>
        <v>1846.0116308395809</v>
      </c>
      <c r="W548" s="552">
        <f t="shared" si="946"/>
        <v>1880.0589621549786</v>
      </c>
      <c r="X548" s="552">
        <f t="shared" si="946"/>
        <v>1914.1097585067155</v>
      </c>
      <c r="Y548" s="552">
        <f t="shared" si="946"/>
        <v>1948.1646268258619</v>
      </c>
      <c r="Z548" s="552">
        <f t="shared" si="946"/>
        <v>1982.2142566164821</v>
      </c>
      <c r="AA548" s="552">
        <f t="shared" si="946"/>
        <v>2016.2794707107475</v>
      </c>
      <c r="AB548" s="552">
        <f t="shared" si="946"/>
        <v>2050.341169440429</v>
      </c>
      <c r="AC548" s="552">
        <f t="shared" si="946"/>
        <v>2084.4204343545944</v>
      </c>
      <c r="AD548" s="552">
        <f t="shared" si="946"/>
        <v>2118.5084596147535</v>
      </c>
      <c r="AE548" s="552">
        <f t="shared" si="946"/>
        <v>2152.5965971764463</v>
      </c>
      <c r="AF548" s="552">
        <f t="shared" si="946"/>
        <v>2186.7064504613877</v>
      </c>
      <c r="AG548" s="552">
        <f t="shared" si="946"/>
        <v>2220.8297735598858</v>
      </c>
      <c r="AH548" s="727">
        <f t="shared" si="946"/>
        <v>2254.9585396064335</v>
      </c>
      <c r="AI548" s="18"/>
      <c r="AJ548" s="18"/>
      <c r="AK548" s="18"/>
      <c r="AL548" s="18"/>
      <c r="AM548" s="18"/>
      <c r="AN548" s="18"/>
    </row>
    <row r="549" spans="2:41" ht="21.9" customHeight="1" thickBot="1" x14ac:dyDescent="0.3">
      <c r="B549" s="464"/>
      <c r="C549" s="739"/>
      <c r="D549" s="739"/>
      <c r="E549" s="274"/>
      <c r="F549" s="274"/>
      <c r="G549" s="274"/>
      <c r="H549" s="740" t="s">
        <v>25</v>
      </c>
      <c r="I549" s="710">
        <f t="shared" ref="I549:AH549" si="947">SUM(I547:I548)</f>
        <v>1500.0830564292053</v>
      </c>
      <c r="J549" s="710">
        <f t="shared" si="947"/>
        <v>1542.6206970041326</v>
      </c>
      <c r="K549" s="710">
        <f t="shared" si="947"/>
        <v>1591.0913271609174</v>
      </c>
      <c r="L549" s="710">
        <f t="shared" si="947"/>
        <v>1653.0255790936376</v>
      </c>
      <c r="M549" s="710">
        <f t="shared" si="947"/>
        <v>1714.9802222834633</v>
      </c>
      <c r="N549" s="710">
        <f t="shared" si="947"/>
        <v>1776.9254072623949</v>
      </c>
      <c r="O549" s="710">
        <f t="shared" si="947"/>
        <v>1838.861337414517</v>
      </c>
      <c r="P549" s="710">
        <f t="shared" si="947"/>
        <v>1900.8107839873219</v>
      </c>
      <c r="Q549" s="710">
        <f t="shared" si="947"/>
        <v>1970.8303039901416</v>
      </c>
      <c r="R549" s="710">
        <f t="shared" si="947"/>
        <v>2040.849745413655</v>
      </c>
      <c r="S549" s="710">
        <f t="shared" si="947"/>
        <v>2110.8649989294072</v>
      </c>
      <c r="T549" s="710">
        <f t="shared" si="947"/>
        <v>2180.8947418411367</v>
      </c>
      <c r="U549" s="710">
        <f t="shared" si="947"/>
        <v>2250.943006774366</v>
      </c>
      <c r="V549" s="710">
        <f t="shared" si="947"/>
        <v>2307.5145385494761</v>
      </c>
      <c r="W549" s="710">
        <f t="shared" si="947"/>
        <v>2350.0737026937231</v>
      </c>
      <c r="X549" s="710">
        <f t="shared" si="947"/>
        <v>2392.6371981333941</v>
      </c>
      <c r="Y549" s="710">
        <f t="shared" si="947"/>
        <v>2435.2057835323276</v>
      </c>
      <c r="Z549" s="710">
        <f t="shared" si="947"/>
        <v>2477.7678207706026</v>
      </c>
      <c r="AA549" s="710">
        <f t="shared" si="947"/>
        <v>2520.3493383884343</v>
      </c>
      <c r="AB549" s="710">
        <f t="shared" si="947"/>
        <v>2562.9264618005363</v>
      </c>
      <c r="AC549" s="710">
        <f t="shared" si="947"/>
        <v>2605.5255429432427</v>
      </c>
      <c r="AD549" s="710">
        <f t="shared" si="947"/>
        <v>2648.1355745184419</v>
      </c>
      <c r="AE549" s="710">
        <f t="shared" si="947"/>
        <v>2690.7457464705576</v>
      </c>
      <c r="AF549" s="710">
        <f t="shared" si="947"/>
        <v>2733.3830630767347</v>
      </c>
      <c r="AG549" s="710">
        <f t="shared" si="947"/>
        <v>2776.0372169498573</v>
      </c>
      <c r="AH549" s="741">
        <f t="shared" si="947"/>
        <v>2818.698174508042</v>
      </c>
      <c r="AI549" s="18"/>
      <c r="AJ549" s="18"/>
      <c r="AK549" s="18"/>
      <c r="AL549" s="18"/>
      <c r="AM549" s="18"/>
      <c r="AN549" s="18"/>
    </row>
    <row r="550" spans="2:41" ht="21.9" customHeight="1" thickBot="1" x14ac:dyDescent="0.3">
      <c r="B550" s="464"/>
      <c r="C550" s="739"/>
      <c r="D550" s="739"/>
      <c r="E550" s="274"/>
      <c r="F550" s="274"/>
      <c r="G550" s="274"/>
      <c r="H550" s="742" t="s">
        <v>481</v>
      </c>
      <c r="I550" s="742">
        <f>SUM(I492,I495,I498,I501,I504,I507,I510,I513,I516,I519,I522,I525,I528,I531,I534,I537,I540,I543,I546,I549)</f>
        <v>692827.01223784534</v>
      </c>
      <c r="J550" s="742">
        <f t="shared" ref="J550:AH550" si="948">SUM(J492,J495,J498,J501,J504,J507,J510,J513,J516,J519,J522,J525,J528,J531,J534,J537,J540,J543,J546,J549)</f>
        <v>756953.63006528944</v>
      </c>
      <c r="K550" s="742">
        <f t="shared" si="948"/>
        <v>837851.18829555239</v>
      </c>
      <c r="L550" s="742">
        <f t="shared" si="948"/>
        <v>972913.24882972159</v>
      </c>
      <c r="M550" s="742">
        <f t="shared" si="948"/>
        <v>1108734.1304114182</v>
      </c>
      <c r="N550" s="742">
        <f t="shared" si="948"/>
        <v>1245631.8226354467</v>
      </c>
      <c r="O550" s="742">
        <f t="shared" si="948"/>
        <v>1384142.182799882</v>
      </c>
      <c r="P550" s="742">
        <f t="shared" si="948"/>
        <v>1525670.1009242609</v>
      </c>
      <c r="Q550" s="742">
        <f t="shared" si="948"/>
        <v>1657205.8852806783</v>
      </c>
      <c r="R550" s="742">
        <f t="shared" si="948"/>
        <v>1794828.0725775631</v>
      </c>
      <c r="S550" s="742">
        <f t="shared" si="948"/>
        <v>1941453.1960379288</v>
      </c>
      <c r="T550" s="742">
        <f t="shared" si="948"/>
        <v>2101492.3183429297</v>
      </c>
      <c r="U550" s="742">
        <f t="shared" si="948"/>
        <v>2281555.1073503247</v>
      </c>
      <c r="V550" s="742">
        <f t="shared" si="948"/>
        <v>2401412.5184445954</v>
      </c>
      <c r="W550" s="742">
        <f t="shared" si="948"/>
        <v>2484101.6504880195</v>
      </c>
      <c r="X550" s="742">
        <f t="shared" si="948"/>
        <v>2557590.8957227827</v>
      </c>
      <c r="Y550" s="742">
        <f t="shared" si="948"/>
        <v>2608287.6988000046</v>
      </c>
      <c r="Z550" s="742">
        <f t="shared" si="948"/>
        <v>2660874.5840747184</v>
      </c>
      <c r="AA550" s="742">
        <f t="shared" si="948"/>
        <v>2715614.4637800064</v>
      </c>
      <c r="AB550" s="742">
        <f t="shared" si="948"/>
        <v>2773096.2400937029</v>
      </c>
      <c r="AC550" s="742">
        <f t="shared" si="948"/>
        <v>2822477.2953773472</v>
      </c>
      <c r="AD550" s="742">
        <f t="shared" si="948"/>
        <v>2871790.0348039307</v>
      </c>
      <c r="AE550" s="742">
        <f t="shared" si="948"/>
        <v>2922007.0091351587</v>
      </c>
      <c r="AF550" s="742">
        <f t="shared" si="948"/>
        <v>2973121.1083637737</v>
      </c>
      <c r="AG550" s="742">
        <f t="shared" si="948"/>
        <v>3025338.3220748859</v>
      </c>
      <c r="AH550" s="742">
        <f t="shared" si="948"/>
        <v>3078875.508685851</v>
      </c>
      <c r="AI550" s="18"/>
      <c r="AJ550" s="18"/>
      <c r="AK550" s="18"/>
      <c r="AL550" s="18"/>
      <c r="AM550" s="18"/>
      <c r="AN550" s="18"/>
    </row>
    <row r="551" spans="2:41" ht="21.9" customHeight="1" x14ac:dyDescent="0.25">
      <c r="B551" s="9"/>
      <c r="C551" s="690"/>
      <c r="D551" s="690"/>
      <c r="E551" s="114"/>
      <c r="F551" s="114"/>
      <c r="G551" s="114"/>
      <c r="H551" s="743"/>
      <c r="I551" s="743"/>
      <c r="J551" s="743"/>
      <c r="K551" s="743"/>
      <c r="L551" s="743"/>
      <c r="M551" s="743"/>
      <c r="N551" s="743"/>
      <c r="O551" s="743"/>
      <c r="P551" s="743"/>
      <c r="Q551" s="743"/>
      <c r="R551" s="743"/>
      <c r="S551" s="743"/>
      <c r="T551" s="743"/>
      <c r="U551" s="743"/>
      <c r="V551" s="743"/>
      <c r="W551" s="743"/>
      <c r="X551" s="743"/>
      <c r="Y551" s="743"/>
      <c r="Z551" s="743"/>
      <c r="AA551" s="743"/>
      <c r="AB551" s="743"/>
      <c r="AC551" s="743"/>
      <c r="AD551" s="743"/>
      <c r="AE551" s="743"/>
      <c r="AF551" s="743"/>
      <c r="AG551" s="743"/>
      <c r="AH551" s="743"/>
      <c r="AI551" s="18"/>
      <c r="AJ551" s="18"/>
      <c r="AK551" s="18"/>
      <c r="AL551" s="18"/>
      <c r="AM551" s="18"/>
      <c r="AN551" s="18"/>
    </row>
    <row r="552" spans="2:41" ht="21.9" customHeight="1" thickBot="1" x14ac:dyDescent="0.3">
      <c r="B552" s="9"/>
      <c r="C552" s="690"/>
      <c r="D552" s="690"/>
      <c r="E552" s="114"/>
      <c r="F552" s="114"/>
      <c r="G552" s="114"/>
      <c r="H552" s="743"/>
      <c r="I552" s="743"/>
      <c r="J552" s="743"/>
      <c r="K552" s="743"/>
      <c r="L552" s="743"/>
      <c r="M552" s="743"/>
      <c r="N552" s="743"/>
      <c r="O552" s="743"/>
      <c r="P552" s="743"/>
      <c r="Q552" s="743"/>
      <c r="R552" s="743"/>
      <c r="S552" s="743"/>
      <c r="T552" s="743"/>
      <c r="U552" s="743"/>
      <c r="V552" s="743"/>
      <c r="W552" s="743"/>
      <c r="X552" s="743"/>
      <c r="Y552" s="743"/>
      <c r="Z552" s="743"/>
      <c r="AA552" s="743"/>
      <c r="AB552" s="743"/>
      <c r="AC552" s="743"/>
      <c r="AD552" s="743"/>
      <c r="AE552" s="743"/>
      <c r="AF552" s="743"/>
      <c r="AG552" s="743"/>
      <c r="AH552" s="743"/>
      <c r="AI552" s="18"/>
      <c r="AJ552" s="18"/>
      <c r="AK552" s="18"/>
      <c r="AL552" s="18"/>
      <c r="AM552" s="18"/>
      <c r="AN552" s="18"/>
    </row>
    <row r="553" spans="2:41" s="7" customFormat="1" ht="21.9" customHeight="1" thickBot="1" x14ac:dyDescent="0.3">
      <c r="B553" s="231"/>
      <c r="C553" s="462" t="s">
        <v>2</v>
      </c>
      <c r="D553" s="462"/>
      <c r="E553" s="462" t="s">
        <v>312</v>
      </c>
      <c r="F553" s="1326" t="s">
        <v>18</v>
      </c>
      <c r="G553" s="1326"/>
      <c r="H553" s="462" t="s">
        <v>24</v>
      </c>
      <c r="I553" s="738">
        <v>2023</v>
      </c>
      <c r="J553" s="738">
        <v>2024</v>
      </c>
      <c r="K553" s="738">
        <v>2025</v>
      </c>
      <c r="L553" s="738">
        <v>2026</v>
      </c>
      <c r="M553" s="738">
        <v>2027</v>
      </c>
      <c r="N553" s="738">
        <v>2028</v>
      </c>
      <c r="O553" s="738">
        <v>2029</v>
      </c>
      <c r="P553" s="738">
        <v>2030</v>
      </c>
      <c r="Q553" s="738">
        <v>2031</v>
      </c>
      <c r="R553" s="738">
        <v>2032</v>
      </c>
      <c r="S553" s="738">
        <v>2033</v>
      </c>
      <c r="T553" s="738">
        <v>2034</v>
      </c>
      <c r="U553" s="738">
        <v>2035</v>
      </c>
      <c r="V553" s="738">
        <v>2036</v>
      </c>
      <c r="W553" s="738">
        <v>2037</v>
      </c>
      <c r="X553" s="738">
        <v>2038</v>
      </c>
      <c r="Y553" s="738">
        <v>2039</v>
      </c>
      <c r="Z553" s="738">
        <v>2040</v>
      </c>
      <c r="AA553" s="738">
        <v>2041</v>
      </c>
      <c r="AB553" s="738">
        <v>2042</v>
      </c>
      <c r="AC553" s="738">
        <v>2043</v>
      </c>
      <c r="AD553" s="738">
        <v>2044</v>
      </c>
      <c r="AE553" s="738">
        <v>2045</v>
      </c>
      <c r="AF553" s="738">
        <v>2046</v>
      </c>
      <c r="AG553" s="738">
        <v>2047</v>
      </c>
      <c r="AH553" s="737">
        <v>2048</v>
      </c>
      <c r="AI553" s="461"/>
      <c r="AJ553" s="461"/>
      <c r="AK553" s="461"/>
      <c r="AL553" s="461"/>
      <c r="AM553" s="461"/>
      <c r="AN553" s="461"/>
      <c r="AO553" s="461"/>
    </row>
    <row r="554" spans="2:41" ht="21.9" customHeight="1" x14ac:dyDescent="0.25">
      <c r="B554" s="196" t="s">
        <v>211</v>
      </c>
      <c r="C554" s="114" t="s">
        <v>130</v>
      </c>
      <c r="D554" s="237" t="s">
        <v>23</v>
      </c>
      <c r="E554" s="1327" t="s">
        <v>315</v>
      </c>
      <c r="F554" s="114" t="s">
        <v>316</v>
      </c>
      <c r="G554" s="114" t="s">
        <v>276</v>
      </c>
      <c r="H554" s="114" t="s">
        <v>20</v>
      </c>
      <c r="I554" s="552">
        <f t="shared" ref="I554:AH554" si="949">I490*$D$11</f>
        <v>2839.7034752162758</v>
      </c>
      <c r="J554" s="552">
        <f t="shared" si="949"/>
        <v>2968.833342052636</v>
      </c>
      <c r="K554" s="552">
        <f t="shared" si="949"/>
        <v>3150.7686661133293</v>
      </c>
      <c r="L554" s="552">
        <f t="shared" si="949"/>
        <v>3418.3997915320092</v>
      </c>
      <c r="M554" s="552">
        <f t="shared" si="949"/>
        <v>3686.1581842869969</v>
      </c>
      <c r="N554" s="552">
        <f t="shared" si="949"/>
        <v>3953.9747185570686</v>
      </c>
      <c r="O554" s="552">
        <f t="shared" si="949"/>
        <v>4221.8023589608683</v>
      </c>
      <c r="P554" s="552">
        <f t="shared" si="949"/>
        <v>4490.0210524056411</v>
      </c>
      <c r="Q554" s="552">
        <f t="shared" si="949"/>
        <v>4755.3994730540635</v>
      </c>
      <c r="R554" s="552">
        <f t="shared" si="949"/>
        <v>5021.3850580921871</v>
      </c>
      <c r="S554" s="552">
        <f t="shared" si="949"/>
        <v>5288.217004989101</v>
      </c>
      <c r="T554" s="552">
        <f t="shared" si="949"/>
        <v>5556.4755597440217</v>
      </c>
      <c r="U554" s="552">
        <f t="shared" si="949"/>
        <v>5827.1464933995849</v>
      </c>
      <c r="V554" s="552">
        <f t="shared" si="949"/>
        <v>6011.7639965267981</v>
      </c>
      <c r="W554" s="552">
        <f t="shared" si="949"/>
        <v>6146.2620294136414</v>
      </c>
      <c r="X554" s="552">
        <f t="shared" si="949"/>
        <v>6282.0212968713513</v>
      </c>
      <c r="Y554" s="552">
        <f t="shared" si="949"/>
        <v>6419.3023690735254</v>
      </c>
      <c r="Z554" s="552">
        <f t="shared" si="949"/>
        <v>6558.4607448453226</v>
      </c>
      <c r="AA554" s="552">
        <f t="shared" si="949"/>
        <v>6699.7622691808983</v>
      </c>
      <c r="AB554" s="552">
        <f t="shared" si="949"/>
        <v>6843.7278349002245</v>
      </c>
      <c r="AC554" s="552">
        <f t="shared" si="949"/>
        <v>6990.7534289797177</v>
      </c>
      <c r="AD554" s="552">
        <f t="shared" si="949"/>
        <v>7141.4643437971181</v>
      </c>
      <c r="AE554" s="552">
        <f t="shared" si="949"/>
        <v>7296.5840951259834</v>
      </c>
      <c r="AF554" s="552">
        <f t="shared" si="949"/>
        <v>7456.7817382616922</v>
      </c>
      <c r="AG554" s="552">
        <f t="shared" si="949"/>
        <v>7623.0055767363974</v>
      </c>
      <c r="AH554" s="727">
        <f t="shared" si="949"/>
        <v>7796.3487471025346</v>
      </c>
      <c r="AI554" s="18"/>
      <c r="AJ554" s="18"/>
      <c r="AK554" s="18"/>
      <c r="AL554" s="18"/>
      <c r="AM554" s="18"/>
      <c r="AN554" s="18"/>
    </row>
    <row r="555" spans="2:41" ht="21.9" customHeight="1" x14ac:dyDescent="0.25">
      <c r="B555" s="463" t="s">
        <v>158</v>
      </c>
      <c r="C555" s="690"/>
      <c r="D555" s="237"/>
      <c r="E555" s="1327"/>
      <c r="F555" s="114"/>
      <c r="G555" s="114"/>
      <c r="H555" s="122" t="s">
        <v>19</v>
      </c>
      <c r="I555" s="552">
        <f t="shared" ref="I555:AH555" si="950">I491*$D$12</f>
        <v>6028.7662239213269</v>
      </c>
      <c r="J555" s="552">
        <f t="shared" si="950"/>
        <v>6302.9123756152858</v>
      </c>
      <c r="K555" s="552">
        <f t="shared" si="950"/>
        <v>6689.1659215253048</v>
      </c>
      <c r="L555" s="552">
        <f t="shared" si="950"/>
        <v>7257.3539395616972</v>
      </c>
      <c r="M555" s="552">
        <f t="shared" si="950"/>
        <v>7825.8121495477899</v>
      </c>
      <c r="N555" s="552">
        <f t="shared" si="950"/>
        <v>8394.3937955212677</v>
      </c>
      <c r="O555" s="552">
        <f t="shared" si="950"/>
        <v>8962.999020112893</v>
      </c>
      <c r="P555" s="552">
        <f t="shared" si="950"/>
        <v>9532.4344607414259</v>
      </c>
      <c r="Q555" s="552">
        <f t="shared" si="950"/>
        <v>10095.839926462084</v>
      </c>
      <c r="R555" s="552">
        <f t="shared" si="950"/>
        <v>10660.534418377534</v>
      </c>
      <c r="S555" s="552">
        <f t="shared" si="950"/>
        <v>11227.02575909499</v>
      </c>
      <c r="T555" s="552">
        <f t="shared" si="950"/>
        <v>11796.545826348223</v>
      </c>
      <c r="U555" s="552">
        <f t="shared" si="950"/>
        <v>12371.187438355135</v>
      </c>
      <c r="V555" s="552">
        <f t="shared" si="950"/>
        <v>12763.135321967617</v>
      </c>
      <c r="W555" s="552">
        <f t="shared" si="950"/>
        <v>13048.678233376811</v>
      </c>
      <c r="X555" s="552">
        <f t="shared" si="950"/>
        <v>13336.898779422032</v>
      </c>
      <c r="Y555" s="552">
        <f t="shared" si="950"/>
        <v>13628.350157532253</v>
      </c>
      <c r="Z555" s="552">
        <f t="shared" si="950"/>
        <v>13923.787101195841</v>
      </c>
      <c r="AA555" s="552">
        <f t="shared" si="950"/>
        <v>14223.774006426513</v>
      </c>
      <c r="AB555" s="552">
        <f t="shared" si="950"/>
        <v>14529.416742575326</v>
      </c>
      <c r="AC555" s="552">
        <f t="shared" si="950"/>
        <v>14841.556000555745</v>
      </c>
      <c r="AD555" s="552">
        <f t="shared" si="950"/>
        <v>15161.519292764708</v>
      </c>
      <c r="AE555" s="552">
        <f t="shared" si="950"/>
        <v>15490.842662488481</v>
      </c>
      <c r="AF555" s="552">
        <f t="shared" si="950"/>
        <v>15830.946531965488</v>
      </c>
      <c r="AG555" s="552">
        <f t="shared" si="950"/>
        <v>16183.844174889466</v>
      </c>
      <c r="AH555" s="727">
        <f t="shared" si="950"/>
        <v>16551.856349319482</v>
      </c>
      <c r="AI555" s="18"/>
      <c r="AJ555" s="18"/>
      <c r="AK555" s="18"/>
      <c r="AL555" s="18"/>
      <c r="AM555" s="18"/>
      <c r="AN555" s="18"/>
    </row>
    <row r="556" spans="2:41" ht="21.9" customHeight="1" x14ac:dyDescent="0.25">
      <c r="B556" s="196"/>
      <c r="C556" s="114"/>
      <c r="D556" s="237"/>
      <c r="E556" s="1327"/>
      <c r="F556" s="114"/>
      <c r="G556" s="114"/>
      <c r="H556" s="695" t="s">
        <v>25</v>
      </c>
      <c r="I556" s="552">
        <f t="shared" ref="I556" si="951">SUM(I554:I555)</f>
        <v>8868.4696991376022</v>
      </c>
      <c r="J556" s="552">
        <f t="shared" ref="J556:AH556" si="952">SUM(J554:J555)</f>
        <v>9271.7457176679218</v>
      </c>
      <c r="K556" s="552">
        <f t="shared" si="952"/>
        <v>9839.9345876386342</v>
      </c>
      <c r="L556" s="552">
        <f t="shared" si="952"/>
        <v>10675.753731093706</v>
      </c>
      <c r="M556" s="552">
        <f t="shared" si="952"/>
        <v>11511.970333834786</v>
      </c>
      <c r="N556" s="552">
        <f t="shared" si="952"/>
        <v>12348.368514078336</v>
      </c>
      <c r="O556" s="552">
        <f t="shared" si="952"/>
        <v>13184.80137907376</v>
      </c>
      <c r="P556" s="552">
        <f t="shared" si="952"/>
        <v>14022.455513147066</v>
      </c>
      <c r="Q556" s="552">
        <f t="shared" si="952"/>
        <v>14851.239399516147</v>
      </c>
      <c r="R556" s="552">
        <f t="shared" si="952"/>
        <v>15681.91947646972</v>
      </c>
      <c r="S556" s="552">
        <f t="shared" si="952"/>
        <v>16515.242764084091</v>
      </c>
      <c r="T556" s="552">
        <f t="shared" si="952"/>
        <v>17353.021386092245</v>
      </c>
      <c r="U556" s="552">
        <f t="shared" si="952"/>
        <v>18198.333931754722</v>
      </c>
      <c r="V556" s="552">
        <f t="shared" si="952"/>
        <v>18774.899318494416</v>
      </c>
      <c r="W556" s="552">
        <f t="shared" si="952"/>
        <v>19194.940262790453</v>
      </c>
      <c r="X556" s="552">
        <f t="shared" si="952"/>
        <v>19618.920076293383</v>
      </c>
      <c r="Y556" s="552">
        <f t="shared" si="952"/>
        <v>20047.65252660578</v>
      </c>
      <c r="Z556" s="552">
        <f t="shared" si="952"/>
        <v>20482.247846041166</v>
      </c>
      <c r="AA556" s="552">
        <f t="shared" si="952"/>
        <v>20923.53627560741</v>
      </c>
      <c r="AB556" s="552">
        <f t="shared" si="952"/>
        <v>21373.144577475548</v>
      </c>
      <c r="AC556" s="552">
        <f t="shared" si="952"/>
        <v>21832.309429535464</v>
      </c>
      <c r="AD556" s="552">
        <f t="shared" si="952"/>
        <v>22302.983636561825</v>
      </c>
      <c r="AE556" s="552">
        <f t="shared" si="952"/>
        <v>22787.426757614463</v>
      </c>
      <c r="AF556" s="552">
        <f t="shared" si="952"/>
        <v>23287.72827022718</v>
      </c>
      <c r="AG556" s="552">
        <f t="shared" si="952"/>
        <v>23806.849751625865</v>
      </c>
      <c r="AH556" s="727">
        <f t="shared" si="952"/>
        <v>24348.205096422018</v>
      </c>
      <c r="AI556" s="18"/>
      <c r="AJ556" s="18"/>
      <c r="AK556" s="18"/>
      <c r="AL556" s="18"/>
      <c r="AM556" s="18"/>
      <c r="AN556" s="18"/>
    </row>
    <row r="557" spans="2:41" ht="21.9" customHeight="1" x14ac:dyDescent="0.25">
      <c r="B557" s="194"/>
      <c r="C557" s="690"/>
      <c r="D557" s="690"/>
      <c r="E557" s="1327"/>
      <c r="F557" s="114" t="s">
        <v>276</v>
      </c>
      <c r="G557" s="114" t="s">
        <v>274</v>
      </c>
      <c r="H557" s="114" t="s">
        <v>20</v>
      </c>
      <c r="I557" s="552">
        <f t="shared" ref="I557:AH557" si="953">I493*$D$11</f>
        <v>91311.52253867338</v>
      </c>
      <c r="J557" s="552">
        <f t="shared" si="953"/>
        <v>96131.441104935249</v>
      </c>
      <c r="K557" s="552">
        <f t="shared" si="953"/>
        <v>103366.76271725613</v>
      </c>
      <c r="L557" s="552">
        <f t="shared" si="953"/>
        <v>115320.74695708769</v>
      </c>
      <c r="M557" s="552">
        <f t="shared" si="953"/>
        <v>127280.67466658521</v>
      </c>
      <c r="N557" s="552">
        <f t="shared" si="953"/>
        <v>139241.20518894235</v>
      </c>
      <c r="O557" s="552">
        <f t="shared" si="953"/>
        <v>151199.84428818477</v>
      </c>
      <c r="P557" s="552">
        <f t="shared" si="953"/>
        <v>163175.24833349735</v>
      </c>
      <c r="Q557" s="552">
        <f t="shared" si="953"/>
        <v>175268.85149160255</v>
      </c>
      <c r="R557" s="552">
        <f t="shared" si="953"/>
        <v>187389.14023242891</v>
      </c>
      <c r="S557" s="552">
        <f t="shared" si="953"/>
        <v>199546.39721426327</v>
      </c>
      <c r="T557" s="552">
        <f t="shared" si="953"/>
        <v>211775.4391607221</v>
      </c>
      <c r="U557" s="552">
        <f t="shared" si="953"/>
        <v>224137.17592909027</v>
      </c>
      <c r="V557" s="552">
        <f t="shared" si="953"/>
        <v>231745.81213648838</v>
      </c>
      <c r="W557" s="552">
        <f t="shared" si="953"/>
        <v>236788.87048701913</v>
      </c>
      <c r="X557" s="552">
        <f t="shared" si="953"/>
        <v>241882.55052898737</v>
      </c>
      <c r="Y557" s="552">
        <f t="shared" si="953"/>
        <v>247036.96416431118</v>
      </c>
      <c r="Z557" s="552">
        <f t="shared" si="953"/>
        <v>252266.93596541754</v>
      </c>
      <c r="AA557" s="552">
        <f t="shared" si="953"/>
        <v>257580.4909983415</v>
      </c>
      <c r="AB557" s="552">
        <f t="shared" si="953"/>
        <v>262999.81439182477</v>
      </c>
      <c r="AC557" s="552">
        <f t="shared" si="953"/>
        <v>268537.6785192056</v>
      </c>
      <c r="AD557" s="552">
        <f t="shared" si="953"/>
        <v>274218.95144821005</v>
      </c>
      <c r="AE557" s="552">
        <f t="shared" si="953"/>
        <v>280072.2546423676</v>
      </c>
      <c r="AF557" s="552">
        <f t="shared" si="953"/>
        <v>286120.2086149563</v>
      </c>
      <c r="AG557" s="552">
        <f t="shared" si="953"/>
        <v>292399.62454634061</v>
      </c>
      <c r="AH557" s="727">
        <f t="shared" si="953"/>
        <v>298952.81230898295</v>
      </c>
      <c r="AI557" s="18"/>
      <c r="AJ557" s="18"/>
      <c r="AK557" s="18"/>
      <c r="AL557" s="18"/>
      <c r="AM557" s="18"/>
      <c r="AN557" s="18"/>
    </row>
    <row r="558" spans="2:41" ht="21.9" customHeight="1" x14ac:dyDescent="0.25">
      <c r="B558" s="463"/>
      <c r="C558" s="690"/>
      <c r="D558" s="690"/>
      <c r="E558" s="1327"/>
      <c r="F558" s="114"/>
      <c r="G558" s="114"/>
      <c r="H558" s="122" t="s">
        <v>19</v>
      </c>
      <c r="I558" s="552">
        <f t="shared" ref="I558:AH558" si="954">I494*$D$12</f>
        <v>193856.79798629624</v>
      </c>
      <c r="J558" s="552">
        <f t="shared" si="954"/>
        <v>204089.61366861596</v>
      </c>
      <c r="K558" s="552">
        <f t="shared" si="954"/>
        <v>219450.39444599833</v>
      </c>
      <c r="L558" s="552">
        <f t="shared" si="954"/>
        <v>244829.02184683835</v>
      </c>
      <c r="M558" s="552">
        <f t="shared" si="954"/>
        <v>270220.2673923148</v>
      </c>
      <c r="N558" s="552">
        <f t="shared" si="954"/>
        <v>295612.79272557166</v>
      </c>
      <c r="O558" s="552">
        <f t="shared" si="954"/>
        <v>321001.30251710437</v>
      </c>
      <c r="P558" s="552">
        <f t="shared" si="954"/>
        <v>346425.40473633079</v>
      </c>
      <c r="Q558" s="552">
        <f t="shared" si="954"/>
        <v>372100.44682485028</v>
      </c>
      <c r="R558" s="552">
        <f t="shared" si="954"/>
        <v>397832.14311729604</v>
      </c>
      <c r="S558" s="552">
        <f t="shared" si="954"/>
        <v>423642.32397148979</v>
      </c>
      <c r="T558" s="552">
        <f t="shared" si="954"/>
        <v>449604.90622036817</v>
      </c>
      <c r="U558" s="552">
        <f t="shared" si="954"/>
        <v>475849.20311565173</v>
      </c>
      <c r="V558" s="552">
        <f t="shared" si="954"/>
        <v>492002.54073614854</v>
      </c>
      <c r="W558" s="552">
        <f t="shared" si="954"/>
        <v>502709.08813248487</v>
      </c>
      <c r="X558" s="552">
        <f t="shared" si="954"/>
        <v>513523.10673002223</v>
      </c>
      <c r="Y558" s="552">
        <f t="shared" si="954"/>
        <v>524466.06436625682</v>
      </c>
      <c r="Z558" s="552">
        <f t="shared" si="954"/>
        <v>535569.43400388048</v>
      </c>
      <c r="AA558" s="552">
        <f t="shared" si="954"/>
        <v>546850.25307214574</v>
      </c>
      <c r="AB558" s="552">
        <f t="shared" si="954"/>
        <v>558355.62119113596</v>
      </c>
      <c r="AC558" s="552">
        <f t="shared" si="954"/>
        <v>570112.65445013717</v>
      </c>
      <c r="AD558" s="552">
        <f t="shared" si="954"/>
        <v>582174.14842026087</v>
      </c>
      <c r="AE558" s="552">
        <f t="shared" si="954"/>
        <v>594600.86723202711</v>
      </c>
      <c r="AF558" s="552">
        <f t="shared" si="954"/>
        <v>607440.83483850269</v>
      </c>
      <c r="AG558" s="552">
        <f t="shared" si="954"/>
        <v>620772.20235750056</v>
      </c>
      <c r="AH558" s="727">
        <f t="shared" si="954"/>
        <v>634684.79477682838</v>
      </c>
      <c r="AI558" s="18"/>
      <c r="AJ558" s="18"/>
      <c r="AK558" s="18"/>
      <c r="AL558" s="18"/>
      <c r="AM558" s="18"/>
      <c r="AN558" s="18"/>
    </row>
    <row r="559" spans="2:41" ht="21.9" customHeight="1" x14ac:dyDescent="0.25">
      <c r="B559" s="463"/>
      <c r="C559" s="690"/>
      <c r="D559" s="690"/>
      <c r="E559" s="1327"/>
      <c r="F559" s="114"/>
      <c r="G559" s="114"/>
      <c r="H559" s="695" t="s">
        <v>25</v>
      </c>
      <c r="I559" s="552">
        <f t="shared" ref="I559:AH559" si="955">SUM(I557:I558)</f>
        <v>285168.3205249696</v>
      </c>
      <c r="J559" s="552">
        <f t="shared" si="955"/>
        <v>300221.05477355118</v>
      </c>
      <c r="K559" s="552">
        <f t="shared" si="955"/>
        <v>322817.15716325445</v>
      </c>
      <c r="L559" s="552">
        <f t="shared" si="955"/>
        <v>360149.76880392607</v>
      </c>
      <c r="M559" s="552">
        <f t="shared" si="955"/>
        <v>397500.94205890002</v>
      </c>
      <c r="N559" s="552">
        <f t="shared" si="955"/>
        <v>434853.99791451404</v>
      </c>
      <c r="O559" s="552">
        <f t="shared" si="955"/>
        <v>472201.14680528914</v>
      </c>
      <c r="P559" s="552">
        <f t="shared" si="955"/>
        <v>509600.65306982817</v>
      </c>
      <c r="Q559" s="552">
        <f t="shared" si="955"/>
        <v>547369.29831645289</v>
      </c>
      <c r="R559" s="552">
        <f t="shared" si="955"/>
        <v>585221.28334972495</v>
      </c>
      <c r="S559" s="552">
        <f t="shared" si="955"/>
        <v>623188.72118575312</v>
      </c>
      <c r="T559" s="552">
        <f t="shared" si="955"/>
        <v>661380.3453810903</v>
      </c>
      <c r="U559" s="552">
        <f t="shared" si="955"/>
        <v>699986.37904474197</v>
      </c>
      <c r="V559" s="552">
        <f t="shared" si="955"/>
        <v>723748.35287263687</v>
      </c>
      <c r="W559" s="552">
        <f t="shared" si="955"/>
        <v>739497.958619504</v>
      </c>
      <c r="X559" s="552">
        <f t="shared" si="955"/>
        <v>755405.65725900955</v>
      </c>
      <c r="Y559" s="552">
        <f t="shared" si="955"/>
        <v>771503.028530568</v>
      </c>
      <c r="Z559" s="552">
        <f t="shared" si="955"/>
        <v>787836.36996929802</v>
      </c>
      <c r="AA559" s="552">
        <f t="shared" si="955"/>
        <v>804430.74407048721</v>
      </c>
      <c r="AB559" s="552">
        <f t="shared" si="955"/>
        <v>821355.43558296072</v>
      </c>
      <c r="AC559" s="552">
        <f t="shared" si="955"/>
        <v>838650.33296934282</v>
      </c>
      <c r="AD559" s="552">
        <f t="shared" si="955"/>
        <v>856393.09986847092</v>
      </c>
      <c r="AE559" s="552">
        <f t="shared" si="955"/>
        <v>874673.12187439471</v>
      </c>
      <c r="AF559" s="552">
        <f t="shared" si="955"/>
        <v>893561.04345345893</v>
      </c>
      <c r="AG559" s="552">
        <f t="shared" si="955"/>
        <v>913171.82690384123</v>
      </c>
      <c r="AH559" s="727">
        <f t="shared" si="955"/>
        <v>933637.60708581132</v>
      </c>
      <c r="AI559" s="18"/>
      <c r="AJ559" s="18"/>
      <c r="AK559" s="18"/>
      <c r="AL559" s="18"/>
      <c r="AM559" s="18"/>
      <c r="AN559" s="18"/>
    </row>
    <row r="560" spans="2:41" ht="21.9" customHeight="1" x14ac:dyDescent="0.25">
      <c r="B560" s="463"/>
      <c r="C560" s="690"/>
      <c r="D560" s="690"/>
      <c r="E560" s="1327"/>
      <c r="F560" s="114" t="s">
        <v>274</v>
      </c>
      <c r="G560" s="114" t="s">
        <v>317</v>
      </c>
      <c r="H560" s="114" t="s">
        <v>20</v>
      </c>
      <c r="I560" s="552">
        <f t="shared" ref="I560:AH560" si="956">I496*$D$11</f>
        <v>2130.0117410709486</v>
      </c>
      <c r="J560" s="552">
        <f t="shared" si="956"/>
        <v>2219.0829433370509</v>
      </c>
      <c r="K560" s="552">
        <f t="shared" si="956"/>
        <v>2329.4195780830646</v>
      </c>
      <c r="L560" s="552">
        <f t="shared" si="956"/>
        <v>2478.2344944223009</v>
      </c>
      <c r="M560" s="552">
        <f t="shared" si="956"/>
        <v>2627.6078940069137</v>
      </c>
      <c r="N560" s="552">
        <f t="shared" si="956"/>
        <v>2777.8134931806635</v>
      </c>
      <c r="O560" s="552">
        <f t="shared" si="956"/>
        <v>2929.3734169496965</v>
      </c>
      <c r="P560" s="552">
        <f t="shared" si="956"/>
        <v>3083.2621066906709</v>
      </c>
      <c r="Q560" s="552">
        <f t="shared" si="956"/>
        <v>3235.6484541771488</v>
      </c>
      <c r="R560" s="552">
        <f t="shared" si="956"/>
        <v>3392.9899254607421</v>
      </c>
      <c r="S560" s="552">
        <f t="shared" si="956"/>
        <v>3557.5253406710635</v>
      </c>
      <c r="T560" s="552">
        <f t="shared" si="956"/>
        <v>3732.6247667955809</v>
      </c>
      <c r="U560" s="552">
        <f t="shared" si="956"/>
        <v>3923.032376924381</v>
      </c>
      <c r="V560" s="552">
        <f t="shared" si="956"/>
        <v>4075.9829167332791</v>
      </c>
      <c r="W560" s="552">
        <f t="shared" si="956"/>
        <v>4216.2111283233298</v>
      </c>
      <c r="X560" s="552">
        <f t="shared" si="956"/>
        <v>4369.2668203498642</v>
      </c>
      <c r="Y560" s="552">
        <f t="shared" si="956"/>
        <v>4537.9685272611259</v>
      </c>
      <c r="Z560" s="552">
        <f t="shared" si="956"/>
        <v>4725.7515473365011</v>
      </c>
      <c r="AA560" s="552">
        <f t="shared" si="956"/>
        <v>4936.4489257772275</v>
      </c>
      <c r="AB560" s="552">
        <f t="shared" si="956"/>
        <v>5174.9396766438313</v>
      </c>
      <c r="AC560" s="552">
        <f t="shared" si="956"/>
        <v>5446.5803622009817</v>
      </c>
      <c r="AD560" s="552">
        <f t="shared" si="956"/>
        <v>5757.9713738829914</v>
      </c>
      <c r="AE560" s="552">
        <f t="shared" si="956"/>
        <v>6116.8876819951574</v>
      </c>
      <c r="AF560" s="552">
        <f t="shared" si="956"/>
        <v>6531.9396135404113</v>
      </c>
      <c r="AG560" s="552">
        <f t="shared" si="956"/>
        <v>7013.6088651348027</v>
      </c>
      <c r="AH560" s="727">
        <f t="shared" si="956"/>
        <v>7574.1435784585819</v>
      </c>
      <c r="AI560" s="18"/>
      <c r="AJ560" s="18"/>
      <c r="AK560" s="18"/>
      <c r="AL560" s="18"/>
      <c r="AM560" s="18"/>
      <c r="AN560" s="18"/>
    </row>
    <row r="561" spans="2:40" ht="21.9" customHeight="1" x14ac:dyDescent="0.25">
      <c r="B561" s="463"/>
      <c r="C561" s="690"/>
      <c r="D561" s="690"/>
      <c r="E561" s="1327"/>
      <c r="F561" s="114"/>
      <c r="G561" s="114"/>
      <c r="H561" s="122" t="s">
        <v>19</v>
      </c>
      <c r="I561" s="552">
        <f t="shared" ref="I561:AH561" si="957">I497*$D$12</f>
        <v>4522.0717420667943</v>
      </c>
      <c r="J561" s="552">
        <f t="shared" si="957"/>
        <v>4711.1722803562861</v>
      </c>
      <c r="K561" s="552">
        <f t="shared" si="957"/>
        <v>4945.4198990331815</v>
      </c>
      <c r="L561" s="552">
        <f t="shared" si="957"/>
        <v>5261.3579358992783</v>
      </c>
      <c r="M561" s="552">
        <f t="shared" si="957"/>
        <v>5578.4816475922507</v>
      </c>
      <c r="N561" s="552">
        <f t="shared" si="957"/>
        <v>5897.3721412109899</v>
      </c>
      <c r="O561" s="552">
        <f t="shared" si="957"/>
        <v>6219.1379020706681</v>
      </c>
      <c r="P561" s="552">
        <f t="shared" si="957"/>
        <v>6545.8476952061064</v>
      </c>
      <c r="Q561" s="552">
        <f t="shared" si="957"/>
        <v>6869.367975661884</v>
      </c>
      <c r="R561" s="552">
        <f t="shared" si="957"/>
        <v>7203.4081161115382</v>
      </c>
      <c r="S561" s="552">
        <f t="shared" si="957"/>
        <v>7552.7211914083564</v>
      </c>
      <c r="T561" s="552">
        <f t="shared" si="957"/>
        <v>7924.461943659644</v>
      </c>
      <c r="U561" s="552">
        <f t="shared" si="957"/>
        <v>8328.7023788813749</v>
      </c>
      <c r="V561" s="552">
        <f t="shared" si="957"/>
        <v>8653.420454686875</v>
      </c>
      <c r="W561" s="552">
        <f t="shared" si="957"/>
        <v>8951.1286883293342</v>
      </c>
      <c r="X561" s="552">
        <f t="shared" si="957"/>
        <v>9276.0700050976975</v>
      </c>
      <c r="Y561" s="552">
        <f t="shared" si="957"/>
        <v>9634.2282288069637</v>
      </c>
      <c r="Z561" s="552">
        <f t="shared" si="957"/>
        <v>10032.896589337155</v>
      </c>
      <c r="AA561" s="552">
        <f t="shared" si="957"/>
        <v>10480.212743892864</v>
      </c>
      <c r="AB561" s="552">
        <f t="shared" si="957"/>
        <v>10986.534969467035</v>
      </c>
      <c r="AC561" s="552">
        <f t="shared" si="957"/>
        <v>11563.235390628106</v>
      </c>
      <c r="AD561" s="552">
        <f t="shared" si="957"/>
        <v>12224.326814449465</v>
      </c>
      <c r="AE561" s="552">
        <f t="shared" si="957"/>
        <v>12986.315710278233</v>
      </c>
      <c r="AF561" s="552">
        <f t="shared" si="957"/>
        <v>13867.482032012851</v>
      </c>
      <c r="AG561" s="552">
        <f t="shared" si="957"/>
        <v>14890.078701157176</v>
      </c>
      <c r="AH561" s="727">
        <f t="shared" si="957"/>
        <v>16080.108849204396</v>
      </c>
      <c r="AI561" s="18"/>
      <c r="AJ561" s="18"/>
      <c r="AK561" s="18"/>
      <c r="AL561" s="18"/>
      <c r="AM561" s="18"/>
      <c r="AN561" s="18"/>
    </row>
    <row r="562" spans="2:40" ht="21.9" customHeight="1" x14ac:dyDescent="0.25">
      <c r="B562" s="229"/>
      <c r="C562" s="690"/>
      <c r="D562" s="690"/>
      <c r="E562" s="1327"/>
      <c r="F562" s="114"/>
      <c r="G562" s="114"/>
      <c r="H562" s="696" t="s">
        <v>25</v>
      </c>
      <c r="I562" s="552">
        <f t="shared" ref="I562:AH562" si="958">SUM(I560:I561)</f>
        <v>6652.0834831377433</v>
      </c>
      <c r="J562" s="552">
        <f t="shared" si="958"/>
        <v>6930.255223693337</v>
      </c>
      <c r="K562" s="552">
        <f t="shared" si="958"/>
        <v>7274.8394771162457</v>
      </c>
      <c r="L562" s="552">
        <f t="shared" si="958"/>
        <v>7739.5924303215797</v>
      </c>
      <c r="M562" s="552">
        <f t="shared" si="958"/>
        <v>8206.0895415991654</v>
      </c>
      <c r="N562" s="552">
        <f t="shared" si="958"/>
        <v>8675.1856343916534</v>
      </c>
      <c r="O562" s="552">
        <f t="shared" si="958"/>
        <v>9148.5113190203647</v>
      </c>
      <c r="P562" s="552">
        <f t="shared" si="958"/>
        <v>9629.1098018967768</v>
      </c>
      <c r="Q562" s="552">
        <f t="shared" si="958"/>
        <v>10105.016429839034</v>
      </c>
      <c r="R562" s="552">
        <f t="shared" si="958"/>
        <v>10596.39804157228</v>
      </c>
      <c r="S562" s="552">
        <f t="shared" si="958"/>
        <v>11110.24653207942</v>
      </c>
      <c r="T562" s="552">
        <f t="shared" si="958"/>
        <v>11657.086710455225</v>
      </c>
      <c r="U562" s="552">
        <f t="shared" si="958"/>
        <v>12251.734755805755</v>
      </c>
      <c r="V562" s="552">
        <f t="shared" si="958"/>
        <v>12729.403371420154</v>
      </c>
      <c r="W562" s="552">
        <f t="shared" si="958"/>
        <v>13167.339816652664</v>
      </c>
      <c r="X562" s="552">
        <f t="shared" si="958"/>
        <v>13645.336825447561</v>
      </c>
      <c r="Y562" s="552">
        <f t="shared" si="958"/>
        <v>14172.19675606809</v>
      </c>
      <c r="Z562" s="552">
        <f t="shared" si="958"/>
        <v>14758.648136673655</v>
      </c>
      <c r="AA562" s="552">
        <f t="shared" si="958"/>
        <v>15416.661669670091</v>
      </c>
      <c r="AB562" s="552">
        <f t="shared" si="958"/>
        <v>16161.474646110866</v>
      </c>
      <c r="AC562" s="552">
        <f t="shared" si="958"/>
        <v>17009.815752829087</v>
      </c>
      <c r="AD562" s="552">
        <f t="shared" si="958"/>
        <v>17982.298188332457</v>
      </c>
      <c r="AE562" s="552">
        <f t="shared" si="958"/>
        <v>19103.20339227339</v>
      </c>
      <c r="AF562" s="552">
        <f t="shared" si="958"/>
        <v>20399.421645553262</v>
      </c>
      <c r="AG562" s="552">
        <f t="shared" si="958"/>
        <v>21903.687566291977</v>
      </c>
      <c r="AH562" s="727">
        <f t="shared" si="958"/>
        <v>23654.252427662977</v>
      </c>
      <c r="AI562" s="18"/>
      <c r="AJ562" s="18"/>
      <c r="AK562" s="18"/>
      <c r="AL562" s="18"/>
      <c r="AM562" s="18"/>
      <c r="AN562" s="18"/>
    </row>
    <row r="563" spans="2:40" ht="21.9" customHeight="1" x14ac:dyDescent="0.25">
      <c r="B563" s="229"/>
      <c r="C563" s="690"/>
      <c r="D563" s="690"/>
      <c r="E563" s="1325" t="s">
        <v>274</v>
      </c>
      <c r="F563" s="217" t="s">
        <v>275</v>
      </c>
      <c r="G563" s="217" t="s">
        <v>318</v>
      </c>
      <c r="H563" s="114" t="s">
        <v>20</v>
      </c>
      <c r="I563" s="552">
        <f t="shared" ref="I563:AH563" si="959">I499*$D$11</f>
        <v>21965.001739261377</v>
      </c>
      <c r="J563" s="552">
        <f t="shared" si="959"/>
        <v>24186.871490430105</v>
      </c>
      <c r="K563" s="552">
        <f t="shared" si="959"/>
        <v>29154.366461314872</v>
      </c>
      <c r="L563" s="552">
        <f t="shared" si="959"/>
        <v>39131.968573506878</v>
      </c>
      <c r="M563" s="552">
        <f t="shared" si="959"/>
        <v>49115.721653930421</v>
      </c>
      <c r="N563" s="552">
        <f t="shared" si="959"/>
        <v>59098.381733536473</v>
      </c>
      <c r="O563" s="552">
        <f t="shared" si="959"/>
        <v>69076.015730296058</v>
      </c>
      <c r="P563" s="552">
        <f t="shared" si="959"/>
        <v>79066.051362861079</v>
      </c>
      <c r="Q563" s="552">
        <f t="shared" si="959"/>
        <v>88869.042853467137</v>
      </c>
      <c r="R563" s="552">
        <f t="shared" si="959"/>
        <v>98677.872789527639</v>
      </c>
      <c r="S563" s="552">
        <f t="shared" si="959"/>
        <v>108484.02655281521</v>
      </c>
      <c r="T563" s="552">
        <f t="shared" si="959"/>
        <v>118295.44292838522</v>
      </c>
      <c r="U563" s="552">
        <f t="shared" si="959"/>
        <v>128130.57379763176</v>
      </c>
      <c r="V563" s="552">
        <f t="shared" si="959"/>
        <v>132934.13004675033</v>
      </c>
      <c r="W563" s="552">
        <f t="shared" si="959"/>
        <v>135166.40915615164</v>
      </c>
      <c r="X563" s="552">
        <f t="shared" si="959"/>
        <v>137400.54845539236</v>
      </c>
      <c r="Y563" s="552">
        <f t="shared" si="959"/>
        <v>139636.84212294233</v>
      </c>
      <c r="Z563" s="552">
        <f t="shared" si="959"/>
        <v>141879.05742289682</v>
      </c>
      <c r="AA563" s="552">
        <f t="shared" si="959"/>
        <v>144120.71400903282</v>
      </c>
      <c r="AB563" s="552">
        <f t="shared" si="959"/>
        <v>146369.11405646143</v>
      </c>
      <c r="AC563" s="552">
        <f t="shared" si="959"/>
        <v>148617.86587326505</v>
      </c>
      <c r="AD563" s="552">
        <f t="shared" si="959"/>
        <v>150870.95741718949</v>
      </c>
      <c r="AE563" s="552">
        <f t="shared" si="959"/>
        <v>153132.47352616192</v>
      </c>
      <c r="AF563" s="552">
        <f t="shared" si="959"/>
        <v>155396.19346820228</v>
      </c>
      <c r="AG563" s="552">
        <f t="shared" si="959"/>
        <v>157666.35786098705</v>
      </c>
      <c r="AH563" s="727">
        <f t="shared" si="959"/>
        <v>159947.34240641154</v>
      </c>
      <c r="AI563" s="18"/>
      <c r="AJ563" s="18"/>
      <c r="AK563" s="18"/>
      <c r="AL563" s="18"/>
      <c r="AM563" s="18"/>
      <c r="AN563" s="18"/>
    </row>
    <row r="564" spans="2:40" ht="21.9" customHeight="1" x14ac:dyDescent="0.25">
      <c r="B564" s="229"/>
      <c r="C564" s="690"/>
      <c r="D564" s="690"/>
      <c r="E564" s="1325"/>
      <c r="F564" s="114"/>
      <c r="G564" s="114"/>
      <c r="H564" s="122" t="s">
        <v>19</v>
      </c>
      <c r="I564" s="552">
        <f t="shared" ref="I564:AH564" si="960">I500*$D$12</f>
        <v>52610.782609009293</v>
      </c>
      <c r="J564" s="552">
        <f t="shared" si="960"/>
        <v>57932.626324383484</v>
      </c>
      <c r="K564" s="552">
        <f t="shared" si="960"/>
        <v>69830.817871412874</v>
      </c>
      <c r="L564" s="552">
        <f t="shared" si="960"/>
        <v>93729.266044327858</v>
      </c>
      <c r="M564" s="552">
        <f t="shared" si="960"/>
        <v>117642.44707528244</v>
      </c>
      <c r="N564" s="552">
        <f t="shared" si="960"/>
        <v>141553.01014020713</v>
      </c>
      <c r="O564" s="552">
        <f t="shared" si="960"/>
        <v>165451.53468334387</v>
      </c>
      <c r="P564" s="552">
        <f t="shared" si="960"/>
        <v>189379.76374337985</v>
      </c>
      <c r="Q564" s="552">
        <f t="shared" si="960"/>
        <v>212859.98288255601</v>
      </c>
      <c r="R564" s="552">
        <f t="shared" si="960"/>
        <v>236354.18632222191</v>
      </c>
      <c r="S564" s="552">
        <f t="shared" si="960"/>
        <v>259841.97976722207</v>
      </c>
      <c r="T564" s="552">
        <f t="shared" si="960"/>
        <v>283342.37827158137</v>
      </c>
      <c r="U564" s="552">
        <f t="shared" si="960"/>
        <v>306899.57795839943</v>
      </c>
      <c r="V564" s="552">
        <f t="shared" si="960"/>
        <v>318405.10190838407</v>
      </c>
      <c r="W564" s="552">
        <f t="shared" si="960"/>
        <v>323751.8782183273</v>
      </c>
      <c r="X564" s="552">
        <f t="shared" si="960"/>
        <v>329103.11007279606</v>
      </c>
      <c r="Y564" s="552">
        <f t="shared" si="960"/>
        <v>334459.50209087983</v>
      </c>
      <c r="Z564" s="552">
        <f t="shared" si="960"/>
        <v>339830.07765963313</v>
      </c>
      <c r="AA564" s="552">
        <f t="shared" si="960"/>
        <v>345199.3149916954</v>
      </c>
      <c r="AB564" s="552">
        <f t="shared" si="960"/>
        <v>350584.70432685374</v>
      </c>
      <c r="AC564" s="552">
        <f t="shared" si="960"/>
        <v>355970.93622338935</v>
      </c>
      <c r="AD564" s="552">
        <f t="shared" si="960"/>
        <v>361367.56267590297</v>
      </c>
      <c r="AE564" s="552">
        <f t="shared" si="960"/>
        <v>366784.36772733397</v>
      </c>
      <c r="AF564" s="552">
        <f t="shared" si="960"/>
        <v>372206.45142084383</v>
      </c>
      <c r="AG564" s="552">
        <f t="shared" si="960"/>
        <v>377643.97092451988</v>
      </c>
      <c r="AH564" s="727">
        <f t="shared" si="960"/>
        <v>383107.40696146479</v>
      </c>
      <c r="AI564" s="18"/>
      <c r="AJ564" s="18"/>
      <c r="AK564" s="18"/>
      <c r="AL564" s="18"/>
      <c r="AM564" s="18"/>
      <c r="AN564" s="18"/>
    </row>
    <row r="565" spans="2:40" ht="21.9" customHeight="1" x14ac:dyDescent="0.25">
      <c r="B565" s="229"/>
      <c r="C565" s="690"/>
      <c r="D565" s="690"/>
      <c r="E565" s="1325"/>
      <c r="F565" s="114"/>
      <c r="G565" s="114"/>
      <c r="H565" s="695" t="s">
        <v>25</v>
      </c>
      <c r="I565" s="552">
        <f t="shared" ref="I565:AH565" si="961">SUM(I563:I564)</f>
        <v>74575.784348270667</v>
      </c>
      <c r="J565" s="552">
        <f t="shared" si="961"/>
        <v>82119.497814813585</v>
      </c>
      <c r="K565" s="552">
        <f t="shared" si="961"/>
        <v>98985.184332727746</v>
      </c>
      <c r="L565" s="552">
        <f t="shared" si="961"/>
        <v>132861.23461783474</v>
      </c>
      <c r="M565" s="552">
        <f t="shared" si="961"/>
        <v>166758.16872921286</v>
      </c>
      <c r="N565" s="552">
        <f t="shared" si="961"/>
        <v>200651.39187374362</v>
      </c>
      <c r="O565" s="552">
        <f t="shared" si="961"/>
        <v>234527.55041363992</v>
      </c>
      <c r="P565" s="552">
        <f t="shared" si="961"/>
        <v>268445.81510624092</v>
      </c>
      <c r="Q565" s="552">
        <f t="shared" si="961"/>
        <v>301729.02573602315</v>
      </c>
      <c r="R565" s="552">
        <f t="shared" si="961"/>
        <v>335032.05911174952</v>
      </c>
      <c r="S565" s="552">
        <f t="shared" si="961"/>
        <v>368326.0063200373</v>
      </c>
      <c r="T565" s="552">
        <f t="shared" si="961"/>
        <v>401637.82119996659</v>
      </c>
      <c r="U565" s="552">
        <f t="shared" si="961"/>
        <v>435030.15175603121</v>
      </c>
      <c r="V565" s="552">
        <f t="shared" si="961"/>
        <v>451339.23195513443</v>
      </c>
      <c r="W565" s="552">
        <f t="shared" si="961"/>
        <v>458918.28737447894</v>
      </c>
      <c r="X565" s="552">
        <f t="shared" si="961"/>
        <v>466503.65852818842</v>
      </c>
      <c r="Y565" s="552">
        <f t="shared" si="961"/>
        <v>474096.34421382216</v>
      </c>
      <c r="Z565" s="552">
        <f t="shared" si="961"/>
        <v>481709.13508252997</v>
      </c>
      <c r="AA565" s="552">
        <f t="shared" si="961"/>
        <v>489320.02900072822</v>
      </c>
      <c r="AB565" s="552">
        <f t="shared" si="961"/>
        <v>496953.81838331517</v>
      </c>
      <c r="AC565" s="552">
        <f t="shared" si="961"/>
        <v>504588.80209665443</v>
      </c>
      <c r="AD565" s="552">
        <f t="shared" si="961"/>
        <v>512238.52009309246</v>
      </c>
      <c r="AE565" s="552">
        <f t="shared" si="961"/>
        <v>519916.84125349589</v>
      </c>
      <c r="AF565" s="552">
        <f t="shared" si="961"/>
        <v>527602.64488904609</v>
      </c>
      <c r="AG565" s="552">
        <f t="shared" si="961"/>
        <v>535310.32878550689</v>
      </c>
      <c r="AH565" s="727">
        <f t="shared" si="961"/>
        <v>543054.74936787633</v>
      </c>
      <c r="AI565" s="18"/>
      <c r="AJ565" s="18"/>
      <c r="AK565" s="18"/>
      <c r="AL565" s="18"/>
      <c r="AM565" s="18"/>
      <c r="AN565" s="18"/>
    </row>
    <row r="566" spans="2:40" ht="21.9" customHeight="1" x14ac:dyDescent="0.25">
      <c r="B566" s="229"/>
      <c r="C566" s="690"/>
      <c r="D566" s="690"/>
      <c r="E566" s="1325"/>
      <c r="F566" s="114" t="s">
        <v>318</v>
      </c>
      <c r="G566" s="114" t="s">
        <v>308</v>
      </c>
      <c r="H566" s="114" t="s">
        <v>20</v>
      </c>
      <c r="I566" s="552">
        <f t="shared" ref="I566:AH566" si="962">I502*$D$11</f>
        <v>2955.3956340115947</v>
      </c>
      <c r="J566" s="552">
        <f t="shared" si="962"/>
        <v>3235.988561535913</v>
      </c>
      <c r="K566" s="552">
        <f t="shared" si="962"/>
        <v>3634.0427379172274</v>
      </c>
      <c r="L566" s="552">
        <f t="shared" si="962"/>
        <v>4282.6877184687173</v>
      </c>
      <c r="M566" s="552">
        <f t="shared" si="962"/>
        <v>4931.8187604130671</v>
      </c>
      <c r="N566" s="552">
        <f t="shared" si="962"/>
        <v>5582.0080310919548</v>
      </c>
      <c r="O566" s="552">
        <f t="shared" si="962"/>
        <v>6234.9024531390387</v>
      </c>
      <c r="P566" s="552">
        <f t="shared" si="962"/>
        <v>6896.3710602379788</v>
      </c>
      <c r="Q566" s="552">
        <f t="shared" si="962"/>
        <v>7673.1221772822601</v>
      </c>
      <c r="R566" s="552">
        <f t="shared" si="962"/>
        <v>8512.0383472802114</v>
      </c>
      <c r="S566" s="552">
        <f t="shared" si="962"/>
        <v>9491.3112537517809</v>
      </c>
      <c r="T566" s="552">
        <f t="shared" si="962"/>
        <v>10770.232491941204</v>
      </c>
      <c r="U566" s="552">
        <f t="shared" si="962"/>
        <v>12652.954705900585</v>
      </c>
      <c r="V566" s="552">
        <f t="shared" si="962"/>
        <v>14476.569180695749</v>
      </c>
      <c r="W566" s="552">
        <f t="shared" si="962"/>
        <v>15841.269816846485</v>
      </c>
      <c r="X566" s="552">
        <f t="shared" si="962"/>
        <v>17510.151974950051</v>
      </c>
      <c r="Y566" s="552">
        <f t="shared" si="962"/>
        <v>19557.998535621442</v>
      </c>
      <c r="Z566" s="552">
        <f t="shared" si="962"/>
        <v>22078.681758678777</v>
      </c>
      <c r="AA566" s="552">
        <f t="shared" si="962"/>
        <v>25176.068848010225</v>
      </c>
      <c r="AB566" s="552">
        <f t="shared" si="962"/>
        <v>28989.211762302697</v>
      </c>
      <c r="AC566" s="552">
        <f t="shared" si="962"/>
        <v>29899.847159037585</v>
      </c>
      <c r="AD566" s="552">
        <f t="shared" si="962"/>
        <v>30544.037452818266</v>
      </c>
      <c r="AE566" s="552">
        <f t="shared" si="962"/>
        <v>31188.978998393883</v>
      </c>
      <c r="AF566" s="552">
        <f t="shared" si="962"/>
        <v>31833.205374608773</v>
      </c>
      <c r="AG566" s="552">
        <f t="shared" si="962"/>
        <v>32477.455412814568</v>
      </c>
      <c r="AH566" s="727">
        <f t="shared" si="962"/>
        <v>33122.46899106566</v>
      </c>
      <c r="AI566" s="18"/>
      <c r="AJ566" s="18"/>
      <c r="AK566" s="18"/>
      <c r="AL566" s="18"/>
      <c r="AM566" s="18"/>
      <c r="AN566" s="18"/>
    </row>
    <row r="567" spans="2:40" ht="21.9" customHeight="1" x14ac:dyDescent="0.25">
      <c r="B567" s="229"/>
      <c r="C567" s="690"/>
      <c r="D567" s="690"/>
      <c r="E567" s="1325"/>
      <c r="F567" s="114"/>
      <c r="G567" s="114"/>
      <c r="H567" s="122" t="s">
        <v>19</v>
      </c>
      <c r="I567" s="552">
        <f t="shared" ref="I567:AH567" si="963">I503*$D$12</f>
        <v>7078.7919377523231</v>
      </c>
      <c r="J567" s="552">
        <f t="shared" si="963"/>
        <v>7750.8708060740437</v>
      </c>
      <c r="K567" s="552">
        <f t="shared" si="963"/>
        <v>8704.2939830352752</v>
      </c>
      <c r="L567" s="552">
        <f t="shared" si="963"/>
        <v>10257.934655014891</v>
      </c>
      <c r="M567" s="552">
        <f t="shared" si="963"/>
        <v>11812.739545899562</v>
      </c>
      <c r="N567" s="552">
        <f t="shared" si="963"/>
        <v>13370.079116387917</v>
      </c>
      <c r="O567" s="552">
        <f t="shared" si="963"/>
        <v>14933.898091350991</v>
      </c>
      <c r="P567" s="552">
        <f t="shared" si="963"/>
        <v>16518.254036498154</v>
      </c>
      <c r="Q567" s="552">
        <f t="shared" si="963"/>
        <v>18378.735753969486</v>
      </c>
      <c r="R567" s="552">
        <f t="shared" si="963"/>
        <v>20388.115801868771</v>
      </c>
      <c r="S567" s="552">
        <f t="shared" si="963"/>
        <v>22733.679649704864</v>
      </c>
      <c r="T567" s="552">
        <f t="shared" si="963"/>
        <v>25796.964052553783</v>
      </c>
      <c r="U567" s="552">
        <f t="shared" si="963"/>
        <v>30306.478337486435</v>
      </c>
      <c r="V567" s="552">
        <f t="shared" si="963"/>
        <v>34674.417199271258</v>
      </c>
      <c r="W567" s="552">
        <f t="shared" si="963"/>
        <v>37943.161237955654</v>
      </c>
      <c r="X567" s="552">
        <f t="shared" si="963"/>
        <v>41940.48377233545</v>
      </c>
      <c r="Y567" s="552">
        <f t="shared" si="963"/>
        <v>46845.505474542377</v>
      </c>
      <c r="Z567" s="552">
        <f t="shared" si="963"/>
        <v>52883.070080667734</v>
      </c>
      <c r="AA567" s="552">
        <f t="shared" si="963"/>
        <v>60301.961312599342</v>
      </c>
      <c r="AB567" s="552">
        <f t="shared" si="963"/>
        <v>69435.237754018439</v>
      </c>
      <c r="AC567" s="552">
        <f t="shared" si="963"/>
        <v>71616.400380928346</v>
      </c>
      <c r="AD567" s="552">
        <f t="shared" si="963"/>
        <v>73159.371144474891</v>
      </c>
      <c r="AE567" s="552">
        <f t="shared" si="963"/>
        <v>74704.141313518281</v>
      </c>
      <c r="AF567" s="552">
        <f t="shared" si="963"/>
        <v>76247.198502056941</v>
      </c>
      <c r="AG567" s="552">
        <f t="shared" si="963"/>
        <v>77790.312366022918</v>
      </c>
      <c r="AH567" s="727">
        <f t="shared" si="963"/>
        <v>79335.255068420738</v>
      </c>
      <c r="AI567" s="18"/>
      <c r="AJ567" s="18"/>
      <c r="AK567" s="18"/>
      <c r="AL567" s="18"/>
      <c r="AM567" s="18"/>
      <c r="AN567" s="18"/>
    </row>
    <row r="568" spans="2:40" ht="21.9" customHeight="1" x14ac:dyDescent="0.25">
      <c r="B568" s="229"/>
      <c r="C568" s="690"/>
      <c r="D568" s="690"/>
      <c r="E568" s="1325"/>
      <c r="F568" s="114"/>
      <c r="G568" s="114"/>
      <c r="H568" s="695" t="s">
        <v>25</v>
      </c>
      <c r="I568" s="552">
        <f t="shared" ref="I568:AH568" si="964">SUM(I566:I567)</f>
        <v>10034.187571763918</v>
      </c>
      <c r="J568" s="552">
        <f t="shared" si="964"/>
        <v>10986.859367609957</v>
      </c>
      <c r="K568" s="552">
        <f t="shared" si="964"/>
        <v>12338.336720952502</v>
      </c>
      <c r="L568" s="552">
        <f t="shared" si="964"/>
        <v>14540.622373483609</v>
      </c>
      <c r="M568" s="552">
        <f t="shared" si="964"/>
        <v>16744.558306312629</v>
      </c>
      <c r="N568" s="552">
        <f t="shared" si="964"/>
        <v>18952.08714747987</v>
      </c>
      <c r="O568" s="552">
        <f t="shared" si="964"/>
        <v>21168.80054449003</v>
      </c>
      <c r="P568" s="552">
        <f t="shared" si="964"/>
        <v>23414.625096736134</v>
      </c>
      <c r="Q568" s="552">
        <f t="shared" si="964"/>
        <v>26051.857931251747</v>
      </c>
      <c r="R568" s="552">
        <f t="shared" si="964"/>
        <v>28900.154149148984</v>
      </c>
      <c r="S568" s="552">
        <f t="shared" si="964"/>
        <v>32224.990903456644</v>
      </c>
      <c r="T568" s="552">
        <f t="shared" si="964"/>
        <v>36567.196544494989</v>
      </c>
      <c r="U568" s="552">
        <f t="shared" si="964"/>
        <v>42959.43304338702</v>
      </c>
      <c r="V568" s="552">
        <f t="shared" si="964"/>
        <v>49150.986379967006</v>
      </c>
      <c r="W568" s="552">
        <f t="shared" si="964"/>
        <v>53784.431054802139</v>
      </c>
      <c r="X568" s="552">
        <f t="shared" si="964"/>
        <v>59450.635747285502</v>
      </c>
      <c r="Y568" s="552">
        <f t="shared" si="964"/>
        <v>66403.504010163815</v>
      </c>
      <c r="Z568" s="552">
        <f t="shared" si="964"/>
        <v>74961.751839346514</v>
      </c>
      <c r="AA568" s="552">
        <f t="shared" si="964"/>
        <v>85478.030160609575</v>
      </c>
      <c r="AB568" s="552">
        <f t="shared" si="964"/>
        <v>98424.44951632114</v>
      </c>
      <c r="AC568" s="552">
        <f t="shared" si="964"/>
        <v>101516.24753996593</v>
      </c>
      <c r="AD568" s="552">
        <f t="shared" si="964"/>
        <v>103703.40859729316</v>
      </c>
      <c r="AE568" s="552">
        <f t="shared" si="964"/>
        <v>105893.12031191216</v>
      </c>
      <c r="AF568" s="552">
        <f t="shared" si="964"/>
        <v>108080.40387666572</v>
      </c>
      <c r="AG568" s="552">
        <f t="shared" si="964"/>
        <v>110267.76777883749</v>
      </c>
      <c r="AH568" s="727">
        <f t="shared" si="964"/>
        <v>112457.7240594864</v>
      </c>
      <c r="AI568" s="18"/>
      <c r="AJ568" s="18"/>
      <c r="AK568" s="18"/>
      <c r="AL568" s="18"/>
      <c r="AM568" s="18"/>
      <c r="AN568" s="18"/>
    </row>
    <row r="569" spans="2:40" ht="21.9" customHeight="1" x14ac:dyDescent="0.25">
      <c r="B569" s="229"/>
      <c r="C569" s="690"/>
      <c r="D569" s="690"/>
      <c r="E569" s="1325"/>
      <c r="F569" s="114" t="s">
        <v>308</v>
      </c>
      <c r="G569" s="114" t="s">
        <v>319</v>
      </c>
      <c r="H569" s="114" t="s">
        <v>20</v>
      </c>
      <c r="I569" s="552">
        <f t="shared" ref="I569:AH569" si="965">I505*$D$11</f>
        <v>41936.86127123647</v>
      </c>
      <c r="J569" s="552">
        <f t="shared" si="965"/>
        <v>43185.813214468035</v>
      </c>
      <c r="K569" s="552">
        <f t="shared" si="965"/>
        <v>45011.080571799641</v>
      </c>
      <c r="L569" s="552">
        <f t="shared" si="965"/>
        <v>47701.79750762914</v>
      </c>
      <c r="M569" s="552">
        <f t="shared" si="965"/>
        <v>50622.39128962301</v>
      </c>
      <c r="N569" s="552">
        <f t="shared" si="965"/>
        <v>53896.674423475037</v>
      </c>
      <c r="O569" s="552">
        <f t="shared" si="965"/>
        <v>57706.301373050017</v>
      </c>
      <c r="P569" s="552">
        <f t="shared" si="965"/>
        <v>62318.451765775404</v>
      </c>
      <c r="Q569" s="552">
        <f t="shared" si="965"/>
        <v>68163.53761182414</v>
      </c>
      <c r="R569" s="552">
        <f t="shared" si="965"/>
        <v>75737.758823967772</v>
      </c>
      <c r="S569" s="552">
        <f t="shared" si="965"/>
        <v>85771.003233376381</v>
      </c>
      <c r="T569" s="552">
        <f t="shared" si="965"/>
        <v>99268.352094976566</v>
      </c>
      <c r="U569" s="552">
        <f t="shared" si="965"/>
        <v>117594.45081546636</v>
      </c>
      <c r="V569" s="552">
        <f t="shared" si="965"/>
        <v>134614.30369497353</v>
      </c>
      <c r="W569" s="552">
        <f t="shared" si="965"/>
        <v>148796.31130160246</v>
      </c>
      <c r="X569" s="552">
        <f t="shared" si="965"/>
        <v>159495.33374459678</v>
      </c>
      <c r="Y569" s="552">
        <f t="shared" si="965"/>
        <v>162081.02077995209</v>
      </c>
      <c r="Z569" s="552">
        <f t="shared" si="965"/>
        <v>164667.98022732895</v>
      </c>
      <c r="AA569" s="552">
        <f t="shared" si="965"/>
        <v>167253.75660490524</v>
      </c>
      <c r="AB569" s="552">
        <f t="shared" si="965"/>
        <v>169840.81900877302</v>
      </c>
      <c r="AC569" s="552">
        <f t="shared" si="965"/>
        <v>172426.71398322462</v>
      </c>
      <c r="AD569" s="552">
        <f t="shared" si="965"/>
        <v>175012.68155245401</v>
      </c>
      <c r="AE569" s="552">
        <f t="shared" si="965"/>
        <v>177599.963523324</v>
      </c>
      <c r="AF569" s="552">
        <f t="shared" si="965"/>
        <v>180186.11005384268</v>
      </c>
      <c r="AG569" s="552">
        <f t="shared" si="965"/>
        <v>182772.36501194531</v>
      </c>
      <c r="AH569" s="727">
        <f t="shared" si="965"/>
        <v>185359.97481642067</v>
      </c>
      <c r="AI569" s="18"/>
      <c r="AJ569" s="18"/>
      <c r="AK569" s="18"/>
      <c r="AL569" s="18"/>
      <c r="AM569" s="18"/>
      <c r="AN569" s="18"/>
    </row>
    <row r="570" spans="2:40" ht="21.9" customHeight="1" x14ac:dyDescent="0.25">
      <c r="B570" s="229"/>
      <c r="C570" s="690"/>
      <c r="D570" s="690"/>
      <c r="E570" s="1325"/>
      <c r="F570" s="114"/>
      <c r="G570" s="114"/>
      <c r="H570" s="114" t="s">
        <v>19</v>
      </c>
      <c r="I570" s="552">
        <f t="shared" ref="I570:AH570" si="966">I506*$D$12</f>
        <v>100447.57190715322</v>
      </c>
      <c r="J570" s="552">
        <f t="shared" si="966"/>
        <v>103439.07356758812</v>
      </c>
      <c r="K570" s="552">
        <f t="shared" si="966"/>
        <v>107810.97142946022</v>
      </c>
      <c r="L570" s="552">
        <f t="shared" si="966"/>
        <v>114255.80241348298</v>
      </c>
      <c r="M570" s="552">
        <f t="shared" si="966"/>
        <v>121251.23662185152</v>
      </c>
      <c r="N570" s="552">
        <f t="shared" si="966"/>
        <v>129093.83095443124</v>
      </c>
      <c r="O570" s="552">
        <f t="shared" si="966"/>
        <v>138218.68592347309</v>
      </c>
      <c r="P570" s="552">
        <f t="shared" si="966"/>
        <v>149265.75273239618</v>
      </c>
      <c r="Q570" s="552">
        <f t="shared" si="966"/>
        <v>163265.95835167461</v>
      </c>
      <c r="R570" s="552">
        <f t="shared" si="966"/>
        <v>181407.80556638987</v>
      </c>
      <c r="S570" s="552">
        <f t="shared" si="966"/>
        <v>205439.52870269792</v>
      </c>
      <c r="T570" s="552">
        <f t="shared" si="966"/>
        <v>237768.50801191991</v>
      </c>
      <c r="U570" s="552">
        <f t="shared" si="966"/>
        <v>281663.35524662602</v>
      </c>
      <c r="V570" s="552">
        <f t="shared" si="966"/>
        <v>322429.46992808033</v>
      </c>
      <c r="W570" s="552">
        <f t="shared" si="966"/>
        <v>356398.35042299994</v>
      </c>
      <c r="X570" s="552">
        <f t="shared" si="966"/>
        <v>382024.75148406415</v>
      </c>
      <c r="Y570" s="552">
        <f t="shared" si="966"/>
        <v>388218.01384419663</v>
      </c>
      <c r="Z570" s="552">
        <f t="shared" si="966"/>
        <v>394414.32389779389</v>
      </c>
      <c r="AA570" s="552">
        <f t="shared" si="966"/>
        <v>400607.80025127006</v>
      </c>
      <c r="AB570" s="552">
        <f t="shared" si="966"/>
        <v>406804.35690724081</v>
      </c>
      <c r="AC570" s="552">
        <f t="shared" si="966"/>
        <v>412998.11732508894</v>
      </c>
      <c r="AD570" s="552">
        <f t="shared" si="966"/>
        <v>419192.05162264436</v>
      </c>
      <c r="AE570" s="552">
        <f t="shared" si="966"/>
        <v>425389.13418760244</v>
      </c>
      <c r="AF570" s="552">
        <f t="shared" si="966"/>
        <v>431583.49713495257</v>
      </c>
      <c r="AG570" s="552">
        <f t="shared" si="966"/>
        <v>437778.11978909059</v>
      </c>
      <c r="AH570" s="727">
        <f t="shared" si="966"/>
        <v>443975.98758424114</v>
      </c>
      <c r="AI570" s="18"/>
      <c r="AJ570" s="18"/>
      <c r="AK570" s="18"/>
      <c r="AL570" s="18"/>
      <c r="AM570" s="18"/>
      <c r="AN570" s="18"/>
    </row>
    <row r="571" spans="2:40" ht="21.9" customHeight="1" x14ac:dyDescent="0.25">
      <c r="B571" s="229"/>
      <c r="C571" s="690"/>
      <c r="D571" s="690"/>
      <c r="E571" s="1321"/>
      <c r="F571" s="250"/>
      <c r="G571" s="250"/>
      <c r="H571" s="696" t="s">
        <v>25</v>
      </c>
      <c r="I571" s="562">
        <f t="shared" ref="I571:AH571" si="967">SUM(I569:I570)</f>
        <v>142384.43317838968</v>
      </c>
      <c r="J571" s="562">
        <f t="shared" si="967"/>
        <v>146624.88678205616</v>
      </c>
      <c r="K571" s="562">
        <f t="shared" si="967"/>
        <v>152822.05200125987</v>
      </c>
      <c r="L571" s="562">
        <f t="shared" si="967"/>
        <v>161957.59992111212</v>
      </c>
      <c r="M571" s="562">
        <f t="shared" si="967"/>
        <v>171873.62791147453</v>
      </c>
      <c r="N571" s="562">
        <f t="shared" si="967"/>
        <v>182990.50537790626</v>
      </c>
      <c r="O571" s="562">
        <f t="shared" si="967"/>
        <v>195924.98729652312</v>
      </c>
      <c r="P571" s="562">
        <f t="shared" si="967"/>
        <v>211584.20449817157</v>
      </c>
      <c r="Q571" s="562">
        <f t="shared" si="967"/>
        <v>231429.49596349875</v>
      </c>
      <c r="R571" s="562">
        <f t="shared" si="967"/>
        <v>257145.56439035764</v>
      </c>
      <c r="S571" s="562">
        <f t="shared" si="967"/>
        <v>291210.53193607432</v>
      </c>
      <c r="T571" s="562">
        <f t="shared" si="967"/>
        <v>337036.86010689649</v>
      </c>
      <c r="U571" s="562">
        <f t="shared" si="967"/>
        <v>399257.80606209236</v>
      </c>
      <c r="V571" s="562">
        <f t="shared" si="967"/>
        <v>457043.77362305386</v>
      </c>
      <c r="W571" s="562">
        <f t="shared" si="967"/>
        <v>505194.6617246024</v>
      </c>
      <c r="X571" s="562">
        <f t="shared" si="967"/>
        <v>541520.08522866096</v>
      </c>
      <c r="Y571" s="562">
        <f t="shared" si="967"/>
        <v>550299.03462414874</v>
      </c>
      <c r="Z571" s="562">
        <f t="shared" si="967"/>
        <v>559082.30412512284</v>
      </c>
      <c r="AA571" s="562">
        <f t="shared" si="967"/>
        <v>567861.5568561753</v>
      </c>
      <c r="AB571" s="562">
        <f t="shared" si="967"/>
        <v>576645.17591601377</v>
      </c>
      <c r="AC571" s="562">
        <f t="shared" si="967"/>
        <v>585424.83130831353</v>
      </c>
      <c r="AD571" s="562">
        <f t="shared" si="967"/>
        <v>594204.73317509843</v>
      </c>
      <c r="AE571" s="562">
        <f t="shared" si="967"/>
        <v>602989.09771092643</v>
      </c>
      <c r="AF571" s="562">
        <f t="shared" si="967"/>
        <v>611769.60718879523</v>
      </c>
      <c r="AG571" s="562">
        <f t="shared" si="967"/>
        <v>620550.48480103584</v>
      </c>
      <c r="AH571" s="729">
        <f t="shared" si="967"/>
        <v>629335.96240066178</v>
      </c>
      <c r="AI571" s="18"/>
      <c r="AJ571" s="18"/>
      <c r="AK571" s="18"/>
      <c r="AL571" s="18"/>
      <c r="AM571" s="18"/>
      <c r="AN571" s="18"/>
    </row>
    <row r="572" spans="2:40" ht="21.9" customHeight="1" x14ac:dyDescent="0.25">
      <c r="B572" s="229"/>
      <c r="C572" s="690"/>
      <c r="D572" s="690"/>
      <c r="E572" s="114" t="s">
        <v>320</v>
      </c>
      <c r="F572" s="114" t="s">
        <v>318</v>
      </c>
      <c r="G572" s="114" t="s">
        <v>308</v>
      </c>
      <c r="H572" s="114" t="s">
        <v>20</v>
      </c>
      <c r="I572" s="552">
        <f t="shared" ref="I572:AH572" si="968">I508*$D$11</f>
        <v>132.6335648148148</v>
      </c>
      <c r="J572" s="552">
        <f t="shared" si="968"/>
        <v>550.89351145833325</v>
      </c>
      <c r="K572" s="552">
        <f t="shared" si="968"/>
        <v>4914.6704274583608</v>
      </c>
      <c r="L572" s="552">
        <f t="shared" si="968"/>
        <v>11624.403881459782</v>
      </c>
      <c r="M572" s="552">
        <f t="shared" si="968"/>
        <v>18338.965724356356</v>
      </c>
      <c r="N572" s="552">
        <f t="shared" si="968"/>
        <v>25052.444425137164</v>
      </c>
      <c r="O572" s="552">
        <f t="shared" si="968"/>
        <v>31783.327464415514</v>
      </c>
      <c r="P572" s="552">
        <f t="shared" si="968"/>
        <v>38667.911120462195</v>
      </c>
      <c r="Q572" s="552">
        <f t="shared" si="968"/>
        <v>41651.208690670741</v>
      </c>
      <c r="R572" s="552">
        <f t="shared" si="968"/>
        <v>44842.807441969329</v>
      </c>
      <c r="S572" s="552">
        <f t="shared" si="968"/>
        <v>48402.118434229422</v>
      </c>
      <c r="T572" s="552">
        <f t="shared" si="968"/>
        <v>52595.254138692464</v>
      </c>
      <c r="U572" s="552">
        <f t="shared" si="968"/>
        <v>57866.257894236747</v>
      </c>
      <c r="V572" s="552">
        <f t="shared" si="968"/>
        <v>58791.671017275636</v>
      </c>
      <c r="W572" s="552">
        <f t="shared" si="968"/>
        <v>59758.906196021562</v>
      </c>
      <c r="X572" s="552">
        <f t="shared" si="968"/>
        <v>60771.075315238872</v>
      </c>
      <c r="Y572" s="552">
        <f t="shared" si="968"/>
        <v>61831.461800092635</v>
      </c>
      <c r="Z572" s="552">
        <f t="shared" si="968"/>
        <v>62951.68992030224</v>
      </c>
      <c r="AA572" s="552">
        <f t="shared" si="968"/>
        <v>64119.628984302952</v>
      </c>
      <c r="AB572" s="552">
        <f t="shared" si="968"/>
        <v>65350.972899921231</v>
      </c>
      <c r="AC572" s="552">
        <f t="shared" si="968"/>
        <v>66642.153453054678</v>
      </c>
      <c r="AD572" s="552">
        <f t="shared" si="968"/>
        <v>68001.434616484941</v>
      </c>
      <c r="AE572" s="552">
        <f t="shared" si="968"/>
        <v>69444.052942014227</v>
      </c>
      <c r="AF572" s="552">
        <f t="shared" si="968"/>
        <v>70954.636125593417</v>
      </c>
      <c r="AG572" s="552">
        <f t="shared" si="968"/>
        <v>72548.484055059162</v>
      </c>
      <c r="AH572" s="727">
        <f t="shared" si="968"/>
        <v>74236.750214848071</v>
      </c>
      <c r="AI572" s="18"/>
      <c r="AJ572" s="18"/>
      <c r="AK572" s="18"/>
      <c r="AL572" s="18"/>
      <c r="AM572" s="18"/>
      <c r="AN572" s="18"/>
    </row>
    <row r="573" spans="2:40" ht="21.9" customHeight="1" x14ac:dyDescent="0.25">
      <c r="B573" s="229"/>
      <c r="C573" s="690"/>
      <c r="D573" s="690"/>
      <c r="E573" s="114"/>
      <c r="F573" s="114"/>
      <c r="G573" s="114"/>
      <c r="H573" s="122" t="s">
        <v>19</v>
      </c>
      <c r="I573" s="552">
        <f t="shared" ref="I573:AH573" si="969">I509*$D$12</f>
        <v>317.68518518518516</v>
      </c>
      <c r="J573" s="552">
        <f t="shared" si="969"/>
        <v>1319.5054166666666</v>
      </c>
      <c r="K573" s="552">
        <f t="shared" si="969"/>
        <v>11771.665694511044</v>
      </c>
      <c r="L573" s="552">
        <f t="shared" si="969"/>
        <v>27842.883548406666</v>
      </c>
      <c r="M573" s="552">
        <f t="shared" si="969"/>
        <v>43925.666405643969</v>
      </c>
      <c r="N573" s="552">
        <f t="shared" si="969"/>
        <v>60005.854910508184</v>
      </c>
      <c r="O573" s="552">
        <f t="shared" si="969"/>
        <v>76127.730453689859</v>
      </c>
      <c r="P573" s="552">
        <f t="shared" si="969"/>
        <v>92617.751186735797</v>
      </c>
      <c r="Q573" s="552">
        <f t="shared" si="969"/>
        <v>99763.374109391007</v>
      </c>
      <c r="R573" s="552">
        <f t="shared" si="969"/>
        <v>107407.922016693</v>
      </c>
      <c r="S573" s="552">
        <f t="shared" si="969"/>
        <v>115933.21780653755</v>
      </c>
      <c r="T573" s="552">
        <f t="shared" si="969"/>
        <v>125976.65661962268</v>
      </c>
      <c r="U573" s="552">
        <f t="shared" si="969"/>
        <v>138601.81531553713</v>
      </c>
      <c r="V573" s="552">
        <f t="shared" si="969"/>
        <v>140818.37369407338</v>
      </c>
      <c r="W573" s="552">
        <f t="shared" si="969"/>
        <v>143135.1046611295</v>
      </c>
      <c r="X573" s="552">
        <f t="shared" si="969"/>
        <v>145559.46183290749</v>
      </c>
      <c r="Y573" s="552">
        <f t="shared" si="969"/>
        <v>148099.30970082068</v>
      </c>
      <c r="Z573" s="552">
        <f t="shared" si="969"/>
        <v>150782.49082707125</v>
      </c>
      <c r="AA573" s="552">
        <f t="shared" si="969"/>
        <v>153579.94966300108</v>
      </c>
      <c r="AB573" s="552">
        <f t="shared" si="969"/>
        <v>156529.27640699697</v>
      </c>
      <c r="AC573" s="552">
        <f t="shared" si="969"/>
        <v>159621.92443845433</v>
      </c>
      <c r="AD573" s="552">
        <f t="shared" si="969"/>
        <v>162877.68770415557</v>
      </c>
      <c r="AE573" s="552">
        <f t="shared" si="969"/>
        <v>166333.06093895625</v>
      </c>
      <c r="AF573" s="552">
        <f t="shared" si="969"/>
        <v>169951.22425291839</v>
      </c>
      <c r="AG573" s="552">
        <f t="shared" si="969"/>
        <v>173768.82408397406</v>
      </c>
      <c r="AH573" s="727">
        <f t="shared" si="969"/>
        <v>177812.57536490556</v>
      </c>
      <c r="AI573" s="18"/>
      <c r="AJ573" s="18"/>
      <c r="AK573" s="18"/>
      <c r="AL573" s="18"/>
      <c r="AM573" s="18"/>
      <c r="AN573" s="18"/>
    </row>
    <row r="574" spans="2:40" ht="21.9" customHeight="1" x14ac:dyDescent="0.25">
      <c r="B574" s="229"/>
      <c r="C574" s="690"/>
      <c r="D574" s="690"/>
      <c r="E574" s="114"/>
      <c r="F574" s="114"/>
      <c r="G574" s="114"/>
      <c r="H574" s="696" t="s">
        <v>25</v>
      </c>
      <c r="I574" s="552">
        <f t="shared" ref="I574:AH574" si="970">SUM(I572:I573)</f>
        <v>450.31874999999997</v>
      </c>
      <c r="J574" s="552">
        <f t="shared" si="970"/>
        <v>1870.3989281249999</v>
      </c>
      <c r="K574" s="552">
        <f t="shared" si="970"/>
        <v>16686.336121969405</v>
      </c>
      <c r="L574" s="552">
        <f t="shared" si="970"/>
        <v>39467.287429866446</v>
      </c>
      <c r="M574" s="552">
        <f t="shared" si="970"/>
        <v>62264.632130000326</v>
      </c>
      <c r="N574" s="552">
        <f t="shared" si="970"/>
        <v>85058.299335645352</v>
      </c>
      <c r="O574" s="552">
        <f t="shared" si="970"/>
        <v>107911.05791810538</v>
      </c>
      <c r="P574" s="552">
        <f t="shared" si="970"/>
        <v>131285.66230719798</v>
      </c>
      <c r="Q574" s="552">
        <f t="shared" si="970"/>
        <v>141414.58280006173</v>
      </c>
      <c r="R574" s="552">
        <f t="shared" si="970"/>
        <v>152250.72945866233</v>
      </c>
      <c r="S574" s="552">
        <f t="shared" si="970"/>
        <v>164335.33624076698</v>
      </c>
      <c r="T574" s="552">
        <f t="shared" si="970"/>
        <v>178571.91075831515</v>
      </c>
      <c r="U574" s="552">
        <f t="shared" si="970"/>
        <v>196468.07320977387</v>
      </c>
      <c r="V574" s="552">
        <f t="shared" si="970"/>
        <v>199610.04471134901</v>
      </c>
      <c r="W574" s="552">
        <f t="shared" si="970"/>
        <v>202894.01085715106</v>
      </c>
      <c r="X574" s="552">
        <f t="shared" si="970"/>
        <v>206330.53714814637</v>
      </c>
      <c r="Y574" s="552">
        <f t="shared" si="970"/>
        <v>209930.77150091331</v>
      </c>
      <c r="Z574" s="552">
        <f t="shared" si="970"/>
        <v>213734.1807473735</v>
      </c>
      <c r="AA574" s="552">
        <f t="shared" si="970"/>
        <v>217699.57864730404</v>
      </c>
      <c r="AB574" s="552">
        <f t="shared" si="970"/>
        <v>221880.24930691821</v>
      </c>
      <c r="AC574" s="552">
        <f t="shared" si="970"/>
        <v>226264.07789150899</v>
      </c>
      <c r="AD574" s="552">
        <f t="shared" si="970"/>
        <v>230879.12232064051</v>
      </c>
      <c r="AE574" s="552">
        <f t="shared" si="970"/>
        <v>235777.11388097046</v>
      </c>
      <c r="AF574" s="552">
        <f t="shared" si="970"/>
        <v>240905.8603785118</v>
      </c>
      <c r="AG574" s="552">
        <f t="shared" si="970"/>
        <v>246317.30813903321</v>
      </c>
      <c r="AH574" s="727">
        <f t="shared" si="970"/>
        <v>252049.32557975361</v>
      </c>
      <c r="AI574" s="18"/>
      <c r="AJ574" s="18"/>
      <c r="AK574" s="18"/>
      <c r="AL574" s="18"/>
      <c r="AM574" s="18"/>
      <c r="AN574" s="18"/>
    </row>
    <row r="575" spans="2:40" ht="21.9" customHeight="1" x14ac:dyDescent="0.25">
      <c r="B575" s="229"/>
      <c r="C575" s="690"/>
      <c r="D575" s="690"/>
      <c r="E575" s="1325" t="s">
        <v>308</v>
      </c>
      <c r="F575" s="217" t="s">
        <v>276</v>
      </c>
      <c r="G575" s="217" t="s">
        <v>320</v>
      </c>
      <c r="H575" s="114" t="s">
        <v>20</v>
      </c>
      <c r="I575" s="552">
        <f t="shared" ref="I575:AH575" si="971">I511*$D$11</f>
        <v>400.43430656934305</v>
      </c>
      <c r="J575" s="552">
        <f t="shared" si="971"/>
        <v>889.96524635036485</v>
      </c>
      <c r="K575" s="552">
        <f t="shared" si="971"/>
        <v>3761.479658759124</v>
      </c>
      <c r="L575" s="552">
        <f t="shared" si="971"/>
        <v>8455.5708175186264</v>
      </c>
      <c r="M575" s="552">
        <f t="shared" si="971"/>
        <v>13152.264799318662</v>
      </c>
      <c r="N575" s="552">
        <f t="shared" si="971"/>
        <v>17849.158999572515</v>
      </c>
      <c r="O575" s="552">
        <f t="shared" si="971"/>
        <v>22543.250175160163</v>
      </c>
      <c r="P575" s="552">
        <f t="shared" si="971"/>
        <v>27242.747325139575</v>
      </c>
      <c r="Q575" s="552">
        <f t="shared" si="971"/>
        <v>30866.6782312426</v>
      </c>
      <c r="R575" s="552">
        <f t="shared" si="971"/>
        <v>34491.210739396767</v>
      </c>
      <c r="S575" s="552">
        <f t="shared" si="971"/>
        <v>38115.14513640276</v>
      </c>
      <c r="T575" s="552">
        <f t="shared" si="971"/>
        <v>41739.085704492187</v>
      </c>
      <c r="U575" s="552">
        <f t="shared" si="971"/>
        <v>45367.845384213208</v>
      </c>
      <c r="V575" s="552">
        <f t="shared" si="971"/>
        <v>47166.417402916049</v>
      </c>
      <c r="W575" s="552">
        <f t="shared" si="971"/>
        <v>47655.955716176475</v>
      </c>
      <c r="X575" s="552">
        <f t="shared" si="971"/>
        <v>48145.49482683633</v>
      </c>
      <c r="Y575" s="552">
        <f t="shared" si="971"/>
        <v>48635.034811933328</v>
      </c>
      <c r="Z575" s="552">
        <f t="shared" si="971"/>
        <v>49125.977304979213</v>
      </c>
      <c r="AA575" s="552">
        <f t="shared" si="971"/>
        <v>49615.51929909733</v>
      </c>
      <c r="AB575" s="552">
        <f t="shared" si="971"/>
        <v>50106.463996181803</v>
      </c>
      <c r="AC575" s="552">
        <f t="shared" si="971"/>
        <v>50596.008392362579</v>
      </c>
      <c r="AD575" s="552">
        <f t="shared" si="971"/>
        <v>51085.554155467544</v>
      </c>
      <c r="AE575" s="552">
        <f t="shared" si="971"/>
        <v>51576.502978266682</v>
      </c>
      <c r="AF575" s="552">
        <f t="shared" si="971"/>
        <v>52066.051861104606</v>
      </c>
      <c r="AG575" s="552">
        <f t="shared" si="971"/>
        <v>52555.602512719088</v>
      </c>
      <c r="AH575" s="727">
        <f t="shared" si="971"/>
        <v>53046.556673454463</v>
      </c>
      <c r="AI575" s="18"/>
      <c r="AJ575" s="18"/>
      <c r="AK575" s="18"/>
      <c r="AL575" s="18"/>
      <c r="AM575" s="18"/>
      <c r="AN575" s="18"/>
    </row>
    <row r="576" spans="2:40" ht="21.9" customHeight="1" x14ac:dyDescent="0.25">
      <c r="B576" s="229"/>
      <c r="C576" s="690"/>
      <c r="D576" s="690"/>
      <c r="E576" s="1325"/>
      <c r="F576" s="114"/>
      <c r="G576" s="114"/>
      <c r="H576" s="122" t="s">
        <v>19</v>
      </c>
      <c r="I576" s="552">
        <f t="shared" ref="I576:AH576" si="972">I512*$D$12</f>
        <v>959.12408759124082</v>
      </c>
      <c r="J576" s="552">
        <f t="shared" si="972"/>
        <v>2131.6532846715327</v>
      </c>
      <c r="K576" s="552">
        <f t="shared" si="972"/>
        <v>9009.5321167883212</v>
      </c>
      <c r="L576" s="552">
        <f t="shared" si="972"/>
        <v>20252.864233577548</v>
      </c>
      <c r="M576" s="552">
        <f t="shared" si="972"/>
        <v>31502.430657050689</v>
      </c>
      <c r="N576" s="552">
        <f t="shared" si="972"/>
        <v>42752.476645682669</v>
      </c>
      <c r="O576" s="552">
        <f t="shared" si="972"/>
        <v>53995.808802778833</v>
      </c>
      <c r="P576" s="552">
        <f t="shared" si="972"/>
        <v>65252.089401531921</v>
      </c>
      <c r="Q576" s="552">
        <f t="shared" si="972"/>
        <v>73932.16342812599</v>
      </c>
      <c r="R576" s="552">
        <f t="shared" si="972"/>
        <v>82613.678417716816</v>
      </c>
      <c r="S576" s="552">
        <f t="shared" si="972"/>
        <v>91293.760805755112</v>
      </c>
      <c r="T576" s="552">
        <f t="shared" si="972"/>
        <v>99973.857974831582</v>
      </c>
      <c r="U576" s="552">
        <f t="shared" si="972"/>
        <v>108665.49792625918</v>
      </c>
      <c r="V576" s="552">
        <f t="shared" si="972"/>
        <v>112973.45485728396</v>
      </c>
      <c r="W576" s="552">
        <f t="shared" si="972"/>
        <v>114146.00171539276</v>
      </c>
      <c r="X576" s="552">
        <f t="shared" si="972"/>
        <v>115318.55048344031</v>
      </c>
      <c r="Y576" s="552">
        <f t="shared" si="972"/>
        <v>116491.10134594809</v>
      </c>
      <c r="Z576" s="552">
        <f t="shared" si="972"/>
        <v>117667.01150893225</v>
      </c>
      <c r="AA576" s="552">
        <f t="shared" si="972"/>
        <v>118839.56718346666</v>
      </c>
      <c r="AB576" s="552">
        <f t="shared" si="972"/>
        <v>120015.48262558517</v>
      </c>
      <c r="AC576" s="552">
        <f t="shared" si="972"/>
        <v>121188.04405356306</v>
      </c>
      <c r="AD576" s="552">
        <f t="shared" si="972"/>
        <v>122360.60875561088</v>
      </c>
      <c r="AE576" s="552">
        <f t="shared" si="972"/>
        <v>123536.53407968068</v>
      </c>
      <c r="AF576" s="552">
        <f t="shared" si="972"/>
        <v>124709.10625414277</v>
      </c>
      <c r="AG576" s="552">
        <f t="shared" si="972"/>
        <v>125881.68266519543</v>
      </c>
      <c r="AH576" s="727">
        <f t="shared" si="972"/>
        <v>127057.62077474123</v>
      </c>
      <c r="AI576" s="18"/>
      <c r="AJ576" s="18"/>
      <c r="AK576" s="18"/>
      <c r="AL576" s="18"/>
      <c r="AM576" s="18"/>
      <c r="AN576" s="18"/>
    </row>
    <row r="577" spans="2:40" ht="21.9" customHeight="1" x14ac:dyDescent="0.25">
      <c r="B577" s="229"/>
      <c r="C577" s="690"/>
      <c r="D577" s="690"/>
      <c r="E577" s="1325"/>
      <c r="F577" s="114"/>
      <c r="G577" s="114"/>
      <c r="H577" s="695" t="s">
        <v>25</v>
      </c>
      <c r="I577" s="552">
        <f t="shared" ref="I577:AH577" si="973">SUM(I575:I576)</f>
        <v>1359.5583941605839</v>
      </c>
      <c r="J577" s="552">
        <f t="shared" si="973"/>
        <v>3021.6185310218975</v>
      </c>
      <c r="K577" s="552">
        <f t="shared" si="973"/>
        <v>12771.011775547446</v>
      </c>
      <c r="L577" s="552">
        <f t="shared" si="973"/>
        <v>28708.435051096174</v>
      </c>
      <c r="M577" s="552">
        <f t="shared" si="973"/>
        <v>44654.695456369351</v>
      </c>
      <c r="N577" s="552">
        <f t="shared" si="973"/>
        <v>60601.635645255184</v>
      </c>
      <c r="O577" s="552">
        <f t="shared" si="973"/>
        <v>76539.058977938999</v>
      </c>
      <c r="P577" s="552">
        <f t="shared" si="973"/>
        <v>92494.836726671492</v>
      </c>
      <c r="Q577" s="552">
        <f t="shared" si="973"/>
        <v>104798.8416593686</v>
      </c>
      <c r="R577" s="552">
        <f t="shared" si="973"/>
        <v>117104.88915711359</v>
      </c>
      <c r="S577" s="552">
        <f t="shared" si="973"/>
        <v>129408.90594215787</v>
      </c>
      <c r="T577" s="552">
        <f t="shared" si="973"/>
        <v>141712.94367932377</v>
      </c>
      <c r="U577" s="552">
        <f t="shared" si="973"/>
        <v>154033.34331047238</v>
      </c>
      <c r="V577" s="552">
        <f t="shared" si="973"/>
        <v>160139.87226020001</v>
      </c>
      <c r="W577" s="552">
        <f t="shared" si="973"/>
        <v>161801.95743156923</v>
      </c>
      <c r="X577" s="552">
        <f t="shared" si="973"/>
        <v>163464.04531027665</v>
      </c>
      <c r="Y577" s="552">
        <f t="shared" si="973"/>
        <v>165126.13615788141</v>
      </c>
      <c r="Z577" s="552">
        <f t="shared" si="973"/>
        <v>166792.98881391145</v>
      </c>
      <c r="AA577" s="552">
        <f t="shared" si="973"/>
        <v>168455.08648256399</v>
      </c>
      <c r="AB577" s="552">
        <f t="shared" si="973"/>
        <v>170121.94662176695</v>
      </c>
      <c r="AC577" s="552">
        <f t="shared" si="973"/>
        <v>171784.05244592566</v>
      </c>
      <c r="AD577" s="552">
        <f t="shared" si="973"/>
        <v>173446.16291107843</v>
      </c>
      <c r="AE577" s="552">
        <f t="shared" si="973"/>
        <v>175113.03705794737</v>
      </c>
      <c r="AF577" s="552">
        <f t="shared" si="973"/>
        <v>176775.15811524738</v>
      </c>
      <c r="AG577" s="552">
        <f t="shared" si="973"/>
        <v>178437.28517791451</v>
      </c>
      <c r="AH577" s="727">
        <f t="shared" si="973"/>
        <v>180104.1774481957</v>
      </c>
      <c r="AI577" s="18"/>
      <c r="AJ577" s="18"/>
      <c r="AK577" s="18"/>
      <c r="AL577" s="18"/>
      <c r="AM577" s="18"/>
      <c r="AN577" s="18"/>
    </row>
    <row r="578" spans="2:40" ht="21.9" customHeight="1" x14ac:dyDescent="0.25">
      <c r="B578" s="229"/>
      <c r="C578" s="690"/>
      <c r="D578" s="690"/>
      <c r="E578" s="1325"/>
      <c r="F578" s="114" t="s">
        <v>320</v>
      </c>
      <c r="G578" s="114" t="s">
        <v>282</v>
      </c>
      <c r="H578" s="114" t="s">
        <v>20</v>
      </c>
      <c r="I578" s="552">
        <f t="shared" ref="I578:AH578" si="974">I514*$D$11</f>
        <v>0</v>
      </c>
      <c r="J578" s="552">
        <f t="shared" si="974"/>
        <v>269.92238442822378</v>
      </c>
      <c r="K578" s="552">
        <f t="shared" si="974"/>
        <v>780.15874403892951</v>
      </c>
      <c r="L578" s="552">
        <f t="shared" si="974"/>
        <v>1753.7480214112704</v>
      </c>
      <c r="M578" s="552">
        <f t="shared" si="974"/>
        <v>2727.8771435623889</v>
      </c>
      <c r="N578" s="552">
        <f t="shared" si="974"/>
        <v>3702.0477925039286</v>
      </c>
      <c r="O578" s="552">
        <f t="shared" si="974"/>
        <v>4675.6370733665526</v>
      </c>
      <c r="P578" s="552">
        <f t="shared" si="974"/>
        <v>5650.3475933622831</v>
      </c>
      <c r="Q578" s="552">
        <f t="shared" si="974"/>
        <v>6401.9777072206871</v>
      </c>
      <c r="R578" s="552">
        <f t="shared" si="974"/>
        <v>7153.7325978008093</v>
      </c>
      <c r="S578" s="552">
        <f t="shared" si="974"/>
        <v>7905.3634356983493</v>
      </c>
      <c r="T578" s="552">
        <f t="shared" si="974"/>
        <v>8656.9955535243062</v>
      </c>
      <c r="U578" s="552">
        <f t="shared" si="974"/>
        <v>9409.6271907997761</v>
      </c>
      <c r="V578" s="552">
        <f t="shared" si="974"/>
        <v>9782.6643502344396</v>
      </c>
      <c r="W578" s="552">
        <f t="shared" si="974"/>
        <v>9884.1982226143809</v>
      </c>
      <c r="X578" s="552">
        <f t="shared" si="974"/>
        <v>9985.7322603808661</v>
      </c>
      <c r="Y578" s="552">
        <f t="shared" si="974"/>
        <v>10087.266479512098</v>
      </c>
      <c r="Z578" s="552">
        <f t="shared" si="974"/>
        <v>10189.091589180875</v>
      </c>
      <c r="AA578" s="552">
        <f t="shared" si="974"/>
        <v>10290.626224997963</v>
      </c>
      <c r="AB578" s="552">
        <f t="shared" si="974"/>
        <v>10392.451791800671</v>
      </c>
      <c r="AC578" s="552">
        <f t="shared" si="974"/>
        <v>10493.98692582335</v>
      </c>
      <c r="AD578" s="552">
        <f t="shared" si="974"/>
        <v>10595.52234335623</v>
      </c>
      <c r="AE578" s="552">
        <f t="shared" si="974"/>
        <v>10697.348765862722</v>
      </c>
      <c r="AF578" s="552">
        <f t="shared" si="974"/>
        <v>10798.884830451325</v>
      </c>
      <c r="AG578" s="552">
        <f t="shared" si="974"/>
        <v>10900.421261897292</v>
      </c>
      <c r="AH578" s="727">
        <f t="shared" si="974"/>
        <v>11002.248791531296</v>
      </c>
      <c r="AI578" s="18"/>
      <c r="AJ578" s="18"/>
      <c r="AK578" s="18"/>
      <c r="AL578" s="18"/>
      <c r="AM578" s="18"/>
      <c r="AN578" s="18"/>
    </row>
    <row r="579" spans="2:40" ht="21.9" customHeight="1" x14ac:dyDescent="0.25">
      <c r="B579" s="229"/>
      <c r="C579" s="690"/>
      <c r="D579" s="690"/>
      <c r="E579" s="1325"/>
      <c r="F579" s="114"/>
      <c r="G579" s="114"/>
      <c r="H579" s="122" t="s">
        <v>19</v>
      </c>
      <c r="I579" s="552">
        <f t="shared" ref="I579:AH579" si="975">I515*$D$12</f>
        <v>0</v>
      </c>
      <c r="J579" s="552">
        <f t="shared" si="975"/>
        <v>646.52068126520669</v>
      </c>
      <c r="K579" s="552">
        <f t="shared" si="975"/>
        <v>1868.6436982968371</v>
      </c>
      <c r="L579" s="552">
        <f t="shared" si="975"/>
        <v>4200.5940632605279</v>
      </c>
      <c r="M579" s="552">
        <f t="shared" si="975"/>
        <v>6533.8374696105129</v>
      </c>
      <c r="N579" s="552">
        <f t="shared" si="975"/>
        <v>8867.1803413267753</v>
      </c>
      <c r="O579" s="552">
        <f t="shared" si="975"/>
        <v>11199.130714650426</v>
      </c>
      <c r="P579" s="552">
        <f t="shared" si="975"/>
        <v>13533.766690688104</v>
      </c>
      <c r="Q579" s="552">
        <f t="shared" si="975"/>
        <v>15334.078340648353</v>
      </c>
      <c r="R579" s="552">
        <f t="shared" si="975"/>
        <v>17134.688857007928</v>
      </c>
      <c r="S579" s="552">
        <f t="shared" si="975"/>
        <v>18935.002241193652</v>
      </c>
      <c r="T579" s="552">
        <f t="shared" si="975"/>
        <v>20735.318691076183</v>
      </c>
      <c r="U579" s="552">
        <f t="shared" si="975"/>
        <v>22538.029199520424</v>
      </c>
      <c r="V579" s="552">
        <f t="shared" si="975"/>
        <v>23431.531377807041</v>
      </c>
      <c r="W579" s="552">
        <f t="shared" si="975"/>
        <v>23674.726281711093</v>
      </c>
      <c r="X579" s="552">
        <f t="shared" si="975"/>
        <v>23917.921581750579</v>
      </c>
      <c r="Y579" s="552">
        <f t="shared" si="975"/>
        <v>24161.117316196644</v>
      </c>
      <c r="Z579" s="552">
        <f t="shared" si="975"/>
        <v>24405.00979444521</v>
      </c>
      <c r="AA579" s="552">
        <f t="shared" si="975"/>
        <v>24648.206526941231</v>
      </c>
      <c r="AB579" s="552">
        <f t="shared" si="975"/>
        <v>24892.10010012137</v>
      </c>
      <c r="AC579" s="552">
        <f t="shared" si="975"/>
        <v>25135.298025924192</v>
      </c>
      <c r="AD579" s="552">
        <f t="shared" si="975"/>
        <v>25378.496630793365</v>
      </c>
      <c r="AE579" s="552">
        <f t="shared" si="975"/>
        <v>25622.392253563405</v>
      </c>
      <c r="AF579" s="552">
        <f t="shared" si="975"/>
        <v>25865.592408266646</v>
      </c>
      <c r="AG579" s="552">
        <f t="shared" si="975"/>
        <v>26108.793441670161</v>
      </c>
      <c r="AH579" s="727">
        <f t="shared" si="975"/>
        <v>26352.691716242625</v>
      </c>
      <c r="AI579" s="18"/>
      <c r="AJ579" s="18"/>
      <c r="AK579" s="18"/>
      <c r="AL579" s="18"/>
      <c r="AM579" s="18"/>
      <c r="AN579" s="18"/>
    </row>
    <row r="580" spans="2:40" ht="21.9" customHeight="1" x14ac:dyDescent="0.25">
      <c r="B580" s="229"/>
      <c r="C580" s="690"/>
      <c r="D580" s="690"/>
      <c r="E580" s="1325"/>
      <c r="F580" s="114"/>
      <c r="G580" s="114"/>
      <c r="H580" s="695" t="s">
        <v>25</v>
      </c>
      <c r="I580" s="552">
        <f t="shared" ref="I580:AH580" si="976">SUM(I578:I579)</f>
        <v>0</v>
      </c>
      <c r="J580" s="552">
        <f t="shared" si="976"/>
        <v>916.44306569343053</v>
      </c>
      <c r="K580" s="552">
        <f t="shared" si="976"/>
        <v>2648.8024423357665</v>
      </c>
      <c r="L580" s="552">
        <f t="shared" si="976"/>
        <v>5954.3420846717981</v>
      </c>
      <c r="M580" s="552">
        <f t="shared" si="976"/>
        <v>9261.7146131729023</v>
      </c>
      <c r="N580" s="552">
        <f t="shared" si="976"/>
        <v>12569.228133830704</v>
      </c>
      <c r="O580" s="552">
        <f t="shared" si="976"/>
        <v>15874.767788016979</v>
      </c>
      <c r="P580" s="552">
        <f t="shared" si="976"/>
        <v>19184.114284050389</v>
      </c>
      <c r="Q580" s="552">
        <f t="shared" si="976"/>
        <v>21736.056047869039</v>
      </c>
      <c r="R580" s="552">
        <f t="shared" si="976"/>
        <v>24288.421454808737</v>
      </c>
      <c r="S580" s="552">
        <f t="shared" si="976"/>
        <v>26840.365676892001</v>
      </c>
      <c r="T580" s="552">
        <f t="shared" si="976"/>
        <v>29392.314244600489</v>
      </c>
      <c r="U580" s="552">
        <f t="shared" si="976"/>
        <v>31947.6563903202</v>
      </c>
      <c r="V580" s="552">
        <f t="shared" si="976"/>
        <v>33214.195728041479</v>
      </c>
      <c r="W580" s="552">
        <f t="shared" si="976"/>
        <v>33558.924504325478</v>
      </c>
      <c r="X580" s="552">
        <f t="shared" si="976"/>
        <v>33903.653842131447</v>
      </c>
      <c r="Y580" s="552">
        <f t="shared" si="976"/>
        <v>34248.383795708738</v>
      </c>
      <c r="Z580" s="552">
        <f t="shared" si="976"/>
        <v>34594.101383626083</v>
      </c>
      <c r="AA580" s="552">
        <f t="shared" si="976"/>
        <v>34938.83275193919</v>
      </c>
      <c r="AB580" s="552">
        <f t="shared" si="976"/>
        <v>35284.551891922041</v>
      </c>
      <c r="AC580" s="552">
        <f t="shared" si="976"/>
        <v>35629.284951747541</v>
      </c>
      <c r="AD580" s="552">
        <f t="shared" si="976"/>
        <v>35974.018974149592</v>
      </c>
      <c r="AE580" s="552">
        <f t="shared" si="976"/>
        <v>36319.741019426125</v>
      </c>
      <c r="AF580" s="552">
        <f t="shared" si="976"/>
        <v>36664.477238717969</v>
      </c>
      <c r="AG580" s="552">
        <f t="shared" si="976"/>
        <v>37009.214703567457</v>
      </c>
      <c r="AH580" s="727">
        <f t="shared" si="976"/>
        <v>37354.940507773921</v>
      </c>
      <c r="AI580" s="18"/>
      <c r="AJ580" s="18"/>
      <c r="AK580" s="18"/>
      <c r="AL580" s="18"/>
      <c r="AM580" s="18"/>
      <c r="AN580" s="18"/>
    </row>
    <row r="581" spans="2:40" ht="21.9" customHeight="1" x14ac:dyDescent="0.25">
      <c r="B581" s="229"/>
      <c r="C581" s="690"/>
      <c r="D581" s="690"/>
      <c r="E581" s="1325"/>
      <c r="F581" s="114" t="s">
        <v>282</v>
      </c>
      <c r="G581" s="114" t="s">
        <v>321</v>
      </c>
      <c r="H581" s="114" t="s">
        <v>20</v>
      </c>
      <c r="I581" s="552">
        <f t="shared" ref="I581:AH581" si="977">I517*$D$11</f>
        <v>0</v>
      </c>
      <c r="J581" s="552">
        <f t="shared" si="977"/>
        <v>703.72621654501222</v>
      </c>
      <c r="K581" s="552">
        <f t="shared" si="977"/>
        <v>2033.9852969586373</v>
      </c>
      <c r="L581" s="552">
        <f t="shared" si="977"/>
        <v>4572.2716272508114</v>
      </c>
      <c r="M581" s="552">
        <f t="shared" si="977"/>
        <v>7111.9654100019416</v>
      </c>
      <c r="N581" s="552">
        <f t="shared" si="977"/>
        <v>9651.7674590280967</v>
      </c>
      <c r="O581" s="552">
        <f t="shared" si="977"/>
        <v>12190.05379841994</v>
      </c>
      <c r="P581" s="552">
        <f t="shared" si="977"/>
        <v>14731.26336840881</v>
      </c>
      <c r="Q581" s="552">
        <f t="shared" si="977"/>
        <v>16690.870450968221</v>
      </c>
      <c r="R581" s="552">
        <f t="shared" si="977"/>
        <v>18650.802844266396</v>
      </c>
      <c r="S581" s="552">
        <f t="shared" si="977"/>
        <v>20610.411814499264</v>
      </c>
      <c r="T581" s="552">
        <f t="shared" si="977"/>
        <v>22570.024121688359</v>
      </c>
      <c r="U581" s="552">
        <f t="shared" si="977"/>
        <v>24532.242318870842</v>
      </c>
      <c r="V581" s="552">
        <f t="shared" si="977"/>
        <v>25504.803484539785</v>
      </c>
      <c r="W581" s="552">
        <f t="shared" si="977"/>
        <v>25769.516794673204</v>
      </c>
      <c r="X581" s="552">
        <f t="shared" si="977"/>
        <v>26034.230535992978</v>
      </c>
      <c r="Y581" s="552">
        <f t="shared" si="977"/>
        <v>26298.944750156537</v>
      </c>
      <c r="Z581" s="552">
        <f t="shared" si="977"/>
        <v>26564.417357507278</v>
      </c>
      <c r="AA581" s="552">
        <f t="shared" si="977"/>
        <v>26829.132658030405</v>
      </c>
      <c r="AB581" s="552">
        <f t="shared" si="977"/>
        <v>27094.606457194601</v>
      </c>
      <c r="AC581" s="552">
        <f t="shared" si="977"/>
        <v>27359.323056610876</v>
      </c>
      <c r="AD581" s="552">
        <f t="shared" si="977"/>
        <v>27624.040395178738</v>
      </c>
      <c r="AE581" s="552">
        <f t="shared" si="977"/>
        <v>27889.516425284946</v>
      </c>
      <c r="AF581" s="552">
        <f t="shared" si="977"/>
        <v>28154.23545081952</v>
      </c>
      <c r="AG581" s="552">
        <f t="shared" si="977"/>
        <v>28418.955432803657</v>
      </c>
      <c r="AH581" s="727">
        <f t="shared" si="977"/>
        <v>28684.434349349445</v>
      </c>
      <c r="AI581" s="18"/>
      <c r="AJ581" s="18"/>
      <c r="AK581" s="18"/>
      <c r="AL581" s="18"/>
      <c r="AM581" s="18"/>
      <c r="AN581" s="18"/>
    </row>
    <row r="582" spans="2:40" ht="21.9" customHeight="1" x14ac:dyDescent="0.25">
      <c r="B582" s="229"/>
      <c r="C582" s="690"/>
      <c r="D582" s="690"/>
      <c r="E582" s="1325"/>
      <c r="F582" s="114"/>
      <c r="G582" s="114"/>
      <c r="H582" s="122" t="s">
        <v>19</v>
      </c>
      <c r="I582" s="552">
        <f t="shared" ref="I582:AH582" si="978">I518*$D$12</f>
        <v>0</v>
      </c>
      <c r="J582" s="552">
        <f t="shared" si="978"/>
        <v>1685.571776155718</v>
      </c>
      <c r="K582" s="552">
        <f t="shared" si="978"/>
        <v>4871.8210705596102</v>
      </c>
      <c r="L582" s="552">
        <f t="shared" si="978"/>
        <v>10951.548807786376</v>
      </c>
      <c r="M582" s="552">
        <f t="shared" si="978"/>
        <v>17034.647688627407</v>
      </c>
      <c r="N582" s="552">
        <f t="shared" si="978"/>
        <v>23118.00588988766</v>
      </c>
      <c r="O582" s="552">
        <f t="shared" si="978"/>
        <v>29197.733648910038</v>
      </c>
      <c r="P582" s="552">
        <f t="shared" si="978"/>
        <v>35284.463157865415</v>
      </c>
      <c r="Q582" s="552">
        <f t="shared" si="978"/>
        <v>39978.132816690348</v>
      </c>
      <c r="R582" s="552">
        <f t="shared" si="978"/>
        <v>44672.58166291353</v>
      </c>
      <c r="S582" s="552">
        <f t="shared" si="978"/>
        <v>49366.255843112012</v>
      </c>
      <c r="T582" s="552">
        <f t="shared" si="978"/>
        <v>54059.938016020023</v>
      </c>
      <c r="U582" s="552">
        <f t="shared" si="978"/>
        <v>58759.861841606806</v>
      </c>
      <c r="V582" s="552">
        <f t="shared" si="978"/>
        <v>61089.349663568348</v>
      </c>
      <c r="W582" s="552">
        <f t="shared" si="978"/>
        <v>61723.393520175341</v>
      </c>
      <c r="X582" s="552">
        <f t="shared" si="978"/>
        <v>62357.43840956402</v>
      </c>
      <c r="Y582" s="552">
        <f t="shared" si="978"/>
        <v>62991.484431512668</v>
      </c>
      <c r="Z582" s="552">
        <f t="shared" si="978"/>
        <v>63627.346964089294</v>
      </c>
      <c r="AA582" s="552">
        <f t="shared" si="978"/>
        <v>64261.395588096784</v>
      </c>
      <c r="AB582" s="552">
        <f t="shared" si="978"/>
        <v>64897.260975316414</v>
      </c>
      <c r="AC582" s="552">
        <f t="shared" si="978"/>
        <v>65531.312710445214</v>
      </c>
      <c r="AD582" s="552">
        <f t="shared" si="978"/>
        <v>66165.366215996983</v>
      </c>
      <c r="AE582" s="552">
        <f t="shared" si="978"/>
        <v>66801.23694679029</v>
      </c>
      <c r="AF582" s="552">
        <f t="shared" si="978"/>
        <v>67435.294492980887</v>
      </c>
      <c r="AG582" s="552">
        <f t="shared" si="978"/>
        <v>68069.354330068643</v>
      </c>
      <c r="AH582" s="727">
        <f t="shared" si="978"/>
        <v>68705.231974489696</v>
      </c>
      <c r="AI582" s="18"/>
      <c r="AJ582" s="18"/>
      <c r="AK582" s="18"/>
      <c r="AL582" s="18"/>
      <c r="AM582" s="18"/>
      <c r="AN582" s="18"/>
    </row>
    <row r="583" spans="2:40" ht="21.9" customHeight="1" x14ac:dyDescent="0.25">
      <c r="B583" s="229"/>
      <c r="C583" s="690"/>
      <c r="D583" s="690"/>
      <c r="E583" s="1325"/>
      <c r="F583" s="114"/>
      <c r="G583" s="114"/>
      <c r="H583" s="695" t="s">
        <v>25</v>
      </c>
      <c r="I583" s="552">
        <f t="shared" ref="I583:AH583" si="979">SUM(I581:I582)</f>
        <v>0</v>
      </c>
      <c r="J583" s="552">
        <f t="shared" si="979"/>
        <v>2389.29799270073</v>
      </c>
      <c r="K583" s="552">
        <f t="shared" si="979"/>
        <v>6905.8063675182475</v>
      </c>
      <c r="L583" s="552">
        <f t="shared" si="979"/>
        <v>15523.820435037187</v>
      </c>
      <c r="M583" s="552">
        <f t="shared" si="979"/>
        <v>24146.61309862935</v>
      </c>
      <c r="N583" s="552">
        <f t="shared" si="979"/>
        <v>32769.773348915754</v>
      </c>
      <c r="O583" s="552">
        <f t="shared" si="979"/>
        <v>41387.787447329974</v>
      </c>
      <c r="P583" s="552">
        <f t="shared" si="979"/>
        <v>50015.726526274229</v>
      </c>
      <c r="Q583" s="552">
        <f t="shared" si="979"/>
        <v>56669.003267658569</v>
      </c>
      <c r="R583" s="552">
        <f t="shared" si="979"/>
        <v>63323.38450717993</v>
      </c>
      <c r="S583" s="552">
        <f t="shared" si="979"/>
        <v>69976.66765761128</v>
      </c>
      <c r="T583" s="552">
        <f t="shared" si="979"/>
        <v>76629.962137708382</v>
      </c>
      <c r="U583" s="552">
        <f t="shared" si="979"/>
        <v>83292.10416047764</v>
      </c>
      <c r="V583" s="552">
        <f t="shared" si="979"/>
        <v>86594.153148108133</v>
      </c>
      <c r="W583" s="552">
        <f t="shared" si="979"/>
        <v>87492.910314848545</v>
      </c>
      <c r="X583" s="552">
        <f t="shared" si="979"/>
        <v>88391.668945557001</v>
      </c>
      <c r="Y583" s="552">
        <f t="shared" si="979"/>
        <v>89290.429181669198</v>
      </c>
      <c r="Z583" s="552">
        <f t="shared" si="979"/>
        <v>90191.764321596565</v>
      </c>
      <c r="AA583" s="552">
        <f t="shared" si="979"/>
        <v>91090.528246127185</v>
      </c>
      <c r="AB583" s="552">
        <f t="shared" si="979"/>
        <v>91991.867432511019</v>
      </c>
      <c r="AC583" s="552">
        <f t="shared" si="979"/>
        <v>92890.635767056083</v>
      </c>
      <c r="AD583" s="552">
        <f t="shared" si="979"/>
        <v>93789.406611175713</v>
      </c>
      <c r="AE583" s="552">
        <f t="shared" si="979"/>
        <v>94690.75337207524</v>
      </c>
      <c r="AF583" s="552">
        <f t="shared" si="979"/>
        <v>95589.529943800415</v>
      </c>
      <c r="AG583" s="552">
        <f t="shared" si="979"/>
        <v>96488.309762872304</v>
      </c>
      <c r="AH583" s="727">
        <f t="shared" si="979"/>
        <v>97389.666323839134</v>
      </c>
      <c r="AI583" s="18"/>
      <c r="AJ583" s="18"/>
      <c r="AK583" s="18"/>
      <c r="AL583" s="18"/>
      <c r="AM583" s="18"/>
      <c r="AN583" s="18"/>
    </row>
    <row r="584" spans="2:40" ht="21.9" customHeight="1" x14ac:dyDescent="0.25">
      <c r="B584" s="229"/>
      <c r="C584" s="690"/>
      <c r="D584" s="690"/>
      <c r="E584" s="1325"/>
      <c r="F584" s="114" t="s">
        <v>321</v>
      </c>
      <c r="G584" s="114" t="s">
        <v>274</v>
      </c>
      <c r="H584" s="114" t="s">
        <v>20</v>
      </c>
      <c r="I584" s="552">
        <f t="shared" ref="I584:AH584" si="980">I520*$D$11</f>
        <v>934.34671532846721</v>
      </c>
      <c r="J584" s="552">
        <f t="shared" si="980"/>
        <v>1380.8710105839414</v>
      </c>
      <c r="K584" s="552">
        <f t="shared" si="980"/>
        <v>1937.1498999999999</v>
      </c>
      <c r="L584" s="552">
        <f t="shared" si="980"/>
        <v>3128.2550927007296</v>
      </c>
      <c r="M584" s="552">
        <f t="shared" si="980"/>
        <v>4319.5160098540182</v>
      </c>
      <c r="N584" s="552">
        <f t="shared" si="980"/>
        <v>5511.275245255516</v>
      </c>
      <c r="O584" s="552">
        <f t="shared" si="980"/>
        <v>6702.3804379565645</v>
      </c>
      <c r="P584" s="552">
        <f t="shared" si="980"/>
        <v>7892.8627328488965</v>
      </c>
      <c r="Q584" s="552">
        <f t="shared" si="980"/>
        <v>10283.295369383097</v>
      </c>
      <c r="R584" s="552">
        <f t="shared" si="980"/>
        <v>12672.357631055393</v>
      </c>
      <c r="S584" s="552">
        <f t="shared" si="980"/>
        <v>15061.949357774167</v>
      </c>
      <c r="T584" s="552">
        <f t="shared" si="980"/>
        <v>17452.382005075408</v>
      </c>
      <c r="U584" s="552">
        <f t="shared" si="980"/>
        <v>19842.191785555438</v>
      </c>
      <c r="V584" s="552">
        <f t="shared" si="980"/>
        <v>21597.735914147343</v>
      </c>
      <c r="W584" s="552">
        <f t="shared" si="980"/>
        <v>22044.260244854035</v>
      </c>
      <c r="X584" s="552">
        <f t="shared" si="980"/>
        <v>22490.784583517237</v>
      </c>
      <c r="Y584" s="552">
        <f t="shared" si="980"/>
        <v>22937.308931710737</v>
      </c>
      <c r="Z584" s="552">
        <f t="shared" si="980"/>
        <v>23382.49406077417</v>
      </c>
      <c r="AA584" s="552">
        <f t="shared" si="980"/>
        <v>23829.01843382528</v>
      </c>
      <c r="AB584" s="552">
        <f t="shared" si="980"/>
        <v>24274.203592305334</v>
      </c>
      <c r="AC584" s="552">
        <f t="shared" si="980"/>
        <v>24720.728000266528</v>
      </c>
      <c r="AD584" s="552">
        <f t="shared" si="980"/>
        <v>25167.252430534652</v>
      </c>
      <c r="AE584" s="552">
        <f t="shared" si="980"/>
        <v>25612.437656188598</v>
      </c>
      <c r="AF584" s="552">
        <f t="shared" si="980"/>
        <v>26058.962143258865</v>
      </c>
      <c r="AG584" s="552">
        <f t="shared" si="980"/>
        <v>26505.48666617323</v>
      </c>
      <c r="AH584" s="727">
        <f t="shared" si="980"/>
        <v>26950.671999682399</v>
      </c>
      <c r="AI584" s="18"/>
      <c r="AJ584" s="18"/>
      <c r="AK584" s="18"/>
      <c r="AL584" s="18"/>
      <c r="AM584" s="18"/>
      <c r="AN584" s="18"/>
    </row>
    <row r="585" spans="2:40" ht="21.9" customHeight="1" x14ac:dyDescent="0.25">
      <c r="B585" s="229"/>
      <c r="C585" s="690"/>
      <c r="D585" s="690"/>
      <c r="E585" s="1325"/>
      <c r="F585" s="114"/>
      <c r="G585" s="114"/>
      <c r="H585" s="114" t="s">
        <v>19</v>
      </c>
      <c r="I585" s="552">
        <f t="shared" ref="I585:AH585" si="981">I521*$D$12</f>
        <v>2237.9562043795622</v>
      </c>
      <c r="J585" s="552">
        <f t="shared" si="981"/>
        <v>3307.4754744525544</v>
      </c>
      <c r="K585" s="552">
        <f t="shared" si="981"/>
        <v>4639.88</v>
      </c>
      <c r="L585" s="552">
        <f t="shared" si="981"/>
        <v>7492.8265693430658</v>
      </c>
      <c r="M585" s="552">
        <f t="shared" si="981"/>
        <v>10346.146131386871</v>
      </c>
      <c r="N585" s="552">
        <f t="shared" si="981"/>
        <v>13200.659270073093</v>
      </c>
      <c r="O585" s="552">
        <f t="shared" si="981"/>
        <v>16053.605839416921</v>
      </c>
      <c r="P585" s="552">
        <f t="shared" si="981"/>
        <v>18905.060437961431</v>
      </c>
      <c r="Q585" s="552">
        <f t="shared" si="981"/>
        <v>24630.647591336761</v>
      </c>
      <c r="R585" s="552">
        <f t="shared" si="981"/>
        <v>30352.952409713514</v>
      </c>
      <c r="S585" s="552">
        <f t="shared" si="981"/>
        <v>36076.525407842317</v>
      </c>
      <c r="T585" s="552">
        <f t="shared" si="981"/>
        <v>41802.112587006966</v>
      </c>
      <c r="U585" s="552">
        <f t="shared" si="981"/>
        <v>47526.207869593869</v>
      </c>
      <c r="V585" s="552">
        <f t="shared" si="981"/>
        <v>51731.103985981659</v>
      </c>
      <c r="W585" s="552">
        <f t="shared" si="981"/>
        <v>52800.623340967752</v>
      </c>
      <c r="X585" s="552">
        <f t="shared" si="981"/>
        <v>53870.142715011352</v>
      </c>
      <c r="Y585" s="552">
        <f t="shared" si="981"/>
        <v>54939.662111882004</v>
      </c>
      <c r="Z585" s="552">
        <f t="shared" si="981"/>
        <v>56005.97379826149</v>
      </c>
      <c r="AA585" s="552">
        <f t="shared" si="981"/>
        <v>57075.493254671332</v>
      </c>
      <c r="AB585" s="552">
        <f t="shared" si="981"/>
        <v>58141.805011509779</v>
      </c>
      <c r="AC585" s="552">
        <f t="shared" si="981"/>
        <v>59211.3245515366</v>
      </c>
      <c r="AD585" s="552">
        <f t="shared" si="981"/>
        <v>60280.844144993185</v>
      </c>
      <c r="AE585" s="552">
        <f t="shared" si="981"/>
        <v>61347.156062727183</v>
      </c>
      <c r="AF585" s="552">
        <f t="shared" si="981"/>
        <v>62416.675792236805</v>
      </c>
      <c r="AG585" s="552">
        <f t="shared" si="981"/>
        <v>63486.195607600552</v>
      </c>
      <c r="AH585" s="727">
        <f t="shared" si="981"/>
        <v>64552.507783670422</v>
      </c>
      <c r="AI585" s="18"/>
      <c r="AJ585" s="18"/>
      <c r="AK585" s="18"/>
      <c r="AL585" s="18"/>
      <c r="AM585" s="18"/>
      <c r="AN585" s="18"/>
    </row>
    <row r="586" spans="2:40" ht="21.9" customHeight="1" x14ac:dyDescent="0.25">
      <c r="B586" s="229"/>
      <c r="C586" s="690"/>
      <c r="D586" s="690"/>
      <c r="E586" s="1325"/>
      <c r="F586" s="250"/>
      <c r="G586" s="250"/>
      <c r="H586" s="696" t="s">
        <v>25</v>
      </c>
      <c r="I586" s="562">
        <f t="shared" ref="I586:AH586" si="982">SUM(I584:I585)</f>
        <v>3172.3029197080295</v>
      </c>
      <c r="J586" s="562">
        <f t="shared" si="982"/>
        <v>4688.3464850364962</v>
      </c>
      <c r="K586" s="562">
        <f t="shared" si="982"/>
        <v>6577.0298999999995</v>
      </c>
      <c r="L586" s="562">
        <f t="shared" si="982"/>
        <v>10621.081662043794</v>
      </c>
      <c r="M586" s="562">
        <f t="shared" si="982"/>
        <v>14665.662141240889</v>
      </c>
      <c r="N586" s="562">
        <f t="shared" si="982"/>
        <v>18711.934515328609</v>
      </c>
      <c r="O586" s="562">
        <f t="shared" si="982"/>
        <v>22755.986277373486</v>
      </c>
      <c r="P586" s="562">
        <f t="shared" si="982"/>
        <v>26797.923170810325</v>
      </c>
      <c r="Q586" s="562">
        <f t="shared" si="982"/>
        <v>34913.942960719854</v>
      </c>
      <c r="R586" s="562">
        <f t="shared" si="982"/>
        <v>43025.310040768905</v>
      </c>
      <c r="S586" s="562">
        <f t="shared" si="982"/>
        <v>51138.474765616484</v>
      </c>
      <c r="T586" s="562">
        <f t="shared" si="982"/>
        <v>59254.494592082374</v>
      </c>
      <c r="U586" s="562">
        <f t="shared" si="982"/>
        <v>67368.399655149304</v>
      </c>
      <c r="V586" s="562">
        <f t="shared" si="982"/>
        <v>73328.839900129009</v>
      </c>
      <c r="W586" s="562">
        <f t="shared" si="982"/>
        <v>74844.883585821779</v>
      </c>
      <c r="X586" s="562">
        <f t="shared" si="982"/>
        <v>76360.927298528593</v>
      </c>
      <c r="Y586" s="562">
        <f t="shared" si="982"/>
        <v>77876.971043592741</v>
      </c>
      <c r="Z586" s="562">
        <f t="shared" si="982"/>
        <v>79388.467859035663</v>
      </c>
      <c r="AA586" s="562">
        <f t="shared" si="982"/>
        <v>80904.511688496612</v>
      </c>
      <c r="AB586" s="562">
        <f t="shared" si="982"/>
        <v>82416.008603815106</v>
      </c>
      <c r="AC586" s="562">
        <f t="shared" si="982"/>
        <v>83932.052551803121</v>
      </c>
      <c r="AD586" s="562">
        <f t="shared" si="982"/>
        <v>85448.09657552783</v>
      </c>
      <c r="AE586" s="562">
        <f t="shared" si="982"/>
        <v>86959.593718915785</v>
      </c>
      <c r="AF586" s="562">
        <f t="shared" si="982"/>
        <v>88475.637935495673</v>
      </c>
      <c r="AG586" s="562">
        <f t="shared" si="982"/>
        <v>89991.682273773782</v>
      </c>
      <c r="AH586" s="729">
        <f t="shared" si="982"/>
        <v>91503.179783352825</v>
      </c>
      <c r="AI586" s="18"/>
      <c r="AJ586" s="18"/>
      <c r="AK586" s="18"/>
      <c r="AL586" s="18"/>
      <c r="AM586" s="18"/>
      <c r="AN586" s="18"/>
    </row>
    <row r="587" spans="2:40" ht="21.9" customHeight="1" x14ac:dyDescent="0.25">
      <c r="B587" s="229"/>
      <c r="C587" s="690"/>
      <c r="D587" s="690"/>
      <c r="E587" s="114" t="s">
        <v>282</v>
      </c>
      <c r="F587" s="114" t="s">
        <v>308</v>
      </c>
      <c r="G587" s="114" t="s">
        <v>324</v>
      </c>
      <c r="H587" s="114" t="s">
        <v>20</v>
      </c>
      <c r="I587" s="552">
        <f t="shared" ref="I587:AH587" si="983">I523*$D$11</f>
        <v>8187.9850746269094</v>
      </c>
      <c r="J587" s="552">
        <f t="shared" si="983"/>
        <v>8691.4551791045633</v>
      </c>
      <c r="K587" s="552">
        <f t="shared" si="983"/>
        <v>9357.7297201494403</v>
      </c>
      <c r="L587" s="552">
        <f t="shared" si="983"/>
        <v>10243.169328358714</v>
      </c>
      <c r="M587" s="552">
        <f t="shared" si="983"/>
        <v>11128.881869404246</v>
      </c>
      <c r="N587" s="552">
        <f t="shared" si="983"/>
        <v>12016.504940301435</v>
      </c>
      <c r="O587" s="552">
        <f t="shared" si="983"/>
        <v>12901.94454851386</v>
      </c>
      <c r="P587" s="552">
        <f t="shared" si="983"/>
        <v>13788.339421655079</v>
      </c>
      <c r="Q587" s="552">
        <f t="shared" si="983"/>
        <v>14596.584526144274</v>
      </c>
      <c r="R587" s="552">
        <f t="shared" si="983"/>
        <v>15404.14729855244</v>
      </c>
      <c r="S587" s="552">
        <f t="shared" si="983"/>
        <v>16212.437891869982</v>
      </c>
      <c r="T587" s="552">
        <f t="shared" si="983"/>
        <v>17020.682996403459</v>
      </c>
      <c r="U587" s="552">
        <f t="shared" si="983"/>
        <v>17831.793895747342</v>
      </c>
      <c r="V587" s="552">
        <f t="shared" si="983"/>
        <v>18420.237089873746</v>
      </c>
      <c r="W587" s="552">
        <f t="shared" si="983"/>
        <v>18923.707194462379</v>
      </c>
      <c r="X587" s="552">
        <f t="shared" si="983"/>
        <v>19427.177299084826</v>
      </c>
      <c r="Y587" s="552">
        <f t="shared" si="983"/>
        <v>19930.64740375011</v>
      </c>
      <c r="Z587" s="552">
        <f t="shared" si="983"/>
        <v>20434.663374141233</v>
      </c>
      <c r="AA587" s="552">
        <f t="shared" si="983"/>
        <v>20938.133478927961</v>
      </c>
      <c r="AB587" s="552">
        <f t="shared" si="983"/>
        <v>21442.831781560959</v>
      </c>
      <c r="AC587" s="552">
        <f t="shared" si="983"/>
        <v>21946.301886535959</v>
      </c>
      <c r="AD587" s="552">
        <f t="shared" si="983"/>
        <v>22449.771991639172</v>
      </c>
      <c r="AE587" s="552">
        <f t="shared" si="983"/>
        <v>22953.787962572183</v>
      </c>
      <c r="AF587" s="552">
        <f t="shared" si="983"/>
        <v>23457.258068024777</v>
      </c>
      <c r="AG587" s="552">
        <f t="shared" si="983"/>
        <v>23960.728173710693</v>
      </c>
      <c r="AH587" s="727">
        <f t="shared" si="983"/>
        <v>24465.426477444282</v>
      </c>
      <c r="AI587" s="18"/>
      <c r="AJ587" s="18"/>
      <c r="AK587" s="18"/>
      <c r="AL587" s="18"/>
      <c r="AM587" s="18"/>
      <c r="AN587" s="18"/>
    </row>
    <row r="588" spans="2:40" ht="21.9" customHeight="1" x14ac:dyDescent="0.25">
      <c r="B588" s="229"/>
      <c r="C588" s="690"/>
      <c r="D588" s="690"/>
      <c r="E588" s="114"/>
      <c r="F588" s="114"/>
      <c r="G588" s="114"/>
      <c r="H588" s="122" t="s">
        <v>19</v>
      </c>
      <c r="I588" s="552">
        <f t="shared" ref="I588:AH588" si="984">I524*$D$12</f>
        <v>19611.940298507569</v>
      </c>
      <c r="J588" s="552">
        <f t="shared" si="984"/>
        <v>20817.856716418115</v>
      </c>
      <c r="K588" s="552">
        <f t="shared" si="984"/>
        <v>22413.723880597463</v>
      </c>
      <c r="L588" s="552">
        <f t="shared" si="984"/>
        <v>24534.537313434048</v>
      </c>
      <c r="M588" s="552">
        <f t="shared" si="984"/>
        <v>26656.004477614959</v>
      </c>
      <c r="N588" s="552">
        <f t="shared" si="984"/>
        <v>28782.047761201044</v>
      </c>
      <c r="O588" s="552">
        <f t="shared" si="984"/>
        <v>30902.861194045174</v>
      </c>
      <c r="P588" s="552">
        <f t="shared" si="984"/>
        <v>33025.962686598992</v>
      </c>
      <c r="Q588" s="552">
        <f t="shared" si="984"/>
        <v>34961.879104537184</v>
      </c>
      <c r="R588" s="552">
        <f t="shared" si="984"/>
        <v>36896.161194137581</v>
      </c>
      <c r="S588" s="552">
        <f t="shared" si="984"/>
        <v>38832.186567353252</v>
      </c>
      <c r="T588" s="552">
        <f t="shared" si="984"/>
        <v>40768.102985397505</v>
      </c>
      <c r="U588" s="552">
        <f t="shared" si="984"/>
        <v>42710.883582628368</v>
      </c>
      <c r="V588" s="552">
        <f t="shared" si="984"/>
        <v>44120.328358979037</v>
      </c>
      <c r="W588" s="552">
        <f t="shared" si="984"/>
        <v>45326.2447771554</v>
      </c>
      <c r="X588" s="552">
        <f t="shared" si="984"/>
        <v>46532.161195412758</v>
      </c>
      <c r="Y588" s="552">
        <f t="shared" si="984"/>
        <v>47738.077613772723</v>
      </c>
      <c r="Z588" s="552">
        <f t="shared" si="984"/>
        <v>48945.301494949061</v>
      </c>
      <c r="AA588" s="552">
        <f t="shared" si="984"/>
        <v>50151.21791359991</v>
      </c>
      <c r="AB588" s="552">
        <f t="shared" si="984"/>
        <v>51360.076123499304</v>
      </c>
      <c r="AC588" s="552">
        <f t="shared" si="984"/>
        <v>52565.992542601103</v>
      </c>
      <c r="AD588" s="552">
        <f t="shared" si="984"/>
        <v>53771.908962009999</v>
      </c>
      <c r="AE588" s="552">
        <f t="shared" si="984"/>
        <v>54979.132844484273</v>
      </c>
      <c r="AF588" s="552">
        <f t="shared" si="984"/>
        <v>56185.049264730005</v>
      </c>
      <c r="AG588" s="552">
        <f t="shared" si="984"/>
        <v>57390.965685534597</v>
      </c>
      <c r="AH588" s="727">
        <f t="shared" si="984"/>
        <v>58599.823898070143</v>
      </c>
      <c r="AI588" s="18"/>
      <c r="AJ588" s="18"/>
      <c r="AK588" s="18"/>
      <c r="AL588" s="18"/>
      <c r="AM588" s="18"/>
      <c r="AN588" s="18"/>
    </row>
    <row r="589" spans="2:40" ht="21.9" customHeight="1" x14ac:dyDescent="0.25">
      <c r="B589" s="229"/>
      <c r="C589" s="690"/>
      <c r="D589" s="690"/>
      <c r="E589" s="114"/>
      <c r="F589" s="114"/>
      <c r="G589" s="114"/>
      <c r="H589" s="696" t="s">
        <v>25</v>
      </c>
      <c r="I589" s="552">
        <f t="shared" ref="I589:AH589" si="985">SUM(I587:I588)</f>
        <v>27799.92537313448</v>
      </c>
      <c r="J589" s="552">
        <f t="shared" si="985"/>
        <v>29509.311895522678</v>
      </c>
      <c r="K589" s="552">
        <f t="shared" si="985"/>
        <v>31771.453600746903</v>
      </c>
      <c r="L589" s="552">
        <f t="shared" si="985"/>
        <v>34777.706641792764</v>
      </c>
      <c r="M589" s="552">
        <f t="shared" si="985"/>
        <v>37784.886347019201</v>
      </c>
      <c r="N589" s="552">
        <f t="shared" si="985"/>
        <v>40798.552701502478</v>
      </c>
      <c r="O589" s="552">
        <f t="shared" si="985"/>
        <v>43804.805742559038</v>
      </c>
      <c r="P589" s="552">
        <f t="shared" si="985"/>
        <v>46814.302108254073</v>
      </c>
      <c r="Q589" s="552">
        <f t="shared" si="985"/>
        <v>49558.463630681457</v>
      </c>
      <c r="R589" s="552">
        <f t="shared" si="985"/>
        <v>52300.308492690019</v>
      </c>
      <c r="S589" s="552">
        <f t="shared" si="985"/>
        <v>55044.624459223232</v>
      </c>
      <c r="T589" s="552">
        <f t="shared" si="985"/>
        <v>57788.78598180096</v>
      </c>
      <c r="U589" s="552">
        <f t="shared" si="985"/>
        <v>60542.677478375714</v>
      </c>
      <c r="V589" s="552">
        <f t="shared" si="985"/>
        <v>62540.56544885278</v>
      </c>
      <c r="W589" s="552">
        <f t="shared" si="985"/>
        <v>64249.951971617775</v>
      </c>
      <c r="X589" s="552">
        <f t="shared" si="985"/>
        <v>65959.338494497584</v>
      </c>
      <c r="Y589" s="552">
        <f t="shared" si="985"/>
        <v>67668.72501752284</v>
      </c>
      <c r="Z589" s="552">
        <f t="shared" si="985"/>
        <v>69379.964869090298</v>
      </c>
      <c r="AA589" s="552">
        <f t="shared" si="985"/>
        <v>71089.351392527868</v>
      </c>
      <c r="AB589" s="552">
        <f t="shared" si="985"/>
        <v>72802.90790506026</v>
      </c>
      <c r="AC589" s="552">
        <f t="shared" si="985"/>
        <v>74512.294429137066</v>
      </c>
      <c r="AD589" s="552">
        <f t="shared" si="985"/>
        <v>76221.680953649164</v>
      </c>
      <c r="AE589" s="552">
        <f t="shared" si="985"/>
        <v>77932.920807056449</v>
      </c>
      <c r="AF589" s="552">
        <f t="shared" si="985"/>
        <v>79642.307332754775</v>
      </c>
      <c r="AG589" s="552">
        <f t="shared" si="985"/>
        <v>81351.693859245293</v>
      </c>
      <c r="AH589" s="727">
        <f t="shared" si="985"/>
        <v>83065.250375514428</v>
      </c>
      <c r="AI589" s="18"/>
      <c r="AJ589" s="18"/>
      <c r="AK589" s="18"/>
      <c r="AL589" s="18"/>
      <c r="AM589" s="18"/>
      <c r="AN589" s="18"/>
    </row>
    <row r="590" spans="2:40" ht="21.9" customHeight="1" x14ac:dyDescent="0.25">
      <c r="B590" s="229"/>
      <c r="C590" s="690"/>
      <c r="D590" s="690"/>
      <c r="E590" s="217" t="s">
        <v>321</v>
      </c>
      <c r="F590" s="217" t="s">
        <v>318</v>
      </c>
      <c r="G590" s="217" t="s">
        <v>308</v>
      </c>
      <c r="H590" s="114" t="s">
        <v>20</v>
      </c>
      <c r="I590" s="552">
        <f t="shared" ref="I590:AH590" si="986">I526*$D$11</f>
        <v>0</v>
      </c>
      <c r="J590" s="552">
        <f t="shared" si="986"/>
        <v>8519.2362297428808</v>
      </c>
      <c r="K590" s="552">
        <f t="shared" si="986"/>
        <v>9172.3094481964363</v>
      </c>
      <c r="L590" s="552">
        <f t="shared" si="986"/>
        <v>10040.206635474233</v>
      </c>
      <c r="M590" s="552">
        <f t="shared" si="986"/>
        <v>10908.374623923788</v>
      </c>
      <c r="N590" s="552">
        <f t="shared" si="986"/>
        <v>11778.422188105618</v>
      </c>
      <c r="O590" s="552">
        <f t="shared" si="986"/>
        <v>12646.34314667278</v>
      </c>
      <c r="P590" s="552">
        <f t="shared" si="986"/>
        <v>13515.2262215029</v>
      </c>
      <c r="Q590" s="552">
        <f t="shared" si="986"/>
        <v>14307.543391545747</v>
      </c>
      <c r="R590" s="552">
        <f t="shared" si="986"/>
        <v>15099.25598561787</v>
      </c>
      <c r="S590" s="552">
        <f t="shared" si="986"/>
        <v>15891.786460627265</v>
      </c>
      <c r="T590" s="552">
        <f t="shared" si="986"/>
        <v>16684.437444856998</v>
      </c>
      <c r="U590" s="552">
        <f t="shared" si="986"/>
        <v>17480.155897742243</v>
      </c>
      <c r="V590" s="552">
        <f t="shared" si="986"/>
        <v>18057.667045156806</v>
      </c>
      <c r="W590" s="552">
        <f t="shared" si="986"/>
        <v>18551.997848212832</v>
      </c>
      <c r="X590" s="552">
        <f t="shared" si="986"/>
        <v>19046.583592445946</v>
      </c>
      <c r="Y590" s="552">
        <f t="shared" si="986"/>
        <v>19541.492170790152</v>
      </c>
      <c r="Z590" s="552">
        <f t="shared" si="986"/>
        <v>20037.344376075765</v>
      </c>
      <c r="AA590" s="552">
        <f t="shared" si="986"/>
        <v>20533.168458993903</v>
      </c>
      <c r="AB590" s="552">
        <f t="shared" si="986"/>
        <v>21030.837650188678</v>
      </c>
      <c r="AC590" s="552">
        <f t="shared" si="986"/>
        <v>21528.080943002275</v>
      </c>
      <c r="AD590" s="552">
        <f t="shared" si="986"/>
        <v>22026.290656742316</v>
      </c>
      <c r="AE590" s="552">
        <f t="shared" si="986"/>
        <v>22526.227667448544</v>
      </c>
      <c r="AF590" s="552">
        <f t="shared" si="986"/>
        <v>23027.070974225418</v>
      </c>
      <c r="AG590" s="552">
        <f t="shared" si="986"/>
        <v>23529.673171383256</v>
      </c>
      <c r="AH590" s="727">
        <f t="shared" si="986"/>
        <v>24035.638677441639</v>
      </c>
      <c r="AI590" s="18"/>
      <c r="AJ590" s="18"/>
      <c r="AK590" s="18"/>
      <c r="AL590" s="18"/>
      <c r="AM590" s="18"/>
      <c r="AN590" s="18"/>
    </row>
    <row r="591" spans="2:40" ht="21.9" customHeight="1" x14ac:dyDescent="0.25">
      <c r="B591" s="229"/>
      <c r="C591" s="690"/>
      <c r="D591" s="690"/>
      <c r="E591" s="114"/>
      <c r="F591" s="114"/>
      <c r="G591" s="114"/>
      <c r="H591" s="122" t="s">
        <v>19</v>
      </c>
      <c r="I591" s="552">
        <f t="shared" ref="I591:AH591" si="987">I527*$D$12</f>
        <v>0</v>
      </c>
      <c r="J591" s="552">
        <f t="shared" si="987"/>
        <v>20405.356238905104</v>
      </c>
      <c r="K591" s="552">
        <f t="shared" si="987"/>
        <v>21969.603468733982</v>
      </c>
      <c r="L591" s="552">
        <f t="shared" si="987"/>
        <v>24048.399126884389</v>
      </c>
      <c r="M591" s="552">
        <f t="shared" si="987"/>
        <v>26127.843410595902</v>
      </c>
      <c r="N591" s="552">
        <f t="shared" si="987"/>
        <v>28211.789672109266</v>
      </c>
      <c r="O591" s="552">
        <f t="shared" si="987"/>
        <v>30290.642267479714</v>
      </c>
      <c r="P591" s="552">
        <f t="shared" si="987"/>
        <v>32371.799332941082</v>
      </c>
      <c r="Q591" s="552">
        <f t="shared" si="987"/>
        <v>34269.565009690414</v>
      </c>
      <c r="R591" s="552">
        <f t="shared" si="987"/>
        <v>36165.882600282326</v>
      </c>
      <c r="S591" s="552">
        <f t="shared" si="987"/>
        <v>38064.159187131176</v>
      </c>
      <c r="T591" s="552">
        <f t="shared" si="987"/>
        <v>39962.724418819162</v>
      </c>
      <c r="U591" s="552">
        <f t="shared" si="987"/>
        <v>41868.636880819744</v>
      </c>
      <c r="V591" s="552">
        <f t="shared" si="987"/>
        <v>43251.897114148043</v>
      </c>
      <c r="W591" s="552">
        <f t="shared" si="987"/>
        <v>44435.922989731334</v>
      </c>
      <c r="X591" s="552">
        <f t="shared" si="987"/>
        <v>45620.559502864548</v>
      </c>
      <c r="Y591" s="552">
        <f t="shared" si="987"/>
        <v>46805.969271353657</v>
      </c>
      <c r="Z591" s="552">
        <f t="shared" si="987"/>
        <v>47993.639224133571</v>
      </c>
      <c r="AA591" s="552">
        <f t="shared" si="987"/>
        <v>49181.241817949471</v>
      </c>
      <c r="AB591" s="552">
        <f t="shared" si="987"/>
        <v>50373.263832787256</v>
      </c>
      <c r="AC591" s="552">
        <f t="shared" si="987"/>
        <v>51564.26573174198</v>
      </c>
      <c r="AD591" s="552">
        <f t="shared" si="987"/>
        <v>52757.582411358846</v>
      </c>
      <c r="AE591" s="552">
        <f t="shared" si="987"/>
        <v>53955.03632921807</v>
      </c>
      <c r="AF591" s="552">
        <f t="shared" si="987"/>
        <v>55154.661016108788</v>
      </c>
      <c r="AG591" s="552">
        <f t="shared" si="987"/>
        <v>56358.49861409163</v>
      </c>
      <c r="AH591" s="727">
        <f t="shared" si="987"/>
        <v>57570.39204177638</v>
      </c>
      <c r="AI591" s="18"/>
      <c r="AJ591" s="18"/>
      <c r="AK591" s="18"/>
      <c r="AL591" s="18"/>
      <c r="AM591" s="18"/>
      <c r="AN591" s="18"/>
    </row>
    <row r="592" spans="2:40" ht="21.9" customHeight="1" x14ac:dyDescent="0.25">
      <c r="B592" s="229"/>
      <c r="C592" s="690"/>
      <c r="D592" s="690"/>
      <c r="E592" s="250"/>
      <c r="F592" s="250"/>
      <c r="G592" s="250"/>
      <c r="H592" s="696" t="s">
        <v>25</v>
      </c>
      <c r="I592" s="552">
        <f t="shared" ref="I592:AH592" si="988">SUM(I590:I591)</f>
        <v>0</v>
      </c>
      <c r="J592" s="552">
        <f t="shared" si="988"/>
        <v>28924.592468647985</v>
      </c>
      <c r="K592" s="552">
        <f t="shared" si="988"/>
        <v>31141.912916930418</v>
      </c>
      <c r="L592" s="552">
        <f t="shared" si="988"/>
        <v>34088.605762358624</v>
      </c>
      <c r="M592" s="552">
        <f t="shared" si="988"/>
        <v>37036.21803451969</v>
      </c>
      <c r="N592" s="552">
        <f t="shared" si="988"/>
        <v>39990.211860214884</v>
      </c>
      <c r="O592" s="552">
        <f t="shared" si="988"/>
        <v>42936.985414152492</v>
      </c>
      <c r="P592" s="552">
        <f t="shared" si="988"/>
        <v>45887.025554443986</v>
      </c>
      <c r="Q592" s="552">
        <f t="shared" si="988"/>
        <v>48577.108401236161</v>
      </c>
      <c r="R592" s="552">
        <f t="shared" si="988"/>
        <v>51265.138585900197</v>
      </c>
      <c r="S592" s="552">
        <f t="shared" si="988"/>
        <v>53955.945647758439</v>
      </c>
      <c r="T592" s="552">
        <f t="shared" si="988"/>
        <v>56647.161863676156</v>
      </c>
      <c r="U592" s="552">
        <f t="shared" si="988"/>
        <v>59348.792778561983</v>
      </c>
      <c r="V592" s="552">
        <f t="shared" si="988"/>
        <v>61309.564159304849</v>
      </c>
      <c r="W592" s="552">
        <f t="shared" si="988"/>
        <v>62987.92083794417</v>
      </c>
      <c r="X592" s="552">
        <f t="shared" si="988"/>
        <v>64667.143095310494</v>
      </c>
      <c r="Y592" s="552">
        <f t="shared" si="988"/>
        <v>66347.461442143802</v>
      </c>
      <c r="Z592" s="552">
        <f t="shared" si="988"/>
        <v>68030.983600209336</v>
      </c>
      <c r="AA592" s="552">
        <f t="shared" si="988"/>
        <v>69714.410276943381</v>
      </c>
      <c r="AB592" s="552">
        <f t="shared" si="988"/>
        <v>71404.101482975937</v>
      </c>
      <c r="AC592" s="552">
        <f t="shared" si="988"/>
        <v>73092.346674744258</v>
      </c>
      <c r="AD592" s="552">
        <f t="shared" si="988"/>
        <v>74783.873068101166</v>
      </c>
      <c r="AE592" s="552">
        <f t="shared" si="988"/>
        <v>76481.263996666617</v>
      </c>
      <c r="AF592" s="552">
        <f t="shared" si="988"/>
        <v>78181.7319903342</v>
      </c>
      <c r="AG592" s="552">
        <f t="shared" si="988"/>
        <v>79888.171785474886</v>
      </c>
      <c r="AH592" s="727">
        <f t="shared" si="988"/>
        <v>81606.030719218019</v>
      </c>
      <c r="AI592" s="18"/>
      <c r="AJ592" s="18"/>
      <c r="AK592" s="18"/>
      <c r="AL592" s="18"/>
      <c r="AM592" s="18"/>
      <c r="AN592" s="18"/>
    </row>
    <row r="593" spans="2:40" ht="21.9" customHeight="1" x14ac:dyDescent="0.25">
      <c r="B593" s="229"/>
      <c r="C593" s="690"/>
      <c r="D593" s="690"/>
      <c r="E593" s="217" t="s">
        <v>333</v>
      </c>
      <c r="F593" s="217" t="s">
        <v>319</v>
      </c>
      <c r="G593" s="217" t="s">
        <v>308</v>
      </c>
      <c r="H593" s="114" t="s">
        <v>20</v>
      </c>
      <c r="I593" s="552">
        <f t="shared" ref="I593:AH593" si="989">I529*$D$11</f>
        <v>12757.824207646447</v>
      </c>
      <c r="J593" s="552">
        <f t="shared" si="989"/>
        <v>12933.074441110428</v>
      </c>
      <c r="K593" s="552">
        <f t="shared" si="989"/>
        <v>13236.025476474169</v>
      </c>
      <c r="L593" s="552">
        <f t="shared" si="989"/>
        <v>13652.021382959087</v>
      </c>
      <c r="M593" s="552">
        <f t="shared" si="989"/>
        <v>14068.308752895213</v>
      </c>
      <c r="N593" s="552">
        <f t="shared" si="989"/>
        <v>14485.349036816229</v>
      </c>
      <c r="O593" s="552">
        <f t="shared" si="989"/>
        <v>14901.802946953612</v>
      </c>
      <c r="P593" s="552">
        <f t="shared" si="989"/>
        <v>15319.964318609869</v>
      </c>
      <c r="Q593" s="552">
        <f t="shared" si="989"/>
        <v>15610.137432316791</v>
      </c>
      <c r="R593" s="552">
        <f t="shared" si="989"/>
        <v>15900.529662557989</v>
      </c>
      <c r="S593" s="552">
        <f t="shared" si="989"/>
        <v>16191.17407475105</v>
      </c>
      <c r="T593" s="552">
        <f t="shared" si="989"/>
        <v>16482.001990716435</v>
      </c>
      <c r="U593" s="552">
        <f t="shared" si="989"/>
        <v>16775.198284351973</v>
      </c>
      <c r="V593" s="552">
        <f t="shared" si="989"/>
        <v>16951.654103119574</v>
      </c>
      <c r="W593" s="552">
        <f t="shared" si="989"/>
        <v>17128.250548425422</v>
      </c>
      <c r="X593" s="552">
        <f t="shared" si="989"/>
        <v>17305.001270962308</v>
      </c>
      <c r="Y593" s="552">
        <f t="shared" si="989"/>
        <v>17481.921075234717</v>
      </c>
      <c r="Z593" s="552">
        <f t="shared" si="989"/>
        <v>17660.244896861383</v>
      </c>
      <c r="AA593" s="552">
        <f t="shared" si="989"/>
        <v>17837.553824688068</v>
      </c>
      <c r="AB593" s="552">
        <f t="shared" si="989"/>
        <v>18015.767098934582</v>
      </c>
      <c r="AC593" s="552">
        <f t="shared" si="989"/>
        <v>18193.540380193364</v>
      </c>
      <c r="AD593" s="552">
        <f t="shared" si="989"/>
        <v>18371.577668775204</v>
      </c>
      <c r="AE593" s="552">
        <f t="shared" si="989"/>
        <v>18551.130423020619</v>
      </c>
      <c r="AF593" s="552">
        <f t="shared" si="989"/>
        <v>18729.771295440332</v>
      </c>
      <c r="AG593" s="552">
        <f t="shared" si="989"/>
        <v>18908.7536014129</v>
      </c>
      <c r="AH593" s="727">
        <f t="shared" si="989"/>
        <v>19088.7973933582</v>
      </c>
      <c r="AI593" s="18"/>
      <c r="AJ593" s="18"/>
      <c r="AK593" s="18"/>
      <c r="AL593" s="18"/>
      <c r="AM593" s="18"/>
      <c r="AN593" s="18"/>
    </row>
    <row r="594" spans="2:40" ht="21.9" customHeight="1" x14ac:dyDescent="0.25">
      <c r="B594" s="229"/>
      <c r="C594" s="690"/>
      <c r="D594" s="690"/>
      <c r="E594" s="114"/>
      <c r="F594" s="114"/>
      <c r="G594" s="114"/>
      <c r="H594" s="122" t="s">
        <v>19</v>
      </c>
      <c r="I594" s="552">
        <f t="shared" ref="I594:AH594" si="990">I530*$D$12</f>
        <v>30557.662772805863</v>
      </c>
      <c r="J594" s="552">
        <f t="shared" si="990"/>
        <v>30977.423811042943</v>
      </c>
      <c r="K594" s="552">
        <f t="shared" si="990"/>
        <v>31703.055033471064</v>
      </c>
      <c r="L594" s="552">
        <f t="shared" si="990"/>
        <v>32699.452414273263</v>
      </c>
      <c r="M594" s="552">
        <f t="shared" si="990"/>
        <v>33696.547911126261</v>
      </c>
      <c r="N594" s="552">
        <f t="shared" si="990"/>
        <v>34695.446794769414</v>
      </c>
      <c r="O594" s="552">
        <f t="shared" si="990"/>
        <v>35692.941190308055</v>
      </c>
      <c r="P594" s="552">
        <f t="shared" si="990"/>
        <v>36694.525314035614</v>
      </c>
      <c r="Q594" s="552">
        <f t="shared" si="990"/>
        <v>37389.550736088124</v>
      </c>
      <c r="R594" s="552">
        <f t="shared" si="990"/>
        <v>38085.100988162849</v>
      </c>
      <c r="S594" s="552">
        <f t="shared" si="990"/>
        <v>38781.255268864792</v>
      </c>
      <c r="T594" s="552">
        <f t="shared" si="990"/>
        <v>39477.849079560321</v>
      </c>
      <c r="U594" s="552">
        <f t="shared" si="990"/>
        <v>40180.115651142449</v>
      </c>
      <c r="V594" s="552">
        <f t="shared" si="990"/>
        <v>40602.76431884928</v>
      </c>
      <c r="W594" s="552">
        <f t="shared" si="990"/>
        <v>41025.749816587835</v>
      </c>
      <c r="X594" s="552">
        <f t="shared" si="990"/>
        <v>41449.104840628286</v>
      </c>
      <c r="Y594" s="552">
        <f t="shared" si="990"/>
        <v>41872.864850861602</v>
      </c>
      <c r="Z594" s="552">
        <f t="shared" si="990"/>
        <v>42299.987776913491</v>
      </c>
      <c r="AA594" s="552">
        <f t="shared" si="990"/>
        <v>42724.679819612138</v>
      </c>
      <c r="AB594" s="552">
        <f t="shared" si="990"/>
        <v>43151.537961519956</v>
      </c>
      <c r="AC594" s="552">
        <f t="shared" si="990"/>
        <v>43577.342228008063</v>
      </c>
      <c r="AD594" s="552">
        <f t="shared" si="990"/>
        <v>44003.778847365764</v>
      </c>
      <c r="AE594" s="552">
        <f t="shared" si="990"/>
        <v>44433.84532460029</v>
      </c>
      <c r="AF594" s="552">
        <f t="shared" si="990"/>
        <v>44861.727653749302</v>
      </c>
      <c r="AG594" s="552">
        <f t="shared" si="990"/>
        <v>45290.42778781533</v>
      </c>
      <c r="AH594" s="727">
        <f t="shared" si="990"/>
        <v>45721.670403253178</v>
      </c>
      <c r="AI594" s="18"/>
      <c r="AJ594" s="18"/>
      <c r="AK594" s="18"/>
      <c r="AL594" s="18"/>
      <c r="AM594" s="18"/>
      <c r="AN594" s="18"/>
    </row>
    <row r="595" spans="2:40" ht="21.9" customHeight="1" x14ac:dyDescent="0.25">
      <c r="B595" s="229"/>
      <c r="C595" s="690"/>
      <c r="D595" s="690"/>
      <c r="E595" s="250"/>
      <c r="F595" s="250"/>
      <c r="G595" s="250"/>
      <c r="H595" s="696" t="s">
        <v>25</v>
      </c>
      <c r="I595" s="552">
        <f t="shared" ref="I595:AH595" si="991">SUM(I593:I594)</f>
        <v>43315.486980452311</v>
      </c>
      <c r="J595" s="552">
        <f t="shared" si="991"/>
        <v>43910.498252153368</v>
      </c>
      <c r="K595" s="552">
        <f t="shared" si="991"/>
        <v>44939.080509945234</v>
      </c>
      <c r="L595" s="552">
        <f t="shared" si="991"/>
        <v>46351.473797232349</v>
      </c>
      <c r="M595" s="552">
        <f t="shared" si="991"/>
        <v>47764.85666402147</v>
      </c>
      <c r="N595" s="552">
        <f t="shared" si="991"/>
        <v>49180.795831585645</v>
      </c>
      <c r="O595" s="552">
        <f t="shared" si="991"/>
        <v>50594.744137261667</v>
      </c>
      <c r="P595" s="552">
        <f t="shared" si="991"/>
        <v>52014.489632645484</v>
      </c>
      <c r="Q595" s="552">
        <f t="shared" si="991"/>
        <v>52999.688168404915</v>
      </c>
      <c r="R595" s="552">
        <f t="shared" si="991"/>
        <v>53985.630650720836</v>
      </c>
      <c r="S595" s="552">
        <f t="shared" si="991"/>
        <v>54972.42934361584</v>
      </c>
      <c r="T595" s="552">
        <f t="shared" si="991"/>
        <v>55959.851070276753</v>
      </c>
      <c r="U595" s="552">
        <f t="shared" si="991"/>
        <v>56955.313935494421</v>
      </c>
      <c r="V595" s="552">
        <f t="shared" si="991"/>
        <v>57554.418421968854</v>
      </c>
      <c r="W595" s="552">
        <f t="shared" si="991"/>
        <v>58154.000365013257</v>
      </c>
      <c r="X595" s="552">
        <f t="shared" si="991"/>
        <v>58754.10611159059</v>
      </c>
      <c r="Y595" s="552">
        <f t="shared" si="991"/>
        <v>59354.785926096316</v>
      </c>
      <c r="Z595" s="552">
        <f t="shared" si="991"/>
        <v>59960.232673774874</v>
      </c>
      <c r="AA595" s="552">
        <f t="shared" si="991"/>
        <v>60562.233644300206</v>
      </c>
      <c r="AB595" s="552">
        <f t="shared" si="991"/>
        <v>61167.305060454542</v>
      </c>
      <c r="AC595" s="552">
        <f t="shared" si="991"/>
        <v>61770.882608201428</v>
      </c>
      <c r="AD595" s="552">
        <f t="shared" si="991"/>
        <v>62375.356516140964</v>
      </c>
      <c r="AE595" s="552">
        <f t="shared" si="991"/>
        <v>62984.975747620905</v>
      </c>
      <c r="AF595" s="552">
        <f t="shared" si="991"/>
        <v>63591.498949189634</v>
      </c>
      <c r="AG595" s="552">
        <f t="shared" si="991"/>
        <v>64199.18138922823</v>
      </c>
      <c r="AH595" s="727">
        <f t="shared" si="991"/>
        <v>64810.467796611381</v>
      </c>
      <c r="AI595" s="18"/>
      <c r="AJ595" s="18"/>
      <c r="AK595" s="18"/>
      <c r="AL595" s="18"/>
      <c r="AM595" s="18"/>
      <c r="AN595" s="18"/>
    </row>
    <row r="596" spans="2:40" ht="21.9" customHeight="1" x14ac:dyDescent="0.25">
      <c r="B596" s="229"/>
      <c r="C596" s="690"/>
      <c r="D596" s="690"/>
      <c r="E596" s="114" t="s">
        <v>319</v>
      </c>
      <c r="F596" s="114" t="s">
        <v>276</v>
      </c>
      <c r="G596" s="114" t="s">
        <v>333</v>
      </c>
      <c r="H596" s="114" t="s">
        <v>20</v>
      </c>
      <c r="I596" s="552">
        <f t="shared" ref="I596:AH596" si="992">I532*$D$11</f>
        <v>26145.523115976084</v>
      </c>
      <c r="J596" s="552">
        <f t="shared" si="992"/>
        <v>26899.22061349525</v>
      </c>
      <c r="K596" s="552">
        <f t="shared" si="992"/>
        <v>27715.013969983043</v>
      </c>
      <c r="L596" s="552">
        <f t="shared" si="992"/>
        <v>28797.309317045369</v>
      </c>
      <c r="M596" s="552">
        <f t="shared" si="992"/>
        <v>29879.788357256264</v>
      </c>
      <c r="N596" s="552">
        <f t="shared" si="992"/>
        <v>30962.712812167189</v>
      </c>
      <c r="O596" s="552">
        <f t="shared" si="992"/>
        <v>32045.011066032326</v>
      </c>
      <c r="P596" s="552">
        <f t="shared" si="992"/>
        <v>33127.598683184391</v>
      </c>
      <c r="Q596" s="552">
        <f t="shared" si="992"/>
        <v>34318.850478284599</v>
      </c>
      <c r="R596" s="552">
        <f t="shared" si="992"/>
        <v>35509.714039849845</v>
      </c>
      <c r="S596" s="552">
        <f t="shared" si="992"/>
        <v>36700.975160954433</v>
      </c>
      <c r="T596" s="552">
        <f t="shared" si="992"/>
        <v>37892.2435097833</v>
      </c>
      <c r="U596" s="552">
        <f t="shared" si="992"/>
        <v>39084.201297145693</v>
      </c>
      <c r="V596" s="552">
        <f t="shared" si="992"/>
        <v>40008.87398575656</v>
      </c>
      <c r="W596" s="552">
        <f t="shared" si="992"/>
        <v>40762.607429593787</v>
      </c>
      <c r="X596" s="552">
        <f t="shared" si="992"/>
        <v>41516.348282901585</v>
      </c>
      <c r="Y596" s="552">
        <f t="shared" si="992"/>
        <v>42270.097873385828</v>
      </c>
      <c r="Z596" s="552">
        <f t="shared" si="992"/>
        <v>43023.779292360588</v>
      </c>
      <c r="AA596" s="552">
        <f t="shared" si="992"/>
        <v>43777.551196118089</v>
      </c>
      <c r="AB596" s="552">
        <f t="shared" si="992"/>
        <v>44531.258731846865</v>
      </c>
      <c r="AC596" s="552">
        <f t="shared" si="992"/>
        <v>45285.061127917419</v>
      </c>
      <c r="AD596" s="552">
        <f t="shared" si="992"/>
        <v>46038.882614839153</v>
      </c>
      <c r="AE596" s="552">
        <f t="shared" si="992"/>
        <v>46792.64779594935</v>
      </c>
      <c r="AF596" s="552">
        <f t="shared" si="992"/>
        <v>47546.517058508674</v>
      </c>
      <c r="AG596" s="552">
        <f t="shared" si="992"/>
        <v>48300.415914697449</v>
      </c>
      <c r="AH596" s="727">
        <f t="shared" si="992"/>
        <v>49054.270399815658</v>
      </c>
      <c r="AI596" s="18"/>
      <c r="AJ596" s="18"/>
      <c r="AK596" s="18"/>
      <c r="AL596" s="18"/>
      <c r="AM596" s="18"/>
      <c r="AN596" s="18"/>
    </row>
    <row r="597" spans="2:40" ht="21.9" customHeight="1" x14ac:dyDescent="0.25">
      <c r="B597" s="229"/>
      <c r="C597" s="690"/>
      <c r="D597" s="690"/>
      <c r="E597" s="114"/>
      <c r="F597" s="114"/>
      <c r="G597" s="114"/>
      <c r="H597" s="122" t="s">
        <v>19</v>
      </c>
      <c r="I597" s="552">
        <f t="shared" ref="I597:AH597" si="993">I533*$D$12</f>
        <v>62624.007463415772</v>
      </c>
      <c r="J597" s="552">
        <f t="shared" si="993"/>
        <v>64429.270930527549</v>
      </c>
      <c r="K597" s="552">
        <f t="shared" si="993"/>
        <v>66383.266993971367</v>
      </c>
      <c r="L597" s="552">
        <f t="shared" si="993"/>
        <v>68975.591178551782</v>
      </c>
      <c r="M597" s="552">
        <f t="shared" si="993"/>
        <v>71568.355346721597</v>
      </c>
      <c r="N597" s="552">
        <f t="shared" si="993"/>
        <v>74162.186376448357</v>
      </c>
      <c r="O597" s="552">
        <f t="shared" si="993"/>
        <v>76754.517523430724</v>
      </c>
      <c r="P597" s="552">
        <f t="shared" si="993"/>
        <v>79347.541756130289</v>
      </c>
      <c r="Q597" s="552">
        <f t="shared" si="993"/>
        <v>82200.839468945152</v>
      </c>
      <c r="R597" s="552">
        <f t="shared" si="993"/>
        <v>85053.207281077484</v>
      </c>
      <c r="S597" s="552">
        <f t="shared" si="993"/>
        <v>87906.527331627396</v>
      </c>
      <c r="T597" s="552">
        <f t="shared" si="993"/>
        <v>90759.864694091739</v>
      </c>
      <c r="U597" s="552">
        <f t="shared" si="993"/>
        <v>93614.853406336988</v>
      </c>
      <c r="V597" s="552">
        <f t="shared" si="993"/>
        <v>95829.638289237279</v>
      </c>
      <c r="W597" s="552">
        <f t="shared" si="993"/>
        <v>97634.987855314466</v>
      </c>
      <c r="X597" s="552">
        <f t="shared" si="993"/>
        <v>99440.355168626556</v>
      </c>
      <c r="Y597" s="552">
        <f t="shared" si="993"/>
        <v>101245.74340930738</v>
      </c>
      <c r="Z597" s="552">
        <f t="shared" si="993"/>
        <v>103050.96836493554</v>
      </c>
      <c r="AA597" s="552">
        <f t="shared" si="993"/>
        <v>104856.41005058226</v>
      </c>
      <c r="AB597" s="552">
        <f t="shared" si="993"/>
        <v>106661.69756130986</v>
      </c>
      <c r="AC597" s="552">
        <f t="shared" si="993"/>
        <v>108467.21228243693</v>
      </c>
      <c r="AD597" s="552">
        <f t="shared" si="993"/>
        <v>110272.77273015367</v>
      </c>
      <c r="AE597" s="552">
        <f t="shared" si="993"/>
        <v>112078.19831365114</v>
      </c>
      <c r="AF597" s="552">
        <f t="shared" si="993"/>
        <v>113883.87319403276</v>
      </c>
      <c r="AG597" s="552">
        <f t="shared" si="993"/>
        <v>115689.61895735917</v>
      </c>
      <c r="AH597" s="727">
        <f t="shared" si="993"/>
        <v>117495.25844267223</v>
      </c>
      <c r="AI597" s="18"/>
      <c r="AJ597" s="18"/>
      <c r="AK597" s="18"/>
      <c r="AL597" s="18"/>
      <c r="AM597" s="18"/>
      <c r="AN597" s="18"/>
    </row>
    <row r="598" spans="2:40" ht="21.9" customHeight="1" x14ac:dyDescent="0.25">
      <c r="B598" s="229"/>
      <c r="C598" s="690"/>
      <c r="D598" s="690"/>
      <c r="E598" s="114"/>
      <c r="F598" s="114"/>
      <c r="G598" s="114"/>
      <c r="H598" s="696" t="s">
        <v>25</v>
      </c>
      <c r="I598" s="552">
        <f t="shared" ref="I598:AH598" si="994">SUM(I596:I597)</f>
        <v>88769.530579391852</v>
      </c>
      <c r="J598" s="552">
        <f t="shared" si="994"/>
        <v>91328.491544022807</v>
      </c>
      <c r="K598" s="552">
        <f t="shared" si="994"/>
        <v>94098.280963954414</v>
      </c>
      <c r="L598" s="552">
        <f t="shared" si="994"/>
        <v>97772.900495597147</v>
      </c>
      <c r="M598" s="552">
        <f t="shared" si="994"/>
        <v>101448.14370397787</v>
      </c>
      <c r="N598" s="552">
        <f t="shared" si="994"/>
        <v>105124.89918861554</v>
      </c>
      <c r="O598" s="552">
        <f t="shared" si="994"/>
        <v>108799.52858946305</v>
      </c>
      <c r="P598" s="552">
        <f t="shared" si="994"/>
        <v>112475.14043931468</v>
      </c>
      <c r="Q598" s="552">
        <f t="shared" si="994"/>
        <v>116519.68994722975</v>
      </c>
      <c r="R598" s="552">
        <f t="shared" si="994"/>
        <v>120562.92132092733</v>
      </c>
      <c r="S598" s="552">
        <f t="shared" si="994"/>
        <v>124607.50249258183</v>
      </c>
      <c r="T598" s="552">
        <f t="shared" si="994"/>
        <v>128652.10820387505</v>
      </c>
      <c r="U598" s="552">
        <f t="shared" si="994"/>
        <v>132699.05470348269</v>
      </c>
      <c r="V598" s="552">
        <f t="shared" si="994"/>
        <v>135838.51227499385</v>
      </c>
      <c r="W598" s="552">
        <f t="shared" si="994"/>
        <v>138397.59528490825</v>
      </c>
      <c r="X598" s="552">
        <f t="shared" si="994"/>
        <v>140956.70345152816</v>
      </c>
      <c r="Y598" s="552">
        <f t="shared" si="994"/>
        <v>143515.8412826932</v>
      </c>
      <c r="Z598" s="552">
        <f t="shared" si="994"/>
        <v>146074.74765729613</v>
      </c>
      <c r="AA598" s="552">
        <f t="shared" si="994"/>
        <v>148633.96124670035</v>
      </c>
      <c r="AB598" s="552">
        <f t="shared" si="994"/>
        <v>151192.95629315672</v>
      </c>
      <c r="AC598" s="552">
        <f t="shared" si="994"/>
        <v>153752.27341035433</v>
      </c>
      <c r="AD598" s="552">
        <f t="shared" si="994"/>
        <v>156311.65534499282</v>
      </c>
      <c r="AE598" s="552">
        <f t="shared" si="994"/>
        <v>158870.8461096005</v>
      </c>
      <c r="AF598" s="552">
        <f t="shared" si="994"/>
        <v>161430.39025254143</v>
      </c>
      <c r="AG598" s="552">
        <f t="shared" si="994"/>
        <v>163990.03487205663</v>
      </c>
      <c r="AH598" s="727">
        <f t="shared" si="994"/>
        <v>166549.5288424879</v>
      </c>
      <c r="AI598" s="18"/>
      <c r="AJ598" s="18"/>
      <c r="AK598" s="18"/>
      <c r="AL598" s="18"/>
      <c r="AM598" s="18"/>
      <c r="AN598" s="18"/>
    </row>
    <row r="599" spans="2:40" ht="21.9" customHeight="1" x14ac:dyDescent="0.25">
      <c r="B599" s="229"/>
      <c r="C599" s="690"/>
      <c r="D599" s="690"/>
      <c r="E599" s="114"/>
      <c r="F599" s="114" t="s">
        <v>333</v>
      </c>
      <c r="G599" s="114" t="s">
        <v>323</v>
      </c>
      <c r="H599" s="114" t="s">
        <v>20</v>
      </c>
      <c r="I599" s="552">
        <f t="shared" ref="I599:AH599" si="995">I535*$D$11</f>
        <v>3807.746219262337</v>
      </c>
      <c r="J599" s="552">
        <f t="shared" si="995"/>
        <v>3915.816073817934</v>
      </c>
      <c r="K599" s="552">
        <f t="shared" si="995"/>
        <v>4035.7450561603737</v>
      </c>
      <c r="L599" s="552">
        <f t="shared" si="995"/>
        <v>4204.077514565518</v>
      </c>
      <c r="M599" s="552">
        <f t="shared" si="995"/>
        <v>4372.4400414941565</v>
      </c>
      <c r="N599" s="552">
        <f t="shared" si="995"/>
        <v>4540.8376502599467</v>
      </c>
      <c r="O599" s="552">
        <f t="shared" si="995"/>
        <v>4709.1701412284037</v>
      </c>
      <c r="P599" s="552">
        <f t="shared" si="995"/>
        <v>4877.5126729922922</v>
      </c>
      <c r="Q599" s="552">
        <f t="shared" si="995"/>
        <v>5066.7226982837219</v>
      </c>
      <c r="R599" s="552">
        <f t="shared" si="995"/>
        <v>5255.8676408574956</v>
      </c>
      <c r="S599" s="552">
        <f t="shared" si="995"/>
        <v>5445.0777852652509</v>
      </c>
      <c r="T599" s="552">
        <f t="shared" si="995"/>
        <v>5634.2880248785732</v>
      </c>
      <c r="U599" s="552">
        <f t="shared" si="995"/>
        <v>5823.5284551413415</v>
      </c>
      <c r="V599" s="552">
        <f t="shared" si="995"/>
        <v>5964.3553904227656</v>
      </c>
      <c r="W599" s="552">
        <f t="shared" si="995"/>
        <v>6072.4256632449751</v>
      </c>
      <c r="X599" s="552">
        <f t="shared" si="995"/>
        <v>6180.4960184969359</v>
      </c>
      <c r="Y599" s="552">
        <f t="shared" si="995"/>
        <v>6288.5664703567099</v>
      </c>
      <c r="Z599" s="552">
        <f t="shared" si="995"/>
        <v>6396.5819226156736</v>
      </c>
      <c r="AA599" s="552">
        <f t="shared" si="995"/>
        <v>6504.6526189326414</v>
      </c>
      <c r="AB599" s="552">
        <f t="shared" si="995"/>
        <v>6612.6683555979853</v>
      </c>
      <c r="AC599" s="552">
        <f t="shared" si="995"/>
        <v>6720.7393823042985</v>
      </c>
      <c r="AD599" s="552">
        <f t="shared" si="995"/>
        <v>6828.8106143303276</v>
      </c>
      <c r="AE599" s="552">
        <f t="shared" si="995"/>
        <v>6936.8269703548822</v>
      </c>
      <c r="AF599" s="552">
        <f t="shared" si="995"/>
        <v>7044.8987122074623</v>
      </c>
      <c r="AG599" s="552">
        <f t="shared" si="995"/>
        <v>7152.9707677401084</v>
      </c>
      <c r="AH599" s="727">
        <f t="shared" si="995"/>
        <v>7260.9880694747008</v>
      </c>
      <c r="AI599" s="18"/>
      <c r="AJ599" s="18"/>
      <c r="AK599" s="18"/>
      <c r="AL599" s="18"/>
      <c r="AM599" s="18"/>
      <c r="AN599" s="18"/>
    </row>
    <row r="600" spans="2:40" ht="21.9" customHeight="1" x14ac:dyDescent="0.25">
      <c r="B600" s="229"/>
      <c r="C600" s="690"/>
      <c r="D600" s="690"/>
      <c r="E600" s="114"/>
      <c r="F600" s="114"/>
      <c r="G600" s="114"/>
      <c r="H600" s="122" t="s">
        <v>19</v>
      </c>
      <c r="I600" s="552">
        <f t="shared" ref="I600:AH600" si="996">I536*$D$12</f>
        <v>9120.3502257780528</v>
      </c>
      <c r="J600" s="552">
        <f t="shared" si="996"/>
        <v>9379.2001768094233</v>
      </c>
      <c r="K600" s="552">
        <f t="shared" si="996"/>
        <v>9666.455224336225</v>
      </c>
      <c r="L600" s="552">
        <f t="shared" si="996"/>
        <v>10069.646741474295</v>
      </c>
      <c r="M600" s="552">
        <f t="shared" si="996"/>
        <v>10472.910279027919</v>
      </c>
      <c r="N600" s="552">
        <f t="shared" si="996"/>
        <v>10876.257844934004</v>
      </c>
      <c r="O600" s="552">
        <f t="shared" si="996"/>
        <v>11279.449440068034</v>
      </c>
      <c r="P600" s="552">
        <f t="shared" si="996"/>
        <v>11682.665085011478</v>
      </c>
      <c r="Q600" s="552">
        <f t="shared" si="996"/>
        <v>12135.862750380173</v>
      </c>
      <c r="R600" s="552">
        <f t="shared" si="996"/>
        <v>12588.90452899999</v>
      </c>
      <c r="S600" s="552">
        <f t="shared" si="996"/>
        <v>13042.102479677249</v>
      </c>
      <c r="T600" s="552">
        <f t="shared" si="996"/>
        <v>13495.300658391792</v>
      </c>
      <c r="U600" s="552">
        <f t="shared" si="996"/>
        <v>13948.571150039143</v>
      </c>
      <c r="V600" s="552">
        <f t="shared" si="996"/>
        <v>14285.881174665308</v>
      </c>
      <c r="W600" s="552">
        <f t="shared" si="996"/>
        <v>14544.732127532876</v>
      </c>
      <c r="X600" s="552">
        <f t="shared" si="996"/>
        <v>14803.583277836973</v>
      </c>
      <c r="Y600" s="552">
        <f t="shared" si="996"/>
        <v>15062.43465953703</v>
      </c>
      <c r="Z600" s="552">
        <f t="shared" si="996"/>
        <v>15321.154305666285</v>
      </c>
      <c r="AA600" s="552">
        <f t="shared" si="996"/>
        <v>15580.006272892555</v>
      </c>
      <c r="AB600" s="552">
        <f t="shared" si="996"/>
        <v>15838.726600234695</v>
      </c>
      <c r="AC600" s="552">
        <f t="shared" si="996"/>
        <v>16097.579358812691</v>
      </c>
      <c r="AD600" s="552">
        <f t="shared" si="996"/>
        <v>16356.432609174437</v>
      </c>
      <c r="AE600" s="552">
        <f t="shared" si="996"/>
        <v>16615.154420011695</v>
      </c>
      <c r="AF600" s="552">
        <f t="shared" si="996"/>
        <v>16874.008891514881</v>
      </c>
      <c r="AG600" s="552">
        <f t="shared" si="996"/>
        <v>17132.864114347565</v>
      </c>
      <c r="AH600" s="727">
        <f t="shared" si="996"/>
        <v>17391.588190358565</v>
      </c>
      <c r="AI600" s="18"/>
      <c r="AJ600" s="18"/>
      <c r="AK600" s="18"/>
      <c r="AL600" s="18"/>
      <c r="AM600" s="18"/>
      <c r="AN600" s="18"/>
    </row>
    <row r="601" spans="2:40" ht="21.9" customHeight="1" x14ac:dyDescent="0.25">
      <c r="B601" s="229"/>
      <c r="C601" s="690"/>
      <c r="D601" s="690"/>
      <c r="E601" s="114"/>
      <c r="F601" s="114"/>
      <c r="G601" s="114"/>
      <c r="H601" s="696" t="s">
        <v>25</v>
      </c>
      <c r="I601" s="552">
        <f t="shared" ref="I601:AH601" si="997">SUM(I599:I600)</f>
        <v>12928.09644504039</v>
      </c>
      <c r="J601" s="552">
        <f t="shared" si="997"/>
        <v>13295.016250627357</v>
      </c>
      <c r="K601" s="552">
        <f t="shared" si="997"/>
        <v>13702.2002804966</v>
      </c>
      <c r="L601" s="552">
        <f t="shared" si="997"/>
        <v>14273.724256039812</v>
      </c>
      <c r="M601" s="552">
        <f t="shared" si="997"/>
        <v>14845.350320522077</v>
      </c>
      <c r="N601" s="552">
        <f t="shared" si="997"/>
        <v>15417.095495193949</v>
      </c>
      <c r="O601" s="552">
        <f t="shared" si="997"/>
        <v>15988.619581296438</v>
      </c>
      <c r="P601" s="552">
        <f t="shared" si="997"/>
        <v>16560.177758003771</v>
      </c>
      <c r="Q601" s="552">
        <f t="shared" si="997"/>
        <v>17202.585448663893</v>
      </c>
      <c r="R601" s="552">
        <f t="shared" si="997"/>
        <v>17844.772169857486</v>
      </c>
      <c r="S601" s="552">
        <f t="shared" si="997"/>
        <v>18487.180264942501</v>
      </c>
      <c r="T601" s="552">
        <f t="shared" si="997"/>
        <v>19129.588683270365</v>
      </c>
      <c r="U601" s="552">
        <f t="shared" si="997"/>
        <v>19772.099605180483</v>
      </c>
      <c r="V601" s="552">
        <f t="shared" si="997"/>
        <v>20250.236565088075</v>
      </c>
      <c r="W601" s="552">
        <f t="shared" si="997"/>
        <v>20617.157790777852</v>
      </c>
      <c r="X601" s="552">
        <f t="shared" si="997"/>
        <v>20984.079296333908</v>
      </c>
      <c r="Y601" s="552">
        <f t="shared" si="997"/>
        <v>21351.001129893739</v>
      </c>
      <c r="Z601" s="552">
        <f t="shared" si="997"/>
        <v>21717.736228281959</v>
      </c>
      <c r="AA601" s="552">
        <f t="shared" si="997"/>
        <v>22084.658891825195</v>
      </c>
      <c r="AB601" s="552">
        <f t="shared" si="997"/>
        <v>22451.394955832679</v>
      </c>
      <c r="AC601" s="552">
        <f t="shared" si="997"/>
        <v>22818.318741116989</v>
      </c>
      <c r="AD601" s="552">
        <f t="shared" si="997"/>
        <v>23185.243223504764</v>
      </c>
      <c r="AE601" s="552">
        <f t="shared" si="997"/>
        <v>23551.981390366578</v>
      </c>
      <c r="AF601" s="552">
        <f t="shared" si="997"/>
        <v>23918.907603722342</v>
      </c>
      <c r="AG601" s="552">
        <f t="shared" si="997"/>
        <v>24285.834882087674</v>
      </c>
      <c r="AH601" s="727">
        <f t="shared" si="997"/>
        <v>24652.576259833266</v>
      </c>
      <c r="AI601" s="18"/>
      <c r="AJ601" s="18"/>
      <c r="AK601" s="18"/>
      <c r="AL601" s="18"/>
      <c r="AM601" s="18"/>
      <c r="AN601" s="18"/>
    </row>
    <row r="602" spans="2:40" ht="21.9" customHeight="1" x14ac:dyDescent="0.25">
      <c r="B602" s="229"/>
      <c r="C602" s="690"/>
      <c r="D602" s="690"/>
      <c r="E602" s="114"/>
      <c r="F602" s="114" t="s">
        <v>323</v>
      </c>
      <c r="G602" s="114" t="s">
        <v>322</v>
      </c>
      <c r="H602" s="114" t="s">
        <v>20</v>
      </c>
      <c r="I602" s="552">
        <f t="shared" ref="I602:AH602" si="998">I538*$D$11</f>
        <v>1146.9053391920515</v>
      </c>
      <c r="J602" s="552">
        <f t="shared" si="998"/>
        <v>1179.4563274089844</v>
      </c>
      <c r="K602" s="552">
        <f t="shared" si="998"/>
        <v>1215.5793240822234</v>
      </c>
      <c r="L602" s="552">
        <f t="shared" si="998"/>
        <v>1266.2816063569853</v>
      </c>
      <c r="M602" s="552">
        <f t="shared" si="998"/>
        <v>1316.9929491861353</v>
      </c>
      <c r="N602" s="552">
        <f t="shared" si="998"/>
        <v>1367.7148642133316</v>
      </c>
      <c r="O602" s="552">
        <f t="shared" si="998"/>
        <v>1418.4171731717345</v>
      </c>
      <c r="P602" s="552">
        <f t="shared" si="998"/>
        <v>1469.1225170273574</v>
      </c>
      <c r="Q602" s="552">
        <f t="shared" si="998"/>
        <v>1526.1132385454123</v>
      </c>
      <c r="R602" s="552">
        <f t="shared" si="998"/>
        <v>1583.0843827403251</v>
      </c>
      <c r="S602" s="552">
        <f t="shared" si="998"/>
        <v>1640.0752018669184</v>
      </c>
      <c r="T602" s="552">
        <f t="shared" si="998"/>
        <v>1697.0660990086437</v>
      </c>
      <c r="U602" s="552">
        <f t="shared" si="998"/>
        <v>1754.066156779498</v>
      </c>
      <c r="V602" s="552">
        <f t="shared" si="998"/>
        <v>1796.4839119783039</v>
      </c>
      <c r="W602" s="552">
        <f t="shared" si="998"/>
        <v>1829.0352429391196</v>
      </c>
      <c r="X602" s="552">
        <f t="shared" si="998"/>
        <v>1861.5866414460693</v>
      </c>
      <c r="Y602" s="552">
        <f t="shared" si="998"/>
        <v>1894.1381191172095</v>
      </c>
      <c r="Z602" s="552">
        <f t="shared" si="998"/>
        <v>1926.6730890422314</v>
      </c>
      <c r="AA602" s="552">
        <f t="shared" si="998"/>
        <v>1959.2247670310765</v>
      </c>
      <c r="AB602" s="552">
        <f t="shared" si="998"/>
        <v>1991.7599700097142</v>
      </c>
      <c r="AC602" s="552">
        <f t="shared" si="998"/>
        <v>2024.311918732403</v>
      </c>
      <c r="AD602" s="552">
        <f t="shared" si="998"/>
        <v>2056.8640357020267</v>
      </c>
      <c r="AE602" s="552">
        <f t="shared" si="998"/>
        <v>2089.3997462076259</v>
      </c>
      <c r="AF602" s="552">
        <f t="shared" si="998"/>
        <v>2121.9522809488972</v>
      </c>
      <c r="AG602" s="552">
        <f t="shared" si="998"/>
        <v>2154.5050727317816</v>
      </c>
      <c r="AH602" s="727">
        <f t="shared" si="998"/>
        <v>2187.0415581888601</v>
      </c>
      <c r="AI602" s="18"/>
      <c r="AJ602" s="18"/>
      <c r="AK602" s="18"/>
      <c r="AL602" s="18"/>
      <c r="AM602" s="18"/>
      <c r="AN602" s="18"/>
    </row>
    <row r="603" spans="2:40" ht="21.9" customHeight="1" x14ac:dyDescent="0.25">
      <c r="B603" s="229"/>
      <c r="C603" s="690"/>
      <c r="D603" s="690"/>
      <c r="E603" s="114"/>
      <c r="F603" s="114"/>
      <c r="G603" s="114"/>
      <c r="H603" s="122" t="s">
        <v>19</v>
      </c>
      <c r="I603" s="552">
        <f t="shared" ref="I603:AH603" si="999">I539*$D$12</f>
        <v>2747.0786567474288</v>
      </c>
      <c r="J603" s="552">
        <f t="shared" si="999"/>
        <v>2825.0450955903821</v>
      </c>
      <c r="K603" s="552">
        <f t="shared" si="999"/>
        <v>2911.5672433107147</v>
      </c>
      <c r="L603" s="552">
        <f t="shared" si="999"/>
        <v>3033.0098355855939</v>
      </c>
      <c r="M603" s="552">
        <f t="shared" si="999"/>
        <v>3154.4741297871506</v>
      </c>
      <c r="N603" s="552">
        <f t="shared" si="999"/>
        <v>3275.9637466187583</v>
      </c>
      <c r="O603" s="552">
        <f t="shared" si="999"/>
        <v>3397.4064028065495</v>
      </c>
      <c r="P603" s="552">
        <f t="shared" si="999"/>
        <v>3518.8563282092396</v>
      </c>
      <c r="Q603" s="552">
        <f t="shared" si="999"/>
        <v>3655.3610504081735</v>
      </c>
      <c r="R603" s="552">
        <f t="shared" si="999"/>
        <v>3791.8188808151499</v>
      </c>
      <c r="S603" s="552">
        <f t="shared" si="999"/>
        <v>3928.3238368069901</v>
      </c>
      <c r="T603" s="552">
        <f t="shared" si="999"/>
        <v>4064.8289796614222</v>
      </c>
      <c r="U603" s="552">
        <f t="shared" si="999"/>
        <v>4201.3560641425101</v>
      </c>
      <c r="V603" s="552">
        <f t="shared" si="999"/>
        <v>4302.9554777923449</v>
      </c>
      <c r="W603" s="552">
        <f t="shared" si="999"/>
        <v>4380.9227375787295</v>
      </c>
      <c r="X603" s="552">
        <f t="shared" si="999"/>
        <v>4458.8901591522617</v>
      </c>
      <c r="Y603" s="552">
        <f t="shared" si="999"/>
        <v>4536.8577703406218</v>
      </c>
      <c r="Z603" s="552">
        <f t="shared" si="999"/>
        <v>4614.7858420173206</v>
      </c>
      <c r="AA603" s="552">
        <f t="shared" si="999"/>
        <v>4692.7539330085665</v>
      </c>
      <c r="AB603" s="552">
        <f t="shared" si="999"/>
        <v>4770.6825628975193</v>
      </c>
      <c r="AC603" s="552">
        <f t="shared" si="999"/>
        <v>4848.6513023530615</v>
      </c>
      <c r="AD603" s="552">
        <f t="shared" si="999"/>
        <v>4926.6204447952741</v>
      </c>
      <c r="AE603" s="552">
        <f t="shared" si="999"/>
        <v>5004.5502903176666</v>
      </c>
      <c r="AF603" s="552">
        <f t="shared" si="999"/>
        <v>5082.5204334105329</v>
      </c>
      <c r="AG603" s="552">
        <f t="shared" si="999"/>
        <v>5160.4911921719322</v>
      </c>
      <c r="AH603" s="727">
        <f t="shared" si="999"/>
        <v>5238.4228938655333</v>
      </c>
      <c r="AI603" s="18"/>
      <c r="AJ603" s="18"/>
      <c r="AK603" s="18"/>
      <c r="AL603" s="18"/>
      <c r="AM603" s="18"/>
      <c r="AN603" s="18"/>
    </row>
    <row r="604" spans="2:40" ht="21.9" customHeight="1" x14ac:dyDescent="0.25">
      <c r="B604" s="229"/>
      <c r="C604" s="690"/>
      <c r="D604" s="690"/>
      <c r="E604" s="114"/>
      <c r="F604" s="114"/>
      <c r="G604" s="114"/>
      <c r="H604" s="696" t="s">
        <v>25</v>
      </c>
      <c r="I604" s="552">
        <f t="shared" ref="I604:AH604" si="1000">SUM(I602:I603)</f>
        <v>3893.9839959394803</v>
      </c>
      <c r="J604" s="552">
        <f t="shared" si="1000"/>
        <v>4004.5014229993667</v>
      </c>
      <c r="K604" s="552">
        <f t="shared" si="1000"/>
        <v>4127.1465673929379</v>
      </c>
      <c r="L604" s="552">
        <f t="shared" si="1000"/>
        <v>4299.2914419425797</v>
      </c>
      <c r="M604" s="552">
        <f t="shared" si="1000"/>
        <v>4471.4670789732863</v>
      </c>
      <c r="N604" s="552">
        <f t="shared" si="1000"/>
        <v>4643.6786108320903</v>
      </c>
      <c r="O604" s="552">
        <f t="shared" si="1000"/>
        <v>4815.8235759782838</v>
      </c>
      <c r="P604" s="552">
        <f t="shared" si="1000"/>
        <v>4987.9788452365974</v>
      </c>
      <c r="Q604" s="552">
        <f t="shared" si="1000"/>
        <v>5181.4742889535855</v>
      </c>
      <c r="R604" s="552">
        <f t="shared" si="1000"/>
        <v>5374.903263555475</v>
      </c>
      <c r="S604" s="552">
        <f t="shared" si="1000"/>
        <v>5568.3990386739088</v>
      </c>
      <c r="T604" s="552">
        <f t="shared" si="1000"/>
        <v>5761.8950786700661</v>
      </c>
      <c r="U604" s="552">
        <f t="shared" si="1000"/>
        <v>5955.4222209220079</v>
      </c>
      <c r="V604" s="552">
        <f t="shared" si="1000"/>
        <v>6099.4393897706486</v>
      </c>
      <c r="W604" s="552">
        <f t="shared" si="1000"/>
        <v>6209.9579805178491</v>
      </c>
      <c r="X604" s="552">
        <f t="shared" si="1000"/>
        <v>6320.4768005983315</v>
      </c>
      <c r="Y604" s="552">
        <f t="shared" si="1000"/>
        <v>6430.9958894578313</v>
      </c>
      <c r="Z604" s="552">
        <f t="shared" si="1000"/>
        <v>6541.458931059552</v>
      </c>
      <c r="AA604" s="552">
        <f t="shared" si="1000"/>
        <v>6651.9787000396427</v>
      </c>
      <c r="AB604" s="552">
        <f t="shared" si="1000"/>
        <v>6762.4425329072337</v>
      </c>
      <c r="AC604" s="552">
        <f t="shared" si="1000"/>
        <v>6872.9632210854643</v>
      </c>
      <c r="AD604" s="552">
        <f t="shared" si="1000"/>
        <v>6983.4844804973009</v>
      </c>
      <c r="AE604" s="552">
        <f t="shared" si="1000"/>
        <v>7093.9500365252925</v>
      </c>
      <c r="AF604" s="552">
        <f t="shared" si="1000"/>
        <v>7204.47271435943</v>
      </c>
      <c r="AG604" s="552">
        <f t="shared" si="1000"/>
        <v>7314.9962649037134</v>
      </c>
      <c r="AH604" s="727">
        <f t="shared" si="1000"/>
        <v>7425.4644520543934</v>
      </c>
      <c r="AI604" s="18"/>
      <c r="AJ604" s="18"/>
      <c r="AK604" s="18"/>
      <c r="AL604" s="18"/>
      <c r="AM604" s="18"/>
      <c r="AN604" s="18"/>
    </row>
    <row r="605" spans="2:40" ht="21.9" customHeight="1" x14ac:dyDescent="0.25">
      <c r="B605" s="229"/>
      <c r="C605" s="690"/>
      <c r="D605" s="690"/>
      <c r="E605" s="114"/>
      <c r="F605" s="114" t="s">
        <v>322</v>
      </c>
      <c r="G605" s="114" t="s">
        <v>326</v>
      </c>
      <c r="H605" s="114" t="s">
        <v>20</v>
      </c>
      <c r="I605" s="552">
        <f t="shared" ref="I605:AH605" si="1001">I541*$D$11</f>
        <v>2942.7176201021002</v>
      </c>
      <c r="J605" s="552">
        <f t="shared" si="1001"/>
        <v>3026.1632836625404</v>
      </c>
      <c r="K605" s="552">
        <f t="shared" si="1001"/>
        <v>3121.2473959259214</v>
      </c>
      <c r="L605" s="552">
        <f t="shared" si="1001"/>
        <v>3242.7424000338774</v>
      </c>
      <c r="M605" s="552">
        <f t="shared" si="1001"/>
        <v>3364.2766416250943</v>
      </c>
      <c r="N605" s="552">
        <f t="shared" si="1001"/>
        <v>3485.7912668341337</v>
      </c>
      <c r="O605" s="552">
        <f t="shared" si="1001"/>
        <v>3607.2862763117419</v>
      </c>
      <c r="P605" s="552">
        <f t="shared" si="1001"/>
        <v>3728.8058116861221</v>
      </c>
      <c r="Q605" s="552">
        <f t="shared" si="1001"/>
        <v>3866.1522701319832</v>
      </c>
      <c r="R605" s="552">
        <f t="shared" si="1001"/>
        <v>4003.4938317965311</v>
      </c>
      <c r="S605" s="552">
        <f t="shared" si="1001"/>
        <v>4140.8206904717226</v>
      </c>
      <c r="T605" s="552">
        <f t="shared" si="1001"/>
        <v>4278.1671816269418</v>
      </c>
      <c r="U605" s="552">
        <f t="shared" si="1001"/>
        <v>4415.5382146949196</v>
      </c>
      <c r="V605" s="552">
        <f t="shared" si="1001"/>
        <v>4526.468934787631</v>
      </c>
      <c r="W605" s="552">
        <f t="shared" si="1001"/>
        <v>4609.9146672151765</v>
      </c>
      <c r="X605" s="552">
        <f t="shared" si="1001"/>
        <v>4693.360413501191</v>
      </c>
      <c r="Y605" s="552">
        <f t="shared" si="1001"/>
        <v>4776.806176073108</v>
      </c>
      <c r="Z605" s="552">
        <f t="shared" si="1001"/>
        <v>4860.227435043992</v>
      </c>
      <c r="AA605" s="552">
        <f t="shared" si="1001"/>
        <v>4943.6732389940098</v>
      </c>
      <c r="AB605" s="552">
        <f t="shared" si="1001"/>
        <v>5027.0945462348182</v>
      </c>
      <c r="AC605" s="552">
        <f t="shared" si="1001"/>
        <v>5110.5404063813294</v>
      </c>
      <c r="AD605" s="552">
        <f t="shared" si="1001"/>
        <v>5193.9863015649944</v>
      </c>
      <c r="AE605" s="552">
        <f t="shared" si="1001"/>
        <v>5277.407714548357</v>
      </c>
      <c r="AF605" s="552">
        <f t="shared" si="1001"/>
        <v>5360.8536970335754</v>
      </c>
      <c r="AG605" s="552">
        <f t="shared" si="1001"/>
        <v>5444.2997333915391</v>
      </c>
      <c r="AH605" s="727">
        <f t="shared" si="1001"/>
        <v>5527.721308869217</v>
      </c>
      <c r="AI605" s="18"/>
      <c r="AJ605" s="18"/>
      <c r="AK605" s="18"/>
      <c r="AL605" s="18"/>
      <c r="AM605" s="18"/>
      <c r="AN605" s="18"/>
    </row>
    <row r="606" spans="2:40" ht="21.9" customHeight="1" x14ac:dyDescent="0.25">
      <c r="B606" s="229"/>
      <c r="C606" s="690"/>
      <c r="D606" s="690"/>
      <c r="E606" s="114"/>
      <c r="F606" s="114"/>
      <c r="G606" s="114"/>
      <c r="H606" s="122" t="s">
        <v>19</v>
      </c>
      <c r="I606" s="552">
        <f t="shared" ref="I606:AH606" si="1002">I542*$D$12</f>
        <v>7048.4254373702997</v>
      </c>
      <c r="J606" s="552">
        <f t="shared" si="1002"/>
        <v>7248.2952902096777</v>
      </c>
      <c r="K606" s="552">
        <f t="shared" si="1002"/>
        <v>7476.0416668884345</v>
      </c>
      <c r="L606" s="552">
        <f t="shared" si="1002"/>
        <v>7767.0476647518026</v>
      </c>
      <c r="M606" s="552">
        <f t="shared" si="1002"/>
        <v>8058.1476446110046</v>
      </c>
      <c r="N606" s="552">
        <f t="shared" si="1002"/>
        <v>8349.2006391236737</v>
      </c>
      <c r="O606" s="552">
        <f t="shared" si="1002"/>
        <v>8640.2066498484837</v>
      </c>
      <c r="P606" s="552">
        <f t="shared" si="1002"/>
        <v>8931.2714052362207</v>
      </c>
      <c r="Q606" s="552">
        <f t="shared" si="1002"/>
        <v>9260.2449583999605</v>
      </c>
      <c r="R606" s="552">
        <f t="shared" si="1002"/>
        <v>9589.2067827461833</v>
      </c>
      <c r="S606" s="552">
        <f t="shared" si="1002"/>
        <v>9918.1333903514314</v>
      </c>
      <c r="T606" s="552">
        <f t="shared" si="1002"/>
        <v>10247.107021860938</v>
      </c>
      <c r="U606" s="552">
        <f t="shared" si="1002"/>
        <v>10576.139436395018</v>
      </c>
      <c r="V606" s="552">
        <f t="shared" si="1002"/>
        <v>10841.841759970375</v>
      </c>
      <c r="W606" s="552">
        <f t="shared" si="1002"/>
        <v>11041.711777760902</v>
      </c>
      <c r="X606" s="552">
        <f t="shared" si="1002"/>
        <v>11241.581828745368</v>
      </c>
      <c r="Y606" s="552">
        <f t="shared" si="1002"/>
        <v>11441.451918737985</v>
      </c>
      <c r="Z606" s="552">
        <f t="shared" si="1002"/>
        <v>11641.263317470641</v>
      </c>
      <c r="AA606" s="552">
        <f t="shared" si="1002"/>
        <v>11841.13350657248</v>
      </c>
      <c r="AB606" s="552">
        <f t="shared" si="1002"/>
        <v>12040.945020921721</v>
      </c>
      <c r="AC606" s="552">
        <f t="shared" si="1002"/>
        <v>12240.815344625938</v>
      </c>
      <c r="AD606" s="552">
        <f t="shared" si="1002"/>
        <v>12440.685752251484</v>
      </c>
      <c r="AE606" s="552">
        <f t="shared" si="1002"/>
        <v>12640.497519876306</v>
      </c>
      <c r="AF606" s="552">
        <f t="shared" si="1002"/>
        <v>12840.368136607367</v>
      </c>
      <c r="AG606" s="552">
        <f t="shared" si="1002"/>
        <v>13040.238882374944</v>
      </c>
      <c r="AH606" s="727">
        <f t="shared" si="1002"/>
        <v>13240.051039207705</v>
      </c>
      <c r="AI606" s="18"/>
      <c r="AJ606" s="18"/>
      <c r="AK606" s="18"/>
      <c r="AL606" s="18"/>
      <c r="AM606" s="18"/>
      <c r="AN606" s="18"/>
    </row>
    <row r="607" spans="2:40" ht="21.9" customHeight="1" x14ac:dyDescent="0.25">
      <c r="B607" s="229"/>
      <c r="C607" s="690"/>
      <c r="D607" s="690"/>
      <c r="E607" s="114"/>
      <c r="F607" s="114"/>
      <c r="G607" s="114"/>
      <c r="H607" s="696" t="s">
        <v>25</v>
      </c>
      <c r="I607" s="552">
        <f t="shared" ref="I607:AH607" si="1003">SUM(I605:I606)</f>
        <v>9991.1430574724</v>
      </c>
      <c r="J607" s="552">
        <f t="shared" si="1003"/>
        <v>10274.458573872218</v>
      </c>
      <c r="K607" s="552">
        <f t="shared" si="1003"/>
        <v>10597.289062814356</v>
      </c>
      <c r="L607" s="552">
        <f t="shared" si="1003"/>
        <v>11009.79006478568</v>
      </c>
      <c r="M607" s="552">
        <f t="shared" si="1003"/>
        <v>11422.424286236099</v>
      </c>
      <c r="N607" s="552">
        <f t="shared" si="1003"/>
        <v>11834.991905957808</v>
      </c>
      <c r="O607" s="552">
        <f t="shared" si="1003"/>
        <v>12247.492926160226</v>
      </c>
      <c r="P607" s="552">
        <f t="shared" si="1003"/>
        <v>12660.077216922342</v>
      </c>
      <c r="Q607" s="552">
        <f t="shared" si="1003"/>
        <v>13126.397228531943</v>
      </c>
      <c r="R607" s="552">
        <f t="shared" si="1003"/>
        <v>13592.700614542715</v>
      </c>
      <c r="S607" s="552">
        <f t="shared" si="1003"/>
        <v>14058.954080823154</v>
      </c>
      <c r="T607" s="552">
        <f t="shared" si="1003"/>
        <v>14525.274203487879</v>
      </c>
      <c r="U607" s="552">
        <f t="shared" si="1003"/>
        <v>14991.677651089938</v>
      </c>
      <c r="V607" s="552">
        <f t="shared" si="1003"/>
        <v>15368.310694758005</v>
      </c>
      <c r="W607" s="552">
        <f t="shared" si="1003"/>
        <v>15651.626444976078</v>
      </c>
      <c r="X607" s="552">
        <f t="shared" si="1003"/>
        <v>15934.942242246558</v>
      </c>
      <c r="Y607" s="552">
        <f t="shared" si="1003"/>
        <v>16218.258094811092</v>
      </c>
      <c r="Z607" s="552">
        <f t="shared" si="1003"/>
        <v>16501.490752514634</v>
      </c>
      <c r="AA607" s="552">
        <f t="shared" si="1003"/>
        <v>16784.80674556649</v>
      </c>
      <c r="AB607" s="552">
        <f t="shared" si="1003"/>
        <v>17068.039567156538</v>
      </c>
      <c r="AC607" s="552">
        <f t="shared" si="1003"/>
        <v>17351.355751007268</v>
      </c>
      <c r="AD607" s="552">
        <f t="shared" si="1003"/>
        <v>17634.672053816477</v>
      </c>
      <c r="AE607" s="552">
        <f t="shared" si="1003"/>
        <v>17917.905234424663</v>
      </c>
      <c r="AF607" s="552">
        <f t="shared" si="1003"/>
        <v>18201.221833640942</v>
      </c>
      <c r="AG607" s="552">
        <f t="shared" si="1003"/>
        <v>18484.538615766483</v>
      </c>
      <c r="AH607" s="727">
        <f t="shared" si="1003"/>
        <v>18767.77234807692</v>
      </c>
      <c r="AI607" s="18"/>
      <c r="AJ607" s="18"/>
      <c r="AK607" s="18"/>
      <c r="AL607" s="18"/>
      <c r="AM607" s="18"/>
      <c r="AN607" s="18"/>
    </row>
    <row r="608" spans="2:40" ht="21.9" customHeight="1" x14ac:dyDescent="0.25">
      <c r="B608" s="229"/>
      <c r="C608" s="690"/>
      <c r="D608" s="690"/>
      <c r="E608" s="114"/>
      <c r="F608" s="114" t="s">
        <v>326</v>
      </c>
      <c r="G608" s="114" t="s">
        <v>274</v>
      </c>
      <c r="H608" s="114" t="s">
        <v>20</v>
      </c>
      <c r="I608" s="552">
        <f t="shared" ref="I608:AH608" si="1004">I544*$D$11</f>
        <v>20061.421579509875</v>
      </c>
      <c r="J608" s="552">
        <f t="shared" si="1004"/>
        <v>20630.296626387557</v>
      </c>
      <c r="K608" s="552">
        <f t="shared" si="1004"/>
        <v>21278.514596903802</v>
      </c>
      <c r="L608" s="552">
        <f t="shared" si="1004"/>
        <v>22106.783829113603</v>
      </c>
      <c r="M608" s="552">
        <f t="shared" si="1004"/>
        <v>22935.320550072589</v>
      </c>
      <c r="N608" s="552">
        <f t="shared" si="1004"/>
        <v>23763.723532569442</v>
      </c>
      <c r="O608" s="552">
        <f t="shared" si="1004"/>
        <v>24591.992778234817</v>
      </c>
      <c r="P608" s="552">
        <f t="shared" si="1004"/>
        <v>25420.429210557235</v>
      </c>
      <c r="Q608" s="552">
        <f t="shared" si="1004"/>
        <v>26356.762672326375</v>
      </c>
      <c r="R608" s="552">
        <f t="shared" si="1004"/>
        <v>27293.062717808403</v>
      </c>
      <c r="S608" s="552">
        <f t="shared" si="1004"/>
        <v>28229.262482741455</v>
      </c>
      <c r="T608" s="552">
        <f t="shared" si="1004"/>
        <v>29165.596026475563</v>
      </c>
      <c r="U608" s="552">
        <f t="shared" si="1004"/>
        <v>30102.096797000453</v>
      </c>
      <c r="V608" s="552">
        <f t="shared" si="1004"/>
        <v>30858.345706765194</v>
      </c>
      <c r="W608" s="552">
        <f t="shared" si="1004"/>
        <v>31427.220926213948</v>
      </c>
      <c r="X608" s="552">
        <f t="shared" si="1004"/>
        <v>31996.096180390039</v>
      </c>
      <c r="Y608" s="552">
        <f t="shared" si="1004"/>
        <v>32564.971475376249</v>
      </c>
      <c r="Z608" s="552">
        <f t="shared" si="1004"/>
        <v>33133.679639575355</v>
      </c>
      <c r="AA608" s="552">
        <f t="shared" si="1004"/>
        <v>33702.555038249135</v>
      </c>
      <c r="AB608" s="552">
        <f t="shared" si="1004"/>
        <v>34271.263323405743</v>
      </c>
      <c r="AC608" s="552">
        <f t="shared" si="1004"/>
        <v>34840.138862899883</v>
      </c>
      <c r="AD608" s="552">
        <f t="shared" si="1004"/>
        <v>35409.014490192101</v>
      </c>
      <c r="AE608" s="552">
        <f t="shared" si="1004"/>
        <v>35977.723040324352</v>
      </c>
      <c r="AF608" s="552">
        <f t="shared" si="1004"/>
        <v>36546.598886381726</v>
      </c>
      <c r="AG608" s="552">
        <f t="shared" si="1004"/>
        <v>37115.47486743646</v>
      </c>
      <c r="AH608" s="727">
        <f t="shared" si="1004"/>
        <v>37684.183824756125</v>
      </c>
      <c r="AI608" s="18"/>
      <c r="AJ608" s="18"/>
      <c r="AK608" s="18"/>
      <c r="AL608" s="18"/>
      <c r="AM608" s="18"/>
      <c r="AN608" s="18"/>
    </row>
    <row r="609" spans="2:41" ht="21.9" customHeight="1" x14ac:dyDescent="0.25">
      <c r="B609" s="229"/>
      <c r="C609" s="690"/>
      <c r="D609" s="690"/>
      <c r="E609" s="114"/>
      <c r="F609" s="114"/>
      <c r="G609" s="114"/>
      <c r="H609" s="122" t="s">
        <v>19</v>
      </c>
      <c r="I609" s="552">
        <f t="shared" ref="I609:AH609" si="1005">I545*$D$12</f>
        <v>48051.309172478745</v>
      </c>
      <c r="J609" s="552">
        <f t="shared" si="1005"/>
        <v>49413.88413506002</v>
      </c>
      <c r="K609" s="552">
        <f t="shared" si="1005"/>
        <v>50966.502028512106</v>
      </c>
      <c r="L609" s="552">
        <f t="shared" si="1005"/>
        <v>52950.380429014622</v>
      </c>
      <c r="M609" s="552">
        <f t="shared" si="1005"/>
        <v>54934.899521131956</v>
      </c>
      <c r="N609" s="552">
        <f t="shared" si="1005"/>
        <v>56919.098281603452</v>
      </c>
      <c r="O609" s="552">
        <f t="shared" si="1005"/>
        <v>58902.976714334894</v>
      </c>
      <c r="P609" s="552">
        <f t="shared" si="1005"/>
        <v>60887.255594149072</v>
      </c>
      <c r="Q609" s="552">
        <f t="shared" si="1005"/>
        <v>63129.970472638022</v>
      </c>
      <c r="R609" s="552">
        <f t="shared" si="1005"/>
        <v>65372.605312115935</v>
      </c>
      <c r="S609" s="552">
        <f t="shared" si="1005"/>
        <v>67614.999958662171</v>
      </c>
      <c r="T609" s="552">
        <f t="shared" si="1005"/>
        <v>69857.715033474407</v>
      </c>
      <c r="U609" s="552">
        <f t="shared" si="1005"/>
        <v>72100.830651498094</v>
      </c>
      <c r="V609" s="552">
        <f t="shared" si="1005"/>
        <v>73912.205285665143</v>
      </c>
      <c r="W609" s="552">
        <f t="shared" si="1005"/>
        <v>75274.780661590295</v>
      </c>
      <c r="X609" s="552">
        <f t="shared" si="1005"/>
        <v>76637.356120694705</v>
      </c>
      <c r="Y609" s="552">
        <f t="shared" si="1005"/>
        <v>77999.931677547909</v>
      </c>
      <c r="Z609" s="552">
        <f t="shared" si="1005"/>
        <v>79362.106921138577</v>
      </c>
      <c r="AA609" s="552">
        <f t="shared" si="1005"/>
        <v>80724.682726345243</v>
      </c>
      <c r="AB609" s="552">
        <f t="shared" si="1005"/>
        <v>82086.858259654473</v>
      </c>
      <c r="AC609" s="552">
        <f t="shared" si="1005"/>
        <v>83449.434402155413</v>
      </c>
      <c r="AD609" s="552">
        <f t="shared" si="1005"/>
        <v>84812.010754951145</v>
      </c>
      <c r="AE609" s="552">
        <f t="shared" si="1005"/>
        <v>86174.186922932582</v>
      </c>
      <c r="AF609" s="552">
        <f t="shared" si="1005"/>
        <v>87536.763799716704</v>
      </c>
      <c r="AG609" s="552">
        <f t="shared" si="1005"/>
        <v>88899.340999847816</v>
      </c>
      <c r="AH609" s="727">
        <f t="shared" si="1005"/>
        <v>90261.518143128444</v>
      </c>
      <c r="AI609" s="18"/>
      <c r="AJ609" s="18"/>
      <c r="AK609" s="18"/>
      <c r="AL609" s="18"/>
      <c r="AM609" s="18"/>
      <c r="AN609" s="18"/>
    </row>
    <row r="610" spans="2:41" ht="21.9" customHeight="1" x14ac:dyDescent="0.25">
      <c r="B610" s="229"/>
      <c r="C610" s="690"/>
      <c r="D610" s="690"/>
      <c r="E610" s="114"/>
      <c r="F610" s="114"/>
      <c r="G610" s="114"/>
      <c r="H610" s="696" t="s">
        <v>25</v>
      </c>
      <c r="I610" s="552">
        <f t="shared" ref="I610:AH610" si="1006">SUM(I608:I609)</f>
        <v>68112.730751988624</v>
      </c>
      <c r="J610" s="552">
        <f t="shared" si="1006"/>
        <v>70044.180761447584</v>
      </c>
      <c r="K610" s="552">
        <f t="shared" si="1006"/>
        <v>72245.016625415912</v>
      </c>
      <c r="L610" s="552">
        <f t="shared" si="1006"/>
        <v>75057.164258128221</v>
      </c>
      <c r="M610" s="552">
        <f t="shared" si="1006"/>
        <v>77870.220071204545</v>
      </c>
      <c r="N610" s="552">
        <f t="shared" si="1006"/>
        <v>80682.821814172901</v>
      </c>
      <c r="O610" s="552">
        <f t="shared" si="1006"/>
        <v>83494.969492569711</v>
      </c>
      <c r="P610" s="552">
        <f t="shared" si="1006"/>
        <v>86307.68480470631</v>
      </c>
      <c r="Q610" s="552">
        <f t="shared" si="1006"/>
        <v>89486.733144964397</v>
      </c>
      <c r="R610" s="552">
        <f t="shared" si="1006"/>
        <v>92665.668029924331</v>
      </c>
      <c r="S610" s="552">
        <f t="shared" si="1006"/>
        <v>95844.262441403625</v>
      </c>
      <c r="T610" s="552">
        <f t="shared" si="1006"/>
        <v>99023.311059949978</v>
      </c>
      <c r="U610" s="552">
        <f t="shared" si="1006"/>
        <v>102202.92744849855</v>
      </c>
      <c r="V610" s="552">
        <f t="shared" si="1006"/>
        <v>104770.55099243033</v>
      </c>
      <c r="W610" s="552">
        <f t="shared" si="1006"/>
        <v>106702.00158780425</v>
      </c>
      <c r="X610" s="552">
        <f t="shared" si="1006"/>
        <v>108633.45230108475</v>
      </c>
      <c r="Y610" s="552">
        <f t="shared" si="1006"/>
        <v>110564.90315292416</v>
      </c>
      <c r="Z610" s="552">
        <f t="shared" si="1006"/>
        <v>112495.78656071392</v>
      </c>
      <c r="AA610" s="552">
        <f t="shared" si="1006"/>
        <v>114427.23776459438</v>
      </c>
      <c r="AB610" s="552">
        <f t="shared" si="1006"/>
        <v>116358.12158306022</v>
      </c>
      <c r="AC610" s="552">
        <f t="shared" si="1006"/>
        <v>118289.5732650553</v>
      </c>
      <c r="AD610" s="552">
        <f t="shared" si="1006"/>
        <v>120221.02524514325</v>
      </c>
      <c r="AE610" s="552">
        <f t="shared" si="1006"/>
        <v>122151.90996325694</v>
      </c>
      <c r="AF610" s="552">
        <f t="shared" si="1006"/>
        <v>124083.36268609844</v>
      </c>
      <c r="AG610" s="552">
        <f t="shared" si="1006"/>
        <v>126014.81586728428</v>
      </c>
      <c r="AH610" s="727">
        <f t="shared" si="1006"/>
        <v>127945.70196788457</v>
      </c>
      <c r="AI610" s="18"/>
      <c r="AJ610" s="18"/>
      <c r="AK610" s="18"/>
      <c r="AL610" s="18"/>
      <c r="AM610" s="18"/>
      <c r="AN610" s="18"/>
    </row>
    <row r="611" spans="2:41" ht="21.9" customHeight="1" x14ac:dyDescent="0.25">
      <c r="B611" s="229"/>
      <c r="C611" s="690"/>
      <c r="D611" s="690"/>
      <c r="E611" s="114"/>
      <c r="F611" s="114" t="s">
        <v>274</v>
      </c>
      <c r="G611" s="114" t="s">
        <v>317</v>
      </c>
      <c r="H611" s="114" t="s">
        <v>20</v>
      </c>
      <c r="I611" s="552">
        <f t="shared" ref="I611:AH611" si="1007">I547*$D$11</f>
        <v>501.02774084735455</v>
      </c>
      <c r="J611" s="552">
        <f t="shared" si="1007"/>
        <v>515.23531279938027</v>
      </c>
      <c r="K611" s="552">
        <f t="shared" si="1007"/>
        <v>531.4245032717464</v>
      </c>
      <c r="L611" s="552">
        <f t="shared" si="1007"/>
        <v>552.11054341727493</v>
      </c>
      <c r="M611" s="552">
        <f t="shared" si="1007"/>
        <v>572.80339424267663</v>
      </c>
      <c r="N611" s="552">
        <f t="shared" si="1007"/>
        <v>593.49308602563985</v>
      </c>
      <c r="O611" s="552">
        <f t="shared" si="1007"/>
        <v>614.1796866964487</v>
      </c>
      <c r="P611" s="552">
        <f t="shared" si="1007"/>
        <v>634.87080185176546</v>
      </c>
      <c r="Q611" s="552">
        <f t="shared" si="1007"/>
        <v>658.25732153270724</v>
      </c>
      <c r="R611" s="552">
        <f t="shared" si="1007"/>
        <v>681.64381496816077</v>
      </c>
      <c r="S611" s="552">
        <f t="shared" si="1007"/>
        <v>705.02890964242204</v>
      </c>
      <c r="T611" s="552">
        <f t="shared" si="1007"/>
        <v>728.41884377493966</v>
      </c>
      <c r="U611" s="552">
        <f t="shared" si="1007"/>
        <v>751.81496426263823</v>
      </c>
      <c r="V611" s="552">
        <f t="shared" si="1007"/>
        <v>770.70985587552502</v>
      </c>
      <c r="W611" s="552">
        <f t="shared" si="1007"/>
        <v>784.92461669970351</v>
      </c>
      <c r="X611" s="552">
        <f t="shared" si="1007"/>
        <v>799.14082417655368</v>
      </c>
      <c r="Y611" s="552">
        <f t="shared" si="1007"/>
        <v>813.35873169979732</v>
      </c>
      <c r="Z611" s="552">
        <f t="shared" si="1007"/>
        <v>827.57445213738129</v>
      </c>
      <c r="AA611" s="552">
        <f t="shared" si="1007"/>
        <v>841.79667902173708</v>
      </c>
      <c r="AB611" s="552">
        <f t="shared" si="1007"/>
        <v>856.01743824137907</v>
      </c>
      <c r="AC611" s="552">
        <f t="shared" si="1007"/>
        <v>870.24553134304313</v>
      </c>
      <c r="AD611" s="552">
        <f t="shared" si="1007"/>
        <v>884.4772818891596</v>
      </c>
      <c r="AE611" s="552">
        <f t="shared" si="1007"/>
        <v>898.70907932116631</v>
      </c>
      <c r="AF611" s="552">
        <f t="shared" si="1007"/>
        <v>912.94994306762931</v>
      </c>
      <c r="AG611" s="552">
        <f t="shared" si="1007"/>
        <v>927.19643046125225</v>
      </c>
      <c r="AH611" s="727">
        <f t="shared" si="1007"/>
        <v>941.44519028568595</v>
      </c>
      <c r="AI611" s="18"/>
      <c r="AJ611" s="18"/>
      <c r="AK611" s="18"/>
      <c r="AL611" s="18"/>
      <c r="AM611" s="18"/>
      <c r="AN611" s="18"/>
    </row>
    <row r="612" spans="2:41" ht="21.9" customHeight="1" x14ac:dyDescent="0.25">
      <c r="B612" s="229"/>
      <c r="C612" s="690"/>
      <c r="D612" s="690"/>
      <c r="E612" s="114"/>
      <c r="F612" s="114"/>
      <c r="G612" s="114"/>
      <c r="H612" s="122" t="s">
        <v>19</v>
      </c>
      <c r="I612" s="552">
        <f t="shared" ref="I612:AH612" si="1008">I548*$D$12</f>
        <v>1200.0664451433643</v>
      </c>
      <c r="J612" s="552">
        <f t="shared" si="1008"/>
        <v>1234.0965576033061</v>
      </c>
      <c r="K612" s="552">
        <f t="shared" si="1008"/>
        <v>1272.873061728734</v>
      </c>
      <c r="L612" s="552">
        <f t="shared" si="1008"/>
        <v>1322.4204632749102</v>
      </c>
      <c r="M612" s="552">
        <f t="shared" si="1008"/>
        <v>1371.9841778267705</v>
      </c>
      <c r="N612" s="552">
        <f t="shared" si="1008"/>
        <v>1421.5403258099159</v>
      </c>
      <c r="O612" s="552">
        <f t="shared" si="1008"/>
        <v>1471.0890699316137</v>
      </c>
      <c r="P612" s="552">
        <f t="shared" si="1008"/>
        <v>1520.6486271898575</v>
      </c>
      <c r="Q612" s="552">
        <f t="shared" si="1008"/>
        <v>1576.6642431921132</v>
      </c>
      <c r="R612" s="552">
        <f t="shared" si="1008"/>
        <v>1632.6797963309241</v>
      </c>
      <c r="S612" s="552">
        <f t="shared" si="1008"/>
        <v>1688.6919991435259</v>
      </c>
      <c r="T612" s="552">
        <f t="shared" si="1008"/>
        <v>1744.7157934729094</v>
      </c>
      <c r="U612" s="552">
        <f t="shared" si="1008"/>
        <v>1800.754405419493</v>
      </c>
      <c r="V612" s="552">
        <f t="shared" si="1008"/>
        <v>1846.0116308395809</v>
      </c>
      <c r="W612" s="552">
        <f t="shared" si="1008"/>
        <v>1880.0589621549786</v>
      </c>
      <c r="X612" s="552">
        <f t="shared" si="1008"/>
        <v>1914.1097585067155</v>
      </c>
      <c r="Y612" s="552">
        <f t="shared" si="1008"/>
        <v>1948.1646268258619</v>
      </c>
      <c r="Z612" s="552">
        <f t="shared" si="1008"/>
        <v>1982.2142566164821</v>
      </c>
      <c r="AA612" s="552">
        <f t="shared" si="1008"/>
        <v>2016.2794707107475</v>
      </c>
      <c r="AB612" s="552">
        <f t="shared" si="1008"/>
        <v>2050.341169440429</v>
      </c>
      <c r="AC612" s="552">
        <f t="shared" si="1008"/>
        <v>2084.4204343545944</v>
      </c>
      <c r="AD612" s="552">
        <f t="shared" si="1008"/>
        <v>2118.5084596147535</v>
      </c>
      <c r="AE612" s="552">
        <f t="shared" si="1008"/>
        <v>2152.5965971764463</v>
      </c>
      <c r="AF612" s="552">
        <f t="shared" si="1008"/>
        <v>2186.7064504613877</v>
      </c>
      <c r="AG612" s="552">
        <f t="shared" si="1008"/>
        <v>2220.8297735598858</v>
      </c>
      <c r="AH612" s="727">
        <f t="shared" si="1008"/>
        <v>2254.9585396064335</v>
      </c>
      <c r="AI612" s="18"/>
      <c r="AJ612" s="18"/>
      <c r="AK612" s="18"/>
      <c r="AL612" s="18"/>
      <c r="AM612" s="18"/>
      <c r="AN612" s="18"/>
    </row>
    <row r="613" spans="2:41" ht="21.9" customHeight="1" thickBot="1" x14ac:dyDescent="0.3">
      <c r="B613" s="464"/>
      <c r="C613" s="739"/>
      <c r="D613" s="739"/>
      <c r="E613" s="274"/>
      <c r="F613" s="274"/>
      <c r="G613" s="274"/>
      <c r="H613" s="740" t="s">
        <v>25</v>
      </c>
      <c r="I613" s="710">
        <f t="shared" ref="I613:AH613" si="1009">SUM(I611:I612)</f>
        <v>1701.0941859907189</v>
      </c>
      <c r="J613" s="710">
        <f t="shared" si="1009"/>
        <v>1749.3318704026865</v>
      </c>
      <c r="K613" s="710">
        <f t="shared" si="1009"/>
        <v>1804.2975650004805</v>
      </c>
      <c r="L613" s="710">
        <f t="shared" si="1009"/>
        <v>1874.5310066921852</v>
      </c>
      <c r="M613" s="710">
        <f t="shared" si="1009"/>
        <v>1944.7875720694472</v>
      </c>
      <c r="N613" s="710">
        <f t="shared" si="1009"/>
        <v>2015.0334118355559</v>
      </c>
      <c r="O613" s="710">
        <f t="shared" si="1009"/>
        <v>2085.2687566280624</v>
      </c>
      <c r="P613" s="710">
        <f t="shared" si="1009"/>
        <v>2155.519429041623</v>
      </c>
      <c r="Q613" s="710">
        <f t="shared" si="1009"/>
        <v>2234.9215647248202</v>
      </c>
      <c r="R613" s="710">
        <f t="shared" si="1009"/>
        <v>2314.3236112990849</v>
      </c>
      <c r="S613" s="710">
        <f t="shared" si="1009"/>
        <v>2393.7209087859478</v>
      </c>
      <c r="T613" s="710">
        <f t="shared" si="1009"/>
        <v>2473.1346372478492</v>
      </c>
      <c r="U613" s="710">
        <f t="shared" si="1009"/>
        <v>2552.5693696821313</v>
      </c>
      <c r="V613" s="710">
        <f t="shared" si="1009"/>
        <v>2616.721486715106</v>
      </c>
      <c r="W613" s="710">
        <f t="shared" si="1009"/>
        <v>2664.983578854682</v>
      </c>
      <c r="X613" s="710">
        <f t="shared" si="1009"/>
        <v>2713.2505826832694</v>
      </c>
      <c r="Y613" s="710">
        <f t="shared" si="1009"/>
        <v>2761.5233585256592</v>
      </c>
      <c r="Z613" s="710">
        <f t="shared" si="1009"/>
        <v>2809.7887087538634</v>
      </c>
      <c r="AA613" s="710">
        <f t="shared" si="1009"/>
        <v>2858.0761497324847</v>
      </c>
      <c r="AB613" s="710">
        <f t="shared" si="1009"/>
        <v>2906.3586076818083</v>
      </c>
      <c r="AC613" s="710">
        <f t="shared" si="1009"/>
        <v>2954.6659656976376</v>
      </c>
      <c r="AD613" s="710">
        <f t="shared" si="1009"/>
        <v>3002.9857415039132</v>
      </c>
      <c r="AE613" s="710">
        <f t="shared" si="1009"/>
        <v>3051.3056764976127</v>
      </c>
      <c r="AF613" s="710">
        <f t="shared" si="1009"/>
        <v>3099.6563935290169</v>
      </c>
      <c r="AG613" s="710">
        <f t="shared" si="1009"/>
        <v>3148.0262040211383</v>
      </c>
      <c r="AH613" s="741">
        <f t="shared" si="1009"/>
        <v>3196.4037298921194</v>
      </c>
      <c r="AI613" s="18"/>
      <c r="AJ613" s="18"/>
      <c r="AK613" s="18"/>
      <c r="AL613" s="18"/>
      <c r="AM613" s="18"/>
      <c r="AN613" s="18"/>
    </row>
    <row r="614" spans="2:41" ht="21.9" customHeight="1" thickBot="1" x14ac:dyDescent="0.3">
      <c r="B614" s="464"/>
      <c r="C614" s="739"/>
      <c r="D614" s="739"/>
      <c r="E614" s="274"/>
      <c r="F614" s="274"/>
      <c r="G614" s="274"/>
      <c r="H614" s="742" t="s">
        <v>481</v>
      </c>
      <c r="I614" s="742">
        <f>SUM(I556,I559,I562,I565,I568,I571,I574,I577,I580,I583,I586,I589,I592,I595,I598,I601,I604,I607,I610,I613)</f>
        <v>789177.45023894822</v>
      </c>
      <c r="J614" s="742">
        <f t="shared" ref="J614:AH614" si="1010">SUM(J556,J559,J562,J565,J568,J571,J574,J577,J580,J583,J586,J589,J592,J595,J598,J601,J604,J607,J610,J613)</f>
        <v>862080.78772166581</v>
      </c>
      <c r="K614" s="742">
        <f t="shared" si="1010"/>
        <v>954093.16898301756</v>
      </c>
      <c r="L614" s="742">
        <f t="shared" si="1010"/>
        <v>1107704.7262650565</v>
      </c>
      <c r="M614" s="742">
        <f t="shared" si="1010"/>
        <v>1262177.0283992903</v>
      </c>
      <c r="N614" s="742">
        <f t="shared" si="1010"/>
        <v>1417870.4882610005</v>
      </c>
      <c r="O614" s="742">
        <f t="shared" si="1010"/>
        <v>1575392.6943828703</v>
      </c>
      <c r="P614" s="742">
        <f t="shared" si="1010"/>
        <v>1736337.5218895939</v>
      </c>
      <c r="Q614" s="742">
        <f t="shared" si="1010"/>
        <v>1885955.4223356505</v>
      </c>
      <c r="R614" s="742">
        <f t="shared" si="1010"/>
        <v>2042476.4798769741</v>
      </c>
      <c r="S614" s="742">
        <f t="shared" si="1010"/>
        <v>2209208.5086023384</v>
      </c>
      <c r="T614" s="742">
        <f t="shared" si="1010"/>
        <v>2391155.0675232811</v>
      </c>
      <c r="U614" s="742">
        <f t="shared" si="1010"/>
        <v>2595813.9505112944</v>
      </c>
      <c r="V614" s="742">
        <f t="shared" si="1010"/>
        <v>2732022.0727024172</v>
      </c>
      <c r="W614" s="742">
        <f t="shared" si="1010"/>
        <v>2825985.501388961</v>
      </c>
      <c r="X614" s="742">
        <f t="shared" si="1010"/>
        <v>2909518.6185853984</v>
      </c>
      <c r="Y614" s="742">
        <f t="shared" si="1010"/>
        <v>2967207.9476352101</v>
      </c>
      <c r="Z614" s="742">
        <f t="shared" si="1010"/>
        <v>3027044.1501062503</v>
      </c>
      <c r="AA614" s="742">
        <f t="shared" si="1010"/>
        <v>3089325.8106619376</v>
      </c>
      <c r="AB614" s="742">
        <f t="shared" si="1010"/>
        <v>3154721.7504674164</v>
      </c>
      <c r="AC614" s="742">
        <f t="shared" si="1010"/>
        <v>3210937.1167710819</v>
      </c>
      <c r="AD614" s="742">
        <f t="shared" si="1010"/>
        <v>3267081.8275787709</v>
      </c>
      <c r="AE614" s="742">
        <f t="shared" si="1010"/>
        <v>3324260.1093119681</v>
      </c>
      <c r="AF614" s="742">
        <f t="shared" si="1010"/>
        <v>3382465.0626916895</v>
      </c>
      <c r="AG614" s="742">
        <f t="shared" si="1010"/>
        <v>3441932.0393843688</v>
      </c>
      <c r="AH614" s="742">
        <f t="shared" si="1010"/>
        <v>3502908.9865724095</v>
      </c>
      <c r="AI614" s="18"/>
      <c r="AJ614" s="18"/>
      <c r="AK614" s="18"/>
      <c r="AL614" s="18"/>
      <c r="AM614" s="18"/>
      <c r="AN614" s="18"/>
    </row>
    <row r="615" spans="2:41" ht="21.9" customHeight="1" x14ac:dyDescent="0.25">
      <c r="B615" s="9"/>
      <c r="C615" s="690"/>
      <c r="D615" s="690"/>
      <c r="E615" s="114"/>
      <c r="F615" s="114"/>
      <c r="G615" s="114"/>
      <c r="H615" s="743"/>
      <c r="I615" s="743"/>
      <c r="J615" s="743"/>
      <c r="K615" s="743"/>
      <c r="L615" s="743"/>
      <c r="M615" s="743"/>
      <c r="N615" s="743"/>
      <c r="O615" s="743"/>
      <c r="P615" s="743"/>
      <c r="Q615" s="743"/>
      <c r="R615" s="743"/>
      <c r="S615" s="743"/>
      <c r="T615" s="743"/>
      <c r="U615" s="743"/>
      <c r="V615" s="743"/>
      <c r="W615" s="743"/>
      <c r="X615" s="743"/>
      <c r="Y615" s="743"/>
      <c r="Z615" s="743"/>
      <c r="AA615" s="743"/>
      <c r="AB615" s="743"/>
      <c r="AC615" s="743"/>
      <c r="AD615" s="743"/>
      <c r="AE615" s="743"/>
      <c r="AF615" s="743"/>
      <c r="AG615" s="743"/>
      <c r="AH615" s="743"/>
      <c r="AI615" s="18"/>
      <c r="AJ615" s="18"/>
      <c r="AK615" s="18"/>
      <c r="AL615" s="18"/>
      <c r="AM615" s="18"/>
      <c r="AN615" s="18"/>
    </row>
    <row r="616" spans="2:41" ht="21.9" customHeight="1" thickBot="1" x14ac:dyDescent="0.3">
      <c r="B616" s="9"/>
      <c r="C616" s="690"/>
      <c r="D616" s="690"/>
      <c r="E616" s="114"/>
      <c r="F616" s="114"/>
      <c r="G616" s="114"/>
      <c r="H616" s="743"/>
      <c r="I616" s="743"/>
      <c r="J616" s="743"/>
      <c r="K616" s="743"/>
      <c r="L616" s="743"/>
      <c r="M616" s="743"/>
      <c r="N616" s="743"/>
      <c r="O616" s="743"/>
      <c r="P616" s="743"/>
      <c r="Q616" s="743"/>
      <c r="R616" s="743"/>
      <c r="S616" s="743"/>
      <c r="T616" s="743"/>
      <c r="U616" s="743"/>
      <c r="V616" s="743"/>
      <c r="W616" s="743"/>
      <c r="X616" s="743"/>
      <c r="Y616" s="743"/>
      <c r="Z616" s="743"/>
      <c r="AA616" s="743"/>
      <c r="AB616" s="743"/>
      <c r="AC616" s="743"/>
      <c r="AD616" s="743"/>
      <c r="AE616" s="743"/>
      <c r="AF616" s="743"/>
      <c r="AG616" s="743"/>
      <c r="AH616" s="743"/>
      <c r="AI616" s="18"/>
      <c r="AJ616" s="18"/>
      <c r="AK616" s="18"/>
      <c r="AL616" s="18"/>
      <c r="AM616" s="18"/>
      <c r="AN616" s="18"/>
    </row>
    <row r="617" spans="2:41" s="7" customFormat="1" ht="21.9" customHeight="1" thickBot="1" x14ac:dyDescent="0.3">
      <c r="B617" s="231"/>
      <c r="C617" s="462" t="s">
        <v>2</v>
      </c>
      <c r="D617" s="462"/>
      <c r="E617" s="462" t="s">
        <v>312</v>
      </c>
      <c r="F617" s="1326" t="s">
        <v>18</v>
      </c>
      <c r="G617" s="1326"/>
      <c r="H617" s="462" t="s">
        <v>24</v>
      </c>
      <c r="I617" s="738">
        <v>2023</v>
      </c>
      <c r="J617" s="738">
        <v>2024</v>
      </c>
      <c r="K617" s="738">
        <v>2025</v>
      </c>
      <c r="L617" s="738">
        <v>2026</v>
      </c>
      <c r="M617" s="738">
        <v>2027</v>
      </c>
      <c r="N617" s="738">
        <v>2028</v>
      </c>
      <c r="O617" s="738">
        <v>2029</v>
      </c>
      <c r="P617" s="738">
        <v>2030</v>
      </c>
      <c r="Q617" s="738">
        <v>2031</v>
      </c>
      <c r="R617" s="738">
        <v>2032</v>
      </c>
      <c r="S617" s="738">
        <v>2033</v>
      </c>
      <c r="T617" s="738">
        <v>2034</v>
      </c>
      <c r="U617" s="738">
        <v>2035</v>
      </c>
      <c r="V617" s="738">
        <v>2036</v>
      </c>
      <c r="W617" s="738">
        <v>2037</v>
      </c>
      <c r="X617" s="738">
        <v>2038</v>
      </c>
      <c r="Y617" s="738">
        <v>2039</v>
      </c>
      <c r="Z617" s="738">
        <v>2040</v>
      </c>
      <c r="AA617" s="738">
        <v>2041</v>
      </c>
      <c r="AB617" s="738">
        <v>2042</v>
      </c>
      <c r="AC617" s="738">
        <v>2043</v>
      </c>
      <c r="AD617" s="738">
        <v>2044</v>
      </c>
      <c r="AE617" s="738">
        <v>2045</v>
      </c>
      <c r="AF617" s="738">
        <v>2046</v>
      </c>
      <c r="AG617" s="738">
        <v>2047</v>
      </c>
      <c r="AH617" s="737">
        <v>2048</v>
      </c>
      <c r="AI617" s="461"/>
      <c r="AJ617" s="461"/>
      <c r="AK617" s="461"/>
      <c r="AL617" s="461"/>
      <c r="AM617" s="461"/>
      <c r="AN617" s="461"/>
      <c r="AO617" s="461"/>
    </row>
    <row r="618" spans="2:41" ht="21.9" customHeight="1" x14ac:dyDescent="0.25">
      <c r="B618" s="196" t="s">
        <v>131</v>
      </c>
      <c r="C618" s="114" t="str">
        <f>baseYear &amp; "$"</f>
        <v>2022$</v>
      </c>
      <c r="D618" s="237" t="s">
        <v>23</v>
      </c>
      <c r="E618" s="1327" t="s">
        <v>315</v>
      </c>
      <c r="F618" s="114" t="s">
        <v>316</v>
      </c>
      <c r="G618" s="114" t="s">
        <v>276</v>
      </c>
      <c r="H618" s="114" t="s">
        <v>20</v>
      </c>
      <c r="I618" s="552">
        <f t="shared" ref="I618:AH618" si="1011">I554*$D$13</f>
        <v>55658.188114239012</v>
      </c>
      <c r="J618" s="552">
        <f t="shared" si="1011"/>
        <v>58189.133504231671</v>
      </c>
      <c r="K618" s="552">
        <f t="shared" si="1011"/>
        <v>61755.06585582126</v>
      </c>
      <c r="L618" s="552">
        <f t="shared" si="1011"/>
        <v>67000.635914027385</v>
      </c>
      <c r="M618" s="552">
        <f t="shared" si="1011"/>
        <v>72248.700412025137</v>
      </c>
      <c r="N618" s="552">
        <f t="shared" si="1011"/>
        <v>77497.90448371855</v>
      </c>
      <c r="O618" s="552">
        <f t="shared" si="1011"/>
        <v>82747.326235633023</v>
      </c>
      <c r="P618" s="552">
        <f t="shared" si="1011"/>
        <v>88004.412627150567</v>
      </c>
      <c r="Q618" s="552">
        <f t="shared" si="1011"/>
        <v>93205.829671859654</v>
      </c>
      <c r="R618" s="552">
        <f t="shared" si="1011"/>
        <v>98419.147138606873</v>
      </c>
      <c r="S618" s="552">
        <f t="shared" si="1011"/>
        <v>103649.05329778639</v>
      </c>
      <c r="T618" s="552">
        <f t="shared" si="1011"/>
        <v>108906.92097098283</v>
      </c>
      <c r="U618" s="552">
        <f t="shared" si="1011"/>
        <v>114212.07127063187</v>
      </c>
      <c r="V618" s="552">
        <f t="shared" si="1011"/>
        <v>117830.57433192525</v>
      </c>
      <c r="W618" s="552">
        <f t="shared" si="1011"/>
        <v>120466.73577650738</v>
      </c>
      <c r="X618" s="552">
        <f t="shared" si="1011"/>
        <v>123127.61741867849</v>
      </c>
      <c r="Y618" s="552">
        <f t="shared" si="1011"/>
        <v>125818.32643384111</v>
      </c>
      <c r="Z618" s="552">
        <f t="shared" si="1011"/>
        <v>128545.83059896833</v>
      </c>
      <c r="AA618" s="552">
        <f t="shared" si="1011"/>
        <v>131315.34047594562</v>
      </c>
      <c r="AB618" s="552">
        <f t="shared" si="1011"/>
        <v>134137.0655640444</v>
      </c>
      <c r="AC618" s="552">
        <f t="shared" si="1011"/>
        <v>137018.76720800248</v>
      </c>
      <c r="AD618" s="552">
        <f t="shared" si="1011"/>
        <v>139972.70113842352</v>
      </c>
      <c r="AE618" s="552">
        <f t="shared" si="1011"/>
        <v>143013.04826446928</v>
      </c>
      <c r="AF618" s="552">
        <f t="shared" si="1011"/>
        <v>146152.92206992919</v>
      </c>
      <c r="AG618" s="552">
        <f t="shared" si="1011"/>
        <v>149410.90930403341</v>
      </c>
      <c r="AH618" s="727">
        <f t="shared" si="1011"/>
        <v>152808.43544320969</v>
      </c>
      <c r="AI618" s="18"/>
      <c r="AJ618" s="18"/>
      <c r="AK618" s="18"/>
      <c r="AL618" s="18"/>
      <c r="AM618" s="18"/>
      <c r="AN618" s="18"/>
    </row>
    <row r="619" spans="2:41" ht="21.9" customHeight="1" x14ac:dyDescent="0.25">
      <c r="B619" s="463" t="s">
        <v>134</v>
      </c>
      <c r="C619" s="690"/>
      <c r="D619" s="237"/>
      <c r="E619" s="1327"/>
      <c r="F619" s="114"/>
      <c r="G619" s="114"/>
      <c r="H619" s="122" t="s">
        <v>19</v>
      </c>
      <c r="I619" s="552">
        <f t="shared" ref="I619:AH619" si="1012">I555*$D$14</f>
        <v>201963.66850136445</v>
      </c>
      <c r="J619" s="552">
        <f t="shared" si="1012"/>
        <v>211147.56458311208</v>
      </c>
      <c r="K619" s="552">
        <f t="shared" si="1012"/>
        <v>224087.05837109772</v>
      </c>
      <c r="L619" s="552">
        <f t="shared" si="1012"/>
        <v>243121.35697531686</v>
      </c>
      <c r="M619" s="552">
        <f t="shared" si="1012"/>
        <v>262164.70700985094</v>
      </c>
      <c r="N619" s="552">
        <f t="shared" si="1012"/>
        <v>281212.19214996247</v>
      </c>
      <c r="O619" s="552">
        <f t="shared" si="1012"/>
        <v>300260.46717378194</v>
      </c>
      <c r="P619" s="552">
        <f t="shared" si="1012"/>
        <v>319336.55443483777</v>
      </c>
      <c r="Q619" s="552">
        <f t="shared" si="1012"/>
        <v>338210.6375364798</v>
      </c>
      <c r="R619" s="552">
        <f t="shared" si="1012"/>
        <v>357127.90301564737</v>
      </c>
      <c r="S619" s="552">
        <f t="shared" si="1012"/>
        <v>376105.36292968213</v>
      </c>
      <c r="T619" s="552">
        <f t="shared" si="1012"/>
        <v>395184.28518266545</v>
      </c>
      <c r="U619" s="552">
        <f t="shared" si="1012"/>
        <v>414434.77918489702</v>
      </c>
      <c r="V619" s="552">
        <f t="shared" si="1012"/>
        <v>427565.03328591515</v>
      </c>
      <c r="W619" s="552">
        <f t="shared" si="1012"/>
        <v>437130.7208181232</v>
      </c>
      <c r="X619" s="552">
        <f t="shared" si="1012"/>
        <v>446786.10911063809</v>
      </c>
      <c r="Y619" s="552">
        <f t="shared" si="1012"/>
        <v>456549.7302773305</v>
      </c>
      <c r="Z619" s="552">
        <f t="shared" si="1012"/>
        <v>466446.8678900607</v>
      </c>
      <c r="AA619" s="552">
        <f t="shared" si="1012"/>
        <v>476496.4292152882</v>
      </c>
      <c r="AB619" s="552">
        <f t="shared" si="1012"/>
        <v>486735.4608762734</v>
      </c>
      <c r="AC619" s="552">
        <f t="shared" si="1012"/>
        <v>497192.12601861748</v>
      </c>
      <c r="AD619" s="552">
        <f t="shared" si="1012"/>
        <v>507910.89630761772</v>
      </c>
      <c r="AE619" s="552">
        <f t="shared" si="1012"/>
        <v>518943.22919336415</v>
      </c>
      <c r="AF619" s="552">
        <f t="shared" si="1012"/>
        <v>530336.70882084384</v>
      </c>
      <c r="AG619" s="552">
        <f t="shared" si="1012"/>
        <v>542158.77985879709</v>
      </c>
      <c r="AH619" s="727">
        <f t="shared" si="1012"/>
        <v>554487.18770220259</v>
      </c>
      <c r="AI619" s="18"/>
      <c r="AJ619" s="18"/>
      <c r="AK619" s="18"/>
      <c r="AL619" s="18"/>
      <c r="AM619" s="18"/>
      <c r="AN619" s="18"/>
    </row>
    <row r="620" spans="2:41" ht="21.9" customHeight="1" x14ac:dyDescent="0.25">
      <c r="B620" s="196"/>
      <c r="C620" s="114"/>
      <c r="D620" s="237"/>
      <c r="E620" s="1327"/>
      <c r="F620" s="114"/>
      <c r="G620" s="114"/>
      <c r="H620" s="695" t="s">
        <v>25</v>
      </c>
      <c r="I620" s="552">
        <f t="shared" ref="I620:AH620" si="1013">SUM(I618:I619)</f>
        <v>257621.85661560346</v>
      </c>
      <c r="J620" s="552">
        <f t="shared" si="1013"/>
        <v>269336.69808734377</v>
      </c>
      <c r="K620" s="552">
        <f t="shared" si="1013"/>
        <v>285842.12422691897</v>
      </c>
      <c r="L620" s="552">
        <f t="shared" si="1013"/>
        <v>310121.99288934423</v>
      </c>
      <c r="M620" s="552">
        <f t="shared" si="1013"/>
        <v>334413.40742187609</v>
      </c>
      <c r="N620" s="552">
        <f t="shared" si="1013"/>
        <v>358710.09663368104</v>
      </c>
      <c r="O620" s="552">
        <f t="shared" si="1013"/>
        <v>383007.79340941494</v>
      </c>
      <c r="P620" s="552">
        <f t="shared" si="1013"/>
        <v>407340.96706198831</v>
      </c>
      <c r="Q620" s="552">
        <f t="shared" si="1013"/>
        <v>431416.46720833948</v>
      </c>
      <c r="R620" s="552">
        <f t="shared" si="1013"/>
        <v>455547.05015425425</v>
      </c>
      <c r="S620" s="552">
        <f t="shared" si="1013"/>
        <v>479754.41622746852</v>
      </c>
      <c r="T620" s="552">
        <f t="shared" si="1013"/>
        <v>504091.20615364827</v>
      </c>
      <c r="U620" s="552">
        <f t="shared" si="1013"/>
        <v>528646.85045552894</v>
      </c>
      <c r="V620" s="552">
        <f t="shared" si="1013"/>
        <v>545395.6076178404</v>
      </c>
      <c r="W620" s="552">
        <f t="shared" si="1013"/>
        <v>557597.45659463061</v>
      </c>
      <c r="X620" s="552">
        <f t="shared" si="1013"/>
        <v>569913.72652931663</v>
      </c>
      <c r="Y620" s="552">
        <f t="shared" si="1013"/>
        <v>582368.05671117164</v>
      </c>
      <c r="Z620" s="552">
        <f t="shared" si="1013"/>
        <v>594992.69848902908</v>
      </c>
      <c r="AA620" s="552">
        <f t="shared" si="1013"/>
        <v>607811.76969123376</v>
      </c>
      <c r="AB620" s="552">
        <f t="shared" si="1013"/>
        <v>620872.52644031774</v>
      </c>
      <c r="AC620" s="552">
        <f t="shared" si="1013"/>
        <v>634210.89322661993</v>
      </c>
      <c r="AD620" s="552">
        <f t="shared" si="1013"/>
        <v>647883.59744604118</v>
      </c>
      <c r="AE620" s="552">
        <f t="shared" si="1013"/>
        <v>661956.27745783341</v>
      </c>
      <c r="AF620" s="552">
        <f t="shared" si="1013"/>
        <v>676489.63089077303</v>
      </c>
      <c r="AG620" s="552">
        <f t="shared" si="1013"/>
        <v>691569.68916283047</v>
      </c>
      <c r="AH620" s="727">
        <f t="shared" si="1013"/>
        <v>707295.6231454123</v>
      </c>
      <c r="AI620" s="18"/>
      <c r="AJ620" s="18"/>
      <c r="AK620" s="18"/>
      <c r="AL620" s="18"/>
      <c r="AM620" s="18"/>
      <c r="AN620" s="18"/>
    </row>
    <row r="621" spans="2:41" ht="21.9" customHeight="1" x14ac:dyDescent="0.25">
      <c r="B621" s="194"/>
      <c r="C621" s="690"/>
      <c r="D621" s="690"/>
      <c r="E621" s="1327"/>
      <c r="F621" s="114" t="s">
        <v>276</v>
      </c>
      <c r="G621" s="114" t="s">
        <v>274</v>
      </c>
      <c r="H621" s="114" t="s">
        <v>20</v>
      </c>
      <c r="I621" s="552">
        <f t="shared" ref="I621:AH621" si="1014">I557*$D$13</f>
        <v>1789705.8417579983</v>
      </c>
      <c r="J621" s="552">
        <f t="shared" si="1014"/>
        <v>1884176.2456567311</v>
      </c>
      <c r="K621" s="552">
        <f t="shared" si="1014"/>
        <v>2025988.5492582205</v>
      </c>
      <c r="L621" s="552">
        <f t="shared" si="1014"/>
        <v>2260286.6403589188</v>
      </c>
      <c r="M621" s="552">
        <f t="shared" si="1014"/>
        <v>2494701.2234650701</v>
      </c>
      <c r="N621" s="552">
        <f t="shared" si="1014"/>
        <v>2729127.6217032704</v>
      </c>
      <c r="O621" s="552">
        <f t="shared" si="1014"/>
        <v>2963516.9480484216</v>
      </c>
      <c r="P621" s="552">
        <f t="shared" si="1014"/>
        <v>3198234.8673365484</v>
      </c>
      <c r="Q621" s="552">
        <f t="shared" si="1014"/>
        <v>3435269.48923541</v>
      </c>
      <c r="R621" s="552">
        <f t="shared" si="1014"/>
        <v>3672827.1485556071</v>
      </c>
      <c r="S621" s="552">
        <f t="shared" si="1014"/>
        <v>3911109.3853995604</v>
      </c>
      <c r="T621" s="552">
        <f t="shared" si="1014"/>
        <v>4150798.6075501535</v>
      </c>
      <c r="U621" s="552">
        <f t="shared" si="1014"/>
        <v>4393088.6482101697</v>
      </c>
      <c r="V621" s="552">
        <f t="shared" si="1014"/>
        <v>4542217.9178751726</v>
      </c>
      <c r="W621" s="552">
        <f t="shared" si="1014"/>
        <v>4641061.8615455749</v>
      </c>
      <c r="X621" s="552">
        <f t="shared" si="1014"/>
        <v>4740897.990368153</v>
      </c>
      <c r="Y621" s="552">
        <f t="shared" si="1014"/>
        <v>4841924.4976204997</v>
      </c>
      <c r="Z621" s="552">
        <f t="shared" si="1014"/>
        <v>4944431.9449221836</v>
      </c>
      <c r="AA621" s="552">
        <f t="shared" si="1014"/>
        <v>5048577.6235674936</v>
      </c>
      <c r="AB621" s="552">
        <f t="shared" si="1014"/>
        <v>5154796.3620797656</v>
      </c>
      <c r="AC621" s="552">
        <f t="shared" si="1014"/>
        <v>5263338.4989764299</v>
      </c>
      <c r="AD621" s="552">
        <f t="shared" si="1014"/>
        <v>5374691.4483849173</v>
      </c>
      <c r="AE621" s="552">
        <f t="shared" si="1014"/>
        <v>5489416.1909904052</v>
      </c>
      <c r="AF621" s="552">
        <f t="shared" si="1014"/>
        <v>5607956.0888531441</v>
      </c>
      <c r="AG621" s="552">
        <f t="shared" si="1014"/>
        <v>5731032.6411082763</v>
      </c>
      <c r="AH621" s="727">
        <f t="shared" si="1014"/>
        <v>5859475.1212560665</v>
      </c>
      <c r="AI621" s="18"/>
      <c r="AJ621" s="18"/>
      <c r="AK621" s="18"/>
      <c r="AL621" s="18"/>
      <c r="AM621" s="18"/>
      <c r="AN621" s="18"/>
    </row>
    <row r="622" spans="2:41" ht="21.9" customHeight="1" x14ac:dyDescent="0.25">
      <c r="B622" s="463"/>
      <c r="C622" s="690"/>
      <c r="D622" s="690"/>
      <c r="E622" s="1327"/>
      <c r="F622" s="114"/>
      <c r="G622" s="114"/>
      <c r="H622" s="122" t="s">
        <v>19</v>
      </c>
      <c r="I622" s="552">
        <f t="shared" ref="I622:AH622" si="1015">I558*$D$14</f>
        <v>6494202.7325409241</v>
      </c>
      <c r="J622" s="552">
        <f t="shared" si="1015"/>
        <v>6837002.057898635</v>
      </c>
      <c r="K622" s="552">
        <f t="shared" si="1015"/>
        <v>7351588.2139409445</v>
      </c>
      <c r="L622" s="552">
        <f t="shared" si="1015"/>
        <v>8201772.2318690848</v>
      </c>
      <c r="M622" s="552">
        <f t="shared" si="1015"/>
        <v>9052378.9576425459</v>
      </c>
      <c r="N622" s="552">
        <f t="shared" si="1015"/>
        <v>9903028.5563066509</v>
      </c>
      <c r="O622" s="552">
        <f t="shared" si="1015"/>
        <v>10753543.634322997</v>
      </c>
      <c r="P622" s="552">
        <f t="shared" si="1015"/>
        <v>11605251.058667082</v>
      </c>
      <c r="Q622" s="552">
        <f t="shared" si="1015"/>
        <v>12465364.968632484</v>
      </c>
      <c r="R622" s="552">
        <f t="shared" si="1015"/>
        <v>13327376.794429418</v>
      </c>
      <c r="S622" s="552">
        <f t="shared" si="1015"/>
        <v>14192017.853044908</v>
      </c>
      <c r="T622" s="552">
        <f t="shared" si="1015"/>
        <v>15061764.358382333</v>
      </c>
      <c r="U622" s="552">
        <f t="shared" si="1015"/>
        <v>15940948.304374333</v>
      </c>
      <c r="V622" s="552">
        <f t="shared" si="1015"/>
        <v>16482085.114660976</v>
      </c>
      <c r="W622" s="552">
        <f t="shared" si="1015"/>
        <v>16840754.452438243</v>
      </c>
      <c r="X622" s="552">
        <f t="shared" si="1015"/>
        <v>17203024.075455744</v>
      </c>
      <c r="Y622" s="552">
        <f t="shared" si="1015"/>
        <v>17569613.156269602</v>
      </c>
      <c r="Z622" s="552">
        <f t="shared" si="1015"/>
        <v>17941576.039129995</v>
      </c>
      <c r="AA622" s="552">
        <f t="shared" si="1015"/>
        <v>18319483.477916881</v>
      </c>
      <c r="AB622" s="552">
        <f t="shared" si="1015"/>
        <v>18704913.309903055</v>
      </c>
      <c r="AC622" s="552">
        <f t="shared" si="1015"/>
        <v>19098773.924079597</v>
      </c>
      <c r="AD622" s="552">
        <f t="shared" si="1015"/>
        <v>19502833.972078741</v>
      </c>
      <c r="AE622" s="552">
        <f t="shared" si="1015"/>
        <v>19919129.052272908</v>
      </c>
      <c r="AF622" s="552">
        <f t="shared" si="1015"/>
        <v>20349267.967089839</v>
      </c>
      <c r="AG622" s="552">
        <f t="shared" si="1015"/>
        <v>20795868.778976269</v>
      </c>
      <c r="AH622" s="727">
        <f t="shared" si="1015"/>
        <v>21261940.625023752</v>
      </c>
      <c r="AI622" s="18"/>
      <c r="AJ622" s="18"/>
      <c r="AK622" s="18"/>
      <c r="AL622" s="18"/>
      <c r="AM622" s="18"/>
      <c r="AN622" s="18"/>
    </row>
    <row r="623" spans="2:41" ht="21.9" customHeight="1" x14ac:dyDescent="0.25">
      <c r="B623" s="463"/>
      <c r="C623" s="690"/>
      <c r="D623" s="690"/>
      <c r="E623" s="1327"/>
      <c r="F623" s="114"/>
      <c r="G623" s="114"/>
      <c r="H623" s="695" t="s">
        <v>25</v>
      </c>
      <c r="I623" s="552">
        <f t="shared" ref="I623:AH623" si="1016">SUM(I621:I622)</f>
        <v>8283908.574298922</v>
      </c>
      <c r="J623" s="552">
        <f t="shared" si="1016"/>
        <v>8721178.3035553657</v>
      </c>
      <c r="K623" s="552">
        <f t="shared" si="1016"/>
        <v>9377576.7631991655</v>
      </c>
      <c r="L623" s="552">
        <f t="shared" si="1016"/>
        <v>10462058.872228004</v>
      </c>
      <c r="M623" s="552">
        <f t="shared" si="1016"/>
        <v>11547080.181107616</v>
      </c>
      <c r="N623" s="552">
        <f t="shared" si="1016"/>
        <v>12632156.178009922</v>
      </c>
      <c r="O623" s="552">
        <f t="shared" si="1016"/>
        <v>13717060.582371419</v>
      </c>
      <c r="P623" s="552">
        <f t="shared" si="1016"/>
        <v>14803485.926003631</v>
      </c>
      <c r="Q623" s="552">
        <f t="shared" si="1016"/>
        <v>15900634.457867894</v>
      </c>
      <c r="R623" s="552">
        <f t="shared" si="1016"/>
        <v>17000203.942985024</v>
      </c>
      <c r="S623" s="552">
        <f t="shared" si="1016"/>
        <v>18103127.23844447</v>
      </c>
      <c r="T623" s="552">
        <f t="shared" si="1016"/>
        <v>19212562.965932488</v>
      </c>
      <c r="U623" s="552">
        <f t="shared" si="1016"/>
        <v>20334036.952584505</v>
      </c>
      <c r="V623" s="552">
        <f t="shared" si="1016"/>
        <v>21024303.032536149</v>
      </c>
      <c r="W623" s="552">
        <f t="shared" si="1016"/>
        <v>21481816.313983817</v>
      </c>
      <c r="X623" s="552">
        <f t="shared" si="1016"/>
        <v>21943922.065823898</v>
      </c>
      <c r="Y623" s="552">
        <f t="shared" si="1016"/>
        <v>22411537.653890103</v>
      </c>
      <c r="Z623" s="552">
        <f t="shared" si="1016"/>
        <v>22886007.984052178</v>
      </c>
      <c r="AA623" s="552">
        <f t="shared" si="1016"/>
        <v>23368061.101484373</v>
      </c>
      <c r="AB623" s="552">
        <f t="shared" si="1016"/>
        <v>23859709.671982821</v>
      </c>
      <c r="AC623" s="552">
        <f t="shared" si="1016"/>
        <v>24362112.423056029</v>
      </c>
      <c r="AD623" s="552">
        <f t="shared" si="1016"/>
        <v>24877525.420463659</v>
      </c>
      <c r="AE623" s="552">
        <f t="shared" si="1016"/>
        <v>25408545.243263312</v>
      </c>
      <c r="AF623" s="552">
        <f t="shared" si="1016"/>
        <v>25957224.055942982</v>
      </c>
      <c r="AG623" s="552">
        <f t="shared" si="1016"/>
        <v>26526901.420084544</v>
      </c>
      <c r="AH623" s="727">
        <f t="shared" si="1016"/>
        <v>27121415.746279821</v>
      </c>
      <c r="AI623" s="18"/>
      <c r="AJ623" s="18"/>
      <c r="AK623" s="18"/>
      <c r="AL623" s="18"/>
      <c r="AM623" s="18"/>
      <c r="AN623" s="18"/>
    </row>
    <row r="624" spans="2:41" ht="21.9" customHeight="1" x14ac:dyDescent="0.25">
      <c r="B624" s="463"/>
      <c r="C624" s="690"/>
      <c r="D624" s="690"/>
      <c r="E624" s="1327"/>
      <c r="F624" s="114" t="s">
        <v>274</v>
      </c>
      <c r="G624" s="114" t="s">
        <v>317</v>
      </c>
      <c r="H624" s="114" t="s">
        <v>20</v>
      </c>
      <c r="I624" s="552">
        <f t="shared" ref="I624:AH624" si="1017">I560*$D$13</f>
        <v>41748.230124990594</v>
      </c>
      <c r="J624" s="552">
        <f t="shared" si="1017"/>
        <v>43494.025689406204</v>
      </c>
      <c r="K624" s="552">
        <f t="shared" si="1017"/>
        <v>45656.623730428073</v>
      </c>
      <c r="L624" s="552">
        <f t="shared" si="1017"/>
        <v>48573.396090677103</v>
      </c>
      <c r="M624" s="552">
        <f t="shared" si="1017"/>
        <v>51501.114722535516</v>
      </c>
      <c r="N624" s="552">
        <f t="shared" si="1017"/>
        <v>54445.144466341008</v>
      </c>
      <c r="O624" s="552">
        <f t="shared" si="1017"/>
        <v>57415.718972214054</v>
      </c>
      <c r="P624" s="552">
        <f t="shared" si="1017"/>
        <v>60431.937291137154</v>
      </c>
      <c r="Q624" s="552">
        <f t="shared" si="1017"/>
        <v>63418.709701872118</v>
      </c>
      <c r="R624" s="552">
        <f t="shared" si="1017"/>
        <v>66502.602539030544</v>
      </c>
      <c r="S624" s="552">
        <f t="shared" si="1017"/>
        <v>69727.496677152856</v>
      </c>
      <c r="T624" s="552">
        <f t="shared" si="1017"/>
        <v>73159.445429193394</v>
      </c>
      <c r="U624" s="552">
        <f t="shared" si="1017"/>
        <v>76891.434587717871</v>
      </c>
      <c r="V624" s="552">
        <f t="shared" si="1017"/>
        <v>79889.265167972277</v>
      </c>
      <c r="W624" s="552">
        <f t="shared" si="1017"/>
        <v>82637.738115137268</v>
      </c>
      <c r="X624" s="552">
        <f t="shared" si="1017"/>
        <v>85637.629678857353</v>
      </c>
      <c r="Y624" s="552">
        <f t="shared" si="1017"/>
        <v>88944.183134318067</v>
      </c>
      <c r="Z624" s="552">
        <f t="shared" si="1017"/>
        <v>92624.730327795434</v>
      </c>
      <c r="AA624" s="552">
        <f t="shared" si="1017"/>
        <v>96754.398945233668</v>
      </c>
      <c r="AB624" s="552">
        <f t="shared" si="1017"/>
        <v>101428.81766221909</v>
      </c>
      <c r="AC624" s="552">
        <f t="shared" si="1017"/>
        <v>106752.97509913925</v>
      </c>
      <c r="AD624" s="552">
        <f t="shared" si="1017"/>
        <v>112856.23892810664</v>
      </c>
      <c r="AE624" s="552">
        <f t="shared" si="1017"/>
        <v>119890.9985671051</v>
      </c>
      <c r="AF624" s="552">
        <f t="shared" si="1017"/>
        <v>128026.01642539207</v>
      </c>
      <c r="AG624" s="552">
        <f t="shared" si="1017"/>
        <v>137466.73375664215</v>
      </c>
      <c r="AH624" s="727">
        <f t="shared" si="1017"/>
        <v>148453.21413778822</v>
      </c>
      <c r="AI624" s="18"/>
      <c r="AJ624" s="18"/>
      <c r="AK624" s="18"/>
      <c r="AL624" s="18"/>
      <c r="AM624" s="18"/>
      <c r="AN624" s="18"/>
    </row>
    <row r="625" spans="2:40" ht="21.9" customHeight="1" x14ac:dyDescent="0.25">
      <c r="B625" s="463"/>
      <c r="C625" s="690"/>
      <c r="D625" s="690"/>
      <c r="E625" s="1327"/>
      <c r="F625" s="114"/>
      <c r="G625" s="114"/>
      <c r="H625" s="122" t="s">
        <v>19</v>
      </c>
      <c r="I625" s="552">
        <f t="shared" ref="I625:AH625" si="1018">I561*$D$14</f>
        <v>151489.40335923762</v>
      </c>
      <c r="J625" s="552">
        <f t="shared" si="1018"/>
        <v>157824.27139193559</v>
      </c>
      <c r="K625" s="552">
        <f t="shared" si="1018"/>
        <v>165671.56661761159</v>
      </c>
      <c r="L625" s="552">
        <f t="shared" si="1018"/>
        <v>176255.49085262584</v>
      </c>
      <c r="M625" s="552">
        <f t="shared" si="1018"/>
        <v>186879.1351943404</v>
      </c>
      <c r="N625" s="552">
        <f t="shared" si="1018"/>
        <v>197561.96673056815</v>
      </c>
      <c r="O625" s="552">
        <f t="shared" si="1018"/>
        <v>208341.11971936739</v>
      </c>
      <c r="P625" s="552">
        <f t="shared" si="1018"/>
        <v>219285.89778940455</v>
      </c>
      <c r="Q625" s="552">
        <f t="shared" si="1018"/>
        <v>230123.82718467311</v>
      </c>
      <c r="R625" s="552">
        <f t="shared" si="1018"/>
        <v>241314.17188973652</v>
      </c>
      <c r="S625" s="552">
        <f t="shared" si="1018"/>
        <v>253016.15991217995</v>
      </c>
      <c r="T625" s="552">
        <f t="shared" si="1018"/>
        <v>265469.4751125981</v>
      </c>
      <c r="U625" s="552">
        <f t="shared" si="1018"/>
        <v>279011.52969252603</v>
      </c>
      <c r="V625" s="552">
        <f t="shared" si="1018"/>
        <v>289889.58523201029</v>
      </c>
      <c r="W625" s="552">
        <f t="shared" si="1018"/>
        <v>299862.81105903268</v>
      </c>
      <c r="X625" s="552">
        <f t="shared" si="1018"/>
        <v>310748.34517077287</v>
      </c>
      <c r="Y625" s="552">
        <f t="shared" si="1018"/>
        <v>322746.64566503325</v>
      </c>
      <c r="Z625" s="552">
        <f t="shared" si="1018"/>
        <v>336102.03574279469</v>
      </c>
      <c r="AA625" s="552">
        <f t="shared" si="1018"/>
        <v>351087.12692041096</v>
      </c>
      <c r="AB625" s="552">
        <f t="shared" si="1018"/>
        <v>368048.92147714569</v>
      </c>
      <c r="AC625" s="552">
        <f t="shared" si="1018"/>
        <v>387368.38558604155</v>
      </c>
      <c r="AD625" s="552">
        <f t="shared" si="1018"/>
        <v>409514.94828405709</v>
      </c>
      <c r="AE625" s="552">
        <f t="shared" si="1018"/>
        <v>435041.57629432081</v>
      </c>
      <c r="AF625" s="552">
        <f t="shared" si="1018"/>
        <v>464560.64807243051</v>
      </c>
      <c r="AG625" s="552">
        <f t="shared" si="1018"/>
        <v>498817.63648876536</v>
      </c>
      <c r="AH625" s="727">
        <f t="shared" si="1018"/>
        <v>538683.64644834725</v>
      </c>
      <c r="AI625" s="18"/>
      <c r="AJ625" s="18"/>
      <c r="AK625" s="18"/>
      <c r="AL625" s="18"/>
      <c r="AM625" s="18"/>
      <c r="AN625" s="18"/>
    </row>
    <row r="626" spans="2:40" ht="21.9" customHeight="1" x14ac:dyDescent="0.25">
      <c r="B626" s="229"/>
      <c r="C626" s="690"/>
      <c r="D626" s="690"/>
      <c r="E626" s="1327"/>
      <c r="F626" s="114"/>
      <c r="G626" s="114"/>
      <c r="H626" s="696" t="s">
        <v>25</v>
      </c>
      <c r="I626" s="552">
        <f t="shared" ref="I626:AH626" si="1019">SUM(I624:I625)</f>
        <v>193237.63348422822</v>
      </c>
      <c r="J626" s="552">
        <f t="shared" si="1019"/>
        <v>201318.29708134179</v>
      </c>
      <c r="K626" s="552">
        <f t="shared" si="1019"/>
        <v>211328.19034803967</v>
      </c>
      <c r="L626" s="552">
        <f t="shared" si="1019"/>
        <v>224828.88694330293</v>
      </c>
      <c r="M626" s="552">
        <f t="shared" si="1019"/>
        <v>238380.24991687591</v>
      </c>
      <c r="N626" s="552">
        <f t="shared" si="1019"/>
        <v>252007.11119690916</v>
      </c>
      <c r="O626" s="552">
        <f t="shared" si="1019"/>
        <v>265756.83869158145</v>
      </c>
      <c r="P626" s="552">
        <f t="shared" si="1019"/>
        <v>279717.83508054173</v>
      </c>
      <c r="Q626" s="552">
        <f t="shared" si="1019"/>
        <v>293542.53688654525</v>
      </c>
      <c r="R626" s="552">
        <f t="shared" si="1019"/>
        <v>307816.77442876704</v>
      </c>
      <c r="S626" s="552">
        <f t="shared" si="1019"/>
        <v>322743.65658933279</v>
      </c>
      <c r="T626" s="552">
        <f t="shared" si="1019"/>
        <v>338628.92054179148</v>
      </c>
      <c r="U626" s="552">
        <f t="shared" si="1019"/>
        <v>355902.9642802439</v>
      </c>
      <c r="V626" s="552">
        <f t="shared" si="1019"/>
        <v>369778.85039998253</v>
      </c>
      <c r="W626" s="552">
        <f t="shared" si="1019"/>
        <v>382500.54917416995</v>
      </c>
      <c r="X626" s="552">
        <f t="shared" si="1019"/>
        <v>396385.97484963021</v>
      </c>
      <c r="Y626" s="552">
        <f t="shared" si="1019"/>
        <v>411690.82879935135</v>
      </c>
      <c r="Z626" s="552">
        <f t="shared" si="1019"/>
        <v>428726.76607059012</v>
      </c>
      <c r="AA626" s="552">
        <f t="shared" si="1019"/>
        <v>447841.52586564462</v>
      </c>
      <c r="AB626" s="552">
        <f t="shared" si="1019"/>
        <v>469477.7391393648</v>
      </c>
      <c r="AC626" s="552">
        <f t="shared" si="1019"/>
        <v>494121.36068518081</v>
      </c>
      <c r="AD626" s="552">
        <f t="shared" si="1019"/>
        <v>522371.1872121637</v>
      </c>
      <c r="AE626" s="552">
        <f t="shared" si="1019"/>
        <v>554932.57486142591</v>
      </c>
      <c r="AF626" s="552">
        <f t="shared" si="1019"/>
        <v>592586.66449782252</v>
      </c>
      <c r="AG626" s="552">
        <f t="shared" si="1019"/>
        <v>636284.37024540757</v>
      </c>
      <c r="AH626" s="727">
        <f t="shared" si="1019"/>
        <v>687136.86058613542</v>
      </c>
      <c r="AI626" s="18"/>
      <c r="AJ626" s="18"/>
      <c r="AK626" s="18"/>
      <c r="AL626" s="18"/>
      <c r="AM626" s="18"/>
      <c r="AN626" s="18"/>
    </row>
    <row r="627" spans="2:40" ht="21.9" customHeight="1" x14ac:dyDescent="0.25">
      <c r="B627" s="229"/>
      <c r="C627" s="690"/>
      <c r="D627" s="690"/>
      <c r="E627" s="1325" t="s">
        <v>274</v>
      </c>
      <c r="F627" s="217" t="s">
        <v>275</v>
      </c>
      <c r="G627" s="217" t="s">
        <v>318</v>
      </c>
      <c r="H627" s="114" t="s">
        <v>20</v>
      </c>
      <c r="I627" s="552">
        <f t="shared" ref="I627:AH627" si="1020">I563*$D$13</f>
        <v>430514.03408952302</v>
      </c>
      <c r="J627" s="552">
        <f t="shared" si="1020"/>
        <v>474062.68121243012</v>
      </c>
      <c r="K627" s="552">
        <f t="shared" si="1020"/>
        <v>571425.58264177153</v>
      </c>
      <c r="L627" s="552">
        <f t="shared" si="1020"/>
        <v>766986.58404073492</v>
      </c>
      <c r="M627" s="552">
        <f t="shared" si="1020"/>
        <v>962668.14441703632</v>
      </c>
      <c r="N627" s="552">
        <f t="shared" si="1020"/>
        <v>1158328.281977315</v>
      </c>
      <c r="O627" s="552">
        <f t="shared" si="1020"/>
        <v>1353889.9083138029</v>
      </c>
      <c r="P627" s="552">
        <f t="shared" si="1020"/>
        <v>1549694.6067120773</v>
      </c>
      <c r="Q627" s="552">
        <f t="shared" si="1020"/>
        <v>1741833.2399279559</v>
      </c>
      <c r="R627" s="552">
        <f t="shared" si="1020"/>
        <v>1934086.3066747419</v>
      </c>
      <c r="S627" s="552">
        <f t="shared" si="1020"/>
        <v>2126286.9204351781</v>
      </c>
      <c r="T627" s="552">
        <f t="shared" si="1020"/>
        <v>2318590.6813963507</v>
      </c>
      <c r="U627" s="552">
        <f t="shared" si="1020"/>
        <v>2511359.2464335826</v>
      </c>
      <c r="V627" s="552">
        <f t="shared" si="1020"/>
        <v>2605508.9489163067</v>
      </c>
      <c r="W627" s="552">
        <f t="shared" si="1020"/>
        <v>2649261.6194605725</v>
      </c>
      <c r="X627" s="552">
        <f t="shared" si="1020"/>
        <v>2693050.7497256906</v>
      </c>
      <c r="Y627" s="552">
        <f t="shared" si="1020"/>
        <v>2736882.1056096698</v>
      </c>
      <c r="Z627" s="552">
        <f t="shared" si="1020"/>
        <v>2780829.525488778</v>
      </c>
      <c r="AA627" s="552">
        <f t="shared" si="1020"/>
        <v>2824765.9945770432</v>
      </c>
      <c r="AB627" s="552">
        <f t="shared" si="1020"/>
        <v>2868834.6355066444</v>
      </c>
      <c r="AC627" s="552">
        <f t="shared" si="1020"/>
        <v>2912910.1711159954</v>
      </c>
      <c r="AD627" s="552">
        <f t="shared" si="1020"/>
        <v>2957070.7653769143</v>
      </c>
      <c r="AE627" s="552">
        <f t="shared" si="1020"/>
        <v>3001396.481112774</v>
      </c>
      <c r="AF627" s="552">
        <f t="shared" si="1020"/>
        <v>3045765.3919767649</v>
      </c>
      <c r="AG627" s="552">
        <f t="shared" si="1020"/>
        <v>3090260.6140753464</v>
      </c>
      <c r="AH627" s="727">
        <f t="shared" si="1020"/>
        <v>3134967.9111656663</v>
      </c>
      <c r="AI627" s="18"/>
      <c r="AJ627" s="18"/>
      <c r="AK627" s="18"/>
      <c r="AL627" s="18"/>
      <c r="AM627" s="18"/>
      <c r="AN627" s="18"/>
    </row>
    <row r="628" spans="2:40" ht="21.9" customHeight="1" x14ac:dyDescent="0.25">
      <c r="B628" s="229"/>
      <c r="C628" s="690"/>
      <c r="D628" s="690"/>
      <c r="E628" s="1325"/>
      <c r="F628" s="114"/>
      <c r="G628" s="114"/>
      <c r="H628" s="122" t="s">
        <v>19</v>
      </c>
      <c r="I628" s="552">
        <f t="shared" ref="I628:AH628" si="1021">I564*$D$14</f>
        <v>1762461.2174018114</v>
      </c>
      <c r="J628" s="552">
        <f t="shared" si="1021"/>
        <v>1940742.9818668468</v>
      </c>
      <c r="K628" s="552">
        <f t="shared" si="1021"/>
        <v>2339332.3986923313</v>
      </c>
      <c r="L628" s="552">
        <f t="shared" si="1021"/>
        <v>3139930.4124849834</v>
      </c>
      <c r="M628" s="552">
        <f t="shared" si="1021"/>
        <v>3941021.9770219619</v>
      </c>
      <c r="N628" s="552">
        <f t="shared" si="1021"/>
        <v>4742025.8396969391</v>
      </c>
      <c r="O628" s="552">
        <f t="shared" si="1021"/>
        <v>5542626.4118920192</v>
      </c>
      <c r="P628" s="552">
        <f t="shared" si="1021"/>
        <v>6344222.0854032254</v>
      </c>
      <c r="Q628" s="552">
        <f t="shared" si="1021"/>
        <v>7130809.4265656266</v>
      </c>
      <c r="R628" s="552">
        <f t="shared" si="1021"/>
        <v>7917865.2417944344</v>
      </c>
      <c r="S628" s="552">
        <f t="shared" si="1021"/>
        <v>8704706.3222019393</v>
      </c>
      <c r="T628" s="552">
        <f t="shared" si="1021"/>
        <v>9491969.6720979754</v>
      </c>
      <c r="U628" s="552">
        <f t="shared" si="1021"/>
        <v>10281135.861606382</v>
      </c>
      <c r="V628" s="552">
        <f t="shared" si="1021"/>
        <v>10666570.913930867</v>
      </c>
      <c r="W628" s="552">
        <f t="shared" si="1021"/>
        <v>10845687.920313964</v>
      </c>
      <c r="X628" s="552">
        <f t="shared" si="1021"/>
        <v>11024954.187438669</v>
      </c>
      <c r="Y628" s="552">
        <f t="shared" si="1021"/>
        <v>11204393.320044475</v>
      </c>
      <c r="Z628" s="552">
        <f t="shared" si="1021"/>
        <v>11384307.60159771</v>
      </c>
      <c r="AA628" s="552">
        <f t="shared" si="1021"/>
        <v>11564177.052221796</v>
      </c>
      <c r="AB628" s="552">
        <f t="shared" si="1021"/>
        <v>11744587.594949599</v>
      </c>
      <c r="AC628" s="552">
        <f t="shared" si="1021"/>
        <v>11925026.363483543</v>
      </c>
      <c r="AD628" s="552">
        <f t="shared" si="1021"/>
        <v>12105813.34964275</v>
      </c>
      <c r="AE628" s="552">
        <f t="shared" si="1021"/>
        <v>12287276.318865689</v>
      </c>
      <c r="AF628" s="552">
        <f t="shared" si="1021"/>
        <v>12468916.122598268</v>
      </c>
      <c r="AG628" s="552">
        <f t="shared" si="1021"/>
        <v>12651073.025971416</v>
      </c>
      <c r="AH628" s="727">
        <f t="shared" si="1021"/>
        <v>12834098.13320907</v>
      </c>
      <c r="AI628" s="18"/>
      <c r="AJ628" s="18"/>
      <c r="AK628" s="18"/>
      <c r="AL628" s="18"/>
      <c r="AM628" s="18"/>
      <c r="AN628" s="18"/>
    </row>
    <row r="629" spans="2:40" ht="21.9" customHeight="1" x14ac:dyDescent="0.25">
      <c r="B629" s="229"/>
      <c r="C629" s="690"/>
      <c r="D629" s="690"/>
      <c r="E629" s="1325"/>
      <c r="F629" s="114"/>
      <c r="G629" s="114"/>
      <c r="H629" s="695" t="s">
        <v>25</v>
      </c>
      <c r="I629" s="552">
        <f t="shared" ref="I629:AH629" si="1022">SUM(I627:I628)</f>
        <v>2192975.2514913343</v>
      </c>
      <c r="J629" s="552">
        <f t="shared" si="1022"/>
        <v>2414805.6630792767</v>
      </c>
      <c r="K629" s="552">
        <f t="shared" si="1022"/>
        <v>2910757.9813341028</v>
      </c>
      <c r="L629" s="552">
        <f t="shared" si="1022"/>
        <v>3906916.9965257184</v>
      </c>
      <c r="M629" s="552">
        <f t="shared" si="1022"/>
        <v>4903690.1214389987</v>
      </c>
      <c r="N629" s="552">
        <f t="shared" si="1022"/>
        <v>5900354.1216742545</v>
      </c>
      <c r="O629" s="552">
        <f t="shared" si="1022"/>
        <v>6896516.3202058226</v>
      </c>
      <c r="P629" s="552">
        <f t="shared" si="1022"/>
        <v>7893916.6921153031</v>
      </c>
      <c r="Q629" s="552">
        <f t="shared" si="1022"/>
        <v>8872642.6664935835</v>
      </c>
      <c r="R629" s="552">
        <f t="shared" si="1022"/>
        <v>9851951.5484691765</v>
      </c>
      <c r="S629" s="552">
        <f t="shared" si="1022"/>
        <v>10830993.242637116</v>
      </c>
      <c r="T629" s="552">
        <f t="shared" si="1022"/>
        <v>11810560.353494326</v>
      </c>
      <c r="U629" s="552">
        <f t="shared" si="1022"/>
        <v>12792495.108039964</v>
      </c>
      <c r="V629" s="552">
        <f t="shared" si="1022"/>
        <v>13272079.862847174</v>
      </c>
      <c r="W629" s="552">
        <f t="shared" si="1022"/>
        <v>13494949.539774537</v>
      </c>
      <c r="X629" s="552">
        <f t="shared" si="1022"/>
        <v>13718004.937164359</v>
      </c>
      <c r="Y629" s="552">
        <f t="shared" si="1022"/>
        <v>13941275.425654145</v>
      </c>
      <c r="Z629" s="552">
        <f t="shared" si="1022"/>
        <v>14165137.127086487</v>
      </c>
      <c r="AA629" s="552">
        <f t="shared" si="1022"/>
        <v>14388943.046798838</v>
      </c>
      <c r="AB629" s="552">
        <f t="shared" si="1022"/>
        <v>14613422.230456244</v>
      </c>
      <c r="AC629" s="552">
        <f t="shared" si="1022"/>
        <v>14837936.534599539</v>
      </c>
      <c r="AD629" s="552">
        <f t="shared" si="1022"/>
        <v>15062884.115019664</v>
      </c>
      <c r="AE629" s="552">
        <f t="shared" si="1022"/>
        <v>15288672.799978463</v>
      </c>
      <c r="AF629" s="552">
        <f t="shared" si="1022"/>
        <v>15514681.514575033</v>
      </c>
      <c r="AG629" s="552">
        <f t="shared" si="1022"/>
        <v>15741333.640046762</v>
      </c>
      <c r="AH629" s="727">
        <f t="shared" si="1022"/>
        <v>15969066.044374736</v>
      </c>
      <c r="AI629" s="18"/>
      <c r="AJ629" s="18"/>
      <c r="AK629" s="18"/>
      <c r="AL629" s="18"/>
      <c r="AM629" s="18"/>
      <c r="AN629" s="18"/>
    </row>
    <row r="630" spans="2:40" ht="21.9" customHeight="1" x14ac:dyDescent="0.25">
      <c r="B630" s="229"/>
      <c r="C630" s="690"/>
      <c r="D630" s="690"/>
      <c r="E630" s="1325"/>
      <c r="F630" s="114" t="s">
        <v>318</v>
      </c>
      <c r="G630" s="114" t="s">
        <v>308</v>
      </c>
      <c r="H630" s="114" t="s">
        <v>20</v>
      </c>
      <c r="I630" s="552">
        <f t="shared" ref="I630:AH630" si="1023">I566*$D$13</f>
        <v>57925.75442662726</v>
      </c>
      <c r="J630" s="552">
        <f t="shared" si="1023"/>
        <v>63425.375806103897</v>
      </c>
      <c r="K630" s="552">
        <f t="shared" si="1023"/>
        <v>71227.237663177657</v>
      </c>
      <c r="L630" s="552">
        <f t="shared" si="1023"/>
        <v>83940.679281986872</v>
      </c>
      <c r="M630" s="552">
        <f t="shared" si="1023"/>
        <v>96663.647704096118</v>
      </c>
      <c r="N630" s="552">
        <f t="shared" si="1023"/>
        <v>109407.35740940232</v>
      </c>
      <c r="O630" s="552">
        <f t="shared" si="1023"/>
        <v>122204.08808152517</v>
      </c>
      <c r="P630" s="552">
        <f t="shared" si="1023"/>
        <v>135168.87278066439</v>
      </c>
      <c r="Q630" s="552">
        <f t="shared" si="1023"/>
        <v>150393.19467473231</v>
      </c>
      <c r="R630" s="552">
        <f t="shared" si="1023"/>
        <v>166835.95160669216</v>
      </c>
      <c r="S630" s="552">
        <f t="shared" si="1023"/>
        <v>186029.70057353491</v>
      </c>
      <c r="T630" s="552">
        <f t="shared" si="1023"/>
        <v>211096.5568420476</v>
      </c>
      <c r="U630" s="552">
        <f t="shared" si="1023"/>
        <v>247997.91223565149</v>
      </c>
      <c r="V630" s="552">
        <f t="shared" si="1023"/>
        <v>283740.75594163669</v>
      </c>
      <c r="W630" s="552">
        <f t="shared" si="1023"/>
        <v>310488.88841019111</v>
      </c>
      <c r="X630" s="552">
        <f t="shared" si="1023"/>
        <v>343198.978709021</v>
      </c>
      <c r="Y630" s="552">
        <f t="shared" si="1023"/>
        <v>383336.77129818028</v>
      </c>
      <c r="Z630" s="552">
        <f t="shared" si="1023"/>
        <v>432742.16247010406</v>
      </c>
      <c r="AA630" s="552">
        <f t="shared" si="1023"/>
        <v>493450.94942100043</v>
      </c>
      <c r="AB630" s="552">
        <f t="shared" si="1023"/>
        <v>568188.55054113292</v>
      </c>
      <c r="AC630" s="552">
        <f t="shared" si="1023"/>
        <v>586037.00431713671</v>
      </c>
      <c r="AD630" s="552">
        <f t="shared" si="1023"/>
        <v>598663.13407523802</v>
      </c>
      <c r="AE630" s="552">
        <f t="shared" si="1023"/>
        <v>611303.98836852016</v>
      </c>
      <c r="AF630" s="552">
        <f t="shared" si="1023"/>
        <v>623930.82534233201</v>
      </c>
      <c r="AG630" s="552">
        <f t="shared" si="1023"/>
        <v>636558.12609116558</v>
      </c>
      <c r="AH630" s="727">
        <f t="shared" si="1023"/>
        <v>649200.39222488704</v>
      </c>
      <c r="AI630" s="18"/>
      <c r="AJ630" s="18"/>
      <c r="AK630" s="18"/>
      <c r="AL630" s="18"/>
      <c r="AM630" s="18"/>
      <c r="AN630" s="18"/>
    </row>
    <row r="631" spans="2:40" ht="21.9" customHeight="1" x14ac:dyDescent="0.25">
      <c r="B631" s="229"/>
      <c r="C631" s="690"/>
      <c r="D631" s="690"/>
      <c r="E631" s="1325"/>
      <c r="F631" s="114"/>
      <c r="G631" s="114"/>
      <c r="H631" s="122" t="s">
        <v>19</v>
      </c>
      <c r="I631" s="552">
        <f t="shared" ref="I631:AH631" si="1024">I567*$D$14</f>
        <v>237139.52991470281</v>
      </c>
      <c r="J631" s="552">
        <f t="shared" si="1024"/>
        <v>259654.17200348046</v>
      </c>
      <c r="K631" s="552">
        <f t="shared" si="1024"/>
        <v>291593.84843168175</v>
      </c>
      <c r="L631" s="552">
        <f t="shared" si="1024"/>
        <v>343640.81094299885</v>
      </c>
      <c r="M631" s="552">
        <f t="shared" si="1024"/>
        <v>395726.77478763531</v>
      </c>
      <c r="N631" s="552">
        <f t="shared" si="1024"/>
        <v>447897.6503989952</v>
      </c>
      <c r="O631" s="552">
        <f t="shared" si="1024"/>
        <v>500285.58606025821</v>
      </c>
      <c r="P631" s="552">
        <f t="shared" si="1024"/>
        <v>553361.5102226882</v>
      </c>
      <c r="Q631" s="552">
        <f t="shared" si="1024"/>
        <v>615687.64775797783</v>
      </c>
      <c r="R631" s="552">
        <f t="shared" si="1024"/>
        <v>683001.87936260388</v>
      </c>
      <c r="S631" s="552">
        <f t="shared" si="1024"/>
        <v>761578.26826511289</v>
      </c>
      <c r="T631" s="552">
        <f t="shared" si="1024"/>
        <v>864198.2957605517</v>
      </c>
      <c r="U631" s="552">
        <f t="shared" si="1024"/>
        <v>1015267.0243057956</v>
      </c>
      <c r="V631" s="552">
        <f t="shared" si="1024"/>
        <v>1161592.9761755872</v>
      </c>
      <c r="W631" s="552">
        <f t="shared" si="1024"/>
        <v>1271095.9014715145</v>
      </c>
      <c r="X631" s="552">
        <f t="shared" si="1024"/>
        <v>1405006.2063732375</v>
      </c>
      <c r="Y631" s="552">
        <f t="shared" si="1024"/>
        <v>1569324.4333971697</v>
      </c>
      <c r="Z631" s="552">
        <f t="shared" si="1024"/>
        <v>1771582.8477023691</v>
      </c>
      <c r="AA631" s="552">
        <f t="shared" si="1024"/>
        <v>2020115.7039720779</v>
      </c>
      <c r="AB631" s="552">
        <f t="shared" si="1024"/>
        <v>2326080.4647596176</v>
      </c>
      <c r="AC631" s="552">
        <f t="shared" si="1024"/>
        <v>2399149.4127610996</v>
      </c>
      <c r="AD631" s="552">
        <f t="shared" si="1024"/>
        <v>2450838.9333399087</v>
      </c>
      <c r="AE631" s="552">
        <f t="shared" si="1024"/>
        <v>2502588.7340028626</v>
      </c>
      <c r="AF631" s="552">
        <f t="shared" si="1024"/>
        <v>2554281.1498189075</v>
      </c>
      <c r="AG631" s="552">
        <f t="shared" si="1024"/>
        <v>2605975.4642617679</v>
      </c>
      <c r="AH631" s="727">
        <f t="shared" si="1024"/>
        <v>2657731.0447920947</v>
      </c>
      <c r="AI631" s="18"/>
      <c r="AJ631" s="18"/>
      <c r="AK631" s="18"/>
      <c r="AL631" s="18"/>
      <c r="AM631" s="18"/>
      <c r="AN631" s="18"/>
    </row>
    <row r="632" spans="2:40" ht="21.9" customHeight="1" x14ac:dyDescent="0.25">
      <c r="B632" s="229"/>
      <c r="C632" s="690"/>
      <c r="D632" s="690"/>
      <c r="E632" s="1325"/>
      <c r="F632" s="114"/>
      <c r="G632" s="114"/>
      <c r="H632" s="695" t="s">
        <v>25</v>
      </c>
      <c r="I632" s="552">
        <f t="shared" ref="I632:AH632" si="1025">SUM(I630:I631)</f>
        <v>295065.28434133006</v>
      </c>
      <c r="J632" s="552">
        <f t="shared" si="1025"/>
        <v>323079.54780958436</v>
      </c>
      <c r="K632" s="552">
        <f t="shared" si="1025"/>
        <v>362821.08609485941</v>
      </c>
      <c r="L632" s="552">
        <f t="shared" si="1025"/>
        <v>427581.49022498576</v>
      </c>
      <c r="M632" s="552">
        <f t="shared" si="1025"/>
        <v>492390.42249173141</v>
      </c>
      <c r="N632" s="552">
        <f t="shared" si="1025"/>
        <v>557305.00780839752</v>
      </c>
      <c r="O632" s="552">
        <f t="shared" si="1025"/>
        <v>622489.67414178338</v>
      </c>
      <c r="P632" s="552">
        <f t="shared" si="1025"/>
        <v>688530.38300335256</v>
      </c>
      <c r="Q632" s="552">
        <f t="shared" si="1025"/>
        <v>766080.84243271011</v>
      </c>
      <c r="R632" s="552">
        <f t="shared" si="1025"/>
        <v>849837.83096929605</v>
      </c>
      <c r="S632" s="552">
        <f t="shared" si="1025"/>
        <v>947607.96883864782</v>
      </c>
      <c r="T632" s="552">
        <f t="shared" si="1025"/>
        <v>1075294.8526025992</v>
      </c>
      <c r="U632" s="552">
        <f t="shared" si="1025"/>
        <v>1263264.936541447</v>
      </c>
      <c r="V632" s="552">
        <f t="shared" si="1025"/>
        <v>1445333.7321172238</v>
      </c>
      <c r="W632" s="552">
        <f t="shared" si="1025"/>
        <v>1581584.7898817055</v>
      </c>
      <c r="X632" s="552">
        <f t="shared" si="1025"/>
        <v>1748205.1850822587</v>
      </c>
      <c r="Y632" s="552">
        <f t="shared" si="1025"/>
        <v>1952661.20469535</v>
      </c>
      <c r="Z632" s="552">
        <f t="shared" si="1025"/>
        <v>2204325.0101724733</v>
      </c>
      <c r="AA632" s="552">
        <f t="shared" si="1025"/>
        <v>2513566.6533930786</v>
      </c>
      <c r="AB632" s="552">
        <f t="shared" si="1025"/>
        <v>2894269.0153007507</v>
      </c>
      <c r="AC632" s="552">
        <f t="shared" si="1025"/>
        <v>2985186.4170782361</v>
      </c>
      <c r="AD632" s="552">
        <f t="shared" si="1025"/>
        <v>3049502.0674151466</v>
      </c>
      <c r="AE632" s="552">
        <f t="shared" si="1025"/>
        <v>3113892.7223713826</v>
      </c>
      <c r="AF632" s="552">
        <f t="shared" si="1025"/>
        <v>3178211.9751612395</v>
      </c>
      <c r="AG632" s="552">
        <f t="shared" si="1025"/>
        <v>3242533.5903529334</v>
      </c>
      <c r="AH632" s="727">
        <f t="shared" si="1025"/>
        <v>3306931.4370169817</v>
      </c>
      <c r="AI632" s="18"/>
      <c r="AJ632" s="18"/>
      <c r="AK632" s="18"/>
      <c r="AL632" s="18"/>
      <c r="AM632" s="18"/>
      <c r="AN632" s="18"/>
    </row>
    <row r="633" spans="2:40" ht="21.9" customHeight="1" x14ac:dyDescent="0.25">
      <c r="B633" s="229"/>
      <c r="C633" s="690"/>
      <c r="D633" s="690"/>
      <c r="E633" s="1325"/>
      <c r="F633" s="114" t="s">
        <v>308</v>
      </c>
      <c r="G633" s="114" t="s">
        <v>319</v>
      </c>
      <c r="H633" s="114" t="s">
        <v>20</v>
      </c>
      <c r="I633" s="552">
        <f t="shared" ref="I633:AH633" si="1026">I569*$D$13</f>
        <v>821962.4809162349</v>
      </c>
      <c r="J633" s="552">
        <f t="shared" si="1026"/>
        <v>846441.9390035735</v>
      </c>
      <c r="K633" s="552">
        <f t="shared" si="1026"/>
        <v>882217.17920727306</v>
      </c>
      <c r="L633" s="552">
        <f t="shared" si="1026"/>
        <v>934955.2311495312</v>
      </c>
      <c r="M633" s="552">
        <f t="shared" si="1026"/>
        <v>992198.86927661102</v>
      </c>
      <c r="N633" s="552">
        <f t="shared" si="1026"/>
        <v>1056374.8187001108</v>
      </c>
      <c r="O633" s="552">
        <f t="shared" si="1026"/>
        <v>1131043.5069117805</v>
      </c>
      <c r="P633" s="552">
        <f t="shared" si="1026"/>
        <v>1221441.654609198</v>
      </c>
      <c r="Q633" s="552">
        <f t="shared" si="1026"/>
        <v>1336005.3371917533</v>
      </c>
      <c r="R633" s="552">
        <f t="shared" si="1026"/>
        <v>1484460.0729497685</v>
      </c>
      <c r="S633" s="552">
        <f t="shared" si="1026"/>
        <v>1681111.6633741772</v>
      </c>
      <c r="T633" s="552">
        <f t="shared" si="1026"/>
        <v>1945659.7010615407</v>
      </c>
      <c r="U633" s="552">
        <f t="shared" si="1026"/>
        <v>2304851.2359831408</v>
      </c>
      <c r="V633" s="552">
        <f t="shared" si="1026"/>
        <v>2638440.3524214812</v>
      </c>
      <c r="W633" s="552">
        <f t="shared" si="1026"/>
        <v>2916407.7015114082</v>
      </c>
      <c r="X633" s="552">
        <f t="shared" si="1026"/>
        <v>3126108.5413940973</v>
      </c>
      <c r="Y633" s="552">
        <f t="shared" si="1026"/>
        <v>3176788.0072870613</v>
      </c>
      <c r="Z633" s="552">
        <f t="shared" si="1026"/>
        <v>3227492.4124556477</v>
      </c>
      <c r="AA633" s="552">
        <f t="shared" si="1026"/>
        <v>3278173.6294561429</v>
      </c>
      <c r="AB633" s="552">
        <f t="shared" si="1026"/>
        <v>3328880.0525719514</v>
      </c>
      <c r="AC633" s="552">
        <f t="shared" si="1026"/>
        <v>3379563.5940712029</v>
      </c>
      <c r="AD633" s="552">
        <f t="shared" si="1026"/>
        <v>3430248.5584280989</v>
      </c>
      <c r="AE633" s="552">
        <f t="shared" si="1026"/>
        <v>3480959.2850571508</v>
      </c>
      <c r="AF633" s="552">
        <f t="shared" si="1026"/>
        <v>3531647.7570553171</v>
      </c>
      <c r="AG633" s="552">
        <f t="shared" si="1026"/>
        <v>3582338.3542341283</v>
      </c>
      <c r="AH633" s="727">
        <f t="shared" si="1026"/>
        <v>3633055.5064018453</v>
      </c>
      <c r="AI633" s="18"/>
      <c r="AJ633" s="18"/>
      <c r="AK633" s="18"/>
      <c r="AL633" s="18"/>
      <c r="AM633" s="18"/>
      <c r="AN633" s="18"/>
    </row>
    <row r="634" spans="2:40" ht="21.9" customHeight="1" x14ac:dyDescent="0.25">
      <c r="B634" s="229"/>
      <c r="C634" s="690"/>
      <c r="D634" s="690"/>
      <c r="E634" s="1325"/>
      <c r="F634" s="114"/>
      <c r="G634" s="114"/>
      <c r="H634" s="114" t="s">
        <v>19</v>
      </c>
      <c r="I634" s="552">
        <f t="shared" ref="I634:AH634" si="1027">I570*$D$14</f>
        <v>3364993.6588896331</v>
      </c>
      <c r="J634" s="552">
        <f t="shared" si="1027"/>
        <v>3465208.964514202</v>
      </c>
      <c r="K634" s="552">
        <f t="shared" si="1027"/>
        <v>3611667.5428869175</v>
      </c>
      <c r="L634" s="552">
        <f t="shared" si="1027"/>
        <v>3827569.3808516795</v>
      </c>
      <c r="M634" s="552">
        <f t="shared" si="1027"/>
        <v>4061916.4268320259</v>
      </c>
      <c r="N634" s="552">
        <f t="shared" si="1027"/>
        <v>4324643.3369734464</v>
      </c>
      <c r="O634" s="552">
        <f t="shared" si="1027"/>
        <v>4630325.978436349</v>
      </c>
      <c r="P634" s="552">
        <f t="shared" si="1027"/>
        <v>5000402.7165352721</v>
      </c>
      <c r="Q634" s="552">
        <f t="shared" si="1027"/>
        <v>5469409.6047810996</v>
      </c>
      <c r="R634" s="552">
        <f t="shared" si="1027"/>
        <v>6077161.4864740605</v>
      </c>
      <c r="S634" s="552">
        <f t="shared" si="1027"/>
        <v>6882224.2115403805</v>
      </c>
      <c r="T634" s="552">
        <f t="shared" si="1027"/>
        <v>7965245.0183993168</v>
      </c>
      <c r="U634" s="552">
        <f t="shared" si="1027"/>
        <v>9435722.4007619713</v>
      </c>
      <c r="V634" s="552">
        <f t="shared" si="1027"/>
        <v>10801387.242590692</v>
      </c>
      <c r="W634" s="552">
        <f t="shared" si="1027"/>
        <v>11939344.739170497</v>
      </c>
      <c r="X634" s="552">
        <f t="shared" si="1027"/>
        <v>12797829.174716149</v>
      </c>
      <c r="Y634" s="552">
        <f t="shared" si="1027"/>
        <v>13005303.463780588</v>
      </c>
      <c r="Z634" s="552">
        <f t="shared" si="1027"/>
        <v>13212879.850576095</v>
      </c>
      <c r="AA634" s="552">
        <f t="shared" si="1027"/>
        <v>13420361.308417547</v>
      </c>
      <c r="AB634" s="552">
        <f t="shared" si="1027"/>
        <v>13627945.956392568</v>
      </c>
      <c r="AC634" s="552">
        <f t="shared" si="1027"/>
        <v>13835436.930390479</v>
      </c>
      <c r="AD634" s="552">
        <f t="shared" si="1027"/>
        <v>14042933.729358586</v>
      </c>
      <c r="AE634" s="552">
        <f t="shared" si="1027"/>
        <v>14250535.995284682</v>
      </c>
      <c r="AF634" s="552">
        <f t="shared" si="1027"/>
        <v>14458047.154020911</v>
      </c>
      <c r="AG634" s="552">
        <f t="shared" si="1027"/>
        <v>14665567.012934534</v>
      </c>
      <c r="AH634" s="727">
        <f t="shared" si="1027"/>
        <v>14873195.584072078</v>
      </c>
      <c r="AI634" s="18"/>
      <c r="AJ634" s="18"/>
      <c r="AK634" s="18"/>
      <c r="AL634" s="18"/>
      <c r="AM634" s="18"/>
      <c r="AN634" s="18"/>
    </row>
    <row r="635" spans="2:40" ht="21.9" customHeight="1" x14ac:dyDescent="0.25">
      <c r="B635" s="229"/>
      <c r="C635" s="690"/>
      <c r="D635" s="690"/>
      <c r="E635" s="1321"/>
      <c r="F635" s="250"/>
      <c r="G635" s="250"/>
      <c r="H635" s="696" t="s">
        <v>25</v>
      </c>
      <c r="I635" s="562">
        <f t="shared" ref="I635:AH635" si="1028">SUM(I633:I634)</f>
        <v>4186956.1398058683</v>
      </c>
      <c r="J635" s="562">
        <f t="shared" si="1028"/>
        <v>4311650.9035177752</v>
      </c>
      <c r="K635" s="562">
        <f t="shared" si="1028"/>
        <v>4493884.7220941903</v>
      </c>
      <c r="L635" s="562">
        <f t="shared" si="1028"/>
        <v>4762524.6120012105</v>
      </c>
      <c r="M635" s="562">
        <f t="shared" si="1028"/>
        <v>5054115.296108637</v>
      </c>
      <c r="N635" s="562">
        <f t="shared" si="1028"/>
        <v>5381018.155673557</v>
      </c>
      <c r="O635" s="562">
        <f t="shared" si="1028"/>
        <v>5761369.4853481296</v>
      </c>
      <c r="P635" s="562">
        <f t="shared" si="1028"/>
        <v>6221844.3711444698</v>
      </c>
      <c r="Q635" s="562">
        <f t="shared" si="1028"/>
        <v>6805414.9419728527</v>
      </c>
      <c r="R635" s="562">
        <f t="shared" si="1028"/>
        <v>7561621.5594238285</v>
      </c>
      <c r="S635" s="562">
        <f t="shared" si="1028"/>
        <v>8563335.8749145567</v>
      </c>
      <c r="T635" s="562">
        <f t="shared" si="1028"/>
        <v>9910904.719460858</v>
      </c>
      <c r="U635" s="562">
        <f t="shared" si="1028"/>
        <v>11740573.636745112</v>
      </c>
      <c r="V635" s="562">
        <f t="shared" si="1028"/>
        <v>13439827.595012173</v>
      </c>
      <c r="W635" s="562">
        <f t="shared" si="1028"/>
        <v>14855752.440681905</v>
      </c>
      <c r="X635" s="562">
        <f t="shared" si="1028"/>
        <v>15923937.716110246</v>
      </c>
      <c r="Y635" s="562">
        <f t="shared" si="1028"/>
        <v>16182091.471067648</v>
      </c>
      <c r="Z635" s="562">
        <f t="shared" si="1028"/>
        <v>16440372.263031743</v>
      </c>
      <c r="AA635" s="562">
        <f t="shared" si="1028"/>
        <v>16698534.937873691</v>
      </c>
      <c r="AB635" s="562">
        <f t="shared" si="1028"/>
        <v>16956826.00896452</v>
      </c>
      <c r="AC635" s="562">
        <f t="shared" si="1028"/>
        <v>17215000.524461683</v>
      </c>
      <c r="AD635" s="562">
        <f t="shared" si="1028"/>
        <v>17473182.287786685</v>
      </c>
      <c r="AE635" s="562">
        <f t="shared" si="1028"/>
        <v>17731495.280341834</v>
      </c>
      <c r="AF635" s="562">
        <f t="shared" si="1028"/>
        <v>17989694.911076229</v>
      </c>
      <c r="AG635" s="562">
        <f t="shared" si="1028"/>
        <v>18247905.367168661</v>
      </c>
      <c r="AH635" s="729">
        <f t="shared" si="1028"/>
        <v>18506251.090473924</v>
      </c>
      <c r="AI635" s="18"/>
      <c r="AJ635" s="18"/>
      <c r="AK635" s="18"/>
      <c r="AL635" s="18"/>
      <c r="AM635" s="18"/>
      <c r="AN635" s="18"/>
    </row>
    <row r="636" spans="2:40" ht="21.9" customHeight="1" x14ac:dyDescent="0.25">
      <c r="B636" s="229"/>
      <c r="C636" s="690"/>
      <c r="D636" s="690"/>
      <c r="E636" s="114" t="s">
        <v>320</v>
      </c>
      <c r="F636" s="114" t="s">
        <v>318</v>
      </c>
      <c r="G636" s="114" t="s">
        <v>308</v>
      </c>
      <c r="H636" s="114" t="s">
        <v>20</v>
      </c>
      <c r="I636" s="552">
        <f t="shared" ref="I636:AH636" si="1029">I572*$D$13</f>
        <v>2599.6178703703704</v>
      </c>
      <c r="J636" s="552">
        <f t="shared" si="1029"/>
        <v>10797.512824583333</v>
      </c>
      <c r="K636" s="552">
        <f t="shared" si="1029"/>
        <v>96327.540378183883</v>
      </c>
      <c r="L636" s="552">
        <f t="shared" si="1029"/>
        <v>227838.31607661175</v>
      </c>
      <c r="M636" s="552">
        <f t="shared" si="1029"/>
        <v>359443.72819738463</v>
      </c>
      <c r="N636" s="552">
        <f t="shared" si="1029"/>
        <v>491027.91073268844</v>
      </c>
      <c r="O636" s="552">
        <f t="shared" si="1029"/>
        <v>622953.21830254409</v>
      </c>
      <c r="P636" s="552">
        <f t="shared" si="1029"/>
        <v>757891.05796105904</v>
      </c>
      <c r="Q636" s="552">
        <f t="shared" si="1029"/>
        <v>816363.69033714663</v>
      </c>
      <c r="R636" s="552">
        <f t="shared" si="1029"/>
        <v>878919.02586259891</v>
      </c>
      <c r="S636" s="552">
        <f t="shared" si="1029"/>
        <v>948681.52131089673</v>
      </c>
      <c r="T636" s="552">
        <f t="shared" si="1029"/>
        <v>1030866.9811183724</v>
      </c>
      <c r="U636" s="552">
        <f t="shared" si="1029"/>
        <v>1134178.6547270403</v>
      </c>
      <c r="V636" s="552">
        <f t="shared" si="1029"/>
        <v>1152316.7519386027</v>
      </c>
      <c r="W636" s="552">
        <f t="shared" si="1029"/>
        <v>1171274.5614420227</v>
      </c>
      <c r="X636" s="552">
        <f t="shared" si="1029"/>
        <v>1191113.076178682</v>
      </c>
      <c r="Y636" s="552">
        <f t="shared" si="1029"/>
        <v>1211896.6512818157</v>
      </c>
      <c r="Z636" s="552">
        <f t="shared" si="1029"/>
        <v>1233853.1224379239</v>
      </c>
      <c r="AA636" s="552">
        <f t="shared" si="1029"/>
        <v>1256744.728092338</v>
      </c>
      <c r="AB636" s="552">
        <f t="shared" si="1029"/>
        <v>1280879.0688384562</v>
      </c>
      <c r="AC636" s="552">
        <f t="shared" si="1029"/>
        <v>1306186.2076798717</v>
      </c>
      <c r="AD636" s="552">
        <f t="shared" si="1029"/>
        <v>1332828.118483105</v>
      </c>
      <c r="AE636" s="552">
        <f t="shared" si="1029"/>
        <v>1361103.437663479</v>
      </c>
      <c r="AF636" s="552">
        <f t="shared" si="1029"/>
        <v>1390710.868061631</v>
      </c>
      <c r="AG636" s="552">
        <f t="shared" si="1029"/>
        <v>1421950.2874791597</v>
      </c>
      <c r="AH636" s="727">
        <f t="shared" si="1029"/>
        <v>1455040.3042110223</v>
      </c>
      <c r="AI636" s="18"/>
      <c r="AJ636" s="18"/>
      <c r="AK636" s="18"/>
      <c r="AL636" s="18"/>
      <c r="AM636" s="18"/>
      <c r="AN636" s="18"/>
    </row>
    <row r="637" spans="2:40" ht="21.9" customHeight="1" x14ac:dyDescent="0.25">
      <c r="B637" s="229"/>
      <c r="C637" s="690"/>
      <c r="D637" s="690"/>
      <c r="E637" s="114"/>
      <c r="F637" s="114"/>
      <c r="G637" s="114"/>
      <c r="H637" s="122" t="s">
        <v>19</v>
      </c>
      <c r="I637" s="552">
        <f t="shared" ref="I637:AH637" si="1030">I573*$D$14</f>
        <v>10642.453703703703</v>
      </c>
      <c r="J637" s="552">
        <f t="shared" si="1030"/>
        <v>44203.431458333333</v>
      </c>
      <c r="K637" s="552">
        <f t="shared" si="1030"/>
        <v>394350.80076611997</v>
      </c>
      <c r="L637" s="552">
        <f t="shared" si="1030"/>
        <v>932736.59887162328</v>
      </c>
      <c r="M637" s="552">
        <f t="shared" si="1030"/>
        <v>1471509.824589073</v>
      </c>
      <c r="N637" s="552">
        <f t="shared" si="1030"/>
        <v>2010196.139502024</v>
      </c>
      <c r="O637" s="552">
        <f t="shared" si="1030"/>
        <v>2550278.9701986103</v>
      </c>
      <c r="P637" s="552">
        <f t="shared" si="1030"/>
        <v>3102694.6647556494</v>
      </c>
      <c r="Q637" s="552">
        <f t="shared" si="1030"/>
        <v>3342073.0326645989</v>
      </c>
      <c r="R637" s="552">
        <f t="shared" si="1030"/>
        <v>3598165.3875592155</v>
      </c>
      <c r="S637" s="552">
        <f t="shared" si="1030"/>
        <v>3883762.796519008</v>
      </c>
      <c r="T637" s="552">
        <f t="shared" si="1030"/>
        <v>4220217.9967573592</v>
      </c>
      <c r="U637" s="552">
        <f t="shared" si="1030"/>
        <v>4643160.8130704938</v>
      </c>
      <c r="V637" s="552">
        <f t="shared" si="1030"/>
        <v>4717415.5187514583</v>
      </c>
      <c r="W637" s="552">
        <f t="shared" si="1030"/>
        <v>4795026.0061478382</v>
      </c>
      <c r="X637" s="552">
        <f t="shared" si="1030"/>
        <v>4876241.9714024011</v>
      </c>
      <c r="Y637" s="552">
        <f t="shared" si="1030"/>
        <v>4961326.8749774927</v>
      </c>
      <c r="Z637" s="552">
        <f t="shared" si="1030"/>
        <v>5051213.4427068867</v>
      </c>
      <c r="AA637" s="552">
        <f t="shared" si="1030"/>
        <v>5144928.3137105359</v>
      </c>
      <c r="AB637" s="552">
        <f t="shared" si="1030"/>
        <v>5243730.7596343989</v>
      </c>
      <c r="AC637" s="552">
        <f t="shared" si="1030"/>
        <v>5347334.4686882198</v>
      </c>
      <c r="AD637" s="552">
        <f t="shared" si="1030"/>
        <v>5456402.538089212</v>
      </c>
      <c r="AE637" s="552">
        <f t="shared" si="1030"/>
        <v>5572157.5414550342</v>
      </c>
      <c r="AF637" s="552">
        <f t="shared" si="1030"/>
        <v>5693366.0124727655</v>
      </c>
      <c r="AG637" s="552">
        <f t="shared" si="1030"/>
        <v>5821255.6068131309</v>
      </c>
      <c r="AH637" s="727">
        <f t="shared" si="1030"/>
        <v>5956721.2747243363</v>
      </c>
      <c r="AI637" s="18"/>
      <c r="AJ637" s="18"/>
      <c r="AK637" s="18"/>
      <c r="AL637" s="18"/>
      <c r="AM637" s="18"/>
      <c r="AN637" s="18"/>
    </row>
    <row r="638" spans="2:40" ht="21.9" customHeight="1" x14ac:dyDescent="0.25">
      <c r="B638" s="229"/>
      <c r="C638" s="690"/>
      <c r="D638" s="690"/>
      <c r="E638" s="114"/>
      <c r="F638" s="114"/>
      <c r="G638" s="114"/>
      <c r="H638" s="696" t="s">
        <v>25</v>
      </c>
      <c r="I638" s="552">
        <f t="shared" ref="I638:AH638" si="1031">SUM(I636:I637)</f>
        <v>13242.071574074072</v>
      </c>
      <c r="J638" s="552">
        <f t="shared" si="1031"/>
        <v>55000.944282916666</v>
      </c>
      <c r="K638" s="552">
        <f t="shared" si="1031"/>
        <v>490678.34114430385</v>
      </c>
      <c r="L638" s="552">
        <f t="shared" si="1031"/>
        <v>1160574.914948235</v>
      </c>
      <c r="M638" s="552">
        <f t="shared" si="1031"/>
        <v>1830953.5527864576</v>
      </c>
      <c r="N638" s="552">
        <f t="shared" si="1031"/>
        <v>2501224.0502347127</v>
      </c>
      <c r="O638" s="552">
        <f t="shared" si="1031"/>
        <v>3173232.1885011545</v>
      </c>
      <c r="P638" s="552">
        <f t="shared" si="1031"/>
        <v>3860585.7227167087</v>
      </c>
      <c r="Q638" s="552">
        <f t="shared" si="1031"/>
        <v>4158436.7230017455</v>
      </c>
      <c r="R638" s="552">
        <f t="shared" si="1031"/>
        <v>4477084.4134218143</v>
      </c>
      <c r="S638" s="552">
        <f t="shared" si="1031"/>
        <v>4832444.3178299051</v>
      </c>
      <c r="T638" s="552">
        <f t="shared" si="1031"/>
        <v>5251084.9778757319</v>
      </c>
      <c r="U638" s="552">
        <f t="shared" si="1031"/>
        <v>5777339.4677975345</v>
      </c>
      <c r="V638" s="552">
        <f t="shared" si="1031"/>
        <v>5869732.2706900612</v>
      </c>
      <c r="W638" s="552">
        <f t="shared" si="1031"/>
        <v>5966300.5675898604</v>
      </c>
      <c r="X638" s="552">
        <f t="shared" si="1031"/>
        <v>6067355.0475810831</v>
      </c>
      <c r="Y638" s="552">
        <f t="shared" si="1031"/>
        <v>6173223.5262593087</v>
      </c>
      <c r="Z638" s="552">
        <f t="shared" si="1031"/>
        <v>6285066.5651448108</v>
      </c>
      <c r="AA638" s="552">
        <f t="shared" si="1031"/>
        <v>6401673.0418028738</v>
      </c>
      <c r="AB638" s="552">
        <f t="shared" si="1031"/>
        <v>6524609.8284728546</v>
      </c>
      <c r="AC638" s="552">
        <f t="shared" si="1031"/>
        <v>6653520.6763680913</v>
      </c>
      <c r="AD638" s="552">
        <f t="shared" si="1031"/>
        <v>6789230.6565723168</v>
      </c>
      <c r="AE638" s="552">
        <f t="shared" si="1031"/>
        <v>6933260.9791185129</v>
      </c>
      <c r="AF638" s="552">
        <f t="shared" si="1031"/>
        <v>7084076.8805343965</v>
      </c>
      <c r="AG638" s="552">
        <f t="shared" si="1031"/>
        <v>7243205.8942922903</v>
      </c>
      <c r="AH638" s="727">
        <f t="shared" si="1031"/>
        <v>7411761.5789353587</v>
      </c>
      <c r="AI638" s="18"/>
      <c r="AJ638" s="18"/>
      <c r="AK638" s="18"/>
      <c r="AL638" s="18"/>
      <c r="AM638" s="18"/>
      <c r="AN638" s="18"/>
    </row>
    <row r="639" spans="2:40" ht="21.9" customHeight="1" x14ac:dyDescent="0.25">
      <c r="B639" s="229"/>
      <c r="C639" s="690"/>
      <c r="D639" s="690"/>
      <c r="E639" s="1325" t="s">
        <v>308</v>
      </c>
      <c r="F639" s="217" t="s">
        <v>276</v>
      </c>
      <c r="G639" s="217" t="s">
        <v>320</v>
      </c>
      <c r="H639" s="114" t="s">
        <v>20</v>
      </c>
      <c r="I639" s="552">
        <f t="shared" ref="I639:AH639" si="1032">I575*$D$13</f>
        <v>7848.5124087591248</v>
      </c>
      <c r="J639" s="552">
        <f t="shared" si="1032"/>
        <v>17443.318828467152</v>
      </c>
      <c r="K639" s="552">
        <f t="shared" si="1032"/>
        <v>73725.001311678832</v>
      </c>
      <c r="L639" s="552">
        <f t="shared" si="1032"/>
        <v>165729.1880233651</v>
      </c>
      <c r="M639" s="552">
        <f t="shared" si="1032"/>
        <v>257784.39006664581</v>
      </c>
      <c r="N639" s="552">
        <f t="shared" si="1032"/>
        <v>349843.51639162132</v>
      </c>
      <c r="O639" s="552">
        <f t="shared" si="1032"/>
        <v>441847.70343313925</v>
      </c>
      <c r="P639" s="552">
        <f t="shared" si="1032"/>
        <v>533957.84757273574</v>
      </c>
      <c r="Q639" s="552">
        <f t="shared" si="1032"/>
        <v>604986.89333235496</v>
      </c>
      <c r="R639" s="552">
        <f t="shared" si="1032"/>
        <v>676027.73049217672</v>
      </c>
      <c r="S639" s="552">
        <f t="shared" si="1032"/>
        <v>747056.84467349411</v>
      </c>
      <c r="T639" s="552">
        <f t="shared" si="1032"/>
        <v>818086.07980804692</v>
      </c>
      <c r="U639" s="552">
        <f t="shared" si="1032"/>
        <v>889209.76953057898</v>
      </c>
      <c r="V639" s="552">
        <f t="shared" si="1032"/>
        <v>924461.7810971546</v>
      </c>
      <c r="W639" s="552">
        <f t="shared" si="1032"/>
        <v>934056.73203705903</v>
      </c>
      <c r="X639" s="552">
        <f t="shared" si="1032"/>
        <v>943651.69860599213</v>
      </c>
      <c r="Y639" s="552">
        <f t="shared" si="1032"/>
        <v>953246.68231389334</v>
      </c>
      <c r="Z639" s="552">
        <f t="shared" si="1032"/>
        <v>962869.15517759265</v>
      </c>
      <c r="AA639" s="552">
        <f t="shared" si="1032"/>
        <v>972464.17826230777</v>
      </c>
      <c r="AB639" s="552">
        <f t="shared" si="1032"/>
        <v>982086.69432516338</v>
      </c>
      <c r="AC639" s="552">
        <f t="shared" si="1032"/>
        <v>991681.76449030661</v>
      </c>
      <c r="AD639" s="552">
        <f t="shared" si="1032"/>
        <v>1001276.861447164</v>
      </c>
      <c r="AE639" s="552">
        <f t="shared" si="1032"/>
        <v>1010899.458374027</v>
      </c>
      <c r="AF639" s="552">
        <f t="shared" si="1032"/>
        <v>1020494.6164776504</v>
      </c>
      <c r="AG639" s="552">
        <f t="shared" si="1032"/>
        <v>1030089.8092492942</v>
      </c>
      <c r="AH639" s="727">
        <f t="shared" si="1032"/>
        <v>1039712.5107997075</v>
      </c>
      <c r="AI639" s="18"/>
      <c r="AJ639" s="18"/>
      <c r="AK639" s="18"/>
      <c r="AL639" s="18"/>
      <c r="AM639" s="18"/>
      <c r="AN639" s="18"/>
    </row>
    <row r="640" spans="2:40" ht="21.9" customHeight="1" x14ac:dyDescent="0.25">
      <c r="B640" s="229"/>
      <c r="C640" s="690"/>
      <c r="D640" s="690"/>
      <c r="E640" s="1325"/>
      <c r="F640" s="114"/>
      <c r="G640" s="114"/>
      <c r="H640" s="122" t="s">
        <v>19</v>
      </c>
      <c r="I640" s="552">
        <f t="shared" ref="I640:AH640" si="1033">I576*$D$14</f>
        <v>32130.656934306568</v>
      </c>
      <c r="J640" s="552">
        <f t="shared" si="1033"/>
        <v>71410.385036496344</v>
      </c>
      <c r="K640" s="552">
        <f t="shared" si="1033"/>
        <v>301819.32591240876</v>
      </c>
      <c r="L640" s="552">
        <f t="shared" si="1033"/>
        <v>678470.95182484784</v>
      </c>
      <c r="M640" s="552">
        <f t="shared" si="1033"/>
        <v>1055331.4270111981</v>
      </c>
      <c r="N640" s="552">
        <f t="shared" si="1033"/>
        <v>1432207.9676303694</v>
      </c>
      <c r="O640" s="552">
        <f t="shared" si="1033"/>
        <v>1808859.5948930909</v>
      </c>
      <c r="P640" s="552">
        <f t="shared" si="1033"/>
        <v>2185944.9949513194</v>
      </c>
      <c r="Q640" s="552">
        <f t="shared" si="1033"/>
        <v>2476727.4748422205</v>
      </c>
      <c r="R640" s="552">
        <f t="shared" si="1033"/>
        <v>2767558.2269935133</v>
      </c>
      <c r="S640" s="552">
        <f t="shared" si="1033"/>
        <v>3058340.9869927964</v>
      </c>
      <c r="T640" s="552">
        <f t="shared" si="1033"/>
        <v>3349124.2421568581</v>
      </c>
      <c r="U640" s="552">
        <f t="shared" si="1033"/>
        <v>3640294.1805296824</v>
      </c>
      <c r="V640" s="552">
        <f t="shared" si="1033"/>
        <v>3784610.7377190124</v>
      </c>
      <c r="W640" s="552">
        <f t="shared" si="1033"/>
        <v>3823891.0574656576</v>
      </c>
      <c r="X640" s="552">
        <f t="shared" si="1033"/>
        <v>3863171.4411952505</v>
      </c>
      <c r="Y640" s="552">
        <f t="shared" si="1033"/>
        <v>3902451.8950892608</v>
      </c>
      <c r="Z640" s="552">
        <f t="shared" si="1033"/>
        <v>3941844.8855492305</v>
      </c>
      <c r="AA640" s="552">
        <f t="shared" si="1033"/>
        <v>3981125.500646133</v>
      </c>
      <c r="AB640" s="552">
        <f t="shared" si="1033"/>
        <v>4020518.6679571029</v>
      </c>
      <c r="AC640" s="552">
        <f t="shared" si="1033"/>
        <v>4059799.4757943624</v>
      </c>
      <c r="AD640" s="552">
        <f t="shared" si="1033"/>
        <v>4099080.3933129646</v>
      </c>
      <c r="AE640" s="552">
        <f t="shared" si="1033"/>
        <v>4138473.8916693032</v>
      </c>
      <c r="AF640" s="552">
        <f t="shared" si="1033"/>
        <v>4177755.0595137826</v>
      </c>
      <c r="AG640" s="552">
        <f t="shared" si="1033"/>
        <v>4217036.3692840468</v>
      </c>
      <c r="AH640" s="727">
        <f t="shared" si="1033"/>
        <v>4256430.2959538307</v>
      </c>
      <c r="AI640" s="18"/>
      <c r="AJ640" s="18"/>
      <c r="AK640" s="18"/>
      <c r="AL640" s="18"/>
      <c r="AM640" s="18"/>
      <c r="AN640" s="18"/>
    </row>
    <row r="641" spans="2:40" ht="21.9" customHeight="1" x14ac:dyDescent="0.25">
      <c r="B641" s="229"/>
      <c r="C641" s="690"/>
      <c r="D641" s="690"/>
      <c r="E641" s="1325"/>
      <c r="F641" s="114"/>
      <c r="G641" s="114"/>
      <c r="H641" s="695" t="s">
        <v>25</v>
      </c>
      <c r="I641" s="552">
        <f t="shared" ref="I641:AH641" si="1034">SUM(I639:I640)</f>
        <v>39979.169343065689</v>
      </c>
      <c r="J641" s="552">
        <f t="shared" si="1034"/>
        <v>88853.703864963492</v>
      </c>
      <c r="K641" s="552">
        <f t="shared" si="1034"/>
        <v>375544.32722408761</v>
      </c>
      <c r="L641" s="552">
        <f t="shared" si="1034"/>
        <v>844200.13984821294</v>
      </c>
      <c r="M641" s="552">
        <f t="shared" si="1034"/>
        <v>1313115.8170778439</v>
      </c>
      <c r="N641" s="552">
        <f t="shared" si="1034"/>
        <v>1782051.4840219906</v>
      </c>
      <c r="O641" s="552">
        <f t="shared" si="1034"/>
        <v>2250707.2983262301</v>
      </c>
      <c r="P641" s="552">
        <f t="shared" si="1034"/>
        <v>2719902.8425240554</v>
      </c>
      <c r="Q641" s="552">
        <f t="shared" si="1034"/>
        <v>3081714.3681745753</v>
      </c>
      <c r="R641" s="552">
        <f t="shared" si="1034"/>
        <v>3443585.9574856898</v>
      </c>
      <c r="S641" s="552">
        <f t="shared" si="1034"/>
        <v>3805397.8316662908</v>
      </c>
      <c r="T641" s="552">
        <f t="shared" si="1034"/>
        <v>4167210.3219649051</v>
      </c>
      <c r="U641" s="552">
        <f t="shared" si="1034"/>
        <v>4529503.9500602614</v>
      </c>
      <c r="V641" s="552">
        <f t="shared" si="1034"/>
        <v>4709072.5188161675</v>
      </c>
      <c r="W641" s="552">
        <f t="shared" si="1034"/>
        <v>4757947.7895027166</v>
      </c>
      <c r="X641" s="552">
        <f t="shared" si="1034"/>
        <v>4806823.1398012424</v>
      </c>
      <c r="Y641" s="552">
        <f t="shared" si="1034"/>
        <v>4855698.5774031542</v>
      </c>
      <c r="Z641" s="552">
        <f t="shared" si="1034"/>
        <v>4904714.0407268228</v>
      </c>
      <c r="AA641" s="552">
        <f t="shared" si="1034"/>
        <v>4953589.6789084412</v>
      </c>
      <c r="AB641" s="552">
        <f t="shared" si="1034"/>
        <v>5002605.3622822659</v>
      </c>
      <c r="AC641" s="552">
        <f t="shared" si="1034"/>
        <v>5051481.2402846692</v>
      </c>
      <c r="AD641" s="552">
        <f t="shared" si="1034"/>
        <v>5100357.2547601284</v>
      </c>
      <c r="AE641" s="552">
        <f t="shared" si="1034"/>
        <v>5149373.3500433303</v>
      </c>
      <c r="AF641" s="552">
        <f t="shared" si="1034"/>
        <v>5198249.6759914327</v>
      </c>
      <c r="AG641" s="552">
        <f t="shared" si="1034"/>
        <v>5247126.1785333408</v>
      </c>
      <c r="AH641" s="727">
        <f t="shared" si="1034"/>
        <v>5296142.8067535385</v>
      </c>
      <c r="AI641" s="18"/>
      <c r="AJ641" s="18"/>
      <c r="AK641" s="18"/>
      <c r="AL641" s="18"/>
      <c r="AM641" s="18"/>
      <c r="AN641" s="18"/>
    </row>
    <row r="642" spans="2:40" ht="21.9" customHeight="1" x14ac:dyDescent="0.25">
      <c r="B642" s="229"/>
      <c r="C642" s="690"/>
      <c r="D642" s="690"/>
      <c r="E642" s="1325"/>
      <c r="F642" s="114" t="s">
        <v>320</v>
      </c>
      <c r="G642" s="114" t="s">
        <v>282</v>
      </c>
      <c r="H642" s="114" t="s">
        <v>20</v>
      </c>
      <c r="I642" s="552">
        <f t="shared" ref="I642:AH642" si="1035">I578*$D$13</f>
        <v>0</v>
      </c>
      <c r="J642" s="552">
        <f t="shared" si="1035"/>
        <v>5290.478734793186</v>
      </c>
      <c r="K642" s="552">
        <f t="shared" si="1035"/>
        <v>15291.111383163019</v>
      </c>
      <c r="L642" s="552">
        <f t="shared" si="1035"/>
        <v>34373.461219660901</v>
      </c>
      <c r="M642" s="552">
        <f t="shared" si="1035"/>
        <v>53466.392013822828</v>
      </c>
      <c r="N642" s="552">
        <f t="shared" si="1035"/>
        <v>72560.136733077001</v>
      </c>
      <c r="O642" s="552">
        <f t="shared" si="1035"/>
        <v>91642.486637984432</v>
      </c>
      <c r="P642" s="552">
        <f t="shared" si="1035"/>
        <v>110746.81282990075</v>
      </c>
      <c r="Q642" s="552">
        <f t="shared" si="1035"/>
        <v>125478.76306152547</v>
      </c>
      <c r="R642" s="552">
        <f t="shared" si="1035"/>
        <v>140213.15891689586</v>
      </c>
      <c r="S642" s="552">
        <f t="shared" si="1035"/>
        <v>154945.12333968765</v>
      </c>
      <c r="T642" s="552">
        <f t="shared" si="1035"/>
        <v>169677.11284907642</v>
      </c>
      <c r="U642" s="552">
        <f t="shared" si="1035"/>
        <v>184428.69293967562</v>
      </c>
      <c r="V642" s="552">
        <f t="shared" si="1035"/>
        <v>191740.22126459502</v>
      </c>
      <c r="W642" s="552">
        <f t="shared" si="1035"/>
        <v>193730.28516324188</v>
      </c>
      <c r="X642" s="552">
        <f t="shared" si="1035"/>
        <v>195720.35230346498</v>
      </c>
      <c r="Y642" s="552">
        <f t="shared" si="1035"/>
        <v>197710.42299843713</v>
      </c>
      <c r="Z642" s="552">
        <f t="shared" si="1035"/>
        <v>199706.19514794517</v>
      </c>
      <c r="AA642" s="552">
        <f t="shared" si="1035"/>
        <v>201696.27400996009</v>
      </c>
      <c r="AB642" s="552">
        <f t="shared" si="1035"/>
        <v>203692.05511929316</v>
      </c>
      <c r="AC642" s="552">
        <f t="shared" si="1035"/>
        <v>205682.14374613768</v>
      </c>
      <c r="AD642" s="552">
        <f t="shared" si="1035"/>
        <v>207672.2379297821</v>
      </c>
      <c r="AE642" s="552">
        <f t="shared" si="1035"/>
        <v>209668.03581090935</v>
      </c>
      <c r="AF642" s="552">
        <f t="shared" si="1035"/>
        <v>211658.14267684598</v>
      </c>
      <c r="AG642" s="552">
        <f t="shared" si="1035"/>
        <v>213648.25673318695</v>
      </c>
      <c r="AH642" s="727">
        <f t="shared" si="1035"/>
        <v>215644.07631401342</v>
      </c>
      <c r="AI642" s="18"/>
      <c r="AJ642" s="18"/>
      <c r="AK642" s="18"/>
      <c r="AL642" s="18"/>
      <c r="AM642" s="18"/>
      <c r="AN642" s="18"/>
    </row>
    <row r="643" spans="2:40" ht="21.9" customHeight="1" x14ac:dyDescent="0.25">
      <c r="B643" s="229"/>
      <c r="C643" s="690"/>
      <c r="D643" s="690"/>
      <c r="E643" s="1325"/>
      <c r="F643" s="114"/>
      <c r="G643" s="114"/>
      <c r="H643" s="122" t="s">
        <v>19</v>
      </c>
      <c r="I643" s="552">
        <f t="shared" ref="I643:AH643" si="1036">I579*$D$14</f>
        <v>0</v>
      </c>
      <c r="J643" s="552">
        <f t="shared" si="1036"/>
        <v>21658.442822384422</v>
      </c>
      <c r="K643" s="552">
        <f t="shared" si="1036"/>
        <v>62599.563892944047</v>
      </c>
      <c r="L643" s="552">
        <f t="shared" si="1036"/>
        <v>140719.9011192277</v>
      </c>
      <c r="M643" s="552">
        <f t="shared" si="1036"/>
        <v>218883.5552319522</v>
      </c>
      <c r="N643" s="552">
        <f t="shared" si="1036"/>
        <v>297050.54143444699</v>
      </c>
      <c r="O643" s="552">
        <f t="shared" si="1036"/>
        <v>375170.87894078926</v>
      </c>
      <c r="P643" s="552">
        <f t="shared" si="1036"/>
        <v>453381.18413805147</v>
      </c>
      <c r="Q643" s="552">
        <f t="shared" si="1036"/>
        <v>513691.62441171985</v>
      </c>
      <c r="R643" s="552">
        <f t="shared" si="1036"/>
        <v>574012.07670976559</v>
      </c>
      <c r="S643" s="552">
        <f t="shared" si="1036"/>
        <v>634322.57507998729</v>
      </c>
      <c r="T643" s="552">
        <f t="shared" si="1036"/>
        <v>694633.17615105212</v>
      </c>
      <c r="U643" s="552">
        <f t="shared" si="1036"/>
        <v>755023.97818393423</v>
      </c>
      <c r="V643" s="552">
        <f t="shared" si="1036"/>
        <v>784956.30115653586</v>
      </c>
      <c r="W643" s="552">
        <f t="shared" si="1036"/>
        <v>793103.33043732157</v>
      </c>
      <c r="X643" s="552">
        <f t="shared" si="1036"/>
        <v>801250.37298864441</v>
      </c>
      <c r="Y643" s="552">
        <f t="shared" si="1036"/>
        <v>809397.4300925876</v>
      </c>
      <c r="Z643" s="552">
        <f t="shared" si="1036"/>
        <v>817567.82811391458</v>
      </c>
      <c r="AA643" s="552">
        <f t="shared" si="1036"/>
        <v>825714.91865253123</v>
      </c>
      <c r="AB643" s="552">
        <f t="shared" si="1036"/>
        <v>833885.35335406591</v>
      </c>
      <c r="AC643" s="552">
        <f t="shared" si="1036"/>
        <v>842032.4838684604</v>
      </c>
      <c r="AD643" s="552">
        <f t="shared" si="1036"/>
        <v>850179.63713157771</v>
      </c>
      <c r="AE643" s="552">
        <f t="shared" si="1036"/>
        <v>858350.14049437409</v>
      </c>
      <c r="AF643" s="552">
        <f t="shared" si="1036"/>
        <v>866497.3456769326</v>
      </c>
      <c r="AG643" s="552">
        <f t="shared" si="1036"/>
        <v>874644.58029595041</v>
      </c>
      <c r="AH643" s="727">
        <f t="shared" si="1036"/>
        <v>882815.172494128</v>
      </c>
      <c r="AI643" s="18"/>
      <c r="AJ643" s="18"/>
      <c r="AK643" s="18"/>
      <c r="AL643" s="18"/>
      <c r="AM643" s="18"/>
      <c r="AN643" s="18"/>
    </row>
    <row r="644" spans="2:40" ht="21.9" customHeight="1" x14ac:dyDescent="0.25">
      <c r="B644" s="229"/>
      <c r="C644" s="690"/>
      <c r="D644" s="690"/>
      <c r="E644" s="1325"/>
      <c r="F644" s="114"/>
      <c r="G644" s="114"/>
      <c r="H644" s="695" t="s">
        <v>25</v>
      </c>
      <c r="I644" s="552">
        <f t="shared" ref="I644:AH644" si="1037">SUM(I642:I643)</f>
        <v>0</v>
      </c>
      <c r="J644" s="552">
        <f t="shared" si="1037"/>
        <v>26948.921557177608</v>
      </c>
      <c r="K644" s="552">
        <f t="shared" si="1037"/>
        <v>77890.675276107067</v>
      </c>
      <c r="L644" s="552">
        <f t="shared" si="1037"/>
        <v>175093.3623388886</v>
      </c>
      <c r="M644" s="552">
        <f t="shared" si="1037"/>
        <v>272349.94724577502</v>
      </c>
      <c r="N644" s="552">
        <f t="shared" si="1037"/>
        <v>369610.67816752399</v>
      </c>
      <c r="O644" s="552">
        <f t="shared" si="1037"/>
        <v>466813.36557877366</v>
      </c>
      <c r="P644" s="552">
        <f t="shared" si="1037"/>
        <v>564127.99696795223</v>
      </c>
      <c r="Q644" s="552">
        <f t="shared" si="1037"/>
        <v>639170.38747324538</v>
      </c>
      <c r="R644" s="552">
        <f t="shared" si="1037"/>
        <v>714225.23562666145</v>
      </c>
      <c r="S644" s="552">
        <f t="shared" si="1037"/>
        <v>789267.698419675</v>
      </c>
      <c r="T644" s="552">
        <f t="shared" si="1037"/>
        <v>864310.28900012851</v>
      </c>
      <c r="U644" s="552">
        <f t="shared" si="1037"/>
        <v>939452.67112360988</v>
      </c>
      <c r="V644" s="552">
        <f t="shared" si="1037"/>
        <v>976696.52242113091</v>
      </c>
      <c r="W644" s="552">
        <f t="shared" si="1037"/>
        <v>986833.61560056347</v>
      </c>
      <c r="X644" s="552">
        <f t="shared" si="1037"/>
        <v>996970.72529210942</v>
      </c>
      <c r="Y644" s="552">
        <f t="shared" si="1037"/>
        <v>1007107.8530910248</v>
      </c>
      <c r="Z644" s="552">
        <f t="shared" si="1037"/>
        <v>1017274.0232618598</v>
      </c>
      <c r="AA644" s="552">
        <f t="shared" si="1037"/>
        <v>1027411.1926624913</v>
      </c>
      <c r="AB644" s="552">
        <f t="shared" si="1037"/>
        <v>1037577.4084733591</v>
      </c>
      <c r="AC644" s="552">
        <f t="shared" si="1037"/>
        <v>1047714.627614598</v>
      </c>
      <c r="AD644" s="552">
        <f t="shared" si="1037"/>
        <v>1057851.8750613597</v>
      </c>
      <c r="AE644" s="552">
        <f t="shared" si="1037"/>
        <v>1068018.1763052833</v>
      </c>
      <c r="AF644" s="552">
        <f t="shared" si="1037"/>
        <v>1078155.4883537786</v>
      </c>
      <c r="AG644" s="552">
        <f t="shared" si="1037"/>
        <v>1088292.8370291374</v>
      </c>
      <c r="AH644" s="727">
        <f t="shared" si="1037"/>
        <v>1098459.2488081413</v>
      </c>
      <c r="AI644" s="18"/>
      <c r="AJ644" s="18"/>
      <c r="AK644" s="18"/>
      <c r="AL644" s="18"/>
      <c r="AM644" s="18"/>
      <c r="AN644" s="18"/>
    </row>
    <row r="645" spans="2:40" ht="21.9" customHeight="1" x14ac:dyDescent="0.25">
      <c r="B645" s="229"/>
      <c r="C645" s="690"/>
      <c r="D645" s="690"/>
      <c r="E645" s="1325"/>
      <c r="F645" s="114" t="s">
        <v>282</v>
      </c>
      <c r="G645" s="114" t="s">
        <v>321</v>
      </c>
      <c r="H645" s="114" t="s">
        <v>20</v>
      </c>
      <c r="I645" s="552">
        <f t="shared" ref="I645:AH645" si="1038">I581*$D$13</f>
        <v>0</v>
      </c>
      <c r="J645" s="552">
        <f t="shared" si="1038"/>
        <v>13793.033844282241</v>
      </c>
      <c r="K645" s="552">
        <f t="shared" si="1038"/>
        <v>39866.111820389291</v>
      </c>
      <c r="L645" s="552">
        <f t="shared" si="1038"/>
        <v>89616.523894115904</v>
      </c>
      <c r="M645" s="552">
        <f t="shared" si="1038"/>
        <v>139394.52203603808</v>
      </c>
      <c r="N645" s="552">
        <f t="shared" si="1038"/>
        <v>189174.64219695071</v>
      </c>
      <c r="O645" s="552">
        <f t="shared" si="1038"/>
        <v>238925.05444903084</v>
      </c>
      <c r="P645" s="552">
        <f t="shared" si="1038"/>
        <v>288732.76202081272</v>
      </c>
      <c r="Q645" s="552">
        <f t="shared" si="1038"/>
        <v>327141.06083897717</v>
      </c>
      <c r="R645" s="552">
        <f t="shared" si="1038"/>
        <v>365555.73574762139</v>
      </c>
      <c r="S645" s="552">
        <f t="shared" si="1038"/>
        <v>403964.07156418561</v>
      </c>
      <c r="T645" s="552">
        <f t="shared" si="1038"/>
        <v>442372.47278509184</v>
      </c>
      <c r="U645" s="552">
        <f t="shared" si="1038"/>
        <v>480831.94944986852</v>
      </c>
      <c r="V645" s="552">
        <f t="shared" si="1038"/>
        <v>499894.14829697984</v>
      </c>
      <c r="W645" s="552">
        <f t="shared" si="1038"/>
        <v>505082.5291755948</v>
      </c>
      <c r="X645" s="552">
        <f t="shared" si="1038"/>
        <v>510270.91850546241</v>
      </c>
      <c r="Y645" s="552">
        <f t="shared" si="1038"/>
        <v>515459.31710306817</v>
      </c>
      <c r="Z645" s="552">
        <f t="shared" si="1038"/>
        <v>520662.58020714269</v>
      </c>
      <c r="AA645" s="552">
        <f t="shared" si="1038"/>
        <v>525851.00009739597</v>
      </c>
      <c r="AB645" s="552">
        <f t="shared" si="1038"/>
        <v>531054.28656101425</v>
      </c>
      <c r="AC645" s="552">
        <f t="shared" si="1038"/>
        <v>536242.73190957319</v>
      </c>
      <c r="AD645" s="552">
        <f t="shared" si="1038"/>
        <v>541431.19174550334</v>
      </c>
      <c r="AE645" s="552">
        <f t="shared" si="1038"/>
        <v>546634.52193558495</v>
      </c>
      <c r="AF645" s="552">
        <f t="shared" si="1038"/>
        <v>551823.01483606268</v>
      </c>
      <c r="AG645" s="552">
        <f t="shared" si="1038"/>
        <v>557011.52648295171</v>
      </c>
      <c r="AH645" s="727">
        <f t="shared" si="1038"/>
        <v>562214.91324724921</v>
      </c>
      <c r="AI645" s="18"/>
      <c r="AJ645" s="18"/>
      <c r="AK645" s="18"/>
      <c r="AL645" s="18"/>
      <c r="AM645" s="18"/>
      <c r="AN645" s="18"/>
    </row>
    <row r="646" spans="2:40" ht="21.9" customHeight="1" x14ac:dyDescent="0.25">
      <c r="B646" s="229"/>
      <c r="C646" s="690"/>
      <c r="D646" s="690"/>
      <c r="E646" s="1325"/>
      <c r="F646" s="114"/>
      <c r="G646" s="114"/>
      <c r="H646" s="122" t="s">
        <v>19</v>
      </c>
      <c r="I646" s="552">
        <f t="shared" ref="I646:AH646" si="1039">I582*$D$14</f>
        <v>0</v>
      </c>
      <c r="J646" s="552">
        <f t="shared" si="1039"/>
        <v>56466.654501216552</v>
      </c>
      <c r="K646" s="552">
        <f t="shared" si="1039"/>
        <v>163206.00586374695</v>
      </c>
      <c r="L646" s="552">
        <f t="shared" si="1039"/>
        <v>366876.8850608436</v>
      </c>
      <c r="M646" s="552">
        <f t="shared" si="1039"/>
        <v>570660.69756901811</v>
      </c>
      <c r="N646" s="552">
        <f t="shared" si="1039"/>
        <v>774453.19731123664</v>
      </c>
      <c r="O646" s="552">
        <f t="shared" si="1039"/>
        <v>978124.07723848626</v>
      </c>
      <c r="P646" s="552">
        <f t="shared" si="1039"/>
        <v>1182029.5157884913</v>
      </c>
      <c r="Q646" s="552">
        <f t="shared" si="1039"/>
        <v>1339267.4493591266</v>
      </c>
      <c r="R646" s="552">
        <f t="shared" si="1039"/>
        <v>1496531.4857076032</v>
      </c>
      <c r="S646" s="552">
        <f t="shared" si="1039"/>
        <v>1653769.5707442523</v>
      </c>
      <c r="T646" s="552">
        <f t="shared" si="1039"/>
        <v>1811007.9235366709</v>
      </c>
      <c r="U646" s="552">
        <f t="shared" si="1039"/>
        <v>1968455.3716938279</v>
      </c>
      <c r="V646" s="552">
        <f t="shared" si="1039"/>
        <v>2046493.2137295397</v>
      </c>
      <c r="W646" s="552">
        <f t="shared" si="1039"/>
        <v>2067733.6829258739</v>
      </c>
      <c r="X646" s="552">
        <f t="shared" si="1039"/>
        <v>2088974.1867203948</v>
      </c>
      <c r="Y646" s="552">
        <f t="shared" si="1039"/>
        <v>2110214.7284556744</v>
      </c>
      <c r="Z646" s="552">
        <f t="shared" si="1039"/>
        <v>2131516.1232969915</v>
      </c>
      <c r="AA646" s="552">
        <f t="shared" si="1039"/>
        <v>2152756.7522012424</v>
      </c>
      <c r="AB646" s="552">
        <f t="shared" si="1039"/>
        <v>2174058.2426731</v>
      </c>
      <c r="AC646" s="552">
        <f t="shared" si="1039"/>
        <v>2195298.9757999144</v>
      </c>
      <c r="AD646" s="552">
        <f t="shared" si="1039"/>
        <v>2216539.768235899</v>
      </c>
      <c r="AE646" s="552">
        <f t="shared" si="1039"/>
        <v>2237841.4377174745</v>
      </c>
      <c r="AF646" s="552">
        <f t="shared" si="1039"/>
        <v>2259082.3655148596</v>
      </c>
      <c r="AG646" s="552">
        <f t="shared" si="1039"/>
        <v>2280323.3700572997</v>
      </c>
      <c r="AH646" s="727">
        <f t="shared" si="1039"/>
        <v>2301625.2711454048</v>
      </c>
      <c r="AI646" s="18"/>
      <c r="AJ646" s="18"/>
      <c r="AK646" s="18"/>
      <c r="AL646" s="18"/>
      <c r="AM646" s="18"/>
      <c r="AN646" s="18"/>
    </row>
    <row r="647" spans="2:40" ht="21.9" customHeight="1" x14ac:dyDescent="0.25">
      <c r="B647" s="229"/>
      <c r="C647" s="690"/>
      <c r="D647" s="690"/>
      <c r="E647" s="1325"/>
      <c r="F647" s="114"/>
      <c r="G647" s="114"/>
      <c r="H647" s="695" t="s">
        <v>25</v>
      </c>
      <c r="I647" s="552">
        <f t="shared" ref="I647:AH647" si="1040">SUM(I645:I646)</f>
        <v>0</v>
      </c>
      <c r="J647" s="552">
        <f t="shared" si="1040"/>
        <v>70259.688345498798</v>
      </c>
      <c r="K647" s="552">
        <f t="shared" si="1040"/>
        <v>203072.11768413623</v>
      </c>
      <c r="L647" s="552">
        <f t="shared" si="1040"/>
        <v>456493.40895495948</v>
      </c>
      <c r="M647" s="552">
        <f t="shared" si="1040"/>
        <v>710055.21960505622</v>
      </c>
      <c r="N647" s="552">
        <f t="shared" si="1040"/>
        <v>963627.83950818738</v>
      </c>
      <c r="O647" s="552">
        <f t="shared" si="1040"/>
        <v>1217049.131687517</v>
      </c>
      <c r="P647" s="552">
        <f t="shared" si="1040"/>
        <v>1470762.2778093042</v>
      </c>
      <c r="Q647" s="552">
        <f t="shared" si="1040"/>
        <v>1666408.5101981037</v>
      </c>
      <c r="R647" s="552">
        <f t="shared" si="1040"/>
        <v>1862087.2214552246</v>
      </c>
      <c r="S647" s="552">
        <f t="shared" si="1040"/>
        <v>2057733.642308438</v>
      </c>
      <c r="T647" s="552">
        <f t="shared" si="1040"/>
        <v>2253380.3963217628</v>
      </c>
      <c r="U647" s="552">
        <f t="shared" si="1040"/>
        <v>2449287.3211436966</v>
      </c>
      <c r="V647" s="552">
        <f t="shared" si="1040"/>
        <v>2546387.3620265196</v>
      </c>
      <c r="W647" s="552">
        <f t="shared" si="1040"/>
        <v>2572816.2121014688</v>
      </c>
      <c r="X647" s="552">
        <f t="shared" si="1040"/>
        <v>2599245.1052258573</v>
      </c>
      <c r="Y647" s="552">
        <f t="shared" si="1040"/>
        <v>2625674.0455587427</v>
      </c>
      <c r="Z647" s="552">
        <f t="shared" si="1040"/>
        <v>2652178.703504134</v>
      </c>
      <c r="AA647" s="552">
        <f t="shared" si="1040"/>
        <v>2678607.7522986382</v>
      </c>
      <c r="AB647" s="552">
        <f t="shared" si="1040"/>
        <v>2705112.5292341141</v>
      </c>
      <c r="AC647" s="552">
        <f t="shared" si="1040"/>
        <v>2731541.7077094875</v>
      </c>
      <c r="AD647" s="552">
        <f t="shared" si="1040"/>
        <v>2757970.9599814024</v>
      </c>
      <c r="AE647" s="552">
        <f t="shared" si="1040"/>
        <v>2784475.9596530595</v>
      </c>
      <c r="AF647" s="552">
        <f t="shared" si="1040"/>
        <v>2810905.3803509222</v>
      </c>
      <c r="AG647" s="552">
        <f t="shared" si="1040"/>
        <v>2837334.8965402516</v>
      </c>
      <c r="AH647" s="727">
        <f t="shared" si="1040"/>
        <v>2863840.1843926539</v>
      </c>
      <c r="AI647" s="18"/>
      <c r="AJ647" s="18"/>
      <c r="AK647" s="18"/>
      <c r="AL647" s="18"/>
      <c r="AM647" s="18"/>
      <c r="AN647" s="18"/>
    </row>
    <row r="648" spans="2:40" ht="21.9" customHeight="1" x14ac:dyDescent="0.25">
      <c r="B648" s="229"/>
      <c r="C648" s="690"/>
      <c r="D648" s="690"/>
      <c r="E648" s="1325"/>
      <c r="F648" s="114" t="s">
        <v>321</v>
      </c>
      <c r="G648" s="114" t="s">
        <v>274</v>
      </c>
      <c r="H648" s="114" t="s">
        <v>20</v>
      </c>
      <c r="I648" s="552">
        <f t="shared" ref="I648:AH648" si="1041">I584*$D$13</f>
        <v>18313.19562043796</v>
      </c>
      <c r="J648" s="552">
        <f t="shared" si="1041"/>
        <v>27065.071807445252</v>
      </c>
      <c r="K648" s="552">
        <f t="shared" si="1041"/>
        <v>37968.138039999998</v>
      </c>
      <c r="L648" s="552">
        <f t="shared" si="1041"/>
        <v>61313.799816934305</v>
      </c>
      <c r="M648" s="552">
        <f t="shared" si="1041"/>
        <v>84662.513793138758</v>
      </c>
      <c r="N648" s="552">
        <f t="shared" si="1041"/>
        <v>108020.99480700812</v>
      </c>
      <c r="O648" s="552">
        <f t="shared" si="1041"/>
        <v>131366.65658394867</v>
      </c>
      <c r="P648" s="552">
        <f t="shared" si="1041"/>
        <v>154700.10956383837</v>
      </c>
      <c r="Q648" s="552">
        <f t="shared" si="1041"/>
        <v>201552.5892399087</v>
      </c>
      <c r="R648" s="552">
        <f t="shared" si="1041"/>
        <v>248378.20956868571</v>
      </c>
      <c r="S648" s="552">
        <f t="shared" si="1041"/>
        <v>295214.20741237368</v>
      </c>
      <c r="T648" s="552">
        <f t="shared" si="1041"/>
        <v>342066.68729947798</v>
      </c>
      <c r="U648" s="552">
        <f t="shared" si="1041"/>
        <v>388906.95899688662</v>
      </c>
      <c r="V648" s="552">
        <f t="shared" si="1041"/>
        <v>423315.62391728797</v>
      </c>
      <c r="W648" s="552">
        <f t="shared" si="1041"/>
        <v>432067.50079913909</v>
      </c>
      <c r="X648" s="552">
        <f t="shared" si="1041"/>
        <v>440819.3778369379</v>
      </c>
      <c r="Y648" s="552">
        <f t="shared" si="1041"/>
        <v>449571.25506153045</v>
      </c>
      <c r="Z648" s="552">
        <f t="shared" si="1041"/>
        <v>458296.88359117374</v>
      </c>
      <c r="AA648" s="552">
        <f t="shared" si="1041"/>
        <v>467048.76130297553</v>
      </c>
      <c r="AB648" s="552">
        <f t="shared" si="1041"/>
        <v>475774.39040918456</v>
      </c>
      <c r="AC648" s="552">
        <f t="shared" si="1041"/>
        <v>484526.26880522398</v>
      </c>
      <c r="AD648" s="552">
        <f t="shared" si="1041"/>
        <v>493278.14763847925</v>
      </c>
      <c r="AE648" s="552">
        <f t="shared" si="1041"/>
        <v>502003.77806129656</v>
      </c>
      <c r="AF648" s="552">
        <f t="shared" si="1041"/>
        <v>510755.6580078738</v>
      </c>
      <c r="AG648" s="552">
        <f t="shared" si="1041"/>
        <v>519507.53865699534</v>
      </c>
      <c r="AH648" s="727">
        <f t="shared" si="1041"/>
        <v>528233.17119377502</v>
      </c>
      <c r="AI648" s="18"/>
      <c r="AJ648" s="18"/>
      <c r="AK648" s="18"/>
      <c r="AL648" s="18"/>
      <c r="AM648" s="18"/>
      <c r="AN648" s="18"/>
    </row>
    <row r="649" spans="2:40" ht="21.9" customHeight="1" x14ac:dyDescent="0.25">
      <c r="B649" s="229"/>
      <c r="C649" s="690"/>
      <c r="D649" s="690"/>
      <c r="E649" s="1325"/>
      <c r="F649" s="114"/>
      <c r="G649" s="114"/>
      <c r="H649" s="114" t="s">
        <v>19</v>
      </c>
      <c r="I649" s="552">
        <f t="shared" ref="I649:AH649" si="1042">I585*$D$14</f>
        <v>74971.53284671533</v>
      </c>
      <c r="J649" s="552">
        <f t="shared" si="1042"/>
        <v>110800.42839416057</v>
      </c>
      <c r="K649" s="552">
        <f t="shared" si="1042"/>
        <v>155435.98000000001</v>
      </c>
      <c r="L649" s="552">
        <f t="shared" si="1042"/>
        <v>251009.6900729927</v>
      </c>
      <c r="M649" s="552">
        <f t="shared" si="1042"/>
        <v>346595.89540146018</v>
      </c>
      <c r="N649" s="552">
        <f t="shared" si="1042"/>
        <v>442222.0855474486</v>
      </c>
      <c r="O649" s="552">
        <f t="shared" si="1042"/>
        <v>537795.79562046682</v>
      </c>
      <c r="P649" s="552">
        <f t="shared" si="1042"/>
        <v>633319.52467170788</v>
      </c>
      <c r="Q649" s="552">
        <f t="shared" si="1042"/>
        <v>825126.69430978154</v>
      </c>
      <c r="R649" s="552">
        <f t="shared" si="1042"/>
        <v>1016823.9057254028</v>
      </c>
      <c r="S649" s="552">
        <f t="shared" si="1042"/>
        <v>1208563.6011627177</v>
      </c>
      <c r="T649" s="552">
        <f t="shared" si="1042"/>
        <v>1400370.7716647333</v>
      </c>
      <c r="U649" s="552">
        <f t="shared" si="1042"/>
        <v>1592127.9636313946</v>
      </c>
      <c r="V649" s="552">
        <f t="shared" si="1042"/>
        <v>1732991.9835303857</v>
      </c>
      <c r="W649" s="552">
        <f t="shared" si="1042"/>
        <v>1768820.8819224196</v>
      </c>
      <c r="X649" s="552">
        <f t="shared" si="1042"/>
        <v>1804649.7809528804</v>
      </c>
      <c r="Y649" s="552">
        <f t="shared" si="1042"/>
        <v>1840478.6807480471</v>
      </c>
      <c r="Z649" s="552">
        <f t="shared" si="1042"/>
        <v>1876200.1222417599</v>
      </c>
      <c r="AA649" s="552">
        <f t="shared" si="1042"/>
        <v>1912029.0240314896</v>
      </c>
      <c r="AB649" s="552">
        <f t="shared" si="1042"/>
        <v>1947750.4678855776</v>
      </c>
      <c r="AC649" s="552">
        <f t="shared" si="1042"/>
        <v>1983579.372476476</v>
      </c>
      <c r="AD649" s="552">
        <f t="shared" si="1042"/>
        <v>2019408.2788572717</v>
      </c>
      <c r="AE649" s="552">
        <f t="shared" si="1042"/>
        <v>2055129.7281013606</v>
      </c>
      <c r="AF649" s="552">
        <f t="shared" si="1042"/>
        <v>2090958.639039933</v>
      </c>
      <c r="AG649" s="552">
        <f t="shared" si="1042"/>
        <v>2126787.5528546185</v>
      </c>
      <c r="AH649" s="727">
        <f t="shared" si="1042"/>
        <v>2162509.0107529592</v>
      </c>
      <c r="AI649" s="18"/>
      <c r="AJ649" s="18"/>
      <c r="AK649" s="18"/>
      <c r="AL649" s="18"/>
      <c r="AM649" s="18"/>
      <c r="AN649" s="18"/>
    </row>
    <row r="650" spans="2:40" ht="21.9" customHeight="1" x14ac:dyDescent="0.25">
      <c r="B650" s="229"/>
      <c r="C650" s="690"/>
      <c r="D650" s="690"/>
      <c r="E650" s="1325"/>
      <c r="F650" s="250"/>
      <c r="G650" s="250"/>
      <c r="H650" s="696" t="s">
        <v>25</v>
      </c>
      <c r="I650" s="562">
        <f t="shared" ref="I650:AH650" si="1043">SUM(I648:I649)</f>
        <v>93284.728467153298</v>
      </c>
      <c r="J650" s="562">
        <f t="shared" si="1043"/>
        <v>137865.50020160581</v>
      </c>
      <c r="K650" s="562">
        <f t="shared" si="1043"/>
        <v>193404.11804</v>
      </c>
      <c r="L650" s="562">
        <f t="shared" si="1043"/>
        <v>312323.48988992698</v>
      </c>
      <c r="M650" s="562">
        <f t="shared" si="1043"/>
        <v>431258.40919459891</v>
      </c>
      <c r="N650" s="562">
        <f t="shared" si="1043"/>
        <v>550243.08035445667</v>
      </c>
      <c r="O650" s="562">
        <f t="shared" si="1043"/>
        <v>669162.45220441546</v>
      </c>
      <c r="P650" s="562">
        <f t="shared" si="1043"/>
        <v>788019.63423554623</v>
      </c>
      <c r="Q650" s="562">
        <f t="shared" si="1043"/>
        <v>1026679.2835496903</v>
      </c>
      <c r="R650" s="562">
        <f t="shared" si="1043"/>
        <v>1265202.1152940884</v>
      </c>
      <c r="S650" s="562">
        <f t="shared" si="1043"/>
        <v>1503777.8085750914</v>
      </c>
      <c r="T650" s="562">
        <f t="shared" si="1043"/>
        <v>1742437.4589642114</v>
      </c>
      <c r="U650" s="562">
        <f t="shared" si="1043"/>
        <v>1981034.9226282812</v>
      </c>
      <c r="V650" s="562">
        <f t="shared" si="1043"/>
        <v>2156307.6074476736</v>
      </c>
      <c r="W650" s="562">
        <f t="shared" si="1043"/>
        <v>2200888.3827215587</v>
      </c>
      <c r="X650" s="562">
        <f t="shared" si="1043"/>
        <v>2245469.1587898182</v>
      </c>
      <c r="Y650" s="562">
        <f t="shared" si="1043"/>
        <v>2290049.9358095773</v>
      </c>
      <c r="Z650" s="562">
        <f t="shared" si="1043"/>
        <v>2334497.0058329338</v>
      </c>
      <c r="AA650" s="562">
        <f t="shared" si="1043"/>
        <v>2379077.7853344651</v>
      </c>
      <c r="AB650" s="562">
        <f t="shared" si="1043"/>
        <v>2423524.8582947622</v>
      </c>
      <c r="AC650" s="562">
        <f t="shared" si="1043"/>
        <v>2468105.6412816998</v>
      </c>
      <c r="AD650" s="562">
        <f t="shared" si="1043"/>
        <v>2512686.4264957509</v>
      </c>
      <c r="AE650" s="562">
        <f t="shared" si="1043"/>
        <v>2557133.5061626574</v>
      </c>
      <c r="AF650" s="562">
        <f t="shared" si="1043"/>
        <v>2601714.2970478069</v>
      </c>
      <c r="AG650" s="562">
        <f t="shared" si="1043"/>
        <v>2646295.0915116137</v>
      </c>
      <c r="AH650" s="729">
        <f t="shared" si="1043"/>
        <v>2690742.181946734</v>
      </c>
      <c r="AI650" s="18"/>
      <c r="AJ650" s="18"/>
      <c r="AK650" s="18"/>
      <c r="AL650" s="18"/>
      <c r="AM650" s="18"/>
      <c r="AN650" s="18"/>
    </row>
    <row r="651" spans="2:40" ht="21.9" customHeight="1" x14ac:dyDescent="0.25">
      <c r="B651" s="229"/>
      <c r="C651" s="690"/>
      <c r="D651" s="690"/>
      <c r="E651" s="114" t="s">
        <v>282</v>
      </c>
      <c r="F651" s="114" t="s">
        <v>308</v>
      </c>
      <c r="G651" s="114" t="s">
        <v>324</v>
      </c>
      <c r="H651" s="114" t="s">
        <v>20</v>
      </c>
      <c r="I651" s="552">
        <f t="shared" ref="I651:AH651" si="1044">I587*$D$13</f>
        <v>160484.50746268744</v>
      </c>
      <c r="J651" s="552">
        <f t="shared" si="1044"/>
        <v>170352.52151044944</v>
      </c>
      <c r="K651" s="552">
        <f t="shared" si="1044"/>
        <v>183411.50251492904</v>
      </c>
      <c r="L651" s="552">
        <f t="shared" si="1044"/>
        <v>200766.1188358308</v>
      </c>
      <c r="M651" s="552">
        <f t="shared" si="1044"/>
        <v>218126.08464032324</v>
      </c>
      <c r="N651" s="552">
        <f t="shared" si="1044"/>
        <v>235523.49682990814</v>
      </c>
      <c r="O651" s="552">
        <f t="shared" si="1044"/>
        <v>252878.11315087168</v>
      </c>
      <c r="P651" s="552">
        <f t="shared" si="1044"/>
        <v>270251.45266443957</v>
      </c>
      <c r="Q651" s="552">
        <f t="shared" si="1044"/>
        <v>286093.05671242776</v>
      </c>
      <c r="R651" s="552">
        <f t="shared" si="1044"/>
        <v>301921.28705162782</v>
      </c>
      <c r="S651" s="552">
        <f t="shared" si="1044"/>
        <v>317763.7826806517</v>
      </c>
      <c r="T651" s="552">
        <f t="shared" si="1044"/>
        <v>333605.38672950782</v>
      </c>
      <c r="U651" s="552">
        <f t="shared" si="1044"/>
        <v>349503.16035664792</v>
      </c>
      <c r="V651" s="552">
        <f t="shared" si="1044"/>
        <v>361036.64696152543</v>
      </c>
      <c r="W651" s="552">
        <f t="shared" si="1044"/>
        <v>370904.66101146262</v>
      </c>
      <c r="X651" s="552">
        <f t="shared" si="1044"/>
        <v>380772.67506206263</v>
      </c>
      <c r="Y651" s="552">
        <f t="shared" si="1044"/>
        <v>390640.68911350222</v>
      </c>
      <c r="Z651" s="552">
        <f t="shared" si="1044"/>
        <v>400519.40213316819</v>
      </c>
      <c r="AA651" s="552">
        <f t="shared" si="1044"/>
        <v>410387.41618698806</v>
      </c>
      <c r="AB651" s="552">
        <f t="shared" si="1044"/>
        <v>420279.50291859481</v>
      </c>
      <c r="AC651" s="552">
        <f t="shared" si="1044"/>
        <v>430147.51697610482</v>
      </c>
      <c r="AD651" s="552">
        <f t="shared" si="1044"/>
        <v>440015.53103612782</v>
      </c>
      <c r="AE651" s="552">
        <f t="shared" si="1044"/>
        <v>449894.24406641483</v>
      </c>
      <c r="AF651" s="552">
        <f t="shared" si="1044"/>
        <v>459762.25813328568</v>
      </c>
      <c r="AG651" s="552">
        <f t="shared" si="1044"/>
        <v>469630.27220472961</v>
      </c>
      <c r="AH651" s="727">
        <f t="shared" si="1044"/>
        <v>479522.35895790794</v>
      </c>
      <c r="AI651" s="18"/>
      <c r="AJ651" s="18"/>
      <c r="AK651" s="18"/>
      <c r="AL651" s="18"/>
      <c r="AM651" s="18"/>
      <c r="AN651" s="18"/>
    </row>
    <row r="652" spans="2:40" ht="21.9" customHeight="1" x14ac:dyDescent="0.25">
      <c r="B652" s="229"/>
      <c r="C652" s="690"/>
      <c r="D652" s="690"/>
      <c r="E652" s="114"/>
      <c r="F652" s="114"/>
      <c r="G652" s="114"/>
      <c r="H652" s="122" t="s">
        <v>19</v>
      </c>
      <c r="I652" s="552">
        <f t="shared" ref="I652:AH652" si="1045">I588*$D$14</f>
        <v>657000.00000000349</v>
      </c>
      <c r="J652" s="552">
        <f t="shared" si="1045"/>
        <v>697398.20000000682</v>
      </c>
      <c r="K652" s="552">
        <f t="shared" si="1045"/>
        <v>750859.75000001502</v>
      </c>
      <c r="L652" s="552">
        <f t="shared" si="1045"/>
        <v>821907.00000004063</v>
      </c>
      <c r="M652" s="552">
        <f t="shared" si="1045"/>
        <v>892976.15000010107</v>
      </c>
      <c r="N652" s="552">
        <f t="shared" si="1045"/>
        <v>964198.60000023502</v>
      </c>
      <c r="O652" s="552">
        <f t="shared" si="1045"/>
        <v>1035245.8500005134</v>
      </c>
      <c r="P652" s="552">
        <f t="shared" si="1045"/>
        <v>1106369.7500010661</v>
      </c>
      <c r="Q652" s="552">
        <f t="shared" si="1045"/>
        <v>1171222.9500019955</v>
      </c>
      <c r="R652" s="552">
        <f t="shared" si="1045"/>
        <v>1236021.400003609</v>
      </c>
      <c r="S652" s="552">
        <f t="shared" si="1045"/>
        <v>1300878.2500063339</v>
      </c>
      <c r="T652" s="552">
        <f t="shared" si="1045"/>
        <v>1365731.4500108163</v>
      </c>
      <c r="U652" s="552">
        <f t="shared" si="1045"/>
        <v>1430814.6000180503</v>
      </c>
      <c r="V652" s="552">
        <f t="shared" si="1045"/>
        <v>1478031.0000257976</v>
      </c>
      <c r="W652" s="552">
        <f t="shared" si="1045"/>
        <v>1518429.2000347059</v>
      </c>
      <c r="X652" s="552">
        <f t="shared" si="1045"/>
        <v>1558827.4000463274</v>
      </c>
      <c r="Y652" s="552">
        <f t="shared" si="1045"/>
        <v>1599225.6000613861</v>
      </c>
      <c r="Z652" s="552">
        <f t="shared" si="1045"/>
        <v>1639667.6000807935</v>
      </c>
      <c r="AA652" s="552">
        <f t="shared" si="1045"/>
        <v>1680065.8001055969</v>
      </c>
      <c r="AB652" s="552">
        <f t="shared" si="1045"/>
        <v>1720562.5501372267</v>
      </c>
      <c r="AC652" s="552">
        <f t="shared" si="1045"/>
        <v>1760960.7501771369</v>
      </c>
      <c r="AD652" s="552">
        <f t="shared" si="1045"/>
        <v>1801358.9502273349</v>
      </c>
      <c r="AE652" s="552">
        <f t="shared" si="1045"/>
        <v>1841800.9502902231</v>
      </c>
      <c r="AF652" s="552">
        <f t="shared" si="1045"/>
        <v>1882199.1503684551</v>
      </c>
      <c r="AG652" s="552">
        <f t="shared" si="1045"/>
        <v>1922597.350465409</v>
      </c>
      <c r="AH652" s="727">
        <f t="shared" si="1045"/>
        <v>1963094.1005853498</v>
      </c>
      <c r="AI652" s="18"/>
      <c r="AJ652" s="18"/>
      <c r="AK652" s="18"/>
      <c r="AL652" s="18"/>
      <c r="AM652" s="18"/>
      <c r="AN652" s="18"/>
    </row>
    <row r="653" spans="2:40" ht="21.9" customHeight="1" x14ac:dyDescent="0.25">
      <c r="B653" s="229"/>
      <c r="C653" s="690"/>
      <c r="D653" s="690"/>
      <c r="E653" s="114"/>
      <c r="F653" s="114"/>
      <c r="G653" s="114"/>
      <c r="H653" s="696" t="s">
        <v>25</v>
      </c>
      <c r="I653" s="552">
        <f t="shared" ref="I653:AH653" si="1046">SUM(I651:I652)</f>
        <v>817484.50746269093</v>
      </c>
      <c r="J653" s="552">
        <f t="shared" si="1046"/>
        <v>867750.72151045629</v>
      </c>
      <c r="K653" s="552">
        <f t="shared" si="1046"/>
        <v>934271.25251494406</v>
      </c>
      <c r="L653" s="552">
        <f t="shared" si="1046"/>
        <v>1022673.1188358715</v>
      </c>
      <c r="M653" s="552">
        <f t="shared" si="1046"/>
        <v>1111102.2346404244</v>
      </c>
      <c r="N653" s="552">
        <f t="shared" si="1046"/>
        <v>1199722.0968301431</v>
      </c>
      <c r="O653" s="552">
        <f t="shared" si="1046"/>
        <v>1288123.9631513851</v>
      </c>
      <c r="P653" s="552">
        <f t="shared" si="1046"/>
        <v>1376621.2026655057</v>
      </c>
      <c r="Q653" s="552">
        <f t="shared" si="1046"/>
        <v>1457316.0067144232</v>
      </c>
      <c r="R653" s="552">
        <f t="shared" si="1046"/>
        <v>1537942.6870552369</v>
      </c>
      <c r="S653" s="552">
        <f t="shared" si="1046"/>
        <v>1618642.0326869856</v>
      </c>
      <c r="T653" s="552">
        <f t="shared" si="1046"/>
        <v>1699336.8367403243</v>
      </c>
      <c r="U653" s="552">
        <f t="shared" si="1046"/>
        <v>1780317.7603746983</v>
      </c>
      <c r="V653" s="552">
        <f t="shared" si="1046"/>
        <v>1839067.6469873232</v>
      </c>
      <c r="W653" s="552">
        <f t="shared" si="1046"/>
        <v>1889333.8610461685</v>
      </c>
      <c r="X653" s="552">
        <f t="shared" si="1046"/>
        <v>1939600.0751083901</v>
      </c>
      <c r="Y653" s="552">
        <f t="shared" si="1046"/>
        <v>1989866.2891748883</v>
      </c>
      <c r="Z653" s="552">
        <f t="shared" si="1046"/>
        <v>2040187.0022139617</v>
      </c>
      <c r="AA653" s="552">
        <f t="shared" si="1046"/>
        <v>2090453.216292585</v>
      </c>
      <c r="AB653" s="552">
        <f t="shared" si="1046"/>
        <v>2140842.0530558215</v>
      </c>
      <c r="AC653" s="552">
        <f t="shared" si="1046"/>
        <v>2191108.2671532417</v>
      </c>
      <c r="AD653" s="552">
        <f t="shared" si="1046"/>
        <v>2241374.4812634625</v>
      </c>
      <c r="AE653" s="552">
        <f t="shared" si="1046"/>
        <v>2291695.194356638</v>
      </c>
      <c r="AF653" s="552">
        <f t="shared" si="1046"/>
        <v>2341961.4085017405</v>
      </c>
      <c r="AG653" s="552">
        <f t="shared" si="1046"/>
        <v>2392227.6226701387</v>
      </c>
      <c r="AH653" s="727">
        <f t="shared" si="1046"/>
        <v>2442616.459543258</v>
      </c>
      <c r="AI653" s="18"/>
      <c r="AJ653" s="18"/>
      <c r="AK653" s="18"/>
      <c r="AL653" s="18"/>
      <c r="AM653" s="18"/>
      <c r="AN653" s="18"/>
    </row>
    <row r="654" spans="2:40" ht="21.9" customHeight="1" x14ac:dyDescent="0.25">
      <c r="B654" s="229"/>
      <c r="C654" s="690"/>
      <c r="D654" s="690"/>
      <c r="E654" s="217" t="s">
        <v>321</v>
      </c>
      <c r="F654" s="217" t="s">
        <v>318</v>
      </c>
      <c r="G654" s="217" t="s">
        <v>308</v>
      </c>
      <c r="H654" s="114" t="s">
        <v>20</v>
      </c>
      <c r="I654" s="552">
        <f t="shared" ref="I654:AH654" si="1047">I590*$D$13</f>
        <v>0</v>
      </c>
      <c r="J654" s="552">
        <f t="shared" si="1047"/>
        <v>166977.03010296047</v>
      </c>
      <c r="K654" s="552">
        <f t="shared" si="1047"/>
        <v>179777.26518465017</v>
      </c>
      <c r="L654" s="552">
        <f t="shared" si="1047"/>
        <v>196788.05005529497</v>
      </c>
      <c r="M654" s="552">
        <f t="shared" si="1047"/>
        <v>213804.14262890627</v>
      </c>
      <c r="N654" s="552">
        <f t="shared" si="1047"/>
        <v>230857.07488687013</v>
      </c>
      <c r="O654" s="552">
        <f t="shared" si="1047"/>
        <v>247868.32567478649</v>
      </c>
      <c r="P654" s="552">
        <f t="shared" si="1047"/>
        <v>264898.4339414569</v>
      </c>
      <c r="Q654" s="552">
        <f t="shared" si="1047"/>
        <v>280427.85047429666</v>
      </c>
      <c r="R654" s="552">
        <f t="shared" si="1047"/>
        <v>295945.4173181103</v>
      </c>
      <c r="S654" s="552">
        <f t="shared" si="1047"/>
        <v>311479.01462829445</v>
      </c>
      <c r="T654" s="552">
        <f t="shared" si="1047"/>
        <v>327014.97391919716</v>
      </c>
      <c r="U654" s="552">
        <f t="shared" si="1047"/>
        <v>342611.05559574801</v>
      </c>
      <c r="V654" s="552">
        <f t="shared" si="1047"/>
        <v>353930.27408507344</v>
      </c>
      <c r="W654" s="552">
        <f t="shared" si="1047"/>
        <v>363619.15782497154</v>
      </c>
      <c r="X654" s="552">
        <f t="shared" si="1047"/>
        <v>373313.03841194056</v>
      </c>
      <c r="Y654" s="552">
        <f t="shared" si="1047"/>
        <v>383013.24654748698</v>
      </c>
      <c r="Z654" s="552">
        <f t="shared" si="1047"/>
        <v>392731.94977108506</v>
      </c>
      <c r="AA654" s="552">
        <f t="shared" si="1047"/>
        <v>402450.10179628053</v>
      </c>
      <c r="AB654" s="552">
        <f t="shared" si="1047"/>
        <v>412204.41794369812</v>
      </c>
      <c r="AC654" s="552">
        <f t="shared" si="1047"/>
        <v>421950.38648284459</v>
      </c>
      <c r="AD654" s="552">
        <f t="shared" si="1047"/>
        <v>431715.29687214945</v>
      </c>
      <c r="AE654" s="552">
        <f t="shared" si="1047"/>
        <v>441514.06228199147</v>
      </c>
      <c r="AF654" s="552">
        <f t="shared" si="1047"/>
        <v>451330.59109481826</v>
      </c>
      <c r="AG654" s="552">
        <f t="shared" si="1047"/>
        <v>461181.59415911185</v>
      </c>
      <c r="AH654" s="727">
        <f t="shared" si="1047"/>
        <v>471098.51807785616</v>
      </c>
      <c r="AI654" s="18"/>
      <c r="AJ654" s="18"/>
      <c r="AK654" s="18"/>
      <c r="AL654" s="18"/>
      <c r="AM654" s="18"/>
      <c r="AN654" s="18"/>
    </row>
    <row r="655" spans="2:40" ht="21.9" customHeight="1" x14ac:dyDescent="0.25">
      <c r="B655" s="229"/>
      <c r="C655" s="690"/>
      <c r="D655" s="690"/>
      <c r="E655" s="114"/>
      <c r="F655" s="114"/>
      <c r="G655" s="114"/>
      <c r="H655" s="122" t="s">
        <v>19</v>
      </c>
      <c r="I655" s="552">
        <f t="shared" ref="I655:AH655" si="1048">I591*$D$14</f>
        <v>0</v>
      </c>
      <c r="J655" s="552">
        <f t="shared" si="1048"/>
        <v>683579.43400332099</v>
      </c>
      <c r="K655" s="552">
        <f t="shared" si="1048"/>
        <v>735981.7162025884</v>
      </c>
      <c r="L655" s="552">
        <f t="shared" si="1048"/>
        <v>805621.37075062701</v>
      </c>
      <c r="M655" s="552">
        <f t="shared" si="1048"/>
        <v>875282.75425496278</v>
      </c>
      <c r="N655" s="552">
        <f t="shared" si="1048"/>
        <v>945094.95401566045</v>
      </c>
      <c r="O655" s="552">
        <f t="shared" si="1048"/>
        <v>1014736.5159605704</v>
      </c>
      <c r="P655" s="552">
        <f t="shared" si="1048"/>
        <v>1084455.2776535263</v>
      </c>
      <c r="Q655" s="552">
        <f t="shared" si="1048"/>
        <v>1148030.4278246288</v>
      </c>
      <c r="R655" s="552">
        <f t="shared" si="1048"/>
        <v>1211557.0671094579</v>
      </c>
      <c r="S655" s="552">
        <f t="shared" si="1048"/>
        <v>1275149.3327688945</v>
      </c>
      <c r="T655" s="552">
        <f t="shared" si="1048"/>
        <v>1338751.2680304418</v>
      </c>
      <c r="U655" s="552">
        <f t="shared" si="1048"/>
        <v>1402599.3355074613</v>
      </c>
      <c r="V655" s="552">
        <f t="shared" si="1048"/>
        <v>1448938.5533239595</v>
      </c>
      <c r="W655" s="552">
        <f t="shared" si="1048"/>
        <v>1488603.4201559997</v>
      </c>
      <c r="X655" s="552">
        <f t="shared" si="1048"/>
        <v>1528288.7433459624</v>
      </c>
      <c r="Y655" s="552">
        <f t="shared" si="1048"/>
        <v>1567999.9705903474</v>
      </c>
      <c r="Z655" s="552">
        <f t="shared" si="1048"/>
        <v>1607786.9140084747</v>
      </c>
      <c r="AA655" s="552">
        <f t="shared" si="1048"/>
        <v>1647571.6009013073</v>
      </c>
      <c r="AB655" s="552">
        <f t="shared" si="1048"/>
        <v>1687504.338398373</v>
      </c>
      <c r="AC655" s="552">
        <f t="shared" si="1048"/>
        <v>1727402.9020133563</v>
      </c>
      <c r="AD655" s="552">
        <f t="shared" si="1048"/>
        <v>1767379.0107805214</v>
      </c>
      <c r="AE655" s="552">
        <f t="shared" si="1048"/>
        <v>1807493.7170288053</v>
      </c>
      <c r="AF655" s="552">
        <f t="shared" si="1048"/>
        <v>1847681.1440396444</v>
      </c>
      <c r="AG655" s="552">
        <f t="shared" si="1048"/>
        <v>1888009.7035720695</v>
      </c>
      <c r="AH655" s="727">
        <f t="shared" si="1048"/>
        <v>1928608.1333995087</v>
      </c>
      <c r="AI655" s="18"/>
      <c r="AJ655" s="18"/>
      <c r="AK655" s="18"/>
      <c r="AL655" s="18"/>
      <c r="AM655" s="18"/>
      <c r="AN655" s="18"/>
    </row>
    <row r="656" spans="2:40" ht="21.9" customHeight="1" x14ac:dyDescent="0.25">
      <c r="B656" s="229"/>
      <c r="C656" s="690"/>
      <c r="D656" s="690"/>
      <c r="E656" s="250"/>
      <c r="F656" s="250"/>
      <c r="G656" s="250"/>
      <c r="H656" s="696" t="s">
        <v>25</v>
      </c>
      <c r="I656" s="552">
        <f t="shared" ref="I656:AH656" si="1049">SUM(I654:I655)</f>
        <v>0</v>
      </c>
      <c r="J656" s="552">
        <f t="shared" si="1049"/>
        <v>850556.46410628152</v>
      </c>
      <c r="K656" s="552">
        <f t="shared" si="1049"/>
        <v>915758.9813872386</v>
      </c>
      <c r="L656" s="552">
        <f t="shared" si="1049"/>
        <v>1002409.420805922</v>
      </c>
      <c r="M656" s="552">
        <f t="shared" si="1049"/>
        <v>1089086.8968838691</v>
      </c>
      <c r="N656" s="552">
        <f t="shared" si="1049"/>
        <v>1175952.0289025307</v>
      </c>
      <c r="O656" s="552">
        <f t="shared" si="1049"/>
        <v>1262604.8416353569</v>
      </c>
      <c r="P656" s="552">
        <f t="shared" si="1049"/>
        <v>1349353.7115949832</v>
      </c>
      <c r="Q656" s="552">
        <f t="shared" si="1049"/>
        <v>1428458.2782989254</v>
      </c>
      <c r="R656" s="552">
        <f t="shared" si="1049"/>
        <v>1507502.4844275683</v>
      </c>
      <c r="S656" s="552">
        <f t="shared" si="1049"/>
        <v>1586628.3473971889</v>
      </c>
      <c r="T656" s="552">
        <f t="shared" si="1049"/>
        <v>1665766.2419496391</v>
      </c>
      <c r="U656" s="552">
        <f t="shared" si="1049"/>
        <v>1745210.3911032095</v>
      </c>
      <c r="V656" s="552">
        <f t="shared" si="1049"/>
        <v>1802868.827409033</v>
      </c>
      <c r="W656" s="552">
        <f t="shared" si="1049"/>
        <v>1852222.5779809712</v>
      </c>
      <c r="X656" s="552">
        <f t="shared" si="1049"/>
        <v>1901601.7817579028</v>
      </c>
      <c r="Y656" s="552">
        <f t="shared" si="1049"/>
        <v>1951013.2171378345</v>
      </c>
      <c r="Z656" s="552">
        <f t="shared" si="1049"/>
        <v>2000518.8637795597</v>
      </c>
      <c r="AA656" s="552">
        <f t="shared" si="1049"/>
        <v>2050021.7026975879</v>
      </c>
      <c r="AB656" s="552">
        <f t="shared" si="1049"/>
        <v>2099708.7563420711</v>
      </c>
      <c r="AC656" s="552">
        <f t="shared" si="1049"/>
        <v>2149353.2884962009</v>
      </c>
      <c r="AD656" s="552">
        <f t="shared" si="1049"/>
        <v>2199094.3076526709</v>
      </c>
      <c r="AE656" s="552">
        <f t="shared" si="1049"/>
        <v>2249007.7793107969</v>
      </c>
      <c r="AF656" s="552">
        <f t="shared" si="1049"/>
        <v>2299011.7351344628</v>
      </c>
      <c r="AG656" s="552">
        <f t="shared" si="1049"/>
        <v>2349191.2977311816</v>
      </c>
      <c r="AH656" s="727">
        <f t="shared" si="1049"/>
        <v>2399706.6514773648</v>
      </c>
      <c r="AI656" s="18"/>
      <c r="AJ656" s="18"/>
      <c r="AK656" s="18"/>
      <c r="AL656" s="18"/>
      <c r="AM656" s="18"/>
      <c r="AN656" s="18"/>
    </row>
    <row r="657" spans="2:40" ht="21.9" customHeight="1" x14ac:dyDescent="0.25">
      <c r="B657" s="229"/>
      <c r="C657" s="690"/>
      <c r="D657" s="690"/>
      <c r="E657" s="217" t="s">
        <v>333</v>
      </c>
      <c r="F657" s="217" t="s">
        <v>319</v>
      </c>
      <c r="G657" s="217" t="s">
        <v>308</v>
      </c>
      <c r="H657" s="114" t="s">
        <v>20</v>
      </c>
      <c r="I657" s="552">
        <f t="shared" ref="I657:AH657" si="1050">I593*$D$13</f>
        <v>250053.35446987036</v>
      </c>
      <c r="J657" s="552">
        <f t="shared" si="1050"/>
        <v>253488.2590457644</v>
      </c>
      <c r="K657" s="552">
        <f t="shared" si="1050"/>
        <v>259426.09933889375</v>
      </c>
      <c r="L657" s="552">
        <f t="shared" si="1050"/>
        <v>267579.61910599814</v>
      </c>
      <c r="M657" s="552">
        <f t="shared" si="1050"/>
        <v>275738.85155674617</v>
      </c>
      <c r="N657" s="552">
        <f t="shared" si="1050"/>
        <v>283912.84112159809</v>
      </c>
      <c r="O657" s="552">
        <f t="shared" si="1050"/>
        <v>292075.33776029083</v>
      </c>
      <c r="P657" s="552">
        <f t="shared" si="1050"/>
        <v>300271.30064475344</v>
      </c>
      <c r="Q657" s="552">
        <f t="shared" si="1050"/>
        <v>305958.69367340911</v>
      </c>
      <c r="R657" s="552">
        <f t="shared" si="1050"/>
        <v>311650.38138613658</v>
      </c>
      <c r="S657" s="552">
        <f t="shared" si="1050"/>
        <v>317347.01186512061</v>
      </c>
      <c r="T657" s="552">
        <f t="shared" si="1050"/>
        <v>323047.23901804216</v>
      </c>
      <c r="U657" s="552">
        <f t="shared" si="1050"/>
        <v>328793.88637329871</v>
      </c>
      <c r="V657" s="552">
        <f t="shared" si="1050"/>
        <v>332252.42042114364</v>
      </c>
      <c r="W657" s="552">
        <f t="shared" si="1050"/>
        <v>335713.71074913826</v>
      </c>
      <c r="X657" s="552">
        <f t="shared" si="1050"/>
        <v>339178.02491086128</v>
      </c>
      <c r="Y657" s="552">
        <f t="shared" si="1050"/>
        <v>342645.6530746005</v>
      </c>
      <c r="Z657" s="552">
        <f t="shared" si="1050"/>
        <v>346140.79997848312</v>
      </c>
      <c r="AA657" s="552">
        <f t="shared" si="1050"/>
        <v>349616.05496388616</v>
      </c>
      <c r="AB657" s="552">
        <f t="shared" si="1050"/>
        <v>353109.03513911786</v>
      </c>
      <c r="AC657" s="552">
        <f t="shared" si="1050"/>
        <v>356593.39145178994</v>
      </c>
      <c r="AD657" s="552">
        <f t="shared" si="1050"/>
        <v>360082.92230799404</v>
      </c>
      <c r="AE657" s="552">
        <f t="shared" si="1050"/>
        <v>363602.15629120416</v>
      </c>
      <c r="AF657" s="552">
        <f t="shared" si="1050"/>
        <v>367103.51739063056</v>
      </c>
      <c r="AG657" s="552">
        <f t="shared" si="1050"/>
        <v>370611.57058769284</v>
      </c>
      <c r="AH657" s="727">
        <f t="shared" si="1050"/>
        <v>374140.42890982074</v>
      </c>
      <c r="AI657" s="18"/>
      <c r="AJ657" s="18"/>
      <c r="AK657" s="18"/>
      <c r="AL657" s="18"/>
      <c r="AM657" s="18"/>
      <c r="AN657" s="18"/>
    </row>
    <row r="658" spans="2:40" ht="21.9" customHeight="1" x14ac:dyDescent="0.25">
      <c r="B658" s="229"/>
      <c r="C658" s="690"/>
      <c r="D658" s="690"/>
      <c r="E658" s="114"/>
      <c r="F658" s="114"/>
      <c r="G658" s="114"/>
      <c r="H658" s="122" t="s">
        <v>19</v>
      </c>
      <c r="I658" s="552">
        <f t="shared" ref="I658:AH658" si="1051">I594*$D$14</f>
        <v>1023681.7028889965</v>
      </c>
      <c r="J658" s="552">
        <f t="shared" si="1051"/>
        <v>1037743.6976699386</v>
      </c>
      <c r="K658" s="552">
        <f t="shared" si="1051"/>
        <v>1062052.3436212807</v>
      </c>
      <c r="L658" s="552">
        <f t="shared" si="1051"/>
        <v>1095431.6558781543</v>
      </c>
      <c r="M658" s="552">
        <f t="shared" si="1051"/>
        <v>1128834.3550227298</v>
      </c>
      <c r="N658" s="552">
        <f t="shared" si="1051"/>
        <v>1162297.4676247754</v>
      </c>
      <c r="O658" s="552">
        <f t="shared" si="1051"/>
        <v>1195713.5298753199</v>
      </c>
      <c r="P658" s="552">
        <f t="shared" si="1051"/>
        <v>1229266.5980201932</v>
      </c>
      <c r="Q658" s="552">
        <f t="shared" si="1051"/>
        <v>1252549.9496589522</v>
      </c>
      <c r="R658" s="552">
        <f t="shared" si="1051"/>
        <v>1275850.8831034554</v>
      </c>
      <c r="S658" s="552">
        <f t="shared" si="1051"/>
        <v>1299172.0515069705</v>
      </c>
      <c r="T658" s="552">
        <f t="shared" si="1051"/>
        <v>1322507.9441652708</v>
      </c>
      <c r="U658" s="552">
        <f t="shared" si="1051"/>
        <v>1346033.8743132721</v>
      </c>
      <c r="V658" s="552">
        <f t="shared" si="1051"/>
        <v>1360192.6046814509</v>
      </c>
      <c r="W658" s="552">
        <f t="shared" si="1051"/>
        <v>1374362.6188556924</v>
      </c>
      <c r="X658" s="552">
        <f t="shared" si="1051"/>
        <v>1388545.0121610477</v>
      </c>
      <c r="Y658" s="552">
        <f t="shared" si="1051"/>
        <v>1402740.9725038637</v>
      </c>
      <c r="Z658" s="552">
        <f t="shared" si="1051"/>
        <v>1417049.590526602</v>
      </c>
      <c r="AA658" s="552">
        <f t="shared" si="1051"/>
        <v>1431276.7739570066</v>
      </c>
      <c r="AB658" s="552">
        <f t="shared" si="1051"/>
        <v>1445576.5217109185</v>
      </c>
      <c r="AC658" s="552">
        <f t="shared" si="1051"/>
        <v>1459840.9646382702</v>
      </c>
      <c r="AD658" s="552">
        <f t="shared" si="1051"/>
        <v>1474126.5913867531</v>
      </c>
      <c r="AE658" s="552">
        <f t="shared" si="1051"/>
        <v>1488533.8183741097</v>
      </c>
      <c r="AF658" s="552">
        <f t="shared" si="1051"/>
        <v>1502867.8764006016</v>
      </c>
      <c r="AG658" s="552">
        <f t="shared" si="1051"/>
        <v>1517229.3308918136</v>
      </c>
      <c r="AH658" s="727">
        <f t="shared" si="1051"/>
        <v>1531675.9585089814</v>
      </c>
      <c r="AI658" s="18"/>
      <c r="AJ658" s="18"/>
      <c r="AK658" s="18"/>
      <c r="AL658" s="18"/>
      <c r="AM658" s="18"/>
      <c r="AN658" s="18"/>
    </row>
    <row r="659" spans="2:40" ht="21.9" customHeight="1" x14ac:dyDescent="0.25">
      <c r="B659" s="229"/>
      <c r="C659" s="690"/>
      <c r="D659" s="690"/>
      <c r="E659" s="250"/>
      <c r="F659" s="250"/>
      <c r="G659" s="250"/>
      <c r="H659" s="696" t="s">
        <v>25</v>
      </c>
      <c r="I659" s="552">
        <f t="shared" ref="I659:AH659" si="1052">SUM(I657:I658)</f>
        <v>1273735.0573588668</v>
      </c>
      <c r="J659" s="552">
        <f t="shared" si="1052"/>
        <v>1291231.956715703</v>
      </c>
      <c r="K659" s="552">
        <f t="shared" si="1052"/>
        <v>1321478.4429601745</v>
      </c>
      <c r="L659" s="552">
        <f t="shared" si="1052"/>
        <v>1363011.2749841525</v>
      </c>
      <c r="M659" s="552">
        <f t="shared" si="1052"/>
        <v>1404573.2065794761</v>
      </c>
      <c r="N659" s="552">
        <f t="shared" si="1052"/>
        <v>1446210.3087463735</v>
      </c>
      <c r="O659" s="552">
        <f t="shared" si="1052"/>
        <v>1487788.8676356107</v>
      </c>
      <c r="P659" s="552">
        <f t="shared" si="1052"/>
        <v>1529537.8986649467</v>
      </c>
      <c r="Q659" s="552">
        <f t="shared" si="1052"/>
        <v>1558508.6433323612</v>
      </c>
      <c r="R659" s="552">
        <f t="shared" si="1052"/>
        <v>1587501.2644895921</v>
      </c>
      <c r="S659" s="552">
        <f t="shared" si="1052"/>
        <v>1616519.0633720912</v>
      </c>
      <c r="T659" s="552">
        <f t="shared" si="1052"/>
        <v>1645555.1831833129</v>
      </c>
      <c r="U659" s="552">
        <f t="shared" si="1052"/>
        <v>1674827.7606865708</v>
      </c>
      <c r="V659" s="552">
        <f t="shared" si="1052"/>
        <v>1692445.0251025944</v>
      </c>
      <c r="W659" s="552">
        <f t="shared" si="1052"/>
        <v>1710076.3296048306</v>
      </c>
      <c r="X659" s="552">
        <f t="shared" si="1052"/>
        <v>1727723.0370719088</v>
      </c>
      <c r="Y659" s="552">
        <f t="shared" si="1052"/>
        <v>1745386.6255784642</v>
      </c>
      <c r="Z659" s="552">
        <f t="shared" si="1052"/>
        <v>1763190.3905050852</v>
      </c>
      <c r="AA659" s="552">
        <f t="shared" si="1052"/>
        <v>1780892.8289208929</v>
      </c>
      <c r="AB659" s="552">
        <f t="shared" si="1052"/>
        <v>1798685.5568500364</v>
      </c>
      <c r="AC659" s="552">
        <f t="shared" si="1052"/>
        <v>1816434.3560900602</v>
      </c>
      <c r="AD659" s="552">
        <f t="shared" si="1052"/>
        <v>1834209.5136947471</v>
      </c>
      <c r="AE659" s="552">
        <f t="shared" si="1052"/>
        <v>1852135.974665314</v>
      </c>
      <c r="AF659" s="552">
        <f t="shared" si="1052"/>
        <v>1869971.3937912323</v>
      </c>
      <c r="AG659" s="552">
        <f t="shared" si="1052"/>
        <v>1887840.9014795064</v>
      </c>
      <c r="AH659" s="727">
        <f t="shared" si="1052"/>
        <v>1905816.3874188021</v>
      </c>
      <c r="AI659" s="18"/>
      <c r="AJ659" s="18"/>
      <c r="AK659" s="18"/>
      <c r="AL659" s="18"/>
      <c r="AM659" s="18"/>
      <c r="AN659" s="18"/>
    </row>
    <row r="660" spans="2:40" ht="21.9" customHeight="1" x14ac:dyDescent="0.25">
      <c r="B660" s="229"/>
      <c r="C660" s="690"/>
      <c r="D660" s="690"/>
      <c r="E660" s="114" t="s">
        <v>319</v>
      </c>
      <c r="F660" s="114" t="s">
        <v>276</v>
      </c>
      <c r="G660" s="114" t="s">
        <v>333</v>
      </c>
      <c r="H660" s="114" t="s">
        <v>20</v>
      </c>
      <c r="I660" s="552">
        <f t="shared" ref="I660:AH660" si="1053">I596*$D$13</f>
        <v>512452.25307313132</v>
      </c>
      <c r="J660" s="552">
        <f t="shared" si="1053"/>
        <v>527224.72402450698</v>
      </c>
      <c r="K660" s="552">
        <f t="shared" si="1053"/>
        <v>543214.27381166769</v>
      </c>
      <c r="L660" s="552">
        <f t="shared" si="1053"/>
        <v>564427.2626140893</v>
      </c>
      <c r="M660" s="552">
        <f t="shared" si="1053"/>
        <v>585643.85180222278</v>
      </c>
      <c r="N660" s="552">
        <f t="shared" si="1053"/>
        <v>606869.17111847689</v>
      </c>
      <c r="O660" s="552">
        <f t="shared" si="1053"/>
        <v>628082.2168942336</v>
      </c>
      <c r="P660" s="552">
        <f t="shared" si="1053"/>
        <v>649300.93419041415</v>
      </c>
      <c r="Q660" s="552">
        <f t="shared" si="1053"/>
        <v>672649.46937437821</v>
      </c>
      <c r="R660" s="552">
        <f t="shared" si="1053"/>
        <v>695990.39518105704</v>
      </c>
      <c r="S660" s="552">
        <f t="shared" si="1053"/>
        <v>719339.11315470689</v>
      </c>
      <c r="T660" s="552">
        <f t="shared" si="1053"/>
        <v>742687.97279175278</v>
      </c>
      <c r="U660" s="552">
        <f t="shared" si="1053"/>
        <v>766050.3454240557</v>
      </c>
      <c r="V660" s="552">
        <f t="shared" si="1053"/>
        <v>784173.93012082868</v>
      </c>
      <c r="W660" s="552">
        <f t="shared" si="1053"/>
        <v>798947.10562003823</v>
      </c>
      <c r="X660" s="552">
        <f t="shared" si="1053"/>
        <v>813720.42634487117</v>
      </c>
      <c r="Y660" s="552">
        <f t="shared" si="1053"/>
        <v>828493.91831836232</v>
      </c>
      <c r="Z660" s="552">
        <f t="shared" si="1053"/>
        <v>843266.0741302676</v>
      </c>
      <c r="AA660" s="552">
        <f t="shared" si="1053"/>
        <v>858040.00344391458</v>
      </c>
      <c r="AB660" s="552">
        <f t="shared" si="1053"/>
        <v>872812.67114419863</v>
      </c>
      <c r="AC660" s="552">
        <f t="shared" si="1053"/>
        <v>887587.19810718147</v>
      </c>
      <c r="AD660" s="552">
        <f t="shared" si="1053"/>
        <v>902362.09925084747</v>
      </c>
      <c r="AE660" s="552">
        <f t="shared" si="1053"/>
        <v>917135.89680060733</v>
      </c>
      <c r="AF660" s="552">
        <f t="shared" si="1053"/>
        <v>931911.7343467701</v>
      </c>
      <c r="AG660" s="552">
        <f t="shared" si="1053"/>
        <v>946688.15192807012</v>
      </c>
      <c r="AH660" s="727">
        <f t="shared" si="1053"/>
        <v>961463.69983638695</v>
      </c>
      <c r="AI660" s="18"/>
      <c r="AJ660" s="18"/>
      <c r="AK660" s="18"/>
      <c r="AL660" s="18"/>
      <c r="AM660" s="18"/>
      <c r="AN660" s="18"/>
    </row>
    <row r="661" spans="2:40" ht="21.9" customHeight="1" x14ac:dyDescent="0.25">
      <c r="B661" s="229"/>
      <c r="C661" s="690"/>
      <c r="D661" s="690"/>
      <c r="E661" s="114"/>
      <c r="F661" s="114"/>
      <c r="G661" s="114"/>
      <c r="H661" s="122" t="s">
        <v>19</v>
      </c>
      <c r="I661" s="552">
        <f t="shared" ref="I661:AH661" si="1054">I597*$D$14</f>
        <v>2097904.2500244281</v>
      </c>
      <c r="J661" s="552">
        <f t="shared" si="1054"/>
        <v>2158380.5761726727</v>
      </c>
      <c r="K661" s="552">
        <f t="shared" si="1054"/>
        <v>2223839.4442980406</v>
      </c>
      <c r="L661" s="552">
        <f t="shared" si="1054"/>
        <v>2310682.3044814849</v>
      </c>
      <c r="M661" s="552">
        <f t="shared" si="1054"/>
        <v>2397539.9041151735</v>
      </c>
      <c r="N661" s="552">
        <f t="shared" si="1054"/>
        <v>2484433.24361102</v>
      </c>
      <c r="O661" s="552">
        <f t="shared" si="1054"/>
        <v>2571276.3370349291</v>
      </c>
      <c r="P661" s="552">
        <f t="shared" si="1054"/>
        <v>2658142.6488303645</v>
      </c>
      <c r="Q661" s="552">
        <f t="shared" si="1054"/>
        <v>2753728.1222096626</v>
      </c>
      <c r="R661" s="552">
        <f t="shared" si="1054"/>
        <v>2849282.4439160959</v>
      </c>
      <c r="S661" s="552">
        <f t="shared" si="1054"/>
        <v>2944868.6656095176</v>
      </c>
      <c r="T661" s="552">
        <f t="shared" si="1054"/>
        <v>3040455.4672520733</v>
      </c>
      <c r="U661" s="552">
        <f t="shared" si="1054"/>
        <v>3136097.5891122892</v>
      </c>
      <c r="V661" s="552">
        <f t="shared" si="1054"/>
        <v>3210292.882689449</v>
      </c>
      <c r="W661" s="552">
        <f t="shared" si="1054"/>
        <v>3270772.0931530348</v>
      </c>
      <c r="X661" s="552">
        <f t="shared" si="1054"/>
        <v>3331251.8981489898</v>
      </c>
      <c r="Y661" s="552">
        <f t="shared" si="1054"/>
        <v>3391732.4042117973</v>
      </c>
      <c r="Z661" s="552">
        <f t="shared" si="1054"/>
        <v>3452207.4402253409</v>
      </c>
      <c r="AA661" s="552">
        <f t="shared" si="1054"/>
        <v>3512689.7366945054</v>
      </c>
      <c r="AB661" s="552">
        <f t="shared" si="1054"/>
        <v>3573166.8683038806</v>
      </c>
      <c r="AC661" s="552">
        <f t="shared" si="1054"/>
        <v>3633651.6114616371</v>
      </c>
      <c r="AD661" s="552">
        <f t="shared" si="1054"/>
        <v>3694137.8864601478</v>
      </c>
      <c r="AE661" s="552">
        <f t="shared" si="1054"/>
        <v>3754619.643507313</v>
      </c>
      <c r="AF661" s="552">
        <f t="shared" si="1054"/>
        <v>3815109.7520000972</v>
      </c>
      <c r="AG661" s="552">
        <f t="shared" si="1054"/>
        <v>3875602.235071532</v>
      </c>
      <c r="AH661" s="727">
        <f t="shared" si="1054"/>
        <v>3936091.1578295198</v>
      </c>
      <c r="AI661" s="18"/>
      <c r="AJ661" s="18"/>
      <c r="AK661" s="18"/>
      <c r="AL661" s="18"/>
      <c r="AM661" s="18"/>
      <c r="AN661" s="18"/>
    </row>
    <row r="662" spans="2:40" ht="21.9" customHeight="1" x14ac:dyDescent="0.25">
      <c r="B662" s="229"/>
      <c r="C662" s="690"/>
      <c r="D662" s="690"/>
      <c r="E662" s="114"/>
      <c r="F662" s="114"/>
      <c r="G662" s="114"/>
      <c r="H662" s="696" t="s">
        <v>25</v>
      </c>
      <c r="I662" s="552">
        <f t="shared" ref="I662:AH662" si="1055">SUM(I660:I661)</f>
        <v>2610356.5030975593</v>
      </c>
      <c r="J662" s="552">
        <f t="shared" si="1055"/>
        <v>2685605.3001971794</v>
      </c>
      <c r="K662" s="552">
        <f t="shared" si="1055"/>
        <v>2767053.7181097083</v>
      </c>
      <c r="L662" s="552">
        <f t="shared" si="1055"/>
        <v>2875109.567095574</v>
      </c>
      <c r="M662" s="552">
        <f t="shared" si="1055"/>
        <v>2983183.7559173964</v>
      </c>
      <c r="N662" s="552">
        <f t="shared" si="1055"/>
        <v>3091302.4147294969</v>
      </c>
      <c r="O662" s="552">
        <f t="shared" si="1055"/>
        <v>3199358.5539291627</v>
      </c>
      <c r="P662" s="552">
        <f t="shared" si="1055"/>
        <v>3307443.5830207784</v>
      </c>
      <c r="Q662" s="552">
        <f t="shared" si="1055"/>
        <v>3426377.5915840408</v>
      </c>
      <c r="R662" s="552">
        <f t="shared" si="1055"/>
        <v>3545272.8390971529</v>
      </c>
      <c r="S662" s="552">
        <f t="shared" si="1055"/>
        <v>3664207.7787642246</v>
      </c>
      <c r="T662" s="552">
        <f t="shared" si="1055"/>
        <v>3783143.4400438261</v>
      </c>
      <c r="U662" s="552">
        <f t="shared" si="1055"/>
        <v>3902147.9345363448</v>
      </c>
      <c r="V662" s="552">
        <f t="shared" si="1055"/>
        <v>3994466.8128102776</v>
      </c>
      <c r="W662" s="552">
        <f t="shared" si="1055"/>
        <v>4069719.198773073</v>
      </c>
      <c r="X662" s="552">
        <f t="shared" si="1055"/>
        <v>4144972.3244938608</v>
      </c>
      <c r="Y662" s="552">
        <f t="shared" si="1055"/>
        <v>4220226.3225301597</v>
      </c>
      <c r="Z662" s="552">
        <f t="shared" si="1055"/>
        <v>4295473.5143556083</v>
      </c>
      <c r="AA662" s="552">
        <f t="shared" si="1055"/>
        <v>4370729.7401384199</v>
      </c>
      <c r="AB662" s="552">
        <f t="shared" si="1055"/>
        <v>4445979.5394480787</v>
      </c>
      <c r="AC662" s="552">
        <f t="shared" si="1055"/>
        <v>4521238.8095688187</v>
      </c>
      <c r="AD662" s="552">
        <f t="shared" si="1055"/>
        <v>4596499.9857109953</v>
      </c>
      <c r="AE662" s="552">
        <f t="shared" si="1055"/>
        <v>4671755.5403079204</v>
      </c>
      <c r="AF662" s="552">
        <f t="shared" si="1055"/>
        <v>4747021.4863468669</v>
      </c>
      <c r="AG662" s="552">
        <f t="shared" si="1055"/>
        <v>4822290.3869996024</v>
      </c>
      <c r="AH662" s="727">
        <f t="shared" si="1055"/>
        <v>4897554.8576659067</v>
      </c>
      <c r="AI662" s="18"/>
      <c r="AJ662" s="18"/>
      <c r="AK662" s="18"/>
      <c r="AL662" s="18"/>
      <c r="AM662" s="18"/>
      <c r="AN662" s="18"/>
    </row>
    <row r="663" spans="2:40" ht="21.9" customHeight="1" x14ac:dyDescent="0.25">
      <c r="B663" s="229"/>
      <c r="C663" s="690"/>
      <c r="D663" s="690"/>
      <c r="E663" s="114"/>
      <c r="F663" s="114" t="s">
        <v>333</v>
      </c>
      <c r="G663" s="114" t="s">
        <v>323</v>
      </c>
      <c r="H663" s="114" t="s">
        <v>20</v>
      </c>
      <c r="I663" s="552">
        <f t="shared" ref="I663:AH663" si="1056">I599*$D$13</f>
        <v>74631.825897541814</v>
      </c>
      <c r="J663" s="552">
        <f t="shared" si="1056"/>
        <v>76749.995046831507</v>
      </c>
      <c r="K663" s="552">
        <f t="shared" si="1056"/>
        <v>79100.603100743334</v>
      </c>
      <c r="L663" s="552">
        <f t="shared" si="1056"/>
        <v>82399.919285484153</v>
      </c>
      <c r="M663" s="552">
        <f t="shared" si="1056"/>
        <v>85699.824813285479</v>
      </c>
      <c r="N663" s="552">
        <f t="shared" si="1056"/>
        <v>89000.41794509496</v>
      </c>
      <c r="O663" s="552">
        <f t="shared" si="1056"/>
        <v>92299.734768076727</v>
      </c>
      <c r="P663" s="552">
        <f t="shared" si="1056"/>
        <v>95599.248390648936</v>
      </c>
      <c r="Q663" s="552">
        <f t="shared" si="1056"/>
        <v>99307.76488636095</v>
      </c>
      <c r="R663" s="552">
        <f t="shared" si="1056"/>
        <v>103015.00576080692</v>
      </c>
      <c r="S663" s="552">
        <f t="shared" si="1056"/>
        <v>106723.52459119892</v>
      </c>
      <c r="T663" s="552">
        <f t="shared" si="1056"/>
        <v>110432.04528762004</v>
      </c>
      <c r="U663" s="552">
        <f t="shared" si="1056"/>
        <v>114141.15772077031</v>
      </c>
      <c r="V663" s="552">
        <f t="shared" si="1056"/>
        <v>116901.36565228621</v>
      </c>
      <c r="W663" s="552">
        <f t="shared" si="1056"/>
        <v>119019.54299960152</v>
      </c>
      <c r="X663" s="552">
        <f t="shared" si="1056"/>
        <v>121137.72196253996</v>
      </c>
      <c r="Y663" s="552">
        <f t="shared" si="1056"/>
        <v>123255.90281899153</v>
      </c>
      <c r="Z663" s="552">
        <f t="shared" si="1056"/>
        <v>125373.00568326721</v>
      </c>
      <c r="AA663" s="552">
        <f t="shared" si="1056"/>
        <v>127491.19133107978</v>
      </c>
      <c r="AB663" s="552">
        <f t="shared" si="1056"/>
        <v>129608.29976972051</v>
      </c>
      <c r="AC663" s="552">
        <f t="shared" si="1056"/>
        <v>131726.49189316426</v>
      </c>
      <c r="AD663" s="552">
        <f t="shared" si="1056"/>
        <v>133844.68804087443</v>
      </c>
      <c r="AE663" s="552">
        <f t="shared" si="1056"/>
        <v>135961.80861895569</v>
      </c>
      <c r="AF663" s="552">
        <f t="shared" si="1056"/>
        <v>138080.01475926628</v>
      </c>
      <c r="AG663" s="552">
        <f t="shared" si="1056"/>
        <v>140198.22704770614</v>
      </c>
      <c r="AH663" s="727">
        <f t="shared" si="1056"/>
        <v>142315.36616170415</v>
      </c>
      <c r="AI663" s="18"/>
      <c r="AJ663" s="18"/>
      <c r="AK663" s="18"/>
      <c r="AL663" s="18"/>
      <c r="AM663" s="18"/>
      <c r="AN663" s="18"/>
    </row>
    <row r="664" spans="2:40" ht="21.9" customHeight="1" x14ac:dyDescent="0.25">
      <c r="B664" s="229"/>
      <c r="C664" s="690"/>
      <c r="D664" s="690"/>
      <c r="E664" s="114"/>
      <c r="F664" s="114"/>
      <c r="G664" s="114"/>
      <c r="H664" s="122" t="s">
        <v>19</v>
      </c>
      <c r="I664" s="552">
        <f t="shared" ref="I664:AH664" si="1057">I600*$D$14</f>
        <v>305531.73256356479</v>
      </c>
      <c r="J664" s="552">
        <f t="shared" si="1057"/>
        <v>314203.20592311566</v>
      </c>
      <c r="K664" s="552">
        <f t="shared" si="1057"/>
        <v>323826.25001526356</v>
      </c>
      <c r="L664" s="552">
        <f t="shared" si="1057"/>
        <v>337333.16583938885</v>
      </c>
      <c r="M664" s="552">
        <f t="shared" si="1057"/>
        <v>350842.49434743531</v>
      </c>
      <c r="N664" s="552">
        <f t="shared" si="1057"/>
        <v>364354.63780528912</v>
      </c>
      <c r="O664" s="552">
        <f t="shared" si="1057"/>
        <v>377861.55624227913</v>
      </c>
      <c r="P664" s="552">
        <f t="shared" si="1057"/>
        <v>391369.28034788452</v>
      </c>
      <c r="Q664" s="552">
        <f t="shared" si="1057"/>
        <v>406551.4021377358</v>
      </c>
      <c r="R664" s="552">
        <f t="shared" si="1057"/>
        <v>421728.30172149965</v>
      </c>
      <c r="S664" s="552">
        <f t="shared" si="1057"/>
        <v>436910.43306918786</v>
      </c>
      <c r="T664" s="552">
        <f t="shared" si="1057"/>
        <v>452092.57205612503</v>
      </c>
      <c r="U664" s="552">
        <f t="shared" si="1057"/>
        <v>467277.13352631126</v>
      </c>
      <c r="V664" s="552">
        <f t="shared" si="1057"/>
        <v>478577.0193512878</v>
      </c>
      <c r="W664" s="552">
        <f t="shared" si="1057"/>
        <v>487248.52627235133</v>
      </c>
      <c r="X664" s="552">
        <f t="shared" si="1057"/>
        <v>495920.03980753862</v>
      </c>
      <c r="Y664" s="552">
        <f t="shared" si="1057"/>
        <v>504591.56109449052</v>
      </c>
      <c r="Z664" s="552">
        <f t="shared" si="1057"/>
        <v>513258.66923982056</v>
      </c>
      <c r="AA664" s="552">
        <f t="shared" si="1057"/>
        <v>521930.21014190058</v>
      </c>
      <c r="AB664" s="552">
        <f t="shared" si="1057"/>
        <v>530597.3411078623</v>
      </c>
      <c r="AC664" s="552">
        <f t="shared" si="1057"/>
        <v>539268.90852022509</v>
      </c>
      <c r="AD664" s="552">
        <f t="shared" si="1057"/>
        <v>547940.49240734358</v>
      </c>
      <c r="AE664" s="552">
        <f t="shared" si="1057"/>
        <v>556607.67307039176</v>
      </c>
      <c r="AF664" s="552">
        <f t="shared" si="1057"/>
        <v>565279.29786574852</v>
      </c>
      <c r="AG664" s="552">
        <f t="shared" si="1057"/>
        <v>573950.94783064339</v>
      </c>
      <c r="AH664" s="727">
        <f t="shared" si="1057"/>
        <v>582618.20437701198</v>
      </c>
      <c r="AI664" s="18"/>
      <c r="AJ664" s="18"/>
      <c r="AK664" s="18"/>
      <c r="AL664" s="18"/>
      <c r="AM664" s="18"/>
      <c r="AN664" s="18"/>
    </row>
    <row r="665" spans="2:40" ht="21.9" customHeight="1" x14ac:dyDescent="0.25">
      <c r="B665" s="229"/>
      <c r="C665" s="690"/>
      <c r="D665" s="690"/>
      <c r="E665" s="114"/>
      <c r="F665" s="114"/>
      <c r="G665" s="114"/>
      <c r="H665" s="696" t="s">
        <v>25</v>
      </c>
      <c r="I665" s="552">
        <f t="shared" ref="I665:AH665" si="1058">SUM(I663:I664)</f>
        <v>380163.55846110662</v>
      </c>
      <c r="J665" s="552">
        <f t="shared" si="1058"/>
        <v>390953.20096994715</v>
      </c>
      <c r="K665" s="552">
        <f t="shared" si="1058"/>
        <v>402926.85311600688</v>
      </c>
      <c r="L665" s="552">
        <f t="shared" si="1058"/>
        <v>419733.08512487297</v>
      </c>
      <c r="M665" s="552">
        <f t="shared" si="1058"/>
        <v>436542.3191607208</v>
      </c>
      <c r="N665" s="552">
        <f t="shared" si="1058"/>
        <v>453355.05575038411</v>
      </c>
      <c r="O665" s="552">
        <f t="shared" si="1058"/>
        <v>470161.29101035587</v>
      </c>
      <c r="P665" s="552">
        <f t="shared" si="1058"/>
        <v>486968.52873853344</v>
      </c>
      <c r="Q665" s="552">
        <f t="shared" si="1058"/>
        <v>505859.16702409677</v>
      </c>
      <c r="R665" s="552">
        <f t="shared" si="1058"/>
        <v>524743.30748230661</v>
      </c>
      <c r="S665" s="552">
        <f t="shared" si="1058"/>
        <v>543633.9576603868</v>
      </c>
      <c r="T665" s="552">
        <f t="shared" si="1058"/>
        <v>562524.61734374508</v>
      </c>
      <c r="U665" s="552">
        <f t="shared" si="1058"/>
        <v>581418.29124708159</v>
      </c>
      <c r="V665" s="552">
        <f t="shared" si="1058"/>
        <v>595478.38500357396</v>
      </c>
      <c r="W665" s="552">
        <f t="shared" si="1058"/>
        <v>606268.06927195285</v>
      </c>
      <c r="X665" s="552">
        <f t="shared" si="1058"/>
        <v>617057.76177007856</v>
      </c>
      <c r="Y665" s="552">
        <f t="shared" si="1058"/>
        <v>627847.46391348203</v>
      </c>
      <c r="Z665" s="552">
        <f t="shared" si="1058"/>
        <v>638631.67492308782</v>
      </c>
      <c r="AA665" s="552">
        <f t="shared" si="1058"/>
        <v>649421.40147298039</v>
      </c>
      <c r="AB665" s="552">
        <f t="shared" si="1058"/>
        <v>660205.64087758283</v>
      </c>
      <c r="AC665" s="552">
        <f t="shared" si="1058"/>
        <v>670995.40041338932</v>
      </c>
      <c r="AD665" s="552">
        <f t="shared" si="1058"/>
        <v>681785.18044821802</v>
      </c>
      <c r="AE665" s="552">
        <f t="shared" si="1058"/>
        <v>692569.48168934742</v>
      </c>
      <c r="AF665" s="552">
        <f t="shared" si="1058"/>
        <v>703359.31262501481</v>
      </c>
      <c r="AG665" s="552">
        <f t="shared" si="1058"/>
        <v>714149.17487834953</v>
      </c>
      <c r="AH665" s="727">
        <f t="shared" si="1058"/>
        <v>724933.57053871616</v>
      </c>
      <c r="AI665" s="18"/>
      <c r="AJ665" s="18"/>
      <c r="AK665" s="18"/>
      <c r="AL665" s="18"/>
      <c r="AM665" s="18"/>
      <c r="AN665" s="18"/>
    </row>
    <row r="666" spans="2:40" ht="21.9" customHeight="1" x14ac:dyDescent="0.25">
      <c r="B666" s="229"/>
      <c r="C666" s="690"/>
      <c r="D666" s="690"/>
      <c r="E666" s="114"/>
      <c r="F666" s="114" t="s">
        <v>323</v>
      </c>
      <c r="G666" s="114" t="s">
        <v>322</v>
      </c>
      <c r="H666" s="114" t="s">
        <v>20</v>
      </c>
      <c r="I666" s="552">
        <f t="shared" ref="I666:AH666" si="1059">I602*$D$13</f>
        <v>22479.344648164213</v>
      </c>
      <c r="J666" s="552">
        <f t="shared" si="1059"/>
        <v>23117.344017216095</v>
      </c>
      <c r="K666" s="552">
        <f t="shared" si="1059"/>
        <v>23825.354752011579</v>
      </c>
      <c r="L666" s="552">
        <f t="shared" si="1059"/>
        <v>24819.119484596915</v>
      </c>
      <c r="M666" s="552">
        <f t="shared" si="1059"/>
        <v>25813.061804048255</v>
      </c>
      <c r="N666" s="552">
        <f t="shared" si="1059"/>
        <v>26807.211338581299</v>
      </c>
      <c r="O666" s="552">
        <f t="shared" si="1059"/>
        <v>27800.976594165997</v>
      </c>
      <c r="P666" s="552">
        <f t="shared" si="1059"/>
        <v>28794.801333736206</v>
      </c>
      <c r="Q666" s="552">
        <f t="shared" si="1059"/>
        <v>29911.819475490083</v>
      </c>
      <c r="R666" s="552">
        <f t="shared" si="1059"/>
        <v>31028.453901710374</v>
      </c>
      <c r="S666" s="552">
        <f t="shared" si="1059"/>
        <v>32145.473956591602</v>
      </c>
      <c r="T666" s="552">
        <f t="shared" si="1059"/>
        <v>33262.49554056942</v>
      </c>
      <c r="U666" s="552">
        <f t="shared" si="1059"/>
        <v>34379.696672878163</v>
      </c>
      <c r="V666" s="552">
        <f t="shared" si="1059"/>
        <v>35211.084674774756</v>
      </c>
      <c r="W666" s="552">
        <f t="shared" si="1059"/>
        <v>35849.090761606749</v>
      </c>
      <c r="X666" s="552">
        <f t="shared" si="1059"/>
        <v>36487.098172342958</v>
      </c>
      <c r="Y666" s="552">
        <f t="shared" si="1059"/>
        <v>37125.107134697311</v>
      </c>
      <c r="Z666" s="552">
        <f t="shared" si="1059"/>
        <v>37762.792545227734</v>
      </c>
      <c r="AA666" s="552">
        <f t="shared" si="1059"/>
        <v>38400.805433809102</v>
      </c>
      <c r="AB666" s="552">
        <f t="shared" si="1059"/>
        <v>39038.495412190401</v>
      </c>
      <c r="AC666" s="552">
        <f t="shared" si="1059"/>
        <v>39676.513607155102</v>
      </c>
      <c r="AD666" s="552">
        <f t="shared" si="1059"/>
        <v>40314.535099759727</v>
      </c>
      <c r="AE666" s="552">
        <f t="shared" si="1059"/>
        <v>40952.23502566947</v>
      </c>
      <c r="AF666" s="552">
        <f t="shared" si="1059"/>
        <v>41590.264706598391</v>
      </c>
      <c r="AG666" s="552">
        <f t="shared" si="1059"/>
        <v>42228.299425542922</v>
      </c>
      <c r="AH666" s="727">
        <f t="shared" si="1059"/>
        <v>42866.014540501659</v>
      </c>
      <c r="AI666" s="18"/>
      <c r="AJ666" s="18"/>
      <c r="AK666" s="18"/>
      <c r="AL666" s="18"/>
      <c r="AM666" s="18"/>
      <c r="AN666" s="18"/>
    </row>
    <row r="667" spans="2:40" ht="21.9" customHeight="1" x14ac:dyDescent="0.25">
      <c r="B667" s="229"/>
      <c r="C667" s="690"/>
      <c r="D667" s="690"/>
      <c r="E667" s="114"/>
      <c r="F667" s="114"/>
      <c r="G667" s="114"/>
      <c r="H667" s="122" t="s">
        <v>19</v>
      </c>
      <c r="I667" s="552">
        <f t="shared" ref="I667:AH667" si="1060">I603*$D$14</f>
        <v>92027.135001038871</v>
      </c>
      <c r="J667" s="552">
        <f t="shared" si="1060"/>
        <v>94639.010702277796</v>
      </c>
      <c r="K667" s="552">
        <f t="shared" si="1060"/>
        <v>97537.502650908937</v>
      </c>
      <c r="L667" s="552">
        <f t="shared" si="1060"/>
        <v>101605.82949211739</v>
      </c>
      <c r="M667" s="552">
        <f t="shared" si="1060"/>
        <v>105674.88334786955</v>
      </c>
      <c r="N667" s="552">
        <f t="shared" si="1060"/>
        <v>109744.78551172841</v>
      </c>
      <c r="O667" s="552">
        <f t="shared" si="1060"/>
        <v>113813.11449401941</v>
      </c>
      <c r="P667" s="552">
        <f t="shared" si="1060"/>
        <v>117881.68699500953</v>
      </c>
      <c r="Q667" s="552">
        <f t="shared" si="1060"/>
        <v>122454.59518867382</v>
      </c>
      <c r="R667" s="552">
        <f t="shared" si="1060"/>
        <v>127025.93250730752</v>
      </c>
      <c r="S667" s="552">
        <f t="shared" si="1060"/>
        <v>131598.84853303418</v>
      </c>
      <c r="T667" s="552">
        <f t="shared" si="1060"/>
        <v>136171.77081865765</v>
      </c>
      <c r="U667" s="552">
        <f t="shared" si="1060"/>
        <v>140745.42814877408</v>
      </c>
      <c r="V667" s="552">
        <f t="shared" si="1060"/>
        <v>144149.00850604355</v>
      </c>
      <c r="W667" s="552">
        <f t="shared" si="1060"/>
        <v>146760.91170888743</v>
      </c>
      <c r="X667" s="552">
        <f t="shared" si="1060"/>
        <v>149372.82033160076</v>
      </c>
      <c r="Y667" s="552">
        <f t="shared" si="1060"/>
        <v>151984.73530641082</v>
      </c>
      <c r="Z667" s="552">
        <f t="shared" si="1060"/>
        <v>154595.32570758025</v>
      </c>
      <c r="AA667" s="552">
        <f t="shared" si="1060"/>
        <v>157207.25675578698</v>
      </c>
      <c r="AB667" s="552">
        <f t="shared" si="1060"/>
        <v>159817.86585706691</v>
      </c>
      <c r="AC667" s="552">
        <f t="shared" si="1060"/>
        <v>162429.81862882755</v>
      </c>
      <c r="AD667" s="552">
        <f t="shared" si="1060"/>
        <v>165041.78490064168</v>
      </c>
      <c r="AE667" s="552">
        <f t="shared" si="1060"/>
        <v>167652.43472564183</v>
      </c>
      <c r="AF667" s="552">
        <f t="shared" si="1060"/>
        <v>170264.43451925286</v>
      </c>
      <c r="AG667" s="552">
        <f t="shared" si="1060"/>
        <v>172876.45493775973</v>
      </c>
      <c r="AH667" s="727">
        <f t="shared" si="1060"/>
        <v>175487.16694449537</v>
      </c>
      <c r="AI667" s="18"/>
      <c r="AJ667" s="18"/>
      <c r="AK667" s="18"/>
      <c r="AL667" s="18"/>
      <c r="AM667" s="18"/>
      <c r="AN667" s="18"/>
    </row>
    <row r="668" spans="2:40" ht="21.9" customHeight="1" x14ac:dyDescent="0.25">
      <c r="B668" s="229"/>
      <c r="C668" s="690"/>
      <c r="D668" s="690"/>
      <c r="E668" s="114"/>
      <c r="F668" s="114"/>
      <c r="G668" s="114"/>
      <c r="H668" s="696" t="s">
        <v>25</v>
      </c>
      <c r="I668" s="552">
        <f t="shared" ref="I668:AH668" si="1061">SUM(I666:I667)</f>
        <v>114506.47964920309</v>
      </c>
      <c r="J668" s="552">
        <f t="shared" si="1061"/>
        <v>117756.35471949389</v>
      </c>
      <c r="K668" s="552">
        <f t="shared" si="1061"/>
        <v>121362.85740292052</v>
      </c>
      <c r="L668" s="552">
        <f t="shared" si="1061"/>
        <v>126424.94897671431</v>
      </c>
      <c r="M668" s="552">
        <f t="shared" si="1061"/>
        <v>131487.94515191781</v>
      </c>
      <c r="N668" s="552">
        <f t="shared" si="1061"/>
        <v>136551.99685030972</v>
      </c>
      <c r="O668" s="552">
        <f t="shared" si="1061"/>
        <v>141614.09108818541</v>
      </c>
      <c r="P668" s="552">
        <f t="shared" si="1061"/>
        <v>146676.48832874573</v>
      </c>
      <c r="Q668" s="552">
        <f t="shared" si="1061"/>
        <v>152366.41466416389</v>
      </c>
      <c r="R668" s="552">
        <f t="shared" si="1061"/>
        <v>158054.3864090179</v>
      </c>
      <c r="S668" s="552">
        <f t="shared" si="1061"/>
        <v>163744.32248962577</v>
      </c>
      <c r="T668" s="552">
        <f t="shared" si="1061"/>
        <v>169434.26635922707</v>
      </c>
      <c r="U668" s="552">
        <f t="shared" si="1061"/>
        <v>175125.12482165225</v>
      </c>
      <c r="V668" s="552">
        <f t="shared" si="1061"/>
        <v>179360.09318081831</v>
      </c>
      <c r="W668" s="552">
        <f t="shared" si="1061"/>
        <v>182610.00247049419</v>
      </c>
      <c r="X668" s="552">
        <f t="shared" si="1061"/>
        <v>185859.91850394371</v>
      </c>
      <c r="Y668" s="552">
        <f t="shared" si="1061"/>
        <v>189109.84244110814</v>
      </c>
      <c r="Z668" s="552">
        <f t="shared" si="1061"/>
        <v>192358.118252808</v>
      </c>
      <c r="AA668" s="552">
        <f t="shared" si="1061"/>
        <v>195608.06218959606</v>
      </c>
      <c r="AB668" s="552">
        <f t="shared" si="1061"/>
        <v>198856.36126925732</v>
      </c>
      <c r="AC668" s="552">
        <f t="shared" si="1061"/>
        <v>202106.33223598264</v>
      </c>
      <c r="AD668" s="552">
        <f t="shared" si="1061"/>
        <v>205356.32000040141</v>
      </c>
      <c r="AE668" s="552">
        <f t="shared" si="1061"/>
        <v>208604.6697513113</v>
      </c>
      <c r="AF668" s="552">
        <f t="shared" si="1061"/>
        <v>211854.69922585125</v>
      </c>
      <c r="AG668" s="552">
        <f t="shared" si="1061"/>
        <v>215104.75436330267</v>
      </c>
      <c r="AH668" s="727">
        <f t="shared" si="1061"/>
        <v>218353.18148499704</v>
      </c>
      <c r="AI668" s="18"/>
      <c r="AJ668" s="18"/>
      <c r="AK668" s="18"/>
      <c r="AL668" s="18"/>
      <c r="AM668" s="18"/>
      <c r="AN668" s="18"/>
    </row>
    <row r="669" spans="2:40" ht="21.9" customHeight="1" x14ac:dyDescent="0.25">
      <c r="B669" s="229"/>
      <c r="C669" s="690"/>
      <c r="D669" s="690"/>
      <c r="E669" s="114"/>
      <c r="F669" s="114" t="s">
        <v>322</v>
      </c>
      <c r="G669" s="114" t="s">
        <v>326</v>
      </c>
      <c r="H669" s="114" t="s">
        <v>20</v>
      </c>
      <c r="I669" s="552">
        <f t="shared" ref="I669:AH669" si="1062">I605*$D$13</f>
        <v>57677.265354001167</v>
      </c>
      <c r="J669" s="552">
        <f t="shared" si="1062"/>
        <v>59312.800359785797</v>
      </c>
      <c r="K669" s="552">
        <f t="shared" si="1062"/>
        <v>61176.448960148067</v>
      </c>
      <c r="L669" s="552">
        <f t="shared" si="1062"/>
        <v>63557.751040663999</v>
      </c>
      <c r="M669" s="552">
        <f t="shared" si="1062"/>
        <v>65939.822175851848</v>
      </c>
      <c r="N669" s="552">
        <f t="shared" si="1062"/>
        <v>68321.508829949031</v>
      </c>
      <c r="O669" s="552">
        <f t="shared" si="1062"/>
        <v>70702.811015710147</v>
      </c>
      <c r="P669" s="552">
        <f t="shared" si="1062"/>
        <v>73084.593909047995</v>
      </c>
      <c r="Q669" s="552">
        <f t="shared" si="1062"/>
        <v>75776.584494586874</v>
      </c>
      <c r="R669" s="552">
        <f t="shared" si="1062"/>
        <v>78468.479103212012</v>
      </c>
      <c r="S669" s="552">
        <f t="shared" si="1062"/>
        <v>81160.085533245772</v>
      </c>
      <c r="T669" s="552">
        <f t="shared" si="1062"/>
        <v>83852.076759888063</v>
      </c>
      <c r="U669" s="552">
        <f t="shared" si="1062"/>
        <v>86544.549008020433</v>
      </c>
      <c r="V669" s="552">
        <f t="shared" si="1062"/>
        <v>88718.791121837581</v>
      </c>
      <c r="W669" s="552">
        <f t="shared" si="1062"/>
        <v>90354.327477417464</v>
      </c>
      <c r="X669" s="552">
        <f t="shared" si="1062"/>
        <v>91989.864104623353</v>
      </c>
      <c r="Y669" s="552">
        <f t="shared" si="1062"/>
        <v>93625.401051032924</v>
      </c>
      <c r="Z669" s="552">
        <f t="shared" si="1062"/>
        <v>95260.457726862252</v>
      </c>
      <c r="AA669" s="552">
        <f t="shared" si="1062"/>
        <v>96895.995484282597</v>
      </c>
      <c r="AB669" s="552">
        <f t="shared" si="1062"/>
        <v>98531.053106202438</v>
      </c>
      <c r="AC669" s="552">
        <f t="shared" si="1062"/>
        <v>100166.59196507407</v>
      </c>
      <c r="AD669" s="552">
        <f t="shared" si="1062"/>
        <v>101802.13151067389</v>
      </c>
      <c r="AE669" s="552">
        <f t="shared" si="1062"/>
        <v>103437.1912051478</v>
      </c>
      <c r="AF669" s="552">
        <f t="shared" si="1062"/>
        <v>105072.73246185809</v>
      </c>
      <c r="AG669" s="552">
        <f t="shared" si="1062"/>
        <v>106708.27477447418</v>
      </c>
      <c r="AH669" s="727">
        <f t="shared" si="1062"/>
        <v>108343.33765383666</v>
      </c>
      <c r="AI669" s="18"/>
      <c r="AJ669" s="18"/>
      <c r="AK669" s="18"/>
      <c r="AL669" s="18"/>
      <c r="AM669" s="18"/>
      <c r="AN669" s="18"/>
    </row>
    <row r="670" spans="2:40" ht="21.9" customHeight="1" x14ac:dyDescent="0.25">
      <c r="B670" s="229"/>
      <c r="C670" s="690"/>
      <c r="D670" s="690"/>
      <c r="E670" s="114"/>
      <c r="F670" s="114"/>
      <c r="G670" s="114"/>
      <c r="H670" s="122" t="s">
        <v>19</v>
      </c>
      <c r="I670" s="552">
        <f t="shared" ref="I670:AH670" si="1063">I606*$D$14</f>
        <v>236122.25215190504</v>
      </c>
      <c r="J670" s="552">
        <f t="shared" si="1063"/>
        <v>242817.89222202421</v>
      </c>
      <c r="K670" s="552">
        <f t="shared" si="1063"/>
        <v>250447.39584076256</v>
      </c>
      <c r="L670" s="552">
        <f t="shared" si="1063"/>
        <v>260196.09676918539</v>
      </c>
      <c r="M670" s="552">
        <f t="shared" si="1063"/>
        <v>269947.94609446864</v>
      </c>
      <c r="N670" s="552">
        <f t="shared" si="1063"/>
        <v>279698.22141064308</v>
      </c>
      <c r="O670" s="552">
        <f t="shared" si="1063"/>
        <v>289446.92276992422</v>
      </c>
      <c r="P670" s="552">
        <f t="shared" si="1063"/>
        <v>299197.59207541338</v>
      </c>
      <c r="Q670" s="552">
        <f t="shared" si="1063"/>
        <v>310218.20610639866</v>
      </c>
      <c r="R670" s="552">
        <f t="shared" si="1063"/>
        <v>321238.42722199712</v>
      </c>
      <c r="S670" s="552">
        <f t="shared" si="1063"/>
        <v>332257.46857677295</v>
      </c>
      <c r="T670" s="552">
        <f t="shared" si="1063"/>
        <v>343278.08523234143</v>
      </c>
      <c r="U670" s="552">
        <f t="shared" si="1063"/>
        <v>354300.67111923313</v>
      </c>
      <c r="V670" s="552">
        <f t="shared" si="1063"/>
        <v>363201.69895900757</v>
      </c>
      <c r="W670" s="552">
        <f t="shared" si="1063"/>
        <v>369897.34455499024</v>
      </c>
      <c r="X670" s="552">
        <f t="shared" si="1063"/>
        <v>376592.99126296979</v>
      </c>
      <c r="Y670" s="552">
        <f t="shared" si="1063"/>
        <v>383288.63927772251</v>
      </c>
      <c r="Z670" s="552">
        <f t="shared" si="1063"/>
        <v>389982.32113526645</v>
      </c>
      <c r="AA670" s="552">
        <f t="shared" si="1063"/>
        <v>396677.97247017809</v>
      </c>
      <c r="AB670" s="552">
        <f t="shared" si="1063"/>
        <v>403371.65820087766</v>
      </c>
      <c r="AC670" s="552">
        <f t="shared" si="1063"/>
        <v>410067.31404496892</v>
      </c>
      <c r="AD670" s="552">
        <f t="shared" si="1063"/>
        <v>416762.97270042473</v>
      </c>
      <c r="AE670" s="552">
        <f t="shared" si="1063"/>
        <v>423456.66691585624</v>
      </c>
      <c r="AF670" s="552">
        <f t="shared" si="1063"/>
        <v>430152.33257634682</v>
      </c>
      <c r="AG670" s="552">
        <f t="shared" si="1063"/>
        <v>436848.00255956064</v>
      </c>
      <c r="AH670" s="727">
        <f t="shared" si="1063"/>
        <v>443541.70981345809</v>
      </c>
      <c r="AI670" s="18"/>
      <c r="AJ670" s="18"/>
      <c r="AK670" s="18"/>
      <c r="AL670" s="18"/>
      <c r="AM670" s="18"/>
      <c r="AN670" s="18"/>
    </row>
    <row r="671" spans="2:40" ht="21.9" customHeight="1" x14ac:dyDescent="0.25">
      <c r="B671" s="229"/>
      <c r="C671" s="690"/>
      <c r="D671" s="690"/>
      <c r="E671" s="114"/>
      <c r="F671" s="114"/>
      <c r="G671" s="114"/>
      <c r="H671" s="696" t="s">
        <v>25</v>
      </c>
      <c r="I671" s="552">
        <f t="shared" ref="I671:AH671" si="1064">SUM(I669:I670)</f>
        <v>293799.51750590617</v>
      </c>
      <c r="J671" s="552">
        <f t="shared" si="1064"/>
        <v>302130.69258181</v>
      </c>
      <c r="K671" s="552">
        <f t="shared" si="1064"/>
        <v>311623.84480091062</v>
      </c>
      <c r="L671" s="552">
        <f t="shared" si="1064"/>
        <v>323753.84780984937</v>
      </c>
      <c r="M671" s="552">
        <f t="shared" si="1064"/>
        <v>335887.76827032049</v>
      </c>
      <c r="N671" s="552">
        <f t="shared" si="1064"/>
        <v>348019.73024059209</v>
      </c>
      <c r="O671" s="552">
        <f t="shared" si="1064"/>
        <v>360149.73378563439</v>
      </c>
      <c r="P671" s="552">
        <f t="shared" si="1064"/>
        <v>372282.18598446139</v>
      </c>
      <c r="Q671" s="552">
        <f t="shared" si="1064"/>
        <v>385994.79060098552</v>
      </c>
      <c r="R671" s="552">
        <f t="shared" si="1064"/>
        <v>399706.90632520913</v>
      </c>
      <c r="S671" s="552">
        <f t="shared" si="1064"/>
        <v>413417.55411001871</v>
      </c>
      <c r="T671" s="552">
        <f t="shared" si="1064"/>
        <v>427130.16199222952</v>
      </c>
      <c r="U671" s="552">
        <f t="shared" si="1064"/>
        <v>440845.22012725356</v>
      </c>
      <c r="V671" s="552">
        <f t="shared" si="1064"/>
        <v>451920.49008084513</v>
      </c>
      <c r="W671" s="552">
        <f t="shared" si="1064"/>
        <v>460251.67203240772</v>
      </c>
      <c r="X671" s="552">
        <f t="shared" si="1064"/>
        <v>468582.85536759312</v>
      </c>
      <c r="Y671" s="552">
        <f t="shared" si="1064"/>
        <v>476914.04032875545</v>
      </c>
      <c r="Z671" s="552">
        <f t="shared" si="1064"/>
        <v>485242.77886212873</v>
      </c>
      <c r="AA671" s="552">
        <f t="shared" si="1064"/>
        <v>493573.96795446071</v>
      </c>
      <c r="AB671" s="552">
        <f t="shared" si="1064"/>
        <v>501902.71130708011</v>
      </c>
      <c r="AC671" s="552">
        <f t="shared" si="1064"/>
        <v>510233.90601004299</v>
      </c>
      <c r="AD671" s="552">
        <f t="shared" si="1064"/>
        <v>518565.10421109863</v>
      </c>
      <c r="AE671" s="552">
        <f t="shared" si="1064"/>
        <v>526893.85812100407</v>
      </c>
      <c r="AF671" s="552">
        <f t="shared" si="1064"/>
        <v>535225.06503820489</v>
      </c>
      <c r="AG671" s="552">
        <f t="shared" si="1064"/>
        <v>543556.27733403479</v>
      </c>
      <c r="AH671" s="727">
        <f t="shared" si="1064"/>
        <v>551885.04746729473</v>
      </c>
      <c r="AI671" s="18"/>
      <c r="AJ671" s="18"/>
      <c r="AK671" s="18"/>
      <c r="AL671" s="18"/>
      <c r="AM671" s="18"/>
      <c r="AN671" s="18"/>
    </row>
    <row r="672" spans="2:40" ht="21.9" customHeight="1" x14ac:dyDescent="0.25">
      <c r="B672" s="229"/>
      <c r="C672" s="690"/>
      <c r="D672" s="690"/>
      <c r="E672" s="114"/>
      <c r="F672" s="114" t="s">
        <v>326</v>
      </c>
      <c r="G672" s="114" t="s">
        <v>274</v>
      </c>
      <c r="H672" s="114" t="s">
        <v>20</v>
      </c>
      <c r="I672" s="552">
        <f t="shared" ref="I672:AH672" si="1065">I608*$D$13</f>
        <v>393203.86295839358</v>
      </c>
      <c r="J672" s="552">
        <f t="shared" si="1065"/>
        <v>404353.81387719617</v>
      </c>
      <c r="K672" s="552">
        <f t="shared" si="1065"/>
        <v>417058.88609931455</v>
      </c>
      <c r="L672" s="552">
        <f t="shared" si="1065"/>
        <v>433292.96305062663</v>
      </c>
      <c r="M672" s="552">
        <f t="shared" si="1065"/>
        <v>449532.28278142278</v>
      </c>
      <c r="N672" s="552">
        <f t="shared" si="1065"/>
        <v>465768.9812383611</v>
      </c>
      <c r="O672" s="552">
        <f t="shared" si="1065"/>
        <v>482003.05845340242</v>
      </c>
      <c r="P672" s="552">
        <f t="shared" si="1065"/>
        <v>498240.41252692183</v>
      </c>
      <c r="Q672" s="552">
        <f t="shared" si="1065"/>
        <v>516592.54837759701</v>
      </c>
      <c r="R672" s="552">
        <f t="shared" si="1065"/>
        <v>534944.02926904475</v>
      </c>
      <c r="S672" s="552">
        <f t="shared" si="1065"/>
        <v>553293.54466173251</v>
      </c>
      <c r="T672" s="552">
        <f t="shared" si="1065"/>
        <v>571645.68211892108</v>
      </c>
      <c r="U672" s="552">
        <f t="shared" si="1065"/>
        <v>590001.09722120897</v>
      </c>
      <c r="V672" s="552">
        <f t="shared" si="1065"/>
        <v>604823.57585259783</v>
      </c>
      <c r="W672" s="552">
        <f t="shared" si="1065"/>
        <v>615973.5301537934</v>
      </c>
      <c r="X672" s="552">
        <f t="shared" si="1065"/>
        <v>627123.48513564479</v>
      </c>
      <c r="Y672" s="552">
        <f t="shared" si="1065"/>
        <v>638273.44091737457</v>
      </c>
      <c r="Z672" s="552">
        <f t="shared" si="1065"/>
        <v>649420.12093567697</v>
      </c>
      <c r="AA672" s="552">
        <f t="shared" si="1065"/>
        <v>660570.0787496831</v>
      </c>
      <c r="AB672" s="552">
        <f t="shared" si="1065"/>
        <v>671716.76113875257</v>
      </c>
      <c r="AC672" s="552">
        <f t="shared" si="1065"/>
        <v>682866.72171283781</v>
      </c>
      <c r="AD672" s="552">
        <f t="shared" si="1065"/>
        <v>694016.68400776526</v>
      </c>
      <c r="AE672" s="552">
        <f t="shared" si="1065"/>
        <v>705163.37159035739</v>
      </c>
      <c r="AF672" s="552">
        <f t="shared" si="1065"/>
        <v>716313.33817308187</v>
      </c>
      <c r="AG672" s="552">
        <f t="shared" si="1065"/>
        <v>727463.30740175466</v>
      </c>
      <c r="AH672" s="727">
        <f t="shared" si="1065"/>
        <v>738610.00296522013</v>
      </c>
      <c r="AI672" s="18"/>
      <c r="AJ672" s="18"/>
      <c r="AK672" s="18"/>
      <c r="AL672" s="18"/>
      <c r="AM672" s="18"/>
      <c r="AN672" s="18"/>
    </row>
    <row r="673" spans="1:41" ht="21.9" customHeight="1" x14ac:dyDescent="0.25">
      <c r="B673" s="229"/>
      <c r="C673" s="690"/>
      <c r="D673" s="690"/>
      <c r="E673" s="114"/>
      <c r="F673" s="114"/>
      <c r="G673" s="114"/>
      <c r="H673" s="122" t="s">
        <v>19</v>
      </c>
      <c r="I673" s="552">
        <f t="shared" ref="I673:AH673" si="1066">I609*$D$14</f>
        <v>1609718.857278038</v>
      </c>
      <c r="J673" s="552">
        <f t="shared" si="1066"/>
        <v>1655365.1185245106</v>
      </c>
      <c r="K673" s="552">
        <f t="shared" si="1066"/>
        <v>1707377.8179551556</v>
      </c>
      <c r="L673" s="552">
        <f t="shared" si="1066"/>
        <v>1773837.7443719897</v>
      </c>
      <c r="M673" s="552">
        <f t="shared" si="1066"/>
        <v>1840319.1339579206</v>
      </c>
      <c r="N673" s="552">
        <f t="shared" si="1066"/>
        <v>1906789.7924337157</v>
      </c>
      <c r="O673" s="552">
        <f t="shared" si="1066"/>
        <v>1973249.719930219</v>
      </c>
      <c r="P673" s="552">
        <f t="shared" si="1066"/>
        <v>2039723.0624039939</v>
      </c>
      <c r="Q673" s="552">
        <f t="shared" si="1066"/>
        <v>2114854.0108333738</v>
      </c>
      <c r="R673" s="552">
        <f t="shared" si="1066"/>
        <v>2189982.2779558836</v>
      </c>
      <c r="S673" s="552">
        <f t="shared" si="1066"/>
        <v>2265102.4986151829</v>
      </c>
      <c r="T673" s="552">
        <f t="shared" si="1066"/>
        <v>2340233.4536213926</v>
      </c>
      <c r="U673" s="552">
        <f t="shared" si="1066"/>
        <v>2415377.8268251861</v>
      </c>
      <c r="V673" s="552">
        <f t="shared" si="1066"/>
        <v>2476058.8770697825</v>
      </c>
      <c r="W673" s="552">
        <f t="shared" si="1066"/>
        <v>2521705.1521632751</v>
      </c>
      <c r="X673" s="552">
        <f t="shared" si="1066"/>
        <v>2567351.4300432727</v>
      </c>
      <c r="Y673" s="552">
        <f t="shared" si="1066"/>
        <v>2612997.711197855</v>
      </c>
      <c r="Z673" s="552">
        <f t="shared" si="1066"/>
        <v>2658630.5818581423</v>
      </c>
      <c r="AA673" s="552">
        <f t="shared" si="1066"/>
        <v>2704276.8713325658</v>
      </c>
      <c r="AB673" s="552">
        <f t="shared" si="1066"/>
        <v>2749909.751698425</v>
      </c>
      <c r="AC673" s="552">
        <f t="shared" si="1066"/>
        <v>2795556.0524722063</v>
      </c>
      <c r="AD673" s="552">
        <f t="shared" si="1066"/>
        <v>2841202.3602908636</v>
      </c>
      <c r="AE673" s="552">
        <f t="shared" si="1066"/>
        <v>2886835.2619182416</v>
      </c>
      <c r="AF673" s="552">
        <f t="shared" si="1066"/>
        <v>2932481.5872905096</v>
      </c>
      <c r="AG673" s="552">
        <f t="shared" si="1066"/>
        <v>2978127.923494902</v>
      </c>
      <c r="AH673" s="727">
        <f t="shared" si="1066"/>
        <v>3023760.8577948026</v>
      </c>
      <c r="AI673" s="18"/>
      <c r="AJ673" s="18"/>
      <c r="AK673" s="18"/>
      <c r="AL673" s="18"/>
      <c r="AM673" s="18"/>
      <c r="AN673" s="18"/>
    </row>
    <row r="674" spans="1:41" ht="21.9" customHeight="1" x14ac:dyDescent="0.25">
      <c r="B674" s="229"/>
      <c r="C674" s="690"/>
      <c r="D674" s="690"/>
      <c r="E674" s="114"/>
      <c r="F674" s="114"/>
      <c r="G674" s="114"/>
      <c r="H674" s="696" t="s">
        <v>25</v>
      </c>
      <c r="I674" s="552">
        <f t="shared" ref="I674:AH674" si="1067">SUM(I672:I673)</f>
        <v>2002922.7202364316</v>
      </c>
      <c r="J674" s="552">
        <f t="shared" si="1067"/>
        <v>2059718.9324017069</v>
      </c>
      <c r="K674" s="552">
        <f t="shared" si="1067"/>
        <v>2124436.7040544702</v>
      </c>
      <c r="L674" s="552">
        <f t="shared" si="1067"/>
        <v>2207130.7074226164</v>
      </c>
      <c r="M674" s="552">
        <f t="shared" si="1067"/>
        <v>2289851.4167393432</v>
      </c>
      <c r="N674" s="552">
        <f t="shared" si="1067"/>
        <v>2372558.7736720769</v>
      </c>
      <c r="O674" s="552">
        <f t="shared" si="1067"/>
        <v>2455252.7783836215</v>
      </c>
      <c r="P674" s="552">
        <f t="shared" si="1067"/>
        <v>2537963.474930916</v>
      </c>
      <c r="Q674" s="552">
        <f t="shared" si="1067"/>
        <v>2631446.559210971</v>
      </c>
      <c r="R674" s="552">
        <f t="shared" si="1067"/>
        <v>2724926.3072249284</v>
      </c>
      <c r="S674" s="552">
        <f t="shared" si="1067"/>
        <v>2818396.0432769153</v>
      </c>
      <c r="T674" s="552">
        <f t="shared" si="1067"/>
        <v>2911879.1357403137</v>
      </c>
      <c r="U674" s="552">
        <f t="shared" si="1067"/>
        <v>3005378.9240463953</v>
      </c>
      <c r="V674" s="552">
        <f t="shared" si="1067"/>
        <v>3080882.4529223805</v>
      </c>
      <c r="W674" s="552">
        <f t="shared" si="1067"/>
        <v>3137678.6823170683</v>
      </c>
      <c r="X674" s="552">
        <f t="shared" si="1067"/>
        <v>3194474.9151789173</v>
      </c>
      <c r="Y674" s="552">
        <f t="shared" si="1067"/>
        <v>3251271.1521152295</v>
      </c>
      <c r="Z674" s="552">
        <f t="shared" si="1067"/>
        <v>3308050.7027938194</v>
      </c>
      <c r="AA674" s="552">
        <f t="shared" si="1067"/>
        <v>3364846.950082249</v>
      </c>
      <c r="AB674" s="552">
        <f t="shared" si="1067"/>
        <v>3421626.5128371776</v>
      </c>
      <c r="AC674" s="552">
        <f t="shared" si="1067"/>
        <v>3478422.7741850442</v>
      </c>
      <c r="AD674" s="552">
        <f t="shared" si="1067"/>
        <v>3535219.0442986288</v>
      </c>
      <c r="AE674" s="552">
        <f t="shared" si="1067"/>
        <v>3591998.6335085989</v>
      </c>
      <c r="AF674" s="552">
        <f t="shared" si="1067"/>
        <v>3648794.9254635917</v>
      </c>
      <c r="AG674" s="552">
        <f t="shared" si="1067"/>
        <v>3705591.2308966564</v>
      </c>
      <c r="AH674" s="727">
        <f t="shared" si="1067"/>
        <v>3762370.8607600229</v>
      </c>
      <c r="AI674" s="18"/>
      <c r="AJ674" s="18"/>
      <c r="AK674" s="18"/>
      <c r="AL674" s="18"/>
      <c r="AM674" s="18"/>
      <c r="AN674" s="18"/>
    </row>
    <row r="675" spans="1:41" ht="21.9" customHeight="1" x14ac:dyDescent="0.25">
      <c r="B675" s="229"/>
      <c r="C675" s="690"/>
      <c r="D675" s="690"/>
      <c r="E675" s="114"/>
      <c r="F675" s="114" t="s">
        <v>274</v>
      </c>
      <c r="G675" s="114" t="s">
        <v>317</v>
      </c>
      <c r="H675" s="114" t="s">
        <v>20</v>
      </c>
      <c r="I675" s="552">
        <f t="shared" ref="I675:AH675" si="1068">I611*$D$13</f>
        <v>9820.14372060815</v>
      </c>
      <c r="J675" s="552">
        <f t="shared" si="1068"/>
        <v>10098.612130867854</v>
      </c>
      <c r="K675" s="552">
        <f t="shared" si="1068"/>
        <v>10415.920264126231</v>
      </c>
      <c r="L675" s="552">
        <f t="shared" si="1068"/>
        <v>10821.366650978589</v>
      </c>
      <c r="M675" s="552">
        <f t="shared" si="1068"/>
        <v>11226.946527156462</v>
      </c>
      <c r="N675" s="552">
        <f t="shared" si="1068"/>
        <v>11632.464486102543</v>
      </c>
      <c r="O675" s="552">
        <f t="shared" si="1068"/>
        <v>12037.921859250395</v>
      </c>
      <c r="P675" s="552">
        <f t="shared" si="1068"/>
        <v>12443.467716294605</v>
      </c>
      <c r="Q675" s="552">
        <f t="shared" si="1068"/>
        <v>12901.843502041063</v>
      </c>
      <c r="R675" s="552">
        <f t="shared" si="1068"/>
        <v>13360.218773375953</v>
      </c>
      <c r="S675" s="552">
        <f t="shared" si="1068"/>
        <v>13818.566628991473</v>
      </c>
      <c r="T675" s="552">
        <f t="shared" si="1068"/>
        <v>14277.009337988819</v>
      </c>
      <c r="U675" s="552">
        <f t="shared" si="1068"/>
        <v>14735.57329954771</v>
      </c>
      <c r="V675" s="552">
        <f t="shared" si="1068"/>
        <v>15105.913175160291</v>
      </c>
      <c r="W675" s="552">
        <f t="shared" si="1068"/>
        <v>15384.522487314191</v>
      </c>
      <c r="X675" s="552">
        <f t="shared" si="1068"/>
        <v>15663.160153860454</v>
      </c>
      <c r="Y675" s="552">
        <f t="shared" si="1068"/>
        <v>15941.831141316028</v>
      </c>
      <c r="Z675" s="552">
        <f t="shared" si="1068"/>
        <v>16220.459261892674</v>
      </c>
      <c r="AA675" s="552">
        <f t="shared" si="1068"/>
        <v>16499.214908826048</v>
      </c>
      <c r="AB675" s="552">
        <f t="shared" si="1068"/>
        <v>16777.941789531033</v>
      </c>
      <c r="AC675" s="552">
        <f t="shared" si="1068"/>
        <v>17056.812414323645</v>
      </c>
      <c r="AD675" s="552">
        <f t="shared" si="1068"/>
        <v>17335.754725027531</v>
      </c>
      <c r="AE675" s="552">
        <f t="shared" si="1068"/>
        <v>17614.697954694861</v>
      </c>
      <c r="AF675" s="552">
        <f t="shared" si="1068"/>
        <v>17893.818884125536</v>
      </c>
      <c r="AG675" s="552">
        <f t="shared" si="1068"/>
        <v>18173.050037040546</v>
      </c>
      <c r="AH675" s="727">
        <f t="shared" si="1068"/>
        <v>18452.325729599444</v>
      </c>
      <c r="AI675" s="18"/>
      <c r="AJ675" s="18"/>
      <c r="AK675" s="18"/>
      <c r="AL675" s="18"/>
      <c r="AM675" s="18"/>
      <c r="AN675" s="18"/>
    </row>
    <row r="676" spans="1:41" ht="21.9" customHeight="1" x14ac:dyDescent="0.25">
      <c r="B676" s="229"/>
      <c r="C676" s="690"/>
      <c r="D676" s="690"/>
      <c r="E676" s="114"/>
      <c r="F676" s="114"/>
      <c r="G676" s="114"/>
      <c r="H676" s="122" t="s">
        <v>19</v>
      </c>
      <c r="I676" s="552">
        <f t="shared" ref="I676:AH676" si="1069">I612*$D$14</f>
        <v>40202.225912302703</v>
      </c>
      <c r="J676" s="552">
        <f t="shared" si="1069"/>
        <v>41342.234679710753</v>
      </c>
      <c r="K676" s="552">
        <f t="shared" si="1069"/>
        <v>42641.247567912586</v>
      </c>
      <c r="L676" s="552">
        <f t="shared" si="1069"/>
        <v>44301.085519709493</v>
      </c>
      <c r="M676" s="552">
        <f t="shared" si="1069"/>
        <v>45961.469957196816</v>
      </c>
      <c r="N676" s="552">
        <f t="shared" si="1069"/>
        <v>47621.600914632181</v>
      </c>
      <c r="O676" s="552">
        <f t="shared" si="1069"/>
        <v>49281.483842709058</v>
      </c>
      <c r="P676" s="552">
        <f t="shared" si="1069"/>
        <v>50941.729010860225</v>
      </c>
      <c r="Q676" s="552">
        <f t="shared" si="1069"/>
        <v>52818.252146935789</v>
      </c>
      <c r="R676" s="552">
        <f t="shared" si="1069"/>
        <v>54694.773177085954</v>
      </c>
      <c r="S676" s="552">
        <f t="shared" si="1069"/>
        <v>56571.18197130812</v>
      </c>
      <c r="T676" s="552">
        <f t="shared" si="1069"/>
        <v>58447.979081342462</v>
      </c>
      <c r="U676" s="552">
        <f t="shared" si="1069"/>
        <v>60325.272581553014</v>
      </c>
      <c r="V676" s="552">
        <f t="shared" si="1069"/>
        <v>61841.38963312596</v>
      </c>
      <c r="W676" s="552">
        <f t="shared" si="1069"/>
        <v>62981.975232191784</v>
      </c>
      <c r="X676" s="552">
        <f t="shared" si="1069"/>
        <v>64122.676909974965</v>
      </c>
      <c r="Y676" s="552">
        <f t="shared" si="1069"/>
        <v>65263.514998666375</v>
      </c>
      <c r="Z676" s="552">
        <f t="shared" si="1069"/>
        <v>66404.177596652153</v>
      </c>
      <c r="AA676" s="552">
        <f t="shared" si="1069"/>
        <v>67545.362268810044</v>
      </c>
      <c r="AB676" s="552">
        <f t="shared" si="1069"/>
        <v>68686.429176254373</v>
      </c>
      <c r="AC676" s="552">
        <f t="shared" si="1069"/>
        <v>69828.084550878906</v>
      </c>
      <c r="AD676" s="552">
        <f t="shared" si="1069"/>
        <v>70970.033397094245</v>
      </c>
      <c r="AE676" s="552">
        <f t="shared" si="1069"/>
        <v>72111.986005410945</v>
      </c>
      <c r="AF676" s="552">
        <f t="shared" si="1069"/>
        <v>73254.666090456492</v>
      </c>
      <c r="AG676" s="552">
        <f t="shared" si="1069"/>
        <v>74397.797414256172</v>
      </c>
      <c r="AH676" s="727">
        <f t="shared" si="1069"/>
        <v>75541.111076815519</v>
      </c>
      <c r="AI676" s="18"/>
      <c r="AJ676" s="18"/>
      <c r="AK676" s="18"/>
      <c r="AL676" s="18"/>
      <c r="AM676" s="18"/>
      <c r="AN676" s="18"/>
    </row>
    <row r="677" spans="1:41" ht="21.9" customHeight="1" thickBot="1" x14ac:dyDescent="0.3">
      <c r="B677" s="464"/>
      <c r="C677" s="739"/>
      <c r="D677" s="739"/>
      <c r="E677" s="274"/>
      <c r="F677" s="274"/>
      <c r="G677" s="274"/>
      <c r="H677" s="740" t="s">
        <v>25</v>
      </c>
      <c r="I677" s="710">
        <f t="shared" ref="I677:AH677" si="1070">SUM(I675:I676)</f>
        <v>50022.36963291085</v>
      </c>
      <c r="J677" s="710">
        <f t="shared" si="1070"/>
        <v>51440.846810578609</v>
      </c>
      <c r="K677" s="710">
        <f t="shared" si="1070"/>
        <v>53057.167832038816</v>
      </c>
      <c r="L677" s="710">
        <f t="shared" si="1070"/>
        <v>55122.452170688084</v>
      </c>
      <c r="M677" s="710">
        <f t="shared" si="1070"/>
        <v>57188.416484353278</v>
      </c>
      <c r="N677" s="710">
        <f t="shared" si="1070"/>
        <v>59254.065400734726</v>
      </c>
      <c r="O677" s="710">
        <f t="shared" si="1070"/>
        <v>61319.405701959455</v>
      </c>
      <c r="P677" s="710">
        <f t="shared" si="1070"/>
        <v>63385.196727154827</v>
      </c>
      <c r="Q677" s="710">
        <f t="shared" si="1070"/>
        <v>65720.095648976858</v>
      </c>
      <c r="R677" s="710">
        <f t="shared" si="1070"/>
        <v>68054.991950461903</v>
      </c>
      <c r="S677" s="710">
        <f t="shared" si="1070"/>
        <v>70389.748600299587</v>
      </c>
      <c r="T677" s="710">
        <f t="shared" si="1070"/>
        <v>72724.988419331276</v>
      </c>
      <c r="U677" s="710">
        <f t="shared" si="1070"/>
        <v>75060.845881100729</v>
      </c>
      <c r="V677" s="710">
        <f t="shared" si="1070"/>
        <v>76947.302808286244</v>
      </c>
      <c r="W677" s="710">
        <f t="shared" si="1070"/>
        <v>78366.497719505976</v>
      </c>
      <c r="X677" s="710">
        <f t="shared" si="1070"/>
        <v>79785.837063835424</v>
      </c>
      <c r="Y677" s="710">
        <f t="shared" si="1070"/>
        <v>81205.346139982401</v>
      </c>
      <c r="Z677" s="710">
        <f t="shared" si="1070"/>
        <v>82624.636858544822</v>
      </c>
      <c r="AA677" s="710">
        <f t="shared" si="1070"/>
        <v>84044.577177636093</v>
      </c>
      <c r="AB677" s="710">
        <f t="shared" si="1070"/>
        <v>85464.370965785405</v>
      </c>
      <c r="AC677" s="710">
        <f t="shared" si="1070"/>
        <v>86884.896965202555</v>
      </c>
      <c r="AD677" s="710">
        <f t="shared" si="1070"/>
        <v>88305.788122121769</v>
      </c>
      <c r="AE677" s="710">
        <f t="shared" si="1070"/>
        <v>89726.683960105802</v>
      </c>
      <c r="AF677" s="710">
        <f t="shared" si="1070"/>
        <v>91148.484974582025</v>
      </c>
      <c r="AG677" s="710">
        <f t="shared" si="1070"/>
        <v>92570.847451296722</v>
      </c>
      <c r="AH677" s="741">
        <f t="shared" si="1070"/>
        <v>93993.43680641496</v>
      </c>
      <c r="AI677" s="18"/>
      <c r="AJ677" s="18"/>
      <c r="AK677" s="18"/>
      <c r="AL677" s="18"/>
      <c r="AM677" s="18"/>
      <c r="AN677" s="18"/>
    </row>
    <row r="678" spans="1:41" ht="21.9" customHeight="1" thickBot="1" x14ac:dyDescent="0.3">
      <c r="B678" s="464"/>
      <c r="C678" s="739"/>
      <c r="D678" s="739"/>
      <c r="E678" s="274"/>
      <c r="F678" s="274"/>
      <c r="G678" s="274"/>
      <c r="H678" s="742" t="s">
        <v>481</v>
      </c>
      <c r="I678" s="742">
        <f>SUM(I620,I623,I626,I629,I632,I635,I638,I641,I644,I647,I650,I653,I656,I659,I662,I665,I668,I671,I674,I677)</f>
        <v>23099261.422826257</v>
      </c>
      <c r="J678" s="742">
        <f t="shared" ref="J678:AH678" si="1071">SUM(J620,J623,J626,J629,J632,J635,J638,J641,J644,J647,J650,J653,J656,J659,J662,J665,J668,J671,J674,J677)</f>
        <v>25237442.641396005</v>
      </c>
      <c r="K678" s="742">
        <f t="shared" si="1071"/>
        <v>27934770.268844325</v>
      </c>
      <c r="L678" s="742">
        <f t="shared" si="1071"/>
        <v>32438086.590019055</v>
      </c>
      <c r="M678" s="742">
        <f t="shared" si="1071"/>
        <v>36966706.584223293</v>
      </c>
      <c r="N678" s="742">
        <f t="shared" si="1071"/>
        <v>41531234.274406239</v>
      </c>
      <c r="O678" s="742">
        <f t="shared" si="1071"/>
        <v>46149538.656787507</v>
      </c>
      <c r="P678" s="742">
        <f t="shared" si="1071"/>
        <v>50868466.919318885</v>
      </c>
      <c r="Q678" s="742">
        <f t="shared" si="1071"/>
        <v>55254188.732338227</v>
      </c>
      <c r="R678" s="742">
        <f t="shared" si="1071"/>
        <v>59842868.824175298</v>
      </c>
      <c r="S678" s="742">
        <f t="shared" si="1071"/>
        <v>64731762.544808723</v>
      </c>
      <c r="T678" s="742">
        <f t="shared" si="1071"/>
        <v>70067961.334084406</v>
      </c>
      <c r="U678" s="742">
        <f t="shared" si="1071"/>
        <v>76071871.03422448</v>
      </c>
      <c r="V678" s="742">
        <f t="shared" si="1071"/>
        <v>80068351.998237208</v>
      </c>
      <c r="W678" s="742">
        <f t="shared" si="1071"/>
        <v>82825514.548823401</v>
      </c>
      <c r="X678" s="742">
        <f t="shared" si="1071"/>
        <v>85275891.288566247</v>
      </c>
      <c r="Y678" s="742">
        <f t="shared" si="1071"/>
        <v>86966218.87829949</v>
      </c>
      <c r="Z678" s="742">
        <f t="shared" si="1071"/>
        <v>88719569.869917691</v>
      </c>
      <c r="AA678" s="742">
        <f t="shared" si="1071"/>
        <v>90544710.933040172</v>
      </c>
      <c r="AB678" s="742">
        <f t="shared" si="1071"/>
        <v>92461278.68199423</v>
      </c>
      <c r="AC678" s="742">
        <f t="shared" si="1071"/>
        <v>94107710.077483818</v>
      </c>
      <c r="AD678" s="742">
        <f t="shared" si="1071"/>
        <v>95751855.573616639</v>
      </c>
      <c r="AE678" s="742">
        <f t="shared" si="1071"/>
        <v>97426144.685228139</v>
      </c>
      <c r="AF678" s="742">
        <f t="shared" si="1071"/>
        <v>99130338.985523969</v>
      </c>
      <c r="AG678" s="742">
        <f t="shared" si="1071"/>
        <v>100871305.46877185</v>
      </c>
      <c r="AH678" s="742">
        <f t="shared" si="1071"/>
        <v>102656273.25587621</v>
      </c>
      <c r="AI678" s="18"/>
      <c r="AJ678" s="18"/>
      <c r="AK678" s="18"/>
      <c r="AL678" s="18"/>
      <c r="AM678" s="18"/>
      <c r="AN678" s="18"/>
    </row>
    <row r="679" spans="1:41" ht="21.9" customHeight="1" x14ac:dyDescent="0.25">
      <c r="C679" s="114"/>
      <c r="D679" s="114"/>
      <c r="E679" s="114"/>
      <c r="F679" s="114"/>
      <c r="G679" s="114"/>
      <c r="H679" s="225"/>
      <c r="I679" s="225"/>
      <c r="J679" s="225"/>
      <c r="K679" s="225"/>
      <c r="L679" s="225"/>
      <c r="M679" s="225"/>
      <c r="N679" s="225"/>
      <c r="O679" s="225"/>
      <c r="P679" s="225"/>
      <c r="Q679" s="225"/>
      <c r="R679" s="225"/>
      <c r="S679" s="225"/>
      <c r="T679" s="225"/>
      <c r="U679" s="225"/>
      <c r="V679" s="225"/>
      <c r="W679" s="225"/>
      <c r="X679" s="225"/>
      <c r="Y679" s="225"/>
      <c r="Z679" s="225"/>
      <c r="AA679" s="225"/>
      <c r="AB679" s="225"/>
      <c r="AC679" s="225"/>
      <c r="AD679" s="225"/>
      <c r="AE679" s="114"/>
      <c r="AF679" s="114"/>
      <c r="AG679" s="114"/>
      <c r="AH679" s="114"/>
    </row>
    <row r="680" spans="1:41" ht="21.9" customHeight="1" x14ac:dyDescent="0.25">
      <c r="A680" s="223"/>
      <c r="B680" s="224" t="s">
        <v>38</v>
      </c>
      <c r="C680" s="114"/>
      <c r="D680" s="114"/>
      <c r="E680" s="114"/>
      <c r="F680" s="114"/>
      <c r="G680" s="114"/>
      <c r="H680" s="225"/>
      <c r="I680" s="225"/>
      <c r="J680" s="225"/>
      <c r="K680" s="225"/>
      <c r="L680" s="225"/>
      <c r="M680" s="225"/>
      <c r="N680" s="225"/>
      <c r="O680" s="225"/>
      <c r="P680" s="225"/>
      <c r="Q680" s="225"/>
      <c r="R680" s="225"/>
      <c r="S680" s="225"/>
      <c r="T680" s="225"/>
      <c r="U680" s="225"/>
      <c r="V680" s="225"/>
      <c r="W680" s="225"/>
      <c r="X680" s="225"/>
      <c r="Y680" s="225"/>
      <c r="Z680" s="225"/>
      <c r="AA680" s="225"/>
      <c r="AB680" s="225"/>
      <c r="AC680" s="225"/>
      <c r="AD680" s="225"/>
      <c r="AE680" s="114"/>
      <c r="AF680" s="114"/>
      <c r="AG680" s="114"/>
      <c r="AH680" s="114"/>
    </row>
    <row r="681" spans="1:41" ht="21.9" customHeight="1" thickBot="1" x14ac:dyDescent="0.3">
      <c r="C681" s="114"/>
      <c r="D681" s="114"/>
      <c r="E681" s="114"/>
      <c r="F681" s="114"/>
      <c r="G681" s="114"/>
      <c r="H681" s="225"/>
      <c r="I681" s="421"/>
      <c r="J681" s="421"/>
      <c r="K681" s="421"/>
      <c r="L681" s="421"/>
      <c r="M681" s="421"/>
      <c r="N681" s="421"/>
      <c r="O681" s="421"/>
      <c r="P681" s="421"/>
      <c r="Q681" s="421"/>
      <c r="R681" s="421"/>
      <c r="S681" s="421"/>
      <c r="T681" s="421"/>
      <c r="U681" s="421"/>
      <c r="V681" s="421"/>
      <c r="W681" s="421"/>
      <c r="X681" s="421"/>
      <c r="Y681" s="421"/>
      <c r="Z681" s="421"/>
      <c r="AA681" s="421"/>
      <c r="AB681" s="421"/>
      <c r="AC681" s="421"/>
      <c r="AD681" s="421"/>
      <c r="AE681" s="421"/>
      <c r="AF681" s="421"/>
      <c r="AG681" s="421"/>
      <c r="AH681" s="421"/>
    </row>
    <row r="682" spans="1:41" s="7" customFormat="1" ht="21.9" customHeight="1" thickBot="1" x14ac:dyDescent="0.3">
      <c r="B682" s="231"/>
      <c r="C682" s="462" t="s">
        <v>27</v>
      </c>
      <c r="D682" s="462"/>
      <c r="E682" s="462" t="s">
        <v>481</v>
      </c>
      <c r="F682" s="462" t="s">
        <v>133</v>
      </c>
      <c r="G682" s="738">
        <v>2021</v>
      </c>
      <c r="H682" s="738">
        <v>2022</v>
      </c>
      <c r="I682" s="738">
        <v>2023</v>
      </c>
      <c r="J682" s="738">
        <v>2024</v>
      </c>
      <c r="K682" s="738">
        <v>2025</v>
      </c>
      <c r="L682" s="738">
        <v>2026</v>
      </c>
      <c r="M682" s="738">
        <v>2027</v>
      </c>
      <c r="N682" s="738">
        <v>2028</v>
      </c>
      <c r="O682" s="738">
        <v>2029</v>
      </c>
      <c r="P682" s="738">
        <v>2030</v>
      </c>
      <c r="Q682" s="738">
        <v>2031</v>
      </c>
      <c r="R682" s="738">
        <v>2032</v>
      </c>
      <c r="S682" s="738">
        <v>2033</v>
      </c>
      <c r="T682" s="738">
        <v>2034</v>
      </c>
      <c r="U682" s="738">
        <v>2035</v>
      </c>
      <c r="V682" s="738">
        <v>2036</v>
      </c>
      <c r="W682" s="738">
        <v>2037</v>
      </c>
      <c r="X682" s="738">
        <v>2038</v>
      </c>
      <c r="Y682" s="738">
        <v>2039</v>
      </c>
      <c r="Z682" s="738">
        <v>2040</v>
      </c>
      <c r="AA682" s="738">
        <v>2041</v>
      </c>
      <c r="AB682" s="738">
        <v>2042</v>
      </c>
      <c r="AC682" s="738">
        <v>2043</v>
      </c>
      <c r="AD682" s="738">
        <v>2044</v>
      </c>
      <c r="AE682" s="738">
        <v>2045</v>
      </c>
      <c r="AF682" s="738">
        <v>2046</v>
      </c>
      <c r="AG682" s="738">
        <v>2047</v>
      </c>
      <c r="AH682" s="737">
        <v>2048</v>
      </c>
      <c r="AJ682" s="461"/>
      <c r="AK682" s="461"/>
      <c r="AL682" s="461"/>
      <c r="AM682" s="461"/>
      <c r="AN682" s="461"/>
      <c r="AO682" s="461"/>
    </row>
    <row r="683" spans="1:41" ht="21.9" customHeight="1" x14ac:dyDescent="0.25">
      <c r="B683" s="230" t="s">
        <v>26</v>
      </c>
      <c r="C683" s="744" t="s">
        <v>452</v>
      </c>
      <c r="D683" s="745"/>
      <c r="E683" s="959">
        <f t="shared" ref="E683:E688" si="1072">SUM(I683:AH683)</f>
        <v>-15479275.334684674</v>
      </c>
      <c r="F683" s="744" t="s">
        <v>114</v>
      </c>
      <c r="G683" s="744">
        <v>0</v>
      </c>
      <c r="H683" s="744">
        <v>0</v>
      </c>
      <c r="I683" s="701">
        <f>I395-I176</f>
        <v>-2297.6028665895574</v>
      </c>
      <c r="J683" s="701">
        <f t="shared" ref="J683:AH683" si="1073">J395-J176</f>
        <v>-2375.8759373716312</v>
      </c>
      <c r="K683" s="701">
        <f t="shared" si="1073"/>
        <v>6609.4099550888641</v>
      </c>
      <c r="L683" s="701">
        <f t="shared" si="1073"/>
        <v>5380.3099017005879</v>
      </c>
      <c r="M683" s="701">
        <f t="shared" si="1073"/>
        <v>-4483.2760750902817</v>
      </c>
      <c r="N683" s="701">
        <f t="shared" si="1073"/>
        <v>-60818.701874761609</v>
      </c>
      <c r="O683" s="701">
        <f t="shared" si="1073"/>
        <v>-313790.11808652361</v>
      </c>
      <c r="P683" s="701">
        <f t="shared" si="1073"/>
        <v>-369878.59563483088</v>
      </c>
      <c r="Q683" s="701">
        <f t="shared" si="1073"/>
        <v>-510477.13968063472</v>
      </c>
      <c r="R683" s="701">
        <f t="shared" si="1073"/>
        <v>-664120.22638739389</v>
      </c>
      <c r="S683" s="701">
        <f t="shared" si="1073"/>
        <v>-818867.27957366034</v>
      </c>
      <c r="T683" s="701">
        <f t="shared" si="1073"/>
        <v>-822643.43586753355</v>
      </c>
      <c r="U683" s="701">
        <f t="shared" si="1073"/>
        <v>-785882.51602040324</v>
      </c>
      <c r="V683" s="701">
        <f t="shared" si="1073"/>
        <v>-767950.97065958288</v>
      </c>
      <c r="W683" s="701">
        <f t="shared" si="1073"/>
        <v>-751007.12754616234</v>
      </c>
      <c r="X683" s="701">
        <f t="shared" si="1073"/>
        <v>-743391.08353503142</v>
      </c>
      <c r="Y683" s="701">
        <f t="shared" si="1073"/>
        <v>-764337.27249302668</v>
      </c>
      <c r="Z683" s="701">
        <f t="shared" si="1073"/>
        <v>-786487.4688962088</v>
      </c>
      <c r="AA683" s="701">
        <f t="shared" si="1073"/>
        <v>-810061.78837326588</v>
      </c>
      <c r="AB683" s="701">
        <f t="shared" si="1073"/>
        <v>-835292.80787436152</v>
      </c>
      <c r="AC683" s="701">
        <f t="shared" si="1073"/>
        <v>-862488.6244179653</v>
      </c>
      <c r="AD683" s="701">
        <f t="shared" si="1073"/>
        <v>-891950.3208641042</v>
      </c>
      <c r="AE683" s="701">
        <f t="shared" si="1073"/>
        <v>-924069.29036860727</v>
      </c>
      <c r="AF683" s="701">
        <f t="shared" si="1073"/>
        <v>-959319.50880215596</v>
      </c>
      <c r="AG683" s="701">
        <f t="shared" si="1073"/>
        <v>-998140.1485165609</v>
      </c>
      <c r="AH683" s="726">
        <f t="shared" si="1073"/>
        <v>-1041133.8741896367</v>
      </c>
      <c r="AJ683" s="18"/>
      <c r="AK683" s="18"/>
      <c r="AL683" s="18"/>
      <c r="AM683" s="18"/>
      <c r="AN683" s="18"/>
    </row>
    <row r="684" spans="1:41" ht="21.9" customHeight="1" x14ac:dyDescent="0.25">
      <c r="B684" s="492"/>
      <c r="C684" s="250" t="s">
        <v>453</v>
      </c>
      <c r="D684" s="237"/>
      <c r="E684" s="699">
        <f t="shared" si="1072"/>
        <v>-19310151.729010906</v>
      </c>
      <c r="F684" s="114" t="s">
        <v>114</v>
      </c>
      <c r="G684" s="250">
        <v>0</v>
      </c>
      <c r="H684" s="250">
        <v>0</v>
      </c>
      <c r="I684" s="552">
        <f>I614-I176</f>
        <v>-1296.86324810714</v>
      </c>
      <c r="J684" s="552">
        <f t="shared" ref="J684:AH684" si="1074">J614-J176</f>
        <v>25903.105755002587</v>
      </c>
      <c r="K684" s="552">
        <f t="shared" si="1074"/>
        <v>35539.632782319328</v>
      </c>
      <c r="L684" s="552">
        <f t="shared" si="1074"/>
        <v>33093.493554457789</v>
      </c>
      <c r="M684" s="552">
        <f t="shared" si="1074"/>
        <v>22013.462058069883</v>
      </c>
      <c r="N684" s="552">
        <f t="shared" si="1074"/>
        <v>-35563.637801066972</v>
      </c>
      <c r="O684" s="552">
        <f t="shared" si="1074"/>
        <v>-290000.27357501653</v>
      </c>
      <c r="P684" s="552">
        <f t="shared" si="1074"/>
        <v>-349145.47704808298</v>
      </c>
      <c r="Q684" s="552">
        <f t="shared" si="1074"/>
        <v>-502160.33330916357</v>
      </c>
      <c r="R684" s="552">
        <f t="shared" si="1074"/>
        <v>-675734.22703334223</v>
      </c>
      <c r="S684" s="552">
        <f t="shared" si="1074"/>
        <v>-868020.0510132066</v>
      </c>
      <c r="T684" s="552">
        <f t="shared" si="1074"/>
        <v>-948105.75550457463</v>
      </c>
      <c r="U684" s="552">
        <f t="shared" si="1074"/>
        <v>-1043906.0121309953</v>
      </c>
      <c r="V684" s="552">
        <f t="shared" si="1074"/>
        <v>-1065909.7262587389</v>
      </c>
      <c r="W684" s="552">
        <f t="shared" si="1074"/>
        <v>-1047773.6719177281</v>
      </c>
      <c r="X684" s="552">
        <f t="shared" si="1074"/>
        <v>-1037737.0532811396</v>
      </c>
      <c r="Y684" s="552">
        <f t="shared" si="1074"/>
        <v>-1054760.9847540511</v>
      </c>
      <c r="Z684" s="552">
        <f t="shared" si="1074"/>
        <v>-1071142.1226536953</v>
      </c>
      <c r="AA684" s="552">
        <f t="shared" si="1074"/>
        <v>-1086728.3891250077</v>
      </c>
      <c r="AB684" s="552">
        <f t="shared" si="1074"/>
        <v>-1101257.2146902517</v>
      </c>
      <c r="AC684" s="552">
        <f t="shared" si="1074"/>
        <v>-1127272.7081663595</v>
      </c>
      <c r="AD684" s="552">
        <f t="shared" si="1074"/>
        <v>-1156098.4859421887</v>
      </c>
      <c r="AE684" s="552">
        <f t="shared" si="1074"/>
        <v>-1187166.1915253531</v>
      </c>
      <c r="AF684" s="552">
        <f t="shared" si="1074"/>
        <v>-1220931.0598189402</v>
      </c>
      <c r="AG684" s="552">
        <f t="shared" si="1074"/>
        <v>-1257768.3389457501</v>
      </c>
      <c r="AH684" s="727">
        <f t="shared" si="1074"/>
        <v>-1298222.8454179936</v>
      </c>
      <c r="AJ684" s="18"/>
      <c r="AK684" s="18"/>
      <c r="AL684" s="18"/>
      <c r="AM684" s="18"/>
      <c r="AN684" s="18"/>
    </row>
    <row r="685" spans="1:41" ht="21.9" customHeight="1" x14ac:dyDescent="0.25">
      <c r="B685" s="196" t="s">
        <v>132</v>
      </c>
      <c r="C685" s="114" t="s">
        <v>452</v>
      </c>
      <c r="D685" s="960"/>
      <c r="E685" s="961">
        <f t="shared" si="1072"/>
        <v>455916012.3439424</v>
      </c>
      <c r="F685" s="961">
        <f>SUMPRODUCT(G685:AH685,'Results Summary'!$F$133:$AG$133)</f>
        <v>270179063.52167892</v>
      </c>
      <c r="G685" s="1092">
        <f>G683</f>
        <v>0</v>
      </c>
      <c r="H685" s="1092">
        <f>H683</f>
        <v>0</v>
      </c>
      <c r="I685" s="962">
        <f>ABS(I459-I240)</f>
        <v>67563.301790516824</v>
      </c>
      <c r="J685" s="962">
        <f t="shared" ref="J685:AH685" si="1075">ABS(J459-J240)</f>
        <v>69597.626084718853</v>
      </c>
      <c r="K685" s="962">
        <f t="shared" si="1075"/>
        <v>193099.46889378875</v>
      </c>
      <c r="L685" s="962">
        <f t="shared" si="1075"/>
        <v>155834.78142886609</v>
      </c>
      <c r="M685" s="962">
        <f t="shared" si="1075"/>
        <v>135337.25171772391</v>
      </c>
      <c r="N685" s="962">
        <f t="shared" si="1075"/>
        <v>1793057.4932453409</v>
      </c>
      <c r="O685" s="962">
        <f t="shared" si="1075"/>
        <v>9233057.6445910335</v>
      </c>
      <c r="P685" s="962">
        <f t="shared" si="1075"/>
        <v>10883521.731553629</v>
      </c>
      <c r="Q685" s="962">
        <f t="shared" si="1075"/>
        <v>15016944.993531138</v>
      </c>
      <c r="R685" s="962">
        <f t="shared" si="1075"/>
        <v>19533959.268964544</v>
      </c>
      <c r="S685" s="962">
        <f t="shared" si="1075"/>
        <v>24083438.996763401</v>
      </c>
      <c r="T685" s="962">
        <f t="shared" si="1075"/>
        <v>24193469.415815398</v>
      </c>
      <c r="U685" s="962">
        <f t="shared" si="1075"/>
        <v>23111458.400442556</v>
      </c>
      <c r="V685" s="962">
        <f t="shared" si="1075"/>
        <v>22583539.25312303</v>
      </c>
      <c r="W685" s="962">
        <f t="shared" si="1075"/>
        <v>22085018.716331303</v>
      </c>
      <c r="X685" s="962">
        <f t="shared" si="1075"/>
        <v>21860787.45388405</v>
      </c>
      <c r="Y685" s="962">
        <f t="shared" si="1075"/>
        <v>22476451.673941106</v>
      </c>
      <c r="Z685" s="962">
        <f t="shared" si="1075"/>
        <v>23127512.790004015</v>
      </c>
      <c r="AA685" s="962">
        <f t="shared" si="1075"/>
        <v>23820442.840378955</v>
      </c>
      <c r="AB685" s="962">
        <f t="shared" si="1075"/>
        <v>24562076.409955725</v>
      </c>
      <c r="AC685" s="962">
        <f t="shared" si="1075"/>
        <v>25361471.592433706</v>
      </c>
      <c r="AD685" s="962">
        <f t="shared" si="1075"/>
        <v>26227476.880056858</v>
      </c>
      <c r="AE685" s="962">
        <f t="shared" si="1075"/>
        <v>27171595.401616558</v>
      </c>
      <c r="AF685" s="962">
        <f t="shared" si="1075"/>
        <v>28207760.544427201</v>
      </c>
      <c r="AG685" s="962">
        <f t="shared" si="1075"/>
        <v>29348878.18897213</v>
      </c>
      <c r="AH685" s="798">
        <f t="shared" si="1075"/>
        <v>30612660.223995119</v>
      </c>
      <c r="AJ685" s="18"/>
      <c r="AK685" s="18"/>
      <c r="AL685" s="18"/>
      <c r="AM685" s="18"/>
      <c r="AN685" s="18"/>
    </row>
    <row r="686" spans="1:41" ht="21.9" customHeight="1" thickBot="1" x14ac:dyDescent="0.3">
      <c r="B686" s="464"/>
      <c r="C686" s="274" t="s">
        <v>453</v>
      </c>
      <c r="D686" s="739"/>
      <c r="E686" s="963">
        <f t="shared" si="1072"/>
        <v>574724438.51244724</v>
      </c>
      <c r="F686" s="963">
        <f>SUMPRODUCT(G686:AH686,'Results Summary'!$F$133:$AG$133)</f>
        <v>337679889.51714408</v>
      </c>
      <c r="G686" s="859">
        <f>G684</f>
        <v>0</v>
      </c>
      <c r="H686" s="859">
        <f>H684</f>
        <v>0</v>
      </c>
      <c r="I686" s="859">
        <f>ABS(I678-I240)</f>
        <v>38135.82134475559</v>
      </c>
      <c r="J686" s="859">
        <f t="shared" ref="J686:AH686" si="1076">ABS(J678-J240)</f>
        <v>761973.59382215887</v>
      </c>
      <c r="K686" s="859">
        <f t="shared" si="1076"/>
        <v>1043820.7907112427</v>
      </c>
      <c r="L686" s="859">
        <f t="shared" si="1076"/>
        <v>970767.16539980471</v>
      </c>
      <c r="M686" s="859">
        <f t="shared" si="1076"/>
        <v>643823.08897301555</v>
      </c>
      <c r="N686" s="859">
        <f t="shared" si="1076"/>
        <v>1050412.0123761296</v>
      </c>
      <c r="O686" s="859">
        <f t="shared" si="1076"/>
        <v>8533502.148997508</v>
      </c>
      <c r="P686" s="859">
        <f t="shared" si="1076"/>
        <v>10273858.525624618</v>
      </c>
      <c r="Q686" s="859">
        <f t="shared" si="1076"/>
        <v>14772405.503267474</v>
      </c>
      <c r="R686" s="859">
        <f t="shared" si="1076"/>
        <v>19875520.158929124</v>
      </c>
      <c r="S686" s="859">
        <f t="shared" si="1076"/>
        <v>25528888.055433638</v>
      </c>
      <c r="T686" s="859">
        <f t="shared" si="1076"/>
        <v>27882911.746942103</v>
      </c>
      <c r="U686" s="859">
        <f t="shared" si="1076"/>
        <v>30699046.109669939</v>
      </c>
      <c r="V686" s="859">
        <f t="shared" si="1076"/>
        <v>31345515.871404499</v>
      </c>
      <c r="W686" s="859">
        <f t="shared" si="1076"/>
        <v>30811994.275699764</v>
      </c>
      <c r="X686" s="859">
        <f t="shared" si="1076"/>
        <v>30516654.984525338</v>
      </c>
      <c r="Y686" s="859">
        <f t="shared" si="1076"/>
        <v>31017070.112588584</v>
      </c>
      <c r="Z686" s="859">
        <f t="shared" si="1076"/>
        <v>31498596.314790115</v>
      </c>
      <c r="AA686" s="859">
        <f t="shared" si="1076"/>
        <v>31956765.255255848</v>
      </c>
      <c r="AB686" s="859">
        <f t="shared" si="1076"/>
        <v>32383856.597195297</v>
      </c>
      <c r="AC686" s="859">
        <f t="shared" si="1076"/>
        <v>33148746.596207306</v>
      </c>
      <c r="AD686" s="859">
        <f t="shared" si="1076"/>
        <v>33996299.705386698</v>
      </c>
      <c r="AE686" s="859">
        <f t="shared" si="1076"/>
        <v>34909805.274566293</v>
      </c>
      <c r="AF686" s="859">
        <f t="shared" si="1076"/>
        <v>35902655.258535028</v>
      </c>
      <c r="AG686" s="859">
        <f t="shared" si="1076"/>
        <v>36985887.411142945</v>
      </c>
      <c r="AH686" s="802">
        <f t="shared" si="1076"/>
        <v>38175526.133658081</v>
      </c>
      <c r="AJ686" s="18"/>
      <c r="AK686" s="18"/>
      <c r="AL686" s="18"/>
      <c r="AM686" s="18"/>
      <c r="AN686" s="18"/>
    </row>
    <row r="687" spans="1:41" ht="21.9" customHeight="1" x14ac:dyDescent="0.25">
      <c r="B687" s="196" t="s">
        <v>721</v>
      </c>
      <c r="C687" s="114" t="s">
        <v>452</v>
      </c>
      <c r="D687" s="960"/>
      <c r="E687" s="961">
        <f t="shared" si="1072"/>
        <v>455294579.91402686</v>
      </c>
      <c r="F687" s="961">
        <f>SUMPRODUCT(G687:AH687,'Results Summary'!$F$133:$AG$133)</f>
        <v>269617757.97492695</v>
      </c>
      <c r="G687" s="1092">
        <f t="shared" ref="G687:AH687" si="1077">IF(G$682&gt;=endYear,IF(G$682&lt;=endYear+yearsOfBenefits,G685,0),0)</f>
        <v>0</v>
      </c>
      <c r="H687" s="1092">
        <f t="shared" si="1077"/>
        <v>0</v>
      </c>
      <c r="I687" s="1092">
        <f t="shared" si="1077"/>
        <v>0</v>
      </c>
      <c r="J687" s="1092">
        <f t="shared" si="1077"/>
        <v>0</v>
      </c>
      <c r="K687" s="1092">
        <f t="shared" si="1077"/>
        <v>0</v>
      </c>
      <c r="L687" s="1092">
        <f t="shared" si="1077"/>
        <v>0</v>
      </c>
      <c r="M687" s="1092">
        <f t="shared" si="1077"/>
        <v>0</v>
      </c>
      <c r="N687" s="1092">
        <f t="shared" si="1077"/>
        <v>1793057.4932453409</v>
      </c>
      <c r="O687" s="1092">
        <f t="shared" si="1077"/>
        <v>9233057.6445910335</v>
      </c>
      <c r="P687" s="1092">
        <f t="shared" si="1077"/>
        <v>10883521.731553629</v>
      </c>
      <c r="Q687" s="1092">
        <f t="shared" si="1077"/>
        <v>15016944.993531138</v>
      </c>
      <c r="R687" s="1092">
        <f t="shared" si="1077"/>
        <v>19533959.268964544</v>
      </c>
      <c r="S687" s="1092">
        <f t="shared" si="1077"/>
        <v>24083438.996763401</v>
      </c>
      <c r="T687" s="1092">
        <f t="shared" si="1077"/>
        <v>24193469.415815398</v>
      </c>
      <c r="U687" s="1092">
        <f t="shared" si="1077"/>
        <v>23111458.400442556</v>
      </c>
      <c r="V687" s="1092">
        <f t="shared" si="1077"/>
        <v>22583539.25312303</v>
      </c>
      <c r="W687" s="1092">
        <f t="shared" si="1077"/>
        <v>22085018.716331303</v>
      </c>
      <c r="X687" s="1092">
        <f t="shared" si="1077"/>
        <v>21860787.45388405</v>
      </c>
      <c r="Y687" s="1092">
        <f t="shared" si="1077"/>
        <v>22476451.673941106</v>
      </c>
      <c r="Z687" s="1092">
        <f t="shared" si="1077"/>
        <v>23127512.790004015</v>
      </c>
      <c r="AA687" s="1092">
        <f t="shared" si="1077"/>
        <v>23820442.840378955</v>
      </c>
      <c r="AB687" s="1092">
        <f t="shared" si="1077"/>
        <v>24562076.409955725</v>
      </c>
      <c r="AC687" s="1092">
        <f t="shared" si="1077"/>
        <v>25361471.592433706</v>
      </c>
      <c r="AD687" s="1092">
        <f t="shared" si="1077"/>
        <v>26227476.880056858</v>
      </c>
      <c r="AE687" s="1092">
        <f t="shared" si="1077"/>
        <v>27171595.401616558</v>
      </c>
      <c r="AF687" s="1092">
        <f t="shared" si="1077"/>
        <v>28207760.544427201</v>
      </c>
      <c r="AG687" s="1092">
        <f t="shared" si="1077"/>
        <v>29348878.18897213</v>
      </c>
      <c r="AH687" s="798">
        <f t="shared" si="1077"/>
        <v>30612660.223995119</v>
      </c>
      <c r="AJ687" s="18"/>
      <c r="AK687" s="18"/>
      <c r="AL687" s="18"/>
      <c r="AM687" s="18"/>
      <c r="AN687" s="18"/>
    </row>
    <row r="688" spans="1:41" ht="21.9" customHeight="1" thickBot="1" x14ac:dyDescent="0.3">
      <c r="B688" s="464"/>
      <c r="C688" s="274" t="s">
        <v>453</v>
      </c>
      <c r="D688" s="739"/>
      <c r="E688" s="963">
        <f t="shared" si="1072"/>
        <v>571265918.05219626</v>
      </c>
      <c r="F688" s="963">
        <f>SUMPRODUCT(G688:AH688,'Results Summary'!$F$133:$AG$133)</f>
        <v>334561740.81969547</v>
      </c>
      <c r="G688" s="859">
        <f t="shared" ref="G688:AH688" si="1078">IF(G$682&gt;=endYear,IF(G$682&lt;=endYear+yearsOfBenefits,G686,0),0)</f>
        <v>0</v>
      </c>
      <c r="H688" s="859">
        <f t="shared" si="1078"/>
        <v>0</v>
      </c>
      <c r="I688" s="859">
        <f t="shared" si="1078"/>
        <v>0</v>
      </c>
      <c r="J688" s="859">
        <f t="shared" si="1078"/>
        <v>0</v>
      </c>
      <c r="K688" s="859">
        <f t="shared" si="1078"/>
        <v>0</v>
      </c>
      <c r="L688" s="859">
        <f t="shared" si="1078"/>
        <v>0</v>
      </c>
      <c r="M688" s="859">
        <f t="shared" si="1078"/>
        <v>0</v>
      </c>
      <c r="N688" s="859">
        <f t="shared" si="1078"/>
        <v>1050412.0123761296</v>
      </c>
      <c r="O688" s="859">
        <f t="shared" si="1078"/>
        <v>8533502.148997508</v>
      </c>
      <c r="P688" s="859">
        <f t="shared" si="1078"/>
        <v>10273858.525624618</v>
      </c>
      <c r="Q688" s="859">
        <f t="shared" si="1078"/>
        <v>14772405.503267474</v>
      </c>
      <c r="R688" s="859">
        <f t="shared" si="1078"/>
        <v>19875520.158929124</v>
      </c>
      <c r="S688" s="859">
        <f t="shared" si="1078"/>
        <v>25528888.055433638</v>
      </c>
      <c r="T688" s="859">
        <f t="shared" si="1078"/>
        <v>27882911.746942103</v>
      </c>
      <c r="U688" s="859">
        <f t="shared" si="1078"/>
        <v>30699046.109669939</v>
      </c>
      <c r="V688" s="859">
        <f t="shared" si="1078"/>
        <v>31345515.871404499</v>
      </c>
      <c r="W688" s="859">
        <f t="shared" si="1078"/>
        <v>30811994.275699764</v>
      </c>
      <c r="X688" s="859">
        <f t="shared" si="1078"/>
        <v>30516654.984525338</v>
      </c>
      <c r="Y688" s="859">
        <f t="shared" si="1078"/>
        <v>31017070.112588584</v>
      </c>
      <c r="Z688" s="859">
        <f t="shared" si="1078"/>
        <v>31498596.314790115</v>
      </c>
      <c r="AA688" s="859">
        <f t="shared" si="1078"/>
        <v>31956765.255255848</v>
      </c>
      <c r="AB688" s="859">
        <f t="shared" si="1078"/>
        <v>32383856.597195297</v>
      </c>
      <c r="AC688" s="859">
        <f t="shared" si="1078"/>
        <v>33148746.596207306</v>
      </c>
      <c r="AD688" s="859">
        <f t="shared" si="1078"/>
        <v>33996299.705386698</v>
      </c>
      <c r="AE688" s="859">
        <f t="shared" si="1078"/>
        <v>34909805.274566293</v>
      </c>
      <c r="AF688" s="859">
        <f t="shared" si="1078"/>
        <v>35902655.258535028</v>
      </c>
      <c r="AG688" s="859">
        <f t="shared" si="1078"/>
        <v>36985887.411142945</v>
      </c>
      <c r="AH688" s="802">
        <f t="shared" si="1078"/>
        <v>38175526.133658081</v>
      </c>
      <c r="AJ688" s="18"/>
      <c r="AK688" s="18"/>
      <c r="AL688" s="18"/>
      <c r="AM688" s="18"/>
      <c r="AN688" s="18"/>
    </row>
    <row r="690" customFormat="1" ht="21.9" customHeight="1" x14ac:dyDescent="0.25"/>
  </sheetData>
  <mergeCells count="49">
    <mergeCell ref="B18:K18"/>
    <mergeCell ref="F115:G115"/>
    <mergeCell ref="E116:E124"/>
    <mergeCell ref="E125:E133"/>
    <mergeCell ref="E137:E148"/>
    <mergeCell ref="F28:G28"/>
    <mergeCell ref="E29:E31"/>
    <mergeCell ref="E32:E34"/>
    <mergeCell ref="E36:E39"/>
    <mergeCell ref="F51:G51"/>
    <mergeCell ref="E52:E60"/>
    <mergeCell ref="E61:E69"/>
    <mergeCell ref="E73:E84"/>
    <mergeCell ref="F179:G179"/>
    <mergeCell ref="E180:E188"/>
    <mergeCell ref="E189:E197"/>
    <mergeCell ref="E201:E212"/>
    <mergeCell ref="F247:G247"/>
    <mergeCell ref="E248:E250"/>
    <mergeCell ref="E251:E253"/>
    <mergeCell ref="E255:E258"/>
    <mergeCell ref="F270:G270"/>
    <mergeCell ref="E271:E279"/>
    <mergeCell ref="E280:E288"/>
    <mergeCell ref="E292:E303"/>
    <mergeCell ref="F334:G334"/>
    <mergeCell ref="E335:E343"/>
    <mergeCell ref="E344:E352"/>
    <mergeCell ref="E356:E367"/>
    <mergeCell ref="F398:G398"/>
    <mergeCell ref="E399:E407"/>
    <mergeCell ref="E408:E416"/>
    <mergeCell ref="E420:E431"/>
    <mergeCell ref="F466:G466"/>
    <mergeCell ref="E467:E469"/>
    <mergeCell ref="E470:E472"/>
    <mergeCell ref="E474:E477"/>
    <mergeCell ref="F489:G489"/>
    <mergeCell ref="E490:E498"/>
    <mergeCell ref="E499:E507"/>
    <mergeCell ref="E511:E522"/>
    <mergeCell ref="F553:G553"/>
    <mergeCell ref="E554:E562"/>
    <mergeCell ref="E639:E650"/>
    <mergeCell ref="E563:E571"/>
    <mergeCell ref="E575:E586"/>
    <mergeCell ref="F617:G617"/>
    <mergeCell ref="E618:E626"/>
    <mergeCell ref="E627:E635"/>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0DF3-0CDB-4AFC-AD9C-DD6151571F08}">
  <sheetPr codeName="Sheet5">
    <tabColor theme="4" tint="-0.249977111117893"/>
  </sheetPr>
  <dimension ref="A2:AM743"/>
  <sheetViews>
    <sheetView topLeftCell="A693" zoomScale="60" zoomScaleNormal="60" workbookViewId="0">
      <selection activeCell="E731" sqref="E731"/>
    </sheetView>
  </sheetViews>
  <sheetFormatPr defaultColWidth="11.59765625" defaultRowHeight="21.9" customHeight="1" x14ac:dyDescent="0.25"/>
  <cols>
    <col min="1" max="1" width="3.3984375" customWidth="1"/>
    <col min="2" max="2" width="25" customWidth="1"/>
    <col min="3" max="3" width="18.59765625" customWidth="1"/>
    <col min="4" max="5" width="18.69921875" customWidth="1"/>
    <col min="6" max="10" width="18.69921875" style="2" customWidth="1"/>
    <col min="11" max="34" width="18.69921875" customWidth="1"/>
  </cols>
  <sheetData>
    <row r="2" spans="1:39" ht="22.8" x14ac:dyDescent="0.25">
      <c r="B2" s="770" t="s">
        <v>39</v>
      </c>
    </row>
    <row r="4" spans="1:39" ht="21.9" customHeight="1" x14ac:dyDescent="0.25">
      <c r="A4" s="223" t="s">
        <v>87</v>
      </c>
      <c r="B4" s="771" t="s">
        <v>0</v>
      </c>
    </row>
    <row r="6" spans="1:39" ht="21.9" customHeight="1" thickBot="1" x14ac:dyDescent="0.3">
      <c r="B6" s="769" t="s">
        <v>178</v>
      </c>
      <c r="C6" s="12"/>
      <c r="D6" s="12"/>
      <c r="E6" s="2"/>
      <c r="F6" s="12"/>
      <c r="G6" s="12"/>
    </row>
    <row r="7" spans="1:39" ht="21.9" customHeight="1" thickBot="1" x14ac:dyDescent="0.3">
      <c r="B7" s="231" t="s">
        <v>47</v>
      </c>
      <c r="C7" s="411"/>
      <c r="D7" s="411"/>
      <c r="E7" s="412" t="str">
        <f>Inputs!D34</f>
        <v>US 412</v>
      </c>
      <c r="F7" s="412" t="str">
        <f>Inputs!E34</f>
        <v>SH 412B</v>
      </c>
      <c r="G7" s="412" t="str">
        <f>Inputs!F34</f>
        <v>Patrol Rd</v>
      </c>
      <c r="H7" s="412" t="str">
        <f>Inputs!G34</f>
        <v>Williams St</v>
      </c>
      <c r="I7" s="412" t="str">
        <f>Inputs!H34</f>
        <v>US 69</v>
      </c>
      <c r="J7" s="412" t="str">
        <f>Inputs!I34</f>
        <v>Zarrow Rd</v>
      </c>
      <c r="K7" s="412" t="str">
        <f>Inputs!J34</f>
        <v>Rocket Rd</v>
      </c>
      <c r="L7" s="412" t="str">
        <f>Inputs!K34</f>
        <v>Armin Rd</v>
      </c>
      <c r="M7" s="413" t="str">
        <f>Inputs!L34</f>
        <v>SH 69A</v>
      </c>
    </row>
    <row r="8" spans="1:39" ht="21.9" customHeight="1" x14ac:dyDescent="0.25">
      <c r="B8" s="194" t="s">
        <v>19</v>
      </c>
      <c r="C8" s="48"/>
      <c r="D8" s="48"/>
      <c r="E8" s="1058">
        <f>Inputs!D35</f>
        <v>0.22</v>
      </c>
      <c r="F8" s="1058">
        <f>Inputs!E35</f>
        <v>0.2</v>
      </c>
      <c r="G8" s="1058">
        <f>Inputs!F35</f>
        <v>0.2</v>
      </c>
      <c r="H8" s="1058">
        <f>Inputs!G35</f>
        <v>0.2</v>
      </c>
      <c r="I8" s="1058">
        <f>Inputs!H35</f>
        <v>0.28000000000000003</v>
      </c>
      <c r="J8" s="1058">
        <f>Inputs!I35</f>
        <v>0.2</v>
      </c>
      <c r="K8" s="1058">
        <f>Inputs!J35</f>
        <v>0.2</v>
      </c>
      <c r="L8" s="1058">
        <f>Inputs!K35</f>
        <v>0.2</v>
      </c>
      <c r="M8" s="1059">
        <f>Inputs!L35</f>
        <v>0.2</v>
      </c>
    </row>
    <row r="9" spans="1:39" ht="21.9" customHeight="1" thickBot="1" x14ac:dyDescent="0.3">
      <c r="B9" s="198" t="s">
        <v>434</v>
      </c>
      <c r="C9" s="200"/>
      <c r="D9" s="200"/>
      <c r="E9" s="1060">
        <f>Inputs!D36</f>
        <v>0.78</v>
      </c>
      <c r="F9" s="1060">
        <f>Inputs!E36</f>
        <v>0.8</v>
      </c>
      <c r="G9" s="1060">
        <f>Inputs!F36</f>
        <v>0.8</v>
      </c>
      <c r="H9" s="1060">
        <f>Inputs!G36</f>
        <v>0.8</v>
      </c>
      <c r="I9" s="1060">
        <f>Inputs!H36</f>
        <v>0.72</v>
      </c>
      <c r="J9" s="1060">
        <f>Inputs!I36</f>
        <v>0.8</v>
      </c>
      <c r="K9" s="1060">
        <f>Inputs!J36</f>
        <v>0.8</v>
      </c>
      <c r="L9" s="1060">
        <f>Inputs!K36</f>
        <v>0.8</v>
      </c>
      <c r="M9" s="1061">
        <f>Inputs!L36</f>
        <v>0.8</v>
      </c>
    </row>
    <row r="11" spans="1:39" ht="21.9" customHeight="1" thickBot="1" x14ac:dyDescent="0.3">
      <c r="B11" s="769" t="str">
        <f>"Emission Costs " &amp; 'Emissions Data'!$B$10</f>
        <v>Emission Costs (2022$/metric ton)</v>
      </c>
      <c r="F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row>
    <row r="12" spans="1:39" ht="21.9" customHeight="1" thickBot="1" x14ac:dyDescent="0.3">
      <c r="B12" s="231" t="s">
        <v>42</v>
      </c>
      <c r="C12" s="232"/>
      <c r="D12" s="232"/>
      <c r="E12" s="232"/>
      <c r="F12" s="232"/>
      <c r="G12" s="234" cm="1">
        <f t="array" ref="G12:AH12">year</f>
        <v>2021</v>
      </c>
      <c r="H12" s="234">
        <v>2022</v>
      </c>
      <c r="I12" s="234">
        <v>2023</v>
      </c>
      <c r="J12" s="234">
        <v>2024</v>
      </c>
      <c r="K12" s="234">
        <v>2025</v>
      </c>
      <c r="L12" s="234">
        <v>2026</v>
      </c>
      <c r="M12" s="234">
        <v>2027</v>
      </c>
      <c r="N12" s="234">
        <v>2028</v>
      </c>
      <c r="O12" s="234">
        <v>2029</v>
      </c>
      <c r="P12" s="234">
        <v>2030</v>
      </c>
      <c r="Q12" s="234">
        <v>2031</v>
      </c>
      <c r="R12" s="234">
        <v>2032</v>
      </c>
      <c r="S12" s="234">
        <v>2033</v>
      </c>
      <c r="T12" s="234">
        <v>2034</v>
      </c>
      <c r="U12" s="234">
        <v>2035</v>
      </c>
      <c r="V12" s="234">
        <v>2036</v>
      </c>
      <c r="W12" s="234">
        <v>2037</v>
      </c>
      <c r="X12" s="234">
        <v>2038</v>
      </c>
      <c r="Y12" s="234">
        <v>2039</v>
      </c>
      <c r="Z12" s="234">
        <v>2040</v>
      </c>
      <c r="AA12" s="234">
        <v>2041</v>
      </c>
      <c r="AB12" s="234">
        <v>2042</v>
      </c>
      <c r="AC12" s="234">
        <v>2043</v>
      </c>
      <c r="AD12" s="234">
        <v>2044</v>
      </c>
      <c r="AE12" s="234">
        <v>2045</v>
      </c>
      <c r="AF12" s="234">
        <v>2046</v>
      </c>
      <c r="AG12" s="234">
        <v>2047</v>
      </c>
      <c r="AH12" s="233">
        <v>2048</v>
      </c>
      <c r="AI12" s="247"/>
      <c r="AJ12" s="247"/>
      <c r="AK12" s="247"/>
      <c r="AL12" s="247"/>
      <c r="AM12" s="247"/>
    </row>
    <row r="13" spans="1:39" ht="21.9" customHeight="1" x14ac:dyDescent="0.25">
      <c r="B13" s="194" t="str" cm="1">
        <f t="array" ref="B13:B16">TRANSPOSE(EmissionCost[[#Headers], [NOx]:[CO2]])</f>
        <v>NOx</v>
      </c>
      <c r="F13"/>
      <c r="G13" s="22" cm="1">
        <f t="array" ref="G13:AH13">_xlfn.XLOOKUP(year, EmissionCost[Year], EmissionCost[NOx])</f>
        <v>0</v>
      </c>
      <c r="H13" s="22">
        <v>0</v>
      </c>
      <c r="I13" s="22">
        <v>19800</v>
      </c>
      <c r="J13" s="22">
        <v>20100</v>
      </c>
      <c r="K13" s="22">
        <v>20300</v>
      </c>
      <c r="L13" s="22">
        <v>20600</v>
      </c>
      <c r="M13" s="22">
        <v>21000</v>
      </c>
      <c r="N13" s="22">
        <v>21300</v>
      </c>
      <c r="O13" s="22">
        <v>21700</v>
      </c>
      <c r="P13" s="22">
        <v>22000</v>
      </c>
      <c r="Q13" s="22">
        <v>22000</v>
      </c>
      <c r="R13" s="22">
        <v>22000</v>
      </c>
      <c r="S13" s="22">
        <v>22000</v>
      </c>
      <c r="T13" s="22">
        <v>22000</v>
      </c>
      <c r="U13" s="22">
        <v>22000</v>
      </c>
      <c r="V13" s="22">
        <v>22000</v>
      </c>
      <c r="W13" s="22">
        <v>22000</v>
      </c>
      <c r="X13" s="22">
        <v>22000</v>
      </c>
      <c r="Y13" s="22">
        <v>22000</v>
      </c>
      <c r="Z13" s="22">
        <v>22000</v>
      </c>
      <c r="AA13" s="22">
        <v>22000</v>
      </c>
      <c r="AB13" s="22">
        <v>22000</v>
      </c>
      <c r="AC13" s="22">
        <v>22000</v>
      </c>
      <c r="AD13" s="22">
        <v>22000</v>
      </c>
      <c r="AE13" s="22">
        <v>22000</v>
      </c>
      <c r="AF13" s="22">
        <v>22000</v>
      </c>
      <c r="AG13" s="22">
        <v>22000</v>
      </c>
      <c r="AH13" s="195">
        <v>22000</v>
      </c>
      <c r="AI13" s="21"/>
      <c r="AJ13" s="21"/>
      <c r="AK13" s="21"/>
      <c r="AL13" s="21"/>
      <c r="AM13" s="21"/>
    </row>
    <row r="14" spans="1:39" ht="21.9" customHeight="1" x14ac:dyDescent="0.25">
      <c r="B14" s="194" t="str">
        <v>SOx</v>
      </c>
      <c r="F14"/>
      <c r="G14" s="22" cm="1">
        <f t="array" ref="G14:AH14">_xlfn.XLOOKUP(year, EmissionCost[Year], EmissionCost[SOx])</f>
        <v>0</v>
      </c>
      <c r="H14" s="22">
        <v>0</v>
      </c>
      <c r="I14" s="22">
        <v>52900</v>
      </c>
      <c r="J14" s="22">
        <v>53800</v>
      </c>
      <c r="K14" s="22">
        <v>54800</v>
      </c>
      <c r="L14" s="22">
        <v>56100</v>
      </c>
      <c r="M14" s="22">
        <v>57400</v>
      </c>
      <c r="N14" s="22">
        <v>58700</v>
      </c>
      <c r="O14" s="22">
        <v>60100</v>
      </c>
      <c r="P14" s="22">
        <v>61500</v>
      </c>
      <c r="Q14" s="22">
        <v>61500</v>
      </c>
      <c r="R14" s="22">
        <v>61500</v>
      </c>
      <c r="S14" s="22">
        <v>61500</v>
      </c>
      <c r="T14" s="22">
        <v>61500</v>
      </c>
      <c r="U14" s="22">
        <v>61500</v>
      </c>
      <c r="V14" s="22">
        <v>61500</v>
      </c>
      <c r="W14" s="22">
        <v>61500</v>
      </c>
      <c r="X14" s="22">
        <v>61500</v>
      </c>
      <c r="Y14" s="22">
        <v>61500</v>
      </c>
      <c r="Z14" s="22">
        <v>61500</v>
      </c>
      <c r="AA14" s="22">
        <v>61500</v>
      </c>
      <c r="AB14" s="22">
        <v>61500</v>
      </c>
      <c r="AC14" s="22">
        <v>61500</v>
      </c>
      <c r="AD14" s="22">
        <v>61500</v>
      </c>
      <c r="AE14" s="22">
        <v>61500</v>
      </c>
      <c r="AF14" s="22">
        <v>61500</v>
      </c>
      <c r="AG14" s="22">
        <v>61500</v>
      </c>
      <c r="AH14" s="195">
        <v>61500</v>
      </c>
      <c r="AI14" s="21"/>
      <c r="AJ14" s="21"/>
      <c r="AK14" s="21"/>
      <c r="AL14" s="21"/>
      <c r="AM14" s="21"/>
    </row>
    <row r="15" spans="1:39" ht="21.9" customHeight="1" x14ac:dyDescent="0.25">
      <c r="B15" s="194" t="str">
        <v>PM2.5</v>
      </c>
      <c r="F15"/>
      <c r="G15" s="22" cm="1">
        <f t="array" ref="G15:AH15">_xlfn.XLOOKUP(year, EmissionCost[Year], EmissionCost[PM2.5])</f>
        <v>0</v>
      </c>
      <c r="H15" s="22">
        <v>0</v>
      </c>
      <c r="I15" s="22">
        <v>951000</v>
      </c>
      <c r="J15" s="22">
        <v>963200</v>
      </c>
      <c r="K15" s="22">
        <v>975500</v>
      </c>
      <c r="L15" s="22">
        <v>993500</v>
      </c>
      <c r="M15" s="22">
        <v>1011900</v>
      </c>
      <c r="N15" s="22">
        <v>1030600</v>
      </c>
      <c r="O15" s="22">
        <v>1049600</v>
      </c>
      <c r="P15" s="22">
        <v>1069000</v>
      </c>
      <c r="Q15" s="22">
        <v>1069000</v>
      </c>
      <c r="R15" s="22">
        <v>1069000</v>
      </c>
      <c r="S15" s="22">
        <v>1069000</v>
      </c>
      <c r="T15" s="22">
        <v>1069000</v>
      </c>
      <c r="U15" s="22">
        <v>1069000</v>
      </c>
      <c r="V15" s="22">
        <v>1069000</v>
      </c>
      <c r="W15" s="22">
        <v>1069000</v>
      </c>
      <c r="X15" s="22">
        <v>1069000</v>
      </c>
      <c r="Y15" s="22">
        <v>1069000</v>
      </c>
      <c r="Z15" s="22">
        <v>1069000</v>
      </c>
      <c r="AA15" s="22">
        <v>1069000</v>
      </c>
      <c r="AB15" s="22">
        <v>1069000</v>
      </c>
      <c r="AC15" s="22">
        <v>1069000</v>
      </c>
      <c r="AD15" s="22">
        <v>1069000</v>
      </c>
      <c r="AE15" s="22">
        <v>1069000</v>
      </c>
      <c r="AF15" s="22">
        <v>1069000</v>
      </c>
      <c r="AG15" s="22">
        <v>1069000</v>
      </c>
      <c r="AH15" s="195">
        <v>1069000</v>
      </c>
      <c r="AI15" s="21"/>
      <c r="AJ15" s="21"/>
      <c r="AK15" s="21"/>
      <c r="AL15" s="21"/>
      <c r="AM15" s="21"/>
    </row>
    <row r="16" spans="1:39" ht="21.9" customHeight="1" thickBot="1" x14ac:dyDescent="0.3">
      <c r="B16" s="198" t="str">
        <v>CO2</v>
      </c>
      <c r="C16" s="199"/>
      <c r="D16" s="199"/>
      <c r="E16" s="199"/>
      <c r="F16" s="199"/>
      <c r="G16" s="418" cm="1">
        <f t="array" ref="G16:AH16">_xlfn.XLOOKUP(year, EmissionCost[Year], EmissionCost[CO2])</f>
        <v>0</v>
      </c>
      <c r="H16" s="418">
        <v>0</v>
      </c>
      <c r="I16" s="418">
        <v>228</v>
      </c>
      <c r="J16" s="418">
        <v>233</v>
      </c>
      <c r="K16" s="418">
        <v>237</v>
      </c>
      <c r="L16" s="418">
        <v>241</v>
      </c>
      <c r="M16" s="418">
        <v>245</v>
      </c>
      <c r="N16" s="418">
        <v>250</v>
      </c>
      <c r="O16" s="418">
        <v>253</v>
      </c>
      <c r="P16" s="418">
        <v>257</v>
      </c>
      <c r="Q16" s="418">
        <v>262</v>
      </c>
      <c r="R16" s="418">
        <v>265</v>
      </c>
      <c r="S16" s="418">
        <v>270</v>
      </c>
      <c r="T16" s="418">
        <v>274</v>
      </c>
      <c r="U16" s="418">
        <v>278</v>
      </c>
      <c r="V16" s="418">
        <v>282</v>
      </c>
      <c r="W16" s="418">
        <v>287</v>
      </c>
      <c r="X16" s="418">
        <v>290</v>
      </c>
      <c r="Y16" s="418">
        <v>294</v>
      </c>
      <c r="Z16" s="418">
        <v>299</v>
      </c>
      <c r="AA16" s="418">
        <v>303</v>
      </c>
      <c r="AB16" s="418">
        <v>308</v>
      </c>
      <c r="AC16" s="418">
        <v>312</v>
      </c>
      <c r="AD16" s="418">
        <v>317</v>
      </c>
      <c r="AE16" s="418">
        <v>321</v>
      </c>
      <c r="AF16" s="418">
        <v>326</v>
      </c>
      <c r="AG16" s="418">
        <v>331</v>
      </c>
      <c r="AH16" s="419">
        <v>336</v>
      </c>
      <c r="AI16" s="22"/>
      <c r="AJ16" s="22"/>
      <c r="AK16" s="22"/>
      <c r="AL16" s="22"/>
      <c r="AM16" s="22"/>
    </row>
    <row r="17" spans="1:39" ht="21.9" customHeight="1" x14ac:dyDescent="0.25">
      <c r="B17" s="112" t="s">
        <v>67</v>
      </c>
    </row>
    <row r="18" spans="1:39" ht="21.9" customHeight="1" x14ac:dyDescent="0.25">
      <c r="B18" s="9"/>
      <c r="G18" s="5"/>
    </row>
    <row r="19" spans="1:39" ht="21.9" customHeight="1" thickBot="1" x14ac:dyDescent="0.3">
      <c r="B19" s="769" t="s">
        <v>435</v>
      </c>
      <c r="C19" s="12"/>
      <c r="D19" s="12"/>
      <c r="E19" s="2"/>
      <c r="F19" s="12"/>
      <c r="G19" s="12"/>
    </row>
    <row r="20" spans="1:39" ht="21.9" customHeight="1" thickBot="1" x14ac:dyDescent="0.3">
      <c r="B20" s="231" t="s">
        <v>47</v>
      </c>
      <c r="C20" s="411"/>
      <c r="D20" s="411"/>
      <c r="E20" s="412" t="s">
        <v>43</v>
      </c>
      <c r="F20" s="412" t="s">
        <v>405</v>
      </c>
      <c r="G20" s="412" t="s">
        <v>41</v>
      </c>
      <c r="H20" s="413" t="s">
        <v>40</v>
      </c>
      <c r="I20" s="420"/>
      <c r="J20" s="420"/>
      <c r="K20" s="420"/>
      <c r="L20" s="420"/>
      <c r="M20" s="420"/>
    </row>
    <row r="21" spans="1:39" ht="21.9" customHeight="1" x14ac:dyDescent="0.25">
      <c r="B21" s="194" t="s">
        <v>436</v>
      </c>
      <c r="C21" s="48"/>
      <c r="D21" s="48"/>
      <c r="E21" s="422">
        <f>'Emissions Data'!L10*'Emissions Data'!$L$19</f>
        <v>4.1689999999999994E-6</v>
      </c>
      <c r="F21" s="422">
        <f>'Emissions Data'!L12*'Emissions Data'!$L$18*'Emissions Data'!L8</f>
        <v>8.9259929999999998E-10</v>
      </c>
      <c r="G21" s="422">
        <f>'Emissions Data'!L14*'Emissions Data'!$L$19</f>
        <v>1.1899999999999999E-7</v>
      </c>
      <c r="H21" s="423">
        <f>'Emissions Data'!L16*'Emissions Data'!$L$19</f>
        <v>1.018E-2</v>
      </c>
      <c r="I21" s="421"/>
      <c r="J21" s="493"/>
      <c r="K21" s="421"/>
      <c r="L21" s="421"/>
      <c r="M21" s="421"/>
    </row>
    <row r="22" spans="1:39" ht="21.9" customHeight="1" thickBot="1" x14ac:dyDescent="0.3">
      <c r="B22" s="198" t="s">
        <v>437</v>
      </c>
      <c r="C22" s="200"/>
      <c r="D22" s="200"/>
      <c r="E22" s="424">
        <f>'Emissions Data'!L9*'Emissions Data'!$L$19</f>
        <v>1.92E-7</v>
      </c>
      <c r="F22" s="424">
        <f>'Emissions Data'!L11*'Emissions Data'!$L$18*'Emissions Data'!L7</f>
        <v>2.2116627100000001E-9</v>
      </c>
      <c r="G22" s="424">
        <f>'Emissions Data'!L13*'Emissions Data'!$L$19</f>
        <v>1E-8</v>
      </c>
      <c r="H22" s="425">
        <f>'Emissions Data'!L15*'Emissions Data'!$L$19</f>
        <v>8.8869999999999991E-3</v>
      </c>
      <c r="I22" s="421"/>
      <c r="J22" s="421"/>
      <c r="K22" s="421"/>
      <c r="L22" s="421"/>
      <c r="M22" s="421"/>
    </row>
    <row r="23" spans="1:39" ht="21.9" customHeight="1" x14ac:dyDescent="0.25">
      <c r="B23" s="240" t="s">
        <v>438</v>
      </c>
      <c r="G23" s="5"/>
    </row>
    <row r="24" spans="1:39" ht="21.9" customHeight="1" x14ac:dyDescent="0.25">
      <c r="B24" s="9"/>
      <c r="G24" s="5"/>
    </row>
    <row r="25" spans="1:39" ht="21.9" customHeight="1" x14ac:dyDescent="0.25">
      <c r="B25" s="9"/>
      <c r="G25" s="5"/>
    </row>
    <row r="26" spans="1:39" ht="21.9" customHeight="1" x14ac:dyDescent="0.25">
      <c r="B26" s="9"/>
      <c r="G26" s="5"/>
    </row>
    <row r="27" spans="1:39" ht="21.9" customHeight="1" x14ac:dyDescent="0.25">
      <c r="A27" s="223"/>
      <c r="B27" s="771" t="s">
        <v>9</v>
      </c>
      <c r="G27" s="42"/>
      <c r="K27" s="2"/>
      <c r="L27" s="2"/>
      <c r="M27" s="2"/>
      <c r="N27" s="2"/>
      <c r="O27" s="2"/>
    </row>
    <row r="28" spans="1:39" ht="21.9" customHeight="1" x14ac:dyDescent="0.25">
      <c r="K28" s="2"/>
      <c r="L28" s="2"/>
      <c r="M28" s="2"/>
      <c r="N28" s="2"/>
      <c r="O28" s="2"/>
    </row>
    <row r="29" spans="1:39" ht="21.9" customHeight="1" thickBot="1" x14ac:dyDescent="0.3">
      <c r="B29" s="769" t="s">
        <v>465</v>
      </c>
      <c r="K29" s="2"/>
      <c r="L29" s="2"/>
      <c r="M29" s="2"/>
      <c r="N29" s="2"/>
      <c r="O29" s="2"/>
    </row>
    <row r="30" spans="1:39" ht="21.9" customHeight="1" x14ac:dyDescent="0.25">
      <c r="B30" s="548" t="s">
        <v>312</v>
      </c>
      <c r="C30" s="1331" t="s">
        <v>18</v>
      </c>
      <c r="D30" s="1331"/>
      <c r="E30" s="197" t="s">
        <v>24</v>
      </c>
      <c r="F30" s="197" t="s">
        <v>42</v>
      </c>
      <c r="G30" s="459">
        <v>2021</v>
      </c>
      <c r="H30" s="459">
        <v>2022</v>
      </c>
      <c r="I30" s="459">
        <v>2023</v>
      </c>
      <c r="J30" s="459">
        <v>2024</v>
      </c>
      <c r="K30" s="459">
        <v>2025</v>
      </c>
      <c r="L30" s="459">
        <v>2026</v>
      </c>
      <c r="M30" s="459">
        <v>2027</v>
      </c>
      <c r="N30" s="459">
        <v>2028</v>
      </c>
      <c r="O30" s="459">
        <v>2029</v>
      </c>
      <c r="P30" s="459">
        <v>2030</v>
      </c>
      <c r="Q30" s="459">
        <v>2031</v>
      </c>
      <c r="R30" s="459">
        <v>2032</v>
      </c>
      <c r="S30" s="459">
        <v>2033</v>
      </c>
      <c r="T30" s="459">
        <v>2034</v>
      </c>
      <c r="U30" s="459">
        <v>2035</v>
      </c>
      <c r="V30" s="459">
        <v>2036</v>
      </c>
      <c r="W30" s="459">
        <v>2037</v>
      </c>
      <c r="X30" s="459">
        <v>2038</v>
      </c>
      <c r="Y30" s="459">
        <v>2039</v>
      </c>
      <c r="Z30" s="459">
        <v>2040</v>
      </c>
      <c r="AA30" s="459">
        <v>2041</v>
      </c>
      <c r="AB30" s="459">
        <v>2042</v>
      </c>
      <c r="AC30" s="459">
        <v>2043</v>
      </c>
      <c r="AD30" s="459">
        <v>2044</v>
      </c>
      <c r="AE30" s="459">
        <v>2045</v>
      </c>
      <c r="AF30" s="459">
        <v>2046</v>
      </c>
      <c r="AG30" s="459">
        <v>2047</v>
      </c>
      <c r="AH30" s="459">
        <v>2048</v>
      </c>
      <c r="AI30" s="247"/>
      <c r="AJ30" s="247"/>
      <c r="AK30" s="247"/>
      <c r="AL30" s="247"/>
      <c r="AM30" s="247"/>
    </row>
    <row r="31" spans="1:39" ht="21.9" customHeight="1" x14ac:dyDescent="0.25">
      <c r="B31" s="1332" t="s">
        <v>315</v>
      </c>
      <c r="C31" s="217" t="s">
        <v>316</v>
      </c>
      <c r="D31" s="217" t="s">
        <v>276</v>
      </c>
      <c r="E31" s="217" t="s">
        <v>19</v>
      </c>
      <c r="F31" s="217" t="s">
        <v>43</v>
      </c>
      <c r="G31" s="749"/>
      <c r="H31" s="749"/>
      <c r="I31" s="749">
        <f>$E$21*$E$8*'Traffic Data'!AK7*annualizationFactor</f>
        <v>0.50885146399999992</v>
      </c>
      <c r="J31" s="749">
        <f>$E$21*$E$8*'Traffic Data'!AL7*annualizationFactor</f>
        <v>0.5322618116656499</v>
      </c>
      <c r="K31" s="749">
        <f>$E$21*$E$8*'Traffic Data'!AM7*annualizationFactor</f>
        <v>0.565135206400875</v>
      </c>
      <c r="L31" s="749">
        <f>$E$21*$E$8*'Traffic Data'!AN7*annualizationFactor</f>
        <v>0.61336001374064997</v>
      </c>
      <c r="M31" s="749">
        <f>$E$21*$E$8*'Traffic Data'!AO7*annualizationFactor</f>
        <v>0.66160231284949989</v>
      </c>
      <c r="N31" s="749">
        <f>$E$21*$E$8*'Traffic Data'!AP7*annualizationFactor</f>
        <v>0.70984620211917471</v>
      </c>
      <c r="O31" s="749">
        <f>$E$21*$E$8*'Traffic Data'!AQ7*annualizationFactor</f>
        <v>0.75807100945894967</v>
      </c>
      <c r="P31" s="749">
        <f>$E$21*$E$8*'Traffic Data'!AR7*annualizationFactor</f>
        <v>0.80633239049769967</v>
      </c>
      <c r="Q31" s="749">
        <f>$E$21*$E$8*'Traffic Data'!AS7*annualizationFactor</f>
        <v>0.85402449396109992</v>
      </c>
      <c r="R31" s="749">
        <f>$E$21*$E$8*'Traffic Data'!AT7*annualizationFactor</f>
        <v>0.90172613838944982</v>
      </c>
      <c r="S31" s="749">
        <f>$E$21*$E$8*'Traffic Data'!AU7*annualizationFactor</f>
        <v>0.94941824185284984</v>
      </c>
      <c r="T31" s="749">
        <f>$E$21*$E$8*'Traffic Data'!AV7*annualizationFactor</f>
        <v>0.99711034531624998</v>
      </c>
      <c r="U31" s="749">
        <f>$E$21*$E$8*'Traffic Data'!AW7*annualizationFactor</f>
        <v>1.0448406126394498</v>
      </c>
      <c r="V31" s="749">
        <f>$E$21*$E$8*'Traffic Data'!AX7*annualizationFactor</f>
        <v>1.0771622215683998</v>
      </c>
      <c r="W31" s="749">
        <f>$E$21*$E$8*'Traffic Data'!AY7*annualizationFactor</f>
        <v>1.1005725692340498</v>
      </c>
      <c r="X31" s="749">
        <f>$E$21*$E$8*'Traffic Data'!AZ7*annualizationFactor</f>
        <v>1.1239829168996998</v>
      </c>
      <c r="Y31" s="749">
        <f>$E$21*$E$8*'Traffic Data'!BA7*annualizationFactor</f>
        <v>1.1473932645653497</v>
      </c>
      <c r="Z31" s="749">
        <f>$E$21*$E$8*'Traffic Data'!BB7*annualizationFactor</f>
        <v>1.17081315319595</v>
      </c>
      <c r="AA31" s="749">
        <f>$E$21*$E$8*'Traffic Data'!BC7*annualizationFactor</f>
        <v>1.1942235008615998</v>
      </c>
      <c r="AB31" s="749">
        <f>$E$21*$E$8*'Traffic Data'!BD7*annualizationFactor</f>
        <v>1.2176433894921996</v>
      </c>
      <c r="AC31" s="749">
        <f>$E$21*$E$8*'Traffic Data'!BE7*annualizationFactor</f>
        <v>1.2410537371578498</v>
      </c>
      <c r="AD31" s="749">
        <f>$E$21*$E$8*'Traffic Data'!BF7*annualizationFactor</f>
        <v>1.2644640848234998</v>
      </c>
      <c r="AE31" s="749">
        <f>$E$21*$E$8*'Traffic Data'!BG7*annualizationFactor</f>
        <v>1.2878839734540997</v>
      </c>
      <c r="AF31" s="749">
        <f>$E$21*$E$8*'Traffic Data'!BH7*annualizationFactor</f>
        <v>1.3112943211197499</v>
      </c>
      <c r="AG31" s="749">
        <f>$E$21*$E$8*'Traffic Data'!BI7*annualizationFactor</f>
        <v>1.3347046687853998</v>
      </c>
      <c r="AH31" s="750">
        <f>$E$21*$E$8*'Traffic Data'!BJ7*annualizationFactor</f>
        <v>1.3581245574159995</v>
      </c>
      <c r="AI31" s="27"/>
      <c r="AJ31" s="27"/>
      <c r="AK31" s="27"/>
      <c r="AL31" s="27"/>
      <c r="AM31" s="27"/>
    </row>
    <row r="32" spans="1:39" ht="21.9" customHeight="1" x14ac:dyDescent="0.25">
      <c r="B32" s="1332"/>
      <c r="C32" s="114" t="s">
        <v>276</v>
      </c>
      <c r="D32" s="114" t="s">
        <v>274</v>
      </c>
      <c r="E32" s="114" t="s">
        <v>19</v>
      </c>
      <c r="F32" s="114" t="s">
        <v>43</v>
      </c>
      <c r="G32" s="941"/>
      <c r="H32" s="941"/>
      <c r="I32" s="751">
        <f>$E$21*$E$8*'Traffic Data'!AK8*annualizationFactor</f>
        <v>16.362298383749998</v>
      </c>
      <c r="J32" s="751">
        <f>$E$21*$E$8*'Traffic Data'!AL8*annualizationFactor</f>
        <v>17.26870911310462</v>
      </c>
      <c r="K32" s="751">
        <f>$E$21*$E$8*'Traffic Data'!AM8*annualizationFactor</f>
        <v>18.319835281497749</v>
      </c>
      <c r="L32" s="751">
        <f>$E$21*$E$8*'Traffic Data'!AN8*annualizationFactor</f>
        <v>20.281190048868371</v>
      </c>
      <c r="M32" s="751">
        <f>$E$21*$E$8*'Traffic Data'!AO8*annualizationFactor</f>
        <v>22.243272029500499</v>
      </c>
      <c r="N32" s="751">
        <f>$E$21*$E$8*'Traffic Data'!AP8*annualizationFactor</f>
        <v>24.205717616763376</v>
      </c>
      <c r="O32" s="751">
        <f>$E$21*$E$8*'Traffic Data'!AQ8*annualizationFactor</f>
        <v>26.167072384133998</v>
      </c>
      <c r="P32" s="751">
        <f>$E$21*$E$8*'Traffic Data'!AR8*annualizationFactor</f>
        <v>28.130305785763504</v>
      </c>
      <c r="Q32" s="751">
        <f>$E$21*$E$8*'Traffic Data'!AS8*annualizationFactor</f>
        <v>30.457509424773747</v>
      </c>
      <c r="R32" s="751">
        <f>$E$21*$E$8*'Traffic Data'!AT8*annualizationFactor</f>
        <v>32.785379675940369</v>
      </c>
      <c r="S32" s="751">
        <f>$E$21*$E$8*'Traffic Data'!AU8*annualizationFactor</f>
        <v>35.112583314950619</v>
      </c>
      <c r="T32" s="751">
        <f>$E$21*$E$8*'Traffic Data'!AV8*annualizationFactor</f>
        <v>37.439786953960862</v>
      </c>
      <c r="U32" s="751">
        <f>$E$21*$E$8*'Traffic Data'!AW8*annualizationFactor</f>
        <v>39.769293434965867</v>
      </c>
      <c r="V32" s="751">
        <f>$E$21*$E$8*'Traffic Data'!AX8*annualizationFactor</f>
        <v>41.185117054001246</v>
      </c>
      <c r="W32" s="751">
        <f>$E$21*$E$8*'Traffic Data'!AY8*annualizationFactor</f>
        <v>42.091527783355872</v>
      </c>
      <c r="X32" s="751">
        <f>$E$21*$E$8*'Traffic Data'!AZ8*annualizationFactor</f>
        <v>42.99793851271049</v>
      </c>
      <c r="Y32" s="751">
        <f>$E$21*$E$8*'Traffic Data'!BA8*annualizationFactor</f>
        <v>43.904349242065116</v>
      </c>
      <c r="Z32" s="751">
        <f>$E$21*$E$8*'Traffic Data'!BB8*annualizationFactor</f>
        <v>44.811365982470996</v>
      </c>
      <c r="AA32" s="751">
        <f>$E$21*$E$8*'Traffic Data'!BC8*annualizationFactor</f>
        <v>45.717776711825614</v>
      </c>
      <c r="AB32" s="751">
        <f>$E$21*$E$8*'Traffic Data'!BD8*annualizationFactor</f>
        <v>46.624793452231479</v>
      </c>
      <c r="AC32" s="751">
        <f>$E$21*$E$8*'Traffic Data'!BE8*annualizationFactor</f>
        <v>47.531204181586119</v>
      </c>
      <c r="AD32" s="751">
        <f>$E$21*$E$8*'Traffic Data'!BF8*annualizationFactor</f>
        <v>48.437614910940738</v>
      </c>
      <c r="AE32" s="751">
        <f>$E$21*$E$8*'Traffic Data'!BG8*annualizationFactor</f>
        <v>49.344631651346624</v>
      </c>
      <c r="AF32" s="751">
        <f>$E$21*$E$8*'Traffic Data'!BH8*annualizationFactor</f>
        <v>50.251042380701236</v>
      </c>
      <c r="AG32" s="751">
        <f>$E$21*$E$8*'Traffic Data'!BI8*annualizationFactor</f>
        <v>51.157453110055869</v>
      </c>
      <c r="AH32" s="752">
        <f>$E$21*$E$8*'Traffic Data'!BJ8*annualizationFactor</f>
        <v>52.064469850461748</v>
      </c>
      <c r="AI32" s="27"/>
      <c r="AJ32" s="27"/>
      <c r="AK32" s="27"/>
      <c r="AL32" s="27"/>
      <c r="AM32" s="27"/>
    </row>
    <row r="33" spans="2:39" ht="21.9" customHeight="1" x14ac:dyDescent="0.25">
      <c r="B33" s="1332"/>
      <c r="C33" s="114" t="s">
        <v>274</v>
      </c>
      <c r="D33" s="114" t="s">
        <v>317</v>
      </c>
      <c r="E33" s="250" t="s">
        <v>19</v>
      </c>
      <c r="F33" s="250" t="s">
        <v>43</v>
      </c>
      <c r="G33" s="753"/>
      <c r="H33" s="753"/>
      <c r="I33" s="751">
        <f>$E$21*$E$8*'Traffic Data'!AK9*annualizationFactor</f>
        <v>0.38163859799999994</v>
      </c>
      <c r="J33" s="751">
        <f>$E$21*$E$8*'Traffic Data'!AL9*annualizationFactor</f>
        <v>0.39757518978814987</v>
      </c>
      <c r="K33" s="751">
        <f>$E$21*$E$8*'Traffic Data'!AM9*annualizationFactor</f>
        <v>0.41729954466144981</v>
      </c>
      <c r="L33" s="751">
        <f>$E$21*$E$8*'Traffic Data'!AN9*annualizationFactor</f>
        <v>0.44385523043894998</v>
      </c>
      <c r="M33" s="751">
        <f>$E$21*$E$8*'Traffic Data'!AO9*annualizationFactor</f>
        <v>0.47042045718139996</v>
      </c>
      <c r="N33" s="751">
        <f>$E$21*$E$8*'Traffic Data'!AP9*annualizationFactor</f>
        <v>0.49698250360220003</v>
      </c>
      <c r="O33" s="751">
        <f>$E$21*$E$8*'Traffic Data'!AQ9*annualizationFactor</f>
        <v>0.52353818937969998</v>
      </c>
      <c r="P33" s="751">
        <f>$E$21*$E$8*'Traffic Data'!AR9*annualizationFactor</f>
        <v>0.55011295708710006</v>
      </c>
      <c r="Q33" s="751">
        <f>$E$21*$E$8*'Traffic Data'!AS9*annualizationFactor</f>
        <v>0.57586084116549985</v>
      </c>
      <c r="R33" s="751">
        <f>$E$21*$E$8*'Traffic Data'!AT9*annualizationFactor</f>
        <v>0.60161826620884973</v>
      </c>
      <c r="S33" s="751">
        <f>$E$21*$E$8*'Traffic Data'!AU9*annualizationFactor</f>
        <v>0.62736615028724985</v>
      </c>
      <c r="T33" s="751">
        <f>$E$21*$E$8*'Traffic Data'!AV9*annualizationFactor</f>
        <v>0.65311403436564996</v>
      </c>
      <c r="U33" s="751">
        <f>$E$21*$E$8*'Traffic Data'!AW9*annualizationFactor</f>
        <v>0.67888100037395005</v>
      </c>
      <c r="V33" s="751">
        <f>$E$21*$E$8*'Traffic Data'!AX9*annualizationFactor</f>
        <v>0.69778801258319989</v>
      </c>
      <c r="W33" s="751">
        <f>$E$21*$E$8*'Traffic Data'!AY9*annualizationFactor</f>
        <v>0.71372460437134988</v>
      </c>
      <c r="X33" s="751">
        <f>$E$21*$E$8*'Traffic Data'!AZ9*annualizationFactor</f>
        <v>0.72966119615949976</v>
      </c>
      <c r="Y33" s="751">
        <f>$E$21*$E$8*'Traffic Data'!BA9*annualizationFactor</f>
        <v>0.74559778794764986</v>
      </c>
      <c r="Z33" s="751">
        <f>$E$21*$E$8*'Traffic Data'!BB9*annualizationFactor</f>
        <v>0.76154074037909991</v>
      </c>
      <c r="AA33" s="751">
        <f>$E$21*$E$8*'Traffic Data'!BC9*annualizationFactor</f>
        <v>0.77747733216724979</v>
      </c>
      <c r="AB33" s="751">
        <f>$E$21*$E$8*'Traffic Data'!BD9*annualizationFactor</f>
        <v>0.79342028459869995</v>
      </c>
      <c r="AC33" s="751">
        <f>$E$21*$E$8*'Traffic Data'!BE9*annualizationFactor</f>
        <v>0.80935687638685005</v>
      </c>
      <c r="AD33" s="751">
        <f>$E$21*$E$8*'Traffic Data'!BF9*annualizationFactor</f>
        <v>0.82529346817499971</v>
      </c>
      <c r="AE33" s="751">
        <f>$E$21*$E$8*'Traffic Data'!BG9*annualizationFactor</f>
        <v>0.84123642060644988</v>
      </c>
      <c r="AF33" s="751">
        <f>$E$21*$E$8*'Traffic Data'!BH9*annualizationFactor</f>
        <v>0.85717301239459986</v>
      </c>
      <c r="AG33" s="751">
        <f>$E$21*$E$8*'Traffic Data'!BI9*annualizationFactor</f>
        <v>0.87310960418274963</v>
      </c>
      <c r="AH33" s="752">
        <f>$E$21*$E$8*'Traffic Data'!BJ9*annualizationFactor</f>
        <v>0.88905255661419991</v>
      </c>
      <c r="AI33" s="27"/>
      <c r="AJ33" s="27"/>
      <c r="AK33" s="27"/>
      <c r="AL33" s="27"/>
      <c r="AM33" s="27"/>
    </row>
    <row r="34" spans="2:39" ht="21.9" customHeight="1" x14ac:dyDescent="0.25">
      <c r="B34" s="1332" t="s">
        <v>274</v>
      </c>
      <c r="C34" s="217" t="s">
        <v>275</v>
      </c>
      <c r="D34" s="217" t="s">
        <v>318</v>
      </c>
      <c r="E34" s="114" t="s">
        <v>19</v>
      </c>
      <c r="F34" s="114" t="s">
        <v>43</v>
      </c>
      <c r="G34" s="941"/>
      <c r="H34" s="941"/>
      <c r="I34" s="749">
        <f>$E$21*$F$8*'Traffic Data'!AK10*annualizationFactor</f>
        <v>3.15293132</v>
      </c>
      <c r="J34" s="749">
        <f>$E$21*$F$8*'Traffic Data'!AL10*annualizationFactor</f>
        <v>3.4969555386534998</v>
      </c>
      <c r="K34" s="749">
        <f>$E$21*$F$8*'Traffic Data'!AM10*annualizationFactor</f>
        <v>3.8602756969853989</v>
      </c>
      <c r="L34" s="749">
        <f>$E$21*$F$8*'Traffic Data'!AN10*annualizationFactor</f>
        <v>4.9848711225312998</v>
      </c>
      <c r="M34" s="749">
        <f>$E$21*$F$8*'Traffic Data'!AO10*annualizationFactor</f>
        <v>6.1100340757147986</v>
      </c>
      <c r="N34" s="749">
        <f>$E$21*$F$8*'Traffic Data'!AP10*annualizationFactor</f>
        <v>7.2354965573736996</v>
      </c>
      <c r="O34" s="749">
        <f>$E$21*$F$8*'Traffic Data'!AQ10*annualizationFactor</f>
        <v>8.3600919829195988</v>
      </c>
      <c r="P34" s="749">
        <f>$E$21*$F$8*'Traffic Data'!AR10*annualizationFactor</f>
        <v>9.4862402271406001</v>
      </c>
      <c r="Q34" s="749">
        <f>$E$21*$F$8*'Traffic Data'!AS10*annualizationFactor</f>
        <v>10.997440208816597</v>
      </c>
      <c r="R34" s="749">
        <f>$E$21*$F$8*'Traffic Data'!AT10*annualizationFactor</f>
        <v>12.509310188398098</v>
      </c>
      <c r="S34" s="749">
        <f>$E$21*$F$8*'Traffic Data'!AU10*annualizationFactor</f>
        <v>14.020510170074099</v>
      </c>
      <c r="T34" s="749">
        <f>$E$21*$F$8*'Traffic Data'!AV10*annualizationFactor</f>
        <v>15.531710151750097</v>
      </c>
      <c r="U34" s="749">
        <f>$E$21*$F$8*'Traffic Data'!AW10*annualizationFactor</f>
        <v>17.044880715501105</v>
      </c>
      <c r="V34" s="749">
        <f>$E$21*$F$8*'Traffic Data'!AX10*annualizationFactor</f>
        <v>17.7938201389256</v>
      </c>
      <c r="W34" s="749">
        <f>$E$21*$F$8*'Traffic Data'!AY10*annualizationFactor</f>
        <v>18.137844357579098</v>
      </c>
      <c r="X34" s="749">
        <f>$E$21*$F$8*'Traffic Data'!AZ10*annualizationFactor</f>
        <v>18.4818685762326</v>
      </c>
      <c r="Y34" s="749">
        <f>$E$21*$F$8*'Traffic Data'!BA10*annualizationFactor</f>
        <v>18.825892794886098</v>
      </c>
      <c r="Z34" s="749">
        <f>$E$21*$F$8*'Traffic Data'!BB10*annualizationFactor</f>
        <v>19.170468776520597</v>
      </c>
      <c r="AA34" s="749">
        <f>$E$21*$F$8*'Traffic Data'!BC10*annualizationFactor</f>
        <v>19.514492995174095</v>
      </c>
      <c r="AB34" s="749">
        <f>$E$21*$F$8*'Traffic Data'!BD10*annualizationFactor</f>
        <v>19.859068976808597</v>
      </c>
      <c r="AC34" s="749">
        <f>$E$21*$F$8*'Traffic Data'!BE10*annualizationFactor</f>
        <v>20.203093195462102</v>
      </c>
      <c r="AD34" s="749">
        <f>$E$21*$F$8*'Traffic Data'!BF10*annualizationFactor</f>
        <v>20.547117414115601</v>
      </c>
      <c r="AE34" s="749">
        <f>$E$21*$F$8*'Traffic Data'!BG10*annualizationFactor</f>
        <v>20.891693395750103</v>
      </c>
      <c r="AF34" s="749">
        <f>$E$21*$F$8*'Traffic Data'!BH10*annualizationFactor</f>
        <v>21.235717614403598</v>
      </c>
      <c r="AG34" s="749">
        <f>$E$21*$F$8*'Traffic Data'!BI10*annualizationFactor</f>
        <v>21.579741833057096</v>
      </c>
      <c r="AH34" s="750">
        <f>$E$21*$F$8*'Traffic Data'!BJ10*annualizationFactor</f>
        <v>21.924317814691598</v>
      </c>
      <c r="AI34" s="40"/>
      <c r="AJ34" s="40"/>
      <c r="AK34" s="40"/>
      <c r="AL34" s="40"/>
      <c r="AM34" s="40"/>
    </row>
    <row r="35" spans="2:39" ht="21.9" customHeight="1" x14ac:dyDescent="0.25">
      <c r="B35" s="1332"/>
      <c r="C35" s="114" t="s">
        <v>318</v>
      </c>
      <c r="D35" s="114" t="s">
        <v>308</v>
      </c>
      <c r="E35" s="114" t="s">
        <v>19</v>
      </c>
      <c r="F35" s="114" t="s">
        <v>43</v>
      </c>
      <c r="G35" s="941"/>
      <c r="H35" s="941"/>
      <c r="I35" s="751">
        <f>$E$21*$F$8*'Traffic Data'!AK11*annualizationFactor</f>
        <v>0.36520439999999998</v>
      </c>
      <c r="J35" s="751">
        <f>$E$21*$F$8*'Traffic Data'!AL11*annualizationFactor</f>
        <v>0.41373397802</v>
      </c>
      <c r="K35" s="751">
        <f>$E$21*$F$8*'Traffic Data'!AM11*annualizationFactor</f>
        <v>0.46229398974000002</v>
      </c>
      <c r="L35" s="751">
        <f>$E$21*$F$8*'Traffic Data'!AN11*annualizationFactor</f>
        <v>0.62659336255999998</v>
      </c>
      <c r="M35" s="751">
        <f>$E$21*$F$8*'Traffic Data'!AO11*annualizationFactor</f>
        <v>0.79092621244999994</v>
      </c>
      <c r="N35" s="751">
        <f>$E$21*$F$8*'Traffic Data'!AP11*annualizationFactor</f>
        <v>0.95540818747000011</v>
      </c>
      <c r="O35" s="751">
        <f>$E$21*$F$8*'Traffic Data'!AQ11*annualizationFactor</f>
        <v>1.11970756029</v>
      </c>
      <c r="P35" s="751">
        <f>$E$21*$F$8*'Traffic Data'!AR11*annualizationFactor</f>
        <v>1.28416214498</v>
      </c>
      <c r="Q35" s="751">
        <f>$E$21*$F$8*'Traffic Data'!AS11*annualizationFactor</f>
        <v>1.5366735972499999</v>
      </c>
      <c r="R35" s="751">
        <f>$E$21*$F$8*'Traffic Data'!AT11*annualizationFactor</f>
        <v>1.78915765919</v>
      </c>
      <c r="S35" s="751">
        <f>$E$21*$F$8*'Traffic Data'!AU11*annualizationFactor</f>
        <v>2.0416660680900001</v>
      </c>
      <c r="T35" s="751">
        <f>$E$21*$F$8*'Traffic Data'!AV11*annualizationFactor</f>
        <v>2.2941775203599999</v>
      </c>
      <c r="U35" s="751">
        <f>$E$21*$F$8*'Traffic Data'!AW11*annualizationFactor</f>
        <v>2.5469354856000002</v>
      </c>
      <c r="V35" s="751">
        <f>$E$21*$F$8*'Traffic Data'!AX11*annualizationFactor</f>
        <v>2.6835827986000003</v>
      </c>
      <c r="W35" s="751">
        <f>$E$21*$F$8*'Traffic Data'!AY11*annualizationFactor</f>
        <v>2.7321123766199999</v>
      </c>
      <c r="X35" s="751">
        <f>$E$21*$F$8*'Traffic Data'!AZ11*annualizationFactor</f>
        <v>2.7806419546400001</v>
      </c>
      <c r="Y35" s="751">
        <f>$E$21*$F$8*'Traffic Data'!BA11*annualizationFactor</f>
        <v>2.8291715326600007</v>
      </c>
      <c r="Z35" s="751">
        <f>$E$21*$F$8*'Traffic Data'!BB11*annualizationFactor</f>
        <v>2.8777315443800005</v>
      </c>
      <c r="AA35" s="751">
        <f>$E$21*$F$8*'Traffic Data'!BC11*annualizationFactor</f>
        <v>2.9262611223999997</v>
      </c>
      <c r="AB35" s="751">
        <f>$E$21*$F$8*'Traffic Data'!BD11*annualizationFactor</f>
        <v>2.9748211341199999</v>
      </c>
      <c r="AC35" s="751">
        <f>$E$21*$F$8*'Traffic Data'!BE11*annualizationFactor</f>
        <v>3.0233507121399996</v>
      </c>
      <c r="AD35" s="751">
        <f>$E$21*$F$8*'Traffic Data'!BF11*annualizationFactor</f>
        <v>3.0718802901599997</v>
      </c>
      <c r="AE35" s="751">
        <f>$E$21*$F$8*'Traffic Data'!BG11*annualizationFactor</f>
        <v>3.1204403018800004</v>
      </c>
      <c r="AF35" s="751">
        <f>$E$21*$F$8*'Traffic Data'!BH11*annualizationFactor</f>
        <v>3.1689698799000006</v>
      </c>
      <c r="AG35" s="751">
        <f>$E$21*$F$8*'Traffic Data'!BI11*annualizationFactor</f>
        <v>3.2174994579199998</v>
      </c>
      <c r="AH35" s="752">
        <f>$E$21*$F$8*'Traffic Data'!BJ11*annualizationFactor</f>
        <v>3.2660594696399996</v>
      </c>
      <c r="AI35" s="40"/>
      <c r="AJ35" s="40"/>
      <c r="AK35" s="40"/>
      <c r="AL35" s="40"/>
      <c r="AM35" s="40"/>
    </row>
    <row r="36" spans="2:39" ht="21.9" customHeight="1" x14ac:dyDescent="0.25">
      <c r="B36" s="1332"/>
      <c r="C36" s="250" t="s">
        <v>308</v>
      </c>
      <c r="D36" s="250" t="s">
        <v>319</v>
      </c>
      <c r="E36" s="114" t="s">
        <v>19</v>
      </c>
      <c r="F36" s="114" t="s">
        <v>43</v>
      </c>
      <c r="G36" s="941"/>
      <c r="H36" s="941"/>
      <c r="I36" s="751">
        <f>$E$21*$F$8*'Traffic Data'!AK12*annualizationFactor</f>
        <v>4.8937389600000003</v>
      </c>
      <c r="J36" s="751">
        <f>$E$21*$F$8*'Traffic Data'!AL12*annualizationFactor</f>
        <v>5.0752395817947997</v>
      </c>
      <c r="K36" s="751">
        <f>$E$21*$F$8*'Traffic Data'!AM12*annualizationFactor</f>
        <v>5.2568543908319993</v>
      </c>
      <c r="L36" s="751">
        <f>$E$21*$F$8*'Traffic Data'!AN12*annualizationFactor</f>
        <v>5.6095543139107997</v>
      </c>
      <c r="M36" s="751">
        <f>$E$21*$F$8*'Traffic Data'!AO12*annualizationFactor</f>
        <v>5.9624581427796004</v>
      </c>
      <c r="N36" s="751">
        <f>$E$21*$F$8*'Traffic Data'!AP12*annualizationFactor</f>
        <v>6.315272253100801</v>
      </c>
      <c r="O36" s="751">
        <f>$E$21*$F$8*'Traffic Data'!AQ12*annualizationFactor</f>
        <v>6.6679721761796005</v>
      </c>
      <c r="P36" s="751">
        <f>$E$21*$F$8*'Traffic Data'!AR12*annualizationFactor</f>
        <v>7.021047285912001</v>
      </c>
      <c r="Q36" s="751">
        <f>$E$21*$F$8*'Traffic Data'!AS12*annualizationFactor</f>
        <v>7.5110165868188004</v>
      </c>
      <c r="R36" s="751">
        <f>$E$21*$F$8*'Traffic Data'!AT12*annualizationFactor</f>
        <v>8.0012468871367997</v>
      </c>
      <c r="S36" s="751">
        <f>$E$21*$F$8*'Traffic Data'!AU12*annualizationFactor</f>
        <v>8.4911264694959989</v>
      </c>
      <c r="T36" s="751">
        <f>$E$21*$F$8*'Traffic Data'!AV12*annualizationFactor</f>
        <v>8.9810957704028009</v>
      </c>
      <c r="U36" s="751">
        <f>$E$21*$F$8*'Traffic Data'!AW12*annualizationFactor</f>
        <v>9.4714973515844019</v>
      </c>
      <c r="V36" s="751">
        <f>$E$21*$F$8*'Traffic Data'!AX12*annualizationFactor</f>
        <v>9.7901205390384014</v>
      </c>
      <c r="W36" s="751">
        <f>$E$21*$F$8*'Traffic Data'!AY12*annualizationFactor</f>
        <v>9.9716211608332017</v>
      </c>
      <c r="X36" s="751">
        <f>$E$21*$F$8*'Traffic Data'!AZ12*annualizationFactor</f>
        <v>10.153121782628</v>
      </c>
      <c r="Y36" s="751">
        <f>$E$21*$F$8*'Traffic Data'!BA12*annualizationFactor</f>
        <v>10.334622404422801</v>
      </c>
      <c r="Z36" s="751">
        <f>$E$21*$F$8*'Traffic Data'!BB12*annualizationFactor</f>
        <v>10.516237213460004</v>
      </c>
      <c r="AA36" s="751">
        <f>$E$21*$F$8*'Traffic Data'!BC12*annualizationFactor</f>
        <v>10.697737835254799</v>
      </c>
      <c r="AB36" s="751">
        <f>$E$21*$F$8*'Traffic Data'!BD12*annualizationFactor</f>
        <v>10.879352644292002</v>
      </c>
      <c r="AC36" s="751">
        <f>$E$21*$F$8*'Traffic Data'!BE12*annualizationFactor</f>
        <v>11.060853266086802</v>
      </c>
      <c r="AD36" s="751">
        <f>$E$21*$F$8*'Traffic Data'!BF12*annualizationFactor</f>
        <v>11.242353887881603</v>
      </c>
      <c r="AE36" s="751">
        <f>$E$21*$F$8*'Traffic Data'!BG12*annualizationFactor</f>
        <v>11.4239686969188</v>
      </c>
      <c r="AF36" s="751">
        <f>$E$21*$F$8*'Traffic Data'!BH12*annualizationFactor</f>
        <v>11.605469318713601</v>
      </c>
      <c r="AG36" s="751">
        <f>$E$21*$F$8*'Traffic Data'!BI12*annualizationFactor</f>
        <v>11.786969940508401</v>
      </c>
      <c r="AH36" s="752">
        <f>$E$21*$F$8*'Traffic Data'!BJ12*annualizationFactor</f>
        <v>11.968584749545601</v>
      </c>
      <c r="AI36" s="40"/>
      <c r="AJ36" s="40"/>
      <c r="AK36" s="40"/>
      <c r="AL36" s="40"/>
      <c r="AM36" s="40"/>
    </row>
    <row r="37" spans="2:39" ht="21.9" customHeight="1" x14ac:dyDescent="0.25">
      <c r="B37" s="469" t="s">
        <v>320</v>
      </c>
      <c r="C37" s="114" t="s">
        <v>318</v>
      </c>
      <c r="D37" s="114" t="s">
        <v>308</v>
      </c>
      <c r="E37" s="273" t="s">
        <v>19</v>
      </c>
      <c r="F37" s="273" t="s">
        <v>43</v>
      </c>
      <c r="G37" s="754"/>
      <c r="H37" s="754"/>
      <c r="I37" s="754">
        <f>$E$21*$G$8*'Traffic Data'!AK13*annualizationFactor</f>
        <v>1.4303839E-2</v>
      </c>
      <c r="J37" s="754">
        <f>$E$21*$G$8*'Traffic Data'!AL13*annualizationFactor</f>
        <v>2.3157915340999997E-2</v>
      </c>
      <c r="K37" s="754">
        <f>$E$21*$G$8*'Traffic Data'!AM13*annualizationFactor</f>
        <v>6.606943234099999E-2</v>
      </c>
      <c r="L37" s="754">
        <f>$E$21*$G$8*'Traffic Data'!AN13*annualizationFactor</f>
        <v>0.13969129167399999</v>
      </c>
      <c r="M37" s="754">
        <f>$E$21*$G$8*'Traffic Data'!AO13*annualizationFactor</f>
        <v>0.21337036636300002</v>
      </c>
      <c r="N37" s="754">
        <f>$E$21*$G$8*'Traffic Data'!AP13*annualizationFactor</f>
        <v>0.28702083337400008</v>
      </c>
      <c r="O37" s="754">
        <f>$E$21*$G$8*'Traffic Data'!AQ13*annualizationFactor</f>
        <v>0.360642692707</v>
      </c>
      <c r="P37" s="754">
        <f>$E$21*$G$8*'Traffic Data'!AR13*annualizationFactor</f>
        <v>0.43437898275200004</v>
      </c>
      <c r="Q37" s="754">
        <f>$E$21*$G$8*'Traffic Data'!AS13*annualizationFactor</f>
        <v>0.47398631294300003</v>
      </c>
      <c r="R37" s="754">
        <f>$E$21*$G$8*'Traffic Data'!AT13*annualizationFactor</f>
        <v>0.51365085849000003</v>
      </c>
      <c r="S37" s="754">
        <f>$E$21*$G$8*'Traffic Data'!AU13*annualizationFactor</f>
        <v>0.55327249251999999</v>
      </c>
      <c r="T37" s="754">
        <f>$E$21*$G$8*'Traffic Data'!AV13*annualizationFactor</f>
        <v>0.59287982271100004</v>
      </c>
      <c r="U37" s="754">
        <f>$E$21*$G$8*'Traffic Data'!AW13*annualizationFactor</f>
        <v>0.63258727977500007</v>
      </c>
      <c r="V37" s="754">
        <f>$E$21*$G$8*'Traffic Data'!AX13*annualizationFactor</f>
        <v>0.64144135611599984</v>
      </c>
      <c r="W37" s="754">
        <f>$E$21*$G$8*'Traffic Data'!AY13*annualizationFactor</f>
        <v>0.65029543245699994</v>
      </c>
      <c r="X37" s="754">
        <f>$E$21*$G$8*'Traffic Data'!AZ13*annualizationFactor</f>
        <v>0.65914950879799983</v>
      </c>
      <c r="Y37" s="754">
        <f>$E$21*$G$8*'Traffic Data'!BA13*annualizationFactor</f>
        <v>0.66800358513900004</v>
      </c>
      <c r="Z37" s="754">
        <f>$E$21*$G$8*'Traffic Data'!BB13*annualizationFactor</f>
        <v>0.67690057299700002</v>
      </c>
      <c r="AA37" s="754">
        <f>$E$21*$G$8*'Traffic Data'!BC13*annualizationFactor</f>
        <v>0.68575464933800001</v>
      </c>
      <c r="AB37" s="754">
        <f>$E$21*$G$8*'Traffic Data'!BD13*annualizationFactor</f>
        <v>0.69465163719599987</v>
      </c>
      <c r="AC37" s="754">
        <f>$E$21*$G$8*'Traffic Data'!BE13*annualizationFactor</f>
        <v>0.70350571353699987</v>
      </c>
      <c r="AD37" s="754">
        <f>$E$21*$G$8*'Traffic Data'!BF13*annualizationFactor</f>
        <v>0.71235978987799997</v>
      </c>
      <c r="AE37" s="754">
        <f>$E$21*$G$8*'Traffic Data'!BG13*annualizationFactor</f>
        <v>0.72125677773600005</v>
      </c>
      <c r="AF37" s="754">
        <f>$E$21*$G$8*'Traffic Data'!BH13*annualizationFactor</f>
        <v>0.73011085407699994</v>
      </c>
      <c r="AG37" s="754">
        <f>$E$21*$G$8*'Traffic Data'!BI13*annualizationFactor</f>
        <v>0.73896493041799993</v>
      </c>
      <c r="AH37" s="755">
        <f>$E$21*$G$8*'Traffic Data'!BJ13*annualizationFactor</f>
        <v>0.74786191827600013</v>
      </c>
      <c r="AI37" s="40"/>
      <c r="AJ37" s="40"/>
      <c r="AK37" s="40"/>
      <c r="AL37" s="40"/>
      <c r="AM37" s="40"/>
    </row>
    <row r="38" spans="2:39" ht="21.9" customHeight="1" x14ac:dyDescent="0.25">
      <c r="B38" s="1332" t="s">
        <v>308</v>
      </c>
      <c r="C38" s="217" t="s">
        <v>276</v>
      </c>
      <c r="D38" s="217" t="s">
        <v>320</v>
      </c>
      <c r="E38" s="114" t="s">
        <v>19</v>
      </c>
      <c r="F38" s="114" t="s">
        <v>43</v>
      </c>
      <c r="G38" s="941"/>
      <c r="H38" s="941"/>
      <c r="I38" s="751">
        <f>$E$21*$H$8*'Traffic Data'!AK14*annualizationFactor</f>
        <v>4.1085495E-2</v>
      </c>
      <c r="J38" s="751">
        <f>$E$21*$H$8*'Traffic Data'!AL14*annualizationFactor</f>
        <v>4.1085495E-2</v>
      </c>
      <c r="K38" s="751">
        <f>$E$21*$H$8*'Traffic Data'!AM14*annualizationFactor</f>
        <v>0.48074137699500002</v>
      </c>
      <c r="L38" s="751">
        <f>$E$21*$H$8*'Traffic Data'!AN14*annualizationFactor</f>
        <v>0.92039725899000013</v>
      </c>
      <c r="M38" s="751">
        <f>$E$21*$H$8*'Traffic Data'!AO14*annualizationFactor</f>
        <v>1.3604229104400003</v>
      </c>
      <c r="N38" s="751">
        <f>$E$21*$H$8*'Traffic Data'!AP14*annualizationFactor</f>
        <v>1.8000787924350001</v>
      </c>
      <c r="O38" s="751">
        <f>$E$21*$H$8*'Traffic Data'!AQ14*annualizationFactor</f>
        <v>2.2397346744300002</v>
      </c>
      <c r="P38" s="751">
        <f>$E$21*$H$8*'Traffic Data'!AR14*annualizationFactor</f>
        <v>2.6797603258800002</v>
      </c>
      <c r="Q38" s="751">
        <f>$E$21*$H$8*'Traffic Data'!AS14*annualizationFactor</f>
        <v>2.6797603258800002</v>
      </c>
      <c r="R38" s="751">
        <f>$E$21*$H$8*'Traffic Data'!AT14*annualizationFactor</f>
        <v>2.6797603258800002</v>
      </c>
      <c r="S38" s="751">
        <f>$E$21*$H$8*'Traffic Data'!AU14*annualizationFactor</f>
        <v>2.6797603258800002</v>
      </c>
      <c r="T38" s="751">
        <f>$E$21*$H$8*'Traffic Data'!AV14*annualizationFactor</f>
        <v>2.6797603258800002</v>
      </c>
      <c r="U38" s="751">
        <f>$E$21*$H$8*'Traffic Data'!AW14*annualizationFactor</f>
        <v>2.6797603258800002</v>
      </c>
      <c r="V38" s="751">
        <f>$E$21*$H$8*'Traffic Data'!AX14*annualizationFactor</f>
        <v>2.6797603258800002</v>
      </c>
      <c r="W38" s="751">
        <f>$E$21*$H$8*'Traffic Data'!AY14*annualizationFactor</f>
        <v>2.6797603258800002</v>
      </c>
      <c r="X38" s="751">
        <f>$E$21*$H$8*'Traffic Data'!AZ14*annualizationFactor</f>
        <v>2.6797603258800002</v>
      </c>
      <c r="Y38" s="751">
        <f>$E$21*$H$8*'Traffic Data'!BA14*annualizationFactor</f>
        <v>2.6797603258800002</v>
      </c>
      <c r="Z38" s="751">
        <f>$E$21*$H$8*'Traffic Data'!BB14*annualizationFactor</f>
        <v>2.6797603258800002</v>
      </c>
      <c r="AA38" s="751">
        <f>$E$21*$H$8*'Traffic Data'!BC14*annualizationFactor</f>
        <v>2.6797603258800002</v>
      </c>
      <c r="AB38" s="751">
        <f>$E$21*$H$8*'Traffic Data'!BD14*annualizationFactor</f>
        <v>2.6797603258800002</v>
      </c>
      <c r="AC38" s="751">
        <f>$E$21*$H$8*'Traffic Data'!BE14*annualizationFactor</f>
        <v>2.6797603258800002</v>
      </c>
      <c r="AD38" s="751">
        <f>$E$21*$H$8*'Traffic Data'!BF14*annualizationFactor</f>
        <v>2.6797603258800002</v>
      </c>
      <c r="AE38" s="751">
        <f>$E$21*$H$8*'Traffic Data'!BG14*annualizationFactor</f>
        <v>2.6797603258800002</v>
      </c>
      <c r="AF38" s="751">
        <f>$E$21*$H$8*'Traffic Data'!BH14*annualizationFactor</f>
        <v>2.6797603258800002</v>
      </c>
      <c r="AG38" s="751">
        <f>$E$21*$H$8*'Traffic Data'!BI14*annualizationFactor</f>
        <v>2.6797603258800002</v>
      </c>
      <c r="AH38" s="752">
        <f>$E$21*$H$8*'Traffic Data'!BJ14*annualizationFactor</f>
        <v>2.6797603258800002</v>
      </c>
      <c r="AI38" s="40"/>
      <c r="AJ38" s="40"/>
      <c r="AK38" s="40"/>
      <c r="AL38" s="40"/>
      <c r="AM38" s="40"/>
    </row>
    <row r="39" spans="2:39" ht="21.9" customHeight="1" x14ac:dyDescent="0.25">
      <c r="B39" s="1332"/>
      <c r="C39" s="114" t="s">
        <v>320</v>
      </c>
      <c r="D39" s="114" t="s">
        <v>282</v>
      </c>
      <c r="E39" s="114" t="s">
        <v>19</v>
      </c>
      <c r="F39" s="114" t="s">
        <v>43</v>
      </c>
      <c r="G39" s="941"/>
      <c r="H39" s="941"/>
      <c r="I39" s="751">
        <f>$E$21*$H$8*'Traffic Data'!AK15*annualizationFactor</f>
        <v>1.8747159200000002E-2</v>
      </c>
      <c r="J39" s="751">
        <f>$E$21*$H$8*'Traffic Data'!AL15*annualizationFactor</f>
        <v>3.5619602479999998E-2</v>
      </c>
      <c r="K39" s="751">
        <f>$E$21*$H$8*'Traffic Data'!AM15*annualizationFactor</f>
        <v>5.2492045760000001E-2</v>
      </c>
      <c r="L39" s="751">
        <f>$E$21*$H$8*'Traffic Data'!AN15*annualizationFactor</f>
        <v>0.1141872424</v>
      </c>
      <c r="M39" s="751">
        <f>$E$21*$H$8*'Traffic Data'!AO15*annualizationFactor</f>
        <v>0.17579722468000003</v>
      </c>
      <c r="N39" s="751">
        <f>$E$21*$H$8*'Traffic Data'!AP15*annualizationFactor</f>
        <v>0.23757763568000004</v>
      </c>
      <c r="O39" s="751">
        <f>$E$21*$H$8*'Traffic Data'!AQ15*annualizationFactor</f>
        <v>0.29927283232000002</v>
      </c>
      <c r="P39" s="751">
        <f>$E$21*$H$8*'Traffic Data'!AR15*annualizationFactor</f>
        <v>0.36096802896000002</v>
      </c>
      <c r="Q39" s="751">
        <f>$E$21*$H$8*'Traffic Data'!AS15*annualizationFactor</f>
        <v>0.46825290820000004</v>
      </c>
      <c r="R39" s="751">
        <f>$E$21*$H$8*'Traffic Data'!AT15*annualizationFactor</f>
        <v>0.57545257308000008</v>
      </c>
      <c r="S39" s="751">
        <f>$E$21*$H$8*'Traffic Data'!AU15*annualizationFactor</f>
        <v>0.68265223796000007</v>
      </c>
      <c r="T39" s="751">
        <f>$E$21*$H$8*'Traffic Data'!AV15*annualizationFactor</f>
        <v>0.78993711720000015</v>
      </c>
      <c r="U39" s="751">
        <f>$E$21*$H$8*'Traffic Data'!AW15*annualizationFactor</f>
        <v>0.89722199644000011</v>
      </c>
      <c r="V39" s="751">
        <f>$E$21*$H$8*'Traffic Data'!AX15*annualizationFactor</f>
        <v>0.95968412232000011</v>
      </c>
      <c r="W39" s="751">
        <f>$E$21*$H$8*'Traffic Data'!AY15*annualizationFactor</f>
        <v>0.97647135124000006</v>
      </c>
      <c r="X39" s="751">
        <f>$E$21*$H$8*'Traffic Data'!AZ15*annualizationFactor</f>
        <v>0.9933437945200001</v>
      </c>
      <c r="Y39" s="751">
        <f>$E$21*$H$8*'Traffic Data'!BA15*annualizationFactor</f>
        <v>1.0102162377999999</v>
      </c>
      <c r="Z39" s="751">
        <f>$E$21*$H$8*'Traffic Data'!BB15*annualizationFactor</f>
        <v>1.02708868108</v>
      </c>
      <c r="AA39" s="751">
        <f>$E$21*$H$8*'Traffic Data'!BC15*annualizationFactor</f>
        <v>1.04396112436</v>
      </c>
      <c r="AB39" s="751">
        <f>$E$21*$H$8*'Traffic Data'!BD15*annualizationFactor</f>
        <v>1.06083356764</v>
      </c>
      <c r="AC39" s="751">
        <f>$E$21*$H$8*'Traffic Data'!BE15*annualizationFactor</f>
        <v>1.0777060109200001</v>
      </c>
      <c r="AD39" s="751">
        <f>$E$21*$H$8*'Traffic Data'!BF15*annualizationFactor</f>
        <v>1.0945784542000001</v>
      </c>
      <c r="AE39" s="751">
        <f>$E$21*$H$8*'Traffic Data'!BG15*annualizationFactor</f>
        <v>1.1113656831200001</v>
      </c>
      <c r="AF39" s="751">
        <f>$E$21*$H$8*'Traffic Data'!BH15*annualizationFactor</f>
        <v>1.1282381264000001</v>
      </c>
      <c r="AG39" s="751">
        <f>$E$21*$H$8*'Traffic Data'!BI15*annualizationFactor</f>
        <v>1.1451105696800001</v>
      </c>
      <c r="AH39" s="752">
        <f>$E$21*$H$8*'Traffic Data'!BJ15*annualizationFactor</f>
        <v>1.16198301296</v>
      </c>
      <c r="AI39" s="40"/>
      <c r="AJ39" s="40"/>
      <c r="AK39" s="40"/>
      <c r="AL39" s="40"/>
      <c r="AM39" s="40"/>
    </row>
    <row r="40" spans="2:39" ht="21.9" customHeight="1" x14ac:dyDescent="0.25">
      <c r="B40" s="1332"/>
      <c r="C40" s="114" t="s">
        <v>282</v>
      </c>
      <c r="D40" s="114" t="s">
        <v>321</v>
      </c>
      <c r="E40" s="114" t="s">
        <v>19</v>
      </c>
      <c r="F40" s="114" t="s">
        <v>43</v>
      </c>
      <c r="G40" s="941"/>
      <c r="H40" s="941"/>
      <c r="I40" s="751">
        <f>$E$21*$H$8*'Traffic Data'!AK16*annualizationFactor</f>
        <v>6.6649802999999994E-2</v>
      </c>
      <c r="J40" s="751">
        <f>$E$21*$H$8*'Traffic Data'!AL16*annualizationFactor</f>
        <v>0.12660574411869999</v>
      </c>
      <c r="K40" s="751">
        <f>$E$21*$H$8*'Traffic Data'!AM16*annualizationFactor</f>
        <v>0.18654169029650003</v>
      </c>
      <c r="L40" s="751">
        <f>$E$21*$H$8*'Traffic Data'!AN16*annualizationFactor</f>
        <v>0.40581287718619996</v>
      </c>
      <c r="M40" s="751">
        <f>$E$21*$H$8*'Traffic Data'!AO16*annualizationFactor</f>
        <v>0.6250929507163</v>
      </c>
      <c r="N40" s="751">
        <f>$E$21*$H$8*'Traffic Data'!AP16*annualizationFactor</f>
        <v>0.84465295341900004</v>
      </c>
      <c r="O40" s="751">
        <f>$E$21*$H$8*'Traffic Data'!AQ16*annualizationFactor</f>
        <v>1.0639241403086999</v>
      </c>
      <c r="P40" s="751">
        <f>$E$21*$H$8*'Traffic Data'!AR16*annualizationFactor</f>
        <v>1.2833286268044</v>
      </c>
      <c r="Q40" s="751">
        <f>$E$21*$H$8*'Traffic Data'!AS16*annualizationFactor</f>
        <v>1.6646254847871</v>
      </c>
      <c r="R40" s="751">
        <f>$E$21*$H$8*'Traffic Data'!AT16*annualizationFactor</f>
        <v>2.0457668265628</v>
      </c>
      <c r="S40" s="751">
        <f>$E$21*$H$8*'Traffic Data'!AU16*annualizationFactor</f>
        <v>2.4270348029641995</v>
      </c>
      <c r="T40" s="751">
        <f>$E$21*$H$8*'Traffic Data'!AV16*annualizationFactor</f>
        <v>2.8083316609468998</v>
      </c>
      <c r="U40" s="751">
        <f>$E$21*$H$8*'Traffic Data'!AW16*annualizationFactor</f>
        <v>3.1899062264420994</v>
      </c>
      <c r="V40" s="751">
        <f>$E$21*$H$8*'Traffic Data'!AX16*annualizationFactor</f>
        <v>3.4117145491659997</v>
      </c>
      <c r="W40" s="751">
        <f>$E$21*$H$8*'Traffic Data'!AY16*annualizationFactor</f>
        <v>3.4716704902846995</v>
      </c>
      <c r="X40" s="751">
        <f>$E$21*$H$8*'Traffic Data'!AZ16*annualizationFactor</f>
        <v>3.5316264314033998</v>
      </c>
      <c r="Y40" s="751">
        <f>$E$21*$H$8*'Traffic Data'!BA16*annualizationFactor</f>
        <v>3.5915823725220992</v>
      </c>
      <c r="Z40" s="751">
        <f>$E$21*$H$8*'Traffic Data'!BB16*annualizationFactor</f>
        <v>3.6515183186998992</v>
      </c>
      <c r="AA40" s="751">
        <f>$E$21*$H$8*'Traffic Data'!BC16*annualizationFactor</f>
        <v>3.7114742598185999</v>
      </c>
      <c r="AB40" s="751">
        <f>$E$21*$H$8*'Traffic Data'!BD16*annualizationFactor</f>
        <v>3.7714102059963994</v>
      </c>
      <c r="AC40" s="751">
        <f>$E$21*$H$8*'Traffic Data'!BE16*annualizationFactor</f>
        <v>3.8313661471150988</v>
      </c>
      <c r="AD40" s="751">
        <f>$E$21*$H$8*'Traffic Data'!BF16*annualizationFactor</f>
        <v>3.8913220882337995</v>
      </c>
      <c r="AE40" s="751">
        <f>$E$21*$H$8*'Traffic Data'!BG16*annualizationFactor</f>
        <v>3.9512580344115995</v>
      </c>
      <c r="AF40" s="751">
        <f>$E$21*$H$8*'Traffic Data'!BH16*annualizationFactor</f>
        <v>4.0112139755303007</v>
      </c>
      <c r="AG40" s="751">
        <f>$E$21*$H$8*'Traffic Data'!BI16*annualizationFactor</f>
        <v>4.0711699166490005</v>
      </c>
      <c r="AH40" s="752">
        <f>$E$21*$H$8*'Traffic Data'!BJ16*annualizationFactor</f>
        <v>4.1311058628268</v>
      </c>
      <c r="AI40" s="40"/>
      <c r="AJ40" s="40"/>
      <c r="AK40" s="40"/>
      <c r="AL40" s="40"/>
      <c r="AM40" s="40"/>
    </row>
    <row r="41" spans="2:39" ht="21.9" customHeight="1" x14ac:dyDescent="0.25">
      <c r="B41" s="1332"/>
      <c r="C41" s="250" t="s">
        <v>321</v>
      </c>
      <c r="D41" s="250" t="s">
        <v>274</v>
      </c>
      <c r="E41" s="114" t="s">
        <v>19</v>
      </c>
      <c r="F41" s="114" t="s">
        <v>43</v>
      </c>
      <c r="G41" s="941"/>
      <c r="H41" s="941"/>
      <c r="I41" s="751">
        <f>$E$21*$H$8*'Traffic Data'!AK17*annualizationFactor</f>
        <v>9.5866154999999995E-2</v>
      </c>
      <c r="J41" s="751">
        <f>$E$21*$H$8*'Traffic Data'!AL17*annualizationFactor</f>
        <v>0.18210415249949999</v>
      </c>
      <c r="K41" s="751">
        <f>$E$21*$H$8*'Traffic Data'!AM17*annualizationFactor</f>
        <v>0.2683133901525</v>
      </c>
      <c r="L41" s="751">
        <f>$E$21*$H$8*'Traffic Data'!AN17*annualizationFactor</f>
        <v>0.58370345348700003</v>
      </c>
      <c r="M41" s="751">
        <f>$E$21*$H$8*'Traffic Data'!AO17*annualizationFactor</f>
        <v>0.89910629897549998</v>
      </c>
      <c r="N41" s="751">
        <f>$E$21*$H$8*'Traffic Data'!AP17*annualizationFactor</f>
        <v>1.2149117823150002</v>
      </c>
      <c r="O41" s="751">
        <f>$E$21*$H$8*'Traffic Data'!AQ17*annualizationFactor</f>
        <v>1.5303018456494999</v>
      </c>
      <c r="P41" s="751">
        <f>$E$21*$H$8*'Traffic Data'!AR17*annualizationFactor</f>
        <v>1.8458836412940001</v>
      </c>
      <c r="Q41" s="751">
        <f>$E$21*$H$8*'Traffic Data'!AS17*annualizationFactor</f>
        <v>2.3943243274335004</v>
      </c>
      <c r="R41" s="751">
        <f>$E$21*$H$8*'Traffic Data'!AT17*annualizationFactor</f>
        <v>2.9425413258780004</v>
      </c>
      <c r="S41" s="751">
        <f>$E$21*$H$8*'Traffic Data'!AU17*annualizationFactor</f>
        <v>3.4909404700169993</v>
      </c>
      <c r="T41" s="751">
        <f>$E$21*$H$8*'Traffic Data'!AV17*annualizationFactor</f>
        <v>4.0393811561564998</v>
      </c>
      <c r="U41" s="751">
        <f>$E$21*$H$8*'Traffic Data'!AW17*annualizationFactor</f>
        <v>4.5882212846084993</v>
      </c>
      <c r="V41" s="751">
        <f>$E$21*$H$8*'Traffic Data'!AX17*annualizationFactor</f>
        <v>4.9072606529099989</v>
      </c>
      <c r="W41" s="751">
        <f>$E$21*$H$8*'Traffic Data'!AY17*annualizationFactor</f>
        <v>4.9934986504095003</v>
      </c>
      <c r="X41" s="751">
        <f>$E$21*$H$8*'Traffic Data'!AZ17*annualizationFactor</f>
        <v>5.0797366479089998</v>
      </c>
      <c r="Y41" s="751">
        <f>$E$21*$H$8*'Traffic Data'!BA17*annualizationFactor</f>
        <v>5.1659746454084994</v>
      </c>
      <c r="Z41" s="751">
        <f>$E$21*$H$8*'Traffic Data'!BB17*annualizationFactor</f>
        <v>5.2521838830615</v>
      </c>
      <c r="AA41" s="751">
        <f>$E$21*$H$8*'Traffic Data'!BC17*annualizationFactor</f>
        <v>5.3384218805610004</v>
      </c>
      <c r="AB41" s="751">
        <f>$E$21*$H$8*'Traffic Data'!BD17*annualizationFactor</f>
        <v>5.4246311182139992</v>
      </c>
      <c r="AC41" s="751">
        <f>$E$21*$H$8*'Traffic Data'!BE17*annualizationFactor</f>
        <v>5.5108691157134988</v>
      </c>
      <c r="AD41" s="751">
        <f>$E$21*$H$8*'Traffic Data'!BF17*annualizationFactor</f>
        <v>5.5971071132130001</v>
      </c>
      <c r="AE41" s="751">
        <f>$E$21*$H$8*'Traffic Data'!BG17*annualizationFactor</f>
        <v>5.6833163508659998</v>
      </c>
      <c r="AF41" s="751">
        <f>$E$21*$H$8*'Traffic Data'!BH17*annualizationFactor</f>
        <v>5.7695543483655012</v>
      </c>
      <c r="AG41" s="751">
        <f>$E$21*$H$8*'Traffic Data'!BI17*annualizationFactor</f>
        <v>5.8557923458650007</v>
      </c>
      <c r="AH41" s="752">
        <f>$E$21*$H$8*'Traffic Data'!BJ17*annualizationFactor</f>
        <v>5.9420015835180005</v>
      </c>
      <c r="AI41" s="40"/>
      <c r="AJ41" s="40"/>
      <c r="AK41" s="40"/>
      <c r="AL41" s="40"/>
      <c r="AM41" s="40"/>
    </row>
    <row r="42" spans="2:39" ht="21.9" customHeight="1" x14ac:dyDescent="0.25">
      <c r="B42" s="469" t="s">
        <v>282</v>
      </c>
      <c r="C42" s="114" t="s">
        <v>308</v>
      </c>
      <c r="D42" s="114" t="s">
        <v>324</v>
      </c>
      <c r="E42" s="114" t="s">
        <v>19</v>
      </c>
      <c r="F42" s="114" t="s">
        <v>43</v>
      </c>
      <c r="G42" s="941"/>
      <c r="H42" s="941"/>
      <c r="I42" s="754">
        <f>$E$21*$J$8*'Traffic Data'!AK18*annualizationFactor</f>
        <v>0.54780660000000003</v>
      </c>
      <c r="J42" s="754">
        <f>$E$21*$J$8*'Traffic Data'!AL18*annualizationFactor</f>
        <v>0.56834326075999997</v>
      </c>
      <c r="K42" s="754">
        <f>$E$21*$J$8*'Traffic Data'!AM18*annualizationFactor</f>
        <v>0.59975692590000007</v>
      </c>
      <c r="L42" s="754">
        <f>$E$21*$J$8*'Traffic Data'!AN18*annualizationFactor</f>
        <v>0.69956424505000014</v>
      </c>
      <c r="M42" s="754">
        <f>$E$21*$J$8*'Traffic Data'!AO18*annualizationFactor</f>
        <v>0.79938678104999994</v>
      </c>
      <c r="N42" s="754">
        <f>$E$21*$J$8*'Traffic Data'!AP18*annualizationFactor</f>
        <v>0.89931583499999979</v>
      </c>
      <c r="O42" s="754">
        <f>$E$21*$J$8*'Traffic Data'!AQ18*annualizationFactor</f>
        <v>0.99912315414999986</v>
      </c>
      <c r="P42" s="754">
        <f>$E$21*$J$8*'Traffic Data'!AR18*annualizationFactor</f>
        <v>1.09902786114</v>
      </c>
      <c r="Q42" s="754">
        <f>$E$21*$J$8*'Traffic Data'!AS18*annualizationFactor</f>
        <v>1.23066274375</v>
      </c>
      <c r="R42" s="754">
        <f>$E$21*$J$8*'Traffic Data'!AT18*annualizationFactor</f>
        <v>1.3622641492900001</v>
      </c>
      <c r="S42" s="754">
        <f>$E$21*$J$8*'Traffic Data'!AU18*annualizationFactor</f>
        <v>1.4939142487499999</v>
      </c>
      <c r="T42" s="754">
        <f>$E$21*$J$8*'Traffic Data'!AV18*annualizationFactor</f>
        <v>1.6255491313600003</v>
      </c>
      <c r="U42" s="754">
        <f>$E$21*$J$8*'Traffic Data'!AW18*annualizationFactor</f>
        <v>1.7573331391</v>
      </c>
      <c r="V42" s="754">
        <f>$E$21*$J$8*'Traffic Data'!AX18*annualizationFactor</f>
        <v>1.8205074135599997</v>
      </c>
      <c r="W42" s="754">
        <f>$E$21*$J$8*'Traffic Data'!AY18*annualizationFactor</f>
        <v>1.8410440743200001</v>
      </c>
      <c r="X42" s="754">
        <f>$E$21*$J$8*'Traffic Data'!AZ18*annualizationFactor</f>
        <v>1.8615807350799998</v>
      </c>
      <c r="Y42" s="754">
        <f>$E$21*$J$8*'Traffic Data'!BA18*annualizationFactor</f>
        <v>1.8821173958399997</v>
      </c>
      <c r="Z42" s="754">
        <f>$E$21*$J$8*'Traffic Data'!BB18*annualizationFactor</f>
        <v>1.9026753601899999</v>
      </c>
      <c r="AA42" s="754">
        <f>$E$21*$J$8*'Traffic Data'!BC18*annualizationFactor</f>
        <v>1.9232120209499994</v>
      </c>
      <c r="AB42" s="754">
        <f>$E$21*$J$8*'Traffic Data'!BD18*annualizationFactor</f>
        <v>1.9437699852999999</v>
      </c>
      <c r="AC42" s="754">
        <f>$E$21*$J$8*'Traffic Data'!BE18*annualizationFactor</f>
        <v>1.9643066460600001</v>
      </c>
      <c r="AD42" s="754">
        <f>$E$21*$J$8*'Traffic Data'!BF18*annualizationFactor</f>
        <v>1.9848433068199998</v>
      </c>
      <c r="AE42" s="754">
        <f>$E$21*$J$8*'Traffic Data'!BG18*annualizationFactor</f>
        <v>2.0054012711699998</v>
      </c>
      <c r="AF42" s="754">
        <f>$E$21*$J$8*'Traffic Data'!BH18*annualizationFactor</f>
        <v>2.0259379319300006</v>
      </c>
      <c r="AG42" s="754">
        <f>$E$21*$J$8*'Traffic Data'!BI18*annualizationFactor</f>
        <v>2.0464745926900001</v>
      </c>
      <c r="AH42" s="755">
        <f>$E$21*$J$8*'Traffic Data'!BJ18*annualizationFactor</f>
        <v>2.0670325570399997</v>
      </c>
      <c r="AI42" s="40"/>
      <c r="AJ42" s="40"/>
      <c r="AK42" s="40"/>
      <c r="AL42" s="40"/>
      <c r="AM42" s="40"/>
    </row>
    <row r="43" spans="2:39" ht="21.9" customHeight="1" x14ac:dyDescent="0.25">
      <c r="B43" s="756" t="s">
        <v>321</v>
      </c>
      <c r="C43" s="273" t="s">
        <v>318</v>
      </c>
      <c r="D43" s="273" t="s">
        <v>308</v>
      </c>
      <c r="E43" s="273" t="s">
        <v>19</v>
      </c>
      <c r="F43" s="273" t="s">
        <v>43</v>
      </c>
      <c r="G43" s="754"/>
      <c r="H43" s="754"/>
      <c r="I43" s="753">
        <f>$E$21*$K$8*'Traffic Data'!AK19*annualizationFactor</f>
        <v>0</v>
      </c>
      <c r="J43" s="754">
        <f>$E$21*$K$8*'Traffic Data'!AL19*annualizationFactor</f>
        <v>0</v>
      </c>
      <c r="K43" s="754">
        <f>$E$21*$K$8*'Traffic Data'!AM19*annualizationFactor</f>
        <v>0</v>
      </c>
      <c r="L43" s="754">
        <f>$E$21*$K$8*'Traffic Data'!AN19*annualizationFactor</f>
        <v>0</v>
      </c>
      <c r="M43" s="754">
        <f>$E$21*$K$8*'Traffic Data'!AO19*annualizationFactor</f>
        <v>0</v>
      </c>
      <c r="N43" s="754">
        <f>$E$21*$K$8*'Traffic Data'!AP19*annualizationFactor</f>
        <v>0</v>
      </c>
      <c r="O43" s="754">
        <f>$E$21*$K$8*'Traffic Data'!AQ19*annualizationFactor</f>
        <v>0</v>
      </c>
      <c r="P43" s="754">
        <f>$E$21*$K$8*'Traffic Data'!AR19*annualizationFactor</f>
        <v>0</v>
      </c>
      <c r="Q43" s="754">
        <f>$E$21*$K$8*'Traffic Data'!AS19*annualizationFactor</f>
        <v>0</v>
      </c>
      <c r="R43" s="754">
        <f>$E$21*$K$8*'Traffic Data'!AT19*annualizationFactor</f>
        <v>0</v>
      </c>
      <c r="S43" s="754">
        <f>$E$21*$K$8*'Traffic Data'!AU19*annualizationFactor</f>
        <v>0</v>
      </c>
      <c r="T43" s="754">
        <f>$E$21*$K$8*'Traffic Data'!AV19*annualizationFactor</f>
        <v>0</v>
      </c>
      <c r="U43" s="754">
        <f>$E$21*$K$8*'Traffic Data'!AW19*annualizationFactor</f>
        <v>0</v>
      </c>
      <c r="V43" s="754">
        <f>$E$21*$K$8*'Traffic Data'!AX19*annualizationFactor</f>
        <v>0</v>
      </c>
      <c r="W43" s="754">
        <f>$E$21*$K$8*'Traffic Data'!AY19*annualizationFactor</f>
        <v>0</v>
      </c>
      <c r="X43" s="754">
        <f>$E$21*$K$8*'Traffic Data'!AZ19*annualizationFactor</f>
        <v>0</v>
      </c>
      <c r="Y43" s="754">
        <f>$E$21*$K$8*'Traffic Data'!BA19*annualizationFactor</f>
        <v>0</v>
      </c>
      <c r="Z43" s="754">
        <f>$E$21*$K$8*'Traffic Data'!BB19*annualizationFactor</f>
        <v>0</v>
      </c>
      <c r="AA43" s="754">
        <f>$E$21*$K$8*'Traffic Data'!BC19*annualizationFactor</f>
        <v>0</v>
      </c>
      <c r="AB43" s="754">
        <f>$E$21*$K$8*'Traffic Data'!BD19*annualizationFactor</f>
        <v>0</v>
      </c>
      <c r="AC43" s="754">
        <f>$E$21*$K$8*'Traffic Data'!BE19*annualizationFactor</f>
        <v>0</v>
      </c>
      <c r="AD43" s="754">
        <f>$E$21*$K$8*'Traffic Data'!BF19*annualizationFactor</f>
        <v>0</v>
      </c>
      <c r="AE43" s="754">
        <f>$E$21*$K$8*'Traffic Data'!BG19*annualizationFactor</f>
        <v>0</v>
      </c>
      <c r="AF43" s="754">
        <f>$E$21*$K$8*'Traffic Data'!BH19*annualizationFactor</f>
        <v>0</v>
      </c>
      <c r="AG43" s="754">
        <f>$E$21*$K$8*'Traffic Data'!BI19*annualizationFactor</f>
        <v>0</v>
      </c>
      <c r="AH43" s="755">
        <f>$E$21*$K$8*'Traffic Data'!BJ19*annualizationFactor</f>
        <v>0</v>
      </c>
      <c r="AI43" s="40"/>
      <c r="AJ43" s="40"/>
      <c r="AK43" s="40"/>
      <c r="AL43" s="40"/>
      <c r="AM43" s="40"/>
    </row>
    <row r="44" spans="2:39" ht="21.9" customHeight="1" x14ac:dyDescent="0.25">
      <c r="B44" s="756" t="s">
        <v>333</v>
      </c>
      <c r="C44" s="273" t="s">
        <v>319</v>
      </c>
      <c r="D44" s="273" t="s">
        <v>308</v>
      </c>
      <c r="E44" s="114" t="s">
        <v>19</v>
      </c>
      <c r="F44" s="114" t="s">
        <v>43</v>
      </c>
      <c r="G44" s="941"/>
      <c r="H44" s="941"/>
      <c r="I44" s="751">
        <f>$E$21*$L$8*'Traffic Data'!AK20*annualizationFactor</f>
        <v>1.0159322399999999</v>
      </c>
      <c r="J44" s="751">
        <f>$E$21*$L$8*'Traffic Data'!AL20*annualizationFactor</f>
        <v>1.0316340371759998</v>
      </c>
      <c r="K44" s="751">
        <f>$E$21*$L$8*'Traffic Data'!AM20*annualizationFactor</f>
        <v>1.0574330720039999</v>
      </c>
      <c r="L44" s="751">
        <f>$E$21*$L$8*'Traffic Data'!AN20*annualizationFactor</f>
        <v>1.145116490418</v>
      </c>
      <c r="M44" s="751">
        <f>$E$21*$L$8*'Traffic Data'!AO20*annualizationFactor</f>
        <v>1.232811196968</v>
      </c>
      <c r="N44" s="751">
        <f>$E$21*$L$8*'Traffic Data'!AP20*annualizationFactor</f>
        <v>1.3206074967419998</v>
      </c>
      <c r="O44" s="751">
        <f>$E$21*$L$8*'Traffic Data'!AQ20*annualizationFactor</f>
        <v>1.4082909151559995</v>
      </c>
      <c r="P44" s="751">
        <f>$E$21*$L$8*'Traffic Data'!AR20*annualizationFactor</f>
        <v>1.4960731047599998</v>
      </c>
      <c r="Q44" s="751">
        <f>$E$21*$L$8*'Traffic Data'!AS20*annualizationFactor</f>
        <v>1.6000763457959997</v>
      </c>
      <c r="R44" s="751">
        <f>$E$21*$L$8*'Traffic Data'!AT20*annualizationFactor</f>
        <v>1.7040570105599997</v>
      </c>
      <c r="S44" s="751">
        <f>$E$21*$L$8*'Traffic Data'!AU20*annualizationFactor</f>
        <v>1.8080884719359995</v>
      </c>
      <c r="T44" s="751">
        <f>$E$21*$L$8*'Traffic Data'!AV20*annualizationFactor</f>
        <v>1.9120917129719996</v>
      </c>
      <c r="U44" s="751">
        <f>$E$21*$L$8*'Traffic Data'!AW20*annualizationFactor</f>
        <v>2.0162416997759998</v>
      </c>
      <c r="V44" s="751">
        <f>$E$21*$L$8*'Traffic Data'!AX20*annualizationFactor</f>
        <v>2.0583012945119998</v>
      </c>
      <c r="W44" s="751">
        <f>$E$21*$L$8*'Traffic Data'!AY20*annualizationFactor</f>
        <v>2.0740030916879992</v>
      </c>
      <c r="X44" s="751">
        <f>$E$21*$L$8*'Traffic Data'!AZ20*annualizationFactor</f>
        <v>2.089704888864</v>
      </c>
      <c r="Y44" s="751">
        <f>$E$21*$L$8*'Traffic Data'!BA20*annualizationFactor</f>
        <v>2.1054066860399998</v>
      </c>
      <c r="Z44" s="751">
        <f>$E$21*$L$8*'Traffic Data'!BB20*annualizationFactor</f>
        <v>2.1211395255899994</v>
      </c>
      <c r="AA44" s="751">
        <f>$E$21*$L$8*'Traffic Data'!BC20*annualizationFactor</f>
        <v>2.1368413227659997</v>
      </c>
      <c r="AB44" s="751">
        <f>$E$21*$L$8*'Traffic Data'!BD20*annualizationFactor</f>
        <v>2.1525741623159997</v>
      </c>
      <c r="AC44" s="751">
        <f>$E$21*$L$8*'Traffic Data'!BE20*annualizationFactor</f>
        <v>2.1682759594919996</v>
      </c>
      <c r="AD44" s="751">
        <f>$E$21*$L$8*'Traffic Data'!BF20*annualizationFactor</f>
        <v>2.1839777566679999</v>
      </c>
      <c r="AE44" s="751">
        <f>$E$21*$L$8*'Traffic Data'!BG20*annualizationFactor</f>
        <v>2.1997105962179999</v>
      </c>
      <c r="AF44" s="751">
        <f>$E$21*$L$8*'Traffic Data'!BH20*annualizationFactor</f>
        <v>2.2154123933940002</v>
      </c>
      <c r="AG44" s="751">
        <f>$E$21*$L$8*'Traffic Data'!BI20*annualizationFactor</f>
        <v>2.23111419057</v>
      </c>
      <c r="AH44" s="752">
        <f>$E$21*$L$8*'Traffic Data'!BJ20*annualizationFactor</f>
        <v>2.2468470301199996</v>
      </c>
      <c r="AI44" s="40"/>
      <c r="AJ44" s="40"/>
      <c r="AK44" s="40"/>
      <c r="AL44" s="40"/>
      <c r="AM44" s="40"/>
    </row>
    <row r="45" spans="2:39" ht="21.9" customHeight="1" x14ac:dyDescent="0.25">
      <c r="B45" s="469" t="s">
        <v>319</v>
      </c>
      <c r="C45" s="114" t="s">
        <v>276</v>
      </c>
      <c r="D45" s="114" t="s">
        <v>333</v>
      </c>
      <c r="E45" s="217" t="s">
        <v>19</v>
      </c>
      <c r="F45" s="217" t="s">
        <v>43</v>
      </c>
      <c r="G45" s="749"/>
      <c r="H45" s="749"/>
      <c r="I45" s="749">
        <f>$E$21*$M$8*'Traffic Data'!AK21*annualizationFactor</f>
        <v>3.6485856249999999</v>
      </c>
      <c r="J45" s="749">
        <f>$E$21*$M$8*'Traffic Data'!AL21*annualizationFactor</f>
        <v>3.7842582814656258</v>
      </c>
      <c r="K45" s="749">
        <f>$E$21*$M$8*'Traffic Data'!AM21*annualizationFactor</f>
        <v>3.9286802462599999</v>
      </c>
      <c r="L45" s="749">
        <f>$E$21*$M$8*'Traffic Data'!AN21*annualizationFactor</f>
        <v>4.2490734957481244</v>
      </c>
      <c r="M45" s="749">
        <f>$E$21*$M$8*'Traffic Data'!AO21*annualizationFactor</f>
        <v>4.5695470141200012</v>
      </c>
      <c r="N45" s="749">
        <f>$E$21*$M$8*'Traffic Data'!AP21*annualizationFactor</f>
        <v>4.8901956646018752</v>
      </c>
      <c r="O45" s="749">
        <f>$E$21*$M$8*'Traffic Data'!AQ21*annualizationFactor</f>
        <v>5.2105889140900024</v>
      </c>
      <c r="P45" s="749">
        <f>$E$21*$M$8*'Traffic Data'!AR21*annualizationFactor</f>
        <v>5.5312631046712504</v>
      </c>
      <c r="Q45" s="749">
        <f>$E$21*$M$8*'Traffic Data'!AS21*annualizationFactor</f>
        <v>5.9623799821212478</v>
      </c>
      <c r="R45" s="749">
        <f>$E$21*$M$8*'Traffic Data'!AT21*annualizationFactor</f>
        <v>6.3935151024993742</v>
      </c>
      <c r="S45" s="749">
        <f>$E$21*$M$8*'Traffic Data'!AU21*annualizationFactor</f>
        <v>6.8246319799493742</v>
      </c>
      <c r="T45" s="749">
        <f>$E$21*$M$8*'Traffic Data'!AV21*annualizationFactor</f>
        <v>7.2557488573993743</v>
      </c>
      <c r="U45" s="749">
        <f>$E$21*$M$8*'Traffic Data'!AW21*annualizationFactor</f>
        <v>7.6872670792681266</v>
      </c>
      <c r="V45" s="749">
        <f>$E$21*$M$8*'Traffic Data'!AX21*annualizationFactor</f>
        <v>7.9422119998149991</v>
      </c>
      <c r="W45" s="749">
        <f>$E$21*$M$8*'Traffic Data'!AY21*annualizationFactor</f>
        <v>8.0778846562806255</v>
      </c>
      <c r="X45" s="749">
        <f>$E$21*$M$8*'Traffic Data'!AZ21*annualizationFactor</f>
        <v>8.2135573127462482</v>
      </c>
      <c r="Y45" s="749">
        <f>$E$21*$M$8*'Traffic Data'!BA21*annualizationFactor</f>
        <v>8.3492299692118745</v>
      </c>
      <c r="Z45" s="749">
        <f>$E$21*$M$8*'Traffic Data'!BB21*annualizationFactor</f>
        <v>8.4849755973899992</v>
      </c>
      <c r="AA45" s="749">
        <f>$E$21*$M$8*'Traffic Data'!BC21*annualizationFactor</f>
        <v>8.6206482538556237</v>
      </c>
      <c r="AB45" s="749">
        <f>$E$21*$M$8*'Traffic Data'!BD21*annualizationFactor</f>
        <v>8.7563938820337484</v>
      </c>
      <c r="AC45" s="749">
        <f>$E$21*$M$8*'Traffic Data'!BE21*annualizationFactor</f>
        <v>8.8920665384993747</v>
      </c>
      <c r="AD45" s="749">
        <f>$E$21*$M$8*'Traffic Data'!BF21*annualizationFactor</f>
        <v>9.0277391949649992</v>
      </c>
      <c r="AE45" s="749">
        <f>$E$21*$M$8*'Traffic Data'!BG21*annualizationFactor</f>
        <v>9.1634848231431238</v>
      </c>
      <c r="AF45" s="749">
        <f>$E$21*$M$8*'Traffic Data'!BH21*annualizationFactor</f>
        <v>9.2991574796087484</v>
      </c>
      <c r="AG45" s="749">
        <f>$E$21*$M$8*'Traffic Data'!BI21*annualizationFactor</f>
        <v>9.4348301360743729</v>
      </c>
      <c r="AH45" s="750">
        <f>$E$21*$M$8*'Traffic Data'!BJ21*annualizationFactor</f>
        <v>9.5705757642525011</v>
      </c>
      <c r="AI45" s="40"/>
      <c r="AJ45" s="40"/>
      <c r="AK45" s="40"/>
      <c r="AL45" s="40"/>
      <c r="AM45" s="40"/>
    </row>
    <row r="46" spans="2:39" ht="21.9" customHeight="1" x14ac:dyDescent="0.25">
      <c r="B46" s="469"/>
      <c r="C46" s="114" t="s">
        <v>333</v>
      </c>
      <c r="D46" s="114" t="s">
        <v>323</v>
      </c>
      <c r="E46" s="114" t="s">
        <v>19</v>
      </c>
      <c r="F46" s="114" t="s">
        <v>43</v>
      </c>
      <c r="G46" s="941"/>
      <c r="H46" s="941"/>
      <c r="I46" s="751">
        <f>$E$21*$M$8*'Traffic Data'!AK22*annualizationFactor</f>
        <v>0.5313677908333333</v>
      </c>
      <c r="J46" s="751">
        <f>$E$21*$M$8*'Traffic Data'!AL22*annualizationFactor</f>
        <v>0.55027679333739576</v>
      </c>
      <c r="K46" s="751">
        <f>$E$21*$M$8*'Traffic Data'!AM22*annualizationFactor</f>
        <v>0.57085540937370838</v>
      </c>
      <c r="L46" s="751">
        <f>$E$21*$M$8*'Traffic Data'!AN22*annualizationFactor</f>
        <v>0.61019969844418753</v>
      </c>
      <c r="M46" s="751">
        <f>$E$21*$M$8*'Traffic Data'!AO22*annualizationFactor</f>
        <v>0.64955936921387514</v>
      </c>
      <c r="N46" s="751">
        <f>$E$21*$M$8*'Traffic Data'!AP22*annualizationFactor</f>
        <v>0.68892463332872911</v>
      </c>
      <c r="O46" s="751">
        <f>$E$21*$M$8*'Traffic Data'!AQ22*annualizationFactor</f>
        <v>0.72826892239920837</v>
      </c>
      <c r="P46" s="751">
        <f>$E$21*$M$8*'Traffic Data'!AR22*annualizationFactor</f>
        <v>0.76764607237254168</v>
      </c>
      <c r="Q46" s="751">
        <f>$E$21*$M$8*'Traffic Data'!AS22*annualizationFactor</f>
        <v>0.82167079500108309</v>
      </c>
      <c r="R46" s="751">
        <f>$E$21*$M$8*'Traffic Data'!AT22*annualizationFactor</f>
        <v>0.87570600515181218</v>
      </c>
      <c r="S46" s="751">
        <f>$E$21*$M$8*'Traffic Data'!AU22*annualizationFactor</f>
        <v>0.9297237360988958</v>
      </c>
      <c r="T46" s="751">
        <f>$E$21*$M$8*'Traffic Data'!AV22*annualizationFactor</f>
        <v>0.98374845872743732</v>
      </c>
      <c r="U46" s="751">
        <f>$E$21*$M$8*'Traffic Data'!AW22*annualizationFactor</f>
        <v>1.037815131444729</v>
      </c>
      <c r="V46" s="751">
        <f>$E$21*$M$8*'Traffic Data'!AX22*annualizationFactor</f>
        <v>1.073049710154</v>
      </c>
      <c r="W46" s="751">
        <f>$E$21*$M$8*'Traffic Data'!AY22*annualizationFactor</f>
        <v>1.0919587126580623</v>
      </c>
      <c r="X46" s="751">
        <f>$E$21*$M$8*'Traffic Data'!AZ22*annualizationFactor</f>
        <v>1.1108677151621249</v>
      </c>
      <c r="Y46" s="751">
        <f>$E$21*$M$8*'Traffic Data'!BA22*annualizationFactor</f>
        <v>1.1297767176661873</v>
      </c>
      <c r="Z46" s="751">
        <f>$E$21*$M$8*'Traffic Data'!BB22*annualizationFactor</f>
        <v>1.1486927118517083</v>
      </c>
      <c r="AA46" s="751">
        <f>$E$21*$M$8*'Traffic Data'!BC22*annualizationFactor</f>
        <v>1.1676017143557704</v>
      </c>
      <c r="AB46" s="751">
        <f>$E$21*$M$8*'Traffic Data'!BD22*annualizationFactor</f>
        <v>1.1865177085412917</v>
      </c>
      <c r="AC46" s="751">
        <f>$E$21*$M$8*'Traffic Data'!BE22*annualizationFactor</f>
        <v>1.205426711045354</v>
      </c>
      <c r="AD46" s="751">
        <f>$E$21*$M$8*'Traffic Data'!BF22*annualizationFactor</f>
        <v>1.2243357135494166</v>
      </c>
      <c r="AE46" s="751">
        <f>$E$21*$M$8*'Traffic Data'!BG22*annualizationFactor</f>
        <v>1.2432517077349374</v>
      </c>
      <c r="AF46" s="751">
        <f>$E$21*$M$8*'Traffic Data'!BH22*annualizationFactor</f>
        <v>1.262160710239</v>
      </c>
      <c r="AG46" s="751">
        <f>$E$21*$M$8*'Traffic Data'!BI22*annualizationFactor</f>
        <v>1.2810697127430624</v>
      </c>
      <c r="AH46" s="752">
        <f>$E$21*$M$8*'Traffic Data'!BJ22*annualizationFactor</f>
        <v>1.299985706928583</v>
      </c>
      <c r="AI46" s="40"/>
      <c r="AJ46" s="40"/>
      <c r="AK46" s="40"/>
      <c r="AL46" s="40"/>
      <c r="AM46" s="40"/>
    </row>
    <row r="47" spans="2:39" ht="21.9" customHeight="1" x14ac:dyDescent="0.25">
      <c r="B47" s="469"/>
      <c r="C47" s="114" t="s">
        <v>323</v>
      </c>
      <c r="D47" s="114" t="s">
        <v>322</v>
      </c>
      <c r="E47" s="114" t="s">
        <v>19</v>
      </c>
      <c r="F47" s="114" t="s">
        <v>43</v>
      </c>
      <c r="G47" s="941"/>
      <c r="H47" s="941"/>
      <c r="I47" s="751">
        <f>$E$21*$M$8*'Traffic Data'!AK23*annualizationFactor</f>
        <v>0.13141824999999999</v>
      </c>
      <c r="J47" s="751">
        <f>$E$21*$M$8*'Traffic Data'!AL23*annualizationFactor</f>
        <v>0.13609483759374999</v>
      </c>
      <c r="K47" s="751">
        <f>$E$21*$M$8*'Traffic Data'!AM23*annualizationFactor</f>
        <v>0.14118435516249997</v>
      </c>
      <c r="L47" s="751">
        <f>$E$21*$M$8*'Traffic Data'!AN23*annualizationFactor</f>
        <v>0.15091501198125001</v>
      </c>
      <c r="M47" s="751">
        <f>$E$21*$M$8*'Traffic Data'!AO23*annualizationFactor</f>
        <v>0.16064947301250002</v>
      </c>
      <c r="N47" s="751">
        <f>$E$21*$M$8*'Traffic Data'!AP23*annualizationFactor</f>
        <v>0.17038531739374999</v>
      </c>
      <c r="O47" s="751">
        <f>$E$21*$M$8*'Traffic Data'!AQ23*annualizationFactor</f>
        <v>0.1801159742125</v>
      </c>
      <c r="P47" s="751">
        <f>$E$21*$M$8*'Traffic Data'!AR23*annualizationFactor</f>
        <v>0.18985475821249997</v>
      </c>
      <c r="Q47" s="751">
        <f>$E$21*$M$8*'Traffic Data'!AS23*annualizationFactor</f>
        <v>0.20321619002499994</v>
      </c>
      <c r="R47" s="751">
        <f>$E$21*$M$8*'Traffic Data'!AT23*annualizationFactor</f>
        <v>0.21658021561874996</v>
      </c>
      <c r="S47" s="751">
        <f>$E$21*$M$8*'Traffic Data'!AU23*annualizationFactor</f>
        <v>0.22993991824374996</v>
      </c>
      <c r="T47" s="751">
        <f>$E$21*$M$8*'Traffic Data'!AV23*annualizationFactor</f>
        <v>0.24330135005625</v>
      </c>
      <c r="U47" s="751">
        <f>$E$21*$M$8*'Traffic Data'!AW23*annualizationFactor</f>
        <v>0.25667315699374998</v>
      </c>
      <c r="V47" s="751">
        <f>$E$21*$M$8*'Traffic Data'!AX23*annualizationFactor</f>
        <v>0.26538739739999995</v>
      </c>
      <c r="W47" s="751">
        <f>$E$21*$M$8*'Traffic Data'!AY23*annualizationFactor</f>
        <v>0.27006398499374995</v>
      </c>
      <c r="X47" s="751">
        <f>$E$21*$M$8*'Traffic Data'!AZ23*annualizationFactor</f>
        <v>0.2747405725874999</v>
      </c>
      <c r="Y47" s="751">
        <f>$E$21*$M$8*'Traffic Data'!BA23*annualizationFactor</f>
        <v>0.27941716018124996</v>
      </c>
      <c r="Z47" s="751">
        <f>$E$21*$M$8*'Traffic Data'!BB23*annualizationFactor</f>
        <v>0.28409547696249993</v>
      </c>
      <c r="AA47" s="751">
        <f>$E$21*$M$8*'Traffic Data'!BC23*annualizationFactor</f>
        <v>0.28877206455624987</v>
      </c>
      <c r="AB47" s="751">
        <f>$E$21*$M$8*'Traffic Data'!BD23*annualizationFactor</f>
        <v>0.29345038133750001</v>
      </c>
      <c r="AC47" s="751">
        <f>$E$21*$M$8*'Traffic Data'!BE23*annualizationFactor</f>
        <v>0.29812696893124996</v>
      </c>
      <c r="AD47" s="751">
        <f>$E$21*$M$8*'Traffic Data'!BF23*annualizationFactor</f>
        <v>0.30280355652499996</v>
      </c>
      <c r="AE47" s="751">
        <f>$E$21*$M$8*'Traffic Data'!BG23*annualizationFactor</f>
        <v>0.30748187330624993</v>
      </c>
      <c r="AF47" s="751">
        <f>$E$21*$M$8*'Traffic Data'!BH23*annualizationFactor</f>
        <v>0.31215846090000005</v>
      </c>
      <c r="AG47" s="751">
        <f>$E$21*$M$8*'Traffic Data'!BI23*annualizationFactor</f>
        <v>0.31683504849374999</v>
      </c>
      <c r="AH47" s="752">
        <f>$E$21*$M$8*'Traffic Data'!BJ23*annualizationFactor</f>
        <v>0.32151336527499991</v>
      </c>
      <c r="AI47" s="40"/>
      <c r="AJ47" s="40"/>
      <c r="AK47" s="40"/>
      <c r="AL47" s="40"/>
      <c r="AM47" s="40"/>
    </row>
    <row r="48" spans="2:39" ht="21.9" customHeight="1" x14ac:dyDescent="0.25">
      <c r="B48" s="469"/>
      <c r="C48" s="114" t="s">
        <v>322</v>
      </c>
      <c r="D48" s="114" t="s">
        <v>326</v>
      </c>
      <c r="E48" s="114" t="s">
        <v>19</v>
      </c>
      <c r="F48" s="114" t="s">
        <v>43</v>
      </c>
      <c r="G48" s="941"/>
      <c r="H48" s="941"/>
      <c r="I48" s="751">
        <f>$E$21*$M$8*'Traffic Data'!AK24*annualizationFactor</f>
        <v>0.33719156250000004</v>
      </c>
      <c r="J48" s="751">
        <f>$E$21*$M$8*'Traffic Data'!AL24*annualizationFactor</f>
        <v>0.34880387792656248</v>
      </c>
      <c r="K48" s="751">
        <f>$E$21*$M$8*'Traffic Data'!AM24*annualizationFactor</f>
        <v>0.36175933974374996</v>
      </c>
      <c r="L48" s="751">
        <f>$E$21*$M$8*'Traffic Data'!AN24*annualizationFactor</f>
        <v>0.38439107543281259</v>
      </c>
      <c r="M48" s="751">
        <f>$E$21*$M$8*'Traffic Data'!AO24*annualizationFactor</f>
        <v>0.40703629878437497</v>
      </c>
      <c r="N48" s="751">
        <f>$E$21*$M$8*'Traffic Data'!AP24*annualizationFactor</f>
        <v>0.42967365433281257</v>
      </c>
      <c r="O48" s="751">
        <f>$E$21*$M$8*'Traffic Data'!AQ24*annualizationFactor</f>
        <v>0.45230539002187503</v>
      </c>
      <c r="P48" s="751">
        <f>$E$21*$M$8*'Traffic Data'!AR24*annualizationFactor</f>
        <v>0.47496016713437506</v>
      </c>
      <c r="Q48" s="751">
        <f>$E$21*$M$8*'Traffic Data'!AS24*annualizationFactor</f>
        <v>0.50413735303750007</v>
      </c>
      <c r="R48" s="751">
        <f>$E$21*$M$8*'Traffic Data'!AT24*annualizationFactor</f>
        <v>0.53333083653281266</v>
      </c>
      <c r="S48" s="751">
        <f>$E$21*$M$8*'Traffic Data'!AU24*annualizationFactor</f>
        <v>0.56250240257656225</v>
      </c>
      <c r="T48" s="751">
        <f>$E$21*$M$8*'Traffic Data'!AV24*annualizationFactor</f>
        <v>0.59167958847968738</v>
      </c>
      <c r="U48" s="751">
        <f>$E$21*$M$8*'Traffic Data'!AW24*annualizationFactor</f>
        <v>0.62088150176406243</v>
      </c>
      <c r="V48" s="751">
        <f>$E$21*$M$8*'Traffic Data'!AX24*annualizationFactor</f>
        <v>0.64036724017500002</v>
      </c>
      <c r="W48" s="751">
        <f>$E$21*$M$8*'Traffic Data'!AY24*annualizationFactor</f>
        <v>0.65197955560156262</v>
      </c>
      <c r="X48" s="751">
        <f>$E$21*$M$8*'Traffic Data'!AZ24*annualizationFactor</f>
        <v>0.663591871028125</v>
      </c>
      <c r="Y48" s="751">
        <f>$E$21*$M$8*'Traffic Data'!BA24*annualizationFactor</f>
        <v>0.67520418645468783</v>
      </c>
      <c r="Z48" s="751">
        <f>$E$21*$M$8*'Traffic Data'!BB24*annualizationFactor</f>
        <v>0.68682324571250031</v>
      </c>
      <c r="AA48" s="751">
        <f>$E$21*$M$8*'Traffic Data'!BC24*annualizationFactor</f>
        <v>0.69843556113906258</v>
      </c>
      <c r="AB48" s="751">
        <f>$E$21*$M$8*'Traffic Data'!BD24*annualizationFactor</f>
        <v>0.71005462039687484</v>
      </c>
      <c r="AC48" s="751">
        <f>$E$21*$M$8*'Traffic Data'!BE24*annualizationFactor</f>
        <v>0.72166693582343755</v>
      </c>
      <c r="AD48" s="751">
        <f>$E$21*$M$8*'Traffic Data'!BF24*annualizationFactor</f>
        <v>0.73327925125000004</v>
      </c>
      <c r="AE48" s="751">
        <f>$E$21*$M$8*'Traffic Data'!BG24*annualizationFactor</f>
        <v>0.74489831050781252</v>
      </c>
      <c r="AF48" s="751">
        <f>$E$21*$M$8*'Traffic Data'!BH24*annualizationFactor</f>
        <v>0.75651062593437501</v>
      </c>
      <c r="AG48" s="751">
        <f>$E$21*$M$8*'Traffic Data'!BI24*annualizationFactor</f>
        <v>0.76812294136093751</v>
      </c>
      <c r="AH48" s="752">
        <f>$E$21*$M$8*'Traffic Data'!BJ24*annualizationFactor</f>
        <v>0.77974200061874999</v>
      </c>
      <c r="AI48" s="40"/>
      <c r="AJ48" s="40"/>
      <c r="AK48" s="40"/>
      <c r="AL48" s="40"/>
      <c r="AM48" s="40"/>
    </row>
    <row r="49" spans="2:39" ht="21.9" customHeight="1" x14ac:dyDescent="0.25">
      <c r="B49" s="469"/>
      <c r="C49" s="114" t="s">
        <v>326</v>
      </c>
      <c r="D49" s="114" t="s">
        <v>274</v>
      </c>
      <c r="E49" s="114" t="s">
        <v>19</v>
      </c>
      <c r="F49" s="114" t="s">
        <v>43</v>
      </c>
      <c r="G49" s="941"/>
      <c r="H49" s="941"/>
      <c r="I49" s="751">
        <f>$E$21*$M$8*'Traffic Data'!AK25*annualizationFactor</f>
        <v>2.7995545624999996</v>
      </c>
      <c r="J49" s="751">
        <f>$E$21*$M$8*'Traffic Data'!AL25*annualizationFactor</f>
        <v>2.8959665557082288</v>
      </c>
      <c r="K49" s="751">
        <f>$E$21*$M$8*'Traffic Data'!AM25*annualizationFactor</f>
        <v>3.0035301079237495</v>
      </c>
      <c r="L49" s="751">
        <f>$E$21*$M$8*'Traffic Data'!AN25*annualizationFactor</f>
        <v>3.1914315442344789</v>
      </c>
      <c r="M49" s="751">
        <f>$E$21*$M$8*'Traffic Data'!AO25*annualizationFactor</f>
        <v>3.3794449627277086</v>
      </c>
      <c r="N49" s="751">
        <f>$E$21*$M$8*'Traffic Data'!AP25*annualizationFactor</f>
        <v>3.5673930582811471</v>
      </c>
      <c r="O49" s="751">
        <f>$E$21*$M$8*'Traffic Data'!AQ25*annualizationFactor</f>
        <v>3.7552944945918756</v>
      </c>
      <c r="P49" s="751">
        <f>$E$21*$M$8*'Traffic Data'!AR25*annualizationFactor</f>
        <v>3.9433872337977087</v>
      </c>
      <c r="Q49" s="751">
        <f>$E$21*$M$8*'Traffic Data'!AS25*annualizationFactor</f>
        <v>4.1856326900908334</v>
      </c>
      <c r="R49" s="751">
        <f>$E$21*$M$8*'Traffic Data'!AT25*annualizationFactor</f>
        <v>4.4280134581878139</v>
      </c>
      <c r="S49" s="751">
        <f>$E$21*$M$8*'Traffic Data'!AU25*annualizationFactor</f>
        <v>4.6702122552382273</v>
      </c>
      <c r="T49" s="751">
        <f>$E$21*$M$8*'Traffic Data'!AV25*annualizationFactor</f>
        <v>4.9124577115313537</v>
      </c>
      <c r="U49" s="751">
        <f>$E$21*$M$8*'Traffic Data'!AW25*annualizationFactor</f>
        <v>5.1549084684923967</v>
      </c>
      <c r="V49" s="751">
        <f>$E$21*$M$8*'Traffic Data'!AX25*annualizationFactor</f>
        <v>5.3166900607350005</v>
      </c>
      <c r="W49" s="751">
        <f>$E$21*$M$8*'Traffic Data'!AY25*annualizationFactor</f>
        <v>5.4131020539432297</v>
      </c>
      <c r="X49" s="751">
        <f>$E$21*$M$8*'Traffic Data'!AZ25*annualizationFactor</f>
        <v>5.509514047151459</v>
      </c>
      <c r="Y49" s="751">
        <f>$E$21*$M$8*'Traffic Data'!BA25*annualizationFactor</f>
        <v>5.60592604035969</v>
      </c>
      <c r="Z49" s="751">
        <f>$E$21*$M$8*'Traffic Data'!BB25*annualizationFactor</f>
        <v>5.702394024659168</v>
      </c>
      <c r="AA49" s="751">
        <f>$E$21*$M$8*'Traffic Data'!BC25*annualizationFactor</f>
        <v>5.7988060178673964</v>
      </c>
      <c r="AB49" s="751">
        <f>$E$21*$M$8*'Traffic Data'!BD25*annualizationFactor</f>
        <v>5.8952740021668744</v>
      </c>
      <c r="AC49" s="751">
        <f>$E$21*$M$8*'Traffic Data'!BE25*annualizationFactor</f>
        <v>5.9916859953751045</v>
      </c>
      <c r="AD49" s="751">
        <f>$E$21*$M$8*'Traffic Data'!BF25*annualizationFactor</f>
        <v>6.0880979885833328</v>
      </c>
      <c r="AE49" s="751">
        <f>$E$21*$M$8*'Traffic Data'!BG25*annualizationFactor</f>
        <v>6.1845659728828135</v>
      </c>
      <c r="AF49" s="751">
        <f>$E$21*$M$8*'Traffic Data'!BH25*annualizationFactor</f>
        <v>6.2809779660910419</v>
      </c>
      <c r="AG49" s="751">
        <f>$E$21*$M$8*'Traffic Data'!BI25*annualizationFactor</f>
        <v>6.3773899592992711</v>
      </c>
      <c r="AH49" s="752">
        <f>$E$21*$M$8*'Traffic Data'!BJ25*annualizationFactor</f>
        <v>6.47385794359875</v>
      </c>
      <c r="AI49" s="40"/>
      <c r="AJ49" s="40"/>
      <c r="AK49" s="40"/>
      <c r="AL49" s="40"/>
      <c r="AM49" s="40"/>
    </row>
    <row r="50" spans="2:39" ht="21.9" customHeight="1" x14ac:dyDescent="0.25">
      <c r="B50" s="470"/>
      <c r="C50" s="250" t="s">
        <v>274</v>
      </c>
      <c r="D50" s="250" t="s">
        <v>317</v>
      </c>
      <c r="E50" s="250" t="s">
        <v>19</v>
      </c>
      <c r="F50" s="250" t="s">
        <v>43</v>
      </c>
      <c r="G50" s="753"/>
      <c r="H50" s="753"/>
      <c r="I50" s="753">
        <f>$E$21*$M$8*'Traffic Data'!AK26*annualizationFactor</f>
        <v>6.9167499999999993E-2</v>
      </c>
      <c r="J50" s="753">
        <f>$E$21*$M$8*'Traffic Data'!AL26*annualizationFactor</f>
        <v>7.1549513420833336E-2</v>
      </c>
      <c r="K50" s="753">
        <f>$E$21*$M$8*'Traffic Data'!AM26*annualizationFactor</f>
        <v>7.4207044049999976E-2</v>
      </c>
      <c r="L50" s="753">
        <f>$E$21*$M$8*'Traffic Data'!AN26*annualizationFactor</f>
        <v>7.8849451370833337E-2</v>
      </c>
      <c r="M50" s="753">
        <f>$E$21*$M$8*'Traffic Data'!AO26*annualizationFactor</f>
        <v>8.3494625391666674E-2</v>
      </c>
      <c r="N50" s="753">
        <f>$E$21*$M$8*'Traffic Data'!AP26*annualizationFactor</f>
        <v>8.8138185504166688E-2</v>
      </c>
      <c r="O50" s="753">
        <f>$E$21*$M$8*'Traffic Data'!AQ26*annualizationFactor</f>
        <v>9.2780592825000022E-2</v>
      </c>
      <c r="P50" s="753">
        <f>$E$21*$M$8*'Traffic Data'!AR26*annualizationFactor</f>
        <v>9.742772659166668E-2</v>
      </c>
      <c r="Q50" s="753">
        <f>$E$21*$M$8*'Traffic Data'!AS26*annualizationFactor</f>
        <v>0.10341279036666669</v>
      </c>
      <c r="R50" s="753">
        <f>$E$21*$M$8*'Traffic Data'!AT26*annualizationFactor</f>
        <v>0.10940119723750004</v>
      </c>
      <c r="S50" s="753">
        <f>$E$21*$M$8*'Traffic Data'!AU26*annualizationFactor</f>
        <v>0.1153851082208333</v>
      </c>
      <c r="T50" s="753">
        <f>$E$21*$M$8*'Traffic Data'!AV26*annualizationFactor</f>
        <v>0.12137017199583332</v>
      </c>
      <c r="U50" s="753">
        <f>$E$21*$M$8*'Traffic Data'!AW26*annualizationFactor</f>
        <v>0.12736030805416668</v>
      </c>
      <c r="V50" s="753">
        <f>$E$21*$M$8*'Traffic Data'!AX26*annualizationFactor</f>
        <v>0.13135738260000002</v>
      </c>
      <c r="W50" s="753">
        <f>$E$21*$M$8*'Traffic Data'!AY26*annualizationFactor</f>
        <v>0.13373939602083335</v>
      </c>
      <c r="X50" s="753">
        <f>$E$21*$M$8*'Traffic Data'!AZ26*annualizationFactor</f>
        <v>0.1361214094416667</v>
      </c>
      <c r="Y50" s="753">
        <f>$E$21*$M$8*'Traffic Data'!BA26*annualizationFactor</f>
        <v>0.13850342286250006</v>
      </c>
      <c r="Z50" s="753">
        <f>$E$21*$M$8*'Traffic Data'!BB26*annualizationFactor</f>
        <v>0.14088681963333338</v>
      </c>
      <c r="AA50" s="753">
        <f>$E$21*$M$8*'Traffic Data'!BC26*annualizationFactor</f>
        <v>0.14326883305416668</v>
      </c>
      <c r="AB50" s="753">
        <f>$E$21*$M$8*'Traffic Data'!BD26*annualizationFactor</f>
        <v>0.14565222982499998</v>
      </c>
      <c r="AC50" s="753">
        <f>$E$21*$M$8*'Traffic Data'!BE26*annualizationFactor</f>
        <v>0.14803424324583336</v>
      </c>
      <c r="AD50" s="753">
        <f>$E$21*$M$8*'Traffic Data'!BF26*annualizationFactor</f>
        <v>0.15041625666666666</v>
      </c>
      <c r="AE50" s="753">
        <f>$E$21*$M$8*'Traffic Data'!BG26*annualizationFactor</f>
        <v>0.15279965343750002</v>
      </c>
      <c r="AF50" s="753">
        <f>$E$21*$M$8*'Traffic Data'!BH26*annualizationFactor</f>
        <v>0.15518166685833332</v>
      </c>
      <c r="AG50" s="753">
        <f>$E$21*$M$8*'Traffic Data'!BI26*annualizationFactor</f>
        <v>0.1575636802791667</v>
      </c>
      <c r="AH50" s="757">
        <f>$E$21*$M$8*'Traffic Data'!BJ26*annualizationFactor</f>
        <v>0.15994707705</v>
      </c>
      <c r="AI50" s="40"/>
      <c r="AJ50" s="40"/>
      <c r="AK50" s="40"/>
      <c r="AL50" s="40"/>
      <c r="AM50" s="40"/>
    </row>
    <row r="51" spans="2:39" ht="21.9" customHeight="1" thickBot="1" x14ac:dyDescent="0.3">
      <c r="B51" s="781" t="s">
        <v>457</v>
      </c>
      <c r="C51" s="782"/>
      <c r="D51" s="782"/>
      <c r="E51" s="237"/>
      <c r="F51" s="237"/>
      <c r="G51" s="940">
        <f t="shared" ref="G51:AH51" si="0">SUM(G31:G50)</f>
        <v>0</v>
      </c>
      <c r="H51" s="940">
        <f t="shared" si="0"/>
        <v>0</v>
      </c>
      <c r="I51" s="759">
        <f t="shared" si="0"/>
        <v>34.982339707783332</v>
      </c>
      <c r="J51" s="759">
        <f t="shared" si="0"/>
        <v>36.979975279854322</v>
      </c>
      <c r="K51" s="759">
        <f t="shared" si="0"/>
        <v>39.673258546080177</v>
      </c>
      <c r="L51" s="759">
        <f t="shared" si="0"/>
        <v>45.232757228466944</v>
      </c>
      <c r="M51" s="759">
        <f t="shared" si="0"/>
        <v>50.794432702918719</v>
      </c>
      <c r="N51" s="759">
        <f t="shared" si="0"/>
        <v>56.357599162836735</v>
      </c>
      <c r="O51" s="759">
        <f t="shared" si="0"/>
        <v>61.917097845223509</v>
      </c>
      <c r="P51" s="759">
        <f t="shared" si="0"/>
        <v>67.48216042575136</v>
      </c>
      <c r="Q51" s="759">
        <f t="shared" si="0"/>
        <v>74.224663402217672</v>
      </c>
      <c r="R51" s="759">
        <f t="shared" si="0"/>
        <v>80.968478700232453</v>
      </c>
      <c r="S51" s="759">
        <f t="shared" si="0"/>
        <v>87.710728865105651</v>
      </c>
      <c r="T51" s="759">
        <f t="shared" si="0"/>
        <v>94.453231841572006</v>
      </c>
      <c r="U51" s="759">
        <f t="shared" si="0"/>
        <v>101.20250619870359</v>
      </c>
      <c r="V51" s="759">
        <f t="shared" si="0"/>
        <v>105.07532427005985</v>
      </c>
      <c r="W51" s="759">
        <f t="shared" si="0"/>
        <v>107.07287462777082</v>
      </c>
      <c r="X51" s="759">
        <f t="shared" si="0"/>
        <v>109.07051019984182</v>
      </c>
      <c r="Y51" s="759">
        <f t="shared" si="0"/>
        <v>111.06814577191281</v>
      </c>
      <c r="Z51" s="759">
        <f t="shared" si="0"/>
        <v>113.06729195411427</v>
      </c>
      <c r="AA51" s="759">
        <f t="shared" si="0"/>
        <v>115.06492752618523</v>
      </c>
      <c r="AB51" s="759">
        <f t="shared" si="0"/>
        <v>117.06407370838666</v>
      </c>
      <c r="AC51" s="759">
        <f t="shared" si="0"/>
        <v>119.06170928045768</v>
      </c>
      <c r="AD51" s="759">
        <f t="shared" si="0"/>
        <v>121.05934485252864</v>
      </c>
      <c r="AE51" s="759">
        <f t="shared" si="0"/>
        <v>123.05840582037008</v>
      </c>
      <c r="AF51" s="759">
        <f t="shared" si="0"/>
        <v>125.05604139244112</v>
      </c>
      <c r="AG51" s="759">
        <f t="shared" si="0"/>
        <v>127.05367696451206</v>
      </c>
      <c r="AH51" s="760">
        <f t="shared" si="0"/>
        <v>129.05282314671351</v>
      </c>
      <c r="AI51" s="40"/>
      <c r="AJ51" s="40"/>
      <c r="AK51" s="40"/>
      <c r="AL51" s="40"/>
      <c r="AM51" s="40"/>
    </row>
    <row r="52" spans="2:39" ht="21.9" customHeight="1" x14ac:dyDescent="0.25">
      <c r="B52" s="548" t="s">
        <v>312</v>
      </c>
      <c r="C52" s="1331" t="s">
        <v>18</v>
      </c>
      <c r="D52" s="1331"/>
      <c r="E52" s="197" t="s">
        <v>24</v>
      </c>
      <c r="F52" s="197" t="s">
        <v>42</v>
      </c>
      <c r="G52" s="459">
        <v>2021</v>
      </c>
      <c r="H52" s="459">
        <v>2022</v>
      </c>
      <c r="I52" s="459">
        <v>2023</v>
      </c>
      <c r="J52" s="459">
        <v>2024</v>
      </c>
      <c r="K52" s="459">
        <v>2025</v>
      </c>
      <c r="L52" s="459">
        <v>2026</v>
      </c>
      <c r="M52" s="459">
        <v>2027</v>
      </c>
      <c r="N52" s="459">
        <v>2028</v>
      </c>
      <c r="O52" s="459">
        <v>2029</v>
      </c>
      <c r="P52" s="459">
        <v>2030</v>
      </c>
      <c r="Q52" s="459">
        <v>2031</v>
      </c>
      <c r="R52" s="459">
        <v>2032</v>
      </c>
      <c r="S52" s="459">
        <v>2033</v>
      </c>
      <c r="T52" s="459">
        <v>2034</v>
      </c>
      <c r="U52" s="459">
        <v>2035</v>
      </c>
      <c r="V52" s="459">
        <v>2036</v>
      </c>
      <c r="W52" s="459">
        <v>2037</v>
      </c>
      <c r="X52" s="459">
        <v>2038</v>
      </c>
      <c r="Y52" s="459">
        <v>2039</v>
      </c>
      <c r="Z52" s="459">
        <v>2040</v>
      </c>
      <c r="AA52" s="459">
        <v>2041</v>
      </c>
      <c r="AB52" s="459">
        <v>2042</v>
      </c>
      <c r="AC52" s="459">
        <v>2043</v>
      </c>
      <c r="AD52" s="459">
        <v>2044</v>
      </c>
      <c r="AE52" s="459">
        <v>2045</v>
      </c>
      <c r="AF52" s="459">
        <v>2046</v>
      </c>
      <c r="AG52" s="459">
        <v>2047</v>
      </c>
      <c r="AH52" s="459">
        <v>2048</v>
      </c>
      <c r="AI52" s="247"/>
      <c r="AJ52" s="247"/>
      <c r="AK52" s="247"/>
      <c r="AL52" s="247"/>
      <c r="AM52" s="247"/>
    </row>
    <row r="53" spans="2:39" ht="21.9" customHeight="1" x14ac:dyDescent="0.25">
      <c r="B53" s="1332" t="s">
        <v>315</v>
      </c>
      <c r="C53" s="217" t="s">
        <v>316</v>
      </c>
      <c r="D53" s="217" t="s">
        <v>276</v>
      </c>
      <c r="E53" s="217" t="s">
        <v>434</v>
      </c>
      <c r="F53" s="217" t="s">
        <v>43</v>
      </c>
      <c r="G53" s="749"/>
      <c r="H53" s="749"/>
      <c r="I53" s="749">
        <f>$E$22*$E$9*'Traffic Data'!AK7*annualizationFactor</f>
        <v>8.3086848000000005E-2</v>
      </c>
      <c r="J53" s="749">
        <f>$E$22*$E$9*'Traffic Data'!AL7*annualizationFactor</f>
        <v>8.69093623008E-2</v>
      </c>
      <c r="K53" s="749">
        <f>$E$22*$E$9*'Traffic Data'!AM7*annualizationFactor</f>
        <v>9.2277032328000025E-2</v>
      </c>
      <c r="L53" s="749">
        <f>$E$22*$E$9*'Traffic Data'!AN7*annualizationFactor</f>
        <v>0.10015132870080001</v>
      </c>
      <c r="M53" s="749">
        <f>$E$22*$E$9*'Traffic Data'!AO7*annualizationFactor</f>
        <v>0.10802848118400001</v>
      </c>
      <c r="N53" s="749">
        <f>$E$22*$E$9*'Traffic Data'!AP7*annualizationFactor</f>
        <v>0.11590589331359999</v>
      </c>
      <c r="O53" s="749">
        <f>$E$22*$E$9*'Traffic Data'!AQ7*annualizationFactor</f>
        <v>0.12378018968639999</v>
      </c>
      <c r="P53" s="749">
        <f>$E$22*$E$9*'Traffic Data'!AR7*annualizationFactor</f>
        <v>0.13166045792639997</v>
      </c>
      <c r="Q53" s="749">
        <f>$E$22*$E$9*'Traffic Data'!AS7*annualizationFactor</f>
        <v>0.13944777275520001</v>
      </c>
      <c r="R53" s="749">
        <f>$E$22*$E$9*'Traffic Data'!AT7*annualizationFactor</f>
        <v>0.14723664546240001</v>
      </c>
      <c r="S53" s="749">
        <f>$E$22*$E$9*'Traffic Data'!AU7*annualizationFactor</f>
        <v>0.15502396029120002</v>
      </c>
      <c r="T53" s="749">
        <f>$E$22*$E$9*'Traffic Data'!AV7*annualizationFactor</f>
        <v>0.16281127512000004</v>
      </c>
      <c r="U53" s="749">
        <f>$E$22*$E$9*'Traffic Data'!AW7*annualizationFactor</f>
        <v>0.17060482146240002</v>
      </c>
      <c r="V53" s="749">
        <f>$E$22*$E$9*'Traffic Data'!AX7*annualizationFactor</f>
        <v>0.1758823941888</v>
      </c>
      <c r="W53" s="749">
        <f>$E$22*$E$9*'Traffic Data'!AY7*annualizationFactor</f>
        <v>0.1797049084896</v>
      </c>
      <c r="X53" s="749">
        <f>$E$22*$E$9*'Traffic Data'!AZ7*annualizationFactor</f>
        <v>0.18352742279039999</v>
      </c>
      <c r="Y53" s="749">
        <f>$E$22*$E$9*'Traffic Data'!BA7*annualizationFactor</f>
        <v>0.18734993709120004</v>
      </c>
      <c r="Z53" s="749">
        <f>$E$22*$E$9*'Traffic Data'!BB7*annualizationFactor</f>
        <v>0.19117400927040004</v>
      </c>
      <c r="AA53" s="749">
        <f>$E$22*$E$9*'Traffic Data'!BC7*annualizationFactor</f>
        <v>0.19499652357120004</v>
      </c>
      <c r="AB53" s="749">
        <f>$E$22*$E$9*'Traffic Data'!BD7*annualizationFactor</f>
        <v>0.19882059575040001</v>
      </c>
      <c r="AC53" s="749">
        <f>$E$22*$E$9*'Traffic Data'!BE7*annualizationFactor</f>
        <v>0.20264311005120003</v>
      </c>
      <c r="AD53" s="749">
        <f>$E$22*$E$9*'Traffic Data'!BF7*annualizationFactor</f>
        <v>0.20646562435200003</v>
      </c>
      <c r="AE53" s="749">
        <f>$E$22*$E$9*'Traffic Data'!BG7*annualizationFactor</f>
        <v>0.2102896965312</v>
      </c>
      <c r="AF53" s="749">
        <f>$E$22*$E$9*'Traffic Data'!BH7*annualizationFactor</f>
        <v>0.21411221083200002</v>
      </c>
      <c r="AG53" s="749">
        <f>$E$22*$E$9*'Traffic Data'!BI7*annualizationFactor</f>
        <v>0.21793472513280002</v>
      </c>
      <c r="AH53" s="750">
        <f>$E$22*$E$9*'Traffic Data'!BJ7*annualizationFactor</f>
        <v>0.22175879731199999</v>
      </c>
      <c r="AI53" s="40"/>
      <c r="AJ53" s="40"/>
      <c r="AK53" s="40"/>
      <c r="AL53" s="40"/>
      <c r="AM53" s="40"/>
    </row>
    <row r="54" spans="2:39" ht="21.9" customHeight="1" x14ac:dyDescent="0.25">
      <c r="B54" s="1332"/>
      <c r="C54" s="114" t="s">
        <v>276</v>
      </c>
      <c r="D54" s="114" t="s">
        <v>274</v>
      </c>
      <c r="E54" s="114" t="s">
        <v>434</v>
      </c>
      <c r="F54" s="114" t="s">
        <v>43</v>
      </c>
      <c r="G54" s="941"/>
      <c r="H54" s="941"/>
      <c r="I54" s="751">
        <f>$E$22*$E$9*'Traffic Data'!AK8*annualizationFactor</f>
        <v>2.6716869163636368</v>
      </c>
      <c r="J54" s="751">
        <f>$E$22*$E$9*'Traffic Data'!AL8*annualizationFactor</f>
        <v>2.8196884763934547</v>
      </c>
      <c r="K54" s="751">
        <f>$E$22*$E$9*'Traffic Data'!AM8*annualizationFactor</f>
        <v>2.9913196229280001</v>
      </c>
      <c r="L54" s="751">
        <f>$E$22*$E$9*'Traffic Data'!AN8*annualizationFactor</f>
        <v>3.311575723106182</v>
      </c>
      <c r="M54" s="751">
        <f>$E$22*$E$9*'Traffic Data'!AO8*annualizationFactor</f>
        <v>3.6319505649250923</v>
      </c>
      <c r="N54" s="751">
        <f>$E$22*$E$9*'Traffic Data'!AP8*annualizationFactor</f>
        <v>3.9523847775643648</v>
      </c>
      <c r="O54" s="751">
        <f>$E$22*$E$9*'Traffic Data'!AQ8*annualizationFactor</f>
        <v>4.2726408777425462</v>
      </c>
      <c r="P54" s="751">
        <f>$E$22*$E$9*'Traffic Data'!AR8*annualizationFactor</f>
        <v>4.5932037271592741</v>
      </c>
      <c r="Q54" s="751">
        <f>$E$22*$E$9*'Traffic Data'!AS8*annualizationFactor</f>
        <v>4.9731967677600011</v>
      </c>
      <c r="R54" s="751">
        <f>$E$22*$E$9*'Traffic Data'!AT8*annualizationFactor</f>
        <v>5.3532986548647283</v>
      </c>
      <c r="S54" s="751">
        <f>$E$22*$E$9*'Traffic Data'!AU8*annualizationFactor</f>
        <v>5.7332916954654554</v>
      </c>
      <c r="T54" s="751">
        <f>$E$22*$E$9*'Traffic Data'!AV8*annualizationFactor</f>
        <v>6.1132847360661815</v>
      </c>
      <c r="U54" s="751">
        <f>$E$22*$E$9*'Traffic Data'!AW8*annualizationFactor</f>
        <v>6.4936537918625463</v>
      </c>
      <c r="V54" s="751">
        <f>$E$22*$E$9*'Traffic Data'!AX8*annualizationFactor</f>
        <v>6.7248338712218185</v>
      </c>
      <c r="W54" s="751">
        <f>$E$22*$E$9*'Traffic Data'!AY8*annualizationFactor</f>
        <v>6.8728354312516373</v>
      </c>
      <c r="X54" s="751">
        <f>$E$22*$E$9*'Traffic Data'!AZ8*annualizationFactor</f>
        <v>7.0208369912814552</v>
      </c>
      <c r="Y54" s="751">
        <f>$E$22*$E$9*'Traffic Data'!BA8*annualizationFactor</f>
        <v>7.1688385513112722</v>
      </c>
      <c r="Z54" s="751">
        <f>$E$22*$E$9*'Traffic Data'!BB8*annualizationFactor</f>
        <v>7.3169390627083652</v>
      </c>
      <c r="AA54" s="751">
        <f>$E$22*$E$9*'Traffic Data'!BC8*annualizationFactor</f>
        <v>7.4649406227381823</v>
      </c>
      <c r="AB54" s="751">
        <f>$E$22*$E$9*'Traffic Data'!BD8*annualizationFactor</f>
        <v>7.6130411341352708</v>
      </c>
      <c r="AC54" s="751">
        <f>$E$22*$E$9*'Traffic Data'!BE8*annualizationFactor</f>
        <v>7.7610426941650914</v>
      </c>
      <c r="AD54" s="751">
        <f>$E$22*$E$9*'Traffic Data'!BF8*annualizationFactor</f>
        <v>7.9090442541949102</v>
      </c>
      <c r="AE54" s="751">
        <f>$E$22*$E$9*'Traffic Data'!BG8*annualizationFactor</f>
        <v>8.0571447655920014</v>
      </c>
      <c r="AF54" s="751">
        <f>$E$22*$E$9*'Traffic Data'!BH8*annualizationFactor</f>
        <v>8.2051463256218202</v>
      </c>
      <c r="AG54" s="751">
        <f>$E$22*$E$9*'Traffic Data'!BI8*annualizationFactor</f>
        <v>8.3531478856516372</v>
      </c>
      <c r="AH54" s="752">
        <f>$E$22*$E$9*'Traffic Data'!BJ8*annualizationFactor</f>
        <v>8.5012483970487285</v>
      </c>
      <c r="AI54" s="40"/>
      <c r="AJ54" s="40"/>
      <c r="AK54" s="40"/>
      <c r="AL54" s="40"/>
      <c r="AM54" s="40"/>
    </row>
    <row r="55" spans="2:39" ht="21.9" customHeight="1" x14ac:dyDescent="0.25">
      <c r="B55" s="1332"/>
      <c r="C55" s="114" t="s">
        <v>274</v>
      </c>
      <c r="D55" s="114" t="s">
        <v>317</v>
      </c>
      <c r="E55" s="250" t="s">
        <v>434</v>
      </c>
      <c r="F55" s="250" t="s">
        <v>43</v>
      </c>
      <c r="G55" s="753"/>
      <c r="H55" s="753"/>
      <c r="I55" s="751">
        <f>$E$22*$E$9*'Traffic Data'!AK9*annualizationFactor</f>
        <v>6.2315136E-2</v>
      </c>
      <c r="J55" s="751">
        <f>$E$22*$E$9*'Traffic Data'!AL9*annualizationFactor</f>
        <v>6.4917312220799994E-2</v>
      </c>
      <c r="K55" s="751">
        <f>$E$22*$E$9*'Traffic Data'!AM9*annualizationFactor</f>
        <v>6.8137966166399999E-2</v>
      </c>
      <c r="L55" s="751">
        <f>$E$22*$E$9*'Traffic Data'!AN9*annualizationFactor</f>
        <v>7.2474061046400015E-2</v>
      </c>
      <c r="M55" s="751">
        <f>$E$22*$E$9*'Traffic Data'!AO9*annualizationFactor</f>
        <v>7.6811713804800022E-2</v>
      </c>
      <c r="N55" s="751">
        <f>$E$22*$E$9*'Traffic Data'!AP9*annualizationFactor</f>
        <v>8.1148847270400032E-2</v>
      </c>
      <c r="O55" s="751">
        <f>$E$22*$E$9*'Traffic Data'!AQ9*annualizationFactor</f>
        <v>8.548494215040002E-2</v>
      </c>
      <c r="P55" s="751">
        <f>$E$22*$E$9*'Traffic Data'!AR9*annualizationFactor</f>
        <v>8.9824152787200046E-2</v>
      </c>
      <c r="Q55" s="751">
        <f>$E$22*$E$9*'Traffic Data'!AS9*annualizationFactor</f>
        <v>9.4028347296000001E-2</v>
      </c>
      <c r="R55" s="751">
        <f>$E$22*$E$9*'Traffic Data'!AT9*annualizationFactor</f>
        <v>9.8234099683199988E-2</v>
      </c>
      <c r="S55" s="751">
        <f>$E$22*$E$9*'Traffic Data'!AU9*annualizationFactor</f>
        <v>0.10243829419200001</v>
      </c>
      <c r="T55" s="751">
        <f>$E$22*$E$9*'Traffic Data'!AV9*annualizationFactor</f>
        <v>0.10664248870080001</v>
      </c>
      <c r="U55" s="751">
        <f>$E$22*$E$9*'Traffic Data'!AW9*annualizationFactor</f>
        <v>0.11084979896640001</v>
      </c>
      <c r="V55" s="751">
        <f>$E$22*$E$9*'Traffic Data'!AX9*annualizationFactor</f>
        <v>0.1139369946624</v>
      </c>
      <c r="W55" s="751">
        <f>$E$22*$E$9*'Traffic Data'!AY9*annualizationFactor</f>
        <v>0.11653917088320001</v>
      </c>
      <c r="X55" s="751">
        <f>$E$22*$E$9*'Traffic Data'!AZ9*annualizationFactor</f>
        <v>0.11914134710399998</v>
      </c>
      <c r="Y55" s="751">
        <f>$E$22*$E$9*'Traffic Data'!BA9*annualizationFactor</f>
        <v>0.12174352332480001</v>
      </c>
      <c r="Z55" s="751">
        <f>$E$22*$E$9*'Traffic Data'!BB9*annualizationFactor</f>
        <v>0.12434673813120001</v>
      </c>
      <c r="AA55" s="751">
        <f>$E$22*$E$9*'Traffic Data'!BC9*annualizationFactor</f>
        <v>0.12694891435200001</v>
      </c>
      <c r="AB55" s="751">
        <f>$E$22*$E$9*'Traffic Data'!BD9*annualizationFactor</f>
        <v>0.1295521291584</v>
      </c>
      <c r="AC55" s="751">
        <f>$E$22*$E$9*'Traffic Data'!BE9*annualizationFactor</f>
        <v>0.13215430537920006</v>
      </c>
      <c r="AD55" s="751">
        <f>$E$22*$E$9*'Traffic Data'!BF9*annualizationFactor</f>
        <v>0.13475648159999998</v>
      </c>
      <c r="AE55" s="751">
        <f>$E$22*$E$9*'Traffic Data'!BG9*annualizationFactor</f>
        <v>0.13735969640640003</v>
      </c>
      <c r="AF55" s="751">
        <f>$E$22*$E$9*'Traffic Data'!BH9*annualizationFactor</f>
        <v>0.1399618726272</v>
      </c>
      <c r="AG55" s="751">
        <f>$E$22*$E$9*'Traffic Data'!BI9*annualizationFactor</f>
        <v>0.14256404884799997</v>
      </c>
      <c r="AH55" s="752">
        <f>$E$22*$E$9*'Traffic Data'!BJ9*annualizationFactor</f>
        <v>0.14516726365440002</v>
      </c>
      <c r="AI55" s="40"/>
      <c r="AJ55" s="40"/>
      <c r="AK55" s="40"/>
      <c r="AL55" s="40"/>
      <c r="AM55" s="40"/>
    </row>
    <row r="56" spans="2:39" ht="21.9" customHeight="1" x14ac:dyDescent="0.25">
      <c r="B56" s="1332" t="s">
        <v>274</v>
      </c>
      <c r="C56" s="217" t="s">
        <v>275</v>
      </c>
      <c r="D56" s="217" t="s">
        <v>318</v>
      </c>
      <c r="E56" s="114" t="s">
        <v>434</v>
      </c>
      <c r="F56" s="114" t="s">
        <v>43</v>
      </c>
      <c r="G56" s="941"/>
      <c r="H56" s="941"/>
      <c r="I56" s="749">
        <f>$E$22*$F$9*'Traffic Data'!AK10*annualizationFactor</f>
        <v>0.58082304000000007</v>
      </c>
      <c r="J56" s="749">
        <f>$E$22*$F$9*'Traffic Data'!AL10*annualizationFactor</f>
        <v>0.64419809395200012</v>
      </c>
      <c r="K56" s="749">
        <f>$E$22*$F$9*'Traffic Data'!AM10*annualizationFactor</f>
        <v>0.7111277849087998</v>
      </c>
      <c r="L56" s="749">
        <f>$E$22*$F$9*'Traffic Data'!AN10*annualizationFactor</f>
        <v>0.91829719887359995</v>
      </c>
      <c r="M56" s="749">
        <f>$E$22*$F$9*'Traffic Data'!AO10*annualizationFactor</f>
        <v>1.1255711609855998</v>
      </c>
      <c r="N56" s="749">
        <f>$E$22*$F$9*'Traffic Data'!AP10*annualizationFactor</f>
        <v>1.3329003012864</v>
      </c>
      <c r="O56" s="749">
        <f>$E$22*$F$9*'Traffic Data'!AQ10*annualizationFactor</f>
        <v>1.5400697152512002</v>
      </c>
      <c r="P56" s="749">
        <f>$E$22*$F$9*'Traffic Data'!AR10*annualizationFactor</f>
        <v>1.7475251845632001</v>
      </c>
      <c r="Q56" s="749">
        <f>$E$22*$F$9*'Traffic Data'!AS10*annualizationFactor</f>
        <v>2.0259136676351996</v>
      </c>
      <c r="R56" s="749">
        <f>$E$22*$F$9*'Traffic Data'!AT10*annualizationFactor</f>
        <v>2.3044255756031995</v>
      </c>
      <c r="S56" s="749">
        <f>$E$22*$F$9*'Traffic Data'!AU10*annualizationFactor</f>
        <v>2.5828140586752002</v>
      </c>
      <c r="T56" s="749">
        <f>$E$22*$F$9*'Traffic Data'!AV10*annualizationFactor</f>
        <v>2.8612025417471996</v>
      </c>
      <c r="U56" s="749">
        <f>$E$22*$F$9*'Traffic Data'!AW10*annualizationFactor</f>
        <v>3.1399540392192007</v>
      </c>
      <c r="V56" s="749">
        <f>$E$22*$F$9*'Traffic Data'!AX10*annualizationFactor</f>
        <v>3.2779212920831999</v>
      </c>
      <c r="W56" s="749">
        <f>$E$22*$F$9*'Traffic Data'!AY10*annualizationFactor</f>
        <v>3.3412963460352003</v>
      </c>
      <c r="X56" s="749">
        <f>$E$22*$F$9*'Traffic Data'!AZ10*annualizationFactor</f>
        <v>3.4046713999871998</v>
      </c>
      <c r="Y56" s="749">
        <f>$E$22*$F$9*'Traffic Data'!BA10*annualizationFactor</f>
        <v>3.4680464539392002</v>
      </c>
      <c r="Z56" s="749">
        <f>$E$22*$F$9*'Traffic Data'!BB10*annualizationFactor</f>
        <v>3.5315231519231993</v>
      </c>
      <c r="AA56" s="749">
        <f>$E$22*$F$9*'Traffic Data'!BC10*annualizationFactor</f>
        <v>3.5948982058751997</v>
      </c>
      <c r="AB56" s="749">
        <f>$E$22*$F$9*'Traffic Data'!BD10*annualizationFactor</f>
        <v>3.6583749038591997</v>
      </c>
      <c r="AC56" s="749">
        <f>$E$22*$F$9*'Traffic Data'!BE10*annualizationFactor</f>
        <v>3.7217499578112005</v>
      </c>
      <c r="AD56" s="749">
        <f>$E$22*$F$9*'Traffic Data'!BF10*annualizationFactor</f>
        <v>3.7851250117632005</v>
      </c>
      <c r="AE56" s="749">
        <f>$E$22*$F$9*'Traffic Data'!BG10*annualizationFactor</f>
        <v>3.8486017097472005</v>
      </c>
      <c r="AF56" s="749">
        <f>$E$22*$F$9*'Traffic Data'!BH10*annualizationFactor</f>
        <v>3.9119767636992</v>
      </c>
      <c r="AG56" s="749">
        <f>$E$22*$F$9*'Traffic Data'!BI10*annualizationFactor</f>
        <v>3.9753518176511995</v>
      </c>
      <c r="AH56" s="750">
        <f>$E$22*$F$9*'Traffic Data'!BJ10*annualizationFactor</f>
        <v>4.0388285156352</v>
      </c>
      <c r="AI56" s="40"/>
      <c r="AJ56" s="40"/>
      <c r="AK56" s="40"/>
      <c r="AL56" s="40"/>
      <c r="AM56" s="40"/>
    </row>
    <row r="57" spans="2:39" ht="21.9" customHeight="1" x14ac:dyDescent="0.25">
      <c r="B57" s="1332"/>
      <c r="C57" s="114" t="s">
        <v>318</v>
      </c>
      <c r="D57" s="114" t="s">
        <v>308</v>
      </c>
      <c r="E57" s="114" t="s">
        <v>434</v>
      </c>
      <c r="F57" s="114" t="s">
        <v>43</v>
      </c>
      <c r="G57" s="941"/>
      <c r="H57" s="941"/>
      <c r="I57" s="751">
        <f>$E$22*$F$9*'Traffic Data'!AK11*annualizationFactor</f>
        <v>6.7276799999999998E-2</v>
      </c>
      <c r="J57" s="751">
        <f>$E$22*$F$9*'Traffic Data'!AL11*annualizationFactor</f>
        <v>7.6216765440000001E-2</v>
      </c>
      <c r="K57" s="751">
        <f>$E$22*$F$9*'Traffic Data'!AM11*annualizationFactor</f>
        <v>8.5162337280000014E-2</v>
      </c>
      <c r="L57" s="751">
        <f>$E$22*$F$9*'Traffic Data'!AN11*annualizationFactor</f>
        <v>0.11542904832000001</v>
      </c>
      <c r="M57" s="751">
        <f>$E$22*$F$9*'Traffic Data'!AO11*annualizationFactor</f>
        <v>0.14570192639999999</v>
      </c>
      <c r="N57" s="751">
        <f>$E$22*$F$9*'Traffic Data'!AP11*annualizationFactor</f>
        <v>0.17600227584000003</v>
      </c>
      <c r="O57" s="751">
        <f>$E$22*$F$9*'Traffic Data'!AQ11*annualizationFactor</f>
        <v>0.20626898688</v>
      </c>
      <c r="P57" s="751">
        <f>$E$22*$F$9*'Traffic Data'!AR11*annualizationFactor</f>
        <v>0.23656429056</v>
      </c>
      <c r="Q57" s="751">
        <f>$E$22*$F$9*'Traffic Data'!AS11*annualizationFactor</f>
        <v>0.283081152</v>
      </c>
      <c r="R57" s="751">
        <f>$E$22*$F$9*'Traffic Data'!AT11*annualizationFactor</f>
        <v>0.32959296768000002</v>
      </c>
      <c r="S57" s="751">
        <f>$E$22*$F$9*'Traffic Data'!AU11*annualizationFactor</f>
        <v>0.37610926848000004</v>
      </c>
      <c r="T57" s="751">
        <f>$E$22*$F$9*'Traffic Data'!AV11*annualizationFactor</f>
        <v>0.42262612991999998</v>
      </c>
      <c r="U57" s="751">
        <f>$E$22*$F$9*'Traffic Data'!AW11*annualizationFactor</f>
        <v>0.4691884032000001</v>
      </c>
      <c r="V57" s="751">
        <f>$E$22*$F$9*'Traffic Data'!AX11*annualizationFactor</f>
        <v>0.49436113920000002</v>
      </c>
      <c r="W57" s="751">
        <f>$E$22*$F$9*'Traffic Data'!AY11*annualizationFactor</f>
        <v>0.50330110464</v>
      </c>
      <c r="X57" s="751">
        <f>$E$22*$F$9*'Traffic Data'!AZ11*annualizationFactor</f>
        <v>0.51224107008000008</v>
      </c>
      <c r="Y57" s="751">
        <f>$E$22*$F$9*'Traffic Data'!BA11*annualizationFactor</f>
        <v>0.52118103552000006</v>
      </c>
      <c r="Z57" s="751">
        <f>$E$22*$F$9*'Traffic Data'!BB11*annualizationFactor</f>
        <v>0.53012660736000006</v>
      </c>
      <c r="AA57" s="751">
        <f>$E$22*$F$9*'Traffic Data'!BC11*annualizationFactor</f>
        <v>0.53906657280000003</v>
      </c>
      <c r="AB57" s="751">
        <f>$E$22*$F$9*'Traffic Data'!BD11*annualizationFactor</f>
        <v>0.54801214464000003</v>
      </c>
      <c r="AC57" s="751">
        <f>$E$22*$F$9*'Traffic Data'!BE11*annualizationFactor</f>
        <v>0.55695211008000001</v>
      </c>
      <c r="AD57" s="751">
        <f>$E$22*$F$9*'Traffic Data'!BF11*annualizationFactor</f>
        <v>0.56589207551999998</v>
      </c>
      <c r="AE57" s="751">
        <f>$E$22*$F$9*'Traffic Data'!BG11*annualizationFactor</f>
        <v>0.57483764736000009</v>
      </c>
      <c r="AF57" s="751">
        <f>$E$22*$F$9*'Traffic Data'!BH11*annualizationFactor</f>
        <v>0.58377761280000007</v>
      </c>
      <c r="AG57" s="751">
        <f>$E$22*$F$9*'Traffic Data'!BI11*annualizationFactor</f>
        <v>0.59271757823999993</v>
      </c>
      <c r="AH57" s="752">
        <f>$E$22*$F$9*'Traffic Data'!BJ11*annualizationFactor</f>
        <v>0.60166315007999993</v>
      </c>
      <c r="AI57" s="40"/>
      <c r="AJ57" s="40"/>
      <c r="AK57" s="40"/>
      <c r="AL57" s="40"/>
      <c r="AM57" s="40"/>
    </row>
    <row r="58" spans="2:39" ht="21.9" customHeight="1" x14ac:dyDescent="0.25">
      <c r="B58" s="1332"/>
      <c r="C58" s="250" t="s">
        <v>308</v>
      </c>
      <c r="D58" s="250" t="s">
        <v>319</v>
      </c>
      <c r="E58" s="114" t="s">
        <v>434</v>
      </c>
      <c r="F58" s="114" t="s">
        <v>43</v>
      </c>
      <c r="G58" s="941"/>
      <c r="H58" s="941"/>
      <c r="I58" s="751">
        <f>$E$22*$F$9*'Traffic Data'!AK12*annualizationFactor</f>
        <v>0.90150912000000016</v>
      </c>
      <c r="J58" s="751">
        <f>$E$22*$F$9*'Traffic Data'!AL12*annualizationFactor</f>
        <v>0.9349445907456001</v>
      </c>
      <c r="K58" s="751">
        <f>$E$22*$F$9*'Traffic Data'!AM12*annualizationFactor</f>
        <v>0.96840109670399988</v>
      </c>
      <c r="L58" s="751">
        <f>$E$22*$F$9*'Traffic Data'!AN12*annualizationFactor</f>
        <v>1.0333743614975999</v>
      </c>
      <c r="M58" s="751">
        <f>$E$22*$F$9*'Traffic Data'!AO12*annualizationFactor</f>
        <v>1.0983851891712002</v>
      </c>
      <c r="N58" s="751">
        <f>$E$22*$F$9*'Traffic Data'!AP12*annualizationFactor</f>
        <v>1.1633794891776001</v>
      </c>
      <c r="O58" s="751">
        <f>$E$22*$F$9*'Traffic Data'!AQ12*annualizationFactor</f>
        <v>1.2283527539712003</v>
      </c>
      <c r="P58" s="751">
        <f>$E$22*$F$9*'Traffic Data'!AR12*annualizationFactor</f>
        <v>1.293395134464</v>
      </c>
      <c r="Q58" s="751">
        <f>$E$22*$F$9*'Traffic Data'!AS12*annualizationFactor</f>
        <v>1.3836557300736001</v>
      </c>
      <c r="R58" s="751">
        <f>$E$22*$F$9*'Traffic Data'!AT12*annualizationFactor</f>
        <v>1.4739644061696</v>
      </c>
      <c r="S58" s="751">
        <f>$E$22*$F$9*'Traffic Data'!AU12*annualizationFactor</f>
        <v>1.5642084741119999</v>
      </c>
      <c r="T58" s="751">
        <f>$E$22*$F$9*'Traffic Data'!AV12*annualizationFactor</f>
        <v>1.6544690697216005</v>
      </c>
      <c r="U58" s="751">
        <f>$E$22*$F$9*'Traffic Data'!AW12*annualizationFactor</f>
        <v>1.7448092986368002</v>
      </c>
      <c r="V58" s="751">
        <f>$E$22*$F$9*'Traffic Data'!AX12*annualizationFactor</f>
        <v>1.8035050549248002</v>
      </c>
      <c r="W58" s="751">
        <f>$E$22*$F$9*'Traffic Data'!AY12*annualizationFactor</f>
        <v>1.8369405256704003</v>
      </c>
      <c r="X58" s="751">
        <f>$E$22*$F$9*'Traffic Data'!AZ12*annualizationFactor</f>
        <v>1.8703759964160001</v>
      </c>
      <c r="Y58" s="751">
        <f>$E$22*$F$9*'Traffic Data'!BA12*annualizationFactor</f>
        <v>1.9038114671616002</v>
      </c>
      <c r="Z58" s="751">
        <f>$E$22*$F$9*'Traffic Data'!BB12*annualizationFactor</f>
        <v>1.9372679731200004</v>
      </c>
      <c r="AA58" s="751">
        <f>$E$22*$F$9*'Traffic Data'!BC12*annualizationFactor</f>
        <v>1.9707034438655997</v>
      </c>
      <c r="AB58" s="751">
        <f>$E$22*$F$9*'Traffic Data'!BD12*annualizationFactor</f>
        <v>2.0041599498240004</v>
      </c>
      <c r="AC58" s="751">
        <f>$E$22*$F$9*'Traffic Data'!BE12*annualizationFactor</f>
        <v>2.0375954205696005</v>
      </c>
      <c r="AD58" s="751">
        <f>$E$22*$F$9*'Traffic Data'!BF12*annualizationFactor</f>
        <v>2.0710308913152007</v>
      </c>
      <c r="AE58" s="751">
        <f>$E$22*$F$9*'Traffic Data'!BG12*annualizationFactor</f>
        <v>2.1044873972736005</v>
      </c>
      <c r="AF58" s="751">
        <f>$E$22*$F$9*'Traffic Data'!BH12*annualizationFactor</f>
        <v>2.1379228680192002</v>
      </c>
      <c r="AG58" s="751">
        <f>$E$22*$F$9*'Traffic Data'!BI12*annualizationFactor</f>
        <v>2.1713583387648003</v>
      </c>
      <c r="AH58" s="752">
        <f>$E$22*$F$9*'Traffic Data'!BJ12*annualizationFactor</f>
        <v>2.2048148447232006</v>
      </c>
      <c r="AI58" s="40"/>
      <c r="AJ58" s="40"/>
      <c r="AK58" s="40"/>
      <c r="AL58" s="40"/>
      <c r="AM58" s="40"/>
    </row>
    <row r="59" spans="2:39" ht="21.9" customHeight="1" x14ac:dyDescent="0.25">
      <c r="B59" s="469" t="s">
        <v>320</v>
      </c>
      <c r="C59" s="114" t="s">
        <v>318</v>
      </c>
      <c r="D59" s="114" t="s">
        <v>308</v>
      </c>
      <c r="E59" s="273" t="s">
        <v>434</v>
      </c>
      <c r="F59" s="273" t="s">
        <v>43</v>
      </c>
      <c r="G59" s="754"/>
      <c r="H59" s="754"/>
      <c r="I59" s="749">
        <f>$E$22*$G$9*'Traffic Data'!AK13*annualizationFactor</f>
        <v>2.6350080000000003E-3</v>
      </c>
      <c r="J59" s="749">
        <f>$E$22*$G$9*'Traffic Data'!AL13*annualizationFactor</f>
        <v>4.2660779519999989E-3</v>
      </c>
      <c r="K59" s="749">
        <f>$E$22*$G$9*'Traffic Data'!AM13*annualizationFactor</f>
        <v>1.2171101951999998E-2</v>
      </c>
      <c r="L59" s="749">
        <f>$E$22*$G$9*'Traffic Data'!AN13*annualizationFactor</f>
        <v>2.5733488128000002E-2</v>
      </c>
      <c r="M59" s="749">
        <f>$E$22*$G$9*'Traffic Data'!AO13*annualizationFactor</f>
        <v>3.9306414336000003E-2</v>
      </c>
      <c r="N59" s="749">
        <f>$E$22*$G$9*'Traffic Data'!AP13*annualizationFactor</f>
        <v>5.2874070528000014E-2</v>
      </c>
      <c r="O59" s="749">
        <f>$E$22*$G$9*'Traffic Data'!AQ13*annualizationFactor</f>
        <v>6.6436456704000002E-2</v>
      </c>
      <c r="P59" s="749">
        <f>$E$22*$G$9*'Traffic Data'!AR13*annualizationFactor</f>
        <v>8.0019922943999997E-2</v>
      </c>
      <c r="Q59" s="749">
        <f>$E$22*$G$9*'Traffic Data'!AS13*annualizationFactor</f>
        <v>8.7316260096000006E-2</v>
      </c>
      <c r="R59" s="749">
        <f>$E$22*$G$9*'Traffic Data'!AT13*annualizationFactor</f>
        <v>9.4623137280000005E-2</v>
      </c>
      <c r="S59" s="749">
        <f>$E$22*$G$9*'Traffic Data'!AU13*annualizationFactor</f>
        <v>0.10192210943999999</v>
      </c>
      <c r="T59" s="749">
        <f>$E$22*$G$9*'Traffic Data'!AV13*annualizationFactor</f>
        <v>0.109218446592</v>
      </c>
      <c r="U59" s="749">
        <f>$E$22*$G$9*'Traffic Data'!AW13*annualizationFactor</f>
        <v>0.1165332288</v>
      </c>
      <c r="V59" s="749">
        <f>$E$22*$G$9*'Traffic Data'!AX13*annualizationFactor</f>
        <v>0.11816429875199999</v>
      </c>
      <c r="W59" s="749">
        <f>$E$22*$G$9*'Traffic Data'!AY13*annualizationFactor</f>
        <v>0.11979536870399998</v>
      </c>
      <c r="X59" s="749">
        <f>$E$22*$G$9*'Traffic Data'!AZ13*annualizationFactor</f>
        <v>0.12142643865599999</v>
      </c>
      <c r="Y59" s="749">
        <f>$E$22*$G$9*'Traffic Data'!BA13*annualizationFactor</f>
        <v>0.12305750860800001</v>
      </c>
      <c r="Z59" s="749">
        <f>$E$22*$G$9*'Traffic Data'!BB13*annualizationFactor</f>
        <v>0.124696483584</v>
      </c>
      <c r="AA59" s="749">
        <f>$E$22*$G$9*'Traffic Data'!BC13*annualizationFactor</f>
        <v>0.126327553536</v>
      </c>
      <c r="AB59" s="749">
        <f>$E$22*$G$9*'Traffic Data'!BD13*annualizationFactor</f>
        <v>0.12796652851199999</v>
      </c>
      <c r="AC59" s="749">
        <f>$E$22*$G$9*'Traffic Data'!BE13*annualizationFactor</f>
        <v>0.12959759846399999</v>
      </c>
      <c r="AD59" s="749">
        <f>$E$22*$G$9*'Traffic Data'!BF13*annualizationFactor</f>
        <v>0.131228668416</v>
      </c>
      <c r="AE59" s="749">
        <f>$E$22*$G$9*'Traffic Data'!BG13*annualizationFactor</f>
        <v>0.13286764339200002</v>
      </c>
      <c r="AF59" s="749">
        <f>$E$22*$G$9*'Traffic Data'!BH13*annualizationFactor</f>
        <v>0.13449871334399999</v>
      </c>
      <c r="AG59" s="749">
        <f>$E$22*$G$9*'Traffic Data'!BI13*annualizationFactor</f>
        <v>0.13612978329599998</v>
      </c>
      <c r="AH59" s="750">
        <f>$E$22*$G$9*'Traffic Data'!BJ13*annualizationFactor</f>
        <v>0.13776875827200002</v>
      </c>
      <c r="AI59" s="40"/>
      <c r="AJ59" s="40"/>
      <c r="AK59" s="40"/>
      <c r="AL59" s="40"/>
      <c r="AM59" s="40"/>
    </row>
    <row r="60" spans="2:39" ht="21.9" customHeight="1" x14ac:dyDescent="0.25">
      <c r="B60" s="1332" t="s">
        <v>308</v>
      </c>
      <c r="C60" s="217" t="s">
        <v>276</v>
      </c>
      <c r="D60" s="217" t="s">
        <v>320</v>
      </c>
      <c r="E60" s="114" t="s">
        <v>434</v>
      </c>
      <c r="F60" s="114" t="s">
        <v>43</v>
      </c>
      <c r="G60" s="941"/>
      <c r="H60" s="941"/>
      <c r="I60" s="749">
        <f>$E$22*$H$9*'Traffic Data'!AK14*annualizationFactor</f>
        <v>7.5686399999999997E-3</v>
      </c>
      <c r="J60" s="749">
        <f>$E$22*$H$9*'Traffic Data'!AL14*annualizationFactor</f>
        <v>7.5686399999999997E-3</v>
      </c>
      <c r="K60" s="749">
        <f>$E$22*$H$9*'Traffic Data'!AM14*annualizationFactor</f>
        <v>8.8560656640000013E-2</v>
      </c>
      <c r="L60" s="749">
        <f>$E$22*$H$9*'Traffic Data'!AN14*annualizationFactor</f>
        <v>0.16955267328000001</v>
      </c>
      <c r="M60" s="749">
        <f>$E$22*$H$9*'Traffic Data'!AO14*annualizationFactor</f>
        <v>0.25061280768000005</v>
      </c>
      <c r="N60" s="749">
        <f>$E$22*$H$9*'Traffic Data'!AP14*annualizationFactor</f>
        <v>0.33160482432000005</v>
      </c>
      <c r="O60" s="749">
        <f>$E$22*$H$9*'Traffic Data'!AQ14*annualizationFactor</f>
        <v>0.4125968409600001</v>
      </c>
      <c r="P60" s="749">
        <f>$E$22*$H$9*'Traffic Data'!AR14*annualizationFactor</f>
        <v>0.49365697536000008</v>
      </c>
      <c r="Q60" s="749">
        <f>$E$22*$H$9*'Traffic Data'!AS14*annualizationFactor</f>
        <v>0.49365697536000008</v>
      </c>
      <c r="R60" s="749">
        <f>$E$22*$H$9*'Traffic Data'!AT14*annualizationFactor</f>
        <v>0.49365697536000008</v>
      </c>
      <c r="S60" s="749">
        <f>$E$22*$H$9*'Traffic Data'!AU14*annualizationFactor</f>
        <v>0.49365697536000008</v>
      </c>
      <c r="T60" s="749">
        <f>$E$22*$H$9*'Traffic Data'!AV14*annualizationFactor</f>
        <v>0.49365697536000008</v>
      </c>
      <c r="U60" s="749">
        <f>$E$22*$H$9*'Traffic Data'!AW14*annualizationFactor</f>
        <v>0.49365697536000008</v>
      </c>
      <c r="V60" s="749">
        <f>$E$22*$H$9*'Traffic Data'!AX14*annualizationFactor</f>
        <v>0.49365697536000008</v>
      </c>
      <c r="W60" s="749">
        <f>$E$22*$H$9*'Traffic Data'!AY14*annualizationFactor</f>
        <v>0.49365697536000008</v>
      </c>
      <c r="X60" s="749">
        <f>$E$22*$H$9*'Traffic Data'!AZ14*annualizationFactor</f>
        <v>0.49365697536000008</v>
      </c>
      <c r="Y60" s="749">
        <f>$E$22*$H$9*'Traffic Data'!BA14*annualizationFactor</f>
        <v>0.49365697536000008</v>
      </c>
      <c r="Z60" s="749">
        <f>$E$22*$H$9*'Traffic Data'!BB14*annualizationFactor</f>
        <v>0.49365697536000008</v>
      </c>
      <c r="AA60" s="749">
        <f>$E$22*$H$9*'Traffic Data'!BC14*annualizationFactor</f>
        <v>0.49365697536000008</v>
      </c>
      <c r="AB60" s="749">
        <f>$E$22*$H$9*'Traffic Data'!BD14*annualizationFactor</f>
        <v>0.49365697536000008</v>
      </c>
      <c r="AC60" s="749">
        <f>$E$22*$H$9*'Traffic Data'!BE14*annualizationFactor</f>
        <v>0.49365697536000008</v>
      </c>
      <c r="AD60" s="749">
        <f>$E$22*$H$9*'Traffic Data'!BF14*annualizationFactor</f>
        <v>0.49365697536000008</v>
      </c>
      <c r="AE60" s="749">
        <f>$E$22*$H$9*'Traffic Data'!BG14*annualizationFactor</f>
        <v>0.49365697536000008</v>
      </c>
      <c r="AF60" s="749">
        <f>$E$22*$H$9*'Traffic Data'!BH14*annualizationFactor</f>
        <v>0.49365697536000008</v>
      </c>
      <c r="AG60" s="749">
        <f>$E$22*$H$9*'Traffic Data'!BI14*annualizationFactor</f>
        <v>0.49365697536000008</v>
      </c>
      <c r="AH60" s="750">
        <f>$E$22*$H$9*'Traffic Data'!BJ14*annualizationFactor</f>
        <v>0.49365697536000008</v>
      </c>
      <c r="AI60" s="40"/>
      <c r="AJ60" s="40"/>
      <c r="AK60" s="40"/>
      <c r="AL60" s="40"/>
      <c r="AM60" s="40"/>
    </row>
    <row r="61" spans="2:39" ht="21.9" customHeight="1" x14ac:dyDescent="0.25">
      <c r="B61" s="1332"/>
      <c r="C61" s="114" t="s">
        <v>320</v>
      </c>
      <c r="D61" s="114" t="s">
        <v>282</v>
      </c>
      <c r="E61" s="114" t="s">
        <v>434</v>
      </c>
      <c r="F61" s="114" t="s">
        <v>43</v>
      </c>
      <c r="G61" s="941"/>
      <c r="H61" s="941"/>
      <c r="I61" s="751">
        <f>$E$22*$H$9*'Traffic Data'!AK15*annualizationFactor</f>
        <v>3.4535424000000006E-3</v>
      </c>
      <c r="J61" s="751">
        <f>$E$22*$H$9*'Traffic Data'!AL15*annualizationFactor</f>
        <v>6.5617305600000004E-3</v>
      </c>
      <c r="K61" s="751">
        <f>$E$22*$H$9*'Traffic Data'!AM15*annualizationFactor</f>
        <v>9.6699187200000002E-3</v>
      </c>
      <c r="L61" s="751">
        <f>$E$22*$H$9*'Traffic Data'!AN15*annualizationFactor</f>
        <v>2.1035212800000001E-2</v>
      </c>
      <c r="M61" s="751">
        <f>$E$22*$H$9*'Traffic Data'!AO15*annualizationFactor</f>
        <v>3.2384808960000004E-2</v>
      </c>
      <c r="N61" s="751">
        <f>$E$22*$H$9*'Traffic Data'!AP15*annualizationFactor</f>
        <v>4.3765800960000004E-2</v>
      </c>
      <c r="O61" s="751">
        <f>$E$22*$H$9*'Traffic Data'!AQ15*annualizationFactor</f>
        <v>5.5131095040000008E-2</v>
      </c>
      <c r="P61" s="751">
        <f>$E$22*$H$9*'Traffic Data'!AR15*annualizationFactor</f>
        <v>6.6496389119999999E-2</v>
      </c>
      <c r="Q61" s="751">
        <f>$E$22*$H$9*'Traffic Data'!AS15*annualizationFactor</f>
        <v>8.62600704E-2</v>
      </c>
      <c r="R61" s="751">
        <f>$E$22*$H$9*'Traffic Data'!AT15*annualizationFactor</f>
        <v>0.10600805376</v>
      </c>
      <c r="S61" s="751">
        <f>$E$22*$H$9*'Traffic Data'!AU15*annualizationFactor</f>
        <v>0.12575603712000002</v>
      </c>
      <c r="T61" s="751">
        <f>$E$22*$H$9*'Traffic Data'!AV15*annualizationFactor</f>
        <v>0.14551971840000003</v>
      </c>
      <c r="U61" s="751">
        <f>$E$22*$H$9*'Traffic Data'!AW15*annualizationFactor</f>
        <v>0.16528339968000003</v>
      </c>
      <c r="V61" s="751">
        <f>$E$22*$H$9*'Traffic Data'!AX15*annualizationFactor</f>
        <v>0.17678997504000002</v>
      </c>
      <c r="W61" s="751">
        <f>$E$22*$H$9*'Traffic Data'!AY15*annualizationFactor</f>
        <v>0.17988246528000004</v>
      </c>
      <c r="X61" s="751">
        <f>$E$22*$H$9*'Traffic Data'!AZ15*annualizationFactor</f>
        <v>0.18299065344000004</v>
      </c>
      <c r="Y61" s="751">
        <f>$E$22*$H$9*'Traffic Data'!BA15*annualizationFactor</f>
        <v>0.18609884160000001</v>
      </c>
      <c r="Z61" s="751">
        <f>$E$22*$H$9*'Traffic Data'!BB15*annualizationFactor</f>
        <v>0.18920702976000001</v>
      </c>
      <c r="AA61" s="751">
        <f>$E$22*$H$9*'Traffic Data'!BC15*annualizationFactor</f>
        <v>0.19231521792</v>
      </c>
      <c r="AB61" s="751">
        <f>$E$22*$H$9*'Traffic Data'!BD15*annualizationFactor</f>
        <v>0.19542340608</v>
      </c>
      <c r="AC61" s="751">
        <f>$E$22*$H$9*'Traffic Data'!BE15*annualizationFactor</f>
        <v>0.19853159424</v>
      </c>
      <c r="AD61" s="751">
        <f>$E$22*$H$9*'Traffic Data'!BF15*annualizationFactor</f>
        <v>0.20163978239999999</v>
      </c>
      <c r="AE61" s="751">
        <f>$E$22*$H$9*'Traffic Data'!BG15*annualizationFactor</f>
        <v>0.20473227264000002</v>
      </c>
      <c r="AF61" s="751">
        <f>$E$22*$H$9*'Traffic Data'!BH15*annualizationFactor</f>
        <v>0.20784046080000002</v>
      </c>
      <c r="AG61" s="751">
        <f>$E$22*$H$9*'Traffic Data'!BI15*annualizationFactor</f>
        <v>0.21094864896000001</v>
      </c>
      <c r="AH61" s="752">
        <f>$E$22*$H$9*'Traffic Data'!BJ15*annualizationFactor</f>
        <v>0.21405683712000001</v>
      </c>
      <c r="AI61" s="40"/>
      <c r="AJ61" s="40"/>
      <c r="AK61" s="40"/>
      <c r="AL61" s="40"/>
      <c r="AM61" s="40"/>
    </row>
    <row r="62" spans="2:39" ht="21.9" customHeight="1" x14ac:dyDescent="0.25">
      <c r="B62" s="1332"/>
      <c r="C62" s="114" t="s">
        <v>282</v>
      </c>
      <c r="D62" s="114" t="s">
        <v>321</v>
      </c>
      <c r="E62" s="114" t="s">
        <v>434</v>
      </c>
      <c r="F62" s="114" t="s">
        <v>43</v>
      </c>
      <c r="G62" s="941"/>
      <c r="H62" s="941"/>
      <c r="I62" s="751">
        <f>$E$22*$H$9*'Traffic Data'!AK16*annualizationFactor</f>
        <v>1.2278015999999999E-2</v>
      </c>
      <c r="J62" s="751">
        <f>$E$22*$H$9*'Traffic Data'!AL16*annualizationFactor</f>
        <v>2.3322909926400001E-2</v>
      </c>
      <c r="K62" s="751">
        <f>$E$22*$H$9*'Traffic Data'!AM16*annualizationFactor</f>
        <v>3.4364120448000003E-2</v>
      </c>
      <c r="L62" s="751">
        <f>$E$22*$H$9*'Traffic Data'!AN16*annualizationFactor</f>
        <v>7.4757565286399999E-2</v>
      </c>
      <c r="M62" s="751">
        <f>$E$22*$H$9*'Traffic Data'!AO16*annualizationFactor</f>
        <v>0.11515264719360001</v>
      </c>
      <c r="N62" s="751">
        <f>$E$22*$H$9*'Traffic Data'!AP16*annualizationFactor</f>
        <v>0.15559929676799999</v>
      </c>
      <c r="O62" s="751">
        <f>$E$22*$H$9*'Traffic Data'!AQ16*annualizationFactor</f>
        <v>0.19599274160639996</v>
      </c>
      <c r="P62" s="751">
        <f>$E$22*$H$9*'Traffic Data'!AR16*annualizationFactor</f>
        <v>0.2364107424768</v>
      </c>
      <c r="Q62" s="751">
        <f>$E$22*$H$9*'Traffic Data'!AS16*annualizationFactor</f>
        <v>0.30665204421120001</v>
      </c>
      <c r="R62" s="751">
        <f>$E$22*$H$9*'Traffic Data'!AT16*annualizationFactor</f>
        <v>0.37686469724160004</v>
      </c>
      <c r="S62" s="751">
        <f>$E$22*$H$9*'Traffic Data'!AU16*annualizationFactor</f>
        <v>0.44710067850239993</v>
      </c>
      <c r="T62" s="751">
        <f>$E$22*$H$9*'Traffic Data'!AV16*annualizationFactor</f>
        <v>0.5173419802368</v>
      </c>
      <c r="U62" s="751">
        <f>$E$22*$H$9*'Traffic Data'!AW16*annualizationFactor</f>
        <v>0.58763444037119983</v>
      </c>
      <c r="V62" s="751">
        <f>$E$22*$H$9*'Traffic Data'!AX16*annualizationFactor</f>
        <v>0.62849526835199998</v>
      </c>
      <c r="W62" s="751">
        <f>$E$22*$H$9*'Traffic Data'!AY16*annualizationFactor</f>
        <v>0.63954016227839994</v>
      </c>
      <c r="X62" s="751">
        <f>$E$22*$H$9*'Traffic Data'!AZ16*annualizationFactor</f>
        <v>0.65058505620480001</v>
      </c>
      <c r="Y62" s="751">
        <f>$E$22*$H$9*'Traffic Data'!BA16*annualizationFactor</f>
        <v>0.66162995013119985</v>
      </c>
      <c r="Z62" s="751">
        <f>$E$22*$H$9*'Traffic Data'!BB16*annualizationFactor</f>
        <v>0.67267116065279986</v>
      </c>
      <c r="AA62" s="751">
        <f>$E$22*$H$9*'Traffic Data'!BC16*annualizationFactor</f>
        <v>0.68371605457920004</v>
      </c>
      <c r="AB62" s="751">
        <f>$E$22*$H$9*'Traffic Data'!BD16*annualizationFactor</f>
        <v>0.69475726510079994</v>
      </c>
      <c r="AC62" s="751">
        <f>$E$22*$H$9*'Traffic Data'!BE16*annualizationFactor</f>
        <v>0.70580215902719989</v>
      </c>
      <c r="AD62" s="751">
        <f>$E$22*$H$9*'Traffic Data'!BF16*annualizationFactor</f>
        <v>0.71684705295360007</v>
      </c>
      <c r="AE62" s="751">
        <f>$E$22*$H$9*'Traffic Data'!BG16*annualizationFactor</f>
        <v>0.72788826347519997</v>
      </c>
      <c r="AF62" s="751">
        <f>$E$22*$H$9*'Traffic Data'!BH16*annualizationFactor</f>
        <v>0.73893315740160004</v>
      </c>
      <c r="AG62" s="751">
        <f>$E$22*$H$9*'Traffic Data'!BI16*annualizationFactor</f>
        <v>0.74997805132800011</v>
      </c>
      <c r="AH62" s="752">
        <f>$E$22*$H$9*'Traffic Data'!BJ16*annualizationFactor</f>
        <v>0.76101926184959989</v>
      </c>
      <c r="AI62" s="40"/>
      <c r="AJ62" s="40"/>
      <c r="AK62" s="40"/>
      <c r="AL62" s="40"/>
      <c r="AM62" s="40"/>
    </row>
    <row r="63" spans="2:39" ht="21.9" customHeight="1" x14ac:dyDescent="0.25">
      <c r="B63" s="1332"/>
      <c r="C63" s="250" t="s">
        <v>321</v>
      </c>
      <c r="D63" s="250" t="s">
        <v>274</v>
      </c>
      <c r="E63" s="114" t="s">
        <v>434</v>
      </c>
      <c r="F63" s="114" t="s">
        <v>43</v>
      </c>
      <c r="G63" s="941"/>
      <c r="H63" s="941"/>
      <c r="I63" s="751">
        <f>$E$22*$H$9*'Traffic Data'!AK17*annualizationFactor</f>
        <v>1.7660160000000001E-2</v>
      </c>
      <c r="J63" s="751">
        <f>$E$22*$H$9*'Traffic Data'!AL17*annualizationFactor</f>
        <v>3.3546651264000006E-2</v>
      </c>
      <c r="K63" s="751">
        <f>$E$22*$H$9*'Traffic Data'!AM17*annualizationFactor</f>
        <v>4.9427844480000011E-2</v>
      </c>
      <c r="L63" s="751">
        <f>$E$22*$H$9*'Traffic Data'!AN17*annualizationFactor</f>
        <v>0.10752800486399999</v>
      </c>
      <c r="M63" s="751">
        <f>$E$22*$H$9*'Traffic Data'!AO17*annualizationFactor</f>
        <v>0.165630519936</v>
      </c>
      <c r="N63" s="751">
        <f>$E$22*$H$9*'Traffic Data'!AP17*annualizationFactor</f>
        <v>0.22380720768000004</v>
      </c>
      <c r="O63" s="751">
        <f>$E$22*$H$9*'Traffic Data'!AQ17*annualizationFactor</f>
        <v>0.28190736806400002</v>
      </c>
      <c r="P63" s="751">
        <f>$E$22*$H$9*'Traffic Data'!AR17*annualizationFactor</f>
        <v>0.34004284876800006</v>
      </c>
      <c r="Q63" s="751">
        <f>$E$22*$H$9*'Traffic Data'!AS17*annualizationFactor</f>
        <v>0.44107485811200003</v>
      </c>
      <c r="R63" s="751">
        <f>$E$22*$H$9*'Traffic Data'!AT17*annualizationFactor</f>
        <v>0.54206566041600002</v>
      </c>
      <c r="S63" s="751">
        <f>$E$22*$H$9*'Traffic Data'!AU17*annualizationFactor</f>
        <v>0.64309001702399993</v>
      </c>
      <c r="T63" s="751">
        <f>$E$22*$H$9*'Traffic Data'!AV17*annualizationFactor</f>
        <v>0.74412202636800007</v>
      </c>
      <c r="U63" s="751">
        <f>$E$22*$H$9*'Traffic Data'!AW17*annualizationFactor</f>
        <v>0.84522761971199989</v>
      </c>
      <c r="V63" s="751">
        <f>$E$22*$H$9*'Traffic Data'!AX17*annualizationFactor</f>
        <v>0.90400004351999996</v>
      </c>
      <c r="W63" s="751">
        <f>$E$22*$H$9*'Traffic Data'!AY17*annualizationFactor</f>
        <v>0.91988653478399995</v>
      </c>
      <c r="X63" s="751">
        <f>$E$22*$H$9*'Traffic Data'!AZ17*annualizationFactor</f>
        <v>0.93577302604799995</v>
      </c>
      <c r="Y63" s="751">
        <f>$E$22*$H$9*'Traffic Data'!BA17*annualizationFactor</f>
        <v>0.95165951731199983</v>
      </c>
      <c r="Z63" s="751">
        <f>$E$22*$H$9*'Traffic Data'!BB17*annualizationFactor</f>
        <v>0.96754071052800006</v>
      </c>
      <c r="AA63" s="751">
        <f>$E$22*$H$9*'Traffic Data'!BC17*annualizationFactor</f>
        <v>0.98342720179200005</v>
      </c>
      <c r="AB63" s="751">
        <f>$E$22*$H$9*'Traffic Data'!BD17*annualizationFactor</f>
        <v>0.99930839500799995</v>
      </c>
      <c r="AC63" s="751">
        <f>$E$22*$H$9*'Traffic Data'!BE17*annualizationFactor</f>
        <v>1.0151948862719999</v>
      </c>
      <c r="AD63" s="751">
        <f>$E$22*$H$9*'Traffic Data'!BF17*annualizationFactor</f>
        <v>1.0310813775360002</v>
      </c>
      <c r="AE63" s="751">
        <f>$E$22*$H$9*'Traffic Data'!BG17*annualizationFactor</f>
        <v>1.0469625707520001</v>
      </c>
      <c r="AF63" s="751">
        <f>$E$22*$H$9*'Traffic Data'!BH17*annualizationFactor</f>
        <v>1.0628490620160003</v>
      </c>
      <c r="AG63" s="751">
        <f>$E$22*$H$9*'Traffic Data'!BI17*annualizationFactor</f>
        <v>1.0787355532800003</v>
      </c>
      <c r="AH63" s="752">
        <f>$E$22*$H$9*'Traffic Data'!BJ17*annualizationFactor</f>
        <v>1.0946167464960002</v>
      </c>
      <c r="AI63" s="40"/>
      <c r="AJ63" s="40"/>
      <c r="AK63" s="40"/>
      <c r="AL63" s="40"/>
      <c r="AM63" s="40"/>
    </row>
    <row r="64" spans="2:39" ht="21.9" customHeight="1" x14ac:dyDescent="0.25">
      <c r="B64" s="469" t="s">
        <v>282</v>
      </c>
      <c r="C64" s="114" t="s">
        <v>308</v>
      </c>
      <c r="D64" s="114" t="s">
        <v>324</v>
      </c>
      <c r="E64" s="114" t="s">
        <v>434</v>
      </c>
      <c r="F64" s="114" t="s">
        <v>43</v>
      </c>
      <c r="G64" s="941"/>
      <c r="H64" s="941"/>
      <c r="I64" s="749">
        <f>$E$22*$J$9*'Traffic Data'!AK18*annualizationFactor</f>
        <v>0.1009152</v>
      </c>
      <c r="J64" s="749">
        <f>$E$22*$J$9*'Traffic Data'!AL18*annualizationFactor</f>
        <v>0.10469839872</v>
      </c>
      <c r="K64" s="749">
        <f>$E$22*$J$9*'Traffic Data'!AM18*annualizationFactor</f>
        <v>0.11048532480000001</v>
      </c>
      <c r="L64" s="749">
        <f>$E$22*$J$9*'Traffic Data'!AN18*annualizationFactor</f>
        <v>0.12887151360000001</v>
      </c>
      <c r="M64" s="749">
        <f>$E$22*$J$9*'Traffic Data'!AO18*annualizationFactor</f>
        <v>0.14726050560000001</v>
      </c>
      <c r="N64" s="749">
        <f>$E$22*$J$9*'Traffic Data'!AP18*annualizationFactor</f>
        <v>0.16566911999999998</v>
      </c>
      <c r="O64" s="749">
        <f>$E$22*$J$9*'Traffic Data'!AQ18*annualizationFactor</f>
        <v>0.18405530879999998</v>
      </c>
      <c r="P64" s="749">
        <f>$E$22*$J$9*'Traffic Data'!AR18*annualizationFactor</f>
        <v>0.20245943808</v>
      </c>
      <c r="Q64" s="749">
        <f>$E$22*$J$9*'Traffic Data'!AS18*annualizationFactor</f>
        <v>0.22670879999999999</v>
      </c>
      <c r="R64" s="749">
        <f>$E$22*$J$9*'Traffic Data'!AT18*annualizationFactor</f>
        <v>0.25095199488000003</v>
      </c>
      <c r="S64" s="749">
        <f>$E$22*$J$9*'Traffic Data'!AU18*annualizationFactor</f>
        <v>0.27520415999999998</v>
      </c>
      <c r="T64" s="749">
        <f>$E$22*$J$9*'Traffic Data'!AV18*annualizationFactor</f>
        <v>0.29945352192000008</v>
      </c>
      <c r="U64" s="749">
        <f>$E$22*$J$9*'Traffic Data'!AW18*annualizationFactor</f>
        <v>0.32373035519999999</v>
      </c>
      <c r="V64" s="749">
        <f>$E$22*$J$9*'Traffic Data'!AX18*annualizationFactor</f>
        <v>0.33536812031999996</v>
      </c>
      <c r="W64" s="749">
        <f>$E$22*$J$9*'Traffic Data'!AY18*annualizationFactor</f>
        <v>0.33915131904000001</v>
      </c>
      <c r="X64" s="749">
        <f>$E$22*$J$9*'Traffic Data'!AZ18*annualizationFactor</f>
        <v>0.34293451775999995</v>
      </c>
      <c r="Y64" s="749">
        <f>$E$22*$J$9*'Traffic Data'!BA18*annualizationFactor</f>
        <v>0.34671771647999999</v>
      </c>
      <c r="Z64" s="749">
        <f>$E$22*$J$9*'Traffic Data'!BB18*annualizationFactor</f>
        <v>0.35050483967999996</v>
      </c>
      <c r="AA64" s="749">
        <f>$E$22*$J$9*'Traffic Data'!BC18*annualizationFactor</f>
        <v>0.35428803839999995</v>
      </c>
      <c r="AB64" s="749">
        <f>$E$22*$J$9*'Traffic Data'!BD18*annualizationFactor</f>
        <v>0.35807516160000002</v>
      </c>
      <c r="AC64" s="749">
        <f>$E$22*$J$9*'Traffic Data'!BE18*annualizationFactor</f>
        <v>0.36185836032000007</v>
      </c>
      <c r="AD64" s="749">
        <f>$E$22*$J$9*'Traffic Data'!BF18*annualizationFactor</f>
        <v>0.36564155903999995</v>
      </c>
      <c r="AE64" s="749">
        <f>$E$22*$J$9*'Traffic Data'!BG18*annualizationFactor</f>
        <v>0.36942868223999997</v>
      </c>
      <c r="AF64" s="749">
        <f>$E$22*$J$9*'Traffic Data'!BH18*annualizationFactor</f>
        <v>0.37321188096000008</v>
      </c>
      <c r="AG64" s="749">
        <f>$E$22*$J$9*'Traffic Data'!BI18*annualizationFactor</f>
        <v>0.37699507967999996</v>
      </c>
      <c r="AH64" s="750">
        <f>$E$22*$J$9*'Traffic Data'!BJ18*annualizationFactor</f>
        <v>0.38078220287999998</v>
      </c>
      <c r="AI64" s="40"/>
      <c r="AJ64" s="40"/>
      <c r="AK64" s="40"/>
      <c r="AL64" s="40"/>
      <c r="AM64" s="40"/>
    </row>
    <row r="65" spans="2:39" ht="21.9" customHeight="1" x14ac:dyDescent="0.25">
      <c r="B65" s="756" t="s">
        <v>321</v>
      </c>
      <c r="C65" s="273" t="s">
        <v>318</v>
      </c>
      <c r="D65" s="273" t="s">
        <v>308</v>
      </c>
      <c r="E65" s="273" t="s">
        <v>434</v>
      </c>
      <c r="F65" s="273" t="s">
        <v>43</v>
      </c>
      <c r="G65" s="754"/>
      <c r="H65" s="754"/>
      <c r="I65" s="749">
        <f>$E$22*$K$9*'Traffic Data'!AK19*annualizationFactor</f>
        <v>0</v>
      </c>
      <c r="J65" s="749">
        <f>$E$22*$K$9*'Traffic Data'!AL19*annualizationFactor</f>
        <v>0</v>
      </c>
      <c r="K65" s="749">
        <f>$E$22*$K$9*'Traffic Data'!AM19*annualizationFactor</f>
        <v>0</v>
      </c>
      <c r="L65" s="749">
        <f>$E$22*$K$9*'Traffic Data'!AN19*annualizationFactor</f>
        <v>0</v>
      </c>
      <c r="M65" s="749">
        <f>$E$22*$K$9*'Traffic Data'!AO19*annualizationFactor</f>
        <v>0</v>
      </c>
      <c r="N65" s="749">
        <f>$E$22*$K$9*'Traffic Data'!AP19*annualizationFactor</f>
        <v>0</v>
      </c>
      <c r="O65" s="749">
        <f>$E$22*$K$9*'Traffic Data'!AQ19*annualizationFactor</f>
        <v>0</v>
      </c>
      <c r="P65" s="749">
        <f>$E$22*$K$9*'Traffic Data'!AR19*annualizationFactor</f>
        <v>0</v>
      </c>
      <c r="Q65" s="749">
        <f>$E$22*$K$9*'Traffic Data'!AS19*annualizationFactor</f>
        <v>0</v>
      </c>
      <c r="R65" s="749">
        <f>$E$22*$K$9*'Traffic Data'!AT19*annualizationFactor</f>
        <v>0</v>
      </c>
      <c r="S65" s="749">
        <f>$E$22*$K$9*'Traffic Data'!AU19*annualizationFactor</f>
        <v>0</v>
      </c>
      <c r="T65" s="749">
        <f>$E$22*$K$9*'Traffic Data'!AV19*annualizationFactor</f>
        <v>0</v>
      </c>
      <c r="U65" s="749">
        <f>$E$22*$K$9*'Traffic Data'!AW19*annualizationFactor</f>
        <v>0</v>
      </c>
      <c r="V65" s="749">
        <f>$E$22*$K$9*'Traffic Data'!AX19*annualizationFactor</f>
        <v>0</v>
      </c>
      <c r="W65" s="749">
        <f>$E$22*$K$9*'Traffic Data'!AY19*annualizationFactor</f>
        <v>0</v>
      </c>
      <c r="X65" s="749">
        <f>$E$22*$K$9*'Traffic Data'!AZ19*annualizationFactor</f>
        <v>0</v>
      </c>
      <c r="Y65" s="749">
        <f>$E$22*$K$9*'Traffic Data'!BA19*annualizationFactor</f>
        <v>0</v>
      </c>
      <c r="Z65" s="749">
        <f>$E$22*$K$9*'Traffic Data'!BB19*annualizationFactor</f>
        <v>0</v>
      </c>
      <c r="AA65" s="749">
        <f>$E$22*$K$9*'Traffic Data'!BC19*annualizationFactor</f>
        <v>0</v>
      </c>
      <c r="AB65" s="749">
        <f>$E$22*$K$9*'Traffic Data'!BD19*annualizationFactor</f>
        <v>0</v>
      </c>
      <c r="AC65" s="749">
        <f>$E$22*$K$9*'Traffic Data'!BE19*annualizationFactor</f>
        <v>0</v>
      </c>
      <c r="AD65" s="749">
        <f>$E$22*$K$9*'Traffic Data'!BF19*annualizationFactor</f>
        <v>0</v>
      </c>
      <c r="AE65" s="749">
        <f>$E$22*$K$9*'Traffic Data'!BG19*annualizationFactor</f>
        <v>0</v>
      </c>
      <c r="AF65" s="749">
        <f>$E$22*$K$9*'Traffic Data'!BH19*annualizationFactor</f>
        <v>0</v>
      </c>
      <c r="AG65" s="749">
        <f>$E$22*$K$9*'Traffic Data'!BI19*annualizationFactor</f>
        <v>0</v>
      </c>
      <c r="AH65" s="750">
        <f>$E$22*$K$9*'Traffic Data'!BJ19*annualizationFactor</f>
        <v>0</v>
      </c>
      <c r="AI65" s="40"/>
      <c r="AJ65" s="40"/>
      <c r="AK65" s="40"/>
      <c r="AL65" s="40"/>
      <c r="AM65" s="40"/>
    </row>
    <row r="66" spans="2:39" ht="21.9" customHeight="1" x14ac:dyDescent="0.25">
      <c r="B66" s="756" t="s">
        <v>333</v>
      </c>
      <c r="C66" s="273" t="s">
        <v>319</v>
      </c>
      <c r="D66" s="273" t="s">
        <v>308</v>
      </c>
      <c r="E66" s="114" t="s">
        <v>434</v>
      </c>
      <c r="F66" s="114" t="s">
        <v>43</v>
      </c>
      <c r="G66" s="941"/>
      <c r="H66" s="941"/>
      <c r="I66" s="749">
        <f>$E$22*$L$9*'Traffic Data'!AK20*annualizationFactor</f>
        <v>0.18715182545454545</v>
      </c>
      <c r="J66" s="749">
        <f>$E$22*$L$9*'Traffic Data'!AL20*annualizationFactor</f>
        <v>0.19004436089018178</v>
      </c>
      <c r="K66" s="749">
        <f>$E$22*$L$9*'Traffic Data'!AM20*annualizationFactor</f>
        <v>0.19479697752436362</v>
      </c>
      <c r="L66" s="749">
        <f>$E$22*$L$9*'Traffic Data'!AN20*annualizationFactor</f>
        <v>0.21094973965963637</v>
      </c>
      <c r="M66" s="749">
        <f>$E$22*$L$9*'Traffic Data'!AO20*annualizationFactor</f>
        <v>0.22710458125963637</v>
      </c>
      <c r="N66" s="749">
        <f>$E$22*$L$9*'Traffic Data'!AP20*annualizationFactor</f>
        <v>0.24327813804218179</v>
      </c>
      <c r="O66" s="749">
        <f>$E$22*$L$9*'Traffic Data'!AQ20*annualizationFactor</f>
        <v>0.25943090017745452</v>
      </c>
      <c r="P66" s="749">
        <f>$E$22*$L$9*'Traffic Data'!AR20*annualizationFactor</f>
        <v>0.2756018576290909</v>
      </c>
      <c r="Q66" s="749">
        <f>$E$22*$L$9*'Traffic Data'!AS20*annualizationFactor</f>
        <v>0.2947610058938181</v>
      </c>
      <c r="R66" s="749">
        <f>$E$22*$L$9*'Traffic Data'!AT20*annualizationFactor</f>
        <v>0.31391599522909086</v>
      </c>
      <c r="S66" s="749">
        <f>$E$22*$L$9*'Traffic Data'!AU20*annualizationFactor</f>
        <v>0.33308034215563631</v>
      </c>
      <c r="T66" s="749">
        <f>$E$22*$L$9*'Traffic Data'!AV20*annualizationFactor</f>
        <v>0.35223949042036362</v>
      </c>
      <c r="U66" s="749">
        <f>$E$22*$L$9*'Traffic Data'!AW20*annualizationFactor</f>
        <v>0.37142567172654539</v>
      </c>
      <c r="V66" s="749">
        <f>$E$22*$L$9*'Traffic Data'!AX20*annualizationFactor</f>
        <v>0.37917375730036362</v>
      </c>
      <c r="W66" s="749">
        <f>$E$22*$L$9*'Traffic Data'!AY20*annualizationFactor</f>
        <v>0.3820662927359999</v>
      </c>
      <c r="X66" s="749">
        <f>$E$22*$L$9*'Traffic Data'!AZ20*annualizationFactor</f>
        <v>0.38495882817163635</v>
      </c>
      <c r="Y66" s="749">
        <f>$E$22*$L$9*'Traffic Data'!BA20*annualizationFactor</f>
        <v>0.38785136360727274</v>
      </c>
      <c r="Z66" s="749">
        <f>$E$22*$L$9*'Traffic Data'!BB20*annualizationFactor</f>
        <v>0.39074961757090904</v>
      </c>
      <c r="AA66" s="749">
        <f>$E$22*$L$9*'Traffic Data'!BC20*annualizationFactor</f>
        <v>0.39364215300654537</v>
      </c>
      <c r="AB66" s="749">
        <f>$E$22*$L$9*'Traffic Data'!BD20*annualizationFactor</f>
        <v>0.39654040697018184</v>
      </c>
      <c r="AC66" s="749">
        <f>$E$22*$L$9*'Traffic Data'!BE20*annualizationFactor</f>
        <v>0.39943294240581811</v>
      </c>
      <c r="AD66" s="749">
        <f>$E$22*$L$9*'Traffic Data'!BF20*annualizationFactor</f>
        <v>0.40232547784145456</v>
      </c>
      <c r="AE66" s="749">
        <f>$E$22*$L$9*'Traffic Data'!BG20*annualizationFactor</f>
        <v>0.40522373180509086</v>
      </c>
      <c r="AF66" s="749">
        <f>$E$22*$L$9*'Traffic Data'!BH20*annualizationFactor</f>
        <v>0.4081162672407273</v>
      </c>
      <c r="AG66" s="749">
        <f>$E$22*$L$9*'Traffic Data'!BI20*annualizationFactor</f>
        <v>0.41100880267636369</v>
      </c>
      <c r="AH66" s="750">
        <f>$E$22*$L$9*'Traffic Data'!BJ20*annualizationFactor</f>
        <v>0.41390705663999999</v>
      </c>
      <c r="AI66" s="40"/>
      <c r="AJ66" s="40"/>
      <c r="AK66" s="40"/>
      <c r="AL66" s="40"/>
      <c r="AM66" s="40"/>
    </row>
    <row r="67" spans="2:39" ht="21.9" customHeight="1" x14ac:dyDescent="0.25">
      <c r="B67" s="469" t="s">
        <v>319</v>
      </c>
      <c r="C67" s="114" t="s">
        <v>276</v>
      </c>
      <c r="D67" s="114" t="s">
        <v>333</v>
      </c>
      <c r="E67" s="217" t="s">
        <v>434</v>
      </c>
      <c r="F67" s="217" t="s">
        <v>43</v>
      </c>
      <c r="G67" s="749"/>
      <c r="H67" s="749"/>
      <c r="I67" s="749">
        <f>$E$22*$M$9*'Traffic Data'!AK21*annualizationFactor</f>
        <v>0.67213090909090911</v>
      </c>
      <c r="J67" s="749">
        <f>$E$22*$M$9*'Traffic Data'!AL21*annualizationFactor</f>
        <v>0.69712409694545463</v>
      </c>
      <c r="K67" s="749">
        <f>$E$22*$M$9*'Traffic Data'!AM21*annualizationFactor</f>
        <v>0.72372905471999993</v>
      </c>
      <c r="L67" s="749">
        <f>$E$22*$M$9*'Traffic Data'!AN21*annualizationFactor</f>
        <v>0.78275088623999989</v>
      </c>
      <c r="M67" s="749">
        <f>$E$22*$M$9*'Traffic Data'!AO21*annualizationFactor</f>
        <v>0.84178750464000018</v>
      </c>
      <c r="N67" s="749">
        <f>$E$22*$M$9*'Traffic Data'!AP21*annualizationFactor</f>
        <v>0.90085638532363654</v>
      </c>
      <c r="O67" s="749">
        <f>$E$22*$M$9*'Traffic Data'!AQ21*annualizationFactor</f>
        <v>0.95987821684363683</v>
      </c>
      <c r="P67" s="749">
        <f>$E$22*$M$9*'Traffic Data'!AR21*annualizationFactor</f>
        <v>1.0189518024436366</v>
      </c>
      <c r="Q67" s="749">
        <f>$E$22*$M$9*'Traffic Data'!AS21*annualizationFactor</f>
        <v>1.0983707906618179</v>
      </c>
      <c r="R67" s="749">
        <f>$E$22*$M$9*'Traffic Data'!AT21*annualizationFactor</f>
        <v>1.1777931395345453</v>
      </c>
      <c r="S67" s="749">
        <f>$E$22*$M$9*'Traffic Data'!AU21*annualizationFactor</f>
        <v>1.2572121277527271</v>
      </c>
      <c r="T67" s="749">
        <f>$E$22*$M$9*'Traffic Data'!AV21*annualizationFactor</f>
        <v>1.336631115970909</v>
      </c>
      <c r="U67" s="749">
        <f>$E$22*$M$9*'Traffic Data'!AW21*annualizationFactor</f>
        <v>1.4161240385890912</v>
      </c>
      <c r="V67" s="749">
        <f>$E$22*$M$9*'Traffic Data'!AX21*annualizationFactor</f>
        <v>1.463089185861818</v>
      </c>
      <c r="W67" s="749">
        <f>$E$22*$M$9*'Traffic Data'!AY21*annualizationFactor</f>
        <v>1.4880823737163638</v>
      </c>
      <c r="X67" s="749">
        <f>$E$22*$M$9*'Traffic Data'!AZ21*annualizationFactor</f>
        <v>1.5130755615709088</v>
      </c>
      <c r="Y67" s="749">
        <f>$E$22*$M$9*'Traffic Data'!BA21*annualizationFactor</f>
        <v>1.5380687494254546</v>
      </c>
      <c r="Z67" s="749">
        <f>$E$22*$M$9*'Traffic Data'!BB21*annualizationFactor</f>
        <v>1.5630753798981818</v>
      </c>
      <c r="AA67" s="749">
        <f>$E$22*$M$9*'Traffic Data'!BC21*annualizationFactor</f>
        <v>1.5880685677527271</v>
      </c>
      <c r="AB67" s="749">
        <f>$E$22*$M$9*'Traffic Data'!BD21*annualizationFactor</f>
        <v>1.6130751982254543</v>
      </c>
      <c r="AC67" s="749">
        <f>$E$22*$M$9*'Traffic Data'!BE21*annualizationFactor</f>
        <v>1.63806838608</v>
      </c>
      <c r="AD67" s="749">
        <f>$E$22*$M$9*'Traffic Data'!BF21*annualizationFactor</f>
        <v>1.6630615739345451</v>
      </c>
      <c r="AE67" s="749">
        <f>$E$22*$M$9*'Traffic Data'!BG21*annualizationFactor</f>
        <v>1.6880682044072726</v>
      </c>
      <c r="AF67" s="749">
        <f>$E$22*$M$9*'Traffic Data'!BH21*annualizationFactor</f>
        <v>1.7130613922618181</v>
      </c>
      <c r="AG67" s="749">
        <f>$E$22*$M$9*'Traffic Data'!BI21*annualizationFactor</f>
        <v>1.7380545801163634</v>
      </c>
      <c r="AH67" s="750">
        <f>$E$22*$M$9*'Traffic Data'!BJ21*annualizationFactor</f>
        <v>1.763061210589091</v>
      </c>
      <c r="AI67" s="40"/>
      <c r="AJ67" s="40"/>
      <c r="AK67" s="40"/>
      <c r="AL67" s="40"/>
      <c r="AM67" s="40"/>
    </row>
    <row r="68" spans="2:39" ht="21.9" customHeight="1" x14ac:dyDescent="0.25">
      <c r="B68" s="469"/>
      <c r="C68" s="114" t="s">
        <v>333</v>
      </c>
      <c r="D68" s="114" t="s">
        <v>323</v>
      </c>
      <c r="E68" s="114" t="s">
        <v>434</v>
      </c>
      <c r="F68" s="114" t="s">
        <v>43</v>
      </c>
      <c r="G68" s="941"/>
      <c r="H68" s="941"/>
      <c r="I68" s="751">
        <f>$E$22*$M$9*'Traffic Data'!AK22*annualizationFactor</f>
        <v>9.7886894545454559E-2</v>
      </c>
      <c r="J68" s="751">
        <f>$E$22*$M$9*'Traffic Data'!AL22*annualizationFactor</f>
        <v>0.10137025120727274</v>
      </c>
      <c r="K68" s="751">
        <f>$E$22*$M$9*'Traffic Data'!AM22*annualizationFactor</f>
        <v>0.10516117879563637</v>
      </c>
      <c r="L68" s="751">
        <f>$E$22*$M$9*'Traffic Data'!AN22*annualizationFactor</f>
        <v>0.11240905934400003</v>
      </c>
      <c r="M68" s="751">
        <f>$E$22*$M$9*'Traffic Data'!AO22*annualizationFactor</f>
        <v>0.11965977346036365</v>
      </c>
      <c r="N68" s="751">
        <f>$E$22*$M$9*'Traffic Data'!AP22*annualizationFactor</f>
        <v>0.12691151796509093</v>
      </c>
      <c r="O68" s="751">
        <f>$E$22*$M$9*'Traffic Data'!AQ22*annualizationFactor</f>
        <v>0.13415939851345454</v>
      </c>
      <c r="P68" s="751">
        <f>$E$22*$M$9*'Traffic Data'!AR22*annualizationFactor</f>
        <v>0.14141333259345454</v>
      </c>
      <c r="Q68" s="751">
        <f>$E$22*$M$9*'Traffic Data'!AS22*annualizationFactor</f>
        <v>0.15136559620072723</v>
      </c>
      <c r="R68" s="751">
        <f>$E$22*$M$9*'Traffic Data'!AT22*annualizationFactor</f>
        <v>0.16131979178618178</v>
      </c>
      <c r="S68" s="751">
        <f>$E$22*$M$9*'Traffic Data'!AU22*annualizationFactor</f>
        <v>0.17127076740799999</v>
      </c>
      <c r="T68" s="751">
        <f>$E$22*$M$9*'Traffic Data'!AV22*annualizationFactor</f>
        <v>0.18122303101527273</v>
      </c>
      <c r="U68" s="751">
        <f>$E$22*$M$9*'Traffic Data'!AW22*annualizationFactor</f>
        <v>0.1911830225352727</v>
      </c>
      <c r="V68" s="751">
        <f>$E$22*$M$9*'Traffic Data'!AX22*annualizationFactor</f>
        <v>0.19767382523345453</v>
      </c>
      <c r="W68" s="751">
        <f>$E$22*$M$9*'Traffic Data'!AY22*annualizationFactor</f>
        <v>0.20115718189527271</v>
      </c>
      <c r="X68" s="751">
        <f>$E$22*$M$9*'Traffic Data'!AZ22*annualizationFactor</f>
        <v>0.20464053855709088</v>
      </c>
      <c r="Y68" s="751">
        <f>$E$22*$M$9*'Traffic Data'!BA22*annualizationFactor</f>
        <v>0.20812389521890906</v>
      </c>
      <c r="Z68" s="751">
        <f>$E$22*$M$9*'Traffic Data'!BB22*annualizationFactor</f>
        <v>0.21160853986618178</v>
      </c>
      <c r="AA68" s="751">
        <f>$E$22*$M$9*'Traffic Data'!BC22*annualizationFactor</f>
        <v>0.21509189652799993</v>
      </c>
      <c r="AB68" s="751">
        <f>$E$22*$M$9*'Traffic Data'!BD22*annualizationFactor</f>
        <v>0.21857654117527278</v>
      </c>
      <c r="AC68" s="751">
        <f>$E$22*$M$9*'Traffic Data'!BE22*annualizationFactor</f>
        <v>0.22205989783709087</v>
      </c>
      <c r="AD68" s="751">
        <f>$E$22*$M$9*'Traffic Data'!BF22*annualizationFactor</f>
        <v>0.22554325449890908</v>
      </c>
      <c r="AE68" s="751">
        <f>$E$22*$M$9*'Traffic Data'!BG22*annualizationFactor</f>
        <v>0.22902789914618182</v>
      </c>
      <c r="AF68" s="751">
        <f>$E$22*$M$9*'Traffic Data'!BH22*annualizationFactor</f>
        <v>0.23251125580800003</v>
      </c>
      <c r="AG68" s="751">
        <f>$E$22*$M$9*'Traffic Data'!BI22*annualizationFactor</f>
        <v>0.23599461246981818</v>
      </c>
      <c r="AH68" s="752">
        <f>$E$22*$M$9*'Traffic Data'!BJ22*annualizationFactor</f>
        <v>0.23947925711709087</v>
      </c>
      <c r="AI68" s="40"/>
      <c r="AJ68" s="40"/>
      <c r="AK68" s="40"/>
      <c r="AL68" s="40"/>
      <c r="AM68" s="40"/>
    </row>
    <row r="69" spans="2:39" ht="21.9" customHeight="1" x14ac:dyDescent="0.25">
      <c r="B69" s="469"/>
      <c r="C69" s="114" t="s">
        <v>323</v>
      </c>
      <c r="D69" s="114" t="s">
        <v>322</v>
      </c>
      <c r="E69" s="114" t="s">
        <v>434</v>
      </c>
      <c r="F69" s="114" t="s">
        <v>43</v>
      </c>
      <c r="G69" s="941"/>
      <c r="H69" s="941"/>
      <c r="I69" s="751">
        <f>$E$22*$M$9*'Traffic Data'!AK23*annualizationFactor</f>
        <v>2.4209454545454544E-2</v>
      </c>
      <c r="J69" s="751">
        <f>$E$22*$M$9*'Traffic Data'!AL23*annualizationFactor</f>
        <v>2.5070960727272724E-2</v>
      </c>
      <c r="K69" s="751">
        <f>$E$22*$M$9*'Traffic Data'!AM23*annualizationFactor</f>
        <v>2.6008535563636359E-2</v>
      </c>
      <c r="L69" s="751">
        <f>$E$22*$M$9*'Traffic Data'!AN23*annualizationFactor</f>
        <v>2.7801086400000005E-2</v>
      </c>
      <c r="M69" s="751">
        <f>$E$22*$M$9*'Traffic Data'!AO23*annualizationFactor</f>
        <v>2.9594338036363639E-2</v>
      </c>
      <c r="N69" s="751">
        <f>$E$22*$M$9*'Traffic Data'!AP23*annualizationFactor</f>
        <v>3.1387844509090906E-2</v>
      </c>
      <c r="O69" s="751">
        <f>$E$22*$M$9*'Traffic Data'!AQ23*annualizationFactor</f>
        <v>3.3180395345454541E-2</v>
      </c>
      <c r="P69" s="751">
        <f>$E$22*$M$9*'Traffic Data'!AR23*annualizationFactor</f>
        <v>3.4974443345454548E-2</v>
      </c>
      <c r="Q69" s="751">
        <f>$E$22*$M$9*'Traffic Data'!AS23*annualizationFactor</f>
        <v>3.7435844072727258E-2</v>
      </c>
      <c r="R69" s="751">
        <f>$E$22*$M$9*'Traffic Data'!AT23*annualizationFactor</f>
        <v>3.9897722618181808E-2</v>
      </c>
      <c r="S69" s="751">
        <f>$E$22*$M$9*'Traffic Data'!AU23*annualizationFactor</f>
        <v>4.2358804799999997E-2</v>
      </c>
      <c r="T69" s="751">
        <f>$E$22*$M$9*'Traffic Data'!AV23*annualizationFactor</f>
        <v>4.4820205527272727E-2</v>
      </c>
      <c r="U69" s="751">
        <f>$E$22*$M$9*'Traffic Data'!AW23*annualizationFactor</f>
        <v>4.7283517527272716E-2</v>
      </c>
      <c r="V69" s="751">
        <f>$E$22*$M$9*'Traffic Data'!AX23*annualizationFactor</f>
        <v>4.8888827345454536E-2</v>
      </c>
      <c r="W69" s="751">
        <f>$E$22*$M$9*'Traffic Data'!AY23*annualizationFactor</f>
        <v>4.9750333527272719E-2</v>
      </c>
      <c r="X69" s="751">
        <f>$E$22*$M$9*'Traffic Data'!AZ23*annualizationFactor</f>
        <v>5.0611839709090896E-2</v>
      </c>
      <c r="Y69" s="751">
        <f>$E$22*$M$9*'Traffic Data'!BA23*annualizationFactor</f>
        <v>5.1473345890909086E-2</v>
      </c>
      <c r="Z69" s="751">
        <f>$E$22*$M$9*'Traffic Data'!BB23*annualizationFactor</f>
        <v>5.2335170618181805E-2</v>
      </c>
      <c r="AA69" s="751">
        <f>$E$22*$M$9*'Traffic Data'!BC23*annualizationFactor</f>
        <v>5.3196676799999981E-2</v>
      </c>
      <c r="AB69" s="751">
        <f>$E$22*$M$9*'Traffic Data'!BD23*annualizationFactor</f>
        <v>5.4058501527272727E-2</v>
      </c>
      <c r="AC69" s="751">
        <f>$E$22*$M$9*'Traffic Data'!BE23*annualizationFactor</f>
        <v>5.4920007709090904E-2</v>
      </c>
      <c r="AD69" s="751">
        <f>$E$22*$M$9*'Traffic Data'!BF23*annualizationFactor</f>
        <v>5.578151389090908E-2</v>
      </c>
      <c r="AE69" s="751">
        <f>$E$22*$M$9*'Traffic Data'!BG23*annualizationFactor</f>
        <v>5.6643338618181813E-2</v>
      </c>
      <c r="AF69" s="751">
        <f>$E$22*$M$9*'Traffic Data'!BH23*annualizationFactor</f>
        <v>5.7504844799999996E-2</v>
      </c>
      <c r="AG69" s="751">
        <f>$E$22*$M$9*'Traffic Data'!BI23*annualizationFactor</f>
        <v>5.8366350981818187E-2</v>
      </c>
      <c r="AH69" s="752">
        <f>$E$22*$M$9*'Traffic Data'!BJ23*annualizationFactor</f>
        <v>5.9228175709090898E-2</v>
      </c>
      <c r="AI69" s="40"/>
      <c r="AJ69" s="40"/>
      <c r="AK69" s="40"/>
      <c r="AL69" s="40"/>
      <c r="AM69" s="40"/>
    </row>
    <row r="70" spans="2:39" ht="21.9" customHeight="1" x14ac:dyDescent="0.25">
      <c r="B70" s="469"/>
      <c r="C70" s="114" t="s">
        <v>322</v>
      </c>
      <c r="D70" s="114" t="s">
        <v>326</v>
      </c>
      <c r="E70" s="114" t="s">
        <v>434</v>
      </c>
      <c r="F70" s="114" t="s">
        <v>43</v>
      </c>
      <c r="G70" s="941"/>
      <c r="H70" s="941"/>
      <c r="I70" s="751">
        <f>$E$22*$M$9*'Traffic Data'!AK24*annualizationFactor</f>
        <v>6.2116363636363636E-2</v>
      </c>
      <c r="J70" s="751">
        <f>$E$22*$M$9*'Traffic Data'!AL24*annualizationFactor</f>
        <v>6.4255547672727273E-2</v>
      </c>
      <c r="K70" s="751">
        <f>$E$22*$M$9*'Traffic Data'!AM24*annualizationFactor</f>
        <v>6.6642161890909088E-2</v>
      </c>
      <c r="L70" s="751">
        <f>$E$22*$M$9*'Traffic Data'!AN24*annualizationFactor</f>
        <v>7.0811308690909097E-2</v>
      </c>
      <c r="M70" s="751">
        <f>$E$22*$M$9*'Traffic Data'!AO24*annualizationFactor</f>
        <v>7.4982940145454549E-2</v>
      </c>
      <c r="N70" s="751">
        <f>$E$22*$M$9*'Traffic Data'!AP24*annualizationFactor</f>
        <v>7.915312221818184E-2</v>
      </c>
      <c r="O70" s="751">
        <f>$E$22*$M$9*'Traffic Data'!AQ24*annualizationFactor</f>
        <v>8.3322269018181822E-2</v>
      </c>
      <c r="P70" s="751">
        <f>$E$22*$M$9*'Traffic Data'!AR24*annualizationFactor</f>
        <v>8.7495660436363643E-2</v>
      </c>
      <c r="Q70" s="751">
        <f>$E$22*$M$9*'Traffic Data'!AS24*annualizationFactor</f>
        <v>9.2870589381818192E-2</v>
      </c>
      <c r="R70" s="751">
        <f>$E$22*$M$9*'Traffic Data'!AT24*annualizationFactor</f>
        <v>9.8248520618181845E-2</v>
      </c>
      <c r="S70" s="751">
        <f>$E$22*$M$9*'Traffic Data'!AU24*annualizationFactor</f>
        <v>0.10362241429090904</v>
      </c>
      <c r="T70" s="751">
        <f>$E$22*$M$9*'Traffic Data'!AV24*annualizationFactor</f>
        <v>0.10899734323636363</v>
      </c>
      <c r="U70" s="751">
        <f>$E$22*$M$9*'Traffic Data'!AW24*annualizationFactor</f>
        <v>0.11437682738181817</v>
      </c>
      <c r="V70" s="751">
        <f>$E$22*$M$9*'Traffic Data'!AX24*annualizationFactor</f>
        <v>0.11796642850909092</v>
      </c>
      <c r="W70" s="751">
        <f>$E$22*$M$9*'Traffic Data'!AY24*annualizationFactor</f>
        <v>0.12010561254545458</v>
      </c>
      <c r="X70" s="751">
        <f>$E$22*$M$9*'Traffic Data'!AZ24*annualizationFactor</f>
        <v>0.12224479658181819</v>
      </c>
      <c r="Y70" s="751">
        <f>$E$22*$M$9*'Traffic Data'!BA24*annualizationFactor</f>
        <v>0.12438398061818187</v>
      </c>
      <c r="Z70" s="751">
        <f>$E$22*$M$9*'Traffic Data'!BB24*annualizationFactor</f>
        <v>0.12652440698181824</v>
      </c>
      <c r="AA70" s="751">
        <f>$E$22*$M$9*'Traffic Data'!BC24*annualizationFactor</f>
        <v>0.12866359101818184</v>
      </c>
      <c r="AB70" s="751">
        <f>$E$22*$M$9*'Traffic Data'!BD24*annualizationFactor</f>
        <v>0.13080401738181816</v>
      </c>
      <c r="AC70" s="751">
        <f>$E$22*$M$9*'Traffic Data'!BE24*annualizationFactor</f>
        <v>0.13294320141818183</v>
      </c>
      <c r="AD70" s="751">
        <f>$E$22*$M$9*'Traffic Data'!BF24*annualizationFactor</f>
        <v>0.13508238545454546</v>
      </c>
      <c r="AE70" s="751">
        <f>$E$22*$M$9*'Traffic Data'!BG24*annualizationFactor</f>
        <v>0.13722281181818183</v>
      </c>
      <c r="AF70" s="751">
        <f>$E$22*$M$9*'Traffic Data'!BH24*annualizationFactor</f>
        <v>0.13936199585454545</v>
      </c>
      <c r="AG70" s="751">
        <f>$E$22*$M$9*'Traffic Data'!BI24*annualizationFactor</f>
        <v>0.1415011798909091</v>
      </c>
      <c r="AH70" s="752">
        <f>$E$22*$M$9*'Traffic Data'!BJ24*annualizationFactor</f>
        <v>0.14364160625454547</v>
      </c>
      <c r="AI70" s="40"/>
      <c r="AJ70" s="40"/>
      <c r="AK70" s="40"/>
      <c r="AL70" s="40"/>
      <c r="AM70" s="40"/>
    </row>
    <row r="71" spans="2:39" ht="21.9" customHeight="1" x14ac:dyDescent="0.25">
      <c r="B71" s="469"/>
      <c r="C71" s="114" t="s">
        <v>326</v>
      </c>
      <c r="D71" s="114" t="s">
        <v>274</v>
      </c>
      <c r="E71" s="114" t="s">
        <v>434</v>
      </c>
      <c r="F71" s="114" t="s">
        <v>43</v>
      </c>
      <c r="G71" s="941"/>
      <c r="H71" s="941"/>
      <c r="I71" s="751">
        <f>$E$22*$M$9*'Traffic Data'!AK25*annualizationFactor</f>
        <v>0.51572509090909091</v>
      </c>
      <c r="J71" s="751">
        <f>$E$22*$M$9*'Traffic Data'!AL25*annualizationFactor</f>
        <v>0.53348580349818187</v>
      </c>
      <c r="K71" s="751">
        <f>$E$22*$M$9*'Traffic Data'!AM25*annualizationFactor</f>
        <v>0.55330082103272726</v>
      </c>
      <c r="L71" s="751">
        <f>$E$22*$M$9*'Traffic Data'!AN25*annualizationFactor</f>
        <v>0.58791542959272725</v>
      </c>
      <c r="M71" s="751">
        <f>$E$22*$M$9*'Traffic Data'!AO25*annualizationFactor</f>
        <v>0.62255066715636365</v>
      </c>
      <c r="N71" s="751">
        <f>$E$22*$M$9*'Traffic Data'!AP25*annualizationFactor</f>
        <v>0.65717387113454562</v>
      </c>
      <c r="O71" s="751">
        <f>$E$22*$M$9*'Traffic Data'!AQ25*annualizationFactor</f>
        <v>0.6917884796945456</v>
      </c>
      <c r="P71" s="751">
        <f>$E$22*$M$9*'Traffic Data'!AR25*annualizationFactor</f>
        <v>0.72643832946909104</v>
      </c>
      <c r="Q71" s="751">
        <f>$E$22*$M$9*'Traffic Data'!AS25*annualizationFactor</f>
        <v>0.77106402158545462</v>
      </c>
      <c r="R71" s="751">
        <f>$E$22*$M$9*'Traffic Data'!AT25*annualizationFactor</f>
        <v>0.81571464041454567</v>
      </c>
      <c r="S71" s="751">
        <f>$E$22*$M$9*'Traffic Data'!AU25*annualizationFactor</f>
        <v>0.86033173711272692</v>
      </c>
      <c r="T71" s="751">
        <f>$E$22*$M$9*'Traffic Data'!AV25*annualizationFactor</f>
        <v>0.90495742922909084</v>
      </c>
      <c r="U71" s="751">
        <f>$E$22*$M$9*'Traffic Data'!AW25*annualizationFactor</f>
        <v>0.94962094118545459</v>
      </c>
      <c r="V71" s="751">
        <f>$E$22*$M$9*'Traffic Data'!AX25*annualizationFactor</f>
        <v>0.97942383464727278</v>
      </c>
      <c r="W71" s="751">
        <f>$E$22*$M$9*'Traffic Data'!AY25*annualizationFactor</f>
        <v>0.99718454723636385</v>
      </c>
      <c r="X71" s="751">
        <f>$E$22*$M$9*'Traffic Data'!AZ25*annualizationFactor</f>
        <v>1.0149452598254547</v>
      </c>
      <c r="Y71" s="751">
        <f>$E$22*$M$9*'Traffic Data'!BA25*annualizationFactor</f>
        <v>1.032705972414546</v>
      </c>
      <c r="Z71" s="751">
        <f>$E$22*$M$9*'Traffic Data'!BB25*annualizationFactor</f>
        <v>1.050476999505455</v>
      </c>
      <c r="AA71" s="751">
        <f>$E$22*$M$9*'Traffic Data'!BC25*annualizationFactor</f>
        <v>1.0682377120945457</v>
      </c>
      <c r="AB71" s="751">
        <f>$E$22*$M$9*'Traffic Data'!BD25*annualizationFactor</f>
        <v>1.0860087391854543</v>
      </c>
      <c r="AC71" s="751">
        <f>$E$22*$M$9*'Traffic Data'!BE25*annualizationFactor</f>
        <v>1.1037694517745456</v>
      </c>
      <c r="AD71" s="751">
        <f>$E$22*$M$9*'Traffic Data'!BF25*annualizationFactor</f>
        <v>1.1215301643636362</v>
      </c>
      <c r="AE71" s="751">
        <f>$E$22*$M$9*'Traffic Data'!BG25*annualizationFactor</f>
        <v>1.1393011914545457</v>
      </c>
      <c r="AF71" s="751">
        <f>$E$22*$M$9*'Traffic Data'!BH25*annualizationFactor</f>
        <v>1.1570619040436365</v>
      </c>
      <c r="AG71" s="751">
        <f>$E$22*$M$9*'Traffic Data'!BI25*annualizationFactor</f>
        <v>1.1748226166327271</v>
      </c>
      <c r="AH71" s="752">
        <f>$E$22*$M$9*'Traffic Data'!BJ25*annualizationFactor</f>
        <v>1.1925936437236362</v>
      </c>
      <c r="AI71" s="40"/>
      <c r="AJ71" s="40"/>
      <c r="AK71" s="40"/>
      <c r="AL71" s="40"/>
      <c r="AM71" s="40"/>
    </row>
    <row r="72" spans="2:39" ht="21.9" customHeight="1" x14ac:dyDescent="0.25">
      <c r="B72" s="470"/>
      <c r="C72" s="250" t="s">
        <v>274</v>
      </c>
      <c r="D72" s="250" t="s">
        <v>317</v>
      </c>
      <c r="E72" s="250" t="s">
        <v>434</v>
      </c>
      <c r="F72" s="250" t="s">
        <v>43</v>
      </c>
      <c r="G72" s="753"/>
      <c r="H72" s="753"/>
      <c r="I72" s="753">
        <f>$E$22*$M$9*'Traffic Data'!AK26*annualizationFactor</f>
        <v>1.2741818181818182E-2</v>
      </c>
      <c r="J72" s="753">
        <f>$E$22*$M$9*'Traffic Data'!AL26*annualizationFactor</f>
        <v>1.3180625163636363E-2</v>
      </c>
      <c r="K72" s="753">
        <f>$E$22*$M$9*'Traffic Data'!AM26*annualizationFactor</f>
        <v>1.3670187054545452E-2</v>
      </c>
      <c r="L72" s="753">
        <f>$E$22*$M$9*'Traffic Data'!AN26*annualizationFactor</f>
        <v>1.4525396654545455E-2</v>
      </c>
      <c r="M72" s="753">
        <f>$E$22*$M$9*'Traffic Data'!AO26*annualizationFactor</f>
        <v>1.5381115927272728E-2</v>
      </c>
      <c r="N72" s="753">
        <f>$E$22*$M$9*'Traffic Data'!AP26*annualizationFactor</f>
        <v>1.6236537890909095E-2</v>
      </c>
      <c r="O72" s="753">
        <f>$E$22*$M$9*'Traffic Data'!AQ26*annualizationFactor</f>
        <v>1.7091747490909096E-2</v>
      </c>
      <c r="P72" s="753">
        <f>$E$22*$M$9*'Traffic Data'!AR26*annualizationFactor</f>
        <v>1.7947827781818186E-2</v>
      </c>
      <c r="Q72" s="753">
        <f>$E$22*$M$9*'Traffic Data'!AS26*annualizationFactor</f>
        <v>1.9050377309090913E-2</v>
      </c>
      <c r="R72" s="753">
        <f>$E$22*$M$9*'Traffic Data'!AT26*annualizationFactor</f>
        <v>2.0153542690909101E-2</v>
      </c>
      <c r="S72" s="753">
        <f>$E$22*$M$9*'Traffic Data'!AU26*annualizationFactor</f>
        <v>2.1255879854545447E-2</v>
      </c>
      <c r="T72" s="753">
        <f>$E$22*$M$9*'Traffic Data'!AV26*annualizationFactor</f>
        <v>2.2358429381818184E-2</v>
      </c>
      <c r="U72" s="753">
        <f>$E$22*$M$9*'Traffic Data'!AW26*annualizationFactor</f>
        <v>2.346191330909091E-2</v>
      </c>
      <c r="V72" s="753">
        <f>$E$22*$M$9*'Traffic Data'!AX26*annualizationFactor</f>
        <v>2.4198241745454551E-2</v>
      </c>
      <c r="W72" s="753">
        <f>$E$22*$M$9*'Traffic Data'!AY26*annualizationFactor</f>
        <v>2.4637048727272733E-2</v>
      </c>
      <c r="X72" s="753">
        <f>$E$22*$M$9*'Traffic Data'!AZ26*annualizationFactor</f>
        <v>2.5075855709090916E-2</v>
      </c>
      <c r="Y72" s="753">
        <f>$E$22*$M$9*'Traffic Data'!BA26*annualizationFactor</f>
        <v>2.5514662690909105E-2</v>
      </c>
      <c r="Z72" s="753">
        <f>$E$22*$M$9*'Traffic Data'!BB26*annualizationFactor</f>
        <v>2.595372450909092E-2</v>
      </c>
      <c r="AA72" s="753">
        <f>$E$22*$M$9*'Traffic Data'!BC26*annualizationFactor</f>
        <v>2.6392531490909091E-2</v>
      </c>
      <c r="AB72" s="753">
        <f>$E$22*$M$9*'Traffic Data'!BD26*annualizationFactor</f>
        <v>2.683159330909091E-2</v>
      </c>
      <c r="AC72" s="753">
        <f>$E$22*$M$9*'Traffic Data'!BE26*annualizationFactor</f>
        <v>2.7270400290909096E-2</v>
      </c>
      <c r="AD72" s="753">
        <f>$E$22*$M$9*'Traffic Data'!BF26*annualizationFactor</f>
        <v>2.7709207272727274E-2</v>
      </c>
      <c r="AE72" s="753">
        <f>$E$22*$M$9*'Traffic Data'!BG26*annualizationFactor</f>
        <v>2.8148269090909096E-2</v>
      </c>
      <c r="AF72" s="753">
        <f>$E$22*$M$9*'Traffic Data'!BH26*annualizationFactor</f>
        <v>2.8587076072727272E-2</v>
      </c>
      <c r="AG72" s="753">
        <f>$E$22*$M$9*'Traffic Data'!BI26*annualizationFactor</f>
        <v>2.9025883054545461E-2</v>
      </c>
      <c r="AH72" s="757">
        <f>$E$22*$M$9*'Traffic Data'!BJ26*annualizationFactor</f>
        <v>2.9464944872727276E-2</v>
      </c>
      <c r="AI72" s="40"/>
      <c r="AJ72" s="40"/>
      <c r="AK72" s="40"/>
      <c r="AL72" s="40"/>
      <c r="AM72" s="40"/>
    </row>
    <row r="73" spans="2:39" ht="21.9" customHeight="1" thickBot="1" x14ac:dyDescent="0.3">
      <c r="B73" s="781" t="s">
        <v>458</v>
      </c>
      <c r="C73" s="782"/>
      <c r="D73" s="782"/>
      <c r="E73" s="237"/>
      <c r="F73" s="237"/>
      <c r="G73" s="940">
        <f t="shared" ref="G73:AH73" si="1">SUM(G53:G72)</f>
        <v>0</v>
      </c>
      <c r="H73" s="940">
        <f t="shared" si="1"/>
        <v>0</v>
      </c>
      <c r="I73" s="759">
        <f t="shared" si="1"/>
        <v>6.0831707831272741</v>
      </c>
      <c r="J73" s="759">
        <f t="shared" si="1"/>
        <v>6.4313706555797818</v>
      </c>
      <c r="K73" s="759">
        <f t="shared" si="1"/>
        <v>6.9044137239370187</v>
      </c>
      <c r="L73" s="759">
        <f t="shared" si="1"/>
        <v>7.8859430860848008</v>
      </c>
      <c r="M73" s="759">
        <f t="shared" si="1"/>
        <v>8.8678576608017483</v>
      </c>
      <c r="N73" s="759">
        <f t="shared" si="1"/>
        <v>9.8500393217920053</v>
      </c>
      <c r="O73" s="759">
        <f t="shared" si="1"/>
        <v>10.83156868393978</v>
      </c>
      <c r="P73" s="759">
        <f t="shared" si="1"/>
        <v>11.814082517907782</v>
      </c>
      <c r="Q73" s="759">
        <f t="shared" si="1"/>
        <v>13.005910670804655</v>
      </c>
      <c r="R73" s="759">
        <f t="shared" si="1"/>
        <v>14.197966221292367</v>
      </c>
      <c r="S73" s="759">
        <f t="shared" si="1"/>
        <v>15.389747802036799</v>
      </c>
      <c r="T73" s="759">
        <f t="shared" si="1"/>
        <v>16.581575954933669</v>
      </c>
      <c r="U73" s="759">
        <f t="shared" si="1"/>
        <v>17.774602104725098</v>
      </c>
      <c r="V73" s="759">
        <f t="shared" si="1"/>
        <v>18.45732952826793</v>
      </c>
      <c r="W73" s="759">
        <f t="shared" si="1"/>
        <v>18.80551370280044</v>
      </c>
      <c r="X73" s="759">
        <f t="shared" si="1"/>
        <v>19.153713575252944</v>
      </c>
      <c r="Y73" s="759">
        <f t="shared" si="1"/>
        <v>19.501913447705451</v>
      </c>
      <c r="Z73" s="759">
        <f t="shared" si="1"/>
        <v>19.850378581027783</v>
      </c>
      <c r="AA73" s="759">
        <f t="shared" si="1"/>
        <v>20.198578453480295</v>
      </c>
      <c r="AB73" s="759">
        <f t="shared" si="1"/>
        <v>20.547043586802616</v>
      </c>
      <c r="AC73" s="759">
        <f t="shared" si="1"/>
        <v>20.895243459255131</v>
      </c>
      <c r="AD73" s="759">
        <f t="shared" si="1"/>
        <v>21.243443331707642</v>
      </c>
      <c r="AE73" s="759">
        <f t="shared" si="1"/>
        <v>21.591892767109965</v>
      </c>
      <c r="AF73" s="759">
        <f t="shared" si="1"/>
        <v>21.940092639562483</v>
      </c>
      <c r="AG73" s="759">
        <f t="shared" si="1"/>
        <v>22.288292512014976</v>
      </c>
      <c r="AH73" s="760">
        <f t="shared" si="1"/>
        <v>22.636757645337308</v>
      </c>
      <c r="AI73" s="40"/>
      <c r="AJ73" s="40"/>
      <c r="AK73" s="40"/>
      <c r="AL73" s="40"/>
      <c r="AM73" s="40"/>
    </row>
    <row r="74" spans="2:39" ht="21.9" customHeight="1" x14ac:dyDescent="0.25">
      <c r="B74" s="548" t="s">
        <v>312</v>
      </c>
      <c r="C74" s="1331" t="s">
        <v>18</v>
      </c>
      <c r="D74" s="1331"/>
      <c r="E74" s="197" t="s">
        <v>24</v>
      </c>
      <c r="F74" s="197" t="s">
        <v>42</v>
      </c>
      <c r="G74" s="459">
        <v>2021</v>
      </c>
      <c r="H74" s="459">
        <v>2022</v>
      </c>
      <c r="I74" s="459">
        <v>2023</v>
      </c>
      <c r="J74" s="459">
        <v>2024</v>
      </c>
      <c r="K74" s="459">
        <v>2025</v>
      </c>
      <c r="L74" s="459">
        <v>2026</v>
      </c>
      <c r="M74" s="459">
        <v>2027</v>
      </c>
      <c r="N74" s="459">
        <v>2028</v>
      </c>
      <c r="O74" s="459">
        <v>2029</v>
      </c>
      <c r="P74" s="459">
        <v>2030</v>
      </c>
      <c r="Q74" s="459">
        <v>2031</v>
      </c>
      <c r="R74" s="459">
        <v>2032</v>
      </c>
      <c r="S74" s="459">
        <v>2033</v>
      </c>
      <c r="T74" s="459">
        <v>2034</v>
      </c>
      <c r="U74" s="459">
        <v>2035</v>
      </c>
      <c r="V74" s="459">
        <v>2036</v>
      </c>
      <c r="W74" s="459">
        <v>2037</v>
      </c>
      <c r="X74" s="459">
        <v>2038</v>
      </c>
      <c r="Y74" s="459">
        <v>2039</v>
      </c>
      <c r="Z74" s="459">
        <v>2040</v>
      </c>
      <c r="AA74" s="459">
        <v>2041</v>
      </c>
      <c r="AB74" s="459">
        <v>2042</v>
      </c>
      <c r="AC74" s="459">
        <v>2043</v>
      </c>
      <c r="AD74" s="459">
        <v>2044</v>
      </c>
      <c r="AE74" s="459">
        <v>2045</v>
      </c>
      <c r="AF74" s="459">
        <v>2046</v>
      </c>
      <c r="AG74" s="459">
        <v>2047</v>
      </c>
      <c r="AH74" s="459">
        <v>2048</v>
      </c>
      <c r="AI74" s="247"/>
      <c r="AJ74" s="247"/>
      <c r="AK74" s="247"/>
      <c r="AL74" s="247"/>
      <c r="AM74" s="247"/>
    </row>
    <row r="75" spans="2:39" ht="21.9" customHeight="1" x14ac:dyDescent="0.25">
      <c r="B75" s="1332" t="s">
        <v>315</v>
      </c>
      <c r="C75" s="217" t="s">
        <v>316</v>
      </c>
      <c r="D75" s="217" t="s">
        <v>276</v>
      </c>
      <c r="E75" s="217" t="s">
        <v>19</v>
      </c>
      <c r="F75" s="217" t="s">
        <v>405</v>
      </c>
      <c r="G75" s="749"/>
      <c r="H75" s="749"/>
      <c r="I75" s="749">
        <f>$F$21*$E$8*'Traffic Data'!AK7*annualizationFactor</f>
        <v>1.0894710016080001E-4</v>
      </c>
      <c r="J75" s="749">
        <f>$F$21*$E$8*'Traffic Data'!AL7*annualizationFactor</f>
        <v>1.1395934768757281E-4</v>
      </c>
      <c r="K75" s="749">
        <f>$F$21*$E$8*'Traffic Data'!AM7*annualizationFactor</f>
        <v>1.2099767081764851E-4</v>
      </c>
      <c r="L75" s="749">
        <f>$F$21*$E$8*'Traffic Data'!AN7*annualizationFactor</f>
        <v>1.3132279177570033E-4</v>
      </c>
      <c r="M75" s="749">
        <f>$F$21*$E$8*'Traffic Data'!AO7*annualizationFactor</f>
        <v>1.4165165779032017E-4</v>
      </c>
      <c r="N75" s="749">
        <f>$F$21*$E$8*'Traffic Data'!AP7*annualizationFactor</f>
        <v>1.5198086426462798E-4</v>
      </c>
      <c r="O75" s="749">
        <f>$F$21*$E$8*'Traffic Data'!AQ7*annualizationFactor</f>
        <v>1.6230598522267979E-4</v>
      </c>
      <c r="P75" s="749">
        <f>$F$21*$E$8*'Traffic Data'!AR7*annualizationFactor</f>
        <v>1.7263893675355566E-4</v>
      </c>
      <c r="Q75" s="749">
        <f>$F$21*$E$8*'Traffic Data'!AS7*annualizationFactor</f>
        <v>1.8285000371612669E-4</v>
      </c>
      <c r="R75" s="749">
        <f>$F$21*$E$8*'Traffic Data'!AT7*annualizationFactor</f>
        <v>1.9306311343682565E-4</v>
      </c>
      <c r="S75" s="749">
        <f>$F$21*$E$8*'Traffic Data'!AU7*annualizationFactor</f>
        <v>2.0327418039939668E-4</v>
      </c>
      <c r="T75" s="749">
        <f>$F$21*$E$8*'Traffic Data'!AV7*annualizationFactor</f>
        <v>2.1348524736196763E-4</v>
      </c>
      <c r="U75" s="749">
        <f>$F$21*$E$8*'Traffic Data'!AW7*annualizationFactor</f>
        <v>2.2370448535705069E-4</v>
      </c>
      <c r="V75" s="749">
        <f>$F$21*$E$8*'Traffic Data'!AX7*annualizationFactor</f>
        <v>2.3062466897538951E-4</v>
      </c>
      <c r="W75" s="749">
        <f>$F$21*$E$8*'Traffic Data'!AY7*annualizationFactor</f>
        <v>2.3563691650216228E-4</v>
      </c>
      <c r="X75" s="749">
        <f>$F$21*$E$8*'Traffic Data'!AZ7*annualizationFactor</f>
        <v>2.4064916402893505E-4</v>
      </c>
      <c r="Y75" s="749">
        <f>$F$21*$E$8*'Traffic Data'!BA7*annualizationFactor</f>
        <v>2.4566141155570791E-4</v>
      </c>
      <c r="Z75" s="749">
        <f>$F$21*$E$8*'Traffic Data'!BB7*annualizationFactor</f>
        <v>2.5067570184060875E-4</v>
      </c>
      <c r="AA75" s="749">
        <f>$F$21*$E$8*'Traffic Data'!BC7*annualizationFactor</f>
        <v>2.5568794936738152E-4</v>
      </c>
      <c r="AB75" s="749">
        <f>$F$21*$E$8*'Traffic Data'!BD7*annualizationFactor</f>
        <v>2.6070223965228231E-4</v>
      </c>
      <c r="AC75" s="749">
        <f>$F$21*$E$8*'Traffic Data'!BE7*annualizationFactor</f>
        <v>2.6571448717905519E-4</v>
      </c>
      <c r="AD75" s="749">
        <f>$F$21*$E$8*'Traffic Data'!BF7*annualizationFactor</f>
        <v>2.7072673470582796E-4</v>
      </c>
      <c r="AE75" s="749">
        <f>$F$21*$E$8*'Traffic Data'!BG7*annualizationFactor</f>
        <v>2.7574102499072875E-4</v>
      </c>
      <c r="AF75" s="749">
        <f>$F$21*$E$8*'Traffic Data'!BH7*annualizationFactor</f>
        <v>2.8075327251750158E-4</v>
      </c>
      <c r="AG75" s="749">
        <f>$F$21*$E$8*'Traffic Data'!BI7*annualizationFactor</f>
        <v>2.8576552004427441E-4</v>
      </c>
      <c r="AH75" s="750">
        <f>$F$21*$E$8*'Traffic Data'!BJ7*annualizationFactor</f>
        <v>2.907798103291752E-4</v>
      </c>
      <c r="AI75" s="40"/>
      <c r="AJ75" s="40"/>
      <c r="AK75" s="40"/>
      <c r="AL75" s="40"/>
      <c r="AM75" s="40"/>
    </row>
    <row r="76" spans="2:39" ht="21.9" customHeight="1" x14ac:dyDescent="0.25">
      <c r="B76" s="1332"/>
      <c r="C76" s="114" t="s">
        <v>276</v>
      </c>
      <c r="D76" s="114" t="s">
        <v>274</v>
      </c>
      <c r="E76" s="114" t="s">
        <v>19</v>
      </c>
      <c r="F76" s="114" t="s">
        <v>405</v>
      </c>
      <c r="G76" s="941"/>
      <c r="H76" s="941"/>
      <c r="I76" s="751">
        <f>$F$21*$E$8*'Traffic Data'!AK8*annualizationFactor</f>
        <v>3.5032324499223752E-3</v>
      </c>
      <c r="J76" s="751">
        <f>$F$21*$E$8*'Traffic Data'!AL8*annualizationFactor</f>
        <v>3.6972985527130749E-3</v>
      </c>
      <c r="K76" s="751">
        <f>$F$21*$E$8*'Traffic Data'!AM8*annualizationFactor</f>
        <v>3.922348800283088E-3</v>
      </c>
      <c r="L76" s="751">
        <f>$F$21*$E$8*'Traffic Data'!AN8*annualizationFactor</f>
        <v>4.3422825715487834E-3</v>
      </c>
      <c r="M76" s="751">
        <f>$F$21*$E$8*'Traffic Data'!AO8*annualizationFactor</f>
        <v>4.7623720420344766E-3</v>
      </c>
      <c r="N76" s="751">
        <f>$F$21*$E$8*'Traffic Data'!AP8*annualizationFactor</f>
        <v>5.182539362130166E-3</v>
      </c>
      <c r="O76" s="751">
        <f>$F$21*$E$8*'Traffic Data'!AQ8*annualizationFactor</f>
        <v>5.6024731333958605E-3</v>
      </c>
      <c r="P76" s="751">
        <f>$F$21*$E$8*'Traffic Data'!AR8*annualizationFactor</f>
        <v>6.0228091276465466E-3</v>
      </c>
      <c r="Q76" s="751">
        <f>$F$21*$E$8*'Traffic Data'!AS8*annualizationFactor</f>
        <v>6.5210725815055062E-3</v>
      </c>
      <c r="R76" s="751">
        <f>$F$21*$E$8*'Traffic Data'!AT8*annualizationFactor</f>
        <v>7.0194787596494631E-3</v>
      </c>
      <c r="S76" s="751">
        <f>$F$21*$E$8*'Traffic Data'!AU8*annualizationFactor</f>
        <v>7.517742213508421E-3</v>
      </c>
      <c r="T76" s="751">
        <f>$F$21*$E$8*'Traffic Data'!AV8*annualizationFactor</f>
        <v>8.0160056673673798E-3</v>
      </c>
      <c r="U76" s="751">
        <f>$F$21*$E$8*'Traffic Data'!AW8*annualizationFactor</f>
        <v>8.5147621687563287E-3</v>
      </c>
      <c r="V76" s="751">
        <f>$F$21*$E$8*'Traffic Data'!AX8*annualizationFactor</f>
        <v>8.8178955751546124E-3</v>
      </c>
      <c r="W76" s="751">
        <f>$F$21*$E$8*'Traffic Data'!AY8*annualizationFactor</f>
        <v>9.0119616779453134E-3</v>
      </c>
      <c r="X76" s="751">
        <f>$F$21*$E$8*'Traffic Data'!AZ8*annualizationFactor</f>
        <v>9.2060277807360109E-3</v>
      </c>
      <c r="Y76" s="751">
        <f>$F$21*$E$8*'Traffic Data'!BA8*annualizationFactor</f>
        <v>9.4000938835267101E-3</v>
      </c>
      <c r="Z76" s="751">
        <f>$F$21*$E$8*'Traffic Data'!BB8*annualizationFactor</f>
        <v>9.5942897356674096E-3</v>
      </c>
      <c r="AA76" s="751">
        <f>$F$21*$E$8*'Traffic Data'!BC8*annualizationFactor</f>
        <v>9.7883558384581088E-3</v>
      </c>
      <c r="AB76" s="751">
        <f>$F$21*$E$8*'Traffic Data'!BD8*annualizationFactor</f>
        <v>9.9825516905988031E-3</v>
      </c>
      <c r="AC76" s="751">
        <f>$F$21*$E$8*'Traffic Data'!BE8*annualizationFactor</f>
        <v>1.0176617793389506E-2</v>
      </c>
      <c r="AD76" s="751">
        <f>$F$21*$E$8*'Traffic Data'!BF8*annualizationFactor</f>
        <v>1.0370683896180205E-2</v>
      </c>
      <c r="AE76" s="751">
        <f>$F$21*$E$8*'Traffic Data'!BG8*annualizationFactor</f>
        <v>1.0564879748320904E-2</v>
      </c>
      <c r="AF76" s="751">
        <f>$F$21*$E$8*'Traffic Data'!BH8*annualizationFactor</f>
        <v>1.0758945851111602E-2</v>
      </c>
      <c r="AG76" s="751">
        <f>$F$21*$E$8*'Traffic Data'!BI8*annualizationFactor</f>
        <v>1.0953011953902305E-2</v>
      </c>
      <c r="AH76" s="752">
        <f>$F$21*$E$8*'Traffic Data'!BJ8*annualizationFactor</f>
        <v>1.1147207806042999E-2</v>
      </c>
      <c r="AI76" s="40"/>
      <c r="AJ76" s="40"/>
      <c r="AK76" s="40"/>
      <c r="AL76" s="40"/>
      <c r="AM76" s="40"/>
    </row>
    <row r="77" spans="2:39" ht="21.9" customHeight="1" x14ac:dyDescent="0.25">
      <c r="B77" s="1332"/>
      <c r="C77" s="114" t="s">
        <v>274</v>
      </c>
      <c r="D77" s="114" t="s">
        <v>317</v>
      </c>
      <c r="E77" s="250" t="s">
        <v>19</v>
      </c>
      <c r="F77" s="250" t="s">
        <v>405</v>
      </c>
      <c r="G77" s="753"/>
      <c r="H77" s="753"/>
      <c r="I77" s="751">
        <f>$F$21*$E$8*'Traffic Data'!AK9*annualizationFactor</f>
        <v>8.1710325120600013E-5</v>
      </c>
      <c r="J77" s="751">
        <f>$F$21*$E$8*'Traffic Data'!AL9*annualizationFactor</f>
        <v>8.5122412113761048E-5</v>
      </c>
      <c r="K77" s="751">
        <f>$F$21*$E$8*'Traffic Data'!AM9*annualizationFactor</f>
        <v>8.9345474083744056E-5</v>
      </c>
      <c r="L77" s="751">
        <f>$F$21*$E$8*'Traffic Data'!AN9*annualizationFactor</f>
        <v>9.5031150873385825E-5</v>
      </c>
      <c r="M77" s="751">
        <f>$F$21*$E$8*'Traffic Data'!AO9*annualizationFactor</f>
        <v>1.007188704211556E-4</v>
      </c>
      <c r="N77" s="751">
        <f>$F$21*$E$8*'Traffic Data'!AP9*annualizationFactor</f>
        <v>1.0640590904954938E-4</v>
      </c>
      <c r="O77" s="751">
        <f>$F$21*$E$8*'Traffic Data'!AQ9*annualizationFactor</f>
        <v>1.1209158583919112E-4</v>
      </c>
      <c r="P77" s="751">
        <f>$F$21*$E$8*'Traffic Data'!AR9*annualizationFactor</f>
        <v>1.1778134814508891E-4</v>
      </c>
      <c r="Q77" s="751">
        <f>$F$21*$E$8*'Traffic Data'!AS9*annualizationFactor</f>
        <v>1.2329407141322535E-4</v>
      </c>
      <c r="R77" s="751">
        <f>$F$21*$E$8*'Traffic Data'!AT9*annualizationFactor</f>
        <v>1.2880883743948983E-4</v>
      </c>
      <c r="S77" s="751">
        <f>$F$21*$E$8*'Traffic Data'!AU9*annualizationFactor</f>
        <v>1.3432156070762634E-4</v>
      </c>
      <c r="T77" s="751">
        <f>$F$21*$E$8*'Traffic Data'!AV9*annualizationFactor</f>
        <v>1.398342839757628E-4</v>
      </c>
      <c r="U77" s="751">
        <f>$F$21*$E$8*'Traffic Data'!AW9*annualizationFactor</f>
        <v>1.4535109276015532E-4</v>
      </c>
      <c r="V77" s="751">
        <f>$F$21*$E$8*'Traffic Data'!AX9*annualizationFactor</f>
        <v>1.4939915845050503E-4</v>
      </c>
      <c r="W77" s="751">
        <f>$F$21*$E$8*'Traffic Data'!AY9*annualizationFactor</f>
        <v>1.5281124544366611E-4</v>
      </c>
      <c r="X77" s="751">
        <f>$F$21*$E$8*'Traffic Data'!AZ9*annualizationFactor</f>
        <v>1.5622333243682713E-4</v>
      </c>
      <c r="Y77" s="751">
        <f>$F$21*$E$8*'Traffic Data'!BA9*annualizationFactor</f>
        <v>1.596354194299882E-4</v>
      </c>
      <c r="Z77" s="751">
        <f>$F$21*$E$8*'Traffic Data'!BB9*annualizationFactor</f>
        <v>1.6304886826190129E-4</v>
      </c>
      <c r="AA77" s="751">
        <f>$F$21*$E$8*'Traffic Data'!BC9*annualizationFactor</f>
        <v>1.6646095525506234E-4</v>
      </c>
      <c r="AB77" s="751">
        <f>$F$21*$E$8*'Traffic Data'!BD9*annualizationFactor</f>
        <v>1.6987440408697539E-4</v>
      </c>
      <c r="AC77" s="751">
        <f>$F$21*$E$8*'Traffic Data'!BE9*annualizationFactor</f>
        <v>1.732864910801365E-4</v>
      </c>
      <c r="AD77" s="751">
        <f>$F$21*$E$8*'Traffic Data'!BF9*annualizationFactor</f>
        <v>1.7669857807329746E-4</v>
      </c>
      <c r="AE77" s="751">
        <f>$F$21*$E$8*'Traffic Data'!BG9*annualizationFactor</f>
        <v>1.801120269052106E-4</v>
      </c>
      <c r="AF77" s="751">
        <f>$F$21*$E$8*'Traffic Data'!BH9*annualizationFactor</f>
        <v>1.8352411389837165E-4</v>
      </c>
      <c r="AG77" s="751">
        <f>$F$21*$E$8*'Traffic Data'!BI9*annualizationFactor</f>
        <v>1.8693620089153264E-4</v>
      </c>
      <c r="AH77" s="752">
        <f>$F$21*$E$8*'Traffic Data'!BJ9*annualizationFactor</f>
        <v>1.9034964972344576E-4</v>
      </c>
      <c r="AI77" s="40"/>
      <c r="AJ77" s="40"/>
      <c r="AK77" s="40"/>
      <c r="AL77" s="40"/>
      <c r="AM77" s="40"/>
    </row>
    <row r="78" spans="2:39" ht="21.9" customHeight="1" x14ac:dyDescent="0.25">
      <c r="B78" s="1332" t="s">
        <v>274</v>
      </c>
      <c r="C78" s="217" t="s">
        <v>275</v>
      </c>
      <c r="D78" s="217" t="s">
        <v>318</v>
      </c>
      <c r="E78" s="114" t="s">
        <v>19</v>
      </c>
      <c r="F78" s="217" t="s">
        <v>405</v>
      </c>
      <c r="G78" s="941"/>
      <c r="H78" s="941"/>
      <c r="I78" s="749">
        <f>$F$21*$F$8*'Traffic Data'!AK10*annualizationFactor</f>
        <v>6.7505499860400007E-4</v>
      </c>
      <c r="J78" s="749">
        <f>$F$21*$F$8*'Traffic Data'!AL10*annualizationFactor</f>
        <v>7.4871193713917908E-4</v>
      </c>
      <c r="K78" s="749">
        <f>$F$21*$F$8*'Traffic Data'!AM10*annualizationFactor</f>
        <v>8.2650021226581428E-4</v>
      </c>
      <c r="L78" s="749">
        <f>$F$21*$F$8*'Traffic Data'!AN10*annualizationFactor</f>
        <v>1.0672805168053857E-3</v>
      </c>
      <c r="M78" s="749">
        <f>$F$21*$F$8*'Traffic Data'!AO10*annualizationFactor</f>
        <v>1.3081823312447057E-3</v>
      </c>
      <c r="N78" s="749">
        <f>$F$21*$F$8*'Traffic Data'!AP10*annualizationFactor</f>
        <v>1.5491482759088929E-3</v>
      </c>
      <c r="O78" s="749">
        <f>$F$21*$F$8*'Traffic Data'!AQ10*annualizationFactor</f>
        <v>1.7899285804484641E-3</v>
      </c>
      <c r="P78" s="749">
        <f>$F$21*$F$8*'Traffic Data'!AR10*annualizationFactor</f>
        <v>2.0310413495748482E-3</v>
      </c>
      <c r="Q78" s="749">
        <f>$F$21*$F$8*'Traffic Data'!AS10*annualizationFactor</f>
        <v>2.354595210405745E-3</v>
      </c>
      <c r="R78" s="749">
        <f>$F$21*$F$8*'Traffic Data'!AT10*annualizationFactor</f>
        <v>2.6782925204238456E-3</v>
      </c>
      <c r="S78" s="749">
        <f>$F$21*$F$8*'Traffic Data'!AU10*annualizationFactor</f>
        <v>3.0018463812547433E-3</v>
      </c>
      <c r="T78" s="749">
        <f>$F$21*$F$8*'Traffic Data'!AV10*annualizationFactor</f>
        <v>3.3254002420856398E-3</v>
      </c>
      <c r="U78" s="749">
        <f>$F$21*$F$8*'Traffic Data'!AW10*annualizationFactor</f>
        <v>3.6493760122906661E-3</v>
      </c>
      <c r="V78" s="749">
        <f>$F$21*$F$8*'Traffic Data'!AX10*annualizationFactor</f>
        <v>3.8097268890215624E-3</v>
      </c>
      <c r="W78" s="749">
        <f>$F$21*$F$8*'Traffic Data'!AY10*annualizationFactor</f>
        <v>3.8833838275567421E-3</v>
      </c>
      <c r="X78" s="749">
        <f>$F$21*$F$8*'Traffic Data'!AZ10*annualizationFactor</f>
        <v>3.957040766091921E-3</v>
      </c>
      <c r="Y78" s="749">
        <f>$F$21*$F$8*'Traffic Data'!BA10*annualizationFactor</f>
        <v>4.0306977046270995E-3</v>
      </c>
      <c r="Z78" s="749">
        <f>$F$21*$F$8*'Traffic Data'!BB10*annualizationFactor</f>
        <v>4.1044727777870341E-3</v>
      </c>
      <c r="AA78" s="749">
        <f>$F$21*$F$8*'Traffic Data'!BC10*annualizationFactor</f>
        <v>4.1781297163222125E-3</v>
      </c>
      <c r="AB78" s="749">
        <f>$F$21*$F$8*'Traffic Data'!BD10*annualizationFactor</f>
        <v>4.251904789482148E-3</v>
      </c>
      <c r="AC78" s="749">
        <f>$F$21*$F$8*'Traffic Data'!BE10*annualizationFactor</f>
        <v>4.3255617280173273E-3</v>
      </c>
      <c r="AD78" s="749">
        <f>$F$21*$F$8*'Traffic Data'!BF10*annualizationFactor</f>
        <v>4.3992186665525058E-3</v>
      </c>
      <c r="AE78" s="749">
        <f>$F$21*$F$8*'Traffic Data'!BG10*annualizationFactor</f>
        <v>4.4729937397124404E-3</v>
      </c>
      <c r="AF78" s="749">
        <f>$F$21*$F$8*'Traffic Data'!BH10*annualizationFactor</f>
        <v>4.5466506782476197E-3</v>
      </c>
      <c r="AG78" s="749">
        <f>$F$21*$F$8*'Traffic Data'!BI10*annualizationFactor</f>
        <v>4.6203076167827982E-3</v>
      </c>
      <c r="AH78" s="750">
        <f>$F$21*$F$8*'Traffic Data'!BJ10*annualizationFactor</f>
        <v>4.6940826899427327E-3</v>
      </c>
      <c r="AI78" s="40"/>
      <c r="AJ78" s="40"/>
      <c r="AK78" s="40"/>
      <c r="AL78" s="40"/>
      <c r="AM78" s="40"/>
    </row>
    <row r="79" spans="2:39" ht="21.9" customHeight="1" x14ac:dyDescent="0.25">
      <c r="B79" s="1332"/>
      <c r="C79" s="114" t="s">
        <v>318</v>
      </c>
      <c r="D79" s="114" t="s">
        <v>308</v>
      </c>
      <c r="E79" s="114" t="s">
        <v>19</v>
      </c>
      <c r="F79" s="114" t="s">
        <v>405</v>
      </c>
      <c r="G79" s="941"/>
      <c r="H79" s="941"/>
      <c r="I79" s="751">
        <f>$F$21*$F$8*'Traffic Data'!AK11*annualizationFactor</f>
        <v>7.8191698680000015E-5</v>
      </c>
      <c r="J79" s="751">
        <f>$F$21*$F$8*'Traffic Data'!AL11*annualizationFactor</f>
        <v>8.8582072239594013E-5</v>
      </c>
      <c r="K79" s="751">
        <f>$F$21*$F$8*'Traffic Data'!AM11*annualizationFactor</f>
        <v>9.8978961774078022E-5</v>
      </c>
      <c r="L79" s="751">
        <f>$F$21*$F$8*'Traffic Data'!AN11*annualizationFactor</f>
        <v>1.3415610381523201E-4</v>
      </c>
      <c r="M79" s="751">
        <f>$F$21*$F$8*'Traffic Data'!AO11*annualizationFactor</f>
        <v>1.6934041342876502E-4</v>
      </c>
      <c r="N79" s="751">
        <f>$F$21*$F$8*'Traffic Data'!AP11*annualizationFactor</f>
        <v>2.0455665131925905E-4</v>
      </c>
      <c r="O79" s="751">
        <f>$F$21*$F$8*'Traffic Data'!AQ11*annualizationFactor</f>
        <v>2.3973379336041304E-4</v>
      </c>
      <c r="P79" s="751">
        <f>$F$21*$F$8*'Traffic Data'!AR11*annualizationFactor</f>
        <v>2.7494416687350601E-4</v>
      </c>
      <c r="Q79" s="751">
        <f>$F$21*$F$8*'Traffic Data'!AS11*annualizationFactor</f>
        <v>3.2900786213332505E-4</v>
      </c>
      <c r="R79" s="751">
        <f>$F$21*$F$8*'Traffic Data'!AT11*annualizationFactor</f>
        <v>3.8306569301574313E-4</v>
      </c>
      <c r="S79" s="751">
        <f>$F$21*$F$8*'Traffic Data'!AU11*annualizationFactor</f>
        <v>4.371287366780731E-4</v>
      </c>
      <c r="T79" s="751">
        <f>$F$21*$F$8*'Traffic Data'!AV11*annualizationFactor</f>
        <v>4.9119243193789202E-4</v>
      </c>
      <c r="U79" s="751">
        <f>$F$21*$F$8*'Traffic Data'!AW11*annualizationFactor</f>
        <v>5.4530890659432011E-4</v>
      </c>
      <c r="V79" s="751">
        <f>$F$21*$F$8*'Traffic Data'!AX11*annualizationFactor</f>
        <v>5.7456563385042015E-4</v>
      </c>
      <c r="W79" s="751">
        <f>$F$21*$F$8*'Traffic Data'!AY11*annualizationFactor</f>
        <v>5.8495600741001409E-4</v>
      </c>
      <c r="X79" s="751">
        <f>$F$21*$F$8*'Traffic Data'!AZ11*annualizationFactor</f>
        <v>5.9534638096960814E-4</v>
      </c>
      <c r="Y79" s="751">
        <f>$F$21*$F$8*'Traffic Data'!BA11*annualizationFactor</f>
        <v>6.057367545292022E-4</v>
      </c>
      <c r="Z79" s="751">
        <f>$F$21*$F$8*'Traffic Data'!BB11*annualizationFactor</f>
        <v>6.1613364406368622E-4</v>
      </c>
      <c r="AA79" s="751">
        <f>$F$21*$F$8*'Traffic Data'!BC11*annualizationFactor</f>
        <v>6.2652401762328005E-4</v>
      </c>
      <c r="AB79" s="751">
        <f>$F$21*$F$8*'Traffic Data'!BD11*annualizationFactor</f>
        <v>6.3692090715776408E-4</v>
      </c>
      <c r="AC79" s="751">
        <f>$F$21*$F$8*'Traffic Data'!BE11*annualizationFactor</f>
        <v>6.4731128071735802E-4</v>
      </c>
      <c r="AD79" s="751">
        <f>$F$21*$F$8*'Traffic Data'!BF11*annualizationFactor</f>
        <v>6.5770165427695207E-4</v>
      </c>
      <c r="AE79" s="751">
        <f>$F$21*$F$8*'Traffic Data'!BG11*annualizationFactor</f>
        <v>6.680985438114362E-4</v>
      </c>
      <c r="AF79" s="751">
        <f>$F$21*$F$8*'Traffic Data'!BH11*annualizationFactor</f>
        <v>6.7848891737103015E-4</v>
      </c>
      <c r="AG79" s="751">
        <f>$F$21*$F$8*'Traffic Data'!BI11*annualizationFactor</f>
        <v>6.8887929093062398E-4</v>
      </c>
      <c r="AH79" s="752">
        <f>$F$21*$F$8*'Traffic Data'!BJ11*annualizationFactor</f>
        <v>6.9927618046510811E-4</v>
      </c>
      <c r="AI79" s="40"/>
      <c r="AJ79" s="40"/>
      <c r="AK79" s="40"/>
      <c r="AL79" s="40"/>
      <c r="AM79" s="40"/>
    </row>
    <row r="80" spans="2:39" ht="21.9" customHeight="1" x14ac:dyDescent="0.25">
      <c r="B80" s="1332"/>
      <c r="C80" s="250" t="s">
        <v>308</v>
      </c>
      <c r="D80" s="250" t="s">
        <v>319</v>
      </c>
      <c r="E80" s="114" t="s">
        <v>19</v>
      </c>
      <c r="F80" s="114" t="s">
        <v>405</v>
      </c>
      <c r="G80" s="941"/>
      <c r="H80" s="941"/>
      <c r="I80" s="751">
        <f>$F$21*$F$8*'Traffic Data'!AK12*annualizationFactor</f>
        <v>1.0477687623120001E-3</v>
      </c>
      <c r="J80" s="751">
        <f>$F$21*$F$8*'Traffic Data'!AL12*annualizationFactor</f>
        <v>1.0866287594248818E-3</v>
      </c>
      <c r="K80" s="751">
        <f>$F$21*$F$8*'Traffic Data'!AM12*annualizationFactor</f>
        <v>1.1255132044755503E-3</v>
      </c>
      <c r="L80" s="751">
        <f>$F$21*$F$8*'Traffic Data'!AN12*annualizationFactor</f>
        <v>1.2010276454566468E-3</v>
      </c>
      <c r="M80" s="751">
        <f>$F$21*$F$8*'Traffic Data'!AO12*annualizationFactor</f>
        <v>1.2765857434695064E-3</v>
      </c>
      <c r="N80" s="751">
        <f>$F$21*$F$8*'Traffic Data'!AP12*annualizationFactor</f>
        <v>1.35212463238839E-3</v>
      </c>
      <c r="O80" s="751">
        <f>$F$21*$F$8*'Traffic Data'!AQ12*annualizationFactor</f>
        <v>1.4276390733694866E-3</v>
      </c>
      <c r="P80" s="751">
        <f>$F$21*$F$8*'Traffic Data'!AR12*annualizationFactor</f>
        <v>1.5032338432890266E-3</v>
      </c>
      <c r="Q80" s="751">
        <f>$F$21*$F$8*'Traffic Data'!AS12*annualizationFactor</f>
        <v>1.6081381980529745E-3</v>
      </c>
      <c r="R80" s="751">
        <f>$F$21*$F$8*'Traffic Data'!AT12*annualizationFactor</f>
        <v>1.7130984338175792E-3</v>
      </c>
      <c r="S80" s="751">
        <f>$F$21*$F$8*'Traffic Data'!AU12*annualizationFactor</f>
        <v>1.8179835794875513E-3</v>
      </c>
      <c r="T80" s="751">
        <f>$F$21*$F$8*'Traffic Data'!AV12*annualizationFactor</f>
        <v>1.9228879342514996E-3</v>
      </c>
      <c r="U80" s="751">
        <f>$F$21*$F$8*'Traffic Data'!AW12*annualizationFactor</f>
        <v>2.0278848419227856E-3</v>
      </c>
      <c r="V80" s="751">
        <f>$F$21*$F$8*'Traffic Data'!AX12*annualizationFactor</f>
        <v>2.0961033197556492E-3</v>
      </c>
      <c r="W80" s="751">
        <f>$F$21*$F$8*'Traffic Data'!AY12*annualizationFactor</f>
        <v>2.1349633168685307E-3</v>
      </c>
      <c r="X80" s="751">
        <f>$F$21*$F$8*'Traffic Data'!AZ12*annualizationFactor</f>
        <v>2.1738233139814121E-3</v>
      </c>
      <c r="Y80" s="751">
        <f>$F$21*$F$8*'Traffic Data'!BA12*annualizationFactor</f>
        <v>2.2126833110942936E-3</v>
      </c>
      <c r="Z80" s="751">
        <f>$F$21*$F$8*'Traffic Data'!BB12*annualizationFactor</f>
        <v>2.2515677561449629E-3</v>
      </c>
      <c r="AA80" s="751">
        <f>$F$21*$F$8*'Traffic Data'!BC12*annualizationFactor</f>
        <v>2.2904277532578435E-3</v>
      </c>
      <c r="AB80" s="751">
        <f>$F$21*$F$8*'Traffic Data'!BD12*annualizationFactor</f>
        <v>2.3293121983085129E-3</v>
      </c>
      <c r="AC80" s="751">
        <f>$F$21*$F$8*'Traffic Data'!BE12*annualizationFactor</f>
        <v>2.3681721954213948E-3</v>
      </c>
      <c r="AD80" s="751">
        <f>$F$21*$F$8*'Traffic Data'!BF12*annualizationFactor</f>
        <v>2.4070321925342766E-3</v>
      </c>
      <c r="AE80" s="751">
        <f>$F$21*$F$8*'Traffic Data'!BG12*annualizationFactor</f>
        <v>2.4459166375849451E-3</v>
      </c>
      <c r="AF80" s="751">
        <f>$F$21*$F$8*'Traffic Data'!BH12*annualizationFactor</f>
        <v>2.4847766346978262E-3</v>
      </c>
      <c r="AG80" s="751">
        <f>$F$21*$F$8*'Traffic Data'!BI12*annualizationFactor</f>
        <v>2.523636631810708E-3</v>
      </c>
      <c r="AH80" s="752">
        <f>$F$21*$F$8*'Traffic Data'!BJ12*annualizationFactor</f>
        <v>2.562521076861377E-3</v>
      </c>
      <c r="AI80" s="40"/>
      <c r="AJ80" s="40"/>
      <c r="AK80" s="40"/>
      <c r="AL80" s="40"/>
      <c r="AM80" s="40"/>
    </row>
    <row r="81" spans="2:39" ht="21.9" customHeight="1" x14ac:dyDescent="0.25">
      <c r="B81" s="469" t="s">
        <v>320</v>
      </c>
      <c r="C81" s="114" t="s">
        <v>318</v>
      </c>
      <c r="D81" s="114" t="s">
        <v>308</v>
      </c>
      <c r="E81" s="273" t="s">
        <v>19</v>
      </c>
      <c r="F81" s="273" t="s">
        <v>405</v>
      </c>
      <c r="G81" s="754"/>
      <c r="H81" s="754"/>
      <c r="I81" s="749">
        <f>$F$21*$G$8*'Traffic Data'!AK13*annualizationFactor</f>
        <v>3.0625081983000006E-6</v>
      </c>
      <c r="J81" s="749">
        <f>$F$21*$G$8*'Traffic Data'!AL13*annualizationFactor</f>
        <v>4.9582007730477002E-6</v>
      </c>
      <c r="K81" s="749">
        <f>$F$21*$G$8*'Traffic Data'!AM13*annualizationFactor</f>
        <v>1.41457253679477E-5</v>
      </c>
      <c r="L81" s="749">
        <f>$F$21*$G$8*'Traffic Data'!AN13*annualizationFactor</f>
        <v>2.9908455064597802E-5</v>
      </c>
      <c r="M81" s="749">
        <f>$F$21*$G$8*'Traffic Data'!AO13*annualizationFactor</f>
        <v>4.5683434794041106E-5</v>
      </c>
      <c r="N81" s="749">
        <f>$F$21*$G$8*'Traffic Data'!AP13*annualizationFactor</f>
        <v>6.1452289507087812E-5</v>
      </c>
      <c r="O81" s="749">
        <f>$F$21*$G$8*'Traffic Data'!AQ13*annualizationFactor</f>
        <v>7.7215019203737923E-5</v>
      </c>
      <c r="P81" s="749">
        <f>$F$21*$G$8*'Traffic Data'!AR13*annualizationFactor</f>
        <v>9.3002248965974411E-5</v>
      </c>
      <c r="Q81" s="749">
        <f>$F$21*$G$8*'Traffic Data'!AS13*annualizationFactor</f>
        <v>1.0148233416706712E-4</v>
      </c>
      <c r="R81" s="749">
        <f>$F$21*$G$8*'Traffic Data'!AT13*annualizationFactor</f>
        <v>1.09974669400953E-4</v>
      </c>
      <c r="S81" s="749">
        <f>$F$21*$G$8*'Traffic Data'!AU13*annualizationFactor</f>
        <v>1.1845781711024402E-4</v>
      </c>
      <c r="T81" s="749">
        <f>$F$21*$G$8*'Traffic Data'!AV13*annualizationFactor</f>
        <v>1.2693790231133671E-4</v>
      </c>
      <c r="U81" s="749">
        <f>$F$21*$G$8*'Traffic Data'!AW13*annualizationFactor</f>
        <v>1.3543942506981754E-4</v>
      </c>
      <c r="V81" s="749">
        <f>$F$21*$G$8*'Traffic Data'!AX13*annualizationFactor</f>
        <v>1.3733511764456519E-4</v>
      </c>
      <c r="W81" s="749">
        <f>$F$21*$G$8*'Traffic Data'!AY13*annualizationFactor</f>
        <v>1.3923081021931293E-4</v>
      </c>
      <c r="X81" s="749">
        <f>$F$21*$G$8*'Traffic Data'!AZ13*annualizationFactor</f>
        <v>1.4112650279406061E-4</v>
      </c>
      <c r="Y81" s="749">
        <f>$F$21*$G$8*'Traffic Data'!BA13*annualizationFactor</f>
        <v>1.4302219536880832E-4</v>
      </c>
      <c r="Z81" s="749">
        <f>$F$21*$G$8*'Traffic Data'!BB13*annualizationFactor</f>
        <v>1.449270754681509E-4</v>
      </c>
      <c r="AA81" s="749">
        <f>$F$21*$G$8*'Traffic Data'!BC13*annualizationFactor</f>
        <v>1.4682276804289861E-4</v>
      </c>
      <c r="AB81" s="749">
        <f>$F$21*$G$8*'Traffic Data'!BD13*annualizationFactor</f>
        <v>1.4872764814224119E-4</v>
      </c>
      <c r="AC81" s="749">
        <f>$F$21*$G$8*'Traffic Data'!BE13*annualizationFactor</f>
        <v>1.5062334071698889E-4</v>
      </c>
      <c r="AD81" s="749">
        <f>$F$21*$G$8*'Traffic Data'!BF13*annualizationFactor</f>
        <v>1.525190332917366E-4</v>
      </c>
      <c r="AE81" s="749">
        <f>$F$21*$G$8*'Traffic Data'!BG13*annualizationFactor</f>
        <v>1.5442391339107924E-4</v>
      </c>
      <c r="AF81" s="749">
        <f>$F$21*$G$8*'Traffic Data'!BH13*annualizationFactor</f>
        <v>1.5631960596582689E-4</v>
      </c>
      <c r="AG81" s="749">
        <f>$F$21*$G$8*'Traffic Data'!BI13*annualizationFactor</f>
        <v>1.582152985405746E-4</v>
      </c>
      <c r="AH81" s="750">
        <f>$F$21*$G$8*'Traffic Data'!BJ13*annualizationFactor</f>
        <v>1.6012017863991724E-4</v>
      </c>
      <c r="AI81" s="40"/>
      <c r="AJ81" s="40"/>
      <c r="AK81" s="40"/>
      <c r="AL81" s="40"/>
      <c r="AM81" s="40"/>
    </row>
    <row r="82" spans="2:39" ht="21.9" customHeight="1" x14ac:dyDescent="0.25">
      <c r="B82" s="1332" t="s">
        <v>308</v>
      </c>
      <c r="C82" s="217" t="s">
        <v>276</v>
      </c>
      <c r="D82" s="217" t="s">
        <v>320</v>
      </c>
      <c r="E82" s="114" t="s">
        <v>19</v>
      </c>
      <c r="F82" s="114" t="s">
        <v>405</v>
      </c>
      <c r="G82" s="941"/>
      <c r="H82" s="941"/>
      <c r="I82" s="749">
        <f>$F$21*$H$8*'Traffic Data'!AK14*annualizationFactor</f>
        <v>8.7965661015000022E-6</v>
      </c>
      <c r="J82" s="749">
        <f>$F$21*$H$8*'Traffic Data'!AL14*annualizationFactor</f>
        <v>8.7965661015000022E-6</v>
      </c>
      <c r="K82" s="749">
        <f>$F$21*$H$8*'Traffic Data'!AM14*annualizationFactor</f>
        <v>1.0292861995365153E-4</v>
      </c>
      <c r="L82" s="749">
        <f>$F$21*$H$8*'Traffic Data'!AN14*annualizationFactor</f>
        <v>1.9706067380580305E-4</v>
      </c>
      <c r="M82" s="749">
        <f>$F$21*$H$8*'Traffic Data'!AO14*annualizationFactor</f>
        <v>2.912718967528681E-4</v>
      </c>
      <c r="N82" s="749">
        <f>$F$21*$H$8*'Traffic Data'!AP14*annualizationFactor</f>
        <v>3.854039506050196E-4</v>
      </c>
      <c r="O82" s="749">
        <f>$F$21*$H$8*'Traffic Data'!AQ14*annualizationFactor</f>
        <v>4.7953600445717115E-4</v>
      </c>
      <c r="P82" s="749">
        <f>$F$21*$H$8*'Traffic Data'!AR14*annualizationFactor</f>
        <v>5.7374722740423617E-4</v>
      </c>
      <c r="Q82" s="749">
        <f>$F$21*$H$8*'Traffic Data'!AS14*annualizationFactor</f>
        <v>5.7374722740423617E-4</v>
      </c>
      <c r="R82" s="749">
        <f>$F$21*$H$8*'Traffic Data'!AT14*annualizationFactor</f>
        <v>5.7374722740423617E-4</v>
      </c>
      <c r="S82" s="749">
        <f>$F$21*$H$8*'Traffic Data'!AU14*annualizationFactor</f>
        <v>5.7374722740423617E-4</v>
      </c>
      <c r="T82" s="749">
        <f>$F$21*$H$8*'Traffic Data'!AV14*annualizationFactor</f>
        <v>5.7374722740423617E-4</v>
      </c>
      <c r="U82" s="749">
        <f>$F$21*$H$8*'Traffic Data'!AW14*annualizationFactor</f>
        <v>5.7374722740423617E-4</v>
      </c>
      <c r="V82" s="749">
        <f>$F$21*$H$8*'Traffic Data'!AX14*annualizationFactor</f>
        <v>5.7374722740423617E-4</v>
      </c>
      <c r="W82" s="749">
        <f>$F$21*$H$8*'Traffic Data'!AY14*annualizationFactor</f>
        <v>5.7374722740423617E-4</v>
      </c>
      <c r="X82" s="749">
        <f>$F$21*$H$8*'Traffic Data'!AZ14*annualizationFactor</f>
        <v>5.7374722740423617E-4</v>
      </c>
      <c r="Y82" s="749">
        <f>$F$21*$H$8*'Traffic Data'!BA14*annualizationFactor</f>
        <v>5.7374722740423617E-4</v>
      </c>
      <c r="Z82" s="749">
        <f>$F$21*$H$8*'Traffic Data'!BB14*annualizationFactor</f>
        <v>5.7374722740423617E-4</v>
      </c>
      <c r="AA82" s="749">
        <f>$F$21*$H$8*'Traffic Data'!BC14*annualizationFactor</f>
        <v>5.7374722740423617E-4</v>
      </c>
      <c r="AB82" s="749">
        <f>$F$21*$H$8*'Traffic Data'!BD14*annualizationFactor</f>
        <v>5.7374722740423617E-4</v>
      </c>
      <c r="AC82" s="749">
        <f>$F$21*$H$8*'Traffic Data'!BE14*annualizationFactor</f>
        <v>5.7374722740423617E-4</v>
      </c>
      <c r="AD82" s="749">
        <f>$F$21*$H$8*'Traffic Data'!BF14*annualizationFactor</f>
        <v>5.7374722740423617E-4</v>
      </c>
      <c r="AE82" s="749">
        <f>$F$21*$H$8*'Traffic Data'!BG14*annualizationFactor</f>
        <v>5.7374722740423617E-4</v>
      </c>
      <c r="AF82" s="749">
        <f>$F$21*$H$8*'Traffic Data'!BH14*annualizationFactor</f>
        <v>5.7374722740423617E-4</v>
      </c>
      <c r="AG82" s="749">
        <f>$F$21*$H$8*'Traffic Data'!BI14*annualizationFactor</f>
        <v>5.7374722740423617E-4</v>
      </c>
      <c r="AH82" s="750">
        <f>$F$21*$H$8*'Traffic Data'!BJ14*annualizationFactor</f>
        <v>5.7374722740423617E-4</v>
      </c>
      <c r="AI82" s="40"/>
      <c r="AJ82" s="40"/>
      <c r="AK82" s="40"/>
      <c r="AL82" s="40"/>
      <c r="AM82" s="40"/>
    </row>
    <row r="83" spans="2:39" ht="21.9" customHeight="1" x14ac:dyDescent="0.25">
      <c r="B83" s="1332"/>
      <c r="C83" s="114" t="s">
        <v>320</v>
      </c>
      <c r="D83" s="114" t="s">
        <v>282</v>
      </c>
      <c r="E83" s="114" t="s">
        <v>19</v>
      </c>
      <c r="F83" s="114" t="s">
        <v>405</v>
      </c>
      <c r="G83" s="941"/>
      <c r="H83" s="941"/>
      <c r="I83" s="751">
        <f>$F$21*$H$8*'Traffic Data'!AK15*annualizationFactor</f>
        <v>4.0138405322400005E-6</v>
      </c>
      <c r="J83" s="751">
        <f>$F$21*$H$8*'Traffic Data'!AL15*annualizationFactor</f>
        <v>7.6262970112560017E-6</v>
      </c>
      <c r="K83" s="751">
        <f>$F$21*$H$8*'Traffic Data'!AM15*annualizationFactor</f>
        <v>1.1238753490272004E-5</v>
      </c>
      <c r="L83" s="751">
        <f>$F$21*$H$8*'Traffic Data'!AN15*annualizationFactor</f>
        <v>2.4447937787280005E-5</v>
      </c>
      <c r="M83" s="751">
        <f>$F$21*$H$8*'Traffic Data'!AO15*annualizationFactor</f>
        <v>3.7638877354596012E-5</v>
      </c>
      <c r="N83" s="751">
        <f>$F$21*$H$8*'Traffic Data'!AP15*annualizationFactor</f>
        <v>5.0866306381296009E-5</v>
      </c>
      <c r="O83" s="751">
        <f>$F$21*$H$8*'Traffic Data'!AQ15*annualizationFactor</f>
        <v>6.4075490678304017E-5</v>
      </c>
      <c r="P83" s="751">
        <f>$F$21*$H$8*'Traffic Data'!AR15*annualizationFactor</f>
        <v>7.7284674975312026E-5</v>
      </c>
      <c r="Q83" s="751">
        <f>$F$21*$H$8*'Traffic Data'!AS15*annualizationFactor</f>
        <v>1.0025478965754003E-4</v>
      </c>
      <c r="R83" s="751">
        <f>$F$21*$H$8*'Traffic Data'!AT15*annualizationFactor</f>
        <v>1.23206659610076E-4</v>
      </c>
      <c r="S83" s="751">
        <f>$F$21*$H$8*'Traffic Data'!AU15*annualizationFactor</f>
        <v>1.4615852956261204E-4</v>
      </c>
      <c r="T83" s="751">
        <f>$F$21*$H$8*'Traffic Data'!AV15*annualizationFactor</f>
        <v>1.6912864424484004E-4</v>
      </c>
      <c r="U83" s="751">
        <f>$F$21*$H$8*'Traffic Data'!AW15*annualizationFactor</f>
        <v>1.9209875892706803E-4</v>
      </c>
      <c r="V83" s="751">
        <f>$F$21*$H$8*'Traffic Data'!AX15*annualizationFactor</f>
        <v>2.0547214579130405E-4</v>
      </c>
      <c r="W83" s="751">
        <f>$F$21*$H$8*'Traffic Data'!AY15*annualizationFactor</f>
        <v>2.0906635754062804E-4</v>
      </c>
      <c r="X83" s="751">
        <f>$F$21*$H$8*'Traffic Data'!AZ15*annualizationFactor</f>
        <v>2.1267881401964406E-4</v>
      </c>
      <c r="Y83" s="751">
        <f>$F$21*$H$8*'Traffic Data'!BA15*annualizationFactor</f>
        <v>2.1629127049866003E-4</v>
      </c>
      <c r="Z83" s="751">
        <f>$F$21*$H$8*'Traffic Data'!BB15*annualizationFactor</f>
        <v>2.1990372697767605E-4</v>
      </c>
      <c r="AA83" s="751">
        <f>$F$21*$H$8*'Traffic Data'!BC15*annualizationFactor</f>
        <v>2.2351618345669202E-4</v>
      </c>
      <c r="AB83" s="751">
        <f>$F$21*$H$8*'Traffic Data'!BD15*annualizationFactor</f>
        <v>2.2712863993570802E-4</v>
      </c>
      <c r="AC83" s="751">
        <f>$F$21*$H$8*'Traffic Data'!BE15*annualizationFactor</f>
        <v>2.3074109641472404E-4</v>
      </c>
      <c r="AD83" s="751">
        <f>$F$21*$H$8*'Traffic Data'!BF15*annualizationFactor</f>
        <v>2.3435355289374007E-4</v>
      </c>
      <c r="AE83" s="751">
        <f>$F$21*$H$8*'Traffic Data'!BG15*annualizationFactor</f>
        <v>2.3794776464306403E-4</v>
      </c>
      <c r="AF83" s="751">
        <f>$F$21*$H$8*'Traffic Data'!BH15*annualizationFactor</f>
        <v>2.4156022112208002E-4</v>
      </c>
      <c r="AG83" s="751">
        <f>$F$21*$H$8*'Traffic Data'!BI15*annualizationFactor</f>
        <v>2.4517267760109605E-4</v>
      </c>
      <c r="AH83" s="752">
        <f>$F$21*$H$8*'Traffic Data'!BJ15*annualizationFactor</f>
        <v>2.4878513408011204E-4</v>
      </c>
      <c r="AI83" s="40"/>
      <c r="AJ83" s="40"/>
      <c r="AK83" s="40"/>
      <c r="AL83" s="40"/>
      <c r="AM83" s="40"/>
    </row>
    <row r="84" spans="2:39" ht="21.9" customHeight="1" x14ac:dyDescent="0.25">
      <c r="B84" s="1332"/>
      <c r="C84" s="114" t="s">
        <v>282</v>
      </c>
      <c r="D84" s="114" t="s">
        <v>321</v>
      </c>
      <c r="E84" s="114" t="s">
        <v>19</v>
      </c>
      <c r="F84" s="114" t="s">
        <v>405</v>
      </c>
      <c r="G84" s="941"/>
      <c r="H84" s="941"/>
      <c r="I84" s="751">
        <f>$F$21*$H$8*'Traffic Data'!AK16*annualizationFactor</f>
        <v>1.42699850091E-5</v>
      </c>
      <c r="J84" s="751">
        <f>$F$21*$H$8*'Traffic Data'!AL16*annualizationFactor</f>
        <v>2.7106787857119389E-5</v>
      </c>
      <c r="K84" s="751">
        <f>$F$21*$H$8*'Traffic Data'!AM16*annualizationFactor</f>
        <v>3.9939309709636062E-5</v>
      </c>
      <c r="L84" s="751">
        <f>$F$21*$H$8*'Traffic Data'!AN16*annualizationFactor</f>
        <v>8.6886133391074141E-5</v>
      </c>
      <c r="M84" s="751">
        <f>$F$21*$H$8*'Traffic Data'!AO16*annualizationFactor</f>
        <v>1.3383485973718012E-4</v>
      </c>
      <c r="N84" s="751">
        <f>$F$21*$H$8*'Traffic Data'!AP16*annualizationFactor</f>
        <v>1.8084352002032433E-4</v>
      </c>
      <c r="O84" s="751">
        <f>$F$21*$H$8*'Traffic Data'!AQ16*annualizationFactor</f>
        <v>2.277903437017624E-4</v>
      </c>
      <c r="P84" s="751">
        <f>$F$21*$H$8*'Traffic Data'!AR16*annualizationFactor</f>
        <v>2.747657073532187E-4</v>
      </c>
      <c r="Q84" s="751">
        <f>$F$21*$H$8*'Traffic Data'!AS16*annualizationFactor</f>
        <v>3.5640286459177894E-4</v>
      </c>
      <c r="R84" s="751">
        <f>$F$21*$H$8*'Traffic Data'!AT16*annualizationFactor</f>
        <v>4.3800672519865125E-4</v>
      </c>
      <c r="S84" s="751">
        <f>$F$21*$H$8*'Traffic Data'!AU16*annualizationFactor</f>
        <v>5.1963769877704077E-4</v>
      </c>
      <c r="T84" s="751">
        <f>$F$21*$H$8*'Traffic Data'!AV16*annualizationFactor</f>
        <v>6.0127485601560102E-4</v>
      </c>
      <c r="U84" s="751">
        <f>$F$21*$H$8*'Traffic Data'!AW16*annualizationFactor</f>
        <v>6.8297147152503233E-4</v>
      </c>
      <c r="V84" s="751">
        <f>$F$21*$H$8*'Traffic Data'!AX16*annualizationFactor</f>
        <v>7.3046150596915022E-4</v>
      </c>
      <c r="W84" s="751">
        <f>$F$21*$H$8*'Traffic Data'!AY16*annualizationFactor</f>
        <v>7.4329830881716952E-4</v>
      </c>
      <c r="X84" s="751">
        <f>$F$21*$H$8*'Traffic Data'!AZ16*annualizationFactor</f>
        <v>7.5613511166518893E-4</v>
      </c>
      <c r="Y84" s="751">
        <f>$F$21*$H$8*'Traffic Data'!BA16*annualizationFactor</f>
        <v>7.6897191451320835E-4</v>
      </c>
      <c r="Z84" s="751">
        <f>$F$21*$H$8*'Traffic Data'!BB16*annualizationFactor</f>
        <v>7.8180443636572501E-4</v>
      </c>
      <c r="AA84" s="751">
        <f>$F$21*$H$8*'Traffic Data'!BC16*annualizationFactor</f>
        <v>7.9464123921374453E-4</v>
      </c>
      <c r="AB84" s="751">
        <f>$F$21*$H$8*'Traffic Data'!BD16*annualizationFactor</f>
        <v>8.0747376106626108E-4</v>
      </c>
      <c r="AC84" s="751">
        <f>$F$21*$H$8*'Traffic Data'!BE16*annualizationFactor</f>
        <v>8.2031056391428038E-4</v>
      </c>
      <c r="AD84" s="751">
        <f>$F$21*$H$8*'Traffic Data'!BF16*annualizationFactor</f>
        <v>8.331473667622999E-4</v>
      </c>
      <c r="AE84" s="751">
        <f>$F$21*$H$8*'Traffic Data'!BG16*annualizationFactor</f>
        <v>8.4597988861481645E-4</v>
      </c>
      <c r="AF84" s="751">
        <f>$F$21*$H$8*'Traffic Data'!BH16*annualizationFactor</f>
        <v>8.5881669146283598E-4</v>
      </c>
      <c r="AG84" s="751">
        <f>$F$21*$H$8*'Traffic Data'!BI16*annualizationFactor</f>
        <v>8.7165349431085539E-4</v>
      </c>
      <c r="AH84" s="752">
        <f>$F$21*$H$8*'Traffic Data'!BJ16*annualizationFactor</f>
        <v>8.8448601616337205E-4</v>
      </c>
      <c r="AI84" s="40"/>
      <c r="AJ84" s="40"/>
      <c r="AK84" s="40"/>
      <c r="AL84" s="40"/>
      <c r="AM84" s="40"/>
    </row>
    <row r="85" spans="2:39" ht="21.9" customHeight="1" x14ac:dyDescent="0.25">
      <c r="B85" s="1332"/>
      <c r="C85" s="250" t="s">
        <v>321</v>
      </c>
      <c r="D85" s="250" t="s">
        <v>274</v>
      </c>
      <c r="E85" s="114" t="s">
        <v>19</v>
      </c>
      <c r="F85" s="250" t="s">
        <v>405</v>
      </c>
      <c r="G85" s="941"/>
      <c r="H85" s="941"/>
      <c r="I85" s="751">
        <f>$F$21*$H$8*'Traffic Data'!AK17*annualizationFactor</f>
        <v>2.0525320903500002E-5</v>
      </c>
      <c r="J85" s="751">
        <f>$F$21*$H$8*'Traffic Data'!AL17*annualizationFactor</f>
        <v>3.8989215410925156E-5</v>
      </c>
      <c r="K85" s="751">
        <f>$F$21*$H$8*'Traffic Data'!AM17*annualizationFactor</f>
        <v>5.7446952322079267E-5</v>
      </c>
      <c r="L85" s="751">
        <f>$F$21*$H$8*'Traffic Data'!AN17*annualizationFactor</f>
        <v>1.2497320556250391E-4</v>
      </c>
      <c r="M85" s="751">
        <f>$F$21*$H$8*'Traffic Data'!AO17*annualizationFactor</f>
        <v>1.925021955123824E-4</v>
      </c>
      <c r="N85" s="751">
        <f>$F$21*$H$8*'Traffic Data'!AP17*annualizationFactor</f>
        <v>2.6011739181005557E-4</v>
      </c>
      <c r="O85" s="751">
        <f>$F$21*$H$8*'Traffic Data'!AQ17*annualizationFactor</f>
        <v>3.2764364505048017E-4</v>
      </c>
      <c r="P85" s="751">
        <f>$F$21*$H$8*'Traffic Data'!AR17*annualizationFactor</f>
        <v>3.9521094893271187E-4</v>
      </c>
      <c r="Q85" s="751">
        <f>$F$21*$H$8*'Traffic Data'!AS17*annualizationFactor</f>
        <v>5.1263425728954512E-4</v>
      </c>
      <c r="R85" s="751">
        <f>$F$21*$H$8*'Traffic Data'!AT17*annualizationFactor</f>
        <v>6.3000967323093677E-4</v>
      </c>
      <c r="S85" s="751">
        <f>$F$21*$H$8*'Traffic Data'!AU17*annualizationFactor</f>
        <v>7.4742408728204488E-4</v>
      </c>
      <c r="T85" s="751">
        <f>$F$21*$H$8*'Traffic Data'!AV17*annualizationFactor</f>
        <v>8.6484739563887807E-4</v>
      </c>
      <c r="U85" s="751">
        <f>$F$21*$H$8*'Traffic Data'!AW17*annualizationFactor</f>
        <v>9.8235622616614266E-4</v>
      </c>
      <c r="V85" s="751">
        <f>$F$21*$H$8*'Traffic Data'!AX17*annualizationFactor</f>
        <v>1.0506638099556269E-3</v>
      </c>
      <c r="W85" s="751">
        <f>$F$21*$H$8*'Traffic Data'!AY17*annualizationFactor</f>
        <v>1.0691277044630524E-3</v>
      </c>
      <c r="X85" s="751">
        <f>$F$21*$H$8*'Traffic Data'!AZ17*annualizationFactor</f>
        <v>1.0875915989704773E-3</v>
      </c>
      <c r="Y85" s="751">
        <f>$F$21*$H$8*'Traffic Data'!BA17*annualizationFactor</f>
        <v>1.1060554934779023E-3</v>
      </c>
      <c r="Z85" s="751">
        <f>$F$21*$H$8*'Traffic Data'!BB17*annualizationFactor</f>
        <v>1.1245132303890565E-3</v>
      </c>
      <c r="AA85" s="751">
        <f>$F$21*$H$8*'Traffic Data'!BC17*annualizationFactor</f>
        <v>1.1429771248964819E-3</v>
      </c>
      <c r="AB85" s="751">
        <f>$F$21*$H$8*'Traffic Data'!BD17*annualizationFactor</f>
        <v>1.1614348618076359E-3</v>
      </c>
      <c r="AC85" s="751">
        <f>$F$21*$H$8*'Traffic Data'!BE17*annualizationFactor</f>
        <v>1.1798987563150609E-3</v>
      </c>
      <c r="AD85" s="751">
        <f>$F$21*$H$8*'Traffic Data'!BF17*annualizationFactor</f>
        <v>1.1983626508224863E-3</v>
      </c>
      <c r="AE85" s="751">
        <f>$F$21*$H$8*'Traffic Data'!BG17*annualizationFactor</f>
        <v>1.2168203877336403E-3</v>
      </c>
      <c r="AF85" s="751">
        <f>$F$21*$H$8*'Traffic Data'!BH17*annualizationFactor</f>
        <v>1.2352842822410657E-3</v>
      </c>
      <c r="AG85" s="751">
        <f>$F$21*$H$8*'Traffic Data'!BI17*annualizationFactor</f>
        <v>1.2537481767484909E-3</v>
      </c>
      <c r="AH85" s="752">
        <f>$F$21*$H$8*'Traffic Data'!BJ17*annualizationFactor</f>
        <v>1.2722059136596447E-3</v>
      </c>
      <c r="AI85" s="40"/>
      <c r="AJ85" s="40"/>
      <c r="AK85" s="40"/>
      <c r="AL85" s="40"/>
      <c r="AM85" s="40"/>
    </row>
    <row r="86" spans="2:39" ht="21.9" customHeight="1" x14ac:dyDescent="0.25">
      <c r="B86" s="469" t="s">
        <v>282</v>
      </c>
      <c r="C86" s="114" t="s">
        <v>308</v>
      </c>
      <c r="D86" s="114" t="s">
        <v>324</v>
      </c>
      <c r="E86" s="114" t="s">
        <v>19</v>
      </c>
      <c r="F86" s="114" t="s">
        <v>405</v>
      </c>
      <c r="G86" s="941"/>
      <c r="H86" s="941"/>
      <c r="I86" s="749">
        <f>$F$21*$J$8*'Traffic Data'!AK18*annualizationFactor</f>
        <v>1.1728754802E-4</v>
      </c>
      <c r="J86" s="749">
        <f>$F$21*$J$8*'Traffic Data'!AL18*annualizationFactor</f>
        <v>1.2168452787577202E-4</v>
      </c>
      <c r="K86" s="749">
        <f>$F$21*$J$8*'Traffic Data'!AM18*annualizationFactor</f>
        <v>1.2841031715723E-4</v>
      </c>
      <c r="L86" s="749">
        <f>$F$21*$J$8*'Traffic Data'!AN18*annualizationFactor</f>
        <v>1.4977945680898507E-4</v>
      </c>
      <c r="M86" s="749">
        <f>$F$21*$J$8*'Traffic Data'!AO18*annualizationFactor</f>
        <v>1.71151854448185E-4</v>
      </c>
      <c r="N86" s="749">
        <f>$F$21*$J$8*'Traffic Data'!AP18*annualizationFactor</f>
        <v>1.9254705799949998E-4</v>
      </c>
      <c r="O86" s="749">
        <f>$F$21*$J$8*'Traffic Data'!AQ18*annualizationFactor</f>
        <v>2.1391619765125501E-4</v>
      </c>
      <c r="P86" s="749">
        <f>$F$21*$J$8*'Traffic Data'!AR18*annualizationFactor</f>
        <v>2.3530618842265802E-4</v>
      </c>
      <c r="Q86" s="749">
        <f>$F$21*$J$8*'Traffic Data'!AS18*annualizationFactor</f>
        <v>2.6348973461437502E-4</v>
      </c>
      <c r="R86" s="749">
        <f>$F$21*$J$8*'Traffic Data'!AT18*annualizationFactor</f>
        <v>2.9166611323371304E-4</v>
      </c>
      <c r="S86" s="749">
        <f>$F$21*$J$8*'Traffic Data'!AU18*annualizationFactor</f>
        <v>3.1985291741287502E-4</v>
      </c>
      <c r="T86" s="749">
        <f>$F$21*$J$8*'Traffic Data'!AV18*annualizationFactor</f>
        <v>3.4803646360459213E-4</v>
      </c>
      <c r="U86" s="749">
        <f>$F$21*$J$8*'Traffic Data'!AW18*annualizationFactor</f>
        <v>3.7625193807327002E-4</v>
      </c>
      <c r="V86" s="749">
        <f>$F$21*$J$8*'Traffic Data'!AX18*annualizationFactor</f>
        <v>3.8977779874993198E-4</v>
      </c>
      <c r="W86" s="749">
        <f>$F$21*$J$8*'Traffic Data'!AY18*annualizationFactor</f>
        <v>3.9417477860570401E-4</v>
      </c>
      <c r="X86" s="749">
        <f>$F$21*$J$8*'Traffic Data'!AZ18*annualizationFactor</f>
        <v>3.9857175846147599E-4</v>
      </c>
      <c r="Y86" s="749">
        <f>$F$21*$J$8*'Traffic Data'!BA18*annualizationFactor</f>
        <v>4.0296873831724802E-4</v>
      </c>
      <c r="Z86" s="749">
        <f>$F$21*$J$8*'Traffic Data'!BB18*annualizationFactor</f>
        <v>4.0737027935544302E-4</v>
      </c>
      <c r="AA86" s="749">
        <f>$F$21*$J$8*'Traffic Data'!BC18*annualizationFactor</f>
        <v>4.1176725921121494E-4</v>
      </c>
      <c r="AB86" s="749">
        <f>$F$21*$J$8*'Traffic Data'!BD18*annualizationFactor</f>
        <v>4.161688002494101E-4</v>
      </c>
      <c r="AC86" s="749">
        <f>$F$21*$J$8*'Traffic Data'!BE18*annualizationFactor</f>
        <v>4.2056578010518214E-4</v>
      </c>
      <c r="AD86" s="749">
        <f>$F$21*$J$8*'Traffic Data'!BF18*annualizationFactor</f>
        <v>4.24962759960954E-4</v>
      </c>
      <c r="AE86" s="749">
        <f>$F$21*$J$8*'Traffic Data'!BG18*annualizationFactor</f>
        <v>4.2936430099914906E-4</v>
      </c>
      <c r="AF86" s="749">
        <f>$F$21*$J$8*'Traffic Data'!BH18*annualizationFactor</f>
        <v>4.3376128085492109E-4</v>
      </c>
      <c r="AG86" s="749">
        <f>$F$21*$J$8*'Traffic Data'!BI18*annualizationFactor</f>
        <v>4.3815826071069307E-4</v>
      </c>
      <c r="AH86" s="750">
        <f>$F$21*$J$8*'Traffic Data'!BJ18*annualizationFactor</f>
        <v>4.4255980174888807E-4</v>
      </c>
      <c r="AI86" s="40"/>
      <c r="AJ86" s="40"/>
      <c r="AK86" s="40"/>
      <c r="AL86" s="40"/>
      <c r="AM86" s="40"/>
    </row>
    <row r="87" spans="2:39" ht="21.9" customHeight="1" x14ac:dyDescent="0.25">
      <c r="B87" s="756" t="s">
        <v>321</v>
      </c>
      <c r="C87" s="273" t="s">
        <v>318</v>
      </c>
      <c r="D87" s="273" t="s">
        <v>308</v>
      </c>
      <c r="E87" s="273" t="s">
        <v>19</v>
      </c>
      <c r="F87" s="217" t="s">
        <v>405</v>
      </c>
      <c r="G87" s="754"/>
      <c r="H87" s="754"/>
      <c r="I87" s="749">
        <f>$F$21*$K$8*'Traffic Data'!AK19*annualizationFactor</f>
        <v>0</v>
      </c>
      <c r="J87" s="749">
        <f>$F$21*$K$8*'Traffic Data'!AL19*annualizationFactor</f>
        <v>0</v>
      </c>
      <c r="K87" s="749">
        <f>$F$21*$K$8*'Traffic Data'!AM19*annualizationFactor</f>
        <v>0</v>
      </c>
      <c r="L87" s="749">
        <f>$F$21*$K$8*'Traffic Data'!AN19*annualizationFactor</f>
        <v>0</v>
      </c>
      <c r="M87" s="749">
        <f>$F$21*$K$8*'Traffic Data'!AO19*annualizationFactor</f>
        <v>0</v>
      </c>
      <c r="N87" s="749">
        <f>$F$21*$K$8*'Traffic Data'!AP19*annualizationFactor</f>
        <v>0</v>
      </c>
      <c r="O87" s="749">
        <f>$F$21*$K$8*'Traffic Data'!AQ19*annualizationFactor</f>
        <v>0</v>
      </c>
      <c r="P87" s="749">
        <f>$F$21*$K$8*'Traffic Data'!AR19*annualizationFactor</f>
        <v>0</v>
      </c>
      <c r="Q87" s="749">
        <f>$F$21*$K$8*'Traffic Data'!AS19*annualizationFactor</f>
        <v>0</v>
      </c>
      <c r="R87" s="749">
        <f>$F$21*$K$8*'Traffic Data'!AT19*annualizationFactor</f>
        <v>0</v>
      </c>
      <c r="S87" s="749">
        <f>$F$21*$K$8*'Traffic Data'!AU19*annualizationFactor</f>
        <v>0</v>
      </c>
      <c r="T87" s="749">
        <f>$F$21*$K$8*'Traffic Data'!AV19*annualizationFactor</f>
        <v>0</v>
      </c>
      <c r="U87" s="749">
        <f>$F$21*$K$8*'Traffic Data'!AW19*annualizationFactor</f>
        <v>0</v>
      </c>
      <c r="V87" s="749">
        <f>$F$21*$K$8*'Traffic Data'!AX19*annualizationFactor</f>
        <v>0</v>
      </c>
      <c r="W87" s="749">
        <f>$F$21*$K$8*'Traffic Data'!AY19*annualizationFactor</f>
        <v>0</v>
      </c>
      <c r="X87" s="749">
        <f>$F$21*$K$8*'Traffic Data'!AZ19*annualizationFactor</f>
        <v>0</v>
      </c>
      <c r="Y87" s="749">
        <f>$F$21*$K$8*'Traffic Data'!BA19*annualizationFactor</f>
        <v>0</v>
      </c>
      <c r="Z87" s="749">
        <f>$F$21*$K$8*'Traffic Data'!BB19*annualizationFactor</f>
        <v>0</v>
      </c>
      <c r="AA87" s="749">
        <f>$F$21*$K$8*'Traffic Data'!BC19*annualizationFactor</f>
        <v>0</v>
      </c>
      <c r="AB87" s="749">
        <f>$F$21*$K$8*'Traffic Data'!BD19*annualizationFactor</f>
        <v>0</v>
      </c>
      <c r="AC87" s="749">
        <f>$F$21*$K$8*'Traffic Data'!BE19*annualizationFactor</f>
        <v>0</v>
      </c>
      <c r="AD87" s="749">
        <f>$F$21*$K$8*'Traffic Data'!BF19*annualizationFactor</f>
        <v>0</v>
      </c>
      <c r="AE87" s="749">
        <f>$F$21*$K$8*'Traffic Data'!BG19*annualizationFactor</f>
        <v>0</v>
      </c>
      <c r="AF87" s="749">
        <f>$F$21*$K$8*'Traffic Data'!BH19*annualizationFactor</f>
        <v>0</v>
      </c>
      <c r="AG87" s="749">
        <f>$F$21*$K$8*'Traffic Data'!BI19*annualizationFactor</f>
        <v>0</v>
      </c>
      <c r="AH87" s="750">
        <f>$F$21*$K$8*'Traffic Data'!BJ19*annualizationFactor</f>
        <v>0</v>
      </c>
      <c r="AI87" s="40"/>
      <c r="AJ87" s="40"/>
      <c r="AK87" s="40"/>
      <c r="AL87" s="40"/>
      <c r="AM87" s="40"/>
    </row>
    <row r="88" spans="2:39" ht="21.9" customHeight="1" x14ac:dyDescent="0.25">
      <c r="B88" s="756" t="s">
        <v>333</v>
      </c>
      <c r="C88" s="273" t="s">
        <v>319</v>
      </c>
      <c r="D88" s="273" t="s">
        <v>308</v>
      </c>
      <c r="E88" s="114" t="s">
        <v>19</v>
      </c>
      <c r="F88" s="273" t="s">
        <v>405</v>
      </c>
      <c r="G88" s="941"/>
      <c r="H88" s="941"/>
      <c r="I88" s="749">
        <f>$F$21*$L$8*'Traffic Data'!AK20*annualizationFactor</f>
        <v>2.1751508905527275E-4</v>
      </c>
      <c r="J88" s="749">
        <f>$F$21*$L$8*'Traffic Data'!AL20*annualizationFactor</f>
        <v>2.2087690559833808E-4</v>
      </c>
      <c r="K88" s="749">
        <f>$F$21*$L$8*'Traffic Data'!AM20*annualizationFactor</f>
        <v>2.2640058044318064E-4</v>
      </c>
      <c r="L88" s="749">
        <f>$F$21*$L$8*'Traffic Data'!AN20*annualizationFactor</f>
        <v>2.4517394525439283E-4</v>
      </c>
      <c r="M88" s="749">
        <f>$F$21*$L$8*'Traffic Data'!AO20*annualizationFactor</f>
        <v>2.6394972689992781E-4</v>
      </c>
      <c r="N88" s="749">
        <f>$F$21*$L$8*'Traffic Data'!AP20*annualizationFactor</f>
        <v>2.8274726005436825E-4</v>
      </c>
      <c r="O88" s="749">
        <f>$F$21*$L$8*'Traffic Data'!AQ20*annualizationFactor</f>
        <v>3.0152062486558039E-4</v>
      </c>
      <c r="P88" s="749">
        <f>$F$21*$L$8*'Traffic Data'!AR20*annualizationFactor</f>
        <v>3.2031513697711742E-4</v>
      </c>
      <c r="Q88" s="749">
        <f>$F$21*$L$8*'Traffic Data'!AS20*annualizationFactor</f>
        <v>3.4258264001057022E-4</v>
      </c>
      <c r="R88" s="749">
        <f>$F$21*$L$8*'Traffic Data'!AT20*annualizationFactor</f>
        <v>3.648453093753774E-4</v>
      </c>
      <c r="S88" s="749">
        <f>$F$21*$L$8*'Traffic Data'!AU20*annualizationFactor</f>
        <v>3.8711885449463736E-4</v>
      </c>
      <c r="T88" s="749">
        <f>$F$21*$L$8*'Traffic Data'!AV20*annualizationFactor</f>
        <v>4.0938635752809022E-4</v>
      </c>
      <c r="U88" s="749">
        <f>$F$21*$L$8*'Traffic Data'!AW20*annualizationFactor</f>
        <v>4.316852794077399E-4</v>
      </c>
      <c r="V88" s="749">
        <f>$F$21*$L$8*'Traffic Data'!AX20*annualizationFactor</f>
        <v>4.4069040409462819E-4</v>
      </c>
      <c r="W88" s="749">
        <f>$F$21*$L$8*'Traffic Data'!AY20*annualizationFactor</f>
        <v>4.4405222063769351E-4</v>
      </c>
      <c r="X88" s="749">
        <f>$F$21*$L$8*'Traffic Data'!AZ20*annualizationFactor</f>
        <v>4.474140371807591E-4</v>
      </c>
      <c r="Y88" s="749">
        <f>$F$21*$L$8*'Traffic Data'!BA20*annualizationFactor</f>
        <v>4.5077585372382443E-4</v>
      </c>
      <c r="Z88" s="749">
        <f>$F$21*$L$8*'Traffic Data'!BB20*annualizationFactor</f>
        <v>4.5414431656127754E-4</v>
      </c>
      <c r="AA88" s="749">
        <f>$F$21*$L$8*'Traffic Data'!BC20*annualizationFactor</f>
        <v>4.5750613310434292E-4</v>
      </c>
      <c r="AB88" s="749">
        <f>$F$21*$L$8*'Traffic Data'!BD20*annualizationFactor</f>
        <v>4.6087459594179619E-4</v>
      </c>
      <c r="AC88" s="749">
        <f>$F$21*$L$8*'Traffic Data'!BE20*annualizationFactor</f>
        <v>4.6423641248486151E-4</v>
      </c>
      <c r="AD88" s="749">
        <f>$F$21*$L$8*'Traffic Data'!BF20*annualizationFactor</f>
        <v>4.6759822902792694E-4</v>
      </c>
      <c r="AE88" s="749">
        <f>$F$21*$L$8*'Traffic Data'!BG20*annualizationFactor</f>
        <v>4.7096669186538005E-4</v>
      </c>
      <c r="AF88" s="749">
        <f>$F$21*$L$8*'Traffic Data'!BH20*annualizationFactor</f>
        <v>4.7432850840844559E-4</v>
      </c>
      <c r="AG88" s="749">
        <f>$F$21*$L$8*'Traffic Data'!BI20*annualizationFactor</f>
        <v>4.7769032495151092E-4</v>
      </c>
      <c r="AH88" s="750">
        <f>$F$21*$L$8*'Traffic Data'!BJ20*annualizationFactor</f>
        <v>4.8105878778896408E-4</v>
      </c>
      <c r="AI88" s="40"/>
      <c r="AJ88" s="40"/>
      <c r="AK88" s="40"/>
      <c r="AL88" s="40"/>
      <c r="AM88" s="40"/>
    </row>
    <row r="89" spans="2:39" ht="21.9" customHeight="1" x14ac:dyDescent="0.25">
      <c r="B89" s="469" t="s">
        <v>319</v>
      </c>
      <c r="C89" s="114" t="s">
        <v>276</v>
      </c>
      <c r="D89" s="114" t="s">
        <v>333</v>
      </c>
      <c r="E89" s="217" t="s">
        <v>19</v>
      </c>
      <c r="F89" s="114" t="s">
        <v>405</v>
      </c>
      <c r="G89" s="749"/>
      <c r="H89" s="749"/>
      <c r="I89" s="749">
        <f>$F$21*$M$8*'Traffic Data'!AK21*annualizationFactor</f>
        <v>7.8117653510795465E-4</v>
      </c>
      <c r="J89" s="749">
        <f>$F$21*$M$8*'Traffic Data'!AL21*annualizationFactor</f>
        <v>8.1022458456594406E-4</v>
      </c>
      <c r="K89" s="749">
        <f>$F$21*$M$8*'Traffic Data'!AM21*annualizationFactor</f>
        <v>8.4114589535512203E-4</v>
      </c>
      <c r="L89" s="749">
        <f>$F$21*$M$8*'Traffic Data'!AN21*annualizationFactor</f>
        <v>9.0974335043255685E-4</v>
      </c>
      <c r="M89" s="749">
        <f>$F$21*$M$8*'Traffic Data'!AO21*annualizationFactor</f>
        <v>9.783579913937644E-4</v>
      </c>
      <c r="N89" s="749">
        <f>$F$21*$M$8*'Traffic Data'!AP21*annualizationFactor</f>
        <v>1.0470101288286566E-3</v>
      </c>
      <c r="O89" s="749">
        <f>$F$21*$M$8*'Traffic Data'!AQ21*annualizationFactor</f>
        <v>1.1156075839060919E-3</v>
      </c>
      <c r="P89" s="749">
        <f>$F$21*$M$8*'Traffic Data'!AR21*annualizationFactor</f>
        <v>1.1842651895767296E-3</v>
      </c>
      <c r="Q89" s="749">
        <f>$F$21*$M$8*'Traffic Data'!AS21*annualizationFactor</f>
        <v>1.2765690089650852E-3</v>
      </c>
      <c r="R89" s="749">
        <f>$F$21*$M$8*'Traffic Data'!AT21*annualizationFactor</f>
        <v>1.3688767342361168E-3</v>
      </c>
      <c r="S89" s="749">
        <f>$F$21*$M$8*'Traffic Data'!AU21*annualizationFactor</f>
        <v>1.4611805536244725E-3</v>
      </c>
      <c r="T89" s="749">
        <f>$F$21*$M$8*'Traffic Data'!AV21*annualizationFactor</f>
        <v>1.5534843730128285E-3</v>
      </c>
      <c r="U89" s="749">
        <f>$F$21*$M$8*'Traffic Data'!AW21*annualizationFactor</f>
        <v>1.6458741218200467E-3</v>
      </c>
      <c r="V89" s="749">
        <f>$F$21*$M$8*'Traffic Data'!AX21*annualizationFactor</f>
        <v>1.7004588322107148E-3</v>
      </c>
      <c r="W89" s="749">
        <f>$F$21*$M$8*'Traffic Data'!AY21*annualizationFactor</f>
        <v>1.7295068816687044E-3</v>
      </c>
      <c r="X89" s="749">
        <f>$F$21*$M$8*'Traffic Data'!AZ21*annualizationFactor</f>
        <v>1.758554931126693E-3</v>
      </c>
      <c r="Y89" s="749">
        <f>$F$21*$M$8*'Traffic Data'!BA21*annualizationFactor</f>
        <v>1.7876029805846826E-3</v>
      </c>
      <c r="Z89" s="749">
        <f>$F$21*$M$8*'Traffic Data'!BB21*annualizationFactor</f>
        <v>1.816666653573374E-3</v>
      </c>
      <c r="AA89" s="749">
        <f>$F$21*$M$8*'Traffic Data'!BC21*annualizationFactor</f>
        <v>1.8457147030313632E-3</v>
      </c>
      <c r="AB89" s="749">
        <f>$F$21*$M$8*'Traffic Data'!BD21*annualizationFactor</f>
        <v>1.8747783760200546E-3</v>
      </c>
      <c r="AC89" s="749">
        <f>$F$21*$M$8*'Traffic Data'!BE21*annualizationFactor</f>
        <v>1.903826425478044E-3</v>
      </c>
      <c r="AD89" s="749">
        <f>$F$21*$M$8*'Traffic Data'!BF21*annualizationFactor</f>
        <v>1.9328744749360334E-3</v>
      </c>
      <c r="AE89" s="749">
        <f>$F$21*$M$8*'Traffic Data'!BG21*annualizationFactor</f>
        <v>1.9619381479247249E-3</v>
      </c>
      <c r="AF89" s="749">
        <f>$F$21*$M$8*'Traffic Data'!BH21*annualizationFactor</f>
        <v>1.9909861973827141E-3</v>
      </c>
      <c r="AG89" s="749">
        <f>$F$21*$M$8*'Traffic Data'!BI21*annualizationFactor</f>
        <v>2.0200342468407032E-3</v>
      </c>
      <c r="AH89" s="750">
        <f>$F$21*$M$8*'Traffic Data'!BJ21*annualizationFactor</f>
        <v>2.0490979198293951E-3</v>
      </c>
      <c r="AI89" s="40"/>
      <c r="AJ89" s="40"/>
      <c r="AK89" s="40"/>
      <c r="AL89" s="40"/>
      <c r="AM89" s="40"/>
    </row>
    <row r="90" spans="2:39" ht="21.9" customHeight="1" x14ac:dyDescent="0.25">
      <c r="B90" s="469"/>
      <c r="C90" s="114" t="s">
        <v>333</v>
      </c>
      <c r="D90" s="114" t="s">
        <v>323</v>
      </c>
      <c r="E90" s="114" t="s">
        <v>19</v>
      </c>
      <c r="F90" s="114" t="s">
        <v>405</v>
      </c>
      <c r="G90" s="941"/>
      <c r="H90" s="941"/>
      <c r="I90" s="751">
        <f>$F$21*$M$8*'Traffic Data'!AK22*annualizationFactor</f>
        <v>1.1376793431047729E-4</v>
      </c>
      <c r="J90" s="751">
        <f>$F$21*$M$8*'Traffic Data'!AL22*annualizationFactor</f>
        <v>1.1781642613077579E-4</v>
      </c>
      <c r="K90" s="751">
        <f>$F$21*$M$8*'Traffic Data'!AM22*annualizationFactor</f>
        <v>1.2222238877624984E-4</v>
      </c>
      <c r="L90" s="751">
        <f>$F$21*$M$8*'Traffic Data'!AN22*annualizationFactor</f>
        <v>1.3064615583868866E-4</v>
      </c>
      <c r="M90" s="751">
        <f>$F$21*$M$8*'Traffic Data'!AO22*annualizationFactor</f>
        <v>1.3907321618343644E-4</v>
      </c>
      <c r="N90" s="751">
        <f>$F$21*$M$8*'Traffic Data'!AP22*annualizationFactor</f>
        <v>1.4750147408538748E-4</v>
      </c>
      <c r="O90" s="751">
        <f>$F$21*$M$8*'Traffic Data'!AQ22*annualizationFactor</f>
        <v>1.5592524114782627E-4</v>
      </c>
      <c r="P90" s="751">
        <f>$F$21*$M$8*'Traffic Data'!AR22*annualizationFactor</f>
        <v>1.6435604385883429E-4</v>
      </c>
      <c r="Q90" s="751">
        <f>$F$21*$M$8*'Traffic Data'!AS22*annualizationFactor</f>
        <v>1.7592294949590075E-4</v>
      </c>
      <c r="R90" s="751">
        <f>$F$21*$M$8*'Traffic Data'!AT22*annualizationFactor</f>
        <v>1.8749210055272344E-4</v>
      </c>
      <c r="S90" s="751">
        <f>$F$21*$M$8*'Traffic Data'!AU22*annualizationFactor</f>
        <v>1.9905750924328598E-4</v>
      </c>
      <c r="T90" s="751">
        <f>$F$21*$M$8*'Traffic Data'!AV22*annualizationFactor</f>
        <v>2.1062441488035253E-4</v>
      </c>
      <c r="U90" s="751">
        <f>$F$21*$M$8*'Traffic Data'!AW22*annualizationFactor</f>
        <v>2.2220030219644355E-4</v>
      </c>
      <c r="V90" s="751">
        <f>$F$21*$M$8*'Traffic Data'!AX22*annualizationFactor</f>
        <v>2.2974416410378106E-4</v>
      </c>
      <c r="W90" s="751">
        <f>$F$21*$M$8*'Traffic Data'!AY22*annualizationFactor</f>
        <v>2.3379265592407956E-4</v>
      </c>
      <c r="X90" s="751">
        <f>$F$21*$M$8*'Traffic Data'!AZ22*annualizationFactor</f>
        <v>2.3784114774437804E-4</v>
      </c>
      <c r="Y90" s="751">
        <f>$F$21*$M$8*'Traffic Data'!BA22*annualizationFactor</f>
        <v>2.4188963956467657E-4</v>
      </c>
      <c r="Z90" s="751">
        <f>$F$21*$M$8*'Traffic Data'!BB22*annualizationFactor</f>
        <v>2.4593962833147916E-4</v>
      </c>
      <c r="AA90" s="751">
        <f>$F$21*$M$8*'Traffic Data'!BC22*annualizationFactor</f>
        <v>2.4998812015177756E-4</v>
      </c>
      <c r="AB90" s="751">
        <f>$F$21*$M$8*'Traffic Data'!BD22*annualizationFactor</f>
        <v>2.5403810891858031E-4</v>
      </c>
      <c r="AC90" s="751">
        <f>$F$21*$M$8*'Traffic Data'!BE22*annualizationFactor</f>
        <v>2.5808660073887871E-4</v>
      </c>
      <c r="AD90" s="751">
        <f>$F$21*$M$8*'Traffic Data'!BF22*annualizationFactor</f>
        <v>2.6213509255917727E-4</v>
      </c>
      <c r="AE90" s="751">
        <f>$F$21*$M$8*'Traffic Data'!BG22*annualizationFactor</f>
        <v>2.6618508132597986E-4</v>
      </c>
      <c r="AF90" s="751">
        <f>$F$21*$M$8*'Traffic Data'!BH22*annualizationFactor</f>
        <v>2.7023357314627836E-4</v>
      </c>
      <c r="AG90" s="751">
        <f>$F$21*$M$8*'Traffic Data'!BI22*annualizationFactor</f>
        <v>2.7428206496657681E-4</v>
      </c>
      <c r="AH90" s="752">
        <f>$F$21*$M$8*'Traffic Data'!BJ22*annualizationFactor</f>
        <v>2.7833205373337935E-4</v>
      </c>
      <c r="AI90" s="40"/>
      <c r="AJ90" s="40"/>
      <c r="AK90" s="40"/>
      <c r="AL90" s="40"/>
      <c r="AM90" s="40"/>
    </row>
    <row r="91" spans="2:39" ht="21.9" customHeight="1" x14ac:dyDescent="0.25">
      <c r="B91" s="469"/>
      <c r="C91" s="114" t="s">
        <v>323</v>
      </c>
      <c r="D91" s="114" t="s">
        <v>322</v>
      </c>
      <c r="E91" s="114" t="s">
        <v>19</v>
      </c>
      <c r="F91" s="114" t="s">
        <v>405</v>
      </c>
      <c r="G91" s="941"/>
      <c r="H91" s="941"/>
      <c r="I91" s="751">
        <f>$F$21*$M$8*'Traffic Data'!AK23*annualizationFactor</f>
        <v>2.8137164297727277E-5</v>
      </c>
      <c r="J91" s="751">
        <f>$F$21*$M$8*'Traffic Data'!AL23*annualizationFactor</f>
        <v>2.9138440098295742E-5</v>
      </c>
      <c r="K91" s="751">
        <f>$F$21*$M$8*'Traffic Data'!AM23*annualizationFactor</f>
        <v>3.0228125830894433E-5</v>
      </c>
      <c r="L91" s="751">
        <f>$F$21*$M$8*'Traffic Data'!AN23*annualizationFactor</f>
        <v>3.2311497734218136E-5</v>
      </c>
      <c r="M91" s="751">
        <f>$F$21*$M$8*'Traffic Data'!AO23*annualizationFactor</f>
        <v>3.4395684134403071E-5</v>
      </c>
      <c r="N91" s="751">
        <f>$F$21*$M$8*'Traffic Data'!AP23*annualizationFactor</f>
        <v>3.6480166715264833E-5</v>
      </c>
      <c r="O91" s="751">
        <f>$F$21*$M$8*'Traffic Data'!AQ23*annualizationFactor</f>
        <v>3.8563538618588522E-5</v>
      </c>
      <c r="P91" s="751">
        <f>$F$21*$M$8*'Traffic Data'!AR23*annualizationFactor</f>
        <v>4.0648650583388527E-5</v>
      </c>
      <c r="Q91" s="751">
        <f>$F$21*$M$8*'Traffic Data'!AS23*annualizationFactor</f>
        <v>4.3509385695606129E-5</v>
      </c>
      <c r="R91" s="751">
        <f>$F$21*$M$8*'Traffic Data'!AT23*annualizationFactor</f>
        <v>4.6370676146592781E-5</v>
      </c>
      <c r="S91" s="751">
        <f>$F$21*$M$8*'Traffic Data'!AU23*annualizationFactor</f>
        <v>4.9231041032964377E-5</v>
      </c>
      <c r="T91" s="751">
        <f>$F$21*$M$8*'Traffic Data'!AV23*annualizationFactor</f>
        <v>5.2091776145181992E-5</v>
      </c>
      <c r="U91" s="751">
        <f>$F$21*$M$8*'Traffic Data'!AW23*annualizationFactor</f>
        <v>5.4954732612475733E-5</v>
      </c>
      <c r="V91" s="751">
        <f>$F$21*$M$8*'Traffic Data'!AX23*annualizationFactor</f>
        <v>5.6820485763507274E-5</v>
      </c>
      <c r="W91" s="751">
        <f>$F$21*$M$8*'Traffic Data'!AY23*annualizationFactor</f>
        <v>5.7821761564075732E-5</v>
      </c>
      <c r="X91" s="751">
        <f>$F$21*$M$8*'Traffic Data'!AZ23*annualizationFactor</f>
        <v>5.8823037364644198E-5</v>
      </c>
      <c r="Y91" s="751">
        <f>$F$21*$M$8*'Traffic Data'!BA23*annualizationFactor</f>
        <v>5.982431316521267E-5</v>
      </c>
      <c r="Z91" s="751">
        <f>$F$21*$M$8*'Traffic Data'!BB23*annualizationFactor</f>
        <v>6.0825959191627162E-5</v>
      </c>
      <c r="AA91" s="751">
        <f>$F$21*$M$8*'Traffic Data'!BC23*annualizationFactor</f>
        <v>6.1827234992195614E-5</v>
      </c>
      <c r="AB91" s="751">
        <f>$F$21*$M$8*'Traffic Data'!BD23*annualizationFactor</f>
        <v>6.2828881018610133E-5</v>
      </c>
      <c r="AC91" s="751">
        <f>$F$21*$M$8*'Traffic Data'!BE23*annualizationFactor</f>
        <v>6.3830156819178578E-5</v>
      </c>
      <c r="AD91" s="751">
        <f>$F$21*$M$8*'Traffic Data'!BF23*annualizationFactor</f>
        <v>6.483143261974705E-5</v>
      </c>
      <c r="AE91" s="751">
        <f>$F$21*$M$8*'Traffic Data'!BG23*annualizationFactor</f>
        <v>6.5833078646161528E-5</v>
      </c>
      <c r="AF91" s="751">
        <f>$F$21*$M$8*'Traffic Data'!BH23*annualizationFactor</f>
        <v>6.6834354446730014E-5</v>
      </c>
      <c r="AG91" s="751">
        <f>$F$21*$M$8*'Traffic Data'!BI23*annualizationFactor</f>
        <v>6.7835630247298472E-5</v>
      </c>
      <c r="AH91" s="752">
        <f>$F$21*$M$8*'Traffic Data'!BJ23*annualizationFactor</f>
        <v>6.8837276273712937E-5</v>
      </c>
      <c r="AI91" s="40"/>
      <c r="AJ91" s="40"/>
      <c r="AK91" s="40"/>
      <c r="AL91" s="40"/>
      <c r="AM91" s="40"/>
    </row>
    <row r="92" spans="2:39" ht="21.9" customHeight="1" x14ac:dyDescent="0.25">
      <c r="B92" s="469"/>
      <c r="C92" s="114" t="s">
        <v>322</v>
      </c>
      <c r="D92" s="114" t="s">
        <v>326</v>
      </c>
      <c r="E92" s="114" t="s">
        <v>19</v>
      </c>
      <c r="F92" s="114" t="s">
        <v>405</v>
      </c>
      <c r="G92" s="941"/>
      <c r="H92" s="941"/>
      <c r="I92" s="751">
        <f>$F$21*$M$8*'Traffic Data'!AK24*annualizationFactor</f>
        <v>7.2194039974431826E-5</v>
      </c>
      <c r="J92" s="751">
        <f>$F$21*$M$8*'Traffic Data'!AL24*annualizationFactor</f>
        <v>7.4680282387751295E-5</v>
      </c>
      <c r="K92" s="751">
        <f>$F$21*$M$8*'Traffic Data'!AM24*annualizationFactor</f>
        <v>7.7454097726968927E-5</v>
      </c>
      <c r="L92" s="751">
        <f>$F$21*$M$8*'Traffic Data'!AN24*annualizationFactor</f>
        <v>8.2299641366652854E-5</v>
      </c>
      <c r="M92" s="751">
        <f>$F$21*$M$8*'Traffic Data'!AO24*annualizationFactor</f>
        <v>8.714807276793572E-5</v>
      </c>
      <c r="N92" s="751">
        <f>$F$21*$M$8*'Traffic Data'!AP24*annualizationFactor</f>
        <v>9.1994819641619225E-5</v>
      </c>
      <c r="O92" s="751">
        <f>$F$21*$M$8*'Traffic Data'!AQ24*annualizationFactor</f>
        <v>9.6840363281303126E-5</v>
      </c>
      <c r="P92" s="751">
        <f>$F$21*$M$8*'Traffic Data'!AR24*annualizationFactor</f>
        <v>1.0169084018038526E-4</v>
      </c>
      <c r="Q92" s="751">
        <f>$F$21*$M$8*'Traffic Data'!AS24*annualizationFactor</f>
        <v>1.0793779045937286E-4</v>
      </c>
      <c r="R92" s="751">
        <f>$F$21*$M$8*'Traffic Data'!AT24*annualizationFactor</f>
        <v>1.1418823011695925E-4</v>
      </c>
      <c r="S92" s="751">
        <f>$F$21*$M$8*'Traffic Data'!AU24*annualizationFactor</f>
        <v>1.2043397716194716E-4</v>
      </c>
      <c r="T92" s="751">
        <f>$F$21*$M$8*'Traffic Data'!AV24*annualizationFactor</f>
        <v>1.2668092744093479E-4</v>
      </c>
      <c r="U92" s="751">
        <f>$F$21*$M$8*'Traffic Data'!AW24*annualizationFactor</f>
        <v>1.3293317194952052E-4</v>
      </c>
      <c r="V92" s="751">
        <f>$F$21*$M$8*'Traffic Data'!AX24*annualizationFactor</f>
        <v>1.3710514519624296E-4</v>
      </c>
      <c r="W92" s="751">
        <f>$F$21*$M$8*'Traffic Data'!AY24*annualizationFactor</f>
        <v>1.395913876095625E-4</v>
      </c>
      <c r="X92" s="751">
        <f>$F$21*$M$8*'Traffic Data'!AZ24*annualizationFactor</f>
        <v>1.4207763002288193E-4</v>
      </c>
      <c r="Y92" s="751">
        <f>$F$21*$M$8*'Traffic Data'!BA24*annualizationFactor</f>
        <v>1.4456387243620147E-4</v>
      </c>
      <c r="Z92" s="751">
        <f>$F$21*$M$8*'Traffic Data'!BB24*annualizationFactor</f>
        <v>1.470515587303204E-4</v>
      </c>
      <c r="AA92" s="751">
        <f>$F$21*$M$8*'Traffic Data'!BC24*annualizationFactor</f>
        <v>1.4953780114363986E-4</v>
      </c>
      <c r="AB92" s="751">
        <f>$F$21*$M$8*'Traffic Data'!BD24*annualizationFactor</f>
        <v>1.5202548743775877E-4</v>
      </c>
      <c r="AC92" s="751">
        <f>$F$21*$M$8*'Traffic Data'!BE24*annualizationFactor</f>
        <v>1.5451172985107828E-4</v>
      </c>
      <c r="AD92" s="751">
        <f>$F$21*$M$8*'Traffic Data'!BF24*annualizationFactor</f>
        <v>1.5699797226439774E-4</v>
      </c>
      <c r="AE92" s="751">
        <f>$F$21*$M$8*'Traffic Data'!BG24*annualizationFactor</f>
        <v>1.5948565855851673E-4</v>
      </c>
      <c r="AF92" s="751">
        <f>$F$21*$M$8*'Traffic Data'!BH24*annualizationFactor</f>
        <v>1.6197190097183618E-4</v>
      </c>
      <c r="AG92" s="751">
        <f>$F$21*$M$8*'Traffic Data'!BI24*annualizationFactor</f>
        <v>1.6445814338515567E-4</v>
      </c>
      <c r="AH92" s="752">
        <f>$F$21*$M$8*'Traffic Data'!BJ24*annualizationFactor</f>
        <v>1.6694582967927463E-4</v>
      </c>
      <c r="AI92" s="40"/>
      <c r="AJ92" s="40"/>
      <c r="AK92" s="40"/>
      <c r="AL92" s="40"/>
      <c r="AM92" s="40"/>
    </row>
    <row r="93" spans="2:39" ht="21.9" customHeight="1" x14ac:dyDescent="0.25">
      <c r="B93" s="469"/>
      <c r="C93" s="114" t="s">
        <v>326</v>
      </c>
      <c r="D93" s="114" t="s">
        <v>274</v>
      </c>
      <c r="E93" s="114" t="s">
        <v>19</v>
      </c>
      <c r="F93" s="114" t="s">
        <v>405</v>
      </c>
      <c r="G93" s="941"/>
      <c r="H93" s="941"/>
      <c r="I93" s="751">
        <f>$F$21*$M$8*'Traffic Data'!AK25*annualizationFactor</f>
        <v>5.9939564471079545E-4</v>
      </c>
      <c r="J93" s="751">
        <f>$F$21*$M$8*'Traffic Data'!AL25*annualizationFactor</f>
        <v>6.200378317218942E-4</v>
      </c>
      <c r="K93" s="751">
        <f>$F$21*$M$8*'Traffic Data'!AM25*annualizationFactor</f>
        <v>6.4306761138442398E-4</v>
      </c>
      <c r="L93" s="751">
        <f>$F$21*$M$8*'Traffic Data'!AN25*annualizationFactor</f>
        <v>6.8329804806467154E-4</v>
      </c>
      <c r="M93" s="751">
        <f>$F$21*$M$8*'Traffic Data'!AO25*annualizationFactor</f>
        <v>7.2355246057070736E-4</v>
      </c>
      <c r="N93" s="751">
        <f>$F$21*$M$8*'Traffic Data'!AP25*annualizationFactor</f>
        <v>7.637928871783668E-4</v>
      </c>
      <c r="O93" s="751">
        <f>$F$21*$M$8*'Traffic Data'!AQ25*annualizationFactor</f>
        <v>8.0402332385861404E-4</v>
      </c>
      <c r="P93" s="751">
        <f>$F$21*$M$8*'Traffic Data'!AR25*annualizationFactor</f>
        <v>8.442947192412501E-4</v>
      </c>
      <c r="Q93" s="751">
        <f>$F$21*$M$8*'Traffic Data'!AS25*annualizationFactor</f>
        <v>8.9616042437807534E-4</v>
      </c>
      <c r="R93" s="751">
        <f>$F$21*$M$8*'Traffic Data'!AT25*annualizationFactor</f>
        <v>9.4805510030439495E-4</v>
      </c>
      <c r="S93" s="751">
        <f>$F$21*$M$8*'Traffic Data'!AU25*annualizationFactor</f>
        <v>9.9991081551380765E-4</v>
      </c>
      <c r="T93" s="751">
        <f>$F$21*$M$8*'Traffic Data'!AV25*annualizationFactor</f>
        <v>1.051776520650633E-3</v>
      </c>
      <c r="U93" s="751">
        <f>$F$21*$M$8*'Traffic Data'!AW25*annualizationFactor</f>
        <v>1.1036861814680704E-3</v>
      </c>
      <c r="V93" s="751">
        <f>$F$21*$M$8*'Traffic Data'!AX25*annualizationFactor</f>
        <v>1.1383242567831659E-3</v>
      </c>
      <c r="W93" s="751">
        <f>$F$21*$M$8*'Traffic Data'!AY25*annualizationFactor</f>
        <v>1.1589664437942648E-3</v>
      </c>
      <c r="X93" s="751">
        <f>$F$21*$M$8*'Traffic Data'!AZ25*annualizationFactor</f>
        <v>1.1796086308053634E-3</v>
      </c>
      <c r="Y93" s="751">
        <f>$F$21*$M$8*'Traffic Data'!BA25*annualizationFactor</f>
        <v>1.2002508178164623E-3</v>
      </c>
      <c r="Z93" s="751">
        <f>$F$21*$M$8*'Traffic Data'!BB25*annualizationFactor</f>
        <v>1.2209049927404552E-3</v>
      </c>
      <c r="AA93" s="751">
        <f>$F$21*$M$8*'Traffic Data'!BC25*annualizationFactor</f>
        <v>1.2415471797515534E-3</v>
      </c>
      <c r="AB93" s="751">
        <f>$F$21*$M$8*'Traffic Data'!BD25*annualizationFactor</f>
        <v>1.2622013546755458E-3</v>
      </c>
      <c r="AC93" s="751">
        <f>$F$21*$M$8*'Traffic Data'!BE25*annualizationFactor</f>
        <v>1.2828435416866448E-3</v>
      </c>
      <c r="AD93" s="751">
        <f>$F$21*$M$8*'Traffic Data'!BF25*annualizationFactor</f>
        <v>1.3034857286977433E-3</v>
      </c>
      <c r="AE93" s="751">
        <f>$F$21*$M$8*'Traffic Data'!BG25*annualizationFactor</f>
        <v>1.3241399036217362E-3</v>
      </c>
      <c r="AF93" s="751">
        <f>$F$21*$M$8*'Traffic Data'!BH25*annualizationFactor</f>
        <v>1.3447820906328351E-3</v>
      </c>
      <c r="AG93" s="751">
        <f>$F$21*$M$8*'Traffic Data'!BI25*annualizationFactor</f>
        <v>1.3654242776439333E-3</v>
      </c>
      <c r="AH93" s="752">
        <f>$F$21*$M$8*'Traffic Data'!BJ25*annualizationFactor</f>
        <v>1.3860784525679261E-3</v>
      </c>
      <c r="AI93" s="40"/>
      <c r="AJ93" s="40"/>
      <c r="AK93" s="40"/>
      <c r="AL93" s="40"/>
      <c r="AM93" s="40"/>
    </row>
    <row r="94" spans="2:39" ht="21.9" customHeight="1" x14ac:dyDescent="0.25">
      <c r="B94" s="470"/>
      <c r="C94" s="250" t="s">
        <v>274</v>
      </c>
      <c r="D94" s="250" t="s">
        <v>317</v>
      </c>
      <c r="E94" s="250" t="s">
        <v>19</v>
      </c>
      <c r="F94" s="250" t="s">
        <v>405</v>
      </c>
      <c r="G94" s="753"/>
      <c r="H94" s="753"/>
      <c r="I94" s="753">
        <f>$F$21*$M$8*'Traffic Data'!AK26*annualizationFactor</f>
        <v>1.4809033840909094E-5</v>
      </c>
      <c r="J94" s="753">
        <f>$F$21*$M$8*'Traffic Data'!AL26*annualizationFactor</f>
        <v>1.5319032284666934E-5</v>
      </c>
      <c r="K94" s="753">
        <f>$F$21*$M$8*'Traffic Data'!AM26*annualizationFactor</f>
        <v>1.5888020046557724E-5</v>
      </c>
      <c r="L94" s="753">
        <f>$F$21*$M$8*'Traffic Data'!AN26*annualizationFactor</f>
        <v>1.688197771623648E-5</v>
      </c>
      <c r="M94" s="753">
        <f>$F$21*$M$8*'Traffic Data'!AO26*annualizationFactor</f>
        <v>1.7876527747268866E-5</v>
      </c>
      <c r="N94" s="753">
        <f>$F$21*$M$8*'Traffic Data'!AP26*annualizationFactor</f>
        <v>1.8870732234178301E-5</v>
      </c>
      <c r="O94" s="753">
        <f>$F$21*$M$8*'Traffic Data'!AQ26*annualizationFactor</f>
        <v>1.9864689903857053E-5</v>
      </c>
      <c r="P94" s="753">
        <f>$F$21*$M$8*'Traffic Data'!AR26*annualizationFactor</f>
        <v>2.0859659524181597E-5</v>
      </c>
      <c r="Q94" s="753">
        <f>$F$21*$M$8*'Traffic Data'!AS26*annualizationFactor</f>
        <v>2.2141085222435463E-5</v>
      </c>
      <c r="R94" s="753">
        <f>$F$21*$M$8*'Traffic Data'!AT26*annualizationFactor</f>
        <v>2.3423226690658306E-5</v>
      </c>
      <c r="S94" s="753">
        <f>$F$21*$M$8*'Traffic Data'!AU26*annualizationFactor</f>
        <v>2.4704405571681473E-5</v>
      </c>
      <c r="T94" s="753">
        <f>$F$21*$M$8*'Traffic Data'!AV26*annualizationFactor</f>
        <v>2.5985831269935346E-5</v>
      </c>
      <c r="U94" s="753">
        <f>$F$21*$M$8*'Traffic Data'!AW26*annualizationFactor</f>
        <v>2.7268342964004205E-5</v>
      </c>
      <c r="V94" s="753">
        <f>$F$21*$M$8*'Traffic Data'!AX26*annualizationFactor</f>
        <v>2.8124132347947282E-5</v>
      </c>
      <c r="W94" s="753">
        <f>$F$21*$M$8*'Traffic Data'!AY26*annualizationFactor</f>
        <v>2.8634130791705124E-5</v>
      </c>
      <c r="X94" s="753">
        <f>$F$21*$M$8*'Traffic Data'!AZ26*annualizationFactor</f>
        <v>2.9144129235462962E-5</v>
      </c>
      <c r="Y94" s="753">
        <f>$F$21*$M$8*'Traffic Data'!BA26*annualizationFactor</f>
        <v>2.9654127679220808E-5</v>
      </c>
      <c r="Z94" s="753">
        <f>$F$21*$M$8*'Traffic Data'!BB26*annualizationFactor</f>
        <v>3.0164422303655469E-5</v>
      </c>
      <c r="AA94" s="753">
        <f>$F$21*$M$8*'Traffic Data'!BC26*annualizationFactor</f>
        <v>3.0674420747413301E-5</v>
      </c>
      <c r="AB94" s="753">
        <f>$F$21*$M$8*'Traffic Data'!BD26*annualizationFactor</f>
        <v>3.1184715371847959E-5</v>
      </c>
      <c r="AC94" s="753">
        <f>$F$21*$M$8*'Traffic Data'!BE26*annualizationFactor</f>
        <v>3.1694713815605805E-5</v>
      </c>
      <c r="AD94" s="753">
        <f>$F$21*$M$8*'Traffic Data'!BF26*annualizationFactor</f>
        <v>3.2204712259363643E-5</v>
      </c>
      <c r="AE94" s="753">
        <f>$F$21*$M$8*'Traffic Data'!BG26*annualizationFactor</f>
        <v>3.2715006883798301E-5</v>
      </c>
      <c r="AF94" s="753">
        <f>$F$21*$M$8*'Traffic Data'!BH26*annualizationFactor</f>
        <v>3.322500532755614E-5</v>
      </c>
      <c r="AG94" s="753">
        <f>$F$21*$M$8*'Traffic Data'!BI26*annualizationFactor</f>
        <v>3.3735003771313985E-5</v>
      </c>
      <c r="AH94" s="757">
        <f>$F$21*$M$8*'Traffic Data'!BJ26*annualizationFactor</f>
        <v>3.4245298395748643E-5</v>
      </c>
      <c r="AI94" s="40"/>
      <c r="AJ94" s="40"/>
      <c r="AK94" s="40"/>
      <c r="AL94" s="40"/>
      <c r="AM94" s="40"/>
    </row>
    <row r="95" spans="2:39" ht="21.9" customHeight="1" thickBot="1" x14ac:dyDescent="0.3">
      <c r="B95" s="1072" t="s">
        <v>459</v>
      </c>
      <c r="C95" s="782"/>
      <c r="D95" s="782"/>
      <c r="E95" s="237"/>
      <c r="F95" s="237"/>
      <c r="G95" s="940">
        <f t="shared" ref="G95:AH95" si="2">SUM(G75:G94)</f>
        <v>0</v>
      </c>
      <c r="H95" s="940">
        <f t="shared" si="2"/>
        <v>0</v>
      </c>
      <c r="I95" s="759">
        <f t="shared" si="2"/>
        <v>7.4898565448619841E-3</v>
      </c>
      <c r="J95" s="759">
        <f t="shared" si="2"/>
        <v>7.9175581791353505E-3</v>
      </c>
      <c r="K95" s="759">
        <f t="shared" si="2"/>
        <v>8.4942007212641373E-3</v>
      </c>
      <c r="L95" s="759">
        <f t="shared" si="2"/>
        <v>9.6845112591027946E-3</v>
      </c>
      <c r="M95" s="759">
        <f t="shared" si="2"/>
        <v>1.087528785668563E-2</v>
      </c>
      <c r="N95" s="759">
        <f t="shared" si="2"/>
        <v>1.2066383680122011E-2</v>
      </c>
      <c r="O95" s="759">
        <f t="shared" si="2"/>
        <v>1.325669421796067E-2</v>
      </c>
      <c r="P95" s="759">
        <f t="shared" si="2"/>
        <v>1.444819600827857E-2</v>
      </c>
      <c r="Q95" s="759">
        <f t="shared" si="2"/>
        <v>1.5891792419178492E-2</v>
      </c>
      <c r="R95" s="759">
        <f t="shared" si="2"/>
        <v>1.7335669803284336E-2</v>
      </c>
      <c r="S95" s="759">
        <f t="shared" si="2"/>
        <v>1.8779212086227667E-2</v>
      </c>
      <c r="T95" s="759">
        <f t="shared" si="2"/>
        <v>2.0222808497127584E-2</v>
      </c>
      <c r="U95" s="759">
        <f t="shared" si="2"/>
        <v>2.1667854687265172E-2</v>
      </c>
      <c r="V95" s="759">
        <f t="shared" si="2"/>
        <v>2.2497040271222943E-2</v>
      </c>
      <c r="W95" s="759">
        <f t="shared" si="2"/>
        <v>2.292472366076662E-2</v>
      </c>
      <c r="X95" s="759">
        <f t="shared" si="2"/>
        <v>2.3352425295039985E-2</v>
      </c>
      <c r="Y95" s="759">
        <f t="shared" si="2"/>
        <v>2.3780126929313347E-2</v>
      </c>
      <c r="Z95" s="759">
        <f t="shared" si="2"/>
        <v>2.4208151991158076E-2</v>
      </c>
      <c r="AA95" s="759">
        <f t="shared" si="2"/>
        <v>2.4635853625431442E-2</v>
      </c>
      <c r="AB95" s="759">
        <f t="shared" si="2"/>
        <v>2.5063878687276178E-2</v>
      </c>
      <c r="AC95" s="759">
        <f t="shared" si="2"/>
        <v>2.5491580321549547E-2</v>
      </c>
      <c r="AD95" s="759">
        <f t="shared" si="2"/>
        <v>2.5919281955822909E-2</v>
      </c>
      <c r="AE95" s="759">
        <f t="shared" si="2"/>
        <v>2.634728877293795E-2</v>
      </c>
      <c r="AF95" s="759">
        <f t="shared" si="2"/>
        <v>2.6774990407211319E-2</v>
      </c>
      <c r="AG95" s="759">
        <f t="shared" si="2"/>
        <v>2.7202692041484677E-2</v>
      </c>
      <c r="AH95" s="760">
        <f t="shared" si="2"/>
        <v>2.7630717103329417E-2</v>
      </c>
      <c r="AI95" s="40"/>
      <c r="AJ95" s="40"/>
      <c r="AK95" s="40"/>
      <c r="AL95" s="40"/>
      <c r="AM95" s="40"/>
    </row>
    <row r="96" spans="2:39" ht="21.9" customHeight="1" x14ac:dyDescent="0.25">
      <c r="B96" s="548" t="s">
        <v>312</v>
      </c>
      <c r="C96" s="1331" t="s">
        <v>18</v>
      </c>
      <c r="D96" s="1331"/>
      <c r="E96" s="197" t="s">
        <v>24</v>
      </c>
      <c r="F96" s="197" t="s">
        <v>42</v>
      </c>
      <c r="G96" s="459">
        <v>2021</v>
      </c>
      <c r="H96" s="459">
        <v>2022</v>
      </c>
      <c r="I96" s="459">
        <v>2023</v>
      </c>
      <c r="J96" s="459">
        <v>2024</v>
      </c>
      <c r="K96" s="459">
        <v>2025</v>
      </c>
      <c r="L96" s="459">
        <v>2026</v>
      </c>
      <c r="M96" s="459">
        <v>2027</v>
      </c>
      <c r="N96" s="459">
        <v>2028</v>
      </c>
      <c r="O96" s="459">
        <v>2029</v>
      </c>
      <c r="P96" s="459">
        <v>2030</v>
      </c>
      <c r="Q96" s="459">
        <v>2031</v>
      </c>
      <c r="R96" s="459">
        <v>2032</v>
      </c>
      <c r="S96" s="459">
        <v>2033</v>
      </c>
      <c r="T96" s="459">
        <v>2034</v>
      </c>
      <c r="U96" s="459">
        <v>2035</v>
      </c>
      <c r="V96" s="459">
        <v>2036</v>
      </c>
      <c r="W96" s="459">
        <v>2037</v>
      </c>
      <c r="X96" s="459">
        <v>2038</v>
      </c>
      <c r="Y96" s="459">
        <v>2039</v>
      </c>
      <c r="Z96" s="459">
        <v>2040</v>
      </c>
      <c r="AA96" s="459">
        <v>2041</v>
      </c>
      <c r="AB96" s="459">
        <v>2042</v>
      </c>
      <c r="AC96" s="459">
        <v>2043</v>
      </c>
      <c r="AD96" s="459">
        <v>2044</v>
      </c>
      <c r="AE96" s="459">
        <v>2045</v>
      </c>
      <c r="AF96" s="459">
        <v>2046</v>
      </c>
      <c r="AG96" s="459">
        <v>2047</v>
      </c>
      <c r="AH96" s="459">
        <v>2048</v>
      </c>
      <c r="AI96" s="247"/>
      <c r="AJ96" s="247"/>
      <c r="AK96" s="247"/>
      <c r="AL96" s="247"/>
      <c r="AM96" s="247"/>
    </row>
    <row r="97" spans="2:39" ht="21.9" customHeight="1" x14ac:dyDescent="0.25">
      <c r="B97" s="1332" t="s">
        <v>315</v>
      </c>
      <c r="C97" s="217" t="s">
        <v>316</v>
      </c>
      <c r="D97" s="217" t="s">
        <v>276</v>
      </c>
      <c r="E97" s="217" t="s">
        <v>434</v>
      </c>
      <c r="F97" s="217" t="s">
        <v>405</v>
      </c>
      <c r="G97" s="749"/>
      <c r="H97" s="749"/>
      <c r="I97" s="749">
        <f>$F$22*$E$9*'Traffic Data'!AK7*annualizationFactor</f>
        <v>9.5708376777624011E-4</v>
      </c>
      <c r="J97" s="749">
        <f>$F$22*$E$9*'Traffic Data'!AL7*annualizationFactor</f>
        <v>1.0011156028674958E-3</v>
      </c>
      <c r="K97" s="749">
        <f>$F$22*$E$9*'Traffic Data'!AM7*annualizationFactor</f>
        <v>1.0629462051526153E-3</v>
      </c>
      <c r="L97" s="749">
        <f>$F$22*$E$9*'Traffic Data'!AN7*annualizationFactor</f>
        <v>1.1536508283568341E-3</v>
      </c>
      <c r="M97" s="749">
        <f>$F$22*$E$9*'Traffic Data'!AO7*annualizationFactor</f>
        <v>1.2443883513155703E-3</v>
      </c>
      <c r="N97" s="749">
        <f>$F$22*$E$9*'Traffic Data'!AP7*annualizationFactor</f>
        <v>1.3351288651610805E-3</v>
      </c>
      <c r="O97" s="749">
        <f>$F$22*$E$9*'Traffic Data'!AQ7*annualizationFactor</f>
        <v>1.4258334883652992E-3</v>
      </c>
      <c r="P97" s="749">
        <f>$F$22*$E$9*'Traffic Data'!AR7*annualizationFactor</f>
        <v>1.5166069019653269E-3</v>
      </c>
      <c r="Q97" s="749">
        <f>$F$22*$E$9*'Traffic Data'!AS7*annualizationFactor</f>
        <v>1.6063095781001552E-3</v>
      </c>
      <c r="R97" s="749">
        <f>$F$22*$E$9*'Traffic Data'!AT7*annualizationFactor</f>
        <v>1.696030199555629E-3</v>
      </c>
      <c r="S97" s="749">
        <f>$F$22*$E$9*'Traffic Data'!AU7*annualizationFactor</f>
        <v>1.7857328756904574E-3</v>
      </c>
      <c r="T97" s="749">
        <f>$F$22*$E$9*'Traffic Data'!AV7*annualizationFactor</f>
        <v>1.8754355518252857E-3</v>
      </c>
      <c r="U97" s="749">
        <f>$F$22*$E$9*'Traffic Data'!AW7*annualizationFactor</f>
        <v>1.9652100092426971E-3</v>
      </c>
      <c r="V97" s="749">
        <f>$F$22*$E$9*'Traffic Data'!AX7*annualizationFactor</f>
        <v>2.0260027738171339E-3</v>
      </c>
      <c r="W97" s="749">
        <f>$F$22*$E$9*'Traffic Data'!AY7*annualizationFactor</f>
        <v>2.0700346089083895E-3</v>
      </c>
      <c r="X97" s="749">
        <f>$F$22*$E$9*'Traffic Data'!AZ7*annualizationFactor</f>
        <v>2.1140664439996447E-3</v>
      </c>
      <c r="Y97" s="749">
        <f>$F$22*$E$9*'Traffic Data'!BA7*annualizationFactor</f>
        <v>2.1580982790909008E-3</v>
      </c>
      <c r="Z97" s="749">
        <f>$F$22*$E$9*'Traffic Data'!BB7*annualizationFactor</f>
        <v>2.2021480595028026E-3</v>
      </c>
      <c r="AA97" s="749">
        <f>$F$22*$E$9*'Traffic Data'!BC7*annualizationFactor</f>
        <v>2.2461798945940577E-3</v>
      </c>
      <c r="AB97" s="749">
        <f>$F$22*$E$9*'Traffic Data'!BD7*annualizationFactor</f>
        <v>2.2902296750059591E-3</v>
      </c>
      <c r="AC97" s="749">
        <f>$F$22*$E$9*'Traffic Data'!BE7*annualizationFactor</f>
        <v>2.3342615100972151E-3</v>
      </c>
      <c r="AD97" s="749">
        <f>$F$22*$E$9*'Traffic Data'!BF7*annualizationFactor</f>
        <v>2.3782933451884703E-3</v>
      </c>
      <c r="AE97" s="749">
        <f>$F$22*$E$9*'Traffic Data'!BG7*annualizationFactor</f>
        <v>2.4223431256003717E-3</v>
      </c>
      <c r="AF97" s="749">
        <f>$F$22*$E$9*'Traffic Data'!BH7*annualizationFactor</f>
        <v>2.4663749606916277E-3</v>
      </c>
      <c r="AG97" s="749">
        <f>$F$22*$E$9*'Traffic Data'!BI7*annualizationFactor</f>
        <v>2.5104067957828833E-3</v>
      </c>
      <c r="AH97" s="750">
        <f>$F$22*$E$9*'Traffic Data'!BJ7*annualizationFactor</f>
        <v>2.5544565761947842E-3</v>
      </c>
      <c r="AI97" s="40"/>
      <c r="AJ97" s="40"/>
      <c r="AK97" s="40"/>
      <c r="AL97" s="40"/>
      <c r="AM97" s="40"/>
    </row>
    <row r="98" spans="2:39" ht="21.9" customHeight="1" x14ac:dyDescent="0.25">
      <c r="B98" s="1332"/>
      <c r="C98" s="114" t="s">
        <v>276</v>
      </c>
      <c r="D98" s="114" t="s">
        <v>274</v>
      </c>
      <c r="E98" s="114" t="s">
        <v>434</v>
      </c>
      <c r="F98" s="114" t="s">
        <v>405</v>
      </c>
      <c r="G98" s="941"/>
      <c r="H98" s="941"/>
      <c r="I98" s="751">
        <f>$F$22*$E$9*'Traffic Data'!AK8*annualizationFactor</f>
        <v>3.0775366279772631E-2</v>
      </c>
      <c r="J98" s="751">
        <f>$F$22*$E$9*'Traffic Data'!AL8*annualizationFactor</f>
        <v>3.2480207588833951E-2</v>
      </c>
      <c r="K98" s="751">
        <f>$F$22*$E$9*'Traffic Data'!AM8*annualizationFactor</f>
        <v>3.4457239915214162E-2</v>
      </c>
      <c r="L98" s="751">
        <f>$F$22*$E$9*'Traffic Data'!AN8*annualizationFactor</f>
        <v>3.8146294469454313E-2</v>
      </c>
      <c r="M98" s="751">
        <f>$F$22*$E$9*'Traffic Data'!AO8*annualizationFactor</f>
        <v>4.1836716817751349E-2</v>
      </c>
      <c r="N98" s="751">
        <f>$F$22*$E$9*'Traffic Data'!AP8*annualizationFactor</f>
        <v>4.5527823063076824E-2</v>
      </c>
      <c r="O98" s="751">
        <f>$F$22*$E$9*'Traffic Data'!AQ8*annualizationFactor</f>
        <v>4.9216877617316974E-2</v>
      </c>
      <c r="P98" s="751">
        <f>$F$22*$E$9*'Traffic Data'!AR8*annualizationFactor</f>
        <v>5.2909465639537398E-2</v>
      </c>
      <c r="Q98" s="751">
        <f>$F$22*$E$9*'Traffic Data'!AS8*annualizationFactor</f>
        <v>5.7286634587225646E-2</v>
      </c>
      <c r="R98" s="751">
        <f>$F$22*$E$9*'Traffic Data'!AT8*annualizationFactor</f>
        <v>6.1665057346132701E-2</v>
      </c>
      <c r="S98" s="751">
        <f>$F$22*$E$9*'Traffic Data'!AU8*annualizationFactor</f>
        <v>6.6042226293820949E-2</v>
      </c>
      <c r="T98" s="751">
        <f>$F$22*$E$9*'Traffic Data'!AV8*annualizationFactor</f>
        <v>7.0419395241509197E-2</v>
      </c>
      <c r="U98" s="751">
        <f>$F$22*$E$9*'Traffic Data'!AW8*annualizationFactor</f>
        <v>7.4800895537044235E-2</v>
      </c>
      <c r="V98" s="751">
        <f>$F$22*$E$9*'Traffic Data'!AX8*annualizationFactor</f>
        <v>7.7463876582949162E-2</v>
      </c>
      <c r="W98" s="751">
        <f>$F$22*$E$9*'Traffic Data'!AY8*annualizationFactor</f>
        <v>7.9168717892010493E-2</v>
      </c>
      <c r="X98" s="751">
        <f>$F$22*$E$9*'Traffic Data'!AZ8*annualizationFactor</f>
        <v>8.0873559201071823E-2</v>
      </c>
      <c r="Y98" s="751">
        <f>$F$22*$E$9*'Traffic Data'!BA8*annualizationFactor</f>
        <v>8.257840051013314E-2</v>
      </c>
      <c r="Z98" s="751">
        <f>$F$22*$E$9*'Traffic Data'!BB8*annualizationFactor</f>
        <v>8.4284381647575221E-2</v>
      </c>
      <c r="AA98" s="751">
        <f>$F$22*$E$9*'Traffic Data'!BC8*annualizationFactor</f>
        <v>8.5989222956636538E-2</v>
      </c>
      <c r="AB98" s="751">
        <f>$F$22*$E$9*'Traffic Data'!BD8*annualizationFactor</f>
        <v>8.7695204094078577E-2</v>
      </c>
      <c r="AC98" s="751">
        <f>$F$22*$E$9*'Traffic Data'!BE8*annualizationFactor</f>
        <v>8.9400045403139936E-2</v>
      </c>
      <c r="AD98" s="751">
        <f>$F$22*$E$9*'Traffic Data'!BF8*annualizationFactor</f>
        <v>9.1104886712201266E-2</v>
      </c>
      <c r="AE98" s="751">
        <f>$F$22*$E$9*'Traffic Data'!BG8*annualizationFactor</f>
        <v>9.2810867849643347E-2</v>
      </c>
      <c r="AF98" s="751">
        <f>$F$22*$E$9*'Traffic Data'!BH8*annualizationFactor</f>
        <v>9.451570915870465E-2</v>
      </c>
      <c r="AG98" s="751">
        <f>$F$22*$E$9*'Traffic Data'!BI8*annualizationFactor</f>
        <v>9.6220550467766008E-2</v>
      </c>
      <c r="AH98" s="752">
        <f>$F$22*$E$9*'Traffic Data'!BJ8*annualizationFactor</f>
        <v>9.7926531605208061E-2</v>
      </c>
      <c r="AI98" s="40"/>
      <c r="AJ98" s="40"/>
      <c r="AK98" s="40"/>
      <c r="AL98" s="40"/>
      <c r="AM98" s="40"/>
    </row>
    <row r="99" spans="2:39" ht="21.9" customHeight="1" x14ac:dyDescent="0.25">
      <c r="B99" s="1332"/>
      <c r="C99" s="114" t="s">
        <v>274</v>
      </c>
      <c r="D99" s="114" t="s">
        <v>317</v>
      </c>
      <c r="E99" s="250" t="s">
        <v>434</v>
      </c>
      <c r="F99" s="250" t="s">
        <v>405</v>
      </c>
      <c r="G99" s="753"/>
      <c r="H99" s="753"/>
      <c r="I99" s="751">
        <f>$F$22*$E$9*'Traffic Data'!AK9*annualizationFactor</f>
        <v>7.1781282583218006E-4</v>
      </c>
      <c r="J99" s="751">
        <f>$F$22*$E$9*'Traffic Data'!AL9*annualizationFactor</f>
        <v>7.4778749308422219E-4</v>
      </c>
      <c r="K99" s="751">
        <f>$F$22*$E$9*'Traffic Data'!AM9*annualizationFactor</f>
        <v>7.8488645263264853E-4</v>
      </c>
      <c r="L99" s="751">
        <f>$F$22*$E$9*'Traffic Data'!AN9*annualizationFactor</f>
        <v>8.3483426176347126E-4</v>
      </c>
      <c r="M99" s="751">
        <f>$F$22*$E$9*'Traffic Data'!AO9*annualizationFactor</f>
        <v>8.848000162149397E-4</v>
      </c>
      <c r="N99" s="751">
        <f>$F$22*$E$9*'Traffic Data'!AP9*annualizationFactor</f>
        <v>9.3475978889285953E-4</v>
      </c>
      <c r="O99" s="751">
        <f>$F$22*$E$9*'Traffic Data'!AQ9*annualizationFactor</f>
        <v>9.8470759802368204E-4</v>
      </c>
      <c r="P99" s="751">
        <f>$F$22*$E$9*'Traffic Data'!AR9*annualizationFactor</f>
        <v>1.0346912977957964E-3</v>
      </c>
      <c r="Q99" s="751">
        <f>$F$22*$E$9*'Traffic Data'!AS9*annualizationFactor</f>
        <v>1.0831197364452737E-3</v>
      </c>
      <c r="R99" s="751">
        <f>$F$22*$E$9*'Traffic Data'!AT9*annualizationFactor</f>
        <v>1.1315661204153969E-3</v>
      </c>
      <c r="S99" s="751">
        <f>$F$22*$E$9*'Traffic Data'!AU9*annualizationFactor</f>
        <v>1.1799945590648749E-3</v>
      </c>
      <c r="T99" s="751">
        <f>$F$22*$E$9*'Traffic Data'!AV9*annualizationFactor</f>
        <v>1.2284229977143528E-3</v>
      </c>
      <c r="U99" s="751">
        <f>$F$22*$E$9*'Traffic Data'!AW9*annualizationFactor</f>
        <v>1.2768873270051222E-3</v>
      </c>
      <c r="V99" s="751">
        <f>$F$22*$E$9*'Traffic Data'!AX9*annualizationFactor</f>
        <v>1.3124489707515578E-3</v>
      </c>
      <c r="W99" s="751">
        <f>$F$22*$E$9*'Traffic Data'!AY9*annualizationFactor</f>
        <v>1.3424236380036002E-3</v>
      </c>
      <c r="X99" s="751">
        <f>$F$22*$E$9*'Traffic Data'!AZ9*annualizationFactor</f>
        <v>1.3723983052556419E-3</v>
      </c>
      <c r="Y99" s="751">
        <f>$F$22*$E$9*'Traffic Data'!BA9*annualizationFactor</f>
        <v>1.4023729725076844E-3</v>
      </c>
      <c r="Z99" s="751">
        <f>$F$22*$E$9*'Traffic Data'!BB9*annualizationFactor</f>
        <v>1.4323596033068238E-3</v>
      </c>
      <c r="AA99" s="751">
        <f>$F$22*$E$9*'Traffic Data'!BC9*annualizationFactor</f>
        <v>1.4623342705588657E-3</v>
      </c>
      <c r="AB99" s="751">
        <f>$F$22*$E$9*'Traffic Data'!BD9*annualizationFactor</f>
        <v>1.492320901358005E-3</v>
      </c>
      <c r="AC99" s="751">
        <f>$F$22*$E$9*'Traffic Data'!BE9*annualizationFactor</f>
        <v>1.5222955686100476E-3</v>
      </c>
      <c r="AD99" s="751">
        <f>$F$22*$E$9*'Traffic Data'!BF9*annualizationFactor</f>
        <v>1.5522702358620891E-3</v>
      </c>
      <c r="AE99" s="751">
        <f>$F$22*$E$9*'Traffic Data'!BG9*annualizationFactor</f>
        <v>1.5822568666612289E-3</v>
      </c>
      <c r="AF99" s="751">
        <f>$F$22*$E$9*'Traffic Data'!BH9*annualizationFactor</f>
        <v>1.6122315339132708E-3</v>
      </c>
      <c r="AG99" s="751">
        <f>$F$22*$E$9*'Traffic Data'!BI9*annualizationFactor</f>
        <v>1.6422062011653127E-3</v>
      </c>
      <c r="AH99" s="752">
        <f>$F$22*$E$9*'Traffic Data'!BJ9*annualizationFactor</f>
        <v>1.6721928319644523E-3</v>
      </c>
      <c r="AI99" s="40"/>
      <c r="AJ99" s="40"/>
      <c r="AK99" s="40"/>
      <c r="AL99" s="40"/>
      <c r="AM99" s="40"/>
    </row>
    <row r="100" spans="2:39" ht="21.9" customHeight="1" x14ac:dyDescent="0.25">
      <c r="B100" s="1332" t="s">
        <v>274</v>
      </c>
      <c r="C100" s="217" t="s">
        <v>275</v>
      </c>
      <c r="D100" s="217" t="s">
        <v>318</v>
      </c>
      <c r="E100" s="114" t="s">
        <v>434</v>
      </c>
      <c r="F100" s="217" t="s">
        <v>405</v>
      </c>
      <c r="G100" s="941"/>
      <c r="H100" s="941"/>
      <c r="I100" s="749">
        <f>$F$22*$F$9*'Traffic Data'!AK10*annualizationFactor</f>
        <v>6.6905450972752E-3</v>
      </c>
      <c r="J100" s="749">
        <f>$F$22*$F$9*'Traffic Data'!AL10*annualizationFactor</f>
        <v>7.4205671992016407E-3</v>
      </c>
      <c r="K100" s="749">
        <f>$F$22*$F$9*'Traffic Data'!AM10*annualizationFactor</f>
        <v>8.1915354371234032E-3</v>
      </c>
      <c r="L100" s="749">
        <f>$F$22*$F$9*'Traffic Data'!AN10*annualizationFactor</f>
        <v>1.0577935788782269E-2</v>
      </c>
      <c r="M100" s="749">
        <f>$F$22*$F$9*'Traffic Data'!AO10*annualizationFactor</f>
        <v>1.2965540438558637E-2</v>
      </c>
      <c r="N100" s="749">
        <f>$F$22*$F$9*'Traffic Data'!AP10*annualizationFactor</f>
        <v>1.5353780690119251E-2</v>
      </c>
      <c r="O100" s="749">
        <f>$F$22*$F$9*'Traffic Data'!AQ10*annualizationFactor</f>
        <v>1.7740181041778113E-2</v>
      </c>
      <c r="P100" s="749">
        <f>$F$22*$F$9*'Traffic Data'!AR10*annualizationFactor</f>
        <v>2.0129876486897385E-2</v>
      </c>
      <c r="Q100" s="749">
        <f>$F$22*$F$9*'Traffic Data'!AS10*annualizationFactor</f>
        <v>2.3336654752021381E-2</v>
      </c>
      <c r="R100" s="749">
        <f>$F$22*$F$9*'Traffic Data'!AT10*annualizationFactor</f>
        <v>2.6544854757978555E-2</v>
      </c>
      <c r="S100" s="749">
        <f>$F$22*$F$9*'Traffic Data'!AU10*annualizationFactor</f>
        <v>2.9751633023102565E-2</v>
      </c>
      <c r="T100" s="749">
        <f>$F$22*$F$9*'Traffic Data'!AV10*annualizationFactor</f>
        <v>3.2958411288226568E-2</v>
      </c>
      <c r="U100" s="749">
        <f>$F$22*$F$9*'Traffic Data'!AW10*annualizationFactor</f>
        <v>3.6169371144036379E-2</v>
      </c>
      <c r="V100" s="749">
        <f>$F$22*$F$9*'Traffic Data'!AX10*annualizationFactor</f>
        <v>3.7758626500080376E-2</v>
      </c>
      <c r="W100" s="749">
        <f>$F$22*$F$9*'Traffic Data'!AY10*annualizationFactor</f>
        <v>3.8488648602006813E-2</v>
      </c>
      <c r="X100" s="749">
        <f>$F$22*$F$9*'Traffic Data'!AZ10*annualizationFactor</f>
        <v>3.9218670703933256E-2</v>
      </c>
      <c r="Y100" s="749">
        <f>$F$22*$F$9*'Traffic Data'!BA10*annualizationFactor</f>
        <v>3.9948692805859699E-2</v>
      </c>
      <c r="Z100" s="749">
        <f>$F$22*$F$9*'Traffic Data'!BB10*annualizationFactor</f>
        <v>4.0679885753178158E-2</v>
      </c>
      <c r="AA100" s="749">
        <f>$F$22*$F$9*'Traffic Data'!BC10*annualizationFactor</f>
        <v>4.1409907855104594E-2</v>
      </c>
      <c r="AB100" s="749">
        <f>$F$22*$F$9*'Traffic Data'!BD10*annualizationFactor</f>
        <v>4.2141100802423059E-2</v>
      </c>
      <c r="AC100" s="749">
        <f>$F$22*$F$9*'Traffic Data'!BE10*annualizationFactor</f>
        <v>4.287112290434951E-2</v>
      </c>
      <c r="AD100" s="749">
        <f>$F$22*$F$9*'Traffic Data'!BF10*annualizationFactor</f>
        <v>4.3601145006275946E-2</v>
      </c>
      <c r="AE100" s="749">
        <f>$F$22*$F$9*'Traffic Data'!BG10*annualizationFactor</f>
        <v>4.4332337953594411E-2</v>
      </c>
      <c r="AF100" s="749">
        <f>$F$22*$F$9*'Traffic Data'!BH10*annualizationFactor</f>
        <v>4.5062360055520848E-2</v>
      </c>
      <c r="AG100" s="749">
        <f>$F$22*$F$9*'Traffic Data'!BI10*annualizationFactor</f>
        <v>4.5792382157447284E-2</v>
      </c>
      <c r="AH100" s="750">
        <f>$F$22*$F$9*'Traffic Data'!BJ10*annualizationFactor</f>
        <v>4.6523575104765749E-2</v>
      </c>
      <c r="AI100" s="40"/>
      <c r="AJ100" s="40"/>
      <c r="AK100" s="40"/>
      <c r="AL100" s="40"/>
      <c r="AM100" s="40"/>
    </row>
    <row r="101" spans="2:39" ht="21.9" customHeight="1" x14ac:dyDescent="0.25">
      <c r="B101" s="1332"/>
      <c r="C101" s="114" t="s">
        <v>318</v>
      </c>
      <c r="D101" s="114" t="s">
        <v>308</v>
      </c>
      <c r="E101" s="114" t="s">
        <v>434</v>
      </c>
      <c r="F101" s="114" t="s">
        <v>405</v>
      </c>
      <c r="G101" s="941"/>
      <c r="H101" s="941"/>
      <c r="I101" s="751">
        <f>$F$22*$F$9*'Traffic Data'!AK11*annualizationFactor</f>
        <v>7.749666135840001E-4</v>
      </c>
      <c r="J101" s="751">
        <f>$F$22*$F$9*'Traffic Data'!AL11*annualizationFactor</f>
        <v>8.7794676041908729E-4</v>
      </c>
      <c r="K101" s="751">
        <f>$F$22*$F$9*'Traffic Data'!AM11*annualizationFactor</f>
        <v>9.8099148780530663E-4</v>
      </c>
      <c r="L101" s="751">
        <f>$F$22*$F$9*'Traffic Data'!AN11*annualizationFactor</f>
        <v>1.3296360511465218E-3</v>
      </c>
      <c r="M101" s="751">
        <f>$F$22*$F$9*'Traffic Data'!AO11*annualizationFactor</f>
        <v>1.6783516530939823E-3</v>
      </c>
      <c r="N101" s="751">
        <f>$F$22*$F$9*'Traffic Data'!AP11*annualizationFactor</f>
        <v>2.0273836997419894E-3</v>
      </c>
      <c r="O101" s="751">
        <f>$F$22*$F$9*'Traffic Data'!AQ11*annualizationFactor</f>
        <v>2.3760282630832046E-3</v>
      </c>
      <c r="P101" s="751">
        <f>$F$22*$F$9*'Traffic Data'!AR11*annualizationFactor</f>
        <v>2.7250021872351929E-3</v>
      </c>
      <c r="Q101" s="751">
        <f>$F$22*$F$9*'Traffic Data'!AS11*annualizationFactor</f>
        <v>3.2608334780325102E-3</v>
      </c>
      <c r="R101" s="751">
        <f>$F$22*$F$9*'Traffic Data'!AT11*annualizationFactor</f>
        <v>3.7966066463338091E-3</v>
      </c>
      <c r="S101" s="751">
        <f>$F$22*$F$9*'Traffic Data'!AU11*annualizationFactor</f>
        <v>4.3324314790760135E-3</v>
      </c>
      <c r="T101" s="751">
        <f>$F$22*$F$9*'Traffic Data'!AV11*annualizationFactor</f>
        <v>4.86826276987333E-3</v>
      </c>
      <c r="U101" s="751">
        <f>$F$22*$F$9*'Traffic Data'!AW11*annualizationFactor</f>
        <v>5.4046171631348169E-3</v>
      </c>
      <c r="V101" s="751">
        <f>$F$22*$F$9*'Traffic Data'!AX11*annualizationFactor</f>
        <v>5.6945838377174974E-3</v>
      </c>
      <c r="W101" s="751">
        <f>$F$22*$F$9*'Traffic Data'!AY11*annualizationFactor</f>
        <v>5.7975639845525848E-3</v>
      </c>
      <c r="X101" s="751">
        <f>$F$22*$F$9*'Traffic Data'!AZ11*annualizationFactor</f>
        <v>5.9005441313876713E-3</v>
      </c>
      <c r="Y101" s="751">
        <f>$F$22*$F$9*'Traffic Data'!BA11*annualizationFactor</f>
        <v>6.0035242782227596E-3</v>
      </c>
      <c r="Z101" s="751">
        <f>$F$22*$F$9*'Traffic Data'!BB11*annualizationFactor</f>
        <v>6.1065690056089786E-3</v>
      </c>
      <c r="AA101" s="751">
        <f>$F$22*$F$9*'Traffic Data'!BC11*annualizationFactor</f>
        <v>6.2095491524440652E-3</v>
      </c>
      <c r="AB101" s="751">
        <f>$F$22*$F$9*'Traffic Data'!BD11*annualizationFactor</f>
        <v>6.3125938798302842E-3</v>
      </c>
      <c r="AC101" s="751">
        <f>$F$22*$F$9*'Traffic Data'!BE11*annualizationFactor</f>
        <v>6.4155740266653716E-3</v>
      </c>
      <c r="AD101" s="751">
        <f>$F$22*$F$9*'Traffic Data'!BF11*annualizationFactor</f>
        <v>6.5185541735004581E-3</v>
      </c>
      <c r="AE101" s="751">
        <f>$F$22*$F$9*'Traffic Data'!BG11*annualizationFactor</f>
        <v>6.621598900886678E-3</v>
      </c>
      <c r="AF101" s="751">
        <f>$F$22*$F$9*'Traffic Data'!BH11*annualizationFactor</f>
        <v>6.7245790477217654E-3</v>
      </c>
      <c r="AG101" s="751">
        <f>$F$22*$F$9*'Traffic Data'!BI11*annualizationFactor</f>
        <v>6.8275591945568519E-3</v>
      </c>
      <c r="AH101" s="752">
        <f>$F$22*$F$9*'Traffic Data'!BJ11*annualizationFactor</f>
        <v>6.930603921943071E-3</v>
      </c>
      <c r="AI101" s="40"/>
      <c r="AJ101" s="40"/>
      <c r="AK101" s="40"/>
      <c r="AL101" s="40"/>
      <c r="AM101" s="40"/>
    </row>
    <row r="102" spans="2:39" ht="21.9" customHeight="1" x14ac:dyDescent="0.25">
      <c r="B102" s="1332"/>
      <c r="C102" s="250" t="s">
        <v>308</v>
      </c>
      <c r="D102" s="250" t="s">
        <v>319</v>
      </c>
      <c r="E102" s="114" t="s">
        <v>434</v>
      </c>
      <c r="F102" s="250" t="s">
        <v>405</v>
      </c>
      <c r="G102" s="941"/>
      <c r="H102" s="941"/>
      <c r="I102" s="751">
        <f>$F$22*$F$9*'Traffic Data'!AK12*annualizationFactor</f>
        <v>1.0384552622025603E-2</v>
      </c>
      <c r="J102" s="751">
        <f>$F$22*$F$9*'Traffic Data'!AL12*annualizationFactor</f>
        <v>1.0769698371188827E-2</v>
      </c>
      <c r="K102" s="751">
        <f>$F$22*$F$9*'Traffic Data'!AM12*annualizationFactor</f>
        <v>1.11550864265799E-2</v>
      </c>
      <c r="L102" s="751">
        <f>$F$22*$F$9*'Traffic Data'!AN12*annualizationFactor</f>
        <v>1.1903518441636989E-2</v>
      </c>
      <c r="M102" s="751">
        <f>$F$22*$F$9*'Traffic Data'!AO12*annualizationFactor</f>
        <v>1.2652383146386663E-2</v>
      </c>
      <c r="N102" s="751">
        <f>$F$22*$F$9*'Traffic Data'!AP12*annualizationFactor</f>
        <v>1.3401057467671599E-2</v>
      </c>
      <c r="O102" s="751">
        <f>$F$22*$F$9*'Traffic Data'!AQ12*annualizationFactor</f>
        <v>1.4149489482728688E-2</v>
      </c>
      <c r="P102" s="751">
        <f>$F$22*$F$9*'Traffic Data'!AR12*annualizationFactor</f>
        <v>1.4898717646820131E-2</v>
      </c>
      <c r="Q102" s="751">
        <f>$F$22*$F$9*'Traffic Data'!AS12*annualizationFactor</f>
        <v>1.5938436362925038E-2</v>
      </c>
      <c r="R102" s="751">
        <f>$F$22*$F$9*'Traffic Data'!AT12*annualizationFactor</f>
        <v>1.6978708921836453E-2</v>
      </c>
      <c r="S102" s="751">
        <f>$F$22*$F$9*'Traffic Data'!AU12*annualizationFactor</f>
        <v>1.801823725447662E-2</v>
      </c>
      <c r="T102" s="751">
        <f>$F$22*$F$9*'Traffic Data'!AV12*annualizationFactor</f>
        <v>1.905795597058153E-2</v>
      </c>
      <c r="U102" s="751">
        <f>$F$22*$F$9*'Traffic Data'!AW12*annualizationFactor</f>
        <v>2.0098591988834718E-2</v>
      </c>
      <c r="V102" s="751">
        <f>$F$22*$F$9*'Traffic Data'!AX12*annualizationFactor</f>
        <v>2.0774712902467098E-2</v>
      </c>
      <c r="W102" s="751">
        <f>$F$22*$F$9*'Traffic Data'!AY12*annualizationFactor</f>
        <v>2.1159858651630326E-2</v>
      </c>
      <c r="X102" s="751">
        <f>$F$22*$F$9*'Traffic Data'!AZ12*annualizationFactor</f>
        <v>2.1545004400793551E-2</v>
      </c>
      <c r="Y102" s="751">
        <f>$F$22*$F$9*'Traffic Data'!BA12*annualizationFactor</f>
        <v>2.1930150149956775E-2</v>
      </c>
      <c r="Z102" s="751">
        <f>$F$22*$F$9*'Traffic Data'!BB12*annualizationFactor</f>
        <v>2.2315538205347853E-2</v>
      </c>
      <c r="AA102" s="751">
        <f>$F$22*$F$9*'Traffic Data'!BC12*annualizationFactor</f>
        <v>2.2700683954511074E-2</v>
      </c>
      <c r="AB102" s="751">
        <f>$F$22*$F$9*'Traffic Data'!BD12*annualizationFactor</f>
        <v>2.3086072009902151E-2</v>
      </c>
      <c r="AC102" s="751">
        <f>$F$22*$F$9*'Traffic Data'!BE12*annualizationFactor</f>
        <v>2.3471217759065379E-2</v>
      </c>
      <c r="AD102" s="751">
        <f>$F$22*$F$9*'Traffic Data'!BF12*annualizationFactor</f>
        <v>2.3856363508228607E-2</v>
      </c>
      <c r="AE102" s="751">
        <f>$F$22*$F$9*'Traffic Data'!BG12*annualizationFactor</f>
        <v>2.4241751563619678E-2</v>
      </c>
      <c r="AF102" s="751">
        <f>$F$22*$F$9*'Traffic Data'!BH12*annualizationFactor</f>
        <v>2.4626897312782902E-2</v>
      </c>
      <c r="AG102" s="751">
        <f>$F$22*$F$9*'Traffic Data'!BI12*annualizationFactor</f>
        <v>2.501204306194613E-2</v>
      </c>
      <c r="AH102" s="752">
        <f>$F$22*$F$9*'Traffic Data'!BJ12*annualizationFactor</f>
        <v>2.5397431117337204E-2</v>
      </c>
      <c r="AI102" s="40"/>
      <c r="AJ102" s="40"/>
      <c r="AK102" s="40"/>
      <c r="AL102" s="40"/>
      <c r="AM102" s="40"/>
    </row>
    <row r="103" spans="2:39" ht="21.9" customHeight="1" x14ac:dyDescent="0.25">
      <c r="B103" s="469" t="s">
        <v>320</v>
      </c>
      <c r="C103" s="114" t="s">
        <v>318</v>
      </c>
      <c r="D103" s="114" t="s">
        <v>308</v>
      </c>
      <c r="E103" s="273" t="s">
        <v>434</v>
      </c>
      <c r="F103" s="273" t="s">
        <v>405</v>
      </c>
      <c r="G103" s="754"/>
      <c r="H103" s="754"/>
      <c r="I103" s="749">
        <f>$F$22*$G$9*'Traffic Data'!AK13*annualizationFactor</f>
        <v>3.0352859032040004E-5</v>
      </c>
      <c r="J103" s="749">
        <f>$F$22*$G$9*'Traffic Data'!AL13*annualizationFactor</f>
        <v>4.9141278772872756E-5</v>
      </c>
      <c r="K103" s="749">
        <f>$F$22*$G$9*'Traffic Data'!AM13*annualizationFactor</f>
        <v>1.4019985586899276E-4</v>
      </c>
      <c r="L103" s="749">
        <f>$F$22*$G$9*'Traffic Data'!AN13*annualizationFactor</f>
        <v>2.9642602130690266E-4</v>
      </c>
      <c r="M103" s="749">
        <f>$F$22*$G$9*'Traffic Data'!AO13*annualizationFactor</f>
        <v>4.5277359818094077E-4</v>
      </c>
      <c r="N103" s="749">
        <f>$F$22*$G$9*'Traffic Data'!AP13*annualizationFactor</f>
        <v>6.0906046933691485E-4</v>
      </c>
      <c r="O103" s="749">
        <f>$F$22*$G$9*'Traffic Data'!AQ13*annualizationFactor</f>
        <v>7.6528663477482472E-4</v>
      </c>
      <c r="P103" s="749">
        <f>$F$22*$G$9*'Traffic Data'!AR13*annualizationFactor</f>
        <v>9.2175562308499095E-4</v>
      </c>
      <c r="Q103" s="749">
        <f>$F$22*$G$9*'Traffic Data'!AS13*annualizationFactor</f>
        <v>1.0058026897447098E-3</v>
      </c>
      <c r="R103" s="749">
        <f>$F$22*$G$9*'Traffic Data'!AT13*annualizationFactor</f>
        <v>1.0899711678405565E-3</v>
      </c>
      <c r="S103" s="749">
        <f>$F$22*$G$9*'Traffic Data'!AU13*annualizationFactor</f>
        <v>1.1740485873593075E-3</v>
      </c>
      <c r="T103" s="749">
        <f>$F$22*$G$9*'Traffic Data'!AV13*annualizationFactor</f>
        <v>1.2580956540190261E-3</v>
      </c>
      <c r="U103" s="749">
        <f>$F$22*$G$9*'Traffic Data'!AW13*annualizationFactor</f>
        <v>1.3423551906919693E-3</v>
      </c>
      <c r="V103" s="749">
        <f>$F$22*$G$9*'Traffic Data'!AX13*annualizationFactor</f>
        <v>1.3611436104328017E-3</v>
      </c>
      <c r="W103" s="749">
        <f>$F$22*$G$9*'Traffic Data'!AY13*annualizationFactor</f>
        <v>1.3799320301736348E-3</v>
      </c>
      <c r="X103" s="749">
        <f>$F$22*$G$9*'Traffic Data'!AZ13*annualizationFactor</f>
        <v>1.3987204499144672E-3</v>
      </c>
      <c r="Y103" s="749">
        <f>$F$22*$G$9*'Traffic Data'!BA13*annualizationFactor</f>
        <v>1.4175088696553003E-3</v>
      </c>
      <c r="Z103" s="749">
        <f>$F$22*$G$9*'Traffic Data'!BB13*annualizationFactor</f>
        <v>1.436388347973229E-3</v>
      </c>
      <c r="AA103" s="749">
        <f>$F$22*$G$9*'Traffic Data'!BC13*annualizationFactor</f>
        <v>1.4551767677140619E-3</v>
      </c>
      <c r="AB103" s="749">
        <f>$F$22*$G$9*'Traffic Data'!BD13*annualizationFactor</f>
        <v>1.4740562460319906E-3</v>
      </c>
      <c r="AC103" s="749">
        <f>$F$22*$G$9*'Traffic Data'!BE13*annualizationFactor</f>
        <v>1.4928446657728233E-3</v>
      </c>
      <c r="AD103" s="749">
        <f>$F$22*$G$9*'Traffic Data'!BF13*annualizationFactor</f>
        <v>1.5116330855136561E-3</v>
      </c>
      <c r="AE103" s="749">
        <f>$F$22*$G$9*'Traffic Data'!BG13*annualizationFactor</f>
        <v>1.5305125638315855E-3</v>
      </c>
      <c r="AF103" s="749">
        <f>$F$22*$G$9*'Traffic Data'!BH13*annualizationFactor</f>
        <v>1.5493009835724177E-3</v>
      </c>
      <c r="AG103" s="749">
        <f>$F$22*$G$9*'Traffic Data'!BI13*annualizationFactor</f>
        <v>1.5680894033132506E-3</v>
      </c>
      <c r="AH103" s="750">
        <f>$F$22*$G$9*'Traffic Data'!BJ13*annualizationFactor</f>
        <v>1.5869688816311798E-3</v>
      </c>
      <c r="AI103" s="40"/>
      <c r="AJ103" s="40"/>
      <c r="AK103" s="40"/>
      <c r="AL103" s="40"/>
      <c r="AM103" s="40"/>
    </row>
    <row r="104" spans="2:39" ht="21.9" customHeight="1" x14ac:dyDescent="0.25">
      <c r="B104" s="1332" t="s">
        <v>308</v>
      </c>
      <c r="C104" s="217" t="s">
        <v>276</v>
      </c>
      <c r="D104" s="217" t="s">
        <v>320</v>
      </c>
      <c r="E104" s="114" t="s">
        <v>434</v>
      </c>
      <c r="F104" s="114" t="s">
        <v>405</v>
      </c>
      <c r="G104" s="941"/>
      <c r="H104" s="941"/>
      <c r="I104" s="749">
        <f>$F$22*$H$9*'Traffic Data'!AK14*annualizationFactor</f>
        <v>8.7183744028199994E-5</v>
      </c>
      <c r="J104" s="749">
        <f>$F$22*$H$9*'Traffic Data'!AL14*annualizationFactor</f>
        <v>8.7183744028199994E-5</v>
      </c>
      <c r="K104" s="749">
        <f>$F$22*$H$9*'Traffic Data'!AM14*annualizationFactor</f>
        <v>1.0201369888739684E-3</v>
      </c>
      <c r="L104" s="749">
        <f>$F$22*$H$9*'Traffic Data'!AN14*annualizationFactor</f>
        <v>1.9530902337197369E-3</v>
      </c>
      <c r="M104" s="749">
        <f>$F$22*$H$9*'Traffic Data'!AO14*annualizationFactor</f>
        <v>2.886828132261759E-3</v>
      </c>
      <c r="N104" s="749">
        <f>$F$22*$H$9*'Traffic Data'!AP14*annualizationFactor</f>
        <v>3.8197813771075279E-3</v>
      </c>
      <c r="O104" s="749">
        <f>$F$22*$H$9*'Traffic Data'!AQ14*annualizationFactor</f>
        <v>4.7527346219532959E-3</v>
      </c>
      <c r="P104" s="749">
        <f>$F$22*$H$9*'Traffic Data'!AR14*annualizationFactor</f>
        <v>5.6864725204953184E-3</v>
      </c>
      <c r="Q104" s="749">
        <f>$F$22*$H$9*'Traffic Data'!AS14*annualizationFactor</f>
        <v>5.6864725204953184E-3</v>
      </c>
      <c r="R104" s="749">
        <f>$F$22*$H$9*'Traffic Data'!AT14*annualizationFactor</f>
        <v>5.6864725204953184E-3</v>
      </c>
      <c r="S104" s="749">
        <f>$F$22*$H$9*'Traffic Data'!AU14*annualizationFactor</f>
        <v>5.6864725204953184E-3</v>
      </c>
      <c r="T104" s="749">
        <f>$F$22*$H$9*'Traffic Data'!AV14*annualizationFactor</f>
        <v>5.6864725204953184E-3</v>
      </c>
      <c r="U104" s="749">
        <f>$F$22*$H$9*'Traffic Data'!AW14*annualizationFactor</f>
        <v>5.6864725204953184E-3</v>
      </c>
      <c r="V104" s="749">
        <f>$F$22*$H$9*'Traffic Data'!AX14*annualizationFactor</f>
        <v>5.6864725204953184E-3</v>
      </c>
      <c r="W104" s="749">
        <f>$F$22*$H$9*'Traffic Data'!AY14*annualizationFactor</f>
        <v>5.6864725204953184E-3</v>
      </c>
      <c r="X104" s="749">
        <f>$F$22*$H$9*'Traffic Data'!AZ14*annualizationFactor</f>
        <v>5.6864725204953184E-3</v>
      </c>
      <c r="Y104" s="749">
        <f>$F$22*$H$9*'Traffic Data'!BA14*annualizationFactor</f>
        <v>5.6864725204953184E-3</v>
      </c>
      <c r="Z104" s="749">
        <f>$F$22*$H$9*'Traffic Data'!BB14*annualizationFactor</f>
        <v>5.6864725204953184E-3</v>
      </c>
      <c r="AA104" s="749">
        <f>$F$22*$H$9*'Traffic Data'!BC14*annualizationFactor</f>
        <v>5.6864725204953184E-3</v>
      </c>
      <c r="AB104" s="749">
        <f>$F$22*$H$9*'Traffic Data'!BD14*annualizationFactor</f>
        <v>5.6864725204953184E-3</v>
      </c>
      <c r="AC104" s="749">
        <f>$F$22*$H$9*'Traffic Data'!BE14*annualizationFactor</f>
        <v>5.6864725204953184E-3</v>
      </c>
      <c r="AD104" s="749">
        <f>$F$22*$H$9*'Traffic Data'!BF14*annualizationFactor</f>
        <v>5.6864725204953184E-3</v>
      </c>
      <c r="AE104" s="749">
        <f>$F$22*$H$9*'Traffic Data'!BG14*annualizationFactor</f>
        <v>5.6864725204953184E-3</v>
      </c>
      <c r="AF104" s="749">
        <f>$F$22*$H$9*'Traffic Data'!BH14*annualizationFactor</f>
        <v>5.6864725204953184E-3</v>
      </c>
      <c r="AG104" s="749">
        <f>$F$22*$H$9*'Traffic Data'!BI14*annualizationFactor</f>
        <v>5.6864725204953184E-3</v>
      </c>
      <c r="AH104" s="750">
        <f>$F$22*$H$9*'Traffic Data'!BJ14*annualizationFactor</f>
        <v>5.6864725204953184E-3</v>
      </c>
      <c r="AI104" s="40"/>
      <c r="AJ104" s="40"/>
      <c r="AK104" s="40"/>
      <c r="AL104" s="40"/>
      <c r="AM104" s="40"/>
    </row>
    <row r="105" spans="2:39" ht="21.9" customHeight="1" x14ac:dyDescent="0.25">
      <c r="B105" s="1332"/>
      <c r="C105" s="114" t="s">
        <v>320</v>
      </c>
      <c r="D105" s="114" t="s">
        <v>282</v>
      </c>
      <c r="E105" s="114" t="s">
        <v>434</v>
      </c>
      <c r="F105" s="114" t="s">
        <v>405</v>
      </c>
      <c r="G105" s="941"/>
      <c r="H105" s="941"/>
      <c r="I105" s="751">
        <f>$F$22*$H$9*'Traffic Data'!AK15*annualizationFactor</f>
        <v>3.9781619497312014E-5</v>
      </c>
      <c r="J105" s="751">
        <f>$F$22*$H$9*'Traffic Data'!AL15*annualizationFactor</f>
        <v>7.5585077044892807E-5</v>
      </c>
      <c r="K105" s="751">
        <f>$F$22*$H$9*'Traffic Data'!AM15*annualizationFactor</f>
        <v>1.1138853459247361E-4</v>
      </c>
      <c r="L105" s="751">
        <f>$F$22*$H$9*'Traffic Data'!AN15*annualizationFactor</f>
        <v>2.4230622784726408E-4</v>
      </c>
      <c r="M105" s="751">
        <f>$F$22*$H$9*'Traffic Data'!AO15*annualizationFactor</f>
        <v>3.730430955588849E-4</v>
      </c>
      <c r="N105" s="751">
        <f>$F$22*$H$9*'Traffic Data'!AP15*annualizationFactor</f>
        <v>5.0414161435684496E-4</v>
      </c>
      <c r="O105" s="751">
        <f>$F$22*$H$9*'Traffic Data'!AQ15*annualizationFactor</f>
        <v>6.3505930761163538E-4</v>
      </c>
      <c r="P105" s="751">
        <f>$F$22*$H$9*'Traffic Data'!AR15*annualizationFactor</f>
        <v>7.6597700086642579E-4</v>
      </c>
      <c r="Q105" s="751">
        <f>$F$22*$H$9*'Traffic Data'!AS15*annualizationFactor</f>
        <v>9.9363635971695219E-4</v>
      </c>
      <c r="R105" s="751">
        <f>$F$22*$H$9*'Traffic Data'!AT15*annualizationFactor</f>
        <v>1.2211148930243092E-3</v>
      </c>
      <c r="S105" s="751">
        <f>$F$22*$H$9*'Traffic Data'!AU15*annualizationFactor</f>
        <v>1.4485934263316659E-3</v>
      </c>
      <c r="T105" s="751">
        <f>$F$22*$H$9*'Traffic Data'!AV15*annualizationFactor</f>
        <v>1.6762527851821925E-3</v>
      </c>
      <c r="U105" s="751">
        <f>$F$22*$H$9*'Traffic Data'!AW15*annualizationFactor</f>
        <v>1.9039121440327189E-3</v>
      </c>
      <c r="V105" s="751">
        <f>$F$22*$H$9*'Traffic Data'!AX15*annualizationFactor</f>
        <v>2.0364572671760354E-3</v>
      </c>
      <c r="W105" s="751">
        <f>$F$22*$H$9*'Traffic Data'!AY15*annualizationFactor</f>
        <v>2.0720798991804468E-3</v>
      </c>
      <c r="X105" s="751">
        <f>$F$22*$H$9*'Traffic Data'!AZ15*annualizationFactor</f>
        <v>2.1078833567280278E-3</v>
      </c>
      <c r="Y105" s="751">
        <f>$F$22*$H$9*'Traffic Data'!BA15*annualizationFactor</f>
        <v>2.143686814275608E-3</v>
      </c>
      <c r="Z105" s="751">
        <f>$F$22*$H$9*'Traffic Data'!BB15*annualizationFactor</f>
        <v>2.179490271823189E-3</v>
      </c>
      <c r="AA105" s="751">
        <f>$F$22*$H$9*'Traffic Data'!BC15*annualizationFactor</f>
        <v>2.2152937293707701E-3</v>
      </c>
      <c r="AB105" s="751">
        <f>$F$22*$H$9*'Traffic Data'!BD15*annualizationFactor</f>
        <v>2.2510971869183507E-3</v>
      </c>
      <c r="AC105" s="751">
        <f>$F$22*$H$9*'Traffic Data'!BE15*annualizationFactor</f>
        <v>2.2869006444659317E-3</v>
      </c>
      <c r="AD105" s="751">
        <f>$F$22*$H$9*'Traffic Data'!BF15*annualizationFactor</f>
        <v>2.3227041020135123E-3</v>
      </c>
      <c r="AE105" s="751">
        <f>$F$22*$H$9*'Traffic Data'!BG15*annualizationFactor</f>
        <v>2.3583267340179233E-3</v>
      </c>
      <c r="AF105" s="751">
        <f>$F$22*$H$9*'Traffic Data'!BH15*annualizationFactor</f>
        <v>2.3941301915655043E-3</v>
      </c>
      <c r="AG105" s="751">
        <f>$F$22*$H$9*'Traffic Data'!BI15*annualizationFactor</f>
        <v>2.4299336491130849E-3</v>
      </c>
      <c r="AH105" s="752">
        <f>$F$22*$H$9*'Traffic Data'!BJ15*annualizationFactor</f>
        <v>2.4657371066606659E-3</v>
      </c>
      <c r="AI105" s="40"/>
      <c r="AJ105" s="40"/>
      <c r="AK105" s="40"/>
      <c r="AL105" s="40"/>
      <c r="AM105" s="40"/>
    </row>
    <row r="106" spans="2:39" ht="21.9" customHeight="1" x14ac:dyDescent="0.25">
      <c r="B106" s="1332"/>
      <c r="C106" s="114" t="s">
        <v>282</v>
      </c>
      <c r="D106" s="114" t="s">
        <v>321</v>
      </c>
      <c r="E106" s="114" t="s">
        <v>434</v>
      </c>
      <c r="F106" s="114" t="s">
        <v>405</v>
      </c>
      <c r="G106" s="941"/>
      <c r="H106" s="941"/>
      <c r="I106" s="751">
        <f>$F$22*$H$9*'Traffic Data'!AK16*annualizationFactor</f>
        <v>1.4143140697908002E-4</v>
      </c>
      <c r="J106" s="751">
        <f>$F$22*$H$9*'Traffic Data'!AL16*annualizationFactor</f>
        <v>2.6865838631722773E-4</v>
      </c>
      <c r="K106" s="751">
        <f>$F$22*$H$9*'Traffic Data'!AM16*annualizationFactor</f>
        <v>3.9584293623328186E-4</v>
      </c>
      <c r="L106" s="751">
        <f>$F$22*$H$9*'Traffic Data'!AN16*annualizationFactor</f>
        <v>8.6113812205375697E-4</v>
      </c>
      <c r="M106" s="751">
        <f>$F$22*$H$9*'Traffic Data'!AO16*annualizationFactor</f>
        <v>1.3264521653951632E-3</v>
      </c>
      <c r="N106" s="751">
        <f>$F$22*$H$9*'Traffic Data'!AP16*annualizationFactor</f>
        <v>1.7923602206458811E-3</v>
      </c>
      <c r="O106" s="751">
        <f>$F$22*$H$9*'Traffic Data'!AQ16*annualizationFactor</f>
        <v>2.2576554064663561E-3</v>
      </c>
      <c r="P106" s="751">
        <f>$F$22*$H$9*'Traffic Data'!AR16*annualizationFactor</f>
        <v>2.7232334551007898E-3</v>
      </c>
      <c r="Q106" s="751">
        <f>$F$22*$H$9*'Traffic Data'!AS16*annualizationFactor</f>
        <v>3.532348391287409E-3</v>
      </c>
      <c r="R106" s="751">
        <f>$F$22*$H$9*'Traffic Data'!AT16*annualizationFactor</f>
        <v>4.3411333208577436E-3</v>
      </c>
      <c r="S106" s="751">
        <f>$F$22*$H$9*'Traffic Data'!AU16*annualizationFactor</f>
        <v>5.1501869701013362E-3</v>
      </c>
      <c r="T106" s="751">
        <f>$F$22*$H$9*'Traffic Data'!AV16*annualizationFactor</f>
        <v>5.9593019062879563E-3</v>
      </c>
      <c r="U106" s="751">
        <f>$F$22*$H$9*'Traffic Data'!AW16*annualizationFactor</f>
        <v>6.7690061400036538E-3</v>
      </c>
      <c r="V106" s="751">
        <f>$F$22*$H$9*'Traffic Data'!AX16*annualizationFactor</f>
        <v>7.2396851480497999E-3</v>
      </c>
      <c r="W106" s="751">
        <f>$F$22*$H$9*'Traffic Data'!AY16*annualizationFactor</f>
        <v>7.366912127387948E-3</v>
      </c>
      <c r="X106" s="751">
        <f>$F$22*$H$9*'Traffic Data'!AZ16*annualizationFactor</f>
        <v>7.4941391067260953E-3</v>
      </c>
      <c r="Y106" s="751">
        <f>$F$22*$H$9*'Traffic Data'!BA16*annualizationFactor</f>
        <v>7.6213660860642426E-3</v>
      </c>
      <c r="Z106" s="751">
        <f>$F$22*$H$9*'Traffic Data'!BB16*annualizationFactor</f>
        <v>7.7485506359802961E-3</v>
      </c>
      <c r="AA106" s="751">
        <f>$F$22*$H$9*'Traffic Data'!BC16*annualizationFactor</f>
        <v>7.875777615318446E-3</v>
      </c>
      <c r="AB106" s="751">
        <f>$F$22*$H$9*'Traffic Data'!BD16*annualizationFactor</f>
        <v>8.0029621652344986E-3</v>
      </c>
      <c r="AC106" s="751">
        <f>$F$22*$H$9*'Traffic Data'!BE16*annualizationFactor</f>
        <v>8.130189144572645E-3</v>
      </c>
      <c r="AD106" s="751">
        <f>$F$22*$H$9*'Traffic Data'!BF16*annualizationFactor</f>
        <v>8.2574161239107949E-3</v>
      </c>
      <c r="AE106" s="751">
        <f>$F$22*$H$9*'Traffic Data'!BG16*annualizationFactor</f>
        <v>8.3846006738268475E-3</v>
      </c>
      <c r="AF106" s="751">
        <f>$F$22*$H$9*'Traffic Data'!BH16*annualizationFactor</f>
        <v>8.5118276531649974E-3</v>
      </c>
      <c r="AG106" s="751">
        <f>$F$22*$H$9*'Traffic Data'!BI16*annualizationFactor</f>
        <v>8.6390546325031455E-3</v>
      </c>
      <c r="AH106" s="752">
        <f>$F$22*$H$9*'Traffic Data'!BJ16*annualizationFactor</f>
        <v>8.7662391824191981E-3</v>
      </c>
      <c r="AI106" s="40"/>
      <c r="AJ106" s="40"/>
      <c r="AK106" s="40"/>
      <c r="AL106" s="40"/>
      <c r="AM106" s="40"/>
    </row>
    <row r="107" spans="2:39" ht="21.9" customHeight="1" x14ac:dyDescent="0.25">
      <c r="B107" s="1332"/>
      <c r="C107" s="250" t="s">
        <v>321</v>
      </c>
      <c r="D107" s="250" t="s">
        <v>274</v>
      </c>
      <c r="E107" s="114" t="s">
        <v>434</v>
      </c>
      <c r="F107" s="250" t="s">
        <v>405</v>
      </c>
      <c r="G107" s="941"/>
      <c r="H107" s="941"/>
      <c r="I107" s="751">
        <f>$F$22*$H$9*'Traffic Data'!AK17*annualizationFactor</f>
        <v>2.0342873606580002E-4</v>
      </c>
      <c r="J107" s="751">
        <f>$F$22*$H$9*'Traffic Data'!AL17*annualizationFactor</f>
        <v>3.8642644607272492E-4</v>
      </c>
      <c r="K107" s="751">
        <f>$F$22*$H$9*'Traffic Data'!AM17*annualizationFactor</f>
        <v>5.6936312745883009E-4</v>
      </c>
      <c r="L107" s="751">
        <f>$F$22*$H$9*'Traffic Data'!AN17*annualizationFactor</f>
        <v>1.2386233262417054E-3</v>
      </c>
      <c r="M107" s="751">
        <f>$F$22*$H$9*'Traffic Data'!AO17*annualizationFactor</f>
        <v>1.9079106488560566E-3</v>
      </c>
      <c r="N107" s="751">
        <f>$F$22*$H$9*'Traffic Data'!AP17*annualizationFactor</f>
        <v>2.5780523721618842E-3</v>
      </c>
      <c r="O107" s="751">
        <f>$F$22*$H$9*'Traffic Data'!AQ17*annualizationFactor</f>
        <v>3.2473125709447594E-3</v>
      </c>
      <c r="P107" s="751">
        <f>$F$22*$H$9*'Traffic Data'!AR17*annualizationFactor</f>
        <v>3.9169796271997662E-3</v>
      </c>
      <c r="Q107" s="751">
        <f>$F$22*$H$9*'Traffic Data'!AS17*annualizationFactor</f>
        <v>5.0807750833586022E-3</v>
      </c>
      <c r="R107" s="751">
        <f>$F$22*$H$9*'Traffic Data'!AT17*annualizationFactor</f>
        <v>6.2440958724666179E-3</v>
      </c>
      <c r="S107" s="751">
        <f>$F$22*$H$9*'Traffic Data'!AU17*annualizationFactor</f>
        <v>7.4078031761731561E-3</v>
      </c>
      <c r="T107" s="751">
        <f>$F$22*$H$9*'Traffic Data'!AV17*annualizationFactor</f>
        <v>8.571598632331992E-3</v>
      </c>
      <c r="U107" s="751">
        <f>$F$22*$H$9*'Traffic Data'!AW17*annualizationFactor</f>
        <v>9.7362417082244353E-3</v>
      </c>
      <c r="V107" s="751">
        <f>$F$22*$H$9*'Traffic Data'!AX17*annualizationFactor</f>
        <v>1.0413245760893548E-2</v>
      </c>
      <c r="W107" s="751">
        <f>$F$22*$H$9*'Traffic Data'!AY17*annualizationFactor</f>
        <v>1.0596243470900473E-2</v>
      </c>
      <c r="X107" s="751">
        <f>$F$22*$H$9*'Traffic Data'!AZ17*annualizationFactor</f>
        <v>1.0779241180907397E-2</v>
      </c>
      <c r="Y107" s="751">
        <f>$F$22*$H$9*'Traffic Data'!BA17*annualizationFactor</f>
        <v>1.0962238890914322E-2</v>
      </c>
      <c r="Z107" s="751">
        <f>$F$22*$H$9*'Traffic Data'!BB17*annualizationFactor</f>
        <v>1.1145175572300428E-2</v>
      </c>
      <c r="AA107" s="751">
        <f>$F$22*$H$9*'Traffic Data'!BC17*annualizationFactor</f>
        <v>1.1328173282307353E-2</v>
      </c>
      <c r="AB107" s="751">
        <f>$F$22*$H$9*'Traffic Data'!BD17*annualizationFactor</f>
        <v>1.1511109963693457E-2</v>
      </c>
      <c r="AC107" s="751">
        <f>$F$22*$H$9*'Traffic Data'!BE17*annualizationFactor</f>
        <v>1.1694107673700381E-2</v>
      </c>
      <c r="AD107" s="751">
        <f>$F$22*$H$9*'Traffic Data'!BF17*annualizationFactor</f>
        <v>1.187710538370731E-2</v>
      </c>
      <c r="AE107" s="751">
        <f>$F$22*$H$9*'Traffic Data'!BG17*annualizationFactor</f>
        <v>1.2060042065093413E-2</v>
      </c>
      <c r="AF107" s="751">
        <f>$F$22*$H$9*'Traffic Data'!BH17*annualizationFactor</f>
        <v>1.2243039775100341E-2</v>
      </c>
      <c r="AG107" s="751">
        <f>$F$22*$H$9*'Traffic Data'!BI17*annualizationFactor</f>
        <v>1.2426037485107266E-2</v>
      </c>
      <c r="AH107" s="752">
        <f>$F$22*$H$9*'Traffic Data'!BJ17*annualizationFactor</f>
        <v>1.2608974166493368E-2</v>
      </c>
      <c r="AI107" s="40"/>
      <c r="AJ107" s="40"/>
      <c r="AK107" s="40"/>
      <c r="AL107" s="40"/>
      <c r="AM107" s="40"/>
    </row>
    <row r="108" spans="2:39" ht="21.9" customHeight="1" x14ac:dyDescent="0.25">
      <c r="B108" s="469" t="s">
        <v>282</v>
      </c>
      <c r="C108" s="114" t="s">
        <v>308</v>
      </c>
      <c r="D108" s="114" t="s">
        <v>324</v>
      </c>
      <c r="E108" s="114" t="s">
        <v>434</v>
      </c>
      <c r="F108" s="250" t="s">
        <v>405</v>
      </c>
      <c r="G108" s="941"/>
      <c r="H108" s="941"/>
      <c r="I108" s="749">
        <f>$F$22*$J$9*'Traffic Data'!AK18*annualizationFactor</f>
        <v>1.1624499203760001E-3</v>
      </c>
      <c r="J108" s="749">
        <f>$F$22*$J$9*'Traffic Data'!AL18*annualizationFactor</f>
        <v>1.2060288762798738E-3</v>
      </c>
      <c r="K108" s="749">
        <f>$F$22*$J$9*'Traffic Data'!AM18*annualizationFactor</f>
        <v>1.272688921158324E-3</v>
      </c>
      <c r="L108" s="749">
        <f>$F$22*$J$9*'Traffic Data'!AN18*annualizationFactor</f>
        <v>1.4844808385957185E-3</v>
      </c>
      <c r="M108" s="749">
        <f>$F$22*$J$9*'Traffic Data'!AO18*annualizationFactor</f>
        <v>1.696305046308678E-3</v>
      </c>
      <c r="N108" s="749">
        <f>$F$22*$J$9*'Traffic Data'!AP18*annualizationFactor</f>
        <v>1.9083552859506E-3</v>
      </c>
      <c r="O108" s="749">
        <f>$F$22*$J$9*'Traffic Data'!AQ18*annualizationFactor</f>
        <v>2.1201472033879941E-3</v>
      </c>
      <c r="P108" s="749">
        <f>$F$22*$J$9*'Traffic Data'!AR18*annualizationFactor</f>
        <v>2.3321457785890108E-3</v>
      </c>
      <c r="Q108" s="749">
        <f>$F$22*$J$9*'Traffic Data'!AS18*annualizationFactor</f>
        <v>2.6114760364002502E-3</v>
      </c>
      <c r="R108" s="749">
        <f>$F$22*$J$9*'Traffic Data'!AT18*annualizationFactor</f>
        <v>2.8907352556052446E-3</v>
      </c>
      <c r="S108" s="749">
        <f>$F$22*$J$9*'Traffic Data'!AU18*annualizationFactor</f>
        <v>3.1700978036920502E-3</v>
      </c>
      <c r="T108" s="749">
        <f>$F$22*$J$9*'Traffic Data'!AV18*annualizationFactor</f>
        <v>3.4494280615032908E-3</v>
      </c>
      <c r="U108" s="749">
        <f>$F$22*$J$9*'Traffic Data'!AW18*annualizationFactor</f>
        <v>3.7290747640150767E-3</v>
      </c>
      <c r="V108" s="749">
        <f>$F$22*$J$9*'Traffic Data'!AX18*annualizationFactor</f>
        <v>3.8631310720548813E-3</v>
      </c>
      <c r="W108" s="749">
        <f>$F$22*$J$9*'Traffic Data'!AY18*annualizationFactor</f>
        <v>3.9067100279587558E-3</v>
      </c>
      <c r="X108" s="749">
        <f>$F$22*$J$9*'Traffic Data'!AZ18*annualizationFactor</f>
        <v>3.9502889838626291E-3</v>
      </c>
      <c r="Y108" s="749">
        <f>$F$22*$J$9*'Traffic Data'!BA18*annualizationFactor</f>
        <v>3.9938679397665024E-3</v>
      </c>
      <c r="Z108" s="749">
        <f>$F$22*$J$9*'Traffic Data'!BB18*annualizationFactor</f>
        <v>4.0374921020561684E-3</v>
      </c>
      <c r="AA108" s="749">
        <f>$F$22*$J$9*'Traffic Data'!BC18*annualizationFactor</f>
        <v>4.0810710579600416E-3</v>
      </c>
      <c r="AB108" s="749">
        <f>$F$22*$J$9*'Traffic Data'!BD18*annualizationFactor</f>
        <v>4.1246952202497085E-3</v>
      </c>
      <c r="AC108" s="749">
        <f>$F$22*$J$9*'Traffic Data'!BE18*annualizationFactor</f>
        <v>4.1682741761535826E-3</v>
      </c>
      <c r="AD108" s="749">
        <f>$F$22*$J$9*'Traffic Data'!BF18*annualizationFactor</f>
        <v>4.2118531320574559E-3</v>
      </c>
      <c r="AE108" s="749">
        <f>$F$22*$J$9*'Traffic Data'!BG18*annualizationFactor</f>
        <v>4.2554772943471219E-3</v>
      </c>
      <c r="AF108" s="749">
        <f>$F$22*$J$9*'Traffic Data'!BH18*annualizationFactor</f>
        <v>4.299056250250996E-3</v>
      </c>
      <c r="AG108" s="749">
        <f>$F$22*$J$9*'Traffic Data'!BI18*annualizationFactor</f>
        <v>4.3426352061548684E-3</v>
      </c>
      <c r="AH108" s="750">
        <f>$F$22*$J$9*'Traffic Data'!BJ18*annualizationFactor</f>
        <v>4.3862593684445344E-3</v>
      </c>
      <c r="AI108" s="40"/>
      <c r="AJ108" s="40"/>
      <c r="AK108" s="40"/>
      <c r="AL108" s="40"/>
      <c r="AM108" s="40"/>
    </row>
    <row r="109" spans="2:39" ht="21.9" customHeight="1" x14ac:dyDescent="0.25">
      <c r="B109" s="756" t="s">
        <v>321</v>
      </c>
      <c r="C109" s="273" t="s">
        <v>318</v>
      </c>
      <c r="D109" s="273" t="s">
        <v>308</v>
      </c>
      <c r="E109" s="273" t="s">
        <v>434</v>
      </c>
      <c r="F109" s="273" t="s">
        <v>405</v>
      </c>
      <c r="G109" s="754"/>
      <c r="H109" s="754"/>
      <c r="I109" s="749">
        <f>$F$22*$K$9*'Traffic Data'!AK19*annualizationFactor</f>
        <v>0</v>
      </c>
      <c r="J109" s="749">
        <f>$F$22*$K$9*'Traffic Data'!AL19*annualizationFactor</f>
        <v>0</v>
      </c>
      <c r="K109" s="749">
        <f>$F$22*$K$9*'Traffic Data'!AM19*annualizationFactor</f>
        <v>0</v>
      </c>
      <c r="L109" s="749">
        <f>$F$22*$K$9*'Traffic Data'!AN19*annualizationFactor</f>
        <v>0</v>
      </c>
      <c r="M109" s="749">
        <f>$F$22*$K$9*'Traffic Data'!AO19*annualizationFactor</f>
        <v>0</v>
      </c>
      <c r="N109" s="749">
        <f>$F$22*$K$9*'Traffic Data'!AP19*annualizationFactor</f>
        <v>0</v>
      </c>
      <c r="O109" s="749">
        <f>$F$22*$K$9*'Traffic Data'!AQ19*annualizationFactor</f>
        <v>0</v>
      </c>
      <c r="P109" s="749">
        <f>$F$22*$K$9*'Traffic Data'!AR19*annualizationFactor</f>
        <v>0</v>
      </c>
      <c r="Q109" s="749">
        <f>$F$22*$K$9*'Traffic Data'!AS19*annualizationFactor</f>
        <v>0</v>
      </c>
      <c r="R109" s="749">
        <f>$F$22*$K$9*'Traffic Data'!AT19*annualizationFactor</f>
        <v>0</v>
      </c>
      <c r="S109" s="749">
        <f>$F$22*$K$9*'Traffic Data'!AU19*annualizationFactor</f>
        <v>0</v>
      </c>
      <c r="T109" s="749">
        <f>$F$22*$K$9*'Traffic Data'!AV19*annualizationFactor</f>
        <v>0</v>
      </c>
      <c r="U109" s="749">
        <f>$F$22*$K$9*'Traffic Data'!AW19*annualizationFactor</f>
        <v>0</v>
      </c>
      <c r="V109" s="749">
        <f>$F$22*$K$9*'Traffic Data'!AX19*annualizationFactor</f>
        <v>0</v>
      </c>
      <c r="W109" s="749">
        <f>$F$22*$K$9*'Traffic Data'!AY19*annualizationFactor</f>
        <v>0</v>
      </c>
      <c r="X109" s="749">
        <f>$F$22*$K$9*'Traffic Data'!AZ19*annualizationFactor</f>
        <v>0</v>
      </c>
      <c r="Y109" s="749">
        <f>$F$22*$K$9*'Traffic Data'!BA19*annualizationFactor</f>
        <v>0</v>
      </c>
      <c r="Z109" s="749">
        <f>$F$22*$K$9*'Traffic Data'!BB19*annualizationFactor</f>
        <v>0</v>
      </c>
      <c r="AA109" s="749">
        <f>$F$22*$K$9*'Traffic Data'!BC19*annualizationFactor</f>
        <v>0</v>
      </c>
      <c r="AB109" s="749">
        <f>$F$22*$K$9*'Traffic Data'!BD19*annualizationFactor</f>
        <v>0</v>
      </c>
      <c r="AC109" s="749">
        <f>$F$22*$K$9*'Traffic Data'!BE19*annualizationFactor</f>
        <v>0</v>
      </c>
      <c r="AD109" s="749">
        <f>$F$22*$K$9*'Traffic Data'!BF19*annualizationFactor</f>
        <v>0</v>
      </c>
      <c r="AE109" s="749">
        <f>$F$22*$K$9*'Traffic Data'!BG19*annualizationFactor</f>
        <v>0</v>
      </c>
      <c r="AF109" s="749">
        <f>$F$22*$K$9*'Traffic Data'!BH19*annualizationFactor</f>
        <v>0</v>
      </c>
      <c r="AG109" s="749">
        <f>$F$22*$K$9*'Traffic Data'!BI19*annualizationFactor</f>
        <v>0</v>
      </c>
      <c r="AH109" s="750">
        <f>$F$22*$K$9*'Traffic Data'!BJ19*annualizationFactor</f>
        <v>0</v>
      </c>
      <c r="AI109" s="40"/>
      <c r="AJ109" s="40"/>
      <c r="AK109" s="40"/>
      <c r="AL109" s="40"/>
      <c r="AM109" s="40"/>
    </row>
    <row r="110" spans="2:39" ht="21.9" customHeight="1" x14ac:dyDescent="0.25">
      <c r="B110" s="756" t="s">
        <v>333</v>
      </c>
      <c r="C110" s="273" t="s">
        <v>319</v>
      </c>
      <c r="D110" s="273" t="s">
        <v>308</v>
      </c>
      <c r="E110" s="114" t="s">
        <v>434</v>
      </c>
      <c r="F110" s="273" t="s">
        <v>405</v>
      </c>
      <c r="G110" s="941"/>
      <c r="H110" s="941"/>
      <c r="I110" s="749">
        <f>$F$22*$L$9*'Traffic Data'!AK20*annualizationFactor</f>
        <v>2.1558162159700366E-3</v>
      </c>
      <c r="J110" s="749">
        <f>$F$22*$L$9*'Traffic Data'!AL20*annualizationFactor</f>
        <v>2.1891355532635288E-3</v>
      </c>
      <c r="K110" s="749">
        <f>$F$22*$L$9*'Traffic Data'!AM20*annualizationFactor</f>
        <v>2.2438813083924124E-3</v>
      </c>
      <c r="L110" s="749">
        <f>$F$22*$L$9*'Traffic Data'!AN20*annualizationFactor</f>
        <v>2.4299462129657601E-3</v>
      </c>
      <c r="M110" s="749">
        <f>$F$22*$L$9*'Traffic Data'!AO20*annualizationFactor</f>
        <v>2.6160350710526178E-3</v>
      </c>
      <c r="N110" s="749">
        <f>$F$22*$L$9*'Traffic Data'!AP20*annualizationFactor</f>
        <v>2.8023395107610724E-3</v>
      </c>
      <c r="O110" s="749">
        <f>$F$22*$L$9*'Traffic Data'!AQ20*annualizationFactor</f>
        <v>2.9884044153344197E-3</v>
      </c>
      <c r="P110" s="749">
        <f>$F$22*$L$9*'Traffic Data'!AR20*annualizationFactor</f>
        <v>3.174678913150986E-3</v>
      </c>
      <c r="Q110" s="749">
        <f>$F$22*$L$9*'Traffic Data'!AS20*annualizationFactor</f>
        <v>3.3953746098825408E-3</v>
      </c>
      <c r="R110" s="749">
        <f>$F$22*$L$9*'Traffic Data'!AT20*annualizationFactor</f>
        <v>3.6160223995870739E-3</v>
      </c>
      <c r="S110" s="749">
        <f>$F$22*$L$9*'Traffic Data'!AU20*annualizationFactor</f>
        <v>3.8367779801024055E-3</v>
      </c>
      <c r="T110" s="749">
        <f>$F$22*$L$9*'Traffic Data'!AV20*annualizationFactor</f>
        <v>4.0574736768339611E-3</v>
      </c>
      <c r="U110" s="749">
        <f>$F$22*$L$9*'Traffic Data'!AW20*annualizationFactor</f>
        <v>4.2784807692411555E-3</v>
      </c>
      <c r="V110" s="749">
        <f>$F$22*$L$9*'Traffic Data'!AX20*annualizationFactor</f>
        <v>4.3677315605823155E-3</v>
      </c>
      <c r="W110" s="749">
        <f>$F$22*$L$9*'Traffic Data'!AY20*annualizationFactor</f>
        <v>4.4010508978758068E-3</v>
      </c>
      <c r="X110" s="749">
        <f>$F$22*$L$9*'Traffic Data'!AZ20*annualizationFactor</f>
        <v>4.4343702351693007E-3</v>
      </c>
      <c r="Y110" s="749">
        <f>$F$22*$L$9*'Traffic Data'!BA20*annualizationFactor</f>
        <v>4.4676895724627928E-3</v>
      </c>
      <c r="Z110" s="749">
        <f>$F$22*$L$9*'Traffic Data'!BB20*annualizationFactor</f>
        <v>4.5010747819184396E-3</v>
      </c>
      <c r="AA110" s="749">
        <f>$F$22*$L$9*'Traffic Data'!BC20*annualizationFactor</f>
        <v>4.5343941192119317E-3</v>
      </c>
      <c r="AB110" s="749">
        <f>$F$22*$L$9*'Traffic Data'!BD20*annualizationFactor</f>
        <v>4.5677793286675794E-3</v>
      </c>
      <c r="AC110" s="749">
        <f>$F$22*$L$9*'Traffic Data'!BE20*annualizationFactor</f>
        <v>4.6010986659610715E-3</v>
      </c>
      <c r="AD110" s="749">
        <f>$F$22*$L$9*'Traffic Data'!BF20*annualizationFactor</f>
        <v>4.6344180032545654E-3</v>
      </c>
      <c r="AE110" s="749">
        <f>$F$22*$L$9*'Traffic Data'!BG20*annualizationFactor</f>
        <v>4.6678032127102113E-3</v>
      </c>
      <c r="AF110" s="749">
        <f>$F$22*$L$9*'Traffic Data'!BH20*annualizationFactor</f>
        <v>4.7011225500037052E-3</v>
      </c>
      <c r="AG110" s="749">
        <f>$F$22*$L$9*'Traffic Data'!BI20*annualizationFactor</f>
        <v>4.7344418872971973E-3</v>
      </c>
      <c r="AH110" s="750">
        <f>$F$22*$L$9*'Traffic Data'!BJ20*annualizationFactor</f>
        <v>4.7678270967528441E-3</v>
      </c>
      <c r="AI110" s="40"/>
      <c r="AJ110" s="40"/>
      <c r="AK110" s="40"/>
      <c r="AL110" s="40"/>
      <c r="AM110" s="40"/>
    </row>
    <row r="111" spans="2:39" ht="21.9" customHeight="1" x14ac:dyDescent="0.25">
      <c r="B111" s="469" t="s">
        <v>319</v>
      </c>
      <c r="C111" s="114" t="s">
        <v>276</v>
      </c>
      <c r="D111" s="114" t="s">
        <v>333</v>
      </c>
      <c r="E111" s="217" t="s">
        <v>434</v>
      </c>
      <c r="F111" s="114" t="s">
        <v>405</v>
      </c>
      <c r="G111" s="749"/>
      <c r="H111" s="749"/>
      <c r="I111" s="749">
        <f>$F$22*$M$9*'Traffic Data'!AK21*annualizationFactor</f>
        <v>7.7423274368477275E-3</v>
      </c>
      <c r="J111" s="749">
        <f>$F$22*$M$9*'Traffic Data'!AL21*annualizationFactor</f>
        <v>8.0302258825869135E-3</v>
      </c>
      <c r="K111" s="749">
        <f>$F$22*$M$9*'Traffic Data'!AM21*annualizationFactor</f>
        <v>8.336690429519655E-3</v>
      </c>
      <c r="L111" s="749">
        <f>$F$22*$M$9*'Traffic Data'!AN21*annualizationFactor</f>
        <v>9.0165674287315638E-3</v>
      </c>
      <c r="M111" s="749">
        <f>$F$22*$M$9*'Traffic Data'!AO21*annualizationFactor</f>
        <v>9.6966147591470864E-3</v>
      </c>
      <c r="N111" s="749">
        <f>$F$22*$M$9*'Traffic Data'!AP21*annualizationFactor</f>
        <v>1.0377033721279575E-2</v>
      </c>
      <c r="O111" s="749">
        <f>$F$22*$M$9*'Traffic Data'!AQ21*annualizationFactor</f>
        <v>1.1056910720491487E-2</v>
      </c>
      <c r="P111" s="749">
        <f>$F$22*$M$9*'Traffic Data'!AR21*annualizationFactor</f>
        <v>1.1737383878916031E-2</v>
      </c>
      <c r="Q111" s="749">
        <f>$F$22*$M$9*'Traffic Data'!AS21*annualizationFactor</f>
        <v>1.2652217288853957E-2</v>
      </c>
      <c r="R111" s="749">
        <f>$F$22*$M$9*'Traffic Data'!AT21*annualizationFactor</f>
        <v>1.3567089410429067E-2</v>
      </c>
      <c r="S111" s="749">
        <f>$F$22*$M$9*'Traffic Data'!AU21*annualizationFactor</f>
        <v>1.4481922820366994E-2</v>
      </c>
      <c r="T111" s="749">
        <f>$F$22*$M$9*'Traffic Data'!AV21*annualizationFactor</f>
        <v>1.5396756230304924E-2</v>
      </c>
      <c r="U111" s="749">
        <f>$F$22*$M$9*'Traffic Data'!AW21*annualizationFactor</f>
        <v>1.6312441296260909E-2</v>
      </c>
      <c r="V111" s="749">
        <f>$F$22*$M$9*'Traffic Data'!AX21*annualizationFactor</f>
        <v>1.685343642591064E-2</v>
      </c>
      <c r="W111" s="749">
        <f>$F$22*$M$9*'Traffic Data'!AY21*annualizationFactor</f>
        <v>1.7141334871649826E-2</v>
      </c>
      <c r="X111" s="749">
        <f>$F$22*$M$9*'Traffic Data'!AZ21*annualizationFactor</f>
        <v>1.7429233317389003E-2</v>
      </c>
      <c r="Y111" s="749">
        <f>$F$22*$M$9*'Traffic Data'!BA21*annualizationFactor</f>
        <v>1.771713176312819E-2</v>
      </c>
      <c r="Z111" s="749">
        <f>$F$22*$M$9*'Traffic Data'!BB21*annualizationFactor</f>
        <v>1.8005185055416106E-2</v>
      </c>
      <c r="AA111" s="749">
        <f>$F$22*$M$9*'Traffic Data'!BC21*annualizationFactor</f>
        <v>1.8293083501155289E-2</v>
      </c>
      <c r="AB111" s="749">
        <f>$F$22*$M$9*'Traffic Data'!BD21*annualizationFactor</f>
        <v>1.8581136793443209E-2</v>
      </c>
      <c r="AC111" s="749">
        <f>$F$22*$M$9*'Traffic Data'!BE21*annualizationFactor</f>
        <v>1.8869035239182395E-2</v>
      </c>
      <c r="AD111" s="749">
        <f>$F$22*$M$9*'Traffic Data'!BF21*annualizationFactor</f>
        <v>1.9156933684921575E-2</v>
      </c>
      <c r="AE111" s="749">
        <f>$F$22*$M$9*'Traffic Data'!BG21*annualizationFactor</f>
        <v>1.9444986977209495E-2</v>
      </c>
      <c r="AF111" s="749">
        <f>$F$22*$M$9*'Traffic Data'!BH21*annualizationFactor</f>
        <v>1.9732885422948678E-2</v>
      </c>
      <c r="AG111" s="749">
        <f>$F$22*$M$9*'Traffic Data'!BI21*annualizationFactor</f>
        <v>2.0020783868687862E-2</v>
      </c>
      <c r="AH111" s="750">
        <f>$F$22*$M$9*'Traffic Data'!BJ21*annualizationFactor</f>
        <v>2.0308837160975785E-2</v>
      </c>
      <c r="AI111" s="40"/>
      <c r="AJ111" s="40"/>
      <c r="AK111" s="40"/>
      <c r="AL111" s="40"/>
      <c r="AM111" s="40"/>
    </row>
    <row r="112" spans="2:39" ht="21.9" customHeight="1" x14ac:dyDescent="0.25">
      <c r="B112" s="469"/>
      <c r="C112" s="114" t="s">
        <v>333</v>
      </c>
      <c r="D112" s="114" t="s">
        <v>323</v>
      </c>
      <c r="E112" s="114" t="s">
        <v>434</v>
      </c>
      <c r="F112" s="114" t="s">
        <v>405</v>
      </c>
      <c r="G112" s="941"/>
      <c r="H112" s="941"/>
      <c r="I112" s="751">
        <f>$F$22*$M$9*'Traffic Data'!AK22*annualizationFactor</f>
        <v>1.1275666378327304E-3</v>
      </c>
      <c r="J112" s="751">
        <f>$F$22*$M$9*'Traffic Data'!AL22*annualizationFactor</f>
        <v>1.1676916900961332E-3</v>
      </c>
      <c r="K112" s="751">
        <f>$F$22*$M$9*'Traffic Data'!AM22*annualizationFactor</f>
        <v>1.2113596754268316E-3</v>
      </c>
      <c r="L112" s="751">
        <f>$F$22*$M$9*'Traffic Data'!AN22*annualizationFactor</f>
        <v>1.294848566756781E-3</v>
      </c>
      <c r="M112" s="751">
        <f>$F$22*$M$9*'Traffic Data'!AO22*annualizationFactor</f>
        <v>1.3783700981736145E-3</v>
      </c>
      <c r="N112" s="751">
        <f>$F$22*$M$9*'Traffic Data'!AP22*annualizationFactor</f>
        <v>1.4619034987129514E-3</v>
      </c>
      <c r="O112" s="751">
        <f>$F$22*$M$9*'Traffic Data'!AQ22*annualizationFactor</f>
        <v>1.5453923900429004E-3</v>
      </c>
      <c r="P112" s="751">
        <f>$F$22*$M$9*'Traffic Data'!AR22*annualizationFactor</f>
        <v>1.6289510124675574E-3</v>
      </c>
      <c r="Q112" s="751">
        <f>$F$22*$M$9*'Traffic Data'!AS22*annualizationFactor</f>
        <v>1.7435918994482609E-3</v>
      </c>
      <c r="R112" s="751">
        <f>$F$22*$M$9*'Traffic Data'!AT22*annualizationFactor</f>
        <v>1.8582550410336592E-3</v>
      </c>
      <c r="S112" s="751">
        <f>$F$22*$M$9*'Traffic Data'!AU22*annualizationFactor</f>
        <v>1.9728810916112343E-3</v>
      </c>
      <c r="T112" s="751">
        <f>$F$22*$M$9*'Traffic Data'!AV22*annualizationFactor</f>
        <v>2.0875219785919386E-3</v>
      </c>
      <c r="U112" s="751">
        <f>$F$22*$M$9*'Traffic Data'!AW22*annualizationFactor</f>
        <v>2.2022518839914184E-3</v>
      </c>
      <c r="V112" s="751">
        <f>$F$22*$M$9*'Traffic Data'!AX22*annualizationFactor</f>
        <v>2.2770199375619191E-3</v>
      </c>
      <c r="W112" s="751">
        <f>$F$22*$M$9*'Traffic Data'!AY22*annualizationFactor</f>
        <v>2.3171449898253221E-3</v>
      </c>
      <c r="X112" s="751">
        <f>$F$22*$M$9*'Traffic Data'!AZ22*annualizationFactor</f>
        <v>2.3572700420887247E-3</v>
      </c>
      <c r="Y112" s="751">
        <f>$F$22*$M$9*'Traffic Data'!BA22*annualizationFactor</f>
        <v>2.3973950943521278E-3</v>
      </c>
      <c r="Z112" s="751">
        <f>$F$22*$M$9*'Traffic Data'!BB22*annualizationFactor</f>
        <v>2.4375349830186603E-3</v>
      </c>
      <c r="AA112" s="751">
        <f>$F$22*$M$9*'Traffic Data'!BC22*annualizationFactor</f>
        <v>2.4776600352820624E-3</v>
      </c>
      <c r="AB112" s="751">
        <f>$F$22*$M$9*'Traffic Data'!BD22*annualizationFactor</f>
        <v>2.5177999239485958E-3</v>
      </c>
      <c r="AC112" s="751">
        <f>$F$22*$M$9*'Traffic Data'!BE22*annualizationFactor</f>
        <v>2.557924976211998E-3</v>
      </c>
      <c r="AD112" s="751">
        <f>$F$22*$M$9*'Traffic Data'!BF22*annualizationFactor</f>
        <v>2.598050028475401E-3</v>
      </c>
      <c r="AE112" s="751">
        <f>$F$22*$M$9*'Traffic Data'!BG22*annualizationFactor</f>
        <v>2.6381899171419336E-3</v>
      </c>
      <c r="AF112" s="751">
        <f>$F$22*$M$9*'Traffic Data'!BH22*annualizationFactor</f>
        <v>2.6783149694053362E-3</v>
      </c>
      <c r="AG112" s="751">
        <f>$F$22*$M$9*'Traffic Data'!BI22*annualizationFactor</f>
        <v>2.7184400216687392E-3</v>
      </c>
      <c r="AH112" s="752">
        <f>$F$22*$M$9*'Traffic Data'!BJ22*annualizationFactor</f>
        <v>2.7585799103352709E-3</v>
      </c>
      <c r="AI112" s="40"/>
      <c r="AJ112" s="40"/>
      <c r="AK112" s="40"/>
      <c r="AL112" s="40"/>
      <c r="AM112" s="40"/>
    </row>
    <row r="113" spans="2:39" ht="21.9" customHeight="1" x14ac:dyDescent="0.25">
      <c r="B113" s="469"/>
      <c r="C113" s="114" t="s">
        <v>323</v>
      </c>
      <c r="D113" s="114" t="s">
        <v>322</v>
      </c>
      <c r="E113" s="114" t="s">
        <v>434</v>
      </c>
      <c r="F113" s="114" t="s">
        <v>405</v>
      </c>
      <c r="G113" s="941"/>
      <c r="H113" s="941"/>
      <c r="I113" s="751">
        <f>$F$22*$M$9*'Traffic Data'!AK23*annualizationFactor</f>
        <v>2.7887056170636362E-4</v>
      </c>
      <c r="J113" s="751">
        <f>$F$22*$M$9*'Traffic Data'!AL23*annualizationFactor</f>
        <v>2.8879431741866447E-4</v>
      </c>
      <c r="K113" s="751">
        <f>$F$22*$M$9*'Traffic Data'!AM23*annualizationFactor</f>
        <v>2.9959431379064259E-4</v>
      </c>
      <c r="L113" s="751">
        <f>$F$22*$M$9*'Traffic Data'!AN23*annualizationFactor</f>
        <v>3.2024284421025085E-4</v>
      </c>
      <c r="M113" s="751">
        <f>$F$22*$M$9*'Traffic Data'!AO23*annualizationFactor</f>
        <v>3.408994471987505E-4</v>
      </c>
      <c r="N113" s="751">
        <f>$F$22*$M$9*'Traffic Data'!AP23*annualizationFactor</f>
        <v>3.6155898566684702E-4</v>
      </c>
      <c r="O113" s="751">
        <f>$F$22*$M$9*'Traffic Data'!AQ23*annualizationFactor</f>
        <v>3.8220751608645517E-4</v>
      </c>
      <c r="P113" s="751">
        <f>$F$22*$M$9*'Traffic Data'!AR23*annualizationFactor</f>
        <v>4.0287329244869519E-4</v>
      </c>
      <c r="Q113" s="751">
        <f>$F$22*$M$9*'Traffic Data'!AS23*annualizationFactor</f>
        <v>4.3122635600534071E-4</v>
      </c>
      <c r="R113" s="751">
        <f>$F$22*$M$9*'Traffic Data'!AT23*annualizationFactor</f>
        <v>4.5958492358623063E-4</v>
      </c>
      <c r="S113" s="751">
        <f>$F$22*$M$9*'Traffic Data'!AU23*annualizationFactor</f>
        <v>4.8793431779338024E-4</v>
      </c>
      <c r="T113" s="751">
        <f>$F$22*$M$9*'Traffic Data'!AV23*annualizationFactor</f>
        <v>5.1628738135002592E-4</v>
      </c>
      <c r="U113" s="751">
        <f>$F$22*$M$9*'Traffic Data'!AW23*annualizationFactor</f>
        <v>5.4466246100364835E-4</v>
      </c>
      <c r="V113" s="751">
        <f>$F$22*$M$9*'Traffic Data'!AX23*annualizationFactor</f>
        <v>5.6315414778942768E-4</v>
      </c>
      <c r="W113" s="751">
        <f>$F$22*$M$9*'Traffic Data'!AY23*annualizationFactor</f>
        <v>5.7307790350172847E-4</v>
      </c>
      <c r="X113" s="751">
        <f>$F$22*$M$9*'Traffic Data'!AZ23*annualizationFactor</f>
        <v>5.8300165921402916E-4</v>
      </c>
      <c r="Y113" s="751">
        <f>$F$22*$M$9*'Traffic Data'!BA23*annualizationFactor</f>
        <v>5.9292541492633006E-4</v>
      </c>
      <c r="Z113" s="751">
        <f>$F$22*$M$9*'Traffic Data'!BB23*annualizationFactor</f>
        <v>6.0285283998812687E-4</v>
      </c>
      <c r="AA113" s="751">
        <f>$F$22*$M$9*'Traffic Data'!BC23*annualizationFactor</f>
        <v>6.1277659570042756E-4</v>
      </c>
      <c r="AB113" s="751">
        <f>$F$22*$M$9*'Traffic Data'!BD23*annualizationFactor</f>
        <v>6.227040207622248E-4</v>
      </c>
      <c r="AC113" s="751">
        <f>$F$22*$M$9*'Traffic Data'!BE23*annualizationFactor</f>
        <v>6.3262777647452549E-4</v>
      </c>
      <c r="AD113" s="751">
        <f>$F$22*$M$9*'Traffic Data'!BF23*annualizationFactor</f>
        <v>6.4255153218682629E-4</v>
      </c>
      <c r="AE113" s="751">
        <f>$F$22*$M$9*'Traffic Data'!BG23*annualizationFactor</f>
        <v>6.5247895724862321E-4</v>
      </c>
      <c r="AF113" s="751">
        <f>$F$22*$M$9*'Traffic Data'!BH23*annualizationFactor</f>
        <v>6.6240271296092411E-4</v>
      </c>
      <c r="AG113" s="751">
        <f>$F$22*$M$9*'Traffic Data'!BI23*annualizationFactor</f>
        <v>6.723264686732249E-4</v>
      </c>
      <c r="AH113" s="752">
        <f>$F$22*$M$9*'Traffic Data'!BJ23*annualizationFactor</f>
        <v>6.8225389373502161E-4</v>
      </c>
      <c r="AI113" s="40"/>
      <c r="AJ113" s="40"/>
      <c r="AK113" s="40"/>
      <c r="AL113" s="40"/>
      <c r="AM113" s="40"/>
    </row>
    <row r="114" spans="2:39" ht="21.9" customHeight="1" x14ac:dyDescent="0.25">
      <c r="B114" s="469"/>
      <c r="C114" s="114" t="s">
        <v>322</v>
      </c>
      <c r="D114" s="114" t="s">
        <v>326</v>
      </c>
      <c r="E114" s="114" t="s">
        <v>434</v>
      </c>
      <c r="F114" s="114" t="s">
        <v>405</v>
      </c>
      <c r="G114" s="941"/>
      <c r="H114" s="941"/>
      <c r="I114" s="751">
        <f>$F$22*$M$9*'Traffic Data'!AK24*annualizationFactor</f>
        <v>7.1552315174659101E-4</v>
      </c>
      <c r="J114" s="751">
        <f>$F$22*$M$9*'Traffic Data'!AL24*annualizationFactor</f>
        <v>7.4016457655415725E-4</v>
      </c>
      <c r="K114" s="751">
        <f>$F$22*$M$9*'Traffic Data'!AM24*annualizationFactor</f>
        <v>7.6765616858284747E-4</v>
      </c>
      <c r="L114" s="751">
        <f>$F$22*$M$9*'Traffic Data'!AN24*annualizationFactor</f>
        <v>8.1568088998949264E-4</v>
      </c>
      <c r="M114" s="751">
        <f>$F$22*$M$9*'Traffic Data'!AO24*annualizationFactor</f>
        <v>8.6373423232220727E-4</v>
      </c>
      <c r="N114" s="751">
        <f>$F$22*$M$9*'Traffic Data'!AP24*annualizationFactor</f>
        <v>9.1177087911471506E-4</v>
      </c>
      <c r="O114" s="751">
        <f>$F$22*$M$9*'Traffic Data'!AQ24*annualizationFactor</f>
        <v>9.597956005213599E-4</v>
      </c>
      <c r="P114" s="751">
        <f>$F$22*$M$9*'Traffic Data'!AR24*annualizationFactor</f>
        <v>1.0078692160100406E-3</v>
      </c>
      <c r="Q114" s="751">
        <f>$F$22*$M$9*'Traffic Data'!AS24*annualizationFactor</f>
        <v>1.0697834343306731E-3</v>
      </c>
      <c r="R114" s="751">
        <f>$F$22*$M$9*'Traffic Data'!AT24*annualizationFactor</f>
        <v>1.131732236270307E-3</v>
      </c>
      <c r="S114" s="751">
        <f>$F$22*$M$9*'Traffic Data'!AU24*annualizationFactor</f>
        <v>1.1936345292050765E-3</v>
      </c>
      <c r="T114" s="751">
        <f>$F$22*$M$9*'Traffic Data'!AV24*annualizationFactor</f>
        <v>1.2555487475257093E-3</v>
      </c>
      <c r="U114" s="751">
        <f>$F$22*$M$9*'Traffic Data'!AW24*annualizationFactor</f>
        <v>1.3175154375441366E-3</v>
      </c>
      <c r="V114" s="751">
        <f>$F$22*$M$9*'Traffic Data'!AX24*annualizationFactor</f>
        <v>1.358864327944986E-3</v>
      </c>
      <c r="W114" s="751">
        <f>$F$22*$M$9*'Traffic Data'!AY24*annualizationFactor</f>
        <v>1.3835057527525527E-3</v>
      </c>
      <c r="X114" s="751">
        <f>$F$22*$M$9*'Traffic Data'!AZ24*annualizationFactor</f>
        <v>1.4081471775601187E-3</v>
      </c>
      <c r="Y114" s="751">
        <f>$F$22*$M$9*'Traffic Data'!BA24*annualizationFactor</f>
        <v>1.4327886023676854E-3</v>
      </c>
      <c r="Z114" s="751">
        <f>$F$22*$M$9*'Traffic Data'!BB24*annualizationFactor</f>
        <v>1.4574443376382869E-3</v>
      </c>
      <c r="AA114" s="751">
        <f>$F$22*$M$9*'Traffic Data'!BC24*annualizationFactor</f>
        <v>1.4820857624458527E-3</v>
      </c>
      <c r="AB114" s="751">
        <f>$F$22*$M$9*'Traffic Data'!BD24*annualizationFactor</f>
        <v>1.5067414977164536E-3</v>
      </c>
      <c r="AC114" s="751">
        <f>$F$22*$M$9*'Traffic Data'!BE24*annualizationFactor</f>
        <v>1.5313829225240203E-3</v>
      </c>
      <c r="AD114" s="751">
        <f>$F$22*$M$9*'Traffic Data'!BF24*annualizationFactor</f>
        <v>1.5560243473315863E-3</v>
      </c>
      <c r="AE114" s="751">
        <f>$F$22*$M$9*'Traffic Data'!BG24*annualizationFactor</f>
        <v>1.5806800826021878E-3</v>
      </c>
      <c r="AF114" s="751">
        <f>$F$22*$M$9*'Traffic Data'!BH24*annualizationFactor</f>
        <v>1.6053215074097542E-3</v>
      </c>
      <c r="AG114" s="751">
        <f>$F$22*$M$9*'Traffic Data'!BI24*annualizationFactor</f>
        <v>1.6299629322173207E-3</v>
      </c>
      <c r="AH114" s="752">
        <f>$F$22*$M$9*'Traffic Data'!BJ24*annualizationFactor</f>
        <v>1.6546186674879218E-3</v>
      </c>
      <c r="AI114" s="40"/>
      <c r="AJ114" s="40"/>
      <c r="AK114" s="40"/>
      <c r="AL114" s="40"/>
      <c r="AM114" s="40"/>
    </row>
    <row r="115" spans="2:39" ht="21.9" customHeight="1" x14ac:dyDescent="0.25">
      <c r="B115" s="469"/>
      <c r="C115" s="114" t="s">
        <v>326</v>
      </c>
      <c r="D115" s="114" t="s">
        <v>274</v>
      </c>
      <c r="E115" s="114" t="s">
        <v>434</v>
      </c>
      <c r="F115" s="114" t="s">
        <v>405</v>
      </c>
      <c r="G115" s="941"/>
      <c r="H115" s="941"/>
      <c r="I115" s="751">
        <f>$F$22*$M$9*'Traffic Data'!AK25*annualizationFactor</f>
        <v>5.9406768342447737E-3</v>
      </c>
      <c r="J115" s="751">
        <f>$F$22*$M$9*'Traffic Data'!AL25*annualizationFactor</f>
        <v>6.1452638432881066E-3</v>
      </c>
      <c r="K115" s="751">
        <f>$F$22*$M$9*'Traffic Data'!AM25*annualizationFactor</f>
        <v>6.3735145483878467E-3</v>
      </c>
      <c r="L115" s="751">
        <f>$F$22*$M$9*'Traffic Data'!AN25*annualizationFactor</f>
        <v>6.7722428763742999E-3</v>
      </c>
      <c r="M115" s="751">
        <f>$F$22*$M$9*'Traffic Data'!AO25*annualizationFactor</f>
        <v>7.1712088314341222E-3</v>
      </c>
      <c r="N115" s="751">
        <f>$F$22*$M$9*'Traffic Data'!AP25*annualizationFactor</f>
        <v>7.5700361707011464E-3</v>
      </c>
      <c r="O115" s="751">
        <f>$F$22*$M$9*'Traffic Data'!AQ25*annualizationFactor</f>
        <v>7.9687644986875979E-3</v>
      </c>
      <c r="P115" s="751">
        <f>$F$22*$M$9*'Traffic Data'!AR25*annualizationFactor</f>
        <v>8.3678987729243898E-3</v>
      </c>
      <c r="Q115" s="751">
        <f>$F$22*$M$9*'Traffic Data'!AS25*annualizationFactor</f>
        <v>8.8819455393915909E-3</v>
      </c>
      <c r="R115" s="751">
        <f>$F$22*$M$9*'Traffic Data'!AT25*annualizationFactor</f>
        <v>9.3962794385724479E-3</v>
      </c>
      <c r="S115" s="751">
        <f>$F$22*$M$9*'Traffic Data'!AU25*annualizationFactor</f>
        <v>9.9102271937590719E-3</v>
      </c>
      <c r="T115" s="751">
        <f>$F$22*$M$9*'Traffic Data'!AV25*annualizationFactor</f>
        <v>1.0424273960226275E-2</v>
      </c>
      <c r="U115" s="751">
        <f>$F$22*$M$9*'Traffic Data'!AW25*annualizationFactor</f>
        <v>1.0938756376327987E-2</v>
      </c>
      <c r="V115" s="751">
        <f>$F$22*$M$9*'Traffic Data'!AX25*annualizationFactor</f>
        <v>1.1282058189450933E-2</v>
      </c>
      <c r="W115" s="751">
        <f>$F$22*$M$9*'Traffic Data'!AY25*annualizationFactor</f>
        <v>1.1486645198494268E-2</v>
      </c>
      <c r="X115" s="751">
        <f>$F$22*$M$9*'Traffic Data'!AZ25*annualizationFactor</f>
        <v>1.1691232207537603E-2</v>
      </c>
      <c r="Y115" s="751">
        <f>$F$22*$M$9*'Traffic Data'!BA25*annualizationFactor</f>
        <v>1.1895819216580937E-2</v>
      </c>
      <c r="Z115" s="751">
        <f>$F$22*$M$9*'Traffic Data'!BB25*annualizationFactor</f>
        <v>1.2100525039160957E-2</v>
      </c>
      <c r="AA115" s="751">
        <f>$F$22*$M$9*'Traffic Data'!BC25*annualizationFactor</f>
        <v>1.2305112048204288E-2</v>
      </c>
      <c r="AB115" s="751">
        <f>$F$22*$M$9*'Traffic Data'!BD25*annualizationFactor</f>
        <v>1.2509817870784298E-2</v>
      </c>
      <c r="AC115" s="751">
        <f>$F$22*$M$9*'Traffic Data'!BE25*annualizationFactor</f>
        <v>1.2714404879827636E-2</v>
      </c>
      <c r="AD115" s="751">
        <f>$F$22*$M$9*'Traffic Data'!BF25*annualizationFactor</f>
        <v>1.2918991888870966E-2</v>
      </c>
      <c r="AE115" s="751">
        <f>$F$22*$M$9*'Traffic Data'!BG25*annualizationFactor</f>
        <v>1.3123697711450987E-2</v>
      </c>
      <c r="AF115" s="751">
        <f>$F$22*$M$9*'Traffic Data'!BH25*annualizationFactor</f>
        <v>1.3328284720494318E-2</v>
      </c>
      <c r="AG115" s="751">
        <f>$F$22*$M$9*'Traffic Data'!BI25*annualizationFactor</f>
        <v>1.3532871729537651E-2</v>
      </c>
      <c r="AH115" s="752">
        <f>$F$22*$M$9*'Traffic Data'!BJ25*annualizationFactor</f>
        <v>1.3737577552117668E-2</v>
      </c>
      <c r="AI115" s="40"/>
      <c r="AJ115" s="40"/>
      <c r="AK115" s="40"/>
      <c r="AL115" s="40"/>
      <c r="AM115" s="40"/>
    </row>
    <row r="116" spans="2:39" ht="21.9" customHeight="1" x14ac:dyDescent="0.25">
      <c r="B116" s="470"/>
      <c r="C116" s="250" t="s">
        <v>274</v>
      </c>
      <c r="D116" s="250" t="s">
        <v>317</v>
      </c>
      <c r="E116" s="250" t="s">
        <v>434</v>
      </c>
      <c r="F116" s="250" t="s">
        <v>405</v>
      </c>
      <c r="G116" s="753"/>
      <c r="H116" s="753"/>
      <c r="I116" s="753">
        <f>$F$22*$M$9*'Traffic Data'!AK26*annualizationFactor</f>
        <v>1.4677397984545458E-4</v>
      </c>
      <c r="J116" s="753">
        <f>$F$22*$M$9*'Traffic Data'!AL26*annualizationFactor</f>
        <v>1.5182863108803227E-4</v>
      </c>
      <c r="K116" s="753">
        <f>$F$22*$M$9*'Traffic Data'!AM26*annualizationFactor</f>
        <v>1.5746793201699435E-4</v>
      </c>
      <c r="L116" s="753">
        <f>$F$22*$M$9*'Traffic Data'!AN26*annualizationFactor</f>
        <v>1.6731915692092157E-4</v>
      </c>
      <c r="M116" s="753">
        <f>$F$22*$M$9*'Traffic Data'!AO26*annualizationFactor</f>
        <v>1.7717625278404253E-4</v>
      </c>
      <c r="N116" s="753">
        <f>$F$22*$M$9*'Traffic Data'!AP26*annualizationFactor</f>
        <v>1.8702992392096715E-4</v>
      </c>
      <c r="O116" s="753">
        <f>$F$22*$M$9*'Traffic Data'!AQ26*annualizationFactor</f>
        <v>1.9688114882489434E-4</v>
      </c>
      <c r="P116" s="753">
        <f>$F$22*$M$9*'Traffic Data'!AR26*annualizationFactor</f>
        <v>2.0674240328411093E-4</v>
      </c>
      <c r="Q116" s="753">
        <f>$F$22*$M$9*'Traffic Data'!AS26*annualizationFactor</f>
        <v>2.1944275576013812E-4</v>
      </c>
      <c r="R116" s="753">
        <f>$F$22*$M$9*'Traffic Data'!AT26*annualizationFactor</f>
        <v>2.3215020231185789E-4</v>
      </c>
      <c r="S116" s="753">
        <f>$F$22*$M$9*'Traffic Data'!AU26*annualizationFactor</f>
        <v>2.448481085548875E-4</v>
      </c>
      <c r="T116" s="753">
        <f>$F$22*$M$9*'Traffic Data'!AV26*annualizationFactor</f>
        <v>2.5754846103091475E-4</v>
      </c>
      <c r="U116" s="753">
        <f>$F$22*$M$9*'Traffic Data'!AW26*annualizationFactor</f>
        <v>2.7025957693213061E-4</v>
      </c>
      <c r="V116" s="753">
        <f>$F$22*$M$9*'Traffic Data'!AX26*annualizationFactor</f>
        <v>2.7874140060409969E-4</v>
      </c>
      <c r="W116" s="753">
        <f>$F$22*$M$9*'Traffic Data'!AY26*annualizationFactor</f>
        <v>2.8379605184667746E-4</v>
      </c>
      <c r="X116" s="753">
        <f>$F$22*$M$9*'Traffic Data'!AZ26*annualizationFactor</f>
        <v>2.8885070308925517E-4</v>
      </c>
      <c r="Y116" s="753">
        <f>$F$22*$M$9*'Traffic Data'!BA26*annualizationFactor</f>
        <v>2.9390535433183293E-4</v>
      </c>
      <c r="Z116" s="753">
        <f>$F$22*$M$9*'Traffic Data'!BB26*annualizationFactor</f>
        <v>2.9896294105400751E-4</v>
      </c>
      <c r="AA116" s="753">
        <f>$F$22*$M$9*'Traffic Data'!BC26*annualizationFactor</f>
        <v>3.0401759229658516E-4</v>
      </c>
      <c r="AB116" s="753">
        <f>$F$22*$M$9*'Traffic Data'!BD26*annualizationFactor</f>
        <v>3.0907517901875974E-4</v>
      </c>
      <c r="AC116" s="753">
        <f>$F$22*$M$9*'Traffic Data'!BE26*annualizationFactor</f>
        <v>3.1412983026133751E-4</v>
      </c>
      <c r="AD116" s="753">
        <f>$F$22*$M$9*'Traffic Data'!BF26*annualizationFactor</f>
        <v>3.1918448150391522E-4</v>
      </c>
      <c r="AE116" s="753">
        <f>$F$22*$M$9*'Traffic Data'!BG26*annualizationFactor</f>
        <v>3.2424206822608985E-4</v>
      </c>
      <c r="AF116" s="753">
        <f>$F$22*$M$9*'Traffic Data'!BH26*annualizationFactor</f>
        <v>3.2929671946866756E-4</v>
      </c>
      <c r="AG116" s="753">
        <f>$F$22*$M$9*'Traffic Data'!BI26*annualizationFactor</f>
        <v>3.3435137071124527E-4</v>
      </c>
      <c r="AH116" s="757">
        <f>$F$22*$M$9*'Traffic Data'!BJ26*annualizationFactor</f>
        <v>3.394089574334199E-4</v>
      </c>
      <c r="AI116" s="40"/>
      <c r="AJ116" s="40"/>
      <c r="AK116" s="40"/>
      <c r="AL116" s="40"/>
      <c r="AM116" s="40"/>
    </row>
    <row r="117" spans="2:39" ht="21.9" customHeight="1" thickBot="1" x14ac:dyDescent="0.3">
      <c r="B117" s="781" t="s">
        <v>460</v>
      </c>
      <c r="C117" s="782"/>
      <c r="D117" s="782"/>
      <c r="E117" s="237"/>
      <c r="F117" s="237"/>
      <c r="G117" s="940">
        <f t="shared" ref="G117:AH117" si="3">SUM(G97:G116)</f>
        <v>0</v>
      </c>
      <c r="H117" s="940">
        <f t="shared" si="3"/>
        <v>0</v>
      </c>
      <c r="I117" s="759">
        <f t="shared" si="3"/>
        <v>7.0072510310437958E-2</v>
      </c>
      <c r="J117" s="759">
        <f t="shared" si="3"/>
        <v>7.4083451318406546E-2</v>
      </c>
      <c r="K117" s="759">
        <f t="shared" si="3"/>
        <v>7.9532470664811131E-2</v>
      </c>
      <c r="L117" s="759">
        <f t="shared" si="3"/>
        <v>9.0838782586854572E-2</v>
      </c>
      <c r="M117" s="759">
        <f t="shared" si="3"/>
        <v>0.10214953180199506</v>
      </c>
      <c r="N117" s="759">
        <f t="shared" si="3"/>
        <v>0.11346335760438055</v>
      </c>
      <c r="O117" s="759">
        <f t="shared" si="3"/>
        <v>0.12476966952642396</v>
      </c>
      <c r="P117" s="759">
        <f t="shared" si="3"/>
        <v>0.13608732165478932</v>
      </c>
      <c r="Q117" s="759">
        <f t="shared" si="3"/>
        <v>0.14981608145942574</v>
      </c>
      <c r="R117" s="759">
        <f t="shared" si="3"/>
        <v>0.16354746067433293</v>
      </c>
      <c r="S117" s="759">
        <f t="shared" si="3"/>
        <v>0.17727568401077734</v>
      </c>
      <c r="T117" s="759">
        <f t="shared" si="3"/>
        <v>0.19100444381541376</v>
      </c>
      <c r="U117" s="759">
        <f t="shared" si="3"/>
        <v>0.20474700343806249</v>
      </c>
      <c r="V117" s="759">
        <f t="shared" si="3"/>
        <v>0.21261139293672951</v>
      </c>
      <c r="W117" s="759">
        <f t="shared" si="3"/>
        <v>0.21662215311915498</v>
      </c>
      <c r="X117" s="759">
        <f t="shared" si="3"/>
        <v>0.22063309412712348</v>
      </c>
      <c r="Y117" s="759">
        <f t="shared" si="3"/>
        <v>0.22464403513509215</v>
      </c>
      <c r="Z117" s="759">
        <f t="shared" si="3"/>
        <v>0.22865803170334301</v>
      </c>
      <c r="AA117" s="759">
        <f t="shared" si="3"/>
        <v>0.23266897271131159</v>
      </c>
      <c r="AB117" s="759">
        <f t="shared" si="3"/>
        <v>0.23668296927956253</v>
      </c>
      <c r="AC117" s="759">
        <f t="shared" si="3"/>
        <v>0.24069391028753112</v>
      </c>
      <c r="AD117" s="759">
        <f t="shared" si="3"/>
        <v>0.24470485129549974</v>
      </c>
      <c r="AE117" s="759">
        <f t="shared" si="3"/>
        <v>0.24871866703820744</v>
      </c>
      <c r="AF117" s="759">
        <f t="shared" si="3"/>
        <v>0.252729608046176</v>
      </c>
      <c r="AG117" s="759">
        <f t="shared" si="3"/>
        <v>0.25674054905414462</v>
      </c>
      <c r="AH117" s="760">
        <f t="shared" si="3"/>
        <v>0.26075454562239553</v>
      </c>
      <c r="AI117" s="40"/>
      <c r="AJ117" s="40"/>
      <c r="AK117" s="40"/>
      <c r="AL117" s="40"/>
      <c r="AM117" s="40"/>
    </row>
    <row r="118" spans="2:39" ht="21.9" customHeight="1" x14ac:dyDescent="0.25">
      <c r="B118" s="548" t="s">
        <v>312</v>
      </c>
      <c r="C118" s="1331" t="s">
        <v>18</v>
      </c>
      <c r="D118" s="1331"/>
      <c r="E118" s="197" t="s">
        <v>24</v>
      </c>
      <c r="F118" s="197" t="s">
        <v>42</v>
      </c>
      <c r="G118" s="459">
        <v>2021</v>
      </c>
      <c r="H118" s="459">
        <v>2022</v>
      </c>
      <c r="I118" s="459">
        <v>2023</v>
      </c>
      <c r="J118" s="459">
        <v>2024</v>
      </c>
      <c r="K118" s="459">
        <v>2025</v>
      </c>
      <c r="L118" s="459">
        <v>2026</v>
      </c>
      <c r="M118" s="459">
        <v>2027</v>
      </c>
      <c r="N118" s="459">
        <v>2028</v>
      </c>
      <c r="O118" s="459">
        <v>2029</v>
      </c>
      <c r="P118" s="459">
        <v>2030</v>
      </c>
      <c r="Q118" s="459">
        <v>2031</v>
      </c>
      <c r="R118" s="459">
        <v>2032</v>
      </c>
      <c r="S118" s="459">
        <v>2033</v>
      </c>
      <c r="T118" s="459">
        <v>2034</v>
      </c>
      <c r="U118" s="459">
        <v>2035</v>
      </c>
      <c r="V118" s="459">
        <v>2036</v>
      </c>
      <c r="W118" s="459">
        <v>2037</v>
      </c>
      <c r="X118" s="459">
        <v>2038</v>
      </c>
      <c r="Y118" s="459">
        <v>2039</v>
      </c>
      <c r="Z118" s="459">
        <v>2040</v>
      </c>
      <c r="AA118" s="459">
        <v>2041</v>
      </c>
      <c r="AB118" s="459">
        <v>2042</v>
      </c>
      <c r="AC118" s="459">
        <v>2043</v>
      </c>
      <c r="AD118" s="459">
        <v>2044</v>
      </c>
      <c r="AE118" s="459">
        <v>2045</v>
      </c>
      <c r="AF118" s="459">
        <v>2046</v>
      </c>
      <c r="AG118" s="459">
        <v>2047</v>
      </c>
      <c r="AH118" s="459">
        <v>2048</v>
      </c>
      <c r="AI118" s="247"/>
      <c r="AJ118" s="247"/>
      <c r="AK118" s="247"/>
      <c r="AL118" s="247"/>
      <c r="AM118" s="247"/>
    </row>
    <row r="119" spans="2:39" ht="21.9" customHeight="1" x14ac:dyDescent="0.25">
      <c r="B119" s="1332" t="s">
        <v>315</v>
      </c>
      <c r="C119" s="217" t="s">
        <v>316</v>
      </c>
      <c r="D119" s="217" t="s">
        <v>276</v>
      </c>
      <c r="E119" s="217" t="s">
        <v>19</v>
      </c>
      <c r="F119" s="217" t="s">
        <v>41</v>
      </c>
      <c r="G119" s="749"/>
      <c r="H119" s="749"/>
      <c r="I119" s="749">
        <f>$G$21*$E$8*'Traffic Data'!AK7*annualizationFactor</f>
        <v>1.4524664E-2</v>
      </c>
      <c r="J119" s="749">
        <f>$G$21*$E$8*'Traffic Data'!AL7*annualizationFactor</f>
        <v>1.5192889323149999E-2</v>
      </c>
      <c r="K119" s="749">
        <f>$G$21*$E$8*'Traffic Data'!AM7*annualizationFactor</f>
        <v>1.6131228007125003E-2</v>
      </c>
      <c r="L119" s="749">
        <f>$G$21*$E$8*'Traffic Data'!AN7*annualizationFactor</f>
        <v>1.7507757648150005E-2</v>
      </c>
      <c r="M119" s="749">
        <f>$G$21*$E$8*'Traffic Data'!AO7*annualizationFactor</f>
        <v>1.88847865745E-2</v>
      </c>
      <c r="N119" s="749">
        <f>$G$21*$E$8*'Traffic Data'!AP7*annualizationFactor</f>
        <v>2.0261860890424997E-2</v>
      </c>
      <c r="O119" s="749">
        <f>$G$21*$E$8*'Traffic Data'!AQ7*annualizationFactor</f>
        <v>2.1638390531449996E-2</v>
      </c>
      <c r="P119" s="749">
        <f>$G$21*$E$8*'Traffic Data'!AR7*annualizationFactor</f>
        <v>2.3015964132699997E-2</v>
      </c>
      <c r="Q119" s="749">
        <f>$G$21*$E$8*'Traffic Data'!AS7*annualizationFactor</f>
        <v>2.43772882661E-2</v>
      </c>
      <c r="R119" s="749">
        <f>$G$21*$E$8*'Traffic Data'!AT7*annualizationFactor</f>
        <v>2.5738884736949998E-2</v>
      </c>
      <c r="S119" s="749">
        <f>$G$21*$E$8*'Traffic Data'!AU7*annualizationFactor</f>
        <v>2.7100208870350001E-2</v>
      </c>
      <c r="T119" s="749">
        <f>$G$21*$E$8*'Traffic Data'!AV7*annualizationFactor</f>
        <v>2.8461533003750001E-2</v>
      </c>
      <c r="U119" s="749">
        <f>$G$21*$E$8*'Traffic Data'!AW7*annualizationFactor</f>
        <v>2.9823946486950005E-2</v>
      </c>
      <c r="V119" s="749">
        <f>$G$21*$E$8*'Traffic Data'!AX7*annualizationFactor</f>
        <v>3.0746534988400003E-2</v>
      </c>
      <c r="W119" s="749">
        <f>$G$21*$E$8*'Traffic Data'!AY7*annualizationFactor</f>
        <v>3.1414760311550001E-2</v>
      </c>
      <c r="X119" s="749">
        <f>$G$21*$E$8*'Traffic Data'!AZ7*annualizationFactor</f>
        <v>3.2082985634699995E-2</v>
      </c>
      <c r="Y119" s="749">
        <f>$G$21*$E$8*'Traffic Data'!BA7*annualizationFactor</f>
        <v>3.2751210957849997E-2</v>
      </c>
      <c r="Z119" s="749">
        <f>$G$21*$E$8*'Traffic Data'!BB7*annualizationFactor</f>
        <v>3.3419708618449999E-2</v>
      </c>
      <c r="AA119" s="749">
        <f>$G$21*$E$8*'Traffic Data'!BC7*annualizationFactor</f>
        <v>3.40879339416E-2</v>
      </c>
      <c r="AB119" s="749">
        <f>$G$21*$E$8*'Traffic Data'!BD7*annualizationFactor</f>
        <v>3.4756431602199996E-2</v>
      </c>
      <c r="AC119" s="749">
        <f>$G$21*$E$8*'Traffic Data'!BE7*annualizationFactor</f>
        <v>3.5424656925350004E-2</v>
      </c>
      <c r="AD119" s="749">
        <f>$G$21*$E$8*'Traffic Data'!BF7*annualizationFactor</f>
        <v>3.6092882248499998E-2</v>
      </c>
      <c r="AE119" s="749">
        <f>$G$21*$E$8*'Traffic Data'!BG7*annualizationFactor</f>
        <v>3.6761379909099993E-2</v>
      </c>
      <c r="AF119" s="749">
        <f>$G$21*$E$8*'Traffic Data'!BH7*annualizationFactor</f>
        <v>3.7429605232249995E-2</v>
      </c>
      <c r="AG119" s="749">
        <f>$G$21*$E$8*'Traffic Data'!BI7*annualizationFactor</f>
        <v>3.8097830555400003E-2</v>
      </c>
      <c r="AH119" s="750">
        <f>$G$21*$E$8*'Traffic Data'!BJ7*annualizationFactor</f>
        <v>3.8766328215999991E-2</v>
      </c>
      <c r="AI119" s="40"/>
      <c r="AJ119" s="40"/>
      <c r="AK119" s="40"/>
      <c r="AL119" s="40"/>
      <c r="AM119" s="40"/>
    </row>
    <row r="120" spans="2:39" ht="21.9" customHeight="1" x14ac:dyDescent="0.25">
      <c r="B120" s="1332"/>
      <c r="C120" s="114" t="s">
        <v>276</v>
      </c>
      <c r="D120" s="114" t="s">
        <v>274</v>
      </c>
      <c r="E120" s="114" t="s">
        <v>19</v>
      </c>
      <c r="F120" s="114" t="s">
        <v>41</v>
      </c>
      <c r="G120" s="941"/>
      <c r="H120" s="941"/>
      <c r="I120" s="751">
        <f>$G$21*$E$8*'Traffic Data'!AK8*annualizationFactor</f>
        <v>0.46704569625000003</v>
      </c>
      <c r="J120" s="751">
        <f>$G$21*$E$8*'Traffic Data'!AL8*annualizationFactor</f>
        <v>0.492918298023375</v>
      </c>
      <c r="K120" s="751">
        <f>$G$21*$E$8*'Traffic Data'!AM8*annualizationFactor</f>
        <v>0.52292165951025005</v>
      </c>
      <c r="L120" s="751">
        <f>$G$21*$E$8*'Traffic Data'!AN8*annualizationFactor</f>
        <v>0.57890660009962502</v>
      </c>
      <c r="M120" s="751">
        <f>$G$21*$E$8*'Traffic Data'!AO8*annualizationFactor</f>
        <v>0.63491229827550022</v>
      </c>
      <c r="N120" s="751">
        <f>$G$21*$E$8*'Traffic Data'!AP8*annualizationFactor</f>
        <v>0.69092837524462514</v>
      </c>
      <c r="O120" s="751">
        <f>$G$21*$E$8*'Traffic Data'!AQ8*annualizationFactor</f>
        <v>0.74691331583400011</v>
      </c>
      <c r="P120" s="751">
        <f>$G$21*$E$8*'Traffic Data'!AR8*annualizationFactor</f>
        <v>0.80295188018850017</v>
      </c>
      <c r="Q120" s="751">
        <f>$G$21*$E$8*'Traffic Data'!AS8*annualizationFactor</f>
        <v>0.86937961658624996</v>
      </c>
      <c r="R120" s="751">
        <f>$G$21*$E$8*'Traffic Data'!AT8*annualizationFactor</f>
        <v>0.93582638077162517</v>
      </c>
      <c r="S120" s="751">
        <f>$G$21*$E$8*'Traffic Data'!AU8*annualizationFactor</f>
        <v>1.0022541171693751</v>
      </c>
      <c r="T120" s="751">
        <f>$G$21*$E$8*'Traffic Data'!AV8*annualizationFactor</f>
        <v>1.0686818535671248</v>
      </c>
      <c r="U120" s="751">
        <f>$G$21*$E$8*'Traffic Data'!AW8*annualizationFactor</f>
        <v>1.135175322322125</v>
      </c>
      <c r="V120" s="751">
        <f>$G$21*$E$8*'Traffic Data'!AX8*annualizationFactor</f>
        <v>1.1755886134387499</v>
      </c>
      <c r="W120" s="751">
        <f>$G$21*$E$8*'Traffic Data'!AY8*annualizationFactor</f>
        <v>1.2014612152121251</v>
      </c>
      <c r="X120" s="751">
        <f>$G$21*$E$8*'Traffic Data'!AZ8*annualizationFactor</f>
        <v>1.2273338169854999</v>
      </c>
      <c r="Y120" s="751">
        <f>$G$21*$E$8*'Traffic Data'!BA8*annualizationFactor</f>
        <v>1.253206418758875</v>
      </c>
      <c r="Z120" s="751">
        <f>$G$21*$E$8*'Traffic Data'!BB8*annualizationFactor</f>
        <v>1.2790963185210003</v>
      </c>
      <c r="AA120" s="751">
        <f>$G$21*$E$8*'Traffic Data'!BC8*annualizationFactor</f>
        <v>1.3049689202943751</v>
      </c>
      <c r="AB120" s="751">
        <f>$G$21*$E$8*'Traffic Data'!BD8*annualizationFactor</f>
        <v>1.3308588200564995</v>
      </c>
      <c r="AC120" s="751">
        <f>$G$21*$E$8*'Traffic Data'!BE8*annualizationFactor</f>
        <v>1.3567314218298749</v>
      </c>
      <c r="AD120" s="751">
        <f>$G$21*$E$8*'Traffic Data'!BF8*annualizationFactor</f>
        <v>1.38260402360325</v>
      </c>
      <c r="AE120" s="751">
        <f>$G$21*$E$8*'Traffic Data'!BG8*annualizationFactor</f>
        <v>1.4084939233653753</v>
      </c>
      <c r="AF120" s="751">
        <f>$G$21*$E$8*'Traffic Data'!BH8*annualizationFactor</f>
        <v>1.4343665251387501</v>
      </c>
      <c r="AG120" s="751">
        <f>$G$21*$E$8*'Traffic Data'!BI8*annualizationFactor</f>
        <v>1.4602391269121251</v>
      </c>
      <c r="AH120" s="752">
        <f>$G$21*$E$8*'Traffic Data'!BJ8*annualizationFactor</f>
        <v>1.48612902667425</v>
      </c>
      <c r="AI120" s="40"/>
      <c r="AJ120" s="40"/>
      <c r="AK120" s="40"/>
      <c r="AL120" s="40"/>
      <c r="AM120" s="40"/>
    </row>
    <row r="121" spans="2:39" ht="21.9" customHeight="1" x14ac:dyDescent="0.25">
      <c r="B121" s="1332"/>
      <c r="C121" s="114" t="s">
        <v>274</v>
      </c>
      <c r="D121" s="114" t="s">
        <v>317</v>
      </c>
      <c r="E121" s="250" t="s">
        <v>19</v>
      </c>
      <c r="F121" s="250" t="s">
        <v>41</v>
      </c>
      <c r="G121" s="753"/>
      <c r="H121" s="753"/>
      <c r="I121" s="753">
        <f>$G$21*$E$8*'Traffic Data'!AK9*annualizationFactor</f>
        <v>1.0893498E-2</v>
      </c>
      <c r="J121" s="753">
        <f>$G$21*$E$8*'Traffic Data'!AL9*annualizationFactor</f>
        <v>1.134839232065E-2</v>
      </c>
      <c r="K121" s="753">
        <f>$G$21*$E$8*'Traffic Data'!AM9*annualizationFactor</f>
        <v>1.1911404608949999E-2</v>
      </c>
      <c r="L121" s="753">
        <f>$G$21*$E$8*'Traffic Data'!AN9*annualizationFactor</f>
        <v>1.2669410511449999E-2</v>
      </c>
      <c r="M121" s="753">
        <f>$G$21*$E$8*'Traffic Data'!AO9*annualizationFactor</f>
        <v>1.3427688751400003E-2</v>
      </c>
      <c r="N121" s="753">
        <f>$G$21*$E$8*'Traffic Data'!AP9*annualizationFactor</f>
        <v>1.4185876212200004E-2</v>
      </c>
      <c r="O121" s="753">
        <f>$G$21*$E$8*'Traffic Data'!AQ9*annualizationFactor</f>
        <v>1.4943882114700003E-2</v>
      </c>
      <c r="P121" s="753">
        <f>$G$21*$E$8*'Traffic Data'!AR9*annualizationFactor</f>
        <v>1.5702432692100005E-2</v>
      </c>
      <c r="Q121" s="753">
        <f>$G$21*$E$8*'Traffic Data'!AS9*annualizationFactor</f>
        <v>1.6437380690500002E-2</v>
      </c>
      <c r="R121" s="753">
        <f>$G$21*$E$8*'Traffic Data'!AT9*annualizationFactor</f>
        <v>1.7172601026349994E-2</v>
      </c>
      <c r="S121" s="753">
        <f>$G$21*$E$8*'Traffic Data'!AU9*annualizationFactor</f>
        <v>1.7907549024749999E-2</v>
      </c>
      <c r="T121" s="753">
        <f>$G$21*$E$8*'Traffic Data'!AV9*annualizationFactor</f>
        <v>1.864249702315E-2</v>
      </c>
      <c r="U121" s="753">
        <f>$G$21*$E$8*'Traffic Data'!AW9*annualizationFactor</f>
        <v>1.937798969645E-2</v>
      </c>
      <c r="V121" s="753">
        <f>$G$21*$E$8*'Traffic Data'!AX9*annualizationFactor</f>
        <v>1.9917671743199996E-2</v>
      </c>
      <c r="W121" s="753">
        <f>$G$21*$E$8*'Traffic Data'!AY9*annualizationFactor</f>
        <v>2.037256606385E-2</v>
      </c>
      <c r="X121" s="753">
        <f>$G$21*$E$8*'Traffic Data'!AZ9*annualizationFactor</f>
        <v>2.0827460384499993E-2</v>
      </c>
      <c r="Y121" s="753">
        <f>$G$21*$E$8*'Traffic Data'!BA9*annualizationFactor</f>
        <v>2.1282354705149997E-2</v>
      </c>
      <c r="Z121" s="753">
        <f>$G$21*$E$8*'Traffic Data'!BB9*annualizationFactor</f>
        <v>2.1737430584100003E-2</v>
      </c>
      <c r="AA121" s="753">
        <f>$G$21*$E$8*'Traffic Data'!BC9*annualizationFactor</f>
        <v>2.219232490475E-2</v>
      </c>
      <c r="AB121" s="753">
        <f>$G$21*$E$8*'Traffic Data'!BD9*annualizationFactor</f>
        <v>2.2647400783700002E-2</v>
      </c>
      <c r="AC121" s="753">
        <f>$G$21*$E$8*'Traffic Data'!BE9*annualizationFactor</f>
        <v>2.3102295104350006E-2</v>
      </c>
      <c r="AD121" s="753">
        <f>$G$21*$E$8*'Traffic Data'!BF9*annualizationFactor</f>
        <v>2.3557189424999996E-2</v>
      </c>
      <c r="AE121" s="753">
        <f>$G$21*$E$8*'Traffic Data'!BG9*annualizationFactor</f>
        <v>2.4012265303950002E-2</v>
      </c>
      <c r="AF121" s="753">
        <f>$G$21*$E$8*'Traffic Data'!BH9*annualizationFactor</f>
        <v>2.4467159624599999E-2</v>
      </c>
      <c r="AG121" s="753">
        <f>$G$21*$E$8*'Traffic Data'!BI9*annualizationFactor</f>
        <v>2.4922053945249992E-2</v>
      </c>
      <c r="AH121" s="757">
        <f>$G$21*$E$8*'Traffic Data'!BJ9*annualizationFactor</f>
        <v>2.5377129824199998E-2</v>
      </c>
      <c r="AI121" s="40"/>
      <c r="AJ121" s="40"/>
      <c r="AK121" s="40"/>
      <c r="AL121" s="40"/>
      <c r="AM121" s="40"/>
    </row>
    <row r="122" spans="2:39" ht="21.9" customHeight="1" x14ac:dyDescent="0.25">
      <c r="B122" s="1332" t="s">
        <v>274</v>
      </c>
      <c r="C122" s="217" t="s">
        <v>275</v>
      </c>
      <c r="D122" s="217" t="s">
        <v>318</v>
      </c>
      <c r="E122" s="114" t="s">
        <v>19</v>
      </c>
      <c r="F122" s="114" t="s">
        <v>41</v>
      </c>
      <c r="G122" s="941"/>
      <c r="H122" s="941"/>
      <c r="I122" s="751">
        <f>$G$21*$F$8*'Traffic Data'!AK10*annualizationFactor</f>
        <v>8.9997320000000006E-2</v>
      </c>
      <c r="J122" s="751">
        <f>$G$21*$F$8*'Traffic Data'!AL10*annualizationFactor</f>
        <v>9.9817152578500018E-2</v>
      </c>
      <c r="K122" s="751">
        <f>$G$21*$F$8*'Traffic Data'!AM10*annualizationFactor</f>
        <v>0.11018776875539997</v>
      </c>
      <c r="L122" s="751">
        <f>$G$21*$F$8*'Traffic Data'!AN10*annualizationFactor</f>
        <v>0.14228823784630001</v>
      </c>
      <c r="M122" s="751">
        <f>$G$21*$F$8*'Traffic Data'!AO10*annualizationFactor</f>
        <v>0.1744049064548</v>
      </c>
      <c r="N122" s="751">
        <f>$G$21*$F$8*'Traffic Data'!AP10*annualizationFactor</f>
        <v>0.20653012480870001</v>
      </c>
      <c r="O122" s="751">
        <f>$G$21*$F$8*'Traffic Data'!AQ10*annualizationFactor</f>
        <v>0.23863059389960001</v>
      </c>
      <c r="P122" s="751">
        <f>$G$21*$F$8*'Traffic Data'!AR10*annualizationFactor</f>
        <v>0.27077538667060003</v>
      </c>
      <c r="Q122" s="751">
        <f>$G$21*$F$8*'Traffic Data'!AS10*annualizationFactor</f>
        <v>0.31391110214659995</v>
      </c>
      <c r="R122" s="751">
        <f>$G$21*$F$8*'Traffic Data'!AT10*annualizationFactor</f>
        <v>0.35706594205309994</v>
      </c>
      <c r="S122" s="751">
        <f>$G$21*$F$8*'Traffic Data'!AU10*annualizationFactor</f>
        <v>0.40020165752910003</v>
      </c>
      <c r="T122" s="751">
        <f>$G$21*$F$8*'Traffic Data'!AV10*annualizationFactor</f>
        <v>0.44333737300510001</v>
      </c>
      <c r="U122" s="751">
        <f>$G$21*$F$8*'Traffic Data'!AW10*annualizationFactor</f>
        <v>0.48652933680610011</v>
      </c>
      <c r="V122" s="751">
        <f>$G$21*$F$8*'Traffic Data'!AX10*annualizationFactor</f>
        <v>0.50790707520560008</v>
      </c>
      <c r="W122" s="751">
        <f>$G$21*$F$8*'Traffic Data'!AY10*annualizationFactor</f>
        <v>0.51772690778410002</v>
      </c>
      <c r="X122" s="751">
        <f>$G$21*$F$8*'Traffic Data'!AZ10*annualizationFactor</f>
        <v>0.52754674036260008</v>
      </c>
      <c r="Y122" s="751">
        <f>$G$21*$F$8*'Traffic Data'!BA10*annualizationFactor</f>
        <v>0.53736657294110002</v>
      </c>
      <c r="Z122" s="751">
        <f>$G$21*$F$8*'Traffic Data'!BB10*annualizationFactor</f>
        <v>0.54720215505059999</v>
      </c>
      <c r="AA122" s="751">
        <f>$G$21*$F$8*'Traffic Data'!BC10*annualizationFactor</f>
        <v>0.55702198762909994</v>
      </c>
      <c r="AB122" s="751">
        <f>$G$21*$F$8*'Traffic Data'!BD10*annualizationFactor</f>
        <v>0.56685756973860002</v>
      </c>
      <c r="AC122" s="751">
        <f>$G$21*$F$8*'Traffic Data'!BE10*annualizationFactor</f>
        <v>0.57667740231710007</v>
      </c>
      <c r="AD122" s="751">
        <f>$G$21*$F$8*'Traffic Data'!BF10*annualizationFactor</f>
        <v>0.58649723489560002</v>
      </c>
      <c r="AE122" s="751">
        <f>$G$21*$F$8*'Traffic Data'!BG10*annualizationFactor</f>
        <v>0.5963328170051001</v>
      </c>
      <c r="AF122" s="751">
        <f>$G$21*$F$8*'Traffic Data'!BH10*annualizationFactor</f>
        <v>0.60615264958359993</v>
      </c>
      <c r="AG122" s="751">
        <f>$G$21*$F$8*'Traffic Data'!BI10*annualizationFactor</f>
        <v>0.61597248216209999</v>
      </c>
      <c r="AH122" s="752">
        <f>$G$21*$F$8*'Traffic Data'!BJ10*annualizationFactor</f>
        <v>0.62580806427159996</v>
      </c>
      <c r="AI122" s="40"/>
      <c r="AJ122" s="40"/>
      <c r="AK122" s="40"/>
      <c r="AL122" s="40"/>
      <c r="AM122" s="40"/>
    </row>
    <row r="123" spans="2:39" ht="21.9" customHeight="1" x14ac:dyDescent="0.25">
      <c r="B123" s="1332"/>
      <c r="C123" s="114" t="s">
        <v>318</v>
      </c>
      <c r="D123" s="114" t="s">
        <v>308</v>
      </c>
      <c r="E123" s="114" t="s">
        <v>19</v>
      </c>
      <c r="F123" s="114" t="s">
        <v>41</v>
      </c>
      <c r="G123" s="941"/>
      <c r="H123" s="941"/>
      <c r="I123" s="751">
        <f>$G$21*$F$8*'Traffic Data'!AK11*annualizationFactor</f>
        <v>1.04244E-2</v>
      </c>
      <c r="J123" s="751">
        <f>$G$21*$F$8*'Traffic Data'!AL11*annualizationFactor</f>
        <v>1.180962902E-2</v>
      </c>
      <c r="K123" s="751">
        <f>$G$21*$F$8*'Traffic Data'!AM11*annualizationFactor</f>
        <v>1.3195726740000002E-2</v>
      </c>
      <c r="L123" s="751">
        <f>$G$21*$F$8*'Traffic Data'!AN11*annualizationFactor</f>
        <v>1.7885490560000002E-2</v>
      </c>
      <c r="M123" s="751">
        <f>$G$21*$F$8*'Traffic Data'!AO11*annualizationFactor</f>
        <v>2.2576209950000002E-2</v>
      </c>
      <c r="N123" s="751">
        <f>$G$21*$F$8*'Traffic Data'!AP11*annualizationFactor</f>
        <v>2.7271185970000004E-2</v>
      </c>
      <c r="O123" s="751">
        <f>$G$21*$F$8*'Traffic Data'!AQ11*annualizationFactor</f>
        <v>3.1960949790000005E-2</v>
      </c>
      <c r="P123" s="751">
        <f>$G$21*$F$8*'Traffic Data'!AR11*annualizationFactor</f>
        <v>3.6655143980000006E-2</v>
      </c>
      <c r="Q123" s="751">
        <f>$G$21*$F$8*'Traffic Data'!AS11*annualizationFactor</f>
        <v>4.3862834750000003E-2</v>
      </c>
      <c r="R123" s="751">
        <f>$G$21*$F$8*'Traffic Data'!AT11*annualizationFactor</f>
        <v>5.1069743690000009E-2</v>
      </c>
      <c r="S123" s="751">
        <f>$G$21*$F$8*'Traffic Data'!AU11*annualizationFactor</f>
        <v>5.8277347590000014E-2</v>
      </c>
      <c r="T123" s="751">
        <f>$G$21*$F$8*'Traffic Data'!AV11*annualizationFactor</f>
        <v>6.5485038359999997E-2</v>
      </c>
      <c r="U123" s="751">
        <f>$G$21*$F$8*'Traffic Data'!AW11*annualizationFactor</f>
        <v>7.2699765600000008E-2</v>
      </c>
      <c r="V123" s="751">
        <f>$G$21*$F$8*'Traffic Data'!AX11*annualizationFactor</f>
        <v>7.6600228600000014E-2</v>
      </c>
      <c r="W123" s="751">
        <f>$G$21*$F$8*'Traffic Data'!AY11*annualizationFactor</f>
        <v>7.7985457620000004E-2</v>
      </c>
      <c r="X123" s="751">
        <f>$G$21*$F$8*'Traffic Data'!AZ11*annualizationFactor</f>
        <v>7.9370686640000021E-2</v>
      </c>
      <c r="Y123" s="751">
        <f>$G$21*$F$8*'Traffic Data'!BA11*annualizationFactor</f>
        <v>8.0755915660000024E-2</v>
      </c>
      <c r="Z123" s="751">
        <f>$G$21*$F$8*'Traffic Data'!BB11*annualizationFactor</f>
        <v>8.2142013380000017E-2</v>
      </c>
      <c r="AA123" s="751">
        <f>$G$21*$F$8*'Traffic Data'!BC11*annualizationFactor</f>
        <v>8.3527242400000007E-2</v>
      </c>
      <c r="AB123" s="751">
        <f>$G$21*$F$8*'Traffic Data'!BD11*annualizationFactor</f>
        <v>8.4913340120000014E-2</v>
      </c>
      <c r="AC123" s="751">
        <f>$G$21*$F$8*'Traffic Data'!BE11*annualizationFactor</f>
        <v>8.6298569139999989E-2</v>
      </c>
      <c r="AD123" s="751">
        <f>$G$21*$F$8*'Traffic Data'!BF11*annualizationFactor</f>
        <v>8.7683798160000007E-2</v>
      </c>
      <c r="AE123" s="751">
        <f>$G$21*$F$8*'Traffic Data'!BG11*annualizationFactor</f>
        <v>8.9069895880000013E-2</v>
      </c>
      <c r="AF123" s="751">
        <f>$G$21*$F$8*'Traffic Data'!BH11*annualizationFactor</f>
        <v>9.0455124900000003E-2</v>
      </c>
      <c r="AG123" s="751">
        <f>$G$21*$F$8*'Traffic Data'!BI11*annualizationFactor</f>
        <v>9.184035392000002E-2</v>
      </c>
      <c r="AH123" s="752">
        <f>$G$21*$F$8*'Traffic Data'!BJ11*annualizationFactor</f>
        <v>9.3226451639999985E-2</v>
      </c>
      <c r="AI123" s="40"/>
      <c r="AJ123" s="40"/>
      <c r="AK123" s="40"/>
      <c r="AL123" s="40"/>
      <c r="AM123" s="40"/>
    </row>
    <row r="124" spans="2:39" ht="21.9" customHeight="1" x14ac:dyDescent="0.25">
      <c r="B124" s="1332"/>
      <c r="C124" s="250" t="s">
        <v>308</v>
      </c>
      <c r="D124" s="250" t="s">
        <v>319</v>
      </c>
      <c r="E124" s="114" t="s">
        <v>19</v>
      </c>
      <c r="F124" s="114" t="s">
        <v>41</v>
      </c>
      <c r="G124" s="941"/>
      <c r="H124" s="941"/>
      <c r="I124" s="751">
        <f>$G$21*$F$8*'Traffic Data'!AK12*annualizationFactor</f>
        <v>0.13968696000000003</v>
      </c>
      <c r="J124" s="751">
        <f>$G$21*$F$8*'Traffic Data'!AL12*annualizationFactor</f>
        <v>0.14486771653480002</v>
      </c>
      <c r="K124" s="751">
        <f>$G$21*$F$8*'Traffic Data'!AM12*annualizationFactor</f>
        <v>0.15005173243200001</v>
      </c>
      <c r="L124" s="751">
        <f>$G$21*$F$8*'Traffic Data'!AN12*annualizationFactor</f>
        <v>0.16011920445080002</v>
      </c>
      <c r="M124" s="751">
        <f>$G$21*$F$8*'Traffic Data'!AO12*annualizationFactor</f>
        <v>0.17019249675960002</v>
      </c>
      <c r="N124" s="751">
        <f>$G$21*$F$8*'Traffic Data'!AP12*annualizationFactor</f>
        <v>0.18026322814080004</v>
      </c>
      <c r="O124" s="751">
        <f>$G$21*$F$8*'Traffic Data'!AQ12*annualizationFactor</f>
        <v>0.19033070015960005</v>
      </c>
      <c r="P124" s="751">
        <f>$G$21*$F$8*'Traffic Data'!AR12*annualizationFactor</f>
        <v>0.20040888151200004</v>
      </c>
      <c r="Q124" s="751">
        <f>$G$21*$F$8*'Traffic Data'!AS12*annualizationFactor</f>
        <v>0.21439457275880003</v>
      </c>
      <c r="R124" s="751">
        <f>$G$21*$F$8*'Traffic Data'!AT12*annualizationFactor</f>
        <v>0.22838771397680002</v>
      </c>
      <c r="S124" s="751">
        <f>$G$21*$F$8*'Traffic Data'!AU12*annualizationFactor</f>
        <v>0.242370844296</v>
      </c>
      <c r="T124" s="751">
        <f>$G$21*$F$8*'Traffic Data'!AV12*annualizationFactor</f>
        <v>0.25635653554280008</v>
      </c>
      <c r="U124" s="751">
        <f>$G$21*$F$8*'Traffic Data'!AW12*annualizationFactor</f>
        <v>0.27035456580440009</v>
      </c>
      <c r="V124" s="751">
        <f>$G$21*$F$8*'Traffic Data'!AX12*annualizationFactor</f>
        <v>0.27944935095840001</v>
      </c>
      <c r="W124" s="751">
        <f>$G$21*$F$8*'Traffic Data'!AY12*annualizationFactor</f>
        <v>0.28463010749320006</v>
      </c>
      <c r="X124" s="751">
        <f>$G$21*$F$8*'Traffic Data'!AZ12*annualizationFactor</f>
        <v>0.28981086402800005</v>
      </c>
      <c r="Y124" s="751">
        <f>$G$21*$F$8*'Traffic Data'!BA12*annualizationFactor</f>
        <v>0.29499162056280004</v>
      </c>
      <c r="Z124" s="751">
        <f>$G$21*$F$8*'Traffic Data'!BB12*annualizationFactor</f>
        <v>0.30017563646000006</v>
      </c>
      <c r="AA124" s="751">
        <f>$G$21*$F$8*'Traffic Data'!BC12*annualizationFactor</f>
        <v>0.3053563929948</v>
      </c>
      <c r="AB124" s="751">
        <f>$G$21*$F$8*'Traffic Data'!BD12*annualizationFactor</f>
        <v>0.31054040889200007</v>
      </c>
      <c r="AC124" s="751">
        <f>$G$21*$F$8*'Traffic Data'!BE12*annualizationFactor</f>
        <v>0.31572116542680007</v>
      </c>
      <c r="AD124" s="751">
        <f>$G$21*$F$8*'Traffic Data'!BF12*annualizationFactor</f>
        <v>0.32090192196160011</v>
      </c>
      <c r="AE124" s="751">
        <f>$G$21*$F$8*'Traffic Data'!BG12*annualizationFactor</f>
        <v>0.32608593785880008</v>
      </c>
      <c r="AF124" s="751">
        <f>$G$21*$F$8*'Traffic Data'!BH12*annualizationFactor</f>
        <v>0.33126669439360001</v>
      </c>
      <c r="AG124" s="751">
        <f>$G$21*$F$8*'Traffic Data'!BI12*annualizationFactor</f>
        <v>0.33644745092840006</v>
      </c>
      <c r="AH124" s="752">
        <f>$G$21*$F$8*'Traffic Data'!BJ12*annualizationFactor</f>
        <v>0.34163146682560008</v>
      </c>
      <c r="AI124" s="40"/>
      <c r="AJ124" s="40"/>
      <c r="AK124" s="40"/>
      <c r="AL124" s="40"/>
      <c r="AM124" s="40"/>
    </row>
    <row r="125" spans="2:39" ht="21.9" customHeight="1" x14ac:dyDescent="0.25">
      <c r="B125" s="469" t="s">
        <v>320</v>
      </c>
      <c r="C125" s="114" t="s">
        <v>318</v>
      </c>
      <c r="D125" s="114" t="s">
        <v>308</v>
      </c>
      <c r="E125" s="273" t="s">
        <v>19</v>
      </c>
      <c r="F125" s="273" t="s">
        <v>41</v>
      </c>
      <c r="G125" s="754"/>
      <c r="H125" s="754"/>
      <c r="I125" s="754">
        <f>$G$21*$G$8*'Traffic Data'!AK13*annualizationFactor</f>
        <v>4.0828899999999999E-4</v>
      </c>
      <c r="J125" s="754">
        <f>$G$21*$G$8*'Traffic Data'!AL13*annualizationFactor</f>
        <v>6.610198909999999E-4</v>
      </c>
      <c r="K125" s="754">
        <f>$G$21*$G$8*'Traffic Data'!AM13*annualizationFactor</f>
        <v>1.8858868909999999E-3</v>
      </c>
      <c r="L125" s="754">
        <f>$G$21*$G$8*'Traffic Data'!AN13*annualizationFactor</f>
        <v>3.987350374E-3</v>
      </c>
      <c r="M125" s="754">
        <f>$G$21*$G$8*'Traffic Data'!AO13*annualizationFactor</f>
        <v>6.090447013000001E-3</v>
      </c>
      <c r="N125" s="754">
        <f>$G$21*$G$8*'Traffic Data'!AP13*annualizationFactor</f>
        <v>8.1927270740000009E-3</v>
      </c>
      <c r="O125" s="754">
        <f>$G$21*$G$8*'Traffic Data'!AQ13*annualizationFactor</f>
        <v>1.0294190557000003E-2</v>
      </c>
      <c r="P125" s="754">
        <f>$G$21*$G$8*'Traffic Data'!AR13*annualizationFactor</f>
        <v>1.2398920352000001E-2</v>
      </c>
      <c r="Q125" s="754">
        <f>$G$21*$G$8*'Traffic Data'!AS13*annualizationFactor</f>
        <v>1.3529472593000002E-2</v>
      </c>
      <c r="R125" s="754">
        <f>$G$21*$G$8*'Traffic Data'!AT13*annualizationFactor</f>
        <v>1.466165799E-2</v>
      </c>
      <c r="S125" s="754">
        <f>$G$21*$G$8*'Traffic Data'!AU13*annualizationFactor</f>
        <v>1.5792618520000003E-2</v>
      </c>
      <c r="T125" s="754">
        <f>$G$21*$G$8*'Traffic Data'!AV13*annualizationFactor</f>
        <v>1.6923170761000004E-2</v>
      </c>
      <c r="U125" s="754">
        <f>$G$21*$G$8*'Traffic Data'!AW13*annualizationFactor</f>
        <v>1.8056581025000004E-2</v>
      </c>
      <c r="V125" s="754">
        <f>$G$21*$G$8*'Traffic Data'!AX13*annualizationFactor</f>
        <v>1.8309311915999996E-2</v>
      </c>
      <c r="W125" s="754">
        <f>$G$21*$G$8*'Traffic Data'!AY13*annualizationFactor</f>
        <v>1.8562042807000002E-2</v>
      </c>
      <c r="X125" s="754">
        <f>$G$21*$G$8*'Traffic Data'!AZ13*annualizationFactor</f>
        <v>1.8814773697999998E-2</v>
      </c>
      <c r="Y125" s="754">
        <f>$G$21*$G$8*'Traffic Data'!BA13*annualizationFactor</f>
        <v>1.9067504589000004E-2</v>
      </c>
      <c r="Z125" s="754">
        <f>$G$21*$G$8*'Traffic Data'!BB13*annualizationFactor</f>
        <v>1.9321460347000004E-2</v>
      </c>
      <c r="AA125" s="754">
        <f>$G$21*$G$8*'Traffic Data'!BC13*annualizationFactor</f>
        <v>1.9574191237999999E-2</v>
      </c>
      <c r="AB125" s="754">
        <f>$G$21*$G$8*'Traffic Data'!BD13*annualizationFactor</f>
        <v>1.9828146995999999E-2</v>
      </c>
      <c r="AC125" s="754">
        <f>$G$21*$G$8*'Traffic Data'!BE13*annualizationFactor</f>
        <v>2.0080877886999998E-2</v>
      </c>
      <c r="AD125" s="754">
        <f>$G$21*$G$8*'Traffic Data'!BF13*annualizationFactor</f>
        <v>2.0333608778000001E-2</v>
      </c>
      <c r="AE125" s="754">
        <f>$G$21*$G$8*'Traffic Data'!BG13*annualizationFactor</f>
        <v>2.0587564536000004E-2</v>
      </c>
      <c r="AF125" s="754">
        <f>$G$21*$G$8*'Traffic Data'!BH13*annualizationFactor</f>
        <v>2.0840295427E-2</v>
      </c>
      <c r="AG125" s="754">
        <f>$G$21*$G$8*'Traffic Data'!BI13*annualizationFactor</f>
        <v>2.1093026318000002E-2</v>
      </c>
      <c r="AH125" s="755">
        <f>$G$21*$G$8*'Traffic Data'!BJ13*annualizationFactor</f>
        <v>2.1346982076000005E-2</v>
      </c>
      <c r="AI125" s="40"/>
      <c r="AJ125" s="40"/>
      <c r="AK125" s="40"/>
      <c r="AL125" s="40"/>
      <c r="AM125" s="40"/>
    </row>
    <row r="126" spans="2:39" ht="21.9" customHeight="1" x14ac:dyDescent="0.25">
      <c r="B126" s="1332" t="s">
        <v>308</v>
      </c>
      <c r="C126" s="217" t="s">
        <v>276</v>
      </c>
      <c r="D126" s="217" t="s">
        <v>320</v>
      </c>
      <c r="E126" s="114" t="s">
        <v>19</v>
      </c>
      <c r="F126" s="114" t="s">
        <v>41</v>
      </c>
      <c r="G126" s="941"/>
      <c r="H126" s="941"/>
      <c r="I126" s="751">
        <f>$G$21*$H$8*'Traffic Data'!AK14*annualizationFactor</f>
        <v>1.172745E-3</v>
      </c>
      <c r="J126" s="751">
        <f>$G$21*$H$8*'Traffic Data'!AL14*annualizationFactor</f>
        <v>1.172745E-3</v>
      </c>
      <c r="K126" s="751">
        <f>$G$21*$H$8*'Traffic Data'!AM14*annualizationFactor</f>
        <v>1.3722289245000002E-2</v>
      </c>
      <c r="L126" s="751">
        <f>$G$21*$H$8*'Traffic Data'!AN14*annualizationFactor</f>
        <v>2.6271833490000004E-2</v>
      </c>
      <c r="M126" s="751">
        <f>$G$21*$H$8*'Traffic Data'!AO14*annualizationFactor</f>
        <v>3.8831932440000008E-2</v>
      </c>
      <c r="N126" s="751">
        <f>$G$21*$H$8*'Traffic Data'!AP14*annualizationFactor</f>
        <v>5.1381476685000017E-2</v>
      </c>
      <c r="O126" s="751">
        <f>$G$21*$H$8*'Traffic Data'!AQ14*annualizationFactor</f>
        <v>6.3931020930000013E-2</v>
      </c>
      <c r="P126" s="751">
        <f>$G$21*$H$8*'Traffic Data'!AR14*annualizationFactor</f>
        <v>7.6491119880000027E-2</v>
      </c>
      <c r="Q126" s="751">
        <f>$G$21*$H$8*'Traffic Data'!AS14*annualizationFactor</f>
        <v>7.6491119880000027E-2</v>
      </c>
      <c r="R126" s="751">
        <f>$G$21*$H$8*'Traffic Data'!AT14*annualizationFactor</f>
        <v>7.6491119880000027E-2</v>
      </c>
      <c r="S126" s="751">
        <f>$G$21*$H$8*'Traffic Data'!AU14*annualizationFactor</f>
        <v>7.6491119880000027E-2</v>
      </c>
      <c r="T126" s="751">
        <f>$G$21*$H$8*'Traffic Data'!AV14*annualizationFactor</f>
        <v>7.6491119880000027E-2</v>
      </c>
      <c r="U126" s="751">
        <f>$G$21*$H$8*'Traffic Data'!AW14*annualizationFactor</f>
        <v>7.6491119880000027E-2</v>
      </c>
      <c r="V126" s="751">
        <f>$G$21*$H$8*'Traffic Data'!AX14*annualizationFactor</f>
        <v>7.6491119880000027E-2</v>
      </c>
      <c r="W126" s="751">
        <f>$G$21*$H$8*'Traffic Data'!AY14*annualizationFactor</f>
        <v>7.6491119880000027E-2</v>
      </c>
      <c r="X126" s="751">
        <f>$G$21*$H$8*'Traffic Data'!AZ14*annualizationFactor</f>
        <v>7.6491119880000027E-2</v>
      </c>
      <c r="Y126" s="751">
        <f>$G$21*$H$8*'Traffic Data'!BA14*annualizationFactor</f>
        <v>7.6491119880000027E-2</v>
      </c>
      <c r="Z126" s="751">
        <f>$G$21*$H$8*'Traffic Data'!BB14*annualizationFactor</f>
        <v>7.6491119880000027E-2</v>
      </c>
      <c r="AA126" s="751">
        <f>$G$21*$H$8*'Traffic Data'!BC14*annualizationFactor</f>
        <v>7.6491119880000027E-2</v>
      </c>
      <c r="AB126" s="751">
        <f>$G$21*$H$8*'Traffic Data'!BD14*annualizationFactor</f>
        <v>7.6491119880000027E-2</v>
      </c>
      <c r="AC126" s="751">
        <f>$G$21*$H$8*'Traffic Data'!BE14*annualizationFactor</f>
        <v>7.6491119880000027E-2</v>
      </c>
      <c r="AD126" s="751">
        <f>$G$21*$H$8*'Traffic Data'!BF14*annualizationFactor</f>
        <v>7.6491119880000027E-2</v>
      </c>
      <c r="AE126" s="751">
        <f>$G$21*$H$8*'Traffic Data'!BG14*annualizationFactor</f>
        <v>7.6491119880000027E-2</v>
      </c>
      <c r="AF126" s="751">
        <f>$G$21*$H$8*'Traffic Data'!BH14*annualizationFactor</f>
        <v>7.6491119880000027E-2</v>
      </c>
      <c r="AG126" s="751">
        <f>$G$21*$H$8*'Traffic Data'!BI14*annualizationFactor</f>
        <v>7.6491119880000027E-2</v>
      </c>
      <c r="AH126" s="752">
        <f>$G$21*$H$8*'Traffic Data'!BJ14*annualizationFactor</f>
        <v>7.6491119880000027E-2</v>
      </c>
      <c r="AI126" s="40"/>
      <c r="AJ126" s="40"/>
      <c r="AK126" s="40"/>
      <c r="AL126" s="40"/>
      <c r="AM126" s="40"/>
    </row>
    <row r="127" spans="2:39" ht="21.9" customHeight="1" x14ac:dyDescent="0.25">
      <c r="B127" s="1332"/>
      <c r="C127" s="114" t="s">
        <v>320</v>
      </c>
      <c r="D127" s="114" t="s">
        <v>282</v>
      </c>
      <c r="E127" s="114" t="s">
        <v>19</v>
      </c>
      <c r="F127" s="114" t="s">
        <v>41</v>
      </c>
      <c r="G127" s="941"/>
      <c r="H127" s="941"/>
      <c r="I127" s="751">
        <f>$G$21*$H$8*'Traffic Data'!AK15*annualizationFactor</f>
        <v>5.3511920000000009E-4</v>
      </c>
      <c r="J127" s="751">
        <f>$G$21*$H$8*'Traffic Data'!AL15*annualizationFactor</f>
        <v>1.0167264800000002E-3</v>
      </c>
      <c r="K127" s="751">
        <f>$G$21*$H$8*'Traffic Data'!AM15*annualizationFactor</f>
        <v>1.4983337600000001E-3</v>
      </c>
      <c r="L127" s="751">
        <f>$G$21*$H$8*'Traffic Data'!AN15*annualizationFactor</f>
        <v>3.2593624000000006E-3</v>
      </c>
      <c r="M127" s="751">
        <f>$G$21*$H$8*'Traffic Data'!AO15*annualizationFactor</f>
        <v>5.0179586800000011E-3</v>
      </c>
      <c r="N127" s="751">
        <f>$G$21*$H$8*'Traffic Data'!AP15*annualizationFactor</f>
        <v>6.781419680000002E-3</v>
      </c>
      <c r="O127" s="751">
        <f>$G$21*$H$8*'Traffic Data'!AQ15*annualizationFactor</f>
        <v>8.5424483200000016E-3</v>
      </c>
      <c r="P127" s="751">
        <f>$G$21*$H$8*'Traffic Data'!AR15*annualizationFactor</f>
        <v>1.0303476960000002E-2</v>
      </c>
      <c r="Q127" s="751">
        <f>$G$21*$H$8*'Traffic Data'!AS15*annualizationFactor</f>
        <v>1.3365818200000002E-2</v>
      </c>
      <c r="R127" s="751">
        <f>$G$21*$H$8*'Traffic Data'!AT15*annualizationFactor</f>
        <v>1.6425727080000001E-2</v>
      </c>
      <c r="S127" s="751">
        <f>$G$21*$H$8*'Traffic Data'!AU15*annualizationFactor</f>
        <v>1.9485635960000004E-2</v>
      </c>
      <c r="T127" s="751">
        <f>$G$21*$H$8*'Traffic Data'!AV15*annualizationFactor</f>
        <v>2.2547977200000006E-2</v>
      </c>
      <c r="U127" s="751">
        <f>$G$21*$H$8*'Traffic Data'!AW15*annualizationFactor</f>
        <v>2.5610318440000005E-2</v>
      </c>
      <c r="V127" s="751">
        <f>$G$21*$H$8*'Traffic Data'!AX15*annualizationFactor</f>
        <v>2.7393238319999999E-2</v>
      </c>
      <c r="W127" s="751">
        <f>$G$21*$H$8*'Traffic Data'!AY15*annualizationFactor</f>
        <v>2.7872413240000005E-2</v>
      </c>
      <c r="X127" s="751">
        <f>$G$21*$H$8*'Traffic Data'!AZ15*annualizationFactor</f>
        <v>2.8354020520000005E-2</v>
      </c>
      <c r="Y127" s="751">
        <f>$G$21*$H$8*'Traffic Data'!BA15*annualizationFactor</f>
        <v>2.8835627800000003E-2</v>
      </c>
      <c r="Z127" s="751">
        <f>$G$21*$H$8*'Traffic Data'!BB15*annualizationFactor</f>
        <v>2.9317235080000004E-2</v>
      </c>
      <c r="AA127" s="751">
        <f>$G$21*$H$8*'Traffic Data'!BC15*annualizationFactor</f>
        <v>2.9798842360000004E-2</v>
      </c>
      <c r="AB127" s="751">
        <f>$G$21*$H$8*'Traffic Data'!BD15*annualizationFactor</f>
        <v>3.0280449640000005E-2</v>
      </c>
      <c r="AC127" s="751">
        <f>$G$21*$H$8*'Traffic Data'!BE15*annualizationFactor</f>
        <v>3.0762056920000003E-2</v>
      </c>
      <c r="AD127" s="751">
        <f>$G$21*$H$8*'Traffic Data'!BF15*annualizationFactor</f>
        <v>3.1243664200000004E-2</v>
      </c>
      <c r="AE127" s="751">
        <f>$G$21*$H$8*'Traffic Data'!BG15*annualizationFactor</f>
        <v>3.1722839120000006E-2</v>
      </c>
      <c r="AF127" s="751">
        <f>$G$21*$H$8*'Traffic Data'!BH15*annualizationFactor</f>
        <v>3.2204446400000003E-2</v>
      </c>
      <c r="AG127" s="751">
        <f>$G$21*$H$8*'Traffic Data'!BI15*annualizationFactor</f>
        <v>3.2686053680000007E-2</v>
      </c>
      <c r="AH127" s="752">
        <f>$G$21*$H$8*'Traffic Data'!BJ15*annualizationFactor</f>
        <v>3.3167660960000005E-2</v>
      </c>
      <c r="AI127" s="40"/>
      <c r="AJ127" s="40"/>
      <c r="AK127" s="40"/>
      <c r="AL127" s="40"/>
      <c r="AM127" s="40"/>
    </row>
    <row r="128" spans="2:39" ht="21.9" customHeight="1" x14ac:dyDescent="0.25">
      <c r="B128" s="1332"/>
      <c r="C128" s="114" t="s">
        <v>282</v>
      </c>
      <c r="D128" s="114" t="s">
        <v>321</v>
      </c>
      <c r="E128" s="114" t="s">
        <v>19</v>
      </c>
      <c r="F128" s="114" t="s">
        <v>41</v>
      </c>
      <c r="G128" s="941"/>
      <c r="H128" s="941"/>
      <c r="I128" s="751">
        <f>$G$21*$H$8*'Traffic Data'!AK16*annualizationFactor</f>
        <v>1.9024530000000003E-3</v>
      </c>
      <c r="J128" s="751">
        <f>$G$21*$H$8*'Traffic Data'!AL16*annualizationFactor</f>
        <v>3.6138363036999997E-3</v>
      </c>
      <c r="K128" s="751">
        <f>$G$21*$H$8*'Traffic Data'!AM16*annualizationFactor</f>
        <v>5.324648871500001E-3</v>
      </c>
      <c r="L128" s="751">
        <f>$G$21*$H$8*'Traffic Data'!AN16*annualizationFactor</f>
        <v>1.15835289962E-2</v>
      </c>
      <c r="M128" s="751">
        <f>$G$21*$H$8*'Traffic Data'!AO16*annualizationFactor</f>
        <v>1.7842662781300003E-2</v>
      </c>
      <c r="N128" s="751">
        <f>$G$21*$H$8*'Traffic Data'!AP16*annualizationFactor</f>
        <v>2.4109786869000002E-2</v>
      </c>
      <c r="O128" s="751">
        <f>$G$21*$H$8*'Traffic Data'!AQ16*annualizationFactor</f>
        <v>3.0368666993699996E-2</v>
      </c>
      <c r="P128" s="751">
        <f>$G$21*$H$8*'Traffic Data'!AR16*annualizationFactor</f>
        <v>3.6631352024400002E-2</v>
      </c>
      <c r="Q128" s="751">
        <f>$G$21*$H$8*'Traffic Data'!AS16*annualizationFactor</f>
        <v>4.7515095392100005E-2</v>
      </c>
      <c r="R128" s="751">
        <f>$G$21*$H$8*'Traffic Data'!AT16*annualizationFactor</f>
        <v>5.8394399702800012E-2</v>
      </c>
      <c r="S128" s="751">
        <f>$G$21*$H$8*'Traffic Data'!AU16*annualizationFactor</f>
        <v>6.9277318674199992E-2</v>
      </c>
      <c r="T128" s="751">
        <f>$G$21*$H$8*'Traffic Data'!AV16*annualizationFactor</f>
        <v>8.0161062041900003E-2</v>
      </c>
      <c r="U128" s="751">
        <f>$G$21*$H$8*'Traffic Data'!AW16*annualizationFactor</f>
        <v>9.1052732297099981E-2</v>
      </c>
      <c r="V128" s="751">
        <f>$G$21*$H$8*'Traffic Data'!AX16*annualizationFactor</f>
        <v>9.7384032465999998E-2</v>
      </c>
      <c r="W128" s="751">
        <f>$G$21*$H$8*'Traffic Data'!AY16*annualizationFactor</f>
        <v>9.9095415769700004E-2</v>
      </c>
      <c r="X128" s="751">
        <f>$G$21*$H$8*'Traffic Data'!AZ16*annualizationFactor</f>
        <v>0.1008067990734</v>
      </c>
      <c r="Y128" s="751">
        <f>$G$21*$H$8*'Traffic Data'!BA16*annualizationFactor</f>
        <v>0.10251818237709999</v>
      </c>
      <c r="Z128" s="751">
        <f>$G$21*$H$8*'Traffic Data'!BB16*annualizationFactor</f>
        <v>0.10422899494489998</v>
      </c>
      <c r="AA128" s="751">
        <f>$G$21*$H$8*'Traffic Data'!BC16*annualizationFactor</f>
        <v>0.10594037824860002</v>
      </c>
      <c r="AB128" s="751">
        <f>$G$21*$H$8*'Traffic Data'!BD16*annualizationFactor</f>
        <v>0.1076511908164</v>
      </c>
      <c r="AC128" s="751">
        <f>$G$21*$H$8*'Traffic Data'!BE16*annualizationFactor</f>
        <v>0.10936257412009999</v>
      </c>
      <c r="AD128" s="751">
        <f>$G$21*$H$8*'Traffic Data'!BF16*annualizationFactor</f>
        <v>0.1110739574238</v>
      </c>
      <c r="AE128" s="751">
        <f>$G$21*$H$8*'Traffic Data'!BG16*annualizationFactor</f>
        <v>0.1127847699916</v>
      </c>
      <c r="AF128" s="751">
        <f>$G$21*$H$8*'Traffic Data'!BH16*annualizationFactor</f>
        <v>0.11449615329530001</v>
      </c>
      <c r="AG128" s="751">
        <f>$G$21*$H$8*'Traffic Data'!BI16*annualizationFactor</f>
        <v>0.11620753659900002</v>
      </c>
      <c r="AH128" s="752">
        <f>$G$21*$H$8*'Traffic Data'!BJ16*annualizationFactor</f>
        <v>0.1179183491668</v>
      </c>
      <c r="AI128" s="40"/>
      <c r="AJ128" s="40"/>
      <c r="AK128" s="40"/>
      <c r="AL128" s="40"/>
      <c r="AM128" s="40"/>
    </row>
    <row r="129" spans="2:39" ht="21.9" customHeight="1" x14ac:dyDescent="0.25">
      <c r="B129" s="1332"/>
      <c r="C129" s="250" t="s">
        <v>321</v>
      </c>
      <c r="D129" s="250" t="s">
        <v>274</v>
      </c>
      <c r="E129" s="114" t="s">
        <v>19</v>
      </c>
      <c r="F129" s="114" t="s">
        <v>41</v>
      </c>
      <c r="G129" s="941"/>
      <c r="H129" s="941"/>
      <c r="I129" s="751">
        <f>$G$21*$H$8*'Traffic Data'!AK17*annualizationFactor</f>
        <v>2.7364050000000003E-3</v>
      </c>
      <c r="J129" s="751">
        <f>$G$21*$H$8*'Traffic Data'!AL17*annualizationFactor</f>
        <v>5.1979837245000006E-3</v>
      </c>
      <c r="K129" s="751">
        <f>$G$21*$H$8*'Traffic Data'!AM17*annualizationFactor</f>
        <v>7.6587415275000022E-3</v>
      </c>
      <c r="L129" s="751">
        <f>$G$21*$H$8*'Traffic Data'!AN17*annualizationFactor</f>
        <v>1.6661240337000002E-2</v>
      </c>
      <c r="M129" s="751">
        <f>$G$21*$H$8*'Traffic Data'!AO17*annualizationFactor</f>
        <v>2.5664104000500003E-2</v>
      </c>
      <c r="N129" s="751">
        <f>$G$21*$H$8*'Traffic Data'!AP17*annualizationFactor</f>
        <v>3.4678460565000013E-2</v>
      </c>
      <c r="O129" s="751">
        <f>$G$21*$H$8*'Traffic Data'!AQ17*annualizationFactor</f>
        <v>4.3680959374500006E-2</v>
      </c>
      <c r="P129" s="751">
        <f>$G$21*$H$8*'Traffic Data'!AR17*annualizationFactor</f>
        <v>5.2688930994000009E-2</v>
      </c>
      <c r="Q129" s="751">
        <f>$G$21*$H$8*'Traffic Data'!AS17*annualizationFactor</f>
        <v>6.8343630358500024E-2</v>
      </c>
      <c r="R129" s="751">
        <f>$G$21*$H$8*'Traffic Data'!AT17*annualizationFactor</f>
        <v>8.3991944778000011E-2</v>
      </c>
      <c r="S129" s="751">
        <f>$G$21*$H$8*'Traffic Data'!AU17*annualizationFactor</f>
        <v>9.9645458366999992E-2</v>
      </c>
      <c r="T129" s="751">
        <f>$G$21*$H$8*'Traffic Data'!AV17*annualizationFactor</f>
        <v>0.1153001577315</v>
      </c>
      <c r="U129" s="751">
        <f>$G$21*$H$8*'Traffic Data'!AW17*annualizationFactor</f>
        <v>0.13096625878350002</v>
      </c>
      <c r="V129" s="751">
        <f>$G$21*$H$8*'Traffic Data'!AX17*annualizationFactor</f>
        <v>0.14007292340999999</v>
      </c>
      <c r="W129" s="751">
        <f>$G$21*$H$8*'Traffic Data'!AY17*annualizationFactor</f>
        <v>0.1425345021345</v>
      </c>
      <c r="X129" s="751">
        <f>$G$21*$H$8*'Traffic Data'!AZ17*annualizationFactor</f>
        <v>0.14499608085900001</v>
      </c>
      <c r="Y129" s="751">
        <f>$G$21*$H$8*'Traffic Data'!BA17*annualizationFactor</f>
        <v>0.14745765958350002</v>
      </c>
      <c r="Z129" s="751">
        <f>$G$21*$H$8*'Traffic Data'!BB17*annualizationFactor</f>
        <v>0.1499184173865</v>
      </c>
      <c r="AA129" s="751">
        <f>$G$21*$H$8*'Traffic Data'!BC17*annualizationFactor</f>
        <v>0.15237999611100003</v>
      </c>
      <c r="AB129" s="751">
        <f>$G$21*$H$8*'Traffic Data'!BD17*annualizationFactor</f>
        <v>0.15484075391400001</v>
      </c>
      <c r="AC129" s="751">
        <f>$G$21*$H$8*'Traffic Data'!BE17*annualizationFactor</f>
        <v>0.15730233263849999</v>
      </c>
      <c r="AD129" s="751">
        <f>$G$21*$H$8*'Traffic Data'!BF17*annualizationFactor</f>
        <v>0.159763911363</v>
      </c>
      <c r="AE129" s="751">
        <f>$G$21*$H$8*'Traffic Data'!BG17*annualizationFactor</f>
        <v>0.16222466916600004</v>
      </c>
      <c r="AF129" s="751">
        <f>$G$21*$H$8*'Traffic Data'!BH17*annualizationFactor</f>
        <v>0.16468624789050004</v>
      </c>
      <c r="AG129" s="751">
        <f>$G$21*$H$8*'Traffic Data'!BI17*annualizationFactor</f>
        <v>0.16714782661500005</v>
      </c>
      <c r="AH129" s="752">
        <f>$G$21*$H$8*'Traffic Data'!BJ17*annualizationFactor</f>
        <v>0.16960858441800003</v>
      </c>
      <c r="AI129" s="40"/>
      <c r="AJ129" s="40"/>
      <c r="AK129" s="40"/>
      <c r="AL129" s="40"/>
      <c r="AM129" s="40"/>
    </row>
    <row r="130" spans="2:39" ht="21.9" customHeight="1" x14ac:dyDescent="0.25">
      <c r="B130" s="469" t="s">
        <v>282</v>
      </c>
      <c r="C130" s="114" t="s">
        <v>308</v>
      </c>
      <c r="D130" s="114" t="s">
        <v>324</v>
      </c>
      <c r="E130" s="114" t="s">
        <v>19</v>
      </c>
      <c r="F130" s="114" t="s">
        <v>41</v>
      </c>
      <c r="G130" s="941"/>
      <c r="H130" s="941"/>
      <c r="I130" s="751">
        <f>$G$21*$J$8*'Traffic Data'!AK18*annualizationFactor</f>
        <v>1.56366E-2</v>
      </c>
      <c r="J130" s="751">
        <f>$G$21*$J$8*'Traffic Data'!AL18*annualizationFactor</f>
        <v>1.6222798760000001E-2</v>
      </c>
      <c r="K130" s="751">
        <f>$G$21*$J$8*'Traffic Data'!AM18*annualizationFactor</f>
        <v>1.7119470900000003E-2</v>
      </c>
      <c r="L130" s="751">
        <f>$G$21*$J$8*'Traffic Data'!AN18*annualizationFactor</f>
        <v>1.9968372550000005E-2</v>
      </c>
      <c r="M130" s="751">
        <f>$G$21*$J$8*'Traffic Data'!AO18*annualizationFactor</f>
        <v>2.2817708550000003E-2</v>
      </c>
      <c r="N130" s="751">
        <f>$G$21*$J$8*'Traffic Data'!AP18*annualizationFactor</f>
        <v>2.5670084999999999E-2</v>
      </c>
      <c r="O130" s="751">
        <f>$G$21*$J$8*'Traffic Data'!AQ18*annualizationFactor</f>
        <v>2.8518986649999998E-2</v>
      </c>
      <c r="P130" s="751">
        <f>$G$21*$J$8*'Traffic Data'!AR18*annualizationFactor</f>
        <v>3.1370668140000002E-2</v>
      </c>
      <c r="Q130" s="751">
        <f>$G$21*$J$8*'Traffic Data'!AS18*annualizationFactor</f>
        <v>3.5128056250000005E-2</v>
      </c>
      <c r="R130" s="751">
        <f>$G$21*$J$8*'Traffic Data'!AT18*annualizationFactor</f>
        <v>3.8884488790000005E-2</v>
      </c>
      <c r="S130" s="751">
        <f>$G$21*$J$8*'Traffic Data'!AU18*annualizationFactor</f>
        <v>4.2642311250000002E-2</v>
      </c>
      <c r="T130" s="751">
        <f>$G$21*$J$8*'Traffic Data'!AV18*annualizationFactor</f>
        <v>4.6399699360000012E-2</v>
      </c>
      <c r="U130" s="751">
        <f>$G$21*$J$8*'Traffic Data'!AW18*annualizationFactor</f>
        <v>5.0161344100000005E-2</v>
      </c>
      <c r="V130" s="751">
        <f>$G$21*$J$8*'Traffic Data'!AX18*annualizationFactor</f>
        <v>5.1964591559999995E-2</v>
      </c>
      <c r="W130" s="751">
        <f>$G$21*$J$8*'Traffic Data'!AY18*annualizationFactor</f>
        <v>5.2550790319999999E-2</v>
      </c>
      <c r="X130" s="751">
        <f>$G$21*$J$8*'Traffic Data'!AZ18*annualizationFactor</f>
        <v>5.3136989079999995E-2</v>
      </c>
      <c r="Y130" s="751">
        <f>$G$21*$J$8*'Traffic Data'!BA18*annualizationFactor</f>
        <v>5.3723187839999999E-2</v>
      </c>
      <c r="Z130" s="751">
        <f>$G$21*$J$8*'Traffic Data'!BB18*annualizationFactor</f>
        <v>5.4309994690000002E-2</v>
      </c>
      <c r="AA130" s="751">
        <f>$G$21*$J$8*'Traffic Data'!BC18*annualizationFactor</f>
        <v>5.4896193449999985E-2</v>
      </c>
      <c r="AB130" s="751">
        <f>$G$21*$J$8*'Traffic Data'!BD18*annualizationFactor</f>
        <v>5.5483000300000009E-2</v>
      </c>
      <c r="AC130" s="751">
        <f>$G$21*$J$8*'Traffic Data'!BE18*annualizationFactor</f>
        <v>5.6069199060000012E-2</v>
      </c>
      <c r="AD130" s="751">
        <f>$G$21*$J$8*'Traffic Data'!BF18*annualizationFactor</f>
        <v>5.6655397820000002E-2</v>
      </c>
      <c r="AE130" s="751">
        <f>$G$21*$J$8*'Traffic Data'!BG18*annualizationFactor</f>
        <v>5.7242204669999998E-2</v>
      </c>
      <c r="AF130" s="751">
        <f>$G$21*$J$8*'Traffic Data'!BH18*annualizationFactor</f>
        <v>5.7828403430000015E-2</v>
      </c>
      <c r="AG130" s="751">
        <f>$G$21*$J$8*'Traffic Data'!BI18*annualizationFactor</f>
        <v>5.8414602189999998E-2</v>
      </c>
      <c r="AH130" s="752">
        <f>$G$21*$J$8*'Traffic Data'!BJ18*annualizationFactor</f>
        <v>5.9001409040000008E-2</v>
      </c>
      <c r="AI130" s="40"/>
      <c r="AJ130" s="40"/>
      <c r="AK130" s="40"/>
      <c r="AL130" s="40"/>
      <c r="AM130" s="40"/>
    </row>
    <row r="131" spans="2:39" ht="21.9" customHeight="1" x14ac:dyDescent="0.25">
      <c r="B131" s="756" t="s">
        <v>321</v>
      </c>
      <c r="C131" s="273" t="s">
        <v>318</v>
      </c>
      <c r="D131" s="273" t="s">
        <v>308</v>
      </c>
      <c r="E131" s="273" t="s">
        <v>19</v>
      </c>
      <c r="F131" s="273" t="s">
        <v>41</v>
      </c>
      <c r="G131" s="754"/>
      <c r="H131" s="754"/>
      <c r="I131" s="754">
        <f>$G$21*$K$8*'Traffic Data'!AK19*annualizationFactor</f>
        <v>0</v>
      </c>
      <c r="J131" s="754">
        <f>$G$21*$K$8*'Traffic Data'!AL19*annualizationFactor</f>
        <v>0</v>
      </c>
      <c r="K131" s="754">
        <f>$G$21*$K$8*'Traffic Data'!AM19*annualizationFactor</f>
        <v>0</v>
      </c>
      <c r="L131" s="754">
        <f>$G$21*$K$8*'Traffic Data'!AN19*annualizationFactor</f>
        <v>0</v>
      </c>
      <c r="M131" s="754">
        <f>$G$21*$K$8*'Traffic Data'!AO19*annualizationFactor</f>
        <v>0</v>
      </c>
      <c r="N131" s="754">
        <f>$G$21*$K$8*'Traffic Data'!AP19*annualizationFactor</f>
        <v>0</v>
      </c>
      <c r="O131" s="754">
        <f>$G$21*$K$8*'Traffic Data'!AQ19*annualizationFactor</f>
        <v>0</v>
      </c>
      <c r="P131" s="754">
        <f>$G$21*$K$8*'Traffic Data'!AR19*annualizationFactor</f>
        <v>0</v>
      </c>
      <c r="Q131" s="754">
        <f>$G$21*$K$8*'Traffic Data'!AS19*annualizationFactor</f>
        <v>0</v>
      </c>
      <c r="R131" s="754">
        <f>$G$21*$K$8*'Traffic Data'!AT19*annualizationFactor</f>
        <v>0</v>
      </c>
      <c r="S131" s="754">
        <f>$G$21*$K$8*'Traffic Data'!AU19*annualizationFactor</f>
        <v>0</v>
      </c>
      <c r="T131" s="754">
        <f>$G$21*$K$8*'Traffic Data'!AV19*annualizationFactor</f>
        <v>0</v>
      </c>
      <c r="U131" s="754">
        <f>$G$21*$K$8*'Traffic Data'!AW19*annualizationFactor</f>
        <v>0</v>
      </c>
      <c r="V131" s="754">
        <f>$G$21*$K$8*'Traffic Data'!AX19*annualizationFactor</f>
        <v>0</v>
      </c>
      <c r="W131" s="754">
        <f>$G$21*$K$8*'Traffic Data'!AY19*annualizationFactor</f>
        <v>0</v>
      </c>
      <c r="X131" s="754">
        <f>$G$21*$K$8*'Traffic Data'!AZ19*annualizationFactor</f>
        <v>0</v>
      </c>
      <c r="Y131" s="754">
        <f>$G$21*$K$8*'Traffic Data'!BA19*annualizationFactor</f>
        <v>0</v>
      </c>
      <c r="Z131" s="754">
        <f>$G$21*$K$8*'Traffic Data'!BB19*annualizationFactor</f>
        <v>0</v>
      </c>
      <c r="AA131" s="754">
        <f>$G$21*$K$8*'Traffic Data'!BC19*annualizationFactor</f>
        <v>0</v>
      </c>
      <c r="AB131" s="754">
        <f>$G$21*$K$8*'Traffic Data'!BD19*annualizationFactor</f>
        <v>0</v>
      </c>
      <c r="AC131" s="754">
        <f>$G$21*$K$8*'Traffic Data'!BE19*annualizationFactor</f>
        <v>0</v>
      </c>
      <c r="AD131" s="754">
        <f>$G$21*$K$8*'Traffic Data'!BF19*annualizationFactor</f>
        <v>0</v>
      </c>
      <c r="AE131" s="754">
        <f>$G$21*$K$8*'Traffic Data'!BG19*annualizationFactor</f>
        <v>0</v>
      </c>
      <c r="AF131" s="754">
        <f>$G$21*$K$8*'Traffic Data'!BH19*annualizationFactor</f>
        <v>0</v>
      </c>
      <c r="AG131" s="754">
        <f>$G$21*$K$8*'Traffic Data'!BI19*annualizationFactor</f>
        <v>0</v>
      </c>
      <c r="AH131" s="755">
        <f>$G$21*$K$8*'Traffic Data'!BJ19*annualizationFactor</f>
        <v>0</v>
      </c>
      <c r="AI131" s="40"/>
      <c r="AJ131" s="40"/>
      <c r="AK131" s="40"/>
      <c r="AL131" s="40"/>
      <c r="AM131" s="40"/>
    </row>
    <row r="132" spans="2:39" ht="21.9" customHeight="1" x14ac:dyDescent="0.25">
      <c r="B132" s="756" t="s">
        <v>333</v>
      </c>
      <c r="C132" s="273" t="s">
        <v>319</v>
      </c>
      <c r="D132" s="273" t="s">
        <v>308</v>
      </c>
      <c r="E132" s="114" t="s">
        <v>19</v>
      </c>
      <c r="F132" s="114" t="s">
        <v>41</v>
      </c>
      <c r="G132" s="941"/>
      <c r="H132" s="941"/>
      <c r="I132" s="751">
        <f>$G$21*$L$8*'Traffic Data'!AK20*annualizationFactor</f>
        <v>2.8998785454545456E-2</v>
      </c>
      <c r="J132" s="751">
        <f>$G$21*$L$8*'Traffic Data'!AL20*annualizationFactor</f>
        <v>2.9446977794181817E-2</v>
      </c>
      <c r="K132" s="751">
        <f>$G$21*$L$8*'Traffic Data'!AM20*annualizationFactor</f>
        <v>3.0183385840363636E-2</v>
      </c>
      <c r="L132" s="751">
        <f>$G$21*$L$8*'Traffic Data'!AN20*annualizationFactor</f>
        <v>3.2686222681636373E-2</v>
      </c>
      <c r="M132" s="751">
        <f>$G$21*$L$8*'Traffic Data'!AO20*annualizationFactor</f>
        <v>3.5189381731636368E-2</v>
      </c>
      <c r="N132" s="751">
        <f>$G$21*$L$8*'Traffic Data'!AP20*annualizationFactor</f>
        <v>3.7695440660181809E-2</v>
      </c>
      <c r="O132" s="751">
        <f>$G$21*$L$8*'Traffic Data'!AQ20*annualizationFactor</f>
        <v>4.0198277501454535E-2</v>
      </c>
      <c r="P132" s="751">
        <f>$G$21*$L$8*'Traffic Data'!AR20*annualizationFactor</f>
        <v>4.27039336690909E-2</v>
      </c>
      <c r="Q132" s="751">
        <f>$G$21*$L$8*'Traffic Data'!AS20*annualizationFactor</f>
        <v>4.567260377781817E-2</v>
      </c>
      <c r="R132" s="751">
        <f>$G$21*$L$8*'Traffic Data'!AT20*annualizationFactor</f>
        <v>4.8640629469090896E-2</v>
      </c>
      <c r="S132" s="751">
        <f>$G$21*$L$8*'Traffic Data'!AU20*annualizationFactor</f>
        <v>5.1610105099636351E-2</v>
      </c>
      <c r="T132" s="751">
        <f>$G$21*$L$8*'Traffic Data'!AV20*annualizationFactor</f>
        <v>5.4578775208363635E-2</v>
      </c>
      <c r="U132" s="751">
        <f>$G$21*$L$8*'Traffic Data'!AW20*annualizationFactor</f>
        <v>5.7551634030545452E-2</v>
      </c>
      <c r="V132" s="751">
        <f>$G$21*$L$8*'Traffic Data'!AX20*annualizationFactor</f>
        <v>5.8752183748363628E-2</v>
      </c>
      <c r="W132" s="751">
        <f>$G$21*$L$8*'Traffic Data'!AY20*annualizationFactor</f>
        <v>5.9200376087999995E-2</v>
      </c>
      <c r="X132" s="751">
        <f>$G$21*$L$8*'Traffic Data'!AZ20*annualizationFactor</f>
        <v>5.964856842763637E-2</v>
      </c>
      <c r="Y132" s="751">
        <f>$G$21*$L$8*'Traffic Data'!BA20*annualizationFactor</f>
        <v>6.0096760767272731E-2</v>
      </c>
      <c r="Z132" s="751">
        <f>$G$21*$L$8*'Traffic Data'!BB20*annualizationFactor</f>
        <v>6.054583918090909E-2</v>
      </c>
      <c r="AA132" s="751">
        <f>$G$21*$L$8*'Traffic Data'!BC20*annualizationFactor</f>
        <v>6.0994031520545451E-2</v>
      </c>
      <c r="AB132" s="751">
        <f>$G$21*$L$8*'Traffic Data'!BD20*annualizationFactor</f>
        <v>6.1443109934181825E-2</v>
      </c>
      <c r="AC132" s="751">
        <f>$G$21*$L$8*'Traffic Data'!BE20*annualizationFactor</f>
        <v>6.1891302273818179E-2</v>
      </c>
      <c r="AD132" s="751">
        <f>$G$21*$L$8*'Traffic Data'!BF20*annualizationFactor</f>
        <v>6.2339494613454553E-2</v>
      </c>
      <c r="AE132" s="751">
        <f>$G$21*$L$8*'Traffic Data'!BG20*annualizationFactor</f>
        <v>6.2788573027090913E-2</v>
      </c>
      <c r="AF132" s="751">
        <f>$G$21*$L$8*'Traffic Data'!BH20*annualizationFactor</f>
        <v>6.3236765366727288E-2</v>
      </c>
      <c r="AG132" s="751">
        <f>$G$21*$L$8*'Traffic Data'!BI20*annualizationFactor</f>
        <v>6.3684957706363648E-2</v>
      </c>
      <c r="AH132" s="752">
        <f>$G$21*$L$8*'Traffic Data'!BJ20*annualizationFactor</f>
        <v>6.4134036120000001E-2</v>
      </c>
      <c r="AI132" s="40"/>
      <c r="AJ132" s="40"/>
      <c r="AK132" s="40"/>
      <c r="AL132" s="40"/>
      <c r="AM132" s="40"/>
    </row>
    <row r="133" spans="2:39" ht="21.9" customHeight="1" x14ac:dyDescent="0.25">
      <c r="B133" s="469" t="s">
        <v>319</v>
      </c>
      <c r="C133" s="114" t="s">
        <v>276</v>
      </c>
      <c r="D133" s="114" t="s">
        <v>333</v>
      </c>
      <c r="E133" s="217" t="s">
        <v>19</v>
      </c>
      <c r="F133" s="217" t="s">
        <v>41</v>
      </c>
      <c r="G133" s="749"/>
      <c r="H133" s="749"/>
      <c r="I133" s="749">
        <f>$G$21*$M$8*'Traffic Data'!AK21*annualizationFactor</f>
        <v>0.1041452840909091</v>
      </c>
      <c r="J133" s="749">
        <f>$G$21*$M$8*'Traffic Data'!AL21*annualizationFactor</f>
        <v>0.10801792647982958</v>
      </c>
      <c r="K133" s="749">
        <f>$G$21*$M$8*'Traffic Data'!AM21*annualizationFactor</f>
        <v>0.11214030926</v>
      </c>
      <c r="L133" s="749">
        <f>$G$21*$M$8*'Traffic Data'!AN21*annualizationFactor</f>
        <v>0.12128561909187502</v>
      </c>
      <c r="M133" s="749">
        <f>$G$21*$M$8*'Traffic Data'!AO21*annualizationFactor</f>
        <v>0.13043322012000003</v>
      </c>
      <c r="N133" s="749">
        <f>$G$21*$M$8*'Traffic Data'!AP21*annualizationFactor</f>
        <v>0.13958582012176141</v>
      </c>
      <c r="O133" s="749">
        <f>$G$21*$M$8*'Traffic Data'!AQ21*annualizationFactor</f>
        <v>0.14873112995363647</v>
      </c>
      <c r="P133" s="749">
        <f>$G$21*$M$8*'Traffic Data'!AR21*annualizationFactor</f>
        <v>0.1578844589723864</v>
      </c>
      <c r="Q133" s="749">
        <f>$G$21*$M$8*'Traffic Data'!AS21*annualizationFactor</f>
        <v>0.17019026574056814</v>
      </c>
      <c r="R133" s="749">
        <f>$G$21*$M$8*'Traffic Data'!AT21*annualizationFactor</f>
        <v>0.18249659323517048</v>
      </c>
      <c r="S133" s="749">
        <f>$G$21*$M$8*'Traffic Data'!AU21*annualizationFactor</f>
        <v>0.19480240000335225</v>
      </c>
      <c r="T133" s="749">
        <f>$G$21*$M$8*'Traffic Data'!AV21*annualizationFactor</f>
        <v>0.2071082067715341</v>
      </c>
      <c r="U133" s="749">
        <f>$G$21*$M$8*'Traffic Data'!AW21*annualizationFactor</f>
        <v>0.21942546952096595</v>
      </c>
      <c r="V133" s="749">
        <f>$G$21*$M$8*'Traffic Data'!AX21*annualizationFactor</f>
        <v>0.22670262124681817</v>
      </c>
      <c r="W133" s="749">
        <f>$G$21*$M$8*'Traffic Data'!AY21*annualizationFactor</f>
        <v>0.23057526363573866</v>
      </c>
      <c r="X133" s="749">
        <f>$G$21*$M$8*'Traffic Data'!AZ21*annualizationFactor</f>
        <v>0.23444790602465909</v>
      </c>
      <c r="Y133" s="749">
        <f>$G$21*$M$8*'Traffic Data'!BA21*annualizationFactor</f>
        <v>0.23832054841357955</v>
      </c>
      <c r="Z133" s="749">
        <f>$G$21*$M$8*'Traffic Data'!BB21*annualizationFactor</f>
        <v>0.24219527370818178</v>
      </c>
      <c r="AA133" s="749">
        <f>$G$21*$M$8*'Traffic Data'!BC21*annualizationFactor</f>
        <v>0.24606791609710224</v>
      </c>
      <c r="AB133" s="749">
        <f>$G$21*$M$8*'Traffic Data'!BD21*annualizationFactor</f>
        <v>0.24994264139170452</v>
      </c>
      <c r="AC133" s="749">
        <f>$G$21*$M$8*'Traffic Data'!BE21*annualizationFactor</f>
        <v>0.25381528378062501</v>
      </c>
      <c r="AD133" s="749">
        <f>$G$21*$M$8*'Traffic Data'!BF21*annualizationFactor</f>
        <v>0.25768792616954544</v>
      </c>
      <c r="AE133" s="749">
        <f>$G$21*$M$8*'Traffic Data'!BG21*annualizationFactor</f>
        <v>0.26156265146414776</v>
      </c>
      <c r="AF133" s="749">
        <f>$G$21*$M$8*'Traffic Data'!BH21*annualizationFactor</f>
        <v>0.26543529385306819</v>
      </c>
      <c r="AG133" s="749">
        <f>$G$21*$M$8*'Traffic Data'!BI21*annualizationFactor</f>
        <v>0.26930793624198862</v>
      </c>
      <c r="AH133" s="750">
        <f>$G$21*$M$8*'Traffic Data'!BJ21*annualizationFactor</f>
        <v>0.27318266153659093</v>
      </c>
      <c r="AI133" s="40"/>
      <c r="AJ133" s="40"/>
      <c r="AK133" s="40"/>
      <c r="AL133" s="40"/>
      <c r="AM133" s="40"/>
    </row>
    <row r="134" spans="2:39" ht="21.9" customHeight="1" x14ac:dyDescent="0.25">
      <c r="B134" s="469"/>
      <c r="C134" s="114" t="s">
        <v>333</v>
      </c>
      <c r="D134" s="114" t="s">
        <v>323</v>
      </c>
      <c r="E134" s="114" t="s">
        <v>19</v>
      </c>
      <c r="F134" s="114" t="s">
        <v>41</v>
      </c>
      <c r="G134" s="941"/>
      <c r="H134" s="941"/>
      <c r="I134" s="751">
        <f>$G$21*$M$8*'Traffic Data'!AK22*annualizationFactor</f>
        <v>1.5167370378787879E-2</v>
      </c>
      <c r="J134" s="751">
        <f>$G$21*$M$8*'Traffic Data'!AL22*annualizationFactor</f>
        <v>1.5707109236543559E-2</v>
      </c>
      <c r="K134" s="751">
        <f>$G$21*$M$8*'Traffic Data'!AM22*annualizationFactor</f>
        <v>1.6294505568594696E-2</v>
      </c>
      <c r="L134" s="751">
        <f>$G$21*$M$8*'Traffic Data'!AN22*annualizationFactor</f>
        <v>1.7417549559812503E-2</v>
      </c>
      <c r="M134" s="751">
        <f>$G$21*$M$8*'Traffic Data'!AO22*annualizationFactor</f>
        <v>1.854103260648864E-2</v>
      </c>
      <c r="N134" s="751">
        <f>$G$21*$M$8*'Traffic Data'!AP22*annualizationFactor</f>
        <v>1.9664675309695078E-2</v>
      </c>
      <c r="O134" s="751">
        <f>$G$21*$M$8*'Traffic Data'!AQ22*annualizationFactor</f>
        <v>2.0787719300912878E-2</v>
      </c>
      <c r="P134" s="751">
        <f>$G$21*$M$8*'Traffic Data'!AR22*annualizationFactor</f>
        <v>2.1911701274246211E-2</v>
      </c>
      <c r="Q134" s="751">
        <f>$G$21*$M$8*'Traffic Data'!AS22*annualizationFactor</f>
        <v>2.3453783786310602E-2</v>
      </c>
      <c r="R134" s="751">
        <f>$G$21*$M$8*'Traffic Data'!AT22*annualizationFactor</f>
        <v>2.4996165654369313E-2</v>
      </c>
      <c r="S134" s="751">
        <f>$G$21*$M$8*'Traffic Data'!AU22*annualizationFactor</f>
        <v>2.6538048595770834E-2</v>
      </c>
      <c r="T134" s="751">
        <f>$G$21*$M$8*'Traffic Data'!AV22*annualizationFactor</f>
        <v>2.8080131107835232E-2</v>
      </c>
      <c r="U134" s="751">
        <f>$G$21*$M$8*'Traffic Data'!AW22*annualizationFactor</f>
        <v>2.9623411043876891E-2</v>
      </c>
      <c r="V134" s="751">
        <f>$G$21*$M$8*'Traffic Data'!AX22*annualizationFactor</f>
        <v>3.0629147399454545E-2</v>
      </c>
      <c r="W134" s="751">
        <f>$G$21*$M$8*'Traffic Data'!AY22*annualizationFactor</f>
        <v>3.1168886257210225E-2</v>
      </c>
      <c r="X134" s="751">
        <f>$G$21*$M$8*'Traffic Data'!AZ22*annualizationFactor</f>
        <v>3.1708625114965909E-2</v>
      </c>
      <c r="Y134" s="751">
        <f>$G$21*$M$8*'Traffic Data'!BA22*annualizationFactor</f>
        <v>3.2248363972721593E-2</v>
      </c>
      <c r="Z134" s="751">
        <f>$G$21*$M$8*'Traffic Data'!BB22*annualizationFactor</f>
        <v>3.2788302401140154E-2</v>
      </c>
      <c r="AA134" s="751">
        <f>$G$21*$M$8*'Traffic Data'!BC22*annualizationFactor</f>
        <v>3.3328041258895824E-2</v>
      </c>
      <c r="AB134" s="751">
        <f>$G$21*$M$8*'Traffic Data'!BD22*annualizationFactor</f>
        <v>3.3867979687314399E-2</v>
      </c>
      <c r="AC134" s="751">
        <f>$G$21*$M$8*'Traffic Data'!BE22*annualizationFactor</f>
        <v>3.4407718545070069E-2</v>
      </c>
      <c r="AD134" s="751">
        <f>$G$21*$M$8*'Traffic Data'!BF22*annualizationFactor</f>
        <v>3.494745740282576E-2</v>
      </c>
      <c r="AE134" s="751">
        <f>$G$21*$M$8*'Traffic Data'!BG22*annualizationFactor</f>
        <v>3.5487395831244321E-2</v>
      </c>
      <c r="AF134" s="751">
        <f>$G$21*$M$8*'Traffic Data'!BH22*annualizationFactor</f>
        <v>3.6027134689000005E-2</v>
      </c>
      <c r="AG134" s="751">
        <f>$G$21*$M$8*'Traffic Data'!BI22*annualizationFactor</f>
        <v>3.6566873546755682E-2</v>
      </c>
      <c r="AH134" s="752">
        <f>$G$21*$M$8*'Traffic Data'!BJ22*annualizationFactor</f>
        <v>3.710681197517423E-2</v>
      </c>
      <c r="AI134" s="40"/>
      <c r="AJ134" s="40"/>
      <c r="AK134" s="40"/>
      <c r="AL134" s="40"/>
      <c r="AM134" s="40"/>
    </row>
    <row r="135" spans="2:39" ht="21.9" customHeight="1" x14ac:dyDescent="0.25">
      <c r="B135" s="469"/>
      <c r="C135" s="114" t="s">
        <v>323</v>
      </c>
      <c r="D135" s="114" t="s">
        <v>322</v>
      </c>
      <c r="E135" s="114" t="s">
        <v>19</v>
      </c>
      <c r="F135" s="114" t="s">
        <v>41</v>
      </c>
      <c r="G135" s="941"/>
      <c r="H135" s="941"/>
      <c r="I135" s="751">
        <f>$G$21*$M$8*'Traffic Data'!AK23*annualizationFactor</f>
        <v>3.7512045454545459E-3</v>
      </c>
      <c r="J135" s="751">
        <f>$G$21*$M$8*'Traffic Data'!AL23*annualizationFactor</f>
        <v>3.8846931335227274E-3</v>
      </c>
      <c r="K135" s="751">
        <f>$G$21*$M$8*'Traffic Data'!AM23*annualizationFactor</f>
        <v>4.0299684011363629E-3</v>
      </c>
      <c r="L135" s="751">
        <f>$G$21*$M$8*'Traffic Data'!AN23*annualizationFactor</f>
        <v>4.3077204187500009E-3</v>
      </c>
      <c r="M135" s="751">
        <f>$G$21*$M$8*'Traffic Data'!AO23*annualizationFactor</f>
        <v>4.5855810238636377E-3</v>
      </c>
      <c r="N135" s="751">
        <f>$G$21*$M$8*'Traffic Data'!AP23*annualizationFactor</f>
        <v>4.8634811153409089E-3</v>
      </c>
      <c r="O135" s="751">
        <f>$G$21*$M$8*'Traffic Data'!AQ23*annualizationFactor</f>
        <v>5.1412331329545461E-3</v>
      </c>
      <c r="P135" s="751">
        <f>$G$21*$M$8*'Traffic Data'!AR23*annualizationFactor</f>
        <v>5.4192171329545454E-3</v>
      </c>
      <c r="Q135" s="751">
        <f>$G$21*$M$8*'Traffic Data'!AS23*annualizationFactor</f>
        <v>5.8006060477272716E-3</v>
      </c>
      <c r="R135" s="751">
        <f>$G$21*$M$8*'Traffic Data'!AT23*annualizationFactor</f>
        <v>6.1820689994318166E-3</v>
      </c>
      <c r="S135" s="751">
        <f>$G$21*$M$8*'Traffic Data'!AU23*annualizationFactor</f>
        <v>6.5634085562499998E-3</v>
      </c>
      <c r="T135" s="751">
        <f>$G$21*$M$8*'Traffic Data'!AV23*annualizationFactor</f>
        <v>6.9447974710227277E-3</v>
      </c>
      <c r="U135" s="751">
        <f>$G$21*$M$8*'Traffic Data'!AW23*annualizationFactor</f>
        <v>7.3264825335227265E-3</v>
      </c>
      <c r="V135" s="751">
        <f>$G$21*$M$8*'Traffic Data'!AX23*annualizationFactor</f>
        <v>7.5752219454545454E-3</v>
      </c>
      <c r="W135" s="751">
        <f>$G$21*$M$8*'Traffic Data'!AY23*annualizationFactor</f>
        <v>7.7087105335227257E-3</v>
      </c>
      <c r="X135" s="751">
        <f>$G$21*$M$8*'Traffic Data'!AZ23*annualizationFactor</f>
        <v>7.8421991215909086E-3</v>
      </c>
      <c r="Y135" s="751">
        <f>$G$21*$M$8*'Traffic Data'!BA23*annualizationFactor</f>
        <v>7.9756877096590906E-3</v>
      </c>
      <c r="Z135" s="751">
        <f>$G$21*$M$8*'Traffic Data'!BB23*annualizationFactor</f>
        <v>8.1092256556818173E-3</v>
      </c>
      <c r="AA135" s="751">
        <f>$G$21*$M$8*'Traffic Data'!BC23*annualizationFactor</f>
        <v>8.2427142437499976E-3</v>
      </c>
      <c r="AB135" s="751">
        <f>$G$21*$M$8*'Traffic Data'!BD23*annualizationFactor</f>
        <v>8.3762521897727277E-3</v>
      </c>
      <c r="AC135" s="751">
        <f>$G$21*$M$8*'Traffic Data'!BE23*annualizationFactor</f>
        <v>8.5097407778409098E-3</v>
      </c>
      <c r="AD135" s="751">
        <f>$G$21*$M$8*'Traffic Data'!BF23*annualizationFactor</f>
        <v>8.6432293659090918E-3</v>
      </c>
      <c r="AE135" s="751">
        <f>$G$21*$M$8*'Traffic Data'!BG23*annualizationFactor</f>
        <v>8.7767673119318185E-3</v>
      </c>
      <c r="AF135" s="751">
        <f>$G$21*$M$8*'Traffic Data'!BH23*annualizationFactor</f>
        <v>8.9102559000000005E-3</v>
      </c>
      <c r="AG135" s="751">
        <f>$G$21*$M$8*'Traffic Data'!BI23*annualizationFactor</f>
        <v>9.0437444880681825E-3</v>
      </c>
      <c r="AH135" s="752">
        <f>$G$21*$M$8*'Traffic Data'!BJ23*annualizationFactor</f>
        <v>9.1772824340909075E-3</v>
      </c>
      <c r="AI135" s="40"/>
      <c r="AJ135" s="40"/>
      <c r="AK135" s="40"/>
      <c r="AL135" s="40"/>
      <c r="AM135" s="40"/>
    </row>
    <row r="136" spans="2:39" ht="21.9" customHeight="1" x14ac:dyDescent="0.25">
      <c r="B136" s="469"/>
      <c r="C136" s="114" t="s">
        <v>322</v>
      </c>
      <c r="D136" s="114" t="s">
        <v>326</v>
      </c>
      <c r="E136" s="114" t="s">
        <v>19</v>
      </c>
      <c r="F136" s="114" t="s">
        <v>41</v>
      </c>
      <c r="G136" s="941"/>
      <c r="H136" s="941"/>
      <c r="I136" s="751">
        <f>$G$21*$M$8*'Traffic Data'!AK24*annualizationFactor</f>
        <v>9.6248011363636379E-3</v>
      </c>
      <c r="J136" s="751">
        <f>$G$21*$M$8*'Traffic Data'!AL24*annualizationFactor</f>
        <v>9.9562632461647725E-3</v>
      </c>
      <c r="K136" s="751">
        <f>$G$21*$M$8*'Traffic Data'!AM24*annualizationFactor</f>
        <v>1.032606414715909E-2</v>
      </c>
      <c r="L136" s="751">
        <f>$G$21*$M$8*'Traffic Data'!AN24*annualizationFactor</f>
        <v>1.0972064758096593E-2</v>
      </c>
      <c r="M136" s="751">
        <f>$G$21*$M$8*'Traffic Data'!AO24*annualizationFactor</f>
        <v>1.1618450361079545E-2</v>
      </c>
      <c r="N136" s="751">
        <f>$G$21*$M$8*'Traffic Data'!AP24*annualizationFactor</f>
        <v>1.2264611385369323E-2</v>
      </c>
      <c r="O136" s="751">
        <f>$G$21*$M$8*'Traffic Data'!AQ24*annualizationFactor</f>
        <v>1.2910611996306819E-2</v>
      </c>
      <c r="P136" s="751">
        <f>$G$21*$M$8*'Traffic Data'!AR24*annualizationFactor</f>
        <v>1.3557270301988639E-2</v>
      </c>
      <c r="Q136" s="751">
        <f>$G$21*$M$8*'Traffic Data'!AS24*annualizationFactor</f>
        <v>1.4390104344318184E-2</v>
      </c>
      <c r="R136" s="751">
        <f>$G$21*$M$8*'Traffic Data'!AT24*annualizationFactor</f>
        <v>1.5223403585369322E-2</v>
      </c>
      <c r="S136" s="751">
        <f>$G$21*$M$8*'Traffic Data'!AU24*annualizationFactor</f>
        <v>1.6056077214346588E-2</v>
      </c>
      <c r="T136" s="751">
        <f>$G$21*$M$8*'Traffic Data'!AV24*annualizationFactor</f>
        <v>1.6888911256676138E-2</v>
      </c>
      <c r="U136" s="751">
        <f>$G$21*$M$8*'Traffic Data'!AW24*annualizationFactor</f>
        <v>1.772245111775568E-2</v>
      </c>
      <c r="V136" s="751">
        <f>$G$21*$M$8*'Traffic Data'!AX24*annualizationFactor</f>
        <v>1.8278652334090911E-2</v>
      </c>
      <c r="W136" s="751">
        <f>$G$21*$M$8*'Traffic Data'!AY24*annualizationFactor</f>
        <v>1.8610114443892052E-2</v>
      </c>
      <c r="X136" s="751">
        <f>$G$21*$M$8*'Traffic Data'!AZ24*annualizationFactor</f>
        <v>1.8941576553693183E-2</v>
      </c>
      <c r="Y136" s="751">
        <f>$G$21*$M$8*'Traffic Data'!BA24*annualizationFactor</f>
        <v>1.9273038663494328E-2</v>
      </c>
      <c r="Z136" s="751">
        <f>$G$21*$M$8*'Traffic Data'!BB24*annualizationFactor</f>
        <v>1.9604693269318192E-2</v>
      </c>
      <c r="AA136" s="751">
        <f>$G$21*$M$8*'Traffic Data'!BC24*annualizationFactor</f>
        <v>1.9936155379119323E-2</v>
      </c>
      <c r="AB136" s="751">
        <f>$G$21*$M$8*'Traffic Data'!BD24*annualizationFactor</f>
        <v>2.0267809984943177E-2</v>
      </c>
      <c r="AC136" s="751">
        <f>$G$21*$M$8*'Traffic Data'!BE24*annualizationFactor</f>
        <v>2.0599272094744322E-2</v>
      </c>
      <c r="AD136" s="751">
        <f>$G$21*$M$8*'Traffic Data'!BF24*annualizationFactor</f>
        <v>2.0930734204545453E-2</v>
      </c>
      <c r="AE136" s="751">
        <f>$G$21*$M$8*'Traffic Data'!BG24*annualizationFactor</f>
        <v>2.126238881036932E-2</v>
      </c>
      <c r="AF136" s="751">
        <f>$G$21*$M$8*'Traffic Data'!BH24*annualizationFactor</f>
        <v>2.1593850920170458E-2</v>
      </c>
      <c r="AG136" s="751">
        <f>$G$21*$M$8*'Traffic Data'!BI24*annualizationFactor</f>
        <v>2.1925313029971593E-2</v>
      </c>
      <c r="AH136" s="752">
        <f>$G$21*$M$8*'Traffic Data'!BJ24*annualizationFactor</f>
        <v>2.2256967635795457E-2</v>
      </c>
      <c r="AI136" s="40"/>
      <c r="AJ136" s="40"/>
      <c r="AK136" s="40"/>
      <c r="AL136" s="40"/>
      <c r="AM136" s="40"/>
    </row>
    <row r="137" spans="2:39" ht="21.9" customHeight="1" x14ac:dyDescent="0.25">
      <c r="B137" s="469"/>
      <c r="C137" s="114" t="s">
        <v>326</v>
      </c>
      <c r="D137" s="114" t="s">
        <v>274</v>
      </c>
      <c r="E137" s="114" t="s">
        <v>19</v>
      </c>
      <c r="F137" s="114" t="s">
        <v>41</v>
      </c>
      <c r="G137" s="941"/>
      <c r="H137" s="941"/>
      <c r="I137" s="751">
        <f>$G$21*$M$8*'Traffic Data'!AK25*annualizationFactor</f>
        <v>7.9910528409090908E-2</v>
      </c>
      <c r="J137" s="751">
        <f>$G$21*$M$8*'Traffic Data'!AL25*annualizationFactor</f>
        <v>8.2662513823286002E-2</v>
      </c>
      <c r="K137" s="751">
        <f>$G$21*$M$8*'Traffic Data'!AM25*annualizationFactor</f>
        <v>8.573280950897727E-2</v>
      </c>
      <c r="L137" s="751">
        <f>$G$21*$M$8*'Traffic Data'!AN25*annualizationFactor</f>
        <v>9.1096270991581449E-2</v>
      </c>
      <c r="M137" s="751">
        <f>$G$21*$M$8*'Traffic Data'!AO25*annualizationFactor</f>
        <v>9.6462928895321987E-2</v>
      </c>
      <c r="N137" s="751">
        <f>$G$21*$M$8*'Traffic Data'!AP25*annualizationFactor</f>
        <v>0.10182772222006632</v>
      </c>
      <c r="O137" s="751">
        <f>$G$21*$M$8*'Traffic Data'!AQ25*annualizationFactor</f>
        <v>0.10719118370267047</v>
      </c>
      <c r="P137" s="751">
        <f>$G$21*$M$8*'Traffic Data'!AR25*annualizationFactor</f>
        <v>0.11256010573804925</v>
      </c>
      <c r="Q137" s="751">
        <f>$G$21*$M$8*'Traffic Data'!AS25*annualizationFactor</f>
        <v>0.11947476376128789</v>
      </c>
      <c r="R137" s="751">
        <f>$G$21*$M$8*'Traffic Data'!AT25*annualizationFactor</f>
        <v>0.12639328412673301</v>
      </c>
      <c r="S137" s="751">
        <f>$G$21*$M$8*'Traffic Data'!AU25*annualizationFactor</f>
        <v>0.13330661030783142</v>
      </c>
      <c r="T137" s="751">
        <f>$G$21*$M$8*'Traffic Data'!AV25*annualizationFactor</f>
        <v>0.14022126833107007</v>
      </c>
      <c r="U137" s="751">
        <f>$G$21*$M$8*'Traffic Data'!AW25*annualizationFactor</f>
        <v>0.14714178645972539</v>
      </c>
      <c r="V137" s="751">
        <f>$G$21*$M$8*'Traffic Data'!AX25*annualizationFactor</f>
        <v>0.15175968271227275</v>
      </c>
      <c r="W137" s="751">
        <f>$G$21*$M$8*'Traffic Data'!AY25*annualizationFactor</f>
        <v>0.15451166812646783</v>
      </c>
      <c r="X137" s="751">
        <f>$G$21*$M$8*'Traffic Data'!AZ25*annualizationFactor</f>
        <v>0.15726365354066293</v>
      </c>
      <c r="Y137" s="751">
        <f>$G$21*$M$8*'Traffic Data'!BA25*annualizationFactor</f>
        <v>0.16001563895485804</v>
      </c>
      <c r="Z137" s="751">
        <f>$G$21*$M$8*'Traffic Data'!BB25*annualizationFactor</f>
        <v>0.16276922257962129</v>
      </c>
      <c r="AA137" s="751">
        <f>$G$21*$M$8*'Traffic Data'!BC25*annualizationFactor</f>
        <v>0.16552120799381634</v>
      </c>
      <c r="AB137" s="751">
        <f>$G$21*$M$8*'Traffic Data'!BD25*annualizationFactor</f>
        <v>0.16827479161857953</v>
      </c>
      <c r="AC137" s="751">
        <f>$G$21*$M$8*'Traffic Data'!BE25*annualizationFactor</f>
        <v>0.17102677703277464</v>
      </c>
      <c r="AD137" s="751">
        <f>$G$21*$M$8*'Traffic Data'!BF25*annualizationFactor</f>
        <v>0.17377876244696969</v>
      </c>
      <c r="AE137" s="751">
        <f>$G$21*$M$8*'Traffic Data'!BG25*annualizationFactor</f>
        <v>0.17653234607173299</v>
      </c>
      <c r="AF137" s="751">
        <f>$G$21*$M$8*'Traffic Data'!BH25*annualizationFactor</f>
        <v>0.17928433148592804</v>
      </c>
      <c r="AG137" s="751">
        <f>$G$21*$M$8*'Traffic Data'!BI25*annualizationFactor</f>
        <v>0.18203631690012312</v>
      </c>
      <c r="AH137" s="752">
        <f>$G$21*$M$8*'Traffic Data'!BJ25*annualizationFactor</f>
        <v>0.18478990052488636</v>
      </c>
      <c r="AI137" s="40"/>
      <c r="AJ137" s="40"/>
      <c r="AK137" s="40"/>
      <c r="AL137" s="40"/>
      <c r="AM137" s="40"/>
    </row>
    <row r="138" spans="2:39" ht="21.9" customHeight="1" x14ac:dyDescent="0.25">
      <c r="B138" s="470"/>
      <c r="C138" s="250" t="s">
        <v>274</v>
      </c>
      <c r="D138" s="250" t="s">
        <v>317</v>
      </c>
      <c r="E138" s="250" t="s">
        <v>19</v>
      </c>
      <c r="F138" s="250" t="s">
        <v>41</v>
      </c>
      <c r="G138" s="753"/>
      <c r="H138" s="753"/>
      <c r="I138" s="753">
        <f>$G$21*$M$8*'Traffic Data'!AK26*annualizationFactor</f>
        <v>1.9743181818181821E-3</v>
      </c>
      <c r="J138" s="753">
        <f>$G$21*$M$8*'Traffic Data'!AL26*annualizationFactor</f>
        <v>2.0423104094696972E-3</v>
      </c>
      <c r="K138" s="753">
        <f>$G$21*$M$8*'Traffic Data'!AM26*annualizationFactor</f>
        <v>2.1181670045454541E-3</v>
      </c>
      <c r="L138" s="753">
        <f>$G$21*$M$8*'Traffic Data'!AN26*annualizationFactor</f>
        <v>2.2506799503787885E-3</v>
      </c>
      <c r="M138" s="753">
        <f>$G$21*$M$8*'Traffic Data'!AO26*annualizationFactor</f>
        <v>2.3832718689393941E-3</v>
      </c>
      <c r="N138" s="753">
        <f>$G$21*$M$8*'Traffic Data'!AP26*annualizationFactor</f>
        <v>2.5158177200757582E-3</v>
      </c>
      <c r="O138" s="753">
        <f>$G$21*$M$8*'Traffic Data'!AQ26*annualizationFactor</f>
        <v>2.6483306659090917E-3</v>
      </c>
      <c r="P138" s="753">
        <f>$G$21*$M$8*'Traffic Data'!AR26*annualizationFactor</f>
        <v>2.7809785234848491E-3</v>
      </c>
      <c r="Q138" s="753">
        <f>$G$21*$M$8*'Traffic Data'!AS26*annualizationFactor</f>
        <v>2.9518162757575768E-3</v>
      </c>
      <c r="R138" s="753">
        <f>$G$21*$M$8*'Traffic Data'!AT26*annualizationFactor</f>
        <v>3.1227494534090926E-3</v>
      </c>
      <c r="S138" s="753">
        <f>$G$21*$M$8*'Traffic Data'!AU26*annualizationFactor</f>
        <v>3.2935543003787871E-3</v>
      </c>
      <c r="T138" s="753">
        <f>$G$21*$M$8*'Traffic Data'!AV26*annualizationFactor</f>
        <v>3.4643920526515153E-3</v>
      </c>
      <c r="U138" s="753">
        <f>$G$21*$M$8*'Traffic Data'!AW26*annualizationFactor</f>
        <v>3.6353745882575761E-3</v>
      </c>
      <c r="V138" s="753">
        <f>$G$21*$M$8*'Traffic Data'!AX26*annualizationFactor</f>
        <v>3.7494671454545462E-3</v>
      </c>
      <c r="W138" s="753">
        <f>$G$21*$M$8*'Traffic Data'!AY26*annualizationFactor</f>
        <v>3.8174593731060617E-3</v>
      </c>
      <c r="X138" s="753">
        <f>$G$21*$M$8*'Traffic Data'!AZ26*annualizationFactor</f>
        <v>3.8854516007575768E-3</v>
      </c>
      <c r="Y138" s="753">
        <f>$G$21*$M$8*'Traffic Data'!BA26*annualizationFactor</f>
        <v>3.9534438284090931E-3</v>
      </c>
      <c r="Z138" s="753">
        <f>$G$21*$M$8*'Traffic Data'!BB26*annualizationFactor</f>
        <v>4.0214755424242445E-3</v>
      </c>
      <c r="AA138" s="753">
        <f>$G$21*$M$8*'Traffic Data'!BC26*annualizationFactor</f>
        <v>4.0894677700757578E-3</v>
      </c>
      <c r="AB138" s="753">
        <f>$G$21*$M$8*'Traffic Data'!BD26*annualizationFactor</f>
        <v>4.1574994840909091E-3</v>
      </c>
      <c r="AC138" s="753">
        <f>$G$21*$M$8*'Traffic Data'!BE26*annualizationFactor</f>
        <v>4.225491711742425E-3</v>
      </c>
      <c r="AD138" s="753">
        <f>$G$21*$M$8*'Traffic Data'!BF26*annualizationFactor</f>
        <v>4.2934839393939401E-3</v>
      </c>
      <c r="AE138" s="753">
        <f>$G$21*$M$8*'Traffic Data'!BG26*annualizationFactor</f>
        <v>4.3615156534090914E-3</v>
      </c>
      <c r="AF138" s="753">
        <f>$G$21*$M$8*'Traffic Data'!BH26*annualizationFactor</f>
        <v>4.4295078810606065E-3</v>
      </c>
      <c r="AG138" s="753">
        <f>$G$21*$M$8*'Traffic Data'!BI26*annualizationFactor</f>
        <v>4.4975001087121224E-3</v>
      </c>
      <c r="AH138" s="757">
        <f>$G$21*$M$8*'Traffic Data'!BJ26*annualizationFactor</f>
        <v>4.5655318227272737E-3</v>
      </c>
      <c r="AI138" s="40"/>
      <c r="AJ138" s="40"/>
      <c r="AK138" s="40"/>
      <c r="AL138" s="40"/>
      <c r="AM138" s="40"/>
    </row>
    <row r="139" spans="2:39" ht="21.9" customHeight="1" thickBot="1" x14ac:dyDescent="0.3">
      <c r="B139" s="1072" t="s">
        <v>461</v>
      </c>
      <c r="C139" s="782"/>
      <c r="D139" s="782"/>
      <c r="E139" s="237"/>
      <c r="F139" s="237"/>
      <c r="G139" s="940">
        <f t="shared" ref="G139:AH139" si="4">SUM(G119:G138)</f>
        <v>0</v>
      </c>
      <c r="H139" s="940">
        <f t="shared" si="4"/>
        <v>0</v>
      </c>
      <c r="I139" s="759">
        <f t="shared" si="4"/>
        <v>0.99853644164696997</v>
      </c>
      <c r="J139" s="759">
        <f t="shared" si="4"/>
        <v>1.0555569820826731</v>
      </c>
      <c r="K139" s="759">
        <f t="shared" si="4"/>
        <v>1.1324341009795016</v>
      </c>
      <c r="L139" s="759">
        <f t="shared" si="4"/>
        <v>1.291124516715656</v>
      </c>
      <c r="M139" s="759">
        <f t="shared" si="4"/>
        <v>1.4498770668379297</v>
      </c>
      <c r="N139" s="759">
        <f t="shared" si="4"/>
        <v>1.6086721756722409</v>
      </c>
      <c r="O139" s="759">
        <f t="shared" si="4"/>
        <v>1.7673625914083946</v>
      </c>
      <c r="P139" s="759">
        <f t="shared" si="4"/>
        <v>1.9262118231385008</v>
      </c>
      <c r="Q139" s="759">
        <f t="shared" si="4"/>
        <v>2.1186699316056381</v>
      </c>
      <c r="R139" s="759">
        <f t="shared" si="4"/>
        <v>2.3111654989991988</v>
      </c>
      <c r="S139" s="759">
        <f t="shared" si="4"/>
        <v>2.5036163912083413</v>
      </c>
      <c r="T139" s="759">
        <f t="shared" si="4"/>
        <v>2.6960744996754786</v>
      </c>
      <c r="U139" s="759">
        <f t="shared" si="4"/>
        <v>2.8887258905362754</v>
      </c>
      <c r="V139" s="759">
        <f t="shared" si="4"/>
        <v>2.9992716690182597</v>
      </c>
      <c r="W139" s="759">
        <f t="shared" si="4"/>
        <v>3.056289777093963</v>
      </c>
      <c r="X139" s="759">
        <f t="shared" si="4"/>
        <v>3.1133103175296659</v>
      </c>
      <c r="Y139" s="759">
        <f t="shared" si="4"/>
        <v>3.1703308579653702</v>
      </c>
      <c r="Z139" s="759">
        <f t="shared" si="4"/>
        <v>3.2273945172798273</v>
      </c>
      <c r="AA139" s="759">
        <f t="shared" si="4"/>
        <v>3.2844150577155298</v>
      </c>
      <c r="AB139" s="759">
        <f t="shared" si="4"/>
        <v>3.3414787170299873</v>
      </c>
      <c r="AC139" s="759">
        <f t="shared" si="4"/>
        <v>3.3984992574656903</v>
      </c>
      <c r="AD139" s="759">
        <f t="shared" si="4"/>
        <v>3.4555197979013936</v>
      </c>
      <c r="AE139" s="759">
        <f t="shared" si="4"/>
        <v>3.5125810248558516</v>
      </c>
      <c r="AF139" s="759">
        <f t="shared" si="4"/>
        <v>3.5696015652915549</v>
      </c>
      <c r="AG139" s="759">
        <f t="shared" si="4"/>
        <v>3.6266221057272578</v>
      </c>
      <c r="AH139" s="760">
        <f t="shared" si="4"/>
        <v>3.6836857650417154</v>
      </c>
      <c r="AI139" s="40"/>
      <c r="AJ139" s="40"/>
      <c r="AK139" s="40"/>
      <c r="AL139" s="40"/>
      <c r="AM139" s="40"/>
    </row>
    <row r="140" spans="2:39" ht="21.9" customHeight="1" x14ac:dyDescent="0.25">
      <c r="B140" s="548" t="s">
        <v>312</v>
      </c>
      <c r="C140" s="1331" t="s">
        <v>18</v>
      </c>
      <c r="D140" s="1331"/>
      <c r="E140" s="197" t="s">
        <v>24</v>
      </c>
      <c r="F140" s="197" t="s">
        <v>42</v>
      </c>
      <c r="G140" s="459">
        <v>2021</v>
      </c>
      <c r="H140" s="459">
        <v>2022</v>
      </c>
      <c r="I140" s="459">
        <v>2023</v>
      </c>
      <c r="J140" s="459">
        <v>2024</v>
      </c>
      <c r="K140" s="459">
        <v>2025</v>
      </c>
      <c r="L140" s="459">
        <v>2026</v>
      </c>
      <c r="M140" s="459">
        <v>2027</v>
      </c>
      <c r="N140" s="459">
        <v>2028</v>
      </c>
      <c r="O140" s="459">
        <v>2029</v>
      </c>
      <c r="P140" s="459">
        <v>2030</v>
      </c>
      <c r="Q140" s="459">
        <v>2031</v>
      </c>
      <c r="R140" s="459">
        <v>2032</v>
      </c>
      <c r="S140" s="459">
        <v>2033</v>
      </c>
      <c r="T140" s="459">
        <v>2034</v>
      </c>
      <c r="U140" s="459">
        <v>2035</v>
      </c>
      <c r="V140" s="459">
        <v>2036</v>
      </c>
      <c r="W140" s="459">
        <v>2037</v>
      </c>
      <c r="X140" s="459">
        <v>2038</v>
      </c>
      <c r="Y140" s="459">
        <v>2039</v>
      </c>
      <c r="Z140" s="459">
        <v>2040</v>
      </c>
      <c r="AA140" s="459">
        <v>2041</v>
      </c>
      <c r="AB140" s="459">
        <v>2042</v>
      </c>
      <c r="AC140" s="459">
        <v>2043</v>
      </c>
      <c r="AD140" s="459">
        <v>2044</v>
      </c>
      <c r="AE140" s="459">
        <v>2045</v>
      </c>
      <c r="AF140" s="459">
        <v>2046</v>
      </c>
      <c r="AG140" s="459">
        <v>2047</v>
      </c>
      <c r="AH140" s="459">
        <v>2048</v>
      </c>
      <c r="AI140" s="247"/>
      <c r="AJ140" s="247"/>
      <c r="AK140" s="247"/>
      <c r="AL140" s="247"/>
      <c r="AM140" s="247"/>
    </row>
    <row r="141" spans="2:39" ht="21.9" customHeight="1" x14ac:dyDescent="0.25">
      <c r="B141" s="1332" t="s">
        <v>315</v>
      </c>
      <c r="C141" s="217" t="s">
        <v>316</v>
      </c>
      <c r="D141" s="217" t="s">
        <v>276</v>
      </c>
      <c r="E141" s="217" t="s">
        <v>434</v>
      </c>
      <c r="F141" s="217" t="s">
        <v>41</v>
      </c>
      <c r="G141" s="749"/>
      <c r="H141" s="749"/>
      <c r="I141" s="749">
        <f>$G$22*$E$9*'Traffic Data'!AK7*annualizationFactor</f>
        <v>4.3274400000000001E-3</v>
      </c>
      <c r="J141" s="749">
        <f>$G$22*$E$9*'Traffic Data'!AL7*annualizationFactor</f>
        <v>4.5265292864999996E-3</v>
      </c>
      <c r="K141" s="749">
        <f>$G$22*$E$9*'Traffic Data'!AM7*annualizationFactor</f>
        <v>4.806095433750001E-3</v>
      </c>
      <c r="L141" s="749">
        <f>$G$22*$E$9*'Traffic Data'!AN7*annualizationFactor</f>
        <v>5.2162150365000007E-3</v>
      </c>
      <c r="M141" s="749">
        <f>$G$22*$E$9*'Traffic Data'!AO7*annualizationFactor</f>
        <v>5.6264833950000004E-3</v>
      </c>
      <c r="N141" s="749">
        <f>$G$22*$E$9*'Traffic Data'!AP7*annualizationFactor</f>
        <v>6.0367652767499991E-3</v>
      </c>
      <c r="O141" s="749">
        <f>$G$22*$E$9*'Traffic Data'!AQ7*annualizationFactor</f>
        <v>6.446884879499998E-3</v>
      </c>
      <c r="P141" s="749">
        <f>$G$22*$E$9*'Traffic Data'!AR7*annualizationFactor</f>
        <v>6.8573155169999985E-3</v>
      </c>
      <c r="Q141" s="749">
        <f>$G$22*$E$9*'Traffic Data'!AS7*annualizationFactor</f>
        <v>7.2629048310000003E-3</v>
      </c>
      <c r="R141" s="749">
        <f>$G$22*$E$9*'Traffic Data'!AT7*annualizationFactor</f>
        <v>7.6685752844999995E-3</v>
      </c>
      <c r="S141" s="749">
        <f>$G$22*$E$9*'Traffic Data'!AU7*annualizationFactor</f>
        <v>8.0741645985000013E-3</v>
      </c>
      <c r="T141" s="749">
        <f>$G$22*$E$9*'Traffic Data'!AV7*annualizationFactor</f>
        <v>8.4797539125000005E-3</v>
      </c>
      <c r="U141" s="749">
        <f>$G$22*$E$9*'Traffic Data'!AW7*annualizationFactor</f>
        <v>8.8856677845000013E-3</v>
      </c>
      <c r="V141" s="749">
        <f>$G$22*$E$9*'Traffic Data'!AX7*annualizationFactor</f>
        <v>9.1605413639999998E-3</v>
      </c>
      <c r="W141" s="749">
        <f>$G$22*$E$9*'Traffic Data'!AY7*annualizationFactor</f>
        <v>9.3596306505000001E-3</v>
      </c>
      <c r="X141" s="749">
        <f>$G$22*$E$9*'Traffic Data'!AZ7*annualizationFactor</f>
        <v>9.5587199369999987E-3</v>
      </c>
      <c r="Y141" s="749">
        <f>$G$22*$E$9*'Traffic Data'!BA7*annualizationFactor</f>
        <v>9.7578092235000007E-3</v>
      </c>
      <c r="Z141" s="749">
        <f>$G$22*$E$9*'Traffic Data'!BB7*annualizationFactor</f>
        <v>9.9569796495000001E-3</v>
      </c>
      <c r="AA141" s="749">
        <f>$G$22*$E$9*'Traffic Data'!BC7*annualizationFactor</f>
        <v>1.0156068936E-2</v>
      </c>
      <c r="AB141" s="749">
        <f>$G$22*$E$9*'Traffic Data'!BD7*annualizationFactor</f>
        <v>1.0355239362E-2</v>
      </c>
      <c r="AC141" s="749">
        <f>$G$22*$E$9*'Traffic Data'!BE7*annualizationFactor</f>
        <v>1.05543286485E-2</v>
      </c>
      <c r="AD141" s="749">
        <f>$G$22*$E$9*'Traffic Data'!BF7*annualizationFactor</f>
        <v>1.0753417935000001E-2</v>
      </c>
      <c r="AE141" s="749">
        <f>$G$22*$E$9*'Traffic Data'!BG7*annualizationFactor</f>
        <v>1.0952588361E-2</v>
      </c>
      <c r="AF141" s="749">
        <f>$G$22*$E$9*'Traffic Data'!BH7*annualizationFactor</f>
        <v>1.11516776475E-2</v>
      </c>
      <c r="AG141" s="749">
        <f>$G$22*$E$9*'Traffic Data'!BI7*annualizationFactor</f>
        <v>1.1350766934000002E-2</v>
      </c>
      <c r="AH141" s="750">
        <f>$G$22*$E$9*'Traffic Data'!BJ7*annualizationFactor</f>
        <v>1.154993736E-2</v>
      </c>
      <c r="AI141" s="40"/>
      <c r="AJ141" s="40"/>
      <c r="AK141" s="40"/>
      <c r="AL141" s="40"/>
      <c r="AM141" s="40"/>
    </row>
    <row r="142" spans="2:39" ht="21.9" customHeight="1" x14ac:dyDescent="0.25">
      <c r="B142" s="1332"/>
      <c r="C142" s="114" t="s">
        <v>276</v>
      </c>
      <c r="D142" s="114" t="s">
        <v>274</v>
      </c>
      <c r="E142" s="114" t="s">
        <v>434</v>
      </c>
      <c r="F142" s="114" t="s">
        <v>41</v>
      </c>
      <c r="G142" s="941"/>
      <c r="H142" s="941"/>
      <c r="I142" s="751">
        <f>$G$22*$E$9*'Traffic Data'!AK8*annualizationFactor</f>
        <v>0.13915036022727273</v>
      </c>
      <c r="J142" s="751">
        <f>$G$22*$E$9*'Traffic Data'!AL8*annualizationFactor</f>
        <v>0.14685877481215909</v>
      </c>
      <c r="K142" s="751">
        <f>$G$22*$E$9*'Traffic Data'!AM8*annualizationFactor</f>
        <v>0.15579789702749999</v>
      </c>
      <c r="L142" s="751">
        <f>$G$22*$E$9*'Traffic Data'!AN8*annualizationFactor</f>
        <v>0.17247790224511364</v>
      </c>
      <c r="M142" s="751">
        <f>$G$22*$E$9*'Traffic Data'!AO8*annualizationFactor</f>
        <v>0.18916409192318187</v>
      </c>
      <c r="N142" s="751">
        <f>$G$22*$E$9*'Traffic Data'!AP8*annualizationFactor</f>
        <v>0.20585337383147731</v>
      </c>
      <c r="O142" s="751">
        <f>$G$22*$E$9*'Traffic Data'!AQ8*annualizationFactor</f>
        <v>0.22253337904909096</v>
      </c>
      <c r="P142" s="751">
        <f>$G$22*$E$9*'Traffic Data'!AR8*annualizationFactor</f>
        <v>0.23922936078954551</v>
      </c>
      <c r="Q142" s="751">
        <f>$G$22*$E$9*'Traffic Data'!AS8*annualizationFactor</f>
        <v>0.25902066498750004</v>
      </c>
      <c r="R142" s="751">
        <f>$G$22*$E$9*'Traffic Data'!AT8*annualizationFactor</f>
        <v>0.27881763827420458</v>
      </c>
      <c r="S142" s="751">
        <f>$G$22*$E$9*'Traffic Data'!AU8*annualizationFactor</f>
        <v>0.29860894247215913</v>
      </c>
      <c r="T142" s="751">
        <f>$G$22*$E$9*'Traffic Data'!AV8*annualizationFactor</f>
        <v>0.31840024667011363</v>
      </c>
      <c r="U142" s="751">
        <f>$G$22*$E$9*'Traffic Data'!AW8*annualizationFactor</f>
        <v>0.33821113499284089</v>
      </c>
      <c r="V142" s="751">
        <f>$G$22*$E$9*'Traffic Data'!AX8*annualizationFactor</f>
        <v>0.3502517641261364</v>
      </c>
      <c r="W142" s="751">
        <f>$G$22*$E$9*'Traffic Data'!AY8*annualizationFactor</f>
        <v>0.3579601787110227</v>
      </c>
      <c r="X142" s="751">
        <f>$G$22*$E$9*'Traffic Data'!AZ8*annualizationFactor</f>
        <v>0.36566859329590912</v>
      </c>
      <c r="Y142" s="751">
        <f>$G$22*$E$9*'Traffic Data'!BA8*annualizationFactor</f>
        <v>0.37337700788079542</v>
      </c>
      <c r="Z142" s="751">
        <f>$G$22*$E$9*'Traffic Data'!BB8*annualizationFactor</f>
        <v>0.38109057618272735</v>
      </c>
      <c r="AA142" s="751">
        <f>$G$22*$E$9*'Traffic Data'!BC8*annualizationFactor</f>
        <v>0.38879899076761359</v>
      </c>
      <c r="AB142" s="751">
        <f>$G$22*$E$9*'Traffic Data'!BD8*annualizationFactor</f>
        <v>0.39651255906954536</v>
      </c>
      <c r="AC142" s="751">
        <f>$G$22*$E$9*'Traffic Data'!BE8*annualizationFactor</f>
        <v>0.40422097365443188</v>
      </c>
      <c r="AD142" s="751">
        <f>$G$22*$E$9*'Traffic Data'!BF8*annualizationFactor</f>
        <v>0.41192938823931813</v>
      </c>
      <c r="AE142" s="751">
        <f>$G$22*$E$9*'Traffic Data'!BG8*annualizationFactor</f>
        <v>0.41964295654125006</v>
      </c>
      <c r="AF142" s="751">
        <f>$G$22*$E$9*'Traffic Data'!BH8*annualizationFactor</f>
        <v>0.42735137112613641</v>
      </c>
      <c r="AG142" s="751">
        <f>$G$22*$E$9*'Traffic Data'!BI8*annualizationFactor</f>
        <v>0.43505978571102277</v>
      </c>
      <c r="AH142" s="752">
        <f>$G$22*$E$9*'Traffic Data'!BJ8*annualizationFactor</f>
        <v>0.44277335401295459</v>
      </c>
      <c r="AI142" s="40"/>
      <c r="AJ142" s="40"/>
      <c r="AK142" s="40"/>
      <c r="AL142" s="40"/>
      <c r="AM142" s="40"/>
    </row>
    <row r="143" spans="2:39" ht="21.9" customHeight="1" x14ac:dyDescent="0.25">
      <c r="B143" s="1332"/>
      <c r="C143" s="114" t="s">
        <v>274</v>
      </c>
      <c r="D143" s="114" t="s">
        <v>317</v>
      </c>
      <c r="E143" s="250" t="s">
        <v>434</v>
      </c>
      <c r="F143" s="250" t="s">
        <v>41</v>
      </c>
      <c r="G143" s="753"/>
      <c r="H143" s="753"/>
      <c r="I143" s="751">
        <f>$G$22*$E$9*'Traffic Data'!AK9*annualizationFactor</f>
        <v>3.2455800000000001E-3</v>
      </c>
      <c r="J143" s="751">
        <f>$G$22*$E$9*'Traffic Data'!AL9*annualizationFactor</f>
        <v>3.3811100114999998E-3</v>
      </c>
      <c r="K143" s="751">
        <f>$G$22*$E$9*'Traffic Data'!AM9*annualizationFactor</f>
        <v>3.5488524044999994E-3</v>
      </c>
      <c r="L143" s="751">
        <f>$G$22*$E$9*'Traffic Data'!AN9*annualizationFactor</f>
        <v>3.7746906794999999E-3</v>
      </c>
      <c r="M143" s="751">
        <f>$G$22*$E$9*'Traffic Data'!AO9*annualizationFactor</f>
        <v>4.0006100940000013E-3</v>
      </c>
      <c r="N143" s="751">
        <f>$G$22*$E$9*'Traffic Data'!AP9*annualizationFactor</f>
        <v>4.2265024620000008E-3</v>
      </c>
      <c r="O143" s="751">
        <f>$G$22*$E$9*'Traffic Data'!AQ9*annualizationFactor</f>
        <v>4.4523407370000009E-3</v>
      </c>
      <c r="P143" s="751">
        <f>$G$22*$E$9*'Traffic Data'!AR9*annualizationFactor</f>
        <v>4.6783412910000018E-3</v>
      </c>
      <c r="Q143" s="751">
        <f>$G$22*$E$9*'Traffic Data'!AS9*annualizationFactor</f>
        <v>4.8973097549999999E-3</v>
      </c>
      <c r="R143" s="751">
        <f>$G$22*$E$9*'Traffic Data'!AT9*annualizationFactor</f>
        <v>5.1163593584999988E-3</v>
      </c>
      <c r="S143" s="751">
        <f>$G$22*$E$9*'Traffic Data'!AU9*annualizationFactor</f>
        <v>5.3353278224999995E-3</v>
      </c>
      <c r="T143" s="751">
        <f>$G$22*$E$9*'Traffic Data'!AV9*annualizationFactor</f>
        <v>5.5542962865000002E-3</v>
      </c>
      <c r="U143" s="751">
        <f>$G$22*$E$9*'Traffic Data'!AW9*annualizationFactor</f>
        <v>5.7734270295000008E-3</v>
      </c>
      <c r="V143" s="751">
        <f>$G$22*$E$9*'Traffic Data'!AX9*annualizationFactor</f>
        <v>5.9342184719999996E-3</v>
      </c>
      <c r="W143" s="751">
        <f>$G$22*$E$9*'Traffic Data'!AY9*annualizationFactor</f>
        <v>6.0697484835000003E-3</v>
      </c>
      <c r="X143" s="751">
        <f>$G$22*$E$9*'Traffic Data'!AZ9*annualizationFactor</f>
        <v>6.2052784949999992E-3</v>
      </c>
      <c r="Y143" s="751">
        <f>$G$22*$E$9*'Traffic Data'!BA9*annualizationFactor</f>
        <v>6.3408085065000007E-3</v>
      </c>
      <c r="Z143" s="751">
        <f>$G$22*$E$9*'Traffic Data'!BB9*annualizationFactor</f>
        <v>6.4763926110000007E-3</v>
      </c>
      <c r="AA143" s="751">
        <f>$G$22*$E$9*'Traffic Data'!BC9*annualizationFactor</f>
        <v>6.6119226224999996E-3</v>
      </c>
      <c r="AB143" s="751">
        <f>$G$22*$E$9*'Traffic Data'!BD9*annualizationFactor</f>
        <v>6.7475067270000005E-3</v>
      </c>
      <c r="AC143" s="751">
        <f>$G$22*$E$9*'Traffic Data'!BE9*annualizationFactor</f>
        <v>6.883036738500002E-3</v>
      </c>
      <c r="AD143" s="751">
        <f>$G$22*$E$9*'Traffic Data'!BF9*annualizationFactor</f>
        <v>7.0185667499999991E-3</v>
      </c>
      <c r="AE143" s="751">
        <f>$G$22*$E$9*'Traffic Data'!BG9*annualizationFactor</f>
        <v>7.1541508545000009E-3</v>
      </c>
      <c r="AF143" s="751">
        <f>$G$22*$E$9*'Traffic Data'!BH9*annualizationFactor</f>
        <v>7.2896808659999998E-3</v>
      </c>
      <c r="AG143" s="751">
        <f>$G$22*$E$9*'Traffic Data'!BI9*annualizationFactor</f>
        <v>7.4252108774999987E-3</v>
      </c>
      <c r="AH143" s="752">
        <f>$G$22*$E$9*'Traffic Data'!BJ9*annualizationFactor</f>
        <v>7.5607949820000004E-3</v>
      </c>
      <c r="AI143" s="40"/>
      <c r="AJ143" s="40"/>
      <c r="AK143" s="40"/>
      <c r="AL143" s="40"/>
      <c r="AM143" s="40"/>
    </row>
    <row r="144" spans="2:39" ht="21.9" customHeight="1" x14ac:dyDescent="0.25">
      <c r="B144" s="1332" t="s">
        <v>274</v>
      </c>
      <c r="C144" s="217" t="s">
        <v>275</v>
      </c>
      <c r="D144" s="217" t="s">
        <v>318</v>
      </c>
      <c r="E144" s="114" t="s">
        <v>434</v>
      </c>
      <c r="F144" s="114" t="s">
        <v>41</v>
      </c>
      <c r="G144" s="941"/>
      <c r="H144" s="941"/>
      <c r="I144" s="749">
        <f>$G$22*$F$9*'Traffic Data'!AK10*annualizationFactor</f>
        <v>3.0251200000000002E-2</v>
      </c>
      <c r="J144" s="749">
        <f>$G$22*$F$9*'Traffic Data'!AL10*annualizationFactor</f>
        <v>3.3551984060000005E-2</v>
      </c>
      <c r="K144" s="749">
        <f>$G$22*$F$9*'Traffic Data'!AM10*annualizationFactor</f>
        <v>3.7037905463999994E-2</v>
      </c>
      <c r="L144" s="749">
        <f>$G$22*$F$9*'Traffic Data'!AN10*annualizationFactor</f>
        <v>4.7827979108000004E-2</v>
      </c>
      <c r="M144" s="749">
        <f>$G$22*$F$9*'Traffic Data'!AO10*annualizationFactor</f>
        <v>5.8623497967999996E-2</v>
      </c>
      <c r="N144" s="749">
        <f>$G$22*$F$9*'Traffic Data'!AP10*annualizationFactor</f>
        <v>6.9421890691999999E-2</v>
      </c>
      <c r="O144" s="749">
        <f>$G$22*$F$9*'Traffic Data'!AQ10*annualizationFactor</f>
        <v>8.0211964336000002E-2</v>
      </c>
      <c r="P144" s="749">
        <f>$G$22*$F$9*'Traffic Data'!AR10*annualizationFactor</f>
        <v>9.1016936696E-2</v>
      </c>
      <c r="Q144" s="749">
        <f>$G$22*$F$9*'Traffic Data'!AS10*annualizationFactor</f>
        <v>0.105516336856</v>
      </c>
      <c r="R144" s="749">
        <f>$G$22*$F$9*'Traffic Data'!AT10*annualizationFactor</f>
        <v>0.12002216539599998</v>
      </c>
      <c r="S144" s="749">
        <f>$G$22*$F$9*'Traffic Data'!AU10*annualizationFactor</f>
        <v>0.13452156555600001</v>
      </c>
      <c r="T144" s="749">
        <f>$G$22*$F$9*'Traffic Data'!AV10*annualizationFactor</f>
        <v>0.14902096571599999</v>
      </c>
      <c r="U144" s="749">
        <f>$G$22*$F$9*'Traffic Data'!AW10*annualizationFactor</f>
        <v>0.16353927287600004</v>
      </c>
      <c r="V144" s="749">
        <f>$G$22*$F$9*'Traffic Data'!AX10*annualizationFactor</f>
        <v>0.17072506729600001</v>
      </c>
      <c r="W144" s="749">
        <f>$G$22*$F$9*'Traffic Data'!AY10*annualizationFactor</f>
        <v>0.17402585135600002</v>
      </c>
      <c r="X144" s="749">
        <f>$G$22*$F$9*'Traffic Data'!AZ10*annualizationFactor</f>
        <v>0.17732663541599999</v>
      </c>
      <c r="Y144" s="749">
        <f>$G$22*$F$9*'Traffic Data'!BA10*annualizationFactor</f>
        <v>0.18062741947600003</v>
      </c>
      <c r="Z144" s="749">
        <f>$G$22*$F$9*'Traffic Data'!BB10*annualizationFactor</f>
        <v>0.18393349749600002</v>
      </c>
      <c r="AA144" s="749">
        <f>$G$22*$F$9*'Traffic Data'!BC10*annualizationFactor</f>
        <v>0.18723428155599997</v>
      </c>
      <c r="AB144" s="749">
        <f>$G$22*$F$9*'Traffic Data'!BD10*annualizationFactor</f>
        <v>0.19054035957600002</v>
      </c>
      <c r="AC144" s="749">
        <f>$G$22*$F$9*'Traffic Data'!BE10*annualizationFactor</f>
        <v>0.19384114363600002</v>
      </c>
      <c r="AD144" s="749">
        <f>$G$22*$F$9*'Traffic Data'!BF10*annualizationFactor</f>
        <v>0.19714192769600003</v>
      </c>
      <c r="AE144" s="749">
        <f>$G$22*$F$9*'Traffic Data'!BG10*annualizationFactor</f>
        <v>0.20044800571600002</v>
      </c>
      <c r="AF144" s="749">
        <f>$G$22*$F$9*'Traffic Data'!BH10*annualizationFactor</f>
        <v>0.203748789776</v>
      </c>
      <c r="AG144" s="749">
        <f>$G$22*$F$9*'Traffic Data'!BI10*annualizationFactor</f>
        <v>0.20704957383600001</v>
      </c>
      <c r="AH144" s="750">
        <f>$G$22*$F$9*'Traffic Data'!BJ10*annualizationFactor</f>
        <v>0.210355651856</v>
      </c>
      <c r="AI144" s="40"/>
      <c r="AJ144" s="40"/>
      <c r="AK144" s="40"/>
      <c r="AL144" s="40"/>
      <c r="AM144" s="40"/>
    </row>
    <row r="145" spans="2:39" ht="21.9" customHeight="1" x14ac:dyDescent="0.25">
      <c r="B145" s="1332"/>
      <c r="C145" s="114" t="s">
        <v>318</v>
      </c>
      <c r="D145" s="114" t="s">
        <v>308</v>
      </c>
      <c r="E145" s="114" t="s">
        <v>434</v>
      </c>
      <c r="F145" s="114" t="s">
        <v>41</v>
      </c>
      <c r="G145" s="941"/>
      <c r="H145" s="941"/>
      <c r="I145" s="751">
        <f>$G$22*$F$9*'Traffic Data'!AK11*annualizationFactor</f>
        <v>3.5040000000000006E-3</v>
      </c>
      <c r="J145" s="751">
        <f>$G$22*$F$9*'Traffic Data'!AL11*annualizationFactor</f>
        <v>3.9696232000000003E-3</v>
      </c>
      <c r="K145" s="751">
        <f>$G$22*$F$9*'Traffic Data'!AM11*annualizationFactor</f>
        <v>4.4355384000000012E-3</v>
      </c>
      <c r="L145" s="751">
        <f>$G$22*$F$9*'Traffic Data'!AN11*annualizationFactor</f>
        <v>6.0119296000000003E-3</v>
      </c>
      <c r="M145" s="751">
        <f>$G$22*$F$9*'Traffic Data'!AO11*annualizationFactor</f>
        <v>7.5886420000000005E-3</v>
      </c>
      <c r="N145" s="751">
        <f>$G$22*$F$9*'Traffic Data'!AP11*annualizationFactor</f>
        <v>9.1667852000000011E-3</v>
      </c>
      <c r="O145" s="751">
        <f>$G$22*$F$9*'Traffic Data'!AQ11*annualizationFactor</f>
        <v>1.07431764E-2</v>
      </c>
      <c r="P145" s="751">
        <f>$G$22*$F$9*'Traffic Data'!AR11*annualizationFactor</f>
        <v>1.2321056800000001E-2</v>
      </c>
      <c r="Q145" s="751">
        <f>$G$22*$F$9*'Traffic Data'!AS11*annualizationFactor</f>
        <v>1.474381E-2</v>
      </c>
      <c r="R145" s="751">
        <f>$G$22*$F$9*'Traffic Data'!AT11*annualizationFactor</f>
        <v>1.7166300400000004E-2</v>
      </c>
      <c r="S145" s="751">
        <f>$G$22*$F$9*'Traffic Data'!AU11*annualizationFactor</f>
        <v>1.9589024400000002E-2</v>
      </c>
      <c r="T145" s="751">
        <f>$G$22*$F$9*'Traffic Data'!AV11*annualizationFactor</f>
        <v>2.2011777600000001E-2</v>
      </c>
      <c r="U145" s="751">
        <f>$G$22*$F$9*'Traffic Data'!AW11*annualizationFactor</f>
        <v>2.4436896000000007E-2</v>
      </c>
      <c r="V145" s="751">
        <f>$G$22*$F$9*'Traffic Data'!AX11*annualizationFactor</f>
        <v>2.5747976000000006E-2</v>
      </c>
      <c r="W145" s="751">
        <f>$G$22*$F$9*'Traffic Data'!AY11*annualizationFactor</f>
        <v>2.62135992E-2</v>
      </c>
      <c r="X145" s="751">
        <f>$G$22*$F$9*'Traffic Data'!AZ11*annualizationFactor</f>
        <v>2.6679222400000004E-2</v>
      </c>
      <c r="Y145" s="751">
        <f>$G$22*$F$9*'Traffic Data'!BA11*annualizationFactor</f>
        <v>2.7144845600000009E-2</v>
      </c>
      <c r="Z145" s="751">
        <f>$G$22*$F$9*'Traffic Data'!BB11*annualizationFactor</f>
        <v>2.7610760800000009E-2</v>
      </c>
      <c r="AA145" s="751">
        <f>$G$22*$F$9*'Traffic Data'!BC11*annualizationFactor</f>
        <v>2.8076384000000003E-2</v>
      </c>
      <c r="AB145" s="751">
        <f>$G$22*$F$9*'Traffic Data'!BD11*annualizationFactor</f>
        <v>2.8542299200000003E-2</v>
      </c>
      <c r="AC145" s="751">
        <f>$G$22*$F$9*'Traffic Data'!BE11*annualizationFactor</f>
        <v>2.90079224E-2</v>
      </c>
      <c r="AD145" s="751">
        <f>$G$22*$F$9*'Traffic Data'!BF11*annualizationFactor</f>
        <v>2.9473545600000005E-2</v>
      </c>
      <c r="AE145" s="751">
        <f>$G$22*$F$9*'Traffic Data'!BG11*annualizationFactor</f>
        <v>2.9939460800000005E-2</v>
      </c>
      <c r="AF145" s="751">
        <f>$G$22*$F$9*'Traffic Data'!BH11*annualizationFactor</f>
        <v>3.0405084000000002E-2</v>
      </c>
      <c r="AG145" s="751">
        <f>$G$22*$F$9*'Traffic Data'!BI11*annualizationFactor</f>
        <v>3.0870707200000003E-2</v>
      </c>
      <c r="AH145" s="752">
        <f>$G$22*$F$9*'Traffic Data'!BJ11*annualizationFactor</f>
        <v>3.13366224E-2</v>
      </c>
      <c r="AI145" s="40"/>
      <c r="AJ145" s="40"/>
      <c r="AK145" s="40"/>
      <c r="AL145" s="40"/>
      <c r="AM145" s="40"/>
    </row>
    <row r="146" spans="2:39" ht="21.9" customHeight="1" x14ac:dyDescent="0.25">
      <c r="B146" s="1332"/>
      <c r="C146" s="250" t="s">
        <v>308</v>
      </c>
      <c r="D146" s="250" t="s">
        <v>319</v>
      </c>
      <c r="E146" s="114" t="s">
        <v>434</v>
      </c>
      <c r="F146" s="114" t="s">
        <v>41</v>
      </c>
      <c r="G146" s="941"/>
      <c r="H146" s="941"/>
      <c r="I146" s="751">
        <f>$G$22*$F$9*'Traffic Data'!AK12*annualizationFactor</f>
        <v>4.6953600000000005E-2</v>
      </c>
      <c r="J146" s="751">
        <f>$G$22*$F$9*'Traffic Data'!AL12*annualizationFactor</f>
        <v>4.8695030768000011E-2</v>
      </c>
      <c r="K146" s="751">
        <f>$G$22*$F$9*'Traffic Data'!AM12*annualizationFactor</f>
        <v>5.0437557120000004E-2</v>
      </c>
      <c r="L146" s="751">
        <f>$G$22*$F$9*'Traffic Data'!AN12*annualizationFactor</f>
        <v>5.3821581328000002E-2</v>
      </c>
      <c r="M146" s="751">
        <f>$G$22*$F$9*'Traffic Data'!AO12*annualizationFactor</f>
        <v>5.7207561936000004E-2</v>
      </c>
      <c r="N146" s="751">
        <f>$G$22*$F$9*'Traffic Data'!AP12*annualizationFactor</f>
        <v>6.059268172800001E-2</v>
      </c>
      <c r="O146" s="751">
        <f>$G$22*$F$9*'Traffic Data'!AQ12*annualizationFactor</f>
        <v>6.3976705936000008E-2</v>
      </c>
      <c r="P146" s="751">
        <f>$G$22*$F$9*'Traffic Data'!AR12*annualizationFactor</f>
        <v>6.7364329920000021E-2</v>
      </c>
      <c r="Q146" s="751">
        <f>$G$22*$F$9*'Traffic Data'!AS12*annualizationFactor</f>
        <v>7.2065402608000012E-2</v>
      </c>
      <c r="R146" s="751">
        <f>$G$22*$F$9*'Traffic Data'!AT12*annualizationFactor</f>
        <v>7.6768979488000003E-2</v>
      </c>
      <c r="S146" s="751">
        <f>$G$22*$F$9*'Traffic Data'!AU12*annualizationFactor</f>
        <v>8.1469191359999998E-2</v>
      </c>
      <c r="T146" s="751">
        <f>$G$22*$F$9*'Traffic Data'!AV12*annualizationFactor</f>
        <v>8.6170264048000031E-2</v>
      </c>
      <c r="U146" s="751">
        <f>$G$22*$F$9*'Traffic Data'!AW12*annualizationFactor</f>
        <v>9.087548430400004E-2</v>
      </c>
      <c r="V146" s="751">
        <f>$G$22*$F$9*'Traffic Data'!AX12*annualizationFactor</f>
        <v>9.3932554944000018E-2</v>
      </c>
      <c r="W146" s="751">
        <f>$G$22*$F$9*'Traffic Data'!AY12*annualizationFactor</f>
        <v>9.5673985712000031E-2</v>
      </c>
      <c r="X146" s="751">
        <f>$G$22*$F$9*'Traffic Data'!AZ12*annualizationFactor</f>
        <v>9.7415416480000003E-2</v>
      </c>
      <c r="Y146" s="751">
        <f>$G$22*$F$9*'Traffic Data'!BA12*annualizationFactor</f>
        <v>9.9156847248000016E-2</v>
      </c>
      <c r="Z146" s="751">
        <f>$G$22*$F$9*'Traffic Data'!BB12*annualizationFactor</f>
        <v>0.10089937360000002</v>
      </c>
      <c r="AA146" s="751">
        <f>$G$22*$F$9*'Traffic Data'!BC12*annualizationFactor</f>
        <v>0.10264080436799999</v>
      </c>
      <c r="AB146" s="751">
        <f>$G$22*$F$9*'Traffic Data'!BD12*annualizationFactor</f>
        <v>0.10438333072000001</v>
      </c>
      <c r="AC146" s="751">
        <f>$G$22*$F$9*'Traffic Data'!BE12*annualizationFactor</f>
        <v>0.10612476148800004</v>
      </c>
      <c r="AD146" s="751">
        <f>$G$22*$F$9*'Traffic Data'!BF12*annualizationFactor</f>
        <v>0.10786619225600003</v>
      </c>
      <c r="AE146" s="751">
        <f>$G$22*$F$9*'Traffic Data'!BG12*annualizationFactor</f>
        <v>0.10960871860800003</v>
      </c>
      <c r="AF146" s="751">
        <f>$G$22*$F$9*'Traffic Data'!BH12*annualizationFactor</f>
        <v>0.111350149376</v>
      </c>
      <c r="AG146" s="751">
        <f>$G$22*$F$9*'Traffic Data'!BI12*annualizationFactor</f>
        <v>0.11309158014400002</v>
      </c>
      <c r="AH146" s="752">
        <f>$G$22*$F$9*'Traffic Data'!BJ12*annualizationFactor</f>
        <v>0.11483410649600002</v>
      </c>
      <c r="AI146" s="40"/>
      <c r="AJ146" s="40"/>
      <c r="AK146" s="40"/>
      <c r="AL146" s="40"/>
      <c r="AM146" s="40"/>
    </row>
    <row r="147" spans="2:39" ht="21.9" customHeight="1" x14ac:dyDescent="0.25">
      <c r="B147" s="469" t="s">
        <v>320</v>
      </c>
      <c r="C147" s="114" t="s">
        <v>318</v>
      </c>
      <c r="D147" s="114" t="s">
        <v>308</v>
      </c>
      <c r="E147" s="273" t="s">
        <v>434</v>
      </c>
      <c r="F147" s="273" t="s">
        <v>41</v>
      </c>
      <c r="G147" s="754"/>
      <c r="H147" s="754"/>
      <c r="I147" s="749">
        <f>$G$22*$G$9*'Traffic Data'!AK13*annualizationFactor</f>
        <v>1.3724000000000001E-4</v>
      </c>
      <c r="J147" s="749">
        <f>$G$22*$G$9*'Traffic Data'!AL13*annualizationFactor</f>
        <v>2.2219155999999999E-4</v>
      </c>
      <c r="K147" s="749">
        <f>$G$22*$G$9*'Traffic Data'!AM13*annualizationFactor</f>
        <v>6.3391155999999995E-4</v>
      </c>
      <c r="L147" s="749">
        <f>$G$22*$G$9*'Traffic Data'!AN13*annualizationFactor</f>
        <v>1.34028584E-3</v>
      </c>
      <c r="M147" s="749">
        <f>$G$22*$G$9*'Traffic Data'!AO13*annualizationFactor</f>
        <v>2.0472090800000005E-3</v>
      </c>
      <c r="N147" s="749">
        <f>$G$22*$G$9*'Traffic Data'!AP13*annualizationFactor</f>
        <v>2.7538578400000007E-3</v>
      </c>
      <c r="O147" s="749">
        <f>$G$22*$G$9*'Traffic Data'!AQ13*annualizationFactor</f>
        <v>3.4602321200000005E-3</v>
      </c>
      <c r="P147" s="749">
        <f>$G$22*$G$9*'Traffic Data'!AR13*annualizationFactor</f>
        <v>4.1677043200000008E-3</v>
      </c>
      <c r="Q147" s="749">
        <f>$G$22*$G$9*'Traffic Data'!AS13*annualizationFactor</f>
        <v>4.5477218800000002E-3</v>
      </c>
      <c r="R147" s="749">
        <f>$G$22*$G$9*'Traffic Data'!AT13*annualizationFactor</f>
        <v>4.9282884000000004E-3</v>
      </c>
      <c r="S147" s="749">
        <f>$G$22*$G$9*'Traffic Data'!AU13*annualizationFactor</f>
        <v>5.3084432000000004E-3</v>
      </c>
      <c r="T147" s="749">
        <f>$G$22*$G$9*'Traffic Data'!AV13*annualizationFactor</f>
        <v>5.6884607600000007E-3</v>
      </c>
      <c r="U147" s="749">
        <f>$G$22*$G$9*'Traffic Data'!AW13*annualizationFactor</f>
        <v>6.0694390000000011E-3</v>
      </c>
      <c r="V147" s="749">
        <f>$G$22*$G$9*'Traffic Data'!AX13*annualizationFactor</f>
        <v>6.1543905599999995E-3</v>
      </c>
      <c r="W147" s="749">
        <f>$G$22*$G$9*'Traffic Data'!AY13*annualizationFactor</f>
        <v>6.2393421199999997E-3</v>
      </c>
      <c r="X147" s="749">
        <f>$G$22*$G$9*'Traffic Data'!AZ13*annualizationFactor</f>
        <v>6.3242936799999998E-3</v>
      </c>
      <c r="Y147" s="749">
        <f>$G$22*$G$9*'Traffic Data'!BA13*annualizationFactor</f>
        <v>6.4092452400000008E-3</v>
      </c>
      <c r="Z147" s="749">
        <f>$G$22*$G$9*'Traffic Data'!BB13*annualizationFactor</f>
        <v>6.4946085200000012E-3</v>
      </c>
      <c r="AA147" s="749">
        <f>$G$22*$G$9*'Traffic Data'!BC13*annualizationFactor</f>
        <v>6.5795600800000005E-3</v>
      </c>
      <c r="AB147" s="749">
        <f>$G$22*$G$9*'Traffic Data'!BD13*annualizationFactor</f>
        <v>6.66492336E-3</v>
      </c>
      <c r="AC147" s="749">
        <f>$G$22*$G$9*'Traffic Data'!BE13*annualizationFactor</f>
        <v>6.7498749199999993E-3</v>
      </c>
      <c r="AD147" s="749">
        <f>$G$22*$G$9*'Traffic Data'!BF13*annualizationFactor</f>
        <v>6.8348264800000003E-3</v>
      </c>
      <c r="AE147" s="749">
        <f>$G$22*$G$9*'Traffic Data'!BG13*annualizationFactor</f>
        <v>6.9201897600000006E-3</v>
      </c>
      <c r="AF147" s="749">
        <f>$G$22*$G$9*'Traffic Data'!BH13*annualizationFactor</f>
        <v>7.005141319999999E-3</v>
      </c>
      <c r="AG147" s="749">
        <f>$G$22*$G$9*'Traffic Data'!BI13*annualizationFactor</f>
        <v>7.09009288E-3</v>
      </c>
      <c r="AH147" s="750">
        <f>$G$22*$G$9*'Traffic Data'!BJ13*annualizationFactor</f>
        <v>7.1754561600000022E-3</v>
      </c>
      <c r="AI147" s="40"/>
      <c r="AJ147" s="40"/>
      <c r="AK147" s="40"/>
      <c r="AL147" s="40"/>
      <c r="AM147" s="40"/>
    </row>
    <row r="148" spans="2:39" ht="21.9" customHeight="1" x14ac:dyDescent="0.25">
      <c r="B148" s="1332" t="s">
        <v>308</v>
      </c>
      <c r="C148" s="217" t="s">
        <v>276</v>
      </c>
      <c r="D148" s="217" t="s">
        <v>320</v>
      </c>
      <c r="E148" s="114" t="s">
        <v>434</v>
      </c>
      <c r="F148" s="114" t="s">
        <v>41</v>
      </c>
      <c r="G148" s="941"/>
      <c r="H148" s="941"/>
      <c r="I148" s="749">
        <f>$G$22*$H$9*'Traffic Data'!AK14*annualizationFactor</f>
        <v>3.9419999999999999E-4</v>
      </c>
      <c r="J148" s="749">
        <f>$G$22*$H$9*'Traffic Data'!AL14*annualizationFactor</f>
        <v>3.9419999999999999E-4</v>
      </c>
      <c r="K148" s="749">
        <f>$G$22*$H$9*'Traffic Data'!AM14*annualizationFactor</f>
        <v>4.6125342000000015E-3</v>
      </c>
      <c r="L148" s="749">
        <f>$G$22*$H$9*'Traffic Data'!AN14*annualizationFactor</f>
        <v>8.8308684000000005E-3</v>
      </c>
      <c r="M148" s="749">
        <f>$G$22*$H$9*'Traffic Data'!AO14*annualizationFactor</f>
        <v>1.3052750400000004E-2</v>
      </c>
      <c r="N148" s="749">
        <f>$G$22*$H$9*'Traffic Data'!AP14*annualizationFactor</f>
        <v>1.7271084600000004E-2</v>
      </c>
      <c r="O148" s="749">
        <f>$G$22*$H$9*'Traffic Data'!AQ14*annualizationFactor</f>
        <v>2.1489418800000007E-2</v>
      </c>
      <c r="P148" s="749">
        <f>$G$22*$H$9*'Traffic Data'!AR14*annualizationFactor</f>
        <v>2.5711300800000007E-2</v>
      </c>
      <c r="Q148" s="749">
        <f>$G$22*$H$9*'Traffic Data'!AS14*annualizationFactor</f>
        <v>2.5711300800000007E-2</v>
      </c>
      <c r="R148" s="749">
        <f>$G$22*$H$9*'Traffic Data'!AT14*annualizationFactor</f>
        <v>2.5711300800000007E-2</v>
      </c>
      <c r="S148" s="749">
        <f>$G$22*$H$9*'Traffic Data'!AU14*annualizationFactor</f>
        <v>2.5711300800000007E-2</v>
      </c>
      <c r="T148" s="749">
        <f>$G$22*$H$9*'Traffic Data'!AV14*annualizationFactor</f>
        <v>2.5711300800000007E-2</v>
      </c>
      <c r="U148" s="749">
        <f>$G$22*$H$9*'Traffic Data'!AW14*annualizationFactor</f>
        <v>2.5711300800000007E-2</v>
      </c>
      <c r="V148" s="749">
        <f>$G$22*$H$9*'Traffic Data'!AX14*annualizationFactor</f>
        <v>2.5711300800000007E-2</v>
      </c>
      <c r="W148" s="749">
        <f>$G$22*$H$9*'Traffic Data'!AY14*annualizationFactor</f>
        <v>2.5711300800000007E-2</v>
      </c>
      <c r="X148" s="749">
        <f>$G$22*$H$9*'Traffic Data'!AZ14*annualizationFactor</f>
        <v>2.5711300800000007E-2</v>
      </c>
      <c r="Y148" s="749">
        <f>$G$22*$H$9*'Traffic Data'!BA14*annualizationFactor</f>
        <v>2.5711300800000007E-2</v>
      </c>
      <c r="Z148" s="749">
        <f>$G$22*$H$9*'Traffic Data'!BB14*annualizationFactor</f>
        <v>2.5711300800000007E-2</v>
      </c>
      <c r="AA148" s="749">
        <f>$G$22*$H$9*'Traffic Data'!BC14*annualizationFactor</f>
        <v>2.5711300800000007E-2</v>
      </c>
      <c r="AB148" s="749">
        <f>$G$22*$H$9*'Traffic Data'!BD14*annualizationFactor</f>
        <v>2.5711300800000007E-2</v>
      </c>
      <c r="AC148" s="749">
        <f>$G$22*$H$9*'Traffic Data'!BE14*annualizationFactor</f>
        <v>2.5711300800000007E-2</v>
      </c>
      <c r="AD148" s="749">
        <f>$G$22*$H$9*'Traffic Data'!BF14*annualizationFactor</f>
        <v>2.5711300800000007E-2</v>
      </c>
      <c r="AE148" s="749">
        <f>$G$22*$H$9*'Traffic Data'!BG14*annualizationFactor</f>
        <v>2.5711300800000007E-2</v>
      </c>
      <c r="AF148" s="749">
        <f>$G$22*$H$9*'Traffic Data'!BH14*annualizationFactor</f>
        <v>2.5711300800000007E-2</v>
      </c>
      <c r="AG148" s="749">
        <f>$G$22*$H$9*'Traffic Data'!BI14*annualizationFactor</f>
        <v>2.5711300800000007E-2</v>
      </c>
      <c r="AH148" s="750">
        <f>$G$22*$H$9*'Traffic Data'!BJ14*annualizationFactor</f>
        <v>2.5711300800000007E-2</v>
      </c>
      <c r="AI148" s="40"/>
      <c r="AJ148" s="40"/>
      <c r="AK148" s="40"/>
      <c r="AL148" s="40"/>
      <c r="AM148" s="40"/>
    </row>
    <row r="149" spans="2:39" ht="21.9" customHeight="1" x14ac:dyDescent="0.25">
      <c r="B149" s="1332"/>
      <c r="C149" s="114" t="s">
        <v>320</v>
      </c>
      <c r="D149" s="114" t="s">
        <v>282</v>
      </c>
      <c r="E149" s="114" t="s">
        <v>434</v>
      </c>
      <c r="F149" s="114" t="s">
        <v>41</v>
      </c>
      <c r="G149" s="941"/>
      <c r="H149" s="941"/>
      <c r="I149" s="751">
        <f>$G$22*$H$9*'Traffic Data'!AK15*annualizationFactor</f>
        <v>1.7987200000000003E-4</v>
      </c>
      <c r="J149" s="751">
        <f>$G$22*$H$9*'Traffic Data'!AL15*annualizationFactor</f>
        <v>3.4175680000000003E-4</v>
      </c>
      <c r="K149" s="751">
        <f>$G$22*$H$9*'Traffic Data'!AM15*annualizationFactor</f>
        <v>5.0364160000000008E-4</v>
      </c>
      <c r="L149" s="751">
        <f>$G$22*$H$9*'Traffic Data'!AN15*annualizationFactor</f>
        <v>1.0955840000000001E-3</v>
      </c>
      <c r="M149" s="751">
        <f>$G$22*$H$9*'Traffic Data'!AO15*annualizationFactor</f>
        <v>1.6867088000000004E-3</v>
      </c>
      <c r="N149" s="751">
        <f>$G$22*$H$9*'Traffic Data'!AP15*annualizationFactor</f>
        <v>2.2794688000000005E-3</v>
      </c>
      <c r="O149" s="751">
        <f>$G$22*$H$9*'Traffic Data'!AQ15*annualizationFactor</f>
        <v>2.8714112000000004E-3</v>
      </c>
      <c r="P149" s="751">
        <f>$G$22*$H$9*'Traffic Data'!AR15*annualizationFactor</f>
        <v>3.4633536000000008E-3</v>
      </c>
      <c r="Q149" s="751">
        <f>$G$22*$H$9*'Traffic Data'!AS15*annualizationFactor</f>
        <v>4.4927120000000003E-3</v>
      </c>
      <c r="R149" s="751">
        <f>$G$22*$H$9*'Traffic Data'!AT15*annualizationFactor</f>
        <v>5.5212528000000011E-3</v>
      </c>
      <c r="S149" s="751">
        <f>$G$22*$H$9*'Traffic Data'!AU15*annualizationFactor</f>
        <v>6.549793600000001E-3</v>
      </c>
      <c r="T149" s="751">
        <f>$G$22*$H$9*'Traffic Data'!AV15*annualizationFactor</f>
        <v>7.5791520000000022E-3</v>
      </c>
      <c r="U149" s="751">
        <f>$G$22*$H$9*'Traffic Data'!AW15*annualizationFactor</f>
        <v>8.6085104000000016E-3</v>
      </c>
      <c r="V149" s="751">
        <f>$G$22*$H$9*'Traffic Data'!AX15*annualizationFactor</f>
        <v>9.2078112000000007E-3</v>
      </c>
      <c r="W149" s="751">
        <f>$G$22*$H$9*'Traffic Data'!AY15*annualizationFactor</f>
        <v>9.3688784000000025E-3</v>
      </c>
      <c r="X149" s="751">
        <f>$G$22*$H$9*'Traffic Data'!AZ15*annualizationFactor</f>
        <v>9.5307632000000021E-3</v>
      </c>
      <c r="Y149" s="751">
        <f>$G$22*$H$9*'Traffic Data'!BA15*annualizationFactor</f>
        <v>9.6926480000000016E-3</v>
      </c>
      <c r="Z149" s="751">
        <f>$G$22*$H$9*'Traffic Data'!BB15*annualizationFactor</f>
        <v>9.8545328000000012E-3</v>
      </c>
      <c r="AA149" s="751">
        <f>$G$22*$H$9*'Traffic Data'!BC15*annualizationFactor</f>
        <v>1.0016417600000001E-2</v>
      </c>
      <c r="AB149" s="751">
        <f>$G$22*$H$9*'Traffic Data'!BD15*annualizationFactor</f>
        <v>1.0178302400000002E-2</v>
      </c>
      <c r="AC149" s="751">
        <f>$G$22*$H$9*'Traffic Data'!BE15*annualizationFactor</f>
        <v>1.0340187200000002E-2</v>
      </c>
      <c r="AD149" s="751">
        <f>$G$22*$H$9*'Traffic Data'!BF15*annualizationFactor</f>
        <v>1.0502072000000001E-2</v>
      </c>
      <c r="AE149" s="751">
        <f>$G$22*$H$9*'Traffic Data'!BG15*annualizationFactor</f>
        <v>1.0663139200000001E-2</v>
      </c>
      <c r="AF149" s="751">
        <f>$G$22*$H$9*'Traffic Data'!BH15*annualizationFactor</f>
        <v>1.0825024000000003E-2</v>
      </c>
      <c r="AG149" s="751">
        <f>$G$22*$H$9*'Traffic Data'!BI15*annualizationFactor</f>
        <v>1.0986908800000002E-2</v>
      </c>
      <c r="AH149" s="752">
        <f>$G$22*$H$9*'Traffic Data'!BJ15*annualizationFactor</f>
        <v>1.11487936E-2</v>
      </c>
      <c r="AI149" s="40"/>
      <c r="AJ149" s="40"/>
      <c r="AK149" s="40"/>
      <c r="AL149" s="40"/>
      <c r="AM149" s="40"/>
    </row>
    <row r="150" spans="2:39" ht="21.9" customHeight="1" x14ac:dyDescent="0.25">
      <c r="B150" s="1332"/>
      <c r="C150" s="114" t="s">
        <v>282</v>
      </c>
      <c r="D150" s="114" t="s">
        <v>321</v>
      </c>
      <c r="E150" s="114" t="s">
        <v>434</v>
      </c>
      <c r="F150" s="114" t="s">
        <v>41</v>
      </c>
      <c r="G150" s="941"/>
      <c r="H150" s="941"/>
      <c r="I150" s="751">
        <f>$G$22*$H$9*'Traffic Data'!AK16*annualizationFactor</f>
        <v>6.3948E-4</v>
      </c>
      <c r="J150" s="751">
        <f>$G$22*$H$9*'Traffic Data'!AL16*annualizationFactor</f>
        <v>1.214734892E-3</v>
      </c>
      <c r="K150" s="751">
        <f>$G$22*$H$9*'Traffic Data'!AM16*annualizationFactor</f>
        <v>1.7897979400000002E-3</v>
      </c>
      <c r="L150" s="751">
        <f>$G$22*$H$9*'Traffic Data'!AN16*annualizationFactor</f>
        <v>3.8936231919999998E-3</v>
      </c>
      <c r="M150" s="751">
        <f>$G$22*$H$9*'Traffic Data'!AO16*annualizationFactor</f>
        <v>5.997533708E-3</v>
      </c>
      <c r="N150" s="751">
        <f>$G$22*$H$9*'Traffic Data'!AP16*annualizationFactor</f>
        <v>8.1041300400000009E-3</v>
      </c>
      <c r="O150" s="751">
        <f>$G$22*$H$9*'Traffic Data'!AQ16*annualizationFactor</f>
        <v>1.0207955292E-2</v>
      </c>
      <c r="P150" s="751">
        <f>$G$22*$H$9*'Traffic Data'!AR16*annualizationFactor</f>
        <v>1.2313059504000001E-2</v>
      </c>
      <c r="Q150" s="751">
        <f>$G$22*$H$9*'Traffic Data'!AS16*annualizationFactor</f>
        <v>1.5971460636000002E-2</v>
      </c>
      <c r="R150" s="751">
        <f>$G$22*$H$9*'Traffic Data'!AT16*annualizationFactor</f>
        <v>1.9628369648000004E-2</v>
      </c>
      <c r="S150" s="751">
        <f>$G$22*$H$9*'Traffic Data'!AU16*annualizationFactor</f>
        <v>2.3286493671999999E-2</v>
      </c>
      <c r="T150" s="751">
        <f>$G$22*$H$9*'Traffic Data'!AV16*annualizationFactor</f>
        <v>2.6944894804000002E-2</v>
      </c>
      <c r="U150" s="751">
        <f>$G$22*$H$9*'Traffic Data'!AW16*annualizationFactor</f>
        <v>3.0605960435999995E-2</v>
      </c>
      <c r="V150" s="751">
        <f>$G$22*$H$9*'Traffic Data'!AX16*annualizationFactor</f>
        <v>3.2734128559999999E-2</v>
      </c>
      <c r="W150" s="751">
        <f>$G$22*$H$9*'Traffic Data'!AY16*annualizationFactor</f>
        <v>3.3309383451999998E-2</v>
      </c>
      <c r="X150" s="751">
        <f>$G$22*$H$9*'Traffic Data'!AZ16*annualizationFactor</f>
        <v>3.3884638343999997E-2</v>
      </c>
      <c r="Y150" s="751">
        <f>$G$22*$H$9*'Traffic Data'!BA16*annualizationFactor</f>
        <v>3.4459893235999996E-2</v>
      </c>
      <c r="Z150" s="751">
        <f>$G$22*$H$9*'Traffic Data'!BB16*annualizationFactor</f>
        <v>3.5034956283999996E-2</v>
      </c>
      <c r="AA150" s="751">
        <f>$G$22*$H$9*'Traffic Data'!BC16*annualizationFactor</f>
        <v>3.5610211176000002E-2</v>
      </c>
      <c r="AB150" s="751">
        <f>$G$22*$H$9*'Traffic Data'!BD16*annualizationFactor</f>
        <v>3.6185274223999996E-2</v>
      </c>
      <c r="AC150" s="751">
        <f>$G$22*$H$9*'Traffic Data'!BE16*annualizationFactor</f>
        <v>3.6760529115999994E-2</v>
      </c>
      <c r="AD150" s="751">
        <f>$G$22*$H$9*'Traffic Data'!BF16*annualizationFactor</f>
        <v>3.7335784008E-2</v>
      </c>
      <c r="AE150" s="751">
        <f>$G$22*$H$9*'Traffic Data'!BG16*annualizationFactor</f>
        <v>3.7910847056000001E-2</v>
      </c>
      <c r="AF150" s="751">
        <f>$G$22*$H$9*'Traffic Data'!BH16*annualizationFactor</f>
        <v>3.8486101948000007E-2</v>
      </c>
      <c r="AG150" s="751">
        <f>$G$22*$H$9*'Traffic Data'!BI16*annualizationFactor</f>
        <v>3.9061356840000006E-2</v>
      </c>
      <c r="AH150" s="752">
        <f>$G$22*$H$9*'Traffic Data'!BJ16*annualizationFactor</f>
        <v>3.9636419887999999E-2</v>
      </c>
      <c r="AI150" s="40"/>
      <c r="AJ150" s="40"/>
      <c r="AK150" s="40"/>
      <c r="AL150" s="40"/>
      <c r="AM150" s="40"/>
    </row>
    <row r="151" spans="2:39" ht="21.9" customHeight="1" x14ac:dyDescent="0.25">
      <c r="B151" s="1332"/>
      <c r="C151" s="250" t="s">
        <v>321</v>
      </c>
      <c r="D151" s="250" t="s">
        <v>274</v>
      </c>
      <c r="E151" s="114" t="s">
        <v>434</v>
      </c>
      <c r="F151" s="114" t="s">
        <v>41</v>
      </c>
      <c r="G151" s="941"/>
      <c r="H151" s="941"/>
      <c r="I151" s="751">
        <f>$G$22*$H$9*'Traffic Data'!AK17*annualizationFactor</f>
        <v>9.1980000000000002E-4</v>
      </c>
      <c r="J151" s="751">
        <f>$G$22*$H$9*'Traffic Data'!AL17*annualizationFactor</f>
        <v>1.7472214200000002E-3</v>
      </c>
      <c r="K151" s="751">
        <f>$G$22*$H$9*'Traffic Data'!AM17*annualizationFactor</f>
        <v>2.5743669000000005E-3</v>
      </c>
      <c r="L151" s="751">
        <f>$G$22*$H$9*'Traffic Data'!AN17*annualizationFactor</f>
        <v>5.6004169200000011E-3</v>
      </c>
      <c r="M151" s="751">
        <f>$G$22*$H$9*'Traffic Data'!AO17*annualizationFactor</f>
        <v>8.6265895800000016E-3</v>
      </c>
      <c r="N151" s="751">
        <f>$G$22*$H$9*'Traffic Data'!AP17*annualizationFactor</f>
        <v>1.1656625400000004E-2</v>
      </c>
      <c r="O151" s="751">
        <f>$G$22*$H$9*'Traffic Data'!AQ17*annualizationFactor</f>
        <v>1.4682675420000003E-2</v>
      </c>
      <c r="P151" s="751">
        <f>$G$22*$H$9*'Traffic Data'!AR17*annualizationFactor</f>
        <v>1.7710565040000004E-2</v>
      </c>
      <c r="Q151" s="751">
        <f>$G$22*$H$9*'Traffic Data'!AS17*annualizationFactor</f>
        <v>2.2972648860000004E-2</v>
      </c>
      <c r="R151" s="751">
        <f>$G$22*$H$9*'Traffic Data'!AT17*annualizationFactor</f>
        <v>2.8232586480000006E-2</v>
      </c>
      <c r="S151" s="751">
        <f>$G$22*$H$9*'Traffic Data'!AU17*annualizationFactor</f>
        <v>3.3494271719999996E-2</v>
      </c>
      <c r="T151" s="751">
        <f>$G$22*$H$9*'Traffic Data'!AV17*annualizationFactor</f>
        <v>3.8756355540000002E-2</v>
      </c>
      <c r="U151" s="751">
        <f>$G$22*$H$9*'Traffic Data'!AW17*annualizationFactor</f>
        <v>4.4022271860000003E-2</v>
      </c>
      <c r="V151" s="751">
        <f>$G$22*$H$9*'Traffic Data'!AX17*annualizationFactor</f>
        <v>4.7083335599999998E-2</v>
      </c>
      <c r="W151" s="751">
        <f>$G$22*$H$9*'Traffic Data'!AY17*annualizationFactor</f>
        <v>4.7910757020000007E-2</v>
      </c>
      <c r="X151" s="751">
        <f>$G$22*$H$9*'Traffic Data'!AZ17*annualizationFactor</f>
        <v>4.8738178439999995E-2</v>
      </c>
      <c r="Y151" s="751">
        <f>$G$22*$H$9*'Traffic Data'!BA17*annualizationFactor</f>
        <v>4.9565599860000004E-2</v>
      </c>
      <c r="Z151" s="751">
        <f>$G$22*$H$9*'Traffic Data'!BB17*annualizationFactor</f>
        <v>5.0392745340000003E-2</v>
      </c>
      <c r="AA151" s="751">
        <f>$G$22*$H$9*'Traffic Data'!BC17*annualizationFactor</f>
        <v>5.1220166760000005E-2</v>
      </c>
      <c r="AB151" s="751">
        <f>$G$22*$H$9*'Traffic Data'!BD17*annualizationFactor</f>
        <v>5.2047312239999997E-2</v>
      </c>
      <c r="AC151" s="751">
        <f>$G$22*$H$9*'Traffic Data'!BE17*annualizationFactor</f>
        <v>5.2874733659999999E-2</v>
      </c>
      <c r="AD151" s="751">
        <f>$G$22*$H$9*'Traffic Data'!BF17*annualizationFactor</f>
        <v>5.3702155080000001E-2</v>
      </c>
      <c r="AE151" s="751">
        <f>$G$22*$H$9*'Traffic Data'!BG17*annualizationFactor</f>
        <v>5.4529300560000001E-2</v>
      </c>
      <c r="AF151" s="751">
        <f>$G$22*$H$9*'Traffic Data'!BH17*annualizationFactor</f>
        <v>5.5356721980000016E-2</v>
      </c>
      <c r="AG151" s="751">
        <f>$G$22*$H$9*'Traffic Data'!BI17*annualizationFactor</f>
        <v>5.6184143400000011E-2</v>
      </c>
      <c r="AH151" s="752">
        <f>$G$22*$H$9*'Traffic Data'!BJ17*annualizationFactor</f>
        <v>5.7011288880000004E-2</v>
      </c>
      <c r="AI151" s="40"/>
      <c r="AJ151" s="40"/>
      <c r="AK151" s="40"/>
      <c r="AL151" s="40"/>
      <c r="AM151" s="40"/>
    </row>
    <row r="152" spans="2:39" ht="21.9" customHeight="1" x14ac:dyDescent="0.25">
      <c r="B152" s="469" t="s">
        <v>282</v>
      </c>
      <c r="C152" s="114" t="s">
        <v>308</v>
      </c>
      <c r="D152" s="114" t="s">
        <v>324</v>
      </c>
      <c r="E152" s="114" t="s">
        <v>434</v>
      </c>
      <c r="F152" s="114" t="s">
        <v>41</v>
      </c>
      <c r="G152" s="941"/>
      <c r="H152" s="941"/>
      <c r="I152" s="749">
        <f>$G$22*$J$9*'Traffic Data'!AK18*annualizationFactor</f>
        <v>5.2560000000000003E-3</v>
      </c>
      <c r="J152" s="749">
        <f>$G$22*$J$9*'Traffic Data'!AL18*annualizationFactor</f>
        <v>5.4530416000000007E-3</v>
      </c>
      <c r="K152" s="749">
        <f>$G$22*$J$9*'Traffic Data'!AM18*annualizationFactor</f>
        <v>5.7544440000000001E-3</v>
      </c>
      <c r="L152" s="749">
        <f>$G$22*$J$9*'Traffic Data'!AN18*annualizationFactor</f>
        <v>6.7120580000000025E-3</v>
      </c>
      <c r="M152" s="749">
        <f>$G$22*$J$9*'Traffic Data'!AO18*annualizationFactor</f>
        <v>7.6698180000000001E-3</v>
      </c>
      <c r="N152" s="749">
        <f>$G$22*$J$9*'Traffic Data'!AP18*annualizationFactor</f>
        <v>8.6285999999999984E-3</v>
      </c>
      <c r="O152" s="749">
        <f>$G$22*$J$9*'Traffic Data'!AQ18*annualizationFactor</f>
        <v>9.5862140000000009E-3</v>
      </c>
      <c r="P152" s="749">
        <f>$G$22*$J$9*'Traffic Data'!AR18*annualizationFactor</f>
        <v>1.0544762400000001E-2</v>
      </c>
      <c r="Q152" s="749">
        <f>$G$22*$J$9*'Traffic Data'!AS18*annualizationFactor</f>
        <v>1.1807750000000001E-2</v>
      </c>
      <c r="R152" s="749">
        <f>$G$22*$J$9*'Traffic Data'!AT18*annualizationFactor</f>
        <v>1.30704164E-2</v>
      </c>
      <c r="S152" s="749">
        <f>$G$22*$J$9*'Traffic Data'!AU18*annualizationFactor</f>
        <v>1.433355E-2</v>
      </c>
      <c r="T152" s="749">
        <f>$G$22*$J$9*'Traffic Data'!AV18*annualizationFactor</f>
        <v>1.5596537600000005E-2</v>
      </c>
      <c r="U152" s="749">
        <f>$G$22*$J$9*'Traffic Data'!AW18*annualizationFactor</f>
        <v>1.6860956000000003E-2</v>
      </c>
      <c r="V152" s="749">
        <f>$G$22*$J$9*'Traffic Data'!AX18*annualizationFactor</f>
        <v>1.7467089599999999E-2</v>
      </c>
      <c r="W152" s="749">
        <f>$G$22*$J$9*'Traffic Data'!AY18*annualizationFactor</f>
        <v>1.7664131199999999E-2</v>
      </c>
      <c r="X152" s="749">
        <f>$G$22*$J$9*'Traffic Data'!AZ18*annualizationFactor</f>
        <v>1.7861172799999998E-2</v>
      </c>
      <c r="Y152" s="749">
        <f>$G$22*$J$9*'Traffic Data'!BA18*annualizationFactor</f>
        <v>1.8058214400000001E-2</v>
      </c>
      <c r="Z152" s="749">
        <f>$G$22*$J$9*'Traffic Data'!BB18*annualizationFactor</f>
        <v>1.8255460400000003E-2</v>
      </c>
      <c r="AA152" s="749">
        <f>$G$22*$J$9*'Traffic Data'!BC18*annualizationFactor</f>
        <v>1.8452501999999996E-2</v>
      </c>
      <c r="AB152" s="749">
        <f>$G$22*$J$9*'Traffic Data'!BD18*annualizationFactor</f>
        <v>1.8649748000000001E-2</v>
      </c>
      <c r="AC152" s="749">
        <f>$G$22*$J$9*'Traffic Data'!BE18*annualizationFactor</f>
        <v>1.8846789600000004E-2</v>
      </c>
      <c r="AD152" s="749">
        <f>$G$22*$J$9*'Traffic Data'!BF18*annualizationFactor</f>
        <v>1.90438312E-2</v>
      </c>
      <c r="AE152" s="749">
        <f>$G$22*$J$9*'Traffic Data'!BG18*annualizationFactor</f>
        <v>1.9241077200000001E-2</v>
      </c>
      <c r="AF152" s="749">
        <f>$G$22*$J$9*'Traffic Data'!BH18*annualizationFactor</f>
        <v>1.9438118800000004E-2</v>
      </c>
      <c r="AG152" s="749">
        <f>$G$22*$J$9*'Traffic Data'!BI18*annualizationFactor</f>
        <v>1.9635160400000001E-2</v>
      </c>
      <c r="AH152" s="750">
        <f>$G$22*$J$9*'Traffic Data'!BJ18*annualizationFactor</f>
        <v>1.9832406400000002E-2</v>
      </c>
      <c r="AI152" s="40"/>
      <c r="AJ152" s="40"/>
      <c r="AK152" s="40"/>
      <c r="AL152" s="40"/>
      <c r="AM152" s="40"/>
    </row>
    <row r="153" spans="2:39" ht="21.9" customHeight="1" x14ac:dyDescent="0.25">
      <c r="B153" s="756" t="s">
        <v>321</v>
      </c>
      <c r="C153" s="273" t="s">
        <v>318</v>
      </c>
      <c r="D153" s="273" t="s">
        <v>308</v>
      </c>
      <c r="E153" s="273" t="s">
        <v>434</v>
      </c>
      <c r="F153" s="273" t="s">
        <v>41</v>
      </c>
      <c r="G153" s="754"/>
      <c r="H153" s="754"/>
      <c r="I153" s="749">
        <f>$G$22*$K$9*'Traffic Data'!AK19*annualizationFactor</f>
        <v>0</v>
      </c>
      <c r="J153" s="749">
        <f>$G$22*$K$9*'Traffic Data'!AL19*annualizationFactor</f>
        <v>0</v>
      </c>
      <c r="K153" s="749">
        <f>$G$22*$K$9*'Traffic Data'!AM19*annualizationFactor</f>
        <v>0</v>
      </c>
      <c r="L153" s="749">
        <f>$G$22*$K$9*'Traffic Data'!AN19*annualizationFactor</f>
        <v>0</v>
      </c>
      <c r="M153" s="749">
        <f>$G$22*$K$9*'Traffic Data'!AO19*annualizationFactor</f>
        <v>0</v>
      </c>
      <c r="N153" s="749">
        <f>$G$22*$K$9*'Traffic Data'!AP19*annualizationFactor</f>
        <v>0</v>
      </c>
      <c r="O153" s="749">
        <f>$G$22*$K$9*'Traffic Data'!AQ19*annualizationFactor</f>
        <v>0</v>
      </c>
      <c r="P153" s="749">
        <f>$G$22*$K$9*'Traffic Data'!AR19*annualizationFactor</f>
        <v>0</v>
      </c>
      <c r="Q153" s="749">
        <f>$G$22*$K$9*'Traffic Data'!AS19*annualizationFactor</f>
        <v>0</v>
      </c>
      <c r="R153" s="749">
        <f>$G$22*$K$9*'Traffic Data'!AT19*annualizationFactor</f>
        <v>0</v>
      </c>
      <c r="S153" s="749">
        <f>$G$22*$K$9*'Traffic Data'!AU19*annualizationFactor</f>
        <v>0</v>
      </c>
      <c r="T153" s="749">
        <f>$G$22*$K$9*'Traffic Data'!AV19*annualizationFactor</f>
        <v>0</v>
      </c>
      <c r="U153" s="749">
        <f>$G$22*$K$9*'Traffic Data'!AW19*annualizationFactor</f>
        <v>0</v>
      </c>
      <c r="V153" s="749">
        <f>$G$22*$K$9*'Traffic Data'!AX19*annualizationFactor</f>
        <v>0</v>
      </c>
      <c r="W153" s="749">
        <f>$G$22*$K$9*'Traffic Data'!AY19*annualizationFactor</f>
        <v>0</v>
      </c>
      <c r="X153" s="749">
        <f>$G$22*$K$9*'Traffic Data'!AZ19*annualizationFactor</f>
        <v>0</v>
      </c>
      <c r="Y153" s="749">
        <f>$G$22*$K$9*'Traffic Data'!BA19*annualizationFactor</f>
        <v>0</v>
      </c>
      <c r="Z153" s="749">
        <f>$G$22*$K$9*'Traffic Data'!BB19*annualizationFactor</f>
        <v>0</v>
      </c>
      <c r="AA153" s="749">
        <f>$G$22*$K$9*'Traffic Data'!BC19*annualizationFactor</f>
        <v>0</v>
      </c>
      <c r="AB153" s="749">
        <f>$G$22*$K$9*'Traffic Data'!BD19*annualizationFactor</f>
        <v>0</v>
      </c>
      <c r="AC153" s="749">
        <f>$G$22*$K$9*'Traffic Data'!BE19*annualizationFactor</f>
        <v>0</v>
      </c>
      <c r="AD153" s="749">
        <f>$G$22*$K$9*'Traffic Data'!BF19*annualizationFactor</f>
        <v>0</v>
      </c>
      <c r="AE153" s="749">
        <f>$G$22*$K$9*'Traffic Data'!BG19*annualizationFactor</f>
        <v>0</v>
      </c>
      <c r="AF153" s="749">
        <f>$G$22*$K$9*'Traffic Data'!BH19*annualizationFactor</f>
        <v>0</v>
      </c>
      <c r="AG153" s="749">
        <f>$G$22*$K$9*'Traffic Data'!BI19*annualizationFactor</f>
        <v>0</v>
      </c>
      <c r="AH153" s="750">
        <f>$G$22*$K$9*'Traffic Data'!BJ19*annualizationFactor</f>
        <v>0</v>
      </c>
      <c r="AI153" s="40"/>
      <c r="AJ153" s="40"/>
      <c r="AK153" s="40"/>
      <c r="AL153" s="40"/>
      <c r="AM153" s="40"/>
    </row>
    <row r="154" spans="2:39" ht="21.9" customHeight="1" x14ac:dyDescent="0.25">
      <c r="B154" s="756" t="s">
        <v>333</v>
      </c>
      <c r="C154" s="273" t="s">
        <v>319</v>
      </c>
      <c r="D154" s="273" t="s">
        <v>308</v>
      </c>
      <c r="E154" s="114" t="s">
        <v>434</v>
      </c>
      <c r="F154" s="114" t="s">
        <v>41</v>
      </c>
      <c r="G154" s="941"/>
      <c r="H154" s="941"/>
      <c r="I154" s="749">
        <f>$G$22*$L$9*'Traffic Data'!AK20*annualizationFactor</f>
        <v>9.7474909090909095E-3</v>
      </c>
      <c r="J154" s="749">
        <f>$G$22*$L$9*'Traffic Data'!AL20*annualizationFactor</f>
        <v>9.8981437963636364E-3</v>
      </c>
      <c r="K154" s="749">
        <f>$G$22*$L$9*'Traffic Data'!AM20*annualizationFactor</f>
        <v>1.0145675912727272E-2</v>
      </c>
      <c r="L154" s="749">
        <f>$G$22*$L$9*'Traffic Data'!AN20*annualizationFactor</f>
        <v>1.098696560727273E-2</v>
      </c>
      <c r="M154" s="749">
        <f>$G$22*$L$9*'Traffic Data'!AO20*annualizationFactor</f>
        <v>1.1828363607272727E-2</v>
      </c>
      <c r="N154" s="749">
        <f>$G$22*$L$9*'Traffic Data'!AP20*annualizationFactor</f>
        <v>1.2670736356363635E-2</v>
      </c>
      <c r="O154" s="749">
        <f>$G$22*$L$9*'Traffic Data'!AQ20*annualizationFactor</f>
        <v>1.3512026050909088E-2</v>
      </c>
      <c r="P154" s="749">
        <f>$G$22*$L$9*'Traffic Data'!AR20*annualizationFactor</f>
        <v>1.4354263418181818E-2</v>
      </c>
      <c r="Q154" s="749">
        <f>$G$22*$L$9*'Traffic Data'!AS20*annualizationFactor</f>
        <v>1.535213572363636E-2</v>
      </c>
      <c r="R154" s="749">
        <f>$G$22*$L$9*'Traffic Data'!AT20*annualizationFactor</f>
        <v>1.6349791418181815E-2</v>
      </c>
      <c r="S154" s="749">
        <f>$G$22*$L$9*'Traffic Data'!AU20*annualizationFactor</f>
        <v>1.7347934487272725E-2</v>
      </c>
      <c r="T154" s="749">
        <f>$G$22*$L$9*'Traffic Data'!AV20*annualizationFactor</f>
        <v>1.8345806792727272E-2</v>
      </c>
      <c r="U154" s="749">
        <f>$G$22*$L$9*'Traffic Data'!AW20*annualizationFactor</f>
        <v>1.9345087069090907E-2</v>
      </c>
      <c r="V154" s="749">
        <f>$G$22*$L$9*'Traffic Data'!AX20*annualizationFactor</f>
        <v>1.9748633192727273E-2</v>
      </c>
      <c r="W154" s="749">
        <f>$G$22*$L$9*'Traffic Data'!AY20*annualizationFactor</f>
        <v>1.9899286079999998E-2</v>
      </c>
      <c r="X154" s="749">
        <f>$G$22*$L$9*'Traffic Data'!AZ20*annualizationFactor</f>
        <v>2.004993896727273E-2</v>
      </c>
      <c r="Y154" s="749">
        <f>$G$22*$L$9*'Traffic Data'!BA20*annualizationFactor</f>
        <v>2.0200591854545456E-2</v>
      </c>
      <c r="Z154" s="749">
        <f>$G$22*$L$9*'Traffic Data'!BB20*annualizationFactor</f>
        <v>2.0351542581818181E-2</v>
      </c>
      <c r="AA154" s="749">
        <f>$G$22*$L$9*'Traffic Data'!BC20*annualizationFactor</f>
        <v>2.0502195469090909E-2</v>
      </c>
      <c r="AB154" s="749">
        <f>$G$22*$L$9*'Traffic Data'!BD20*annualizationFactor</f>
        <v>2.0653146196363638E-2</v>
      </c>
      <c r="AC154" s="749">
        <f>$G$22*$L$9*'Traffic Data'!BE20*annualizationFactor</f>
        <v>2.0803799083636363E-2</v>
      </c>
      <c r="AD154" s="749">
        <f>$G$22*$L$9*'Traffic Data'!BF20*annualizationFactor</f>
        <v>2.0954451970909092E-2</v>
      </c>
      <c r="AE154" s="749">
        <f>$G$22*$L$9*'Traffic Data'!BG20*annualizationFactor</f>
        <v>2.110540269818182E-2</v>
      </c>
      <c r="AF154" s="749">
        <f>$G$22*$L$9*'Traffic Data'!BH20*annualizationFactor</f>
        <v>2.1256055585454549E-2</v>
      </c>
      <c r="AG154" s="749">
        <f>$G$22*$L$9*'Traffic Data'!BI20*annualizationFactor</f>
        <v>2.1406708472727277E-2</v>
      </c>
      <c r="AH154" s="750">
        <f>$G$22*$L$9*'Traffic Data'!BJ20*annualizationFactor</f>
        <v>2.1557659200000003E-2</v>
      </c>
      <c r="AI154" s="40"/>
      <c r="AJ154" s="40"/>
      <c r="AK154" s="40"/>
      <c r="AL154" s="40"/>
      <c r="AM154" s="40"/>
    </row>
    <row r="155" spans="2:39" ht="21.9" customHeight="1" x14ac:dyDescent="0.25">
      <c r="B155" s="469" t="s">
        <v>319</v>
      </c>
      <c r="C155" s="114" t="s">
        <v>276</v>
      </c>
      <c r="D155" s="114" t="s">
        <v>333</v>
      </c>
      <c r="E155" s="217" t="s">
        <v>434</v>
      </c>
      <c r="F155" s="217" t="s">
        <v>41</v>
      </c>
      <c r="G155" s="749"/>
      <c r="H155" s="749"/>
      <c r="I155" s="749">
        <f>$G$22*$M$9*'Traffic Data'!AK21*annualizationFactor</f>
        <v>3.5006818181818188E-2</v>
      </c>
      <c r="J155" s="749">
        <f>$G$22*$M$9*'Traffic Data'!AL21*annualizationFactor</f>
        <v>3.63085467159091E-2</v>
      </c>
      <c r="K155" s="749">
        <f>$G$22*$M$9*'Traffic Data'!AM21*annualizationFactor</f>
        <v>3.7694221600000001E-2</v>
      </c>
      <c r="L155" s="749">
        <f>$G$22*$M$9*'Traffic Data'!AN21*annualizationFactor</f>
        <v>4.0768275324999999E-2</v>
      </c>
      <c r="M155" s="749">
        <f>$G$22*$M$9*'Traffic Data'!AO21*annualizationFactor</f>
        <v>4.3843099200000013E-2</v>
      </c>
      <c r="N155" s="749">
        <f>$G$22*$M$9*'Traffic Data'!AP21*annualizationFactor</f>
        <v>4.691960340227274E-2</v>
      </c>
      <c r="O155" s="749">
        <f>$G$22*$M$9*'Traffic Data'!AQ21*annualizationFactor</f>
        <v>4.9993657127272759E-2</v>
      </c>
      <c r="P155" s="749">
        <f>$G$22*$M$9*'Traffic Data'!AR21*annualizationFactor</f>
        <v>5.3070406377272734E-2</v>
      </c>
      <c r="Q155" s="749">
        <f>$G$22*$M$9*'Traffic Data'!AS21*annualizationFactor</f>
        <v>5.7206812013636359E-2</v>
      </c>
      <c r="R155" s="749">
        <f>$G$22*$M$9*'Traffic Data'!AT21*annualizationFactor</f>
        <v>6.1343392684090906E-2</v>
      </c>
      <c r="S155" s="749">
        <f>$G$22*$M$9*'Traffic Data'!AU21*annualizationFactor</f>
        <v>6.5479798320454544E-2</v>
      </c>
      <c r="T155" s="749">
        <f>$G$22*$M$9*'Traffic Data'!AV21*annualizationFactor</f>
        <v>6.9616203956818182E-2</v>
      </c>
      <c r="U155" s="749">
        <f>$G$22*$M$9*'Traffic Data'!AW21*annualizationFactor</f>
        <v>7.375646034318184E-2</v>
      </c>
      <c r="V155" s="749">
        <f>$G$22*$M$9*'Traffic Data'!AX21*annualizationFactor</f>
        <v>7.6202561763636364E-2</v>
      </c>
      <c r="W155" s="749">
        <f>$G$22*$M$9*'Traffic Data'!AY21*annualizationFactor</f>
        <v>7.7504290297727291E-2</v>
      </c>
      <c r="X155" s="749">
        <f>$G$22*$M$9*'Traffic Data'!AZ21*annualizationFactor</f>
        <v>7.8806018831818175E-2</v>
      </c>
      <c r="Y155" s="749">
        <f>$G$22*$M$9*'Traffic Data'!BA21*annualizationFactor</f>
        <v>8.0107747365909102E-2</v>
      </c>
      <c r="Z155" s="749">
        <f>$G$22*$M$9*'Traffic Data'!BB21*annualizationFactor</f>
        <v>8.1410176036363635E-2</v>
      </c>
      <c r="AA155" s="749">
        <f>$G$22*$M$9*'Traffic Data'!BC21*annualizationFactor</f>
        <v>8.2711904570454534E-2</v>
      </c>
      <c r="AB155" s="749">
        <f>$G$22*$M$9*'Traffic Data'!BD21*annualizationFactor</f>
        <v>8.4014333240909081E-2</v>
      </c>
      <c r="AC155" s="749">
        <f>$G$22*$M$9*'Traffic Data'!BE21*annualizationFactor</f>
        <v>8.5316061775000007E-2</v>
      </c>
      <c r="AD155" s="749">
        <f>$G$22*$M$9*'Traffic Data'!BF21*annualizationFactor</f>
        <v>8.6617790309090906E-2</v>
      </c>
      <c r="AE155" s="749">
        <f>$G$22*$M$9*'Traffic Data'!BG21*annualizationFactor</f>
        <v>8.7920218979545467E-2</v>
      </c>
      <c r="AF155" s="749">
        <f>$G$22*$M$9*'Traffic Data'!BH21*annualizationFactor</f>
        <v>8.9221947513636352E-2</v>
      </c>
      <c r="AG155" s="749">
        <f>$G$22*$M$9*'Traffic Data'!BI21*annualizationFactor</f>
        <v>9.0523676047727278E-2</v>
      </c>
      <c r="AH155" s="750">
        <f>$G$22*$M$9*'Traffic Data'!BJ21*annualizationFactor</f>
        <v>9.1826104718181825E-2</v>
      </c>
      <c r="AI155" s="40"/>
      <c r="AJ155" s="40"/>
      <c r="AK155" s="40"/>
      <c r="AL155" s="40"/>
      <c r="AM155" s="40"/>
    </row>
    <row r="156" spans="2:39" ht="21.9" customHeight="1" x14ac:dyDescent="0.25">
      <c r="B156" s="469"/>
      <c r="C156" s="114" t="s">
        <v>333</v>
      </c>
      <c r="D156" s="114" t="s">
        <v>323</v>
      </c>
      <c r="E156" s="114" t="s">
        <v>434</v>
      </c>
      <c r="F156" s="114" t="s">
        <v>41</v>
      </c>
      <c r="G156" s="941"/>
      <c r="H156" s="941"/>
      <c r="I156" s="751">
        <f>$G$22*$M$9*'Traffic Data'!AK22*annualizationFactor</f>
        <v>5.0982757575757584E-3</v>
      </c>
      <c r="J156" s="751">
        <f>$G$22*$M$9*'Traffic Data'!AL22*annualizationFactor</f>
        <v>5.2797005837121212E-3</v>
      </c>
      <c r="K156" s="751">
        <f>$G$22*$M$9*'Traffic Data'!AM22*annualizationFactor</f>
        <v>5.4771447289393939E-3</v>
      </c>
      <c r="L156" s="751">
        <f>$G$22*$M$9*'Traffic Data'!AN22*annualizationFactor</f>
        <v>5.8546385075000018E-3</v>
      </c>
      <c r="M156" s="751">
        <f>$G$22*$M$9*'Traffic Data'!AO22*annualizationFactor</f>
        <v>6.232279867727274E-3</v>
      </c>
      <c r="N156" s="751">
        <f>$G$22*$M$9*'Traffic Data'!AP22*annualizationFactor</f>
        <v>6.6099748940151521E-3</v>
      </c>
      <c r="O156" s="751">
        <f>$G$22*$M$9*'Traffic Data'!AQ22*annualizationFactor</f>
        <v>6.9874686725757574E-3</v>
      </c>
      <c r="P156" s="751">
        <f>$G$22*$M$9*'Traffic Data'!AR22*annualizationFactor</f>
        <v>7.365277739242425E-3</v>
      </c>
      <c r="Q156" s="751">
        <f>$G$22*$M$9*'Traffic Data'!AS22*annualizationFactor</f>
        <v>7.8836248021212103E-3</v>
      </c>
      <c r="R156" s="751">
        <f>$G$22*$M$9*'Traffic Data'!AT22*annualizationFactor</f>
        <v>8.4020724888636353E-3</v>
      </c>
      <c r="S156" s="751">
        <f>$G$22*$M$9*'Traffic Data'!AU22*annualizationFactor</f>
        <v>8.9203524691666668E-3</v>
      </c>
      <c r="T156" s="751">
        <f>$G$22*$M$9*'Traffic Data'!AV22*annualizationFactor</f>
        <v>9.4386995320454546E-3</v>
      </c>
      <c r="U156" s="751">
        <f>$G$22*$M$9*'Traffic Data'!AW22*annualizationFactor</f>
        <v>9.9574490903787862E-3</v>
      </c>
      <c r="V156" s="751">
        <f>$G$22*$M$9*'Traffic Data'!AX22*annualizationFactor</f>
        <v>1.029551173090909E-2</v>
      </c>
      <c r="W156" s="751">
        <f>$G$22*$M$9*'Traffic Data'!AY22*annualizationFactor</f>
        <v>1.0476936557045454E-2</v>
      </c>
      <c r="X156" s="751">
        <f>$G$22*$M$9*'Traffic Data'!AZ22*annualizationFactor</f>
        <v>1.0658361383181818E-2</v>
      </c>
      <c r="Y156" s="751">
        <f>$G$22*$M$9*'Traffic Data'!BA22*annualizationFactor</f>
        <v>1.0839786209318181E-2</v>
      </c>
      <c r="Z156" s="751">
        <f>$G$22*$M$9*'Traffic Data'!BB22*annualizationFactor</f>
        <v>1.1021278118030303E-2</v>
      </c>
      <c r="AA156" s="751">
        <f>$G$22*$M$9*'Traffic Data'!BC22*annualizationFactor</f>
        <v>1.1202702944166663E-2</v>
      </c>
      <c r="AB156" s="751">
        <f>$G$22*$M$9*'Traffic Data'!BD22*annualizationFactor</f>
        <v>1.138419485287879E-2</v>
      </c>
      <c r="AC156" s="751">
        <f>$G$22*$M$9*'Traffic Data'!BE22*annualizationFactor</f>
        <v>1.1565619679015151E-2</v>
      </c>
      <c r="AD156" s="751">
        <f>$G$22*$M$9*'Traffic Data'!BF22*annualizationFactor</f>
        <v>1.1747044505151516E-2</v>
      </c>
      <c r="AE156" s="751">
        <f>$G$22*$M$9*'Traffic Data'!BG22*annualizationFactor</f>
        <v>1.1928536413863638E-2</v>
      </c>
      <c r="AF156" s="751">
        <f>$G$22*$M$9*'Traffic Data'!BH22*annualizationFactor</f>
        <v>1.2109961240000003E-2</v>
      </c>
      <c r="AG156" s="751">
        <f>$G$22*$M$9*'Traffic Data'!BI22*annualizationFactor</f>
        <v>1.2291386066136363E-2</v>
      </c>
      <c r="AH156" s="752">
        <f>$G$22*$M$9*'Traffic Data'!BJ22*annualizationFactor</f>
        <v>1.2472877974848483E-2</v>
      </c>
      <c r="AI156" s="40"/>
      <c r="AJ156" s="40"/>
      <c r="AK156" s="40"/>
      <c r="AL156" s="40"/>
      <c r="AM156" s="40"/>
    </row>
    <row r="157" spans="2:39" ht="21.9" customHeight="1" x14ac:dyDescent="0.25">
      <c r="B157" s="469"/>
      <c r="C157" s="114" t="s">
        <v>323</v>
      </c>
      <c r="D157" s="114" t="s">
        <v>322</v>
      </c>
      <c r="E157" s="114" t="s">
        <v>434</v>
      </c>
      <c r="F157" s="114" t="s">
        <v>41</v>
      </c>
      <c r="G157" s="941"/>
      <c r="H157" s="941"/>
      <c r="I157" s="751">
        <f>$G$22*$M$9*'Traffic Data'!AK23*annualizationFactor</f>
        <v>1.260909090909091E-3</v>
      </c>
      <c r="J157" s="751">
        <f>$G$22*$M$9*'Traffic Data'!AL23*annualizationFactor</f>
        <v>1.3057792045454545E-3</v>
      </c>
      <c r="K157" s="751">
        <f>$G$22*$M$9*'Traffic Data'!AM23*annualizationFactor</f>
        <v>1.3546112272727273E-3</v>
      </c>
      <c r="L157" s="751">
        <f>$G$22*$M$9*'Traffic Data'!AN23*annualizationFactor</f>
        <v>1.4479732500000005E-3</v>
      </c>
      <c r="M157" s="751">
        <f>$G$22*$M$9*'Traffic Data'!AO23*annualizationFactor</f>
        <v>1.5413717727272732E-3</v>
      </c>
      <c r="N157" s="751">
        <f>$G$22*$M$9*'Traffic Data'!AP23*annualizationFactor</f>
        <v>1.6347835681818181E-3</v>
      </c>
      <c r="O157" s="751">
        <f>$G$22*$M$9*'Traffic Data'!AQ23*annualizationFactor</f>
        <v>1.7281455909090909E-3</v>
      </c>
      <c r="P157" s="751">
        <f>$G$22*$M$9*'Traffic Data'!AR23*annualizationFactor</f>
        <v>1.8215855909090909E-3</v>
      </c>
      <c r="Q157" s="751">
        <f>$G$22*$M$9*'Traffic Data'!AS23*annualizationFactor</f>
        <v>1.9497835454545451E-3</v>
      </c>
      <c r="R157" s="751">
        <f>$G$22*$M$9*'Traffic Data'!AT23*annualizationFactor</f>
        <v>2.0780063863636363E-3</v>
      </c>
      <c r="S157" s="751">
        <f>$G$22*$M$9*'Traffic Data'!AU23*annualizationFactor</f>
        <v>2.2061877500000001E-3</v>
      </c>
      <c r="T157" s="751">
        <f>$G$22*$M$9*'Traffic Data'!AV23*annualizationFactor</f>
        <v>2.3343857045454545E-3</v>
      </c>
      <c r="U157" s="751">
        <f>$G$22*$M$9*'Traffic Data'!AW23*annualizationFactor</f>
        <v>2.4626832045454542E-3</v>
      </c>
      <c r="V157" s="751">
        <f>$G$22*$M$9*'Traffic Data'!AX23*annualizationFactor</f>
        <v>2.5462930909090904E-3</v>
      </c>
      <c r="W157" s="751">
        <f>$G$22*$M$9*'Traffic Data'!AY23*annualizationFactor</f>
        <v>2.5911632045454544E-3</v>
      </c>
      <c r="X157" s="751">
        <f>$G$22*$M$9*'Traffic Data'!AZ23*annualizationFactor</f>
        <v>2.636033318181818E-3</v>
      </c>
      <c r="Y157" s="751">
        <f>$G$22*$M$9*'Traffic Data'!BA23*annualizationFactor</f>
        <v>2.680903431818182E-3</v>
      </c>
      <c r="Z157" s="751">
        <f>$G$22*$M$9*'Traffic Data'!BB23*annualizationFactor</f>
        <v>2.7257901363636362E-3</v>
      </c>
      <c r="AA157" s="751">
        <f>$G$22*$M$9*'Traffic Data'!BC23*annualizationFactor</f>
        <v>2.7706602499999993E-3</v>
      </c>
      <c r="AB157" s="751">
        <f>$G$22*$M$9*'Traffic Data'!BD23*annualizationFactor</f>
        <v>2.8155469545454548E-3</v>
      </c>
      <c r="AC157" s="751">
        <f>$G$22*$M$9*'Traffic Data'!BE23*annualizationFactor</f>
        <v>2.8604170681818179E-3</v>
      </c>
      <c r="AD157" s="751">
        <f>$G$22*$M$9*'Traffic Data'!BF23*annualizationFactor</f>
        <v>2.9052871818181819E-3</v>
      </c>
      <c r="AE157" s="751">
        <f>$G$22*$M$9*'Traffic Data'!BG23*annualizationFactor</f>
        <v>2.9501738863636365E-3</v>
      </c>
      <c r="AF157" s="751">
        <f>$G$22*$M$9*'Traffic Data'!BH23*annualizationFactor</f>
        <v>2.9950440000000005E-3</v>
      </c>
      <c r="AG157" s="751">
        <f>$G$22*$M$9*'Traffic Data'!BI23*annualizationFactor</f>
        <v>3.0399141136363641E-3</v>
      </c>
      <c r="AH157" s="752">
        <f>$G$22*$M$9*'Traffic Data'!BJ23*annualizationFactor</f>
        <v>3.0848008181818174E-3</v>
      </c>
      <c r="AI157" s="40"/>
      <c r="AJ157" s="40"/>
      <c r="AK157" s="40"/>
      <c r="AL157" s="40"/>
      <c r="AM157" s="40"/>
    </row>
    <row r="158" spans="2:39" ht="21.9" customHeight="1" x14ac:dyDescent="0.25">
      <c r="B158" s="469"/>
      <c r="C158" s="114" t="s">
        <v>322</v>
      </c>
      <c r="D158" s="114" t="s">
        <v>326</v>
      </c>
      <c r="E158" s="114" t="s">
        <v>434</v>
      </c>
      <c r="F158" s="114" t="s">
        <v>41</v>
      </c>
      <c r="G158" s="941"/>
      <c r="H158" s="941"/>
      <c r="I158" s="751">
        <f>$G$22*$M$9*'Traffic Data'!AK24*annualizationFactor</f>
        <v>3.2352272727272733E-3</v>
      </c>
      <c r="J158" s="751">
        <f>$G$22*$M$9*'Traffic Data'!AL24*annualizationFactor</f>
        <v>3.3466431079545458E-3</v>
      </c>
      <c r="K158" s="751">
        <f>$G$22*$M$9*'Traffic Data'!AM24*annualizationFactor</f>
        <v>3.4709459318181821E-3</v>
      </c>
      <c r="L158" s="751">
        <f>$G$22*$M$9*'Traffic Data'!AN24*annualizationFactor</f>
        <v>3.6880889943181829E-3</v>
      </c>
      <c r="M158" s="751">
        <f>$G$22*$M$9*'Traffic Data'!AO24*annualizationFactor</f>
        <v>3.9053614659090912E-3</v>
      </c>
      <c r="N158" s="751">
        <f>$G$22*$M$9*'Traffic Data'!AP24*annualizationFactor</f>
        <v>4.1225584488636374E-3</v>
      </c>
      <c r="O158" s="751">
        <f>$G$22*$M$9*'Traffic Data'!AQ24*annualizationFactor</f>
        <v>4.3397015113636377E-3</v>
      </c>
      <c r="P158" s="751">
        <f>$G$22*$M$9*'Traffic Data'!AR24*annualizationFactor</f>
        <v>4.5570656477272736E-3</v>
      </c>
      <c r="Q158" s="751">
        <f>$G$22*$M$9*'Traffic Data'!AS24*annualizationFactor</f>
        <v>4.8370098636363644E-3</v>
      </c>
      <c r="R158" s="751">
        <f>$G$22*$M$9*'Traffic Data'!AT24*annualizationFactor</f>
        <v>5.1171104488636383E-3</v>
      </c>
      <c r="S158" s="751">
        <f>$G$22*$M$9*'Traffic Data'!AU24*annualizationFactor</f>
        <v>5.3970007443181808E-3</v>
      </c>
      <c r="T158" s="751">
        <f>$G$22*$M$9*'Traffic Data'!AV24*annualizationFactor</f>
        <v>5.6769449602272724E-3</v>
      </c>
      <c r="U158" s="751">
        <f>$G$22*$M$9*'Traffic Data'!AW24*annualizationFactor</f>
        <v>5.9571264261363641E-3</v>
      </c>
      <c r="V158" s="751">
        <f>$G$22*$M$9*'Traffic Data'!AX24*annualizationFactor</f>
        <v>6.1440848181818185E-3</v>
      </c>
      <c r="W158" s="751">
        <f>$G$22*$M$9*'Traffic Data'!AY24*annualizationFactor</f>
        <v>6.2555006534090931E-3</v>
      </c>
      <c r="X158" s="751">
        <f>$G$22*$M$9*'Traffic Data'!AZ24*annualizationFactor</f>
        <v>6.3669164886363643E-3</v>
      </c>
      <c r="Y158" s="751">
        <f>$G$22*$M$9*'Traffic Data'!BA24*annualizationFactor</f>
        <v>6.4783323238636397E-3</v>
      </c>
      <c r="Z158" s="751">
        <f>$G$22*$M$9*'Traffic Data'!BB24*annualizationFactor</f>
        <v>6.5898128636363677E-3</v>
      </c>
      <c r="AA158" s="751">
        <f>$G$22*$M$9*'Traffic Data'!BC24*annualizationFactor</f>
        <v>6.701228698863638E-3</v>
      </c>
      <c r="AB158" s="751">
        <f>$G$22*$M$9*'Traffic Data'!BD24*annualizationFactor</f>
        <v>6.8127092386363617E-3</v>
      </c>
      <c r="AC158" s="751">
        <f>$G$22*$M$9*'Traffic Data'!BE24*annualizationFactor</f>
        <v>6.924125073863638E-3</v>
      </c>
      <c r="AD158" s="751">
        <f>$G$22*$M$9*'Traffic Data'!BF24*annualizationFactor</f>
        <v>7.0355409090909092E-3</v>
      </c>
      <c r="AE158" s="751">
        <f>$G$22*$M$9*'Traffic Data'!BG24*annualizationFactor</f>
        <v>7.1470214488636372E-3</v>
      </c>
      <c r="AF158" s="751">
        <f>$G$22*$M$9*'Traffic Data'!BH24*annualizationFactor</f>
        <v>7.25843728409091E-3</v>
      </c>
      <c r="AG158" s="751">
        <f>$G$22*$M$9*'Traffic Data'!BI24*annualizationFactor</f>
        <v>7.3698531193181821E-3</v>
      </c>
      <c r="AH158" s="752">
        <f>$G$22*$M$9*'Traffic Data'!BJ24*annualizationFactor</f>
        <v>7.4813336590909101E-3</v>
      </c>
      <c r="AI158" s="40"/>
      <c r="AJ158" s="40"/>
      <c r="AK158" s="40"/>
      <c r="AL158" s="40"/>
      <c r="AM158" s="40"/>
    </row>
    <row r="159" spans="2:39" ht="21.9" customHeight="1" x14ac:dyDescent="0.25">
      <c r="B159" s="469"/>
      <c r="C159" s="114" t="s">
        <v>326</v>
      </c>
      <c r="D159" s="114" t="s">
        <v>274</v>
      </c>
      <c r="E159" s="114" t="s">
        <v>434</v>
      </c>
      <c r="F159" s="114" t="s">
        <v>41</v>
      </c>
      <c r="G159" s="941"/>
      <c r="H159" s="941"/>
      <c r="I159" s="751">
        <f>$G$22*$M$9*'Traffic Data'!AK25*annualizationFactor</f>
        <v>2.6860681818181822E-2</v>
      </c>
      <c r="J159" s="751">
        <f>$G$22*$M$9*'Traffic Data'!AL25*annualizationFactor</f>
        <v>2.7785718932196973E-2</v>
      </c>
      <c r="K159" s="751">
        <f>$G$22*$M$9*'Traffic Data'!AM25*annualizationFactor</f>
        <v>2.8817751095454543E-2</v>
      </c>
      <c r="L159" s="751">
        <f>$G$22*$M$9*'Traffic Data'!AN25*annualizationFactor</f>
        <v>3.0620595291287883E-2</v>
      </c>
      <c r="M159" s="751">
        <f>$G$22*$M$9*'Traffic Data'!AO25*annualizationFactor</f>
        <v>3.2424513914393945E-2</v>
      </c>
      <c r="N159" s="751">
        <f>$G$22*$M$9*'Traffic Data'!AP25*annualizationFactor</f>
        <v>3.4227805788257591E-2</v>
      </c>
      <c r="O159" s="751">
        <f>$G$22*$M$9*'Traffic Data'!AQ25*annualizationFactor</f>
        <v>3.6030649984090918E-2</v>
      </c>
      <c r="P159" s="751">
        <f>$G$22*$M$9*'Traffic Data'!AR25*annualizationFactor</f>
        <v>3.7835329659848496E-2</v>
      </c>
      <c r="Q159" s="751">
        <f>$G$22*$M$9*'Traffic Data'!AS25*annualizationFactor</f>
        <v>4.0159584457575767E-2</v>
      </c>
      <c r="R159" s="751">
        <f>$G$22*$M$9*'Traffic Data'!AT25*annualizationFactor</f>
        <v>4.2485137521590922E-2</v>
      </c>
      <c r="S159" s="751">
        <f>$G$22*$M$9*'Traffic Data'!AU25*annualizationFactor</f>
        <v>4.4808944641287866E-2</v>
      </c>
      <c r="T159" s="751">
        <f>$G$22*$M$9*'Traffic Data'!AV25*annualizationFactor</f>
        <v>4.7133199439015158E-2</v>
      </c>
      <c r="U159" s="751">
        <f>$G$22*$M$9*'Traffic Data'!AW25*annualizationFactor</f>
        <v>4.9459424020075762E-2</v>
      </c>
      <c r="V159" s="751">
        <f>$G$22*$M$9*'Traffic Data'!AX25*annualizationFactor</f>
        <v>5.101165805454546E-2</v>
      </c>
      <c r="W159" s="751">
        <f>$G$22*$M$9*'Traffic Data'!AY25*annualizationFactor</f>
        <v>5.1936695168560615E-2</v>
      </c>
      <c r="X159" s="751">
        <f>$G$22*$M$9*'Traffic Data'!AZ25*annualizationFactor</f>
        <v>5.286173228257577E-2</v>
      </c>
      <c r="Y159" s="751">
        <f>$G$22*$M$9*'Traffic Data'!BA25*annualizationFactor</f>
        <v>5.3786769396590939E-2</v>
      </c>
      <c r="Z159" s="751">
        <f>$G$22*$M$9*'Traffic Data'!BB25*annualizationFactor</f>
        <v>5.4712343724242447E-2</v>
      </c>
      <c r="AA159" s="751">
        <f>$G$22*$M$9*'Traffic Data'!BC25*annualizationFactor</f>
        <v>5.5637380838257595E-2</v>
      </c>
      <c r="AB159" s="751">
        <f>$G$22*$M$9*'Traffic Data'!BD25*annualizationFactor</f>
        <v>5.6562955165909083E-2</v>
      </c>
      <c r="AC159" s="751">
        <f>$G$22*$M$9*'Traffic Data'!BE25*annualizationFactor</f>
        <v>5.7487992279924252E-2</v>
      </c>
      <c r="AD159" s="751">
        <f>$G$22*$M$9*'Traffic Data'!BF25*annualizationFactor</f>
        <v>5.8413029393939386E-2</v>
      </c>
      <c r="AE159" s="751">
        <f>$G$22*$M$9*'Traffic Data'!BG25*annualizationFactor</f>
        <v>5.9338603721590923E-2</v>
      </c>
      <c r="AF159" s="751">
        <f>$G$22*$M$9*'Traffic Data'!BH25*annualizationFactor</f>
        <v>6.0263640835606078E-2</v>
      </c>
      <c r="AG159" s="751">
        <f>$G$22*$M$9*'Traffic Data'!BI25*annualizationFactor</f>
        <v>6.1188677949621212E-2</v>
      </c>
      <c r="AH159" s="752">
        <f>$G$22*$M$9*'Traffic Data'!BJ25*annualizationFactor</f>
        <v>6.2114252277272734E-2</v>
      </c>
      <c r="AI159" s="40"/>
      <c r="AJ159" s="40"/>
      <c r="AK159" s="40"/>
      <c r="AL159" s="40"/>
      <c r="AM159" s="40"/>
    </row>
    <row r="160" spans="2:39" ht="21.9" customHeight="1" x14ac:dyDescent="0.25">
      <c r="B160" s="470"/>
      <c r="C160" s="250" t="s">
        <v>274</v>
      </c>
      <c r="D160" s="250" t="s">
        <v>317</v>
      </c>
      <c r="E160" s="250" t="s">
        <v>434</v>
      </c>
      <c r="F160" s="250" t="s">
        <v>41</v>
      </c>
      <c r="G160" s="753"/>
      <c r="H160" s="753"/>
      <c r="I160" s="753">
        <f>$G$22*$M$9*'Traffic Data'!AK26*annualizationFactor</f>
        <v>6.6363636363636364E-4</v>
      </c>
      <c r="J160" s="753">
        <f>$G$22*$M$9*'Traffic Data'!AL26*annualizationFactor</f>
        <v>6.8649089393939397E-4</v>
      </c>
      <c r="K160" s="753">
        <f>$G$22*$M$9*'Traffic Data'!AM26*annualizationFactor</f>
        <v>7.1198890909090909E-4</v>
      </c>
      <c r="L160" s="753">
        <f>$G$22*$M$9*'Traffic Data'!AN26*annualizationFactor</f>
        <v>7.5653107575757584E-4</v>
      </c>
      <c r="M160" s="753">
        <f>$G$22*$M$9*'Traffic Data'!AO26*annualizationFactor</f>
        <v>8.0109978787878792E-4</v>
      </c>
      <c r="N160" s="753">
        <f>$G$22*$M$9*'Traffic Data'!AP26*annualizationFactor</f>
        <v>8.4565301515151549E-4</v>
      </c>
      <c r="O160" s="753">
        <f>$G$22*$M$9*'Traffic Data'!AQ26*annualizationFactor</f>
        <v>8.9019518181818213E-4</v>
      </c>
      <c r="P160" s="753">
        <f>$G$22*$M$9*'Traffic Data'!AR26*annualizationFactor</f>
        <v>9.3478269696969723E-4</v>
      </c>
      <c r="Q160" s="753">
        <f>$G$22*$M$9*'Traffic Data'!AS26*annualizationFactor</f>
        <v>9.9220715151515193E-4</v>
      </c>
      <c r="R160" s="753">
        <f>$G$22*$M$9*'Traffic Data'!AT26*annualizationFactor</f>
        <v>1.0496636818181824E-3</v>
      </c>
      <c r="S160" s="753">
        <f>$G$22*$M$9*'Traffic Data'!AU26*annualizationFactor</f>
        <v>1.1070770757575755E-3</v>
      </c>
      <c r="T160" s="753">
        <f>$G$22*$M$9*'Traffic Data'!AV26*annualizationFactor</f>
        <v>1.1645015303030305E-3</v>
      </c>
      <c r="U160" s="753">
        <f>$G$22*$M$9*'Traffic Data'!AW26*annualizationFactor</f>
        <v>1.2219746515151515E-3</v>
      </c>
      <c r="V160" s="753">
        <f>$G$22*$M$9*'Traffic Data'!AX26*annualizationFactor</f>
        <v>1.2603250909090911E-3</v>
      </c>
      <c r="W160" s="753">
        <f>$G$22*$M$9*'Traffic Data'!AY26*annualizationFactor</f>
        <v>1.2831796212121216E-3</v>
      </c>
      <c r="X160" s="753">
        <f>$G$22*$M$9*'Traffic Data'!AZ26*annualizationFactor</f>
        <v>1.306034151515152E-3</v>
      </c>
      <c r="Y160" s="753">
        <f>$G$22*$M$9*'Traffic Data'!BA26*annualizationFactor</f>
        <v>1.3288886818181825E-3</v>
      </c>
      <c r="Z160" s="753">
        <f>$G$22*$M$9*'Traffic Data'!BB26*annualizationFactor</f>
        <v>1.3517564848484855E-3</v>
      </c>
      <c r="AA160" s="753">
        <f>$G$22*$M$9*'Traffic Data'!BC26*annualizationFactor</f>
        <v>1.3746110151515154E-3</v>
      </c>
      <c r="AB160" s="753">
        <f>$G$22*$M$9*'Traffic Data'!BD26*annualizationFactor</f>
        <v>1.3974788181818183E-3</v>
      </c>
      <c r="AC160" s="753">
        <f>$G$22*$M$9*'Traffic Data'!BE26*annualizationFactor</f>
        <v>1.4203333484848488E-3</v>
      </c>
      <c r="AD160" s="753">
        <f>$G$22*$M$9*'Traffic Data'!BF26*annualizationFactor</f>
        <v>1.4431878787878791E-3</v>
      </c>
      <c r="AE160" s="753">
        <f>$G$22*$M$9*'Traffic Data'!BG26*annualizationFactor</f>
        <v>1.4660556818181822E-3</v>
      </c>
      <c r="AF160" s="753">
        <f>$G$22*$M$9*'Traffic Data'!BH26*annualizationFactor</f>
        <v>1.4889102121212123E-3</v>
      </c>
      <c r="AG160" s="753">
        <f>$G$22*$M$9*'Traffic Data'!BI26*annualizationFactor</f>
        <v>1.5117647424242428E-3</v>
      </c>
      <c r="AH160" s="757">
        <f>$G$22*$M$9*'Traffic Data'!BJ26*annualizationFactor</f>
        <v>1.5346325454545456E-3</v>
      </c>
      <c r="AI160" s="40"/>
      <c r="AJ160" s="40"/>
      <c r="AK160" s="40"/>
      <c r="AL160" s="40"/>
      <c r="AM160" s="40"/>
    </row>
    <row r="161" spans="2:39" ht="21.9" customHeight="1" thickBot="1" x14ac:dyDescent="0.3">
      <c r="B161" s="1072" t="s">
        <v>462</v>
      </c>
      <c r="C161" s="782"/>
      <c r="D161" s="782"/>
      <c r="E161" s="237"/>
      <c r="F161" s="237"/>
      <c r="G161" s="940">
        <f t="shared" ref="G161:AH161" si="5">SUM(G141:G160)</f>
        <v>0</v>
      </c>
      <c r="H161" s="940">
        <f t="shared" si="5"/>
        <v>0</v>
      </c>
      <c r="I161" s="759">
        <f t="shared" si="5"/>
        <v>0.31683181162121216</v>
      </c>
      <c r="J161" s="759">
        <f t="shared" si="5"/>
        <v>0.33496722164478038</v>
      </c>
      <c r="K161" s="759">
        <f t="shared" si="5"/>
        <v>0.35960488145505298</v>
      </c>
      <c r="L161" s="759">
        <f t="shared" si="5"/>
        <v>0.41072620240025004</v>
      </c>
      <c r="M161" s="759">
        <f t="shared" si="5"/>
        <v>0.46186758650009097</v>
      </c>
      <c r="N161" s="759">
        <f t="shared" si="5"/>
        <v>0.5130228813433334</v>
      </c>
      <c r="O161" s="759">
        <f t="shared" si="5"/>
        <v>0.56414420228853035</v>
      </c>
      <c r="P161" s="759">
        <f t="shared" si="5"/>
        <v>0.61531679780769721</v>
      </c>
      <c r="Q161" s="759">
        <f t="shared" si="5"/>
        <v>0.67739118077107574</v>
      </c>
      <c r="R161" s="759">
        <f t="shared" si="5"/>
        <v>0.73947740735897738</v>
      </c>
      <c r="S161" s="759">
        <f t="shared" si="5"/>
        <v>0.80154936468941662</v>
      </c>
      <c r="T161" s="759">
        <f t="shared" si="5"/>
        <v>0.86362374765279548</v>
      </c>
      <c r="U161" s="759">
        <f t="shared" si="5"/>
        <v>0.92576052628776517</v>
      </c>
      <c r="V161" s="759">
        <f t="shared" si="5"/>
        <v>0.96131924626395471</v>
      </c>
      <c r="W161" s="759">
        <f t="shared" si="5"/>
        <v>0.97945383868752278</v>
      </c>
      <c r="X161" s="759">
        <f t="shared" si="5"/>
        <v>0.99758924871109089</v>
      </c>
      <c r="Y161" s="759">
        <f t="shared" si="5"/>
        <v>1.0157246587346589</v>
      </c>
      <c r="Z161" s="759">
        <f t="shared" si="5"/>
        <v>1.0338738844285307</v>
      </c>
      <c r="AA161" s="759">
        <f t="shared" si="5"/>
        <v>1.0520092944520989</v>
      </c>
      <c r="AB161" s="759">
        <f t="shared" si="5"/>
        <v>1.0701585201459696</v>
      </c>
      <c r="AC161" s="759">
        <f t="shared" si="5"/>
        <v>1.088293930169538</v>
      </c>
      <c r="AD161" s="759">
        <f t="shared" si="5"/>
        <v>1.1064293401931062</v>
      </c>
      <c r="AE161" s="759">
        <f t="shared" si="5"/>
        <v>1.1245777482869772</v>
      </c>
      <c r="AF161" s="759">
        <f t="shared" si="5"/>
        <v>1.1427131583105454</v>
      </c>
      <c r="AG161" s="759">
        <f t="shared" si="5"/>
        <v>1.1608485683341139</v>
      </c>
      <c r="AH161" s="760">
        <f t="shared" si="5"/>
        <v>1.178997794027985</v>
      </c>
      <c r="AI161" s="40"/>
      <c r="AJ161" s="40"/>
      <c r="AK161" s="40"/>
      <c r="AL161" s="40"/>
      <c r="AM161" s="40"/>
    </row>
    <row r="162" spans="2:39" ht="21.9" customHeight="1" x14ac:dyDescent="0.25">
      <c r="B162" s="548" t="s">
        <v>312</v>
      </c>
      <c r="C162" s="1331" t="s">
        <v>18</v>
      </c>
      <c r="D162" s="1331"/>
      <c r="E162" s="197" t="s">
        <v>24</v>
      </c>
      <c r="F162" s="197" t="s">
        <v>42</v>
      </c>
      <c r="G162" s="459">
        <v>2021</v>
      </c>
      <c r="H162" s="459">
        <v>2022</v>
      </c>
      <c r="I162" s="459">
        <v>2023</v>
      </c>
      <c r="J162" s="459">
        <v>2024</v>
      </c>
      <c r="K162" s="459">
        <v>2025</v>
      </c>
      <c r="L162" s="459">
        <v>2026</v>
      </c>
      <c r="M162" s="459">
        <v>2027</v>
      </c>
      <c r="N162" s="459">
        <v>2028</v>
      </c>
      <c r="O162" s="459">
        <v>2029</v>
      </c>
      <c r="P162" s="459">
        <v>2030</v>
      </c>
      <c r="Q162" s="459">
        <v>2031</v>
      </c>
      <c r="R162" s="459">
        <v>2032</v>
      </c>
      <c r="S162" s="459">
        <v>2033</v>
      </c>
      <c r="T162" s="459">
        <v>2034</v>
      </c>
      <c r="U162" s="459">
        <v>2035</v>
      </c>
      <c r="V162" s="459">
        <v>2036</v>
      </c>
      <c r="W162" s="459">
        <v>2037</v>
      </c>
      <c r="X162" s="459">
        <v>2038</v>
      </c>
      <c r="Y162" s="459">
        <v>2039</v>
      </c>
      <c r="Z162" s="459">
        <v>2040</v>
      </c>
      <c r="AA162" s="459">
        <v>2041</v>
      </c>
      <c r="AB162" s="459">
        <v>2042</v>
      </c>
      <c r="AC162" s="459">
        <v>2043</v>
      </c>
      <c r="AD162" s="459">
        <v>2044</v>
      </c>
      <c r="AE162" s="459">
        <v>2045</v>
      </c>
      <c r="AF162" s="459">
        <v>2046</v>
      </c>
      <c r="AG162" s="459">
        <v>2047</v>
      </c>
      <c r="AH162" s="459">
        <v>2048</v>
      </c>
      <c r="AI162" s="247"/>
      <c r="AJ162" s="247"/>
      <c r="AK162" s="247"/>
      <c r="AL162" s="247"/>
      <c r="AM162" s="247"/>
    </row>
    <row r="163" spans="2:39" ht="21.9" customHeight="1" x14ac:dyDescent="0.25">
      <c r="B163" s="1332" t="s">
        <v>315</v>
      </c>
      <c r="C163" s="217" t="s">
        <v>316</v>
      </c>
      <c r="D163" s="217" t="s">
        <v>276</v>
      </c>
      <c r="E163" s="217" t="s">
        <v>19</v>
      </c>
      <c r="F163" s="217" t="s">
        <v>40</v>
      </c>
      <c r="G163" s="749"/>
      <c r="H163" s="749"/>
      <c r="I163" s="749">
        <f>$H$21*$E$8*'Traffic Data'!AK7*annualizationFactor</f>
        <v>1242.53008</v>
      </c>
      <c r="J163" s="749">
        <f>$H$21*$E$8*'Traffic Data'!AL7*annualizationFactor</f>
        <v>1299.694229493</v>
      </c>
      <c r="K163" s="749">
        <f>$H$21*$E$8*'Traffic Data'!AM7*annualizationFactor</f>
        <v>1379.9655555675004</v>
      </c>
      <c r="L163" s="749">
        <f>$H$21*$E$8*'Traffic Data'!AN7*annualizationFactor</f>
        <v>1497.7224609929999</v>
      </c>
      <c r="M163" s="749">
        <f>$H$21*$E$8*'Traffic Data'!AO7*annualizationFactor</f>
        <v>1615.5220783900002</v>
      </c>
      <c r="N163" s="749">
        <f>$H$21*$E$8*'Traffic Data'!AP7*annualizationFactor</f>
        <v>1733.3255786934997</v>
      </c>
      <c r="O163" s="749">
        <f>$H$21*$E$8*'Traffic Data'!AQ7*annualizationFactor</f>
        <v>1851.0824841189997</v>
      </c>
      <c r="P163" s="749">
        <f>$H$21*$E$8*'Traffic Data'!AR7*annualizationFactor</f>
        <v>1968.9286963939994</v>
      </c>
      <c r="Q163" s="749">
        <f>$H$21*$E$8*'Traffic Data'!AS7*annualizationFactor</f>
        <v>2085.3848281420001</v>
      </c>
      <c r="R163" s="749">
        <f>$H$21*$E$8*'Traffic Data'!AT7*annualizationFactor</f>
        <v>2201.8642573289999</v>
      </c>
      <c r="S163" s="749">
        <f>$H$21*$E$8*'Traffic Data'!AU7*annualizationFactor</f>
        <v>2318.3203890770001</v>
      </c>
      <c r="T163" s="749">
        <f>$H$21*$E$8*'Traffic Data'!AV7*annualizationFactor</f>
        <v>2434.7765208250003</v>
      </c>
      <c r="U163" s="749">
        <f>$H$21*$E$8*'Traffic Data'!AW7*annualizationFactor</f>
        <v>2551.3258423290004</v>
      </c>
      <c r="V163" s="749">
        <f>$H$21*$E$8*'Traffic Data'!AX7*annualizationFactor</f>
        <v>2630.2497998479998</v>
      </c>
      <c r="W163" s="749">
        <f>$H$21*$E$8*'Traffic Data'!AY7*annualizationFactor</f>
        <v>2687.4139493409998</v>
      </c>
      <c r="X163" s="749">
        <f>$H$21*$E$8*'Traffic Data'!AZ7*annualizationFactor</f>
        <v>2744.5780988339998</v>
      </c>
      <c r="Y163" s="749">
        <f>$H$21*$E$8*'Traffic Data'!BA7*annualizationFactor</f>
        <v>2801.7422483270002</v>
      </c>
      <c r="Z163" s="749">
        <f>$H$21*$E$8*'Traffic Data'!BB7*annualizationFactor</f>
        <v>2858.9296952590003</v>
      </c>
      <c r="AA163" s="749">
        <f>$H$21*$E$8*'Traffic Data'!BC7*annualizationFactor</f>
        <v>2916.0938447519998</v>
      </c>
      <c r="AB163" s="749">
        <f>$H$21*$E$8*'Traffic Data'!BD7*annualizationFactor</f>
        <v>2973.2812916839994</v>
      </c>
      <c r="AC163" s="749">
        <f>$H$21*$E$8*'Traffic Data'!BE7*annualizationFactor</f>
        <v>3030.4454411770007</v>
      </c>
      <c r="AD163" s="749">
        <f>$H$21*$E$8*'Traffic Data'!BF7*annualizationFactor</f>
        <v>3087.6095906700002</v>
      </c>
      <c r="AE163" s="749">
        <f>$H$21*$E$8*'Traffic Data'!BG7*annualizationFactor</f>
        <v>3144.7970376019994</v>
      </c>
      <c r="AF163" s="749">
        <f>$H$21*$E$8*'Traffic Data'!BH7*annualizationFactor</f>
        <v>3201.9611870949998</v>
      </c>
      <c r="AG163" s="749">
        <f>$H$21*$E$8*'Traffic Data'!BI7*annualizationFactor</f>
        <v>3259.1253365879998</v>
      </c>
      <c r="AH163" s="750">
        <f>$H$21*$E$8*'Traffic Data'!BJ7*annualizationFactor</f>
        <v>3316.3127835199994</v>
      </c>
      <c r="AI163" s="40"/>
      <c r="AJ163" s="40"/>
      <c r="AK163" s="40"/>
      <c r="AL163" s="40"/>
      <c r="AM163" s="40"/>
    </row>
    <row r="164" spans="2:39" ht="21.9" customHeight="1" x14ac:dyDescent="0.25">
      <c r="B164" s="1332"/>
      <c r="C164" s="114" t="s">
        <v>276</v>
      </c>
      <c r="D164" s="114" t="s">
        <v>274</v>
      </c>
      <c r="E164" s="114" t="s">
        <v>19</v>
      </c>
      <c r="F164" s="114" t="s">
        <v>40</v>
      </c>
      <c r="G164" s="941"/>
      <c r="H164" s="941"/>
      <c r="I164" s="751">
        <f>$H$21*$E$8*'Traffic Data'!AK8*annualizationFactor</f>
        <v>39953.993175000003</v>
      </c>
      <c r="J164" s="751">
        <f>$H$21*$E$8*'Traffic Data'!AL8*annualizationFactor</f>
        <v>42167.296419142498</v>
      </c>
      <c r="K164" s="751">
        <f>$H$21*$E$8*'Traffic Data'!AM8*annualizationFactor</f>
        <v>44733.970536255001</v>
      </c>
      <c r="L164" s="751">
        <f>$H$21*$E$8*'Traffic Data'!AN8*annualizationFactor</f>
        <v>49523.270495917503</v>
      </c>
      <c r="M164" s="751">
        <f>$H$21*$E$8*'Traffic Data'!AO8*annualizationFactor</f>
        <v>54314.346188610012</v>
      </c>
      <c r="N164" s="751">
        <f>$H$21*$E$8*'Traffic Data'!AP8*annualizationFactor</f>
        <v>59106.309747817511</v>
      </c>
      <c r="O164" s="751">
        <f>$H$21*$E$8*'Traffic Data'!AQ8*annualizationFactor</f>
        <v>63895.609707480013</v>
      </c>
      <c r="P164" s="751">
        <f>$H$21*$E$8*'Traffic Data'!AR8*annualizationFactor</f>
        <v>68689.496977470015</v>
      </c>
      <c r="Q164" s="751">
        <f>$H$21*$E$8*'Traffic Data'!AS8*annualizationFactor</f>
        <v>74372.138628975008</v>
      </c>
      <c r="R164" s="751">
        <f>$H$21*$E$8*'Traffic Data'!AT8*annualizationFactor</f>
        <v>80056.4080357575</v>
      </c>
      <c r="S164" s="751">
        <f>$H$21*$E$8*'Traffic Data'!AU8*annualizationFactor</f>
        <v>85739.049687262508</v>
      </c>
      <c r="T164" s="751">
        <f>$H$21*$E$8*'Traffic Data'!AV8*annualizationFactor</f>
        <v>91421.691338767487</v>
      </c>
      <c r="U164" s="751">
        <f>$H$21*$E$8*'Traffic Data'!AW8*annualizationFactor</f>
        <v>97109.956144867494</v>
      </c>
      <c r="V164" s="751">
        <f>$H$21*$E$8*'Traffic Data'!AX8*annualizationFactor</f>
        <v>100567.160376525</v>
      </c>
      <c r="W164" s="751">
        <f>$H$21*$E$8*'Traffic Data'!AY8*annualizationFactor</f>
        <v>102780.46362066749</v>
      </c>
      <c r="X164" s="751">
        <f>$H$21*$E$8*'Traffic Data'!AZ8*annualizationFactor</f>
        <v>104993.76686481001</v>
      </c>
      <c r="Y164" s="751">
        <f>$H$21*$E$8*'Traffic Data'!BA8*annualizationFactor</f>
        <v>107207.0701089525</v>
      </c>
      <c r="Z164" s="751">
        <f>$H$21*$E$8*'Traffic Data'!BB8*annualizationFactor</f>
        <v>109421.85313062002</v>
      </c>
      <c r="AA164" s="751">
        <f>$H$21*$E$8*'Traffic Data'!BC8*annualizationFactor</f>
        <v>111635.1563747625</v>
      </c>
      <c r="AB164" s="751">
        <f>$H$21*$E$8*'Traffic Data'!BD8*annualizationFactor</f>
        <v>113849.93939642997</v>
      </c>
      <c r="AC164" s="751">
        <f>$H$21*$E$8*'Traffic Data'!BE8*annualizationFactor</f>
        <v>116063.24264057251</v>
      </c>
      <c r="AD164" s="751">
        <f>$H$21*$E$8*'Traffic Data'!BF8*annualizationFactor</f>
        <v>118276.545884715</v>
      </c>
      <c r="AE164" s="751">
        <f>$H$21*$E$8*'Traffic Data'!BG8*annualizationFactor</f>
        <v>120491.32890638252</v>
      </c>
      <c r="AF164" s="751">
        <f>$H$21*$E$8*'Traffic Data'!BH8*annualizationFactor</f>
        <v>122704.63215052501</v>
      </c>
      <c r="AG164" s="751">
        <f>$H$21*$E$8*'Traffic Data'!BI8*annualizationFactor</f>
        <v>124917.93539466753</v>
      </c>
      <c r="AH164" s="752">
        <f>$H$21*$E$8*'Traffic Data'!BJ8*annualizationFactor</f>
        <v>127132.71841633502</v>
      </c>
      <c r="AI164" s="40"/>
      <c r="AJ164" s="40"/>
      <c r="AK164" s="40"/>
      <c r="AL164" s="40"/>
      <c r="AM164" s="40"/>
    </row>
    <row r="165" spans="2:39" ht="21.9" customHeight="1" x14ac:dyDescent="0.25">
      <c r="B165" s="1332"/>
      <c r="C165" s="114" t="s">
        <v>274</v>
      </c>
      <c r="D165" s="114" t="s">
        <v>317</v>
      </c>
      <c r="E165" s="250" t="s">
        <v>19</v>
      </c>
      <c r="F165" s="114" t="s">
        <v>40</v>
      </c>
      <c r="G165" s="753"/>
      <c r="H165" s="753"/>
      <c r="I165" s="751">
        <f>$H$21*$E$8*'Traffic Data'!AK9*annualizationFactor</f>
        <v>931.89756</v>
      </c>
      <c r="J165" s="751">
        <f>$H$21*$E$8*'Traffic Data'!AL9*annualizationFactor</f>
        <v>970.81204894299992</v>
      </c>
      <c r="K165" s="751">
        <f>$H$21*$E$8*'Traffic Data'!AM9*annualizationFactor</f>
        <v>1018.9756211689999</v>
      </c>
      <c r="L165" s="751">
        <f>$H$21*$E$8*'Traffic Data'!AN9*annualizationFactor</f>
        <v>1083.820159719</v>
      </c>
      <c r="M165" s="751">
        <f>$H$21*$E$8*'Traffic Data'!AO9*annualizationFactor</f>
        <v>1148.6879957080002</v>
      </c>
      <c r="N165" s="751">
        <f>$H$21*$E$8*'Traffic Data'!AP9*annualizationFactor</f>
        <v>1213.5480658840002</v>
      </c>
      <c r="O165" s="751">
        <f>$H$21*$E$8*'Traffic Data'!AQ9*annualizationFactor</f>
        <v>1278.3926044340003</v>
      </c>
      <c r="P165" s="751">
        <f>$H$21*$E$8*'Traffic Data'!AR9*annualizationFactor</f>
        <v>1343.2837378620006</v>
      </c>
      <c r="Q165" s="751">
        <f>$H$21*$E$8*'Traffic Data'!AS9*annualizationFactor</f>
        <v>1406.1557599099999</v>
      </c>
      <c r="R165" s="751">
        <f>$H$21*$E$8*'Traffic Data'!AT9*annualizationFactor</f>
        <v>1469.0510793969997</v>
      </c>
      <c r="S165" s="751">
        <f>$H$21*$E$8*'Traffic Data'!AU9*annualizationFactor</f>
        <v>1531.9231014449999</v>
      </c>
      <c r="T165" s="751">
        <f>$H$21*$E$8*'Traffic Data'!AV9*annualizationFactor</f>
        <v>1594.7951234930001</v>
      </c>
      <c r="U165" s="751">
        <f>$H$21*$E$8*'Traffic Data'!AW9*annualizationFactor</f>
        <v>1657.713740419</v>
      </c>
      <c r="V165" s="751">
        <f>$H$21*$E$8*'Traffic Data'!AX9*annualizationFactor</f>
        <v>1703.8814987039998</v>
      </c>
      <c r="W165" s="751">
        <f>$H$21*$E$8*'Traffic Data'!AY9*annualizationFactor</f>
        <v>1742.7959876470002</v>
      </c>
      <c r="X165" s="751">
        <f>$H$21*$E$8*'Traffic Data'!AZ9*annualizationFactor</f>
        <v>1781.7104765899996</v>
      </c>
      <c r="Y165" s="751">
        <f>$H$21*$E$8*'Traffic Data'!BA9*annualizationFactor</f>
        <v>1820.624965533</v>
      </c>
      <c r="Z165" s="751">
        <f>$H$21*$E$8*'Traffic Data'!BB9*annualizationFactor</f>
        <v>1859.5549861019999</v>
      </c>
      <c r="AA165" s="751">
        <f>$H$21*$E$8*'Traffic Data'!BC9*annualizationFactor</f>
        <v>1898.4694750450001</v>
      </c>
      <c r="AB165" s="751">
        <f>$H$21*$E$8*'Traffic Data'!BD9*annualizationFactor</f>
        <v>1937.3994956140002</v>
      </c>
      <c r="AC165" s="751">
        <f>$H$21*$E$8*'Traffic Data'!BE9*annualizationFactor</f>
        <v>1976.3139845570006</v>
      </c>
      <c r="AD165" s="751">
        <f>$H$21*$E$8*'Traffic Data'!BF9*annualizationFactor</f>
        <v>2015.2284734999996</v>
      </c>
      <c r="AE165" s="751">
        <f>$H$21*$E$8*'Traffic Data'!BG9*annualizationFactor</f>
        <v>2054.158494069</v>
      </c>
      <c r="AF165" s="751">
        <f>$H$21*$E$8*'Traffic Data'!BH9*annualizationFactor</f>
        <v>2093.0729830120003</v>
      </c>
      <c r="AG165" s="751">
        <f>$H$21*$E$8*'Traffic Data'!BI9*annualizationFactor</f>
        <v>2131.9874719549994</v>
      </c>
      <c r="AH165" s="752">
        <f>$H$21*$E$8*'Traffic Data'!BJ9*annualizationFactor</f>
        <v>2170.917492524</v>
      </c>
      <c r="AI165" s="40"/>
      <c r="AJ165" s="40"/>
      <c r="AK165" s="40"/>
      <c r="AL165" s="40"/>
      <c r="AM165" s="40"/>
    </row>
    <row r="166" spans="2:39" ht="21.9" customHeight="1" x14ac:dyDescent="0.25">
      <c r="B166" s="1332" t="s">
        <v>274</v>
      </c>
      <c r="C166" s="217" t="s">
        <v>275</v>
      </c>
      <c r="D166" s="217" t="s">
        <v>318</v>
      </c>
      <c r="E166" s="114" t="s">
        <v>19</v>
      </c>
      <c r="F166" s="217" t="s">
        <v>40</v>
      </c>
      <c r="G166" s="941"/>
      <c r="H166" s="941"/>
      <c r="I166" s="749">
        <f>$H$21*$F$8*'Traffic Data'!AK10*annualizationFactor</f>
        <v>7698.9304000000002</v>
      </c>
      <c r="J166" s="749">
        <f>$H$21*$F$8*'Traffic Data'!AL10*annualizationFactor</f>
        <v>8538.979943270002</v>
      </c>
      <c r="K166" s="749">
        <f>$H$21*$F$8*'Traffic Data'!AM10*annualizationFactor</f>
        <v>9426.146940587998</v>
      </c>
      <c r="L166" s="749">
        <f>$H$21*$F$8*'Traffic Data'!AN10*annualizationFactor</f>
        <v>12172.220682986001</v>
      </c>
      <c r="M166" s="749">
        <f>$H$21*$F$8*'Traffic Data'!AO10*annualizationFactor</f>
        <v>14919.680232856001</v>
      </c>
      <c r="N166" s="749">
        <f>$H$21*$F$8*'Traffic Data'!AP10*annualizationFactor</f>
        <v>17667.871181114002</v>
      </c>
      <c r="O166" s="749">
        <f>$H$21*$F$8*'Traffic Data'!AQ10*annualizationFactor</f>
        <v>20413.944923512001</v>
      </c>
      <c r="P166" s="749">
        <f>$H$21*$F$8*'Traffic Data'!AR10*annualizationFactor</f>
        <v>23163.810389132002</v>
      </c>
      <c r="Q166" s="749">
        <f>$H$21*$F$8*'Traffic Data'!AS10*annualizationFactor</f>
        <v>26853.907729851999</v>
      </c>
      <c r="R166" s="749">
        <f>$H$21*$F$8*'Traffic Data'!AT10*annualizationFactor</f>
        <v>30545.641093281996</v>
      </c>
      <c r="S166" s="749">
        <f>$H$21*$F$8*'Traffic Data'!AU10*annualizationFactor</f>
        <v>34235.738434002</v>
      </c>
      <c r="T166" s="749">
        <f>$H$21*$F$8*'Traffic Data'!AV10*annualizationFactor</f>
        <v>37925.835774722</v>
      </c>
      <c r="U166" s="749">
        <f>$H$21*$F$8*'Traffic Data'!AW10*annualizationFactor</f>
        <v>41620.74494694201</v>
      </c>
      <c r="V166" s="749">
        <f>$H$21*$F$8*'Traffic Data'!AX10*annualizationFactor</f>
        <v>43449.529626832002</v>
      </c>
      <c r="W166" s="749">
        <f>$H$21*$F$8*'Traffic Data'!AY10*annualizationFactor</f>
        <v>44289.579170101999</v>
      </c>
      <c r="X166" s="749">
        <f>$H$21*$F$8*'Traffic Data'!AZ10*annualizationFactor</f>
        <v>45129.628713372003</v>
      </c>
      <c r="Y166" s="749">
        <f>$H$21*$F$8*'Traffic Data'!BA10*annualizationFactor</f>
        <v>45969.678256642001</v>
      </c>
      <c r="Z166" s="749">
        <f>$H$21*$F$8*'Traffic Data'!BB10*annualizationFactor</f>
        <v>46811.075112731996</v>
      </c>
      <c r="AA166" s="749">
        <f>$H$21*$F$8*'Traffic Data'!BC10*annualizationFactor</f>
        <v>47651.124656002001</v>
      </c>
      <c r="AB166" s="749">
        <f>$H$21*$F$8*'Traffic Data'!BD10*annualizationFactor</f>
        <v>48492.521512091997</v>
      </c>
      <c r="AC166" s="749">
        <f>$H$21*$F$8*'Traffic Data'!BE10*annualizationFactor</f>
        <v>49332.571055362008</v>
      </c>
      <c r="AD166" s="749">
        <f>$H$21*$F$8*'Traffic Data'!BF10*annualizationFactor</f>
        <v>50172.620598631998</v>
      </c>
      <c r="AE166" s="749">
        <f>$H$21*$F$8*'Traffic Data'!BG10*annualizationFactor</f>
        <v>51014.017454722001</v>
      </c>
      <c r="AF166" s="749">
        <f>$H$21*$F$8*'Traffic Data'!BH10*annualizationFactor</f>
        <v>51854.066997991999</v>
      </c>
      <c r="AG166" s="749">
        <f>$H$21*$F$8*'Traffic Data'!BI10*annualizationFactor</f>
        <v>52694.116541261996</v>
      </c>
      <c r="AH166" s="750">
        <f>$H$21*$F$8*'Traffic Data'!BJ10*annualizationFactor</f>
        <v>53535.513397351991</v>
      </c>
      <c r="AI166" s="40"/>
      <c r="AJ166" s="40"/>
      <c r="AK166" s="40"/>
      <c r="AL166" s="40"/>
      <c r="AM166" s="40"/>
    </row>
    <row r="167" spans="2:39" ht="21.9" customHeight="1" x14ac:dyDescent="0.25">
      <c r="B167" s="1332"/>
      <c r="C167" s="114" t="s">
        <v>318</v>
      </c>
      <c r="D167" s="114" t="s">
        <v>308</v>
      </c>
      <c r="E167" s="114" t="s">
        <v>19</v>
      </c>
      <c r="F167" s="114" t="s">
        <v>40</v>
      </c>
      <c r="G167" s="941"/>
      <c r="H167" s="941"/>
      <c r="I167" s="751">
        <f>$H$21*$F$8*'Traffic Data'!AK11*annualizationFactor</f>
        <v>891.76800000000003</v>
      </c>
      <c r="J167" s="751">
        <f>$H$21*$F$8*'Traffic Data'!AL11*annualizationFactor</f>
        <v>1010.2691044000002</v>
      </c>
      <c r="K167" s="751">
        <f>$H$21*$F$8*'Traffic Data'!AM11*annualizationFactor</f>
        <v>1128.8445228000003</v>
      </c>
      <c r="L167" s="751">
        <f>$H$21*$F$8*'Traffic Data'!AN11*annualizationFactor</f>
        <v>1530.0360832000001</v>
      </c>
      <c r="M167" s="751">
        <f>$H$21*$F$8*'Traffic Data'!AO11*annualizationFactor</f>
        <v>1931.309389</v>
      </c>
      <c r="N167" s="751">
        <f>$H$21*$F$8*'Traffic Data'!AP11*annualizationFactor</f>
        <v>2332.9468334000003</v>
      </c>
      <c r="O167" s="751">
        <f>$H$21*$F$8*'Traffic Data'!AQ11*annualizationFactor</f>
        <v>2734.1383938000004</v>
      </c>
      <c r="P167" s="751">
        <f>$H$21*$F$8*'Traffic Data'!AR11*annualizationFactor</f>
        <v>3135.7089556000001</v>
      </c>
      <c r="Q167" s="751">
        <f>$H$21*$F$8*'Traffic Data'!AS11*annualizationFactor</f>
        <v>3752.2996450000005</v>
      </c>
      <c r="R167" s="751">
        <f>$H$21*$F$8*'Traffic Data'!AT11*annualizationFactor</f>
        <v>4368.8234518000008</v>
      </c>
      <c r="S167" s="751">
        <f>$H$21*$F$8*'Traffic Data'!AU11*annualizationFactor</f>
        <v>4985.4067098000005</v>
      </c>
      <c r="T167" s="751">
        <f>$H$21*$F$8*'Traffic Data'!AV11*annualizationFactor</f>
        <v>5601.9973992000005</v>
      </c>
      <c r="U167" s="751">
        <f>$H$21*$F$8*'Traffic Data'!AW11*annualizationFactor</f>
        <v>6219.1900320000013</v>
      </c>
      <c r="V167" s="751">
        <f>$H$21*$F$8*'Traffic Data'!AX11*annualizationFactor</f>
        <v>6552.8598920000013</v>
      </c>
      <c r="W167" s="751">
        <f>$H$21*$F$8*'Traffic Data'!AY11*annualizationFactor</f>
        <v>6671.3609964000007</v>
      </c>
      <c r="X167" s="751">
        <f>$H$21*$F$8*'Traffic Data'!AZ11*annualizationFactor</f>
        <v>6789.8621008000009</v>
      </c>
      <c r="Y167" s="751">
        <f>$H$21*$F$8*'Traffic Data'!BA11*annualizationFactor</f>
        <v>6908.3632052000021</v>
      </c>
      <c r="Z167" s="751">
        <f>$H$21*$F$8*'Traffic Data'!BB11*annualizationFactor</f>
        <v>7026.9386236000009</v>
      </c>
      <c r="AA167" s="751">
        <f>$H$21*$F$8*'Traffic Data'!BC11*annualizationFactor</f>
        <v>7145.4397280000003</v>
      </c>
      <c r="AB167" s="751">
        <f>$H$21*$F$8*'Traffic Data'!BD11*annualizationFactor</f>
        <v>7264.0151464</v>
      </c>
      <c r="AC167" s="751">
        <f>$H$21*$F$8*'Traffic Data'!BE11*annualizationFactor</f>
        <v>7382.5162507999994</v>
      </c>
      <c r="AD167" s="751">
        <f>$H$21*$F$8*'Traffic Data'!BF11*annualizationFactor</f>
        <v>7501.0173552000006</v>
      </c>
      <c r="AE167" s="751">
        <f>$H$21*$F$8*'Traffic Data'!BG11*annualizationFactor</f>
        <v>7619.5927736000021</v>
      </c>
      <c r="AF167" s="751">
        <f>$H$21*$F$8*'Traffic Data'!BH11*annualizationFactor</f>
        <v>7738.0938780000015</v>
      </c>
      <c r="AG167" s="751">
        <f>$H$21*$F$8*'Traffic Data'!BI11*annualizationFactor</f>
        <v>7856.5949823999999</v>
      </c>
      <c r="AH167" s="752">
        <f>$H$21*$F$8*'Traffic Data'!BJ11*annualizationFactor</f>
        <v>7975.1704007999997</v>
      </c>
      <c r="AI167" s="40"/>
      <c r="AJ167" s="40"/>
      <c r="AK167" s="40"/>
      <c r="AL167" s="40"/>
      <c r="AM167" s="40"/>
    </row>
    <row r="168" spans="2:39" ht="21.9" customHeight="1" x14ac:dyDescent="0.25">
      <c r="B168" s="1332"/>
      <c r="C168" s="250" t="s">
        <v>308</v>
      </c>
      <c r="D168" s="250" t="s">
        <v>319</v>
      </c>
      <c r="E168" s="114" t="s">
        <v>19</v>
      </c>
      <c r="F168" s="114" t="s">
        <v>40</v>
      </c>
      <c r="G168" s="941"/>
      <c r="H168" s="941"/>
      <c r="I168" s="751">
        <f>$H$21*$F$8*'Traffic Data'!AK12*annualizationFactor</f>
        <v>11949.691200000001</v>
      </c>
      <c r="J168" s="751">
        <f>$H$21*$F$8*'Traffic Data'!AL12*annualizationFactor</f>
        <v>12392.885330456003</v>
      </c>
      <c r="K168" s="751">
        <f>$H$21*$F$8*'Traffic Data'!AM12*annualizationFactor</f>
        <v>12836.358287039999</v>
      </c>
      <c r="L168" s="751">
        <f>$H$21*$F$8*'Traffic Data'!AN12*annualizationFactor</f>
        <v>13697.592447976001</v>
      </c>
      <c r="M168" s="751">
        <f>$H$21*$F$8*'Traffic Data'!AO12*annualizationFactor</f>
        <v>14559.324512712003</v>
      </c>
      <c r="N168" s="751">
        <f>$H$21*$F$8*'Traffic Data'!AP12*annualizationFactor</f>
        <v>15420.837499776002</v>
      </c>
      <c r="O168" s="751">
        <f>$H$21*$F$8*'Traffic Data'!AQ12*annualizationFactor</f>
        <v>16282.071660712003</v>
      </c>
      <c r="P168" s="751">
        <f>$H$21*$F$8*'Traffic Data'!AR12*annualizationFactor</f>
        <v>17144.221964640004</v>
      </c>
      <c r="Q168" s="751">
        <f>$H$21*$F$8*'Traffic Data'!AS12*annualizationFactor</f>
        <v>18340.644963736002</v>
      </c>
      <c r="R168" s="751">
        <f>$H$21*$F$8*'Traffic Data'!AT12*annualizationFactor</f>
        <v>19537.705279696002</v>
      </c>
      <c r="S168" s="751">
        <f>$H$21*$F$8*'Traffic Data'!AU12*annualizationFactor</f>
        <v>20733.909201120001</v>
      </c>
      <c r="T168" s="751">
        <f>$H$21*$F$8*'Traffic Data'!AV12*annualizationFactor</f>
        <v>21930.332200216006</v>
      </c>
      <c r="U168" s="751">
        <f>$H$21*$F$8*'Traffic Data'!AW12*annualizationFactor</f>
        <v>23127.810755368006</v>
      </c>
      <c r="V168" s="751">
        <f>$H$21*$F$8*'Traffic Data'!AX12*annualizationFactor</f>
        <v>23905.835233248003</v>
      </c>
      <c r="W168" s="751">
        <f>$H$21*$F$8*'Traffic Data'!AY12*annualizationFactor</f>
        <v>24349.029363704005</v>
      </c>
      <c r="X168" s="751">
        <f>$H$21*$F$8*'Traffic Data'!AZ12*annualizationFactor</f>
        <v>24792.22349416</v>
      </c>
      <c r="Y168" s="751">
        <f>$H$21*$F$8*'Traffic Data'!BA12*annualizationFactor</f>
        <v>25235.417624616006</v>
      </c>
      <c r="Z168" s="751">
        <f>$H$21*$F$8*'Traffic Data'!BB12*annualizationFactor</f>
        <v>25678.890581200008</v>
      </c>
      <c r="AA168" s="751">
        <f>$H$21*$F$8*'Traffic Data'!BC12*annualizationFactor</f>
        <v>26122.084711655996</v>
      </c>
      <c r="AB168" s="751">
        <f>$H$21*$F$8*'Traffic Data'!BD12*annualizationFactor</f>
        <v>26565.557668240006</v>
      </c>
      <c r="AC168" s="751">
        <f>$H$21*$F$8*'Traffic Data'!BE12*annualizationFactor</f>
        <v>27008.751798696005</v>
      </c>
      <c r="AD168" s="751">
        <f>$H$21*$F$8*'Traffic Data'!BF12*annualizationFactor</f>
        <v>27451.945929152011</v>
      </c>
      <c r="AE168" s="751">
        <f>$H$21*$F$8*'Traffic Data'!BG12*annualizationFactor</f>
        <v>27895.41888573601</v>
      </c>
      <c r="AF168" s="751">
        <f>$H$21*$F$8*'Traffic Data'!BH12*annualizationFactor</f>
        <v>28338.613016192005</v>
      </c>
      <c r="AG168" s="751">
        <f>$H$21*$F$8*'Traffic Data'!BI12*annualizationFactor</f>
        <v>28781.807146648003</v>
      </c>
      <c r="AH168" s="752">
        <f>$H$21*$F$8*'Traffic Data'!BJ12*annualizationFactor</f>
        <v>29225.280103232006</v>
      </c>
      <c r="AI168" s="40"/>
      <c r="AJ168" s="40"/>
      <c r="AK168" s="40"/>
      <c r="AL168" s="40"/>
      <c r="AM168" s="40"/>
    </row>
    <row r="169" spans="2:39" ht="21.9" customHeight="1" x14ac:dyDescent="0.25">
      <c r="B169" s="469" t="s">
        <v>320</v>
      </c>
      <c r="C169" s="114" t="s">
        <v>318</v>
      </c>
      <c r="D169" s="114" t="s">
        <v>308</v>
      </c>
      <c r="E169" s="273" t="s">
        <v>19</v>
      </c>
      <c r="F169" s="217" t="s">
        <v>40</v>
      </c>
      <c r="G169" s="754"/>
      <c r="H169" s="754"/>
      <c r="I169" s="749">
        <f>$H$21*$G$8*'Traffic Data'!AK13*annualizationFactor</f>
        <v>34.927579999999999</v>
      </c>
      <c r="J169" s="749">
        <f>$H$21*$G$8*'Traffic Data'!AL13*annualizationFactor</f>
        <v>56.547752019999997</v>
      </c>
      <c r="K169" s="749">
        <f>$H$21*$G$8*'Traffic Data'!AM13*annualizationFactor</f>
        <v>161.33049202000001</v>
      </c>
      <c r="L169" s="749">
        <f>$H$21*$G$8*'Traffic Data'!AN13*annualizationFactor</f>
        <v>341.10274628000002</v>
      </c>
      <c r="M169" s="749">
        <f>$H$21*$G$8*'Traffic Data'!AO13*annualizationFactor</f>
        <v>521.01471086000004</v>
      </c>
      <c r="N169" s="749">
        <f>$H$21*$G$8*'Traffic Data'!AP13*annualizationFactor</f>
        <v>700.85682028000008</v>
      </c>
      <c r="O169" s="749">
        <f>$H$21*$G$8*'Traffic Data'!AQ13*annualizationFactor</f>
        <v>880.62907454000026</v>
      </c>
      <c r="P169" s="749">
        <f>$H$21*$G$8*'Traffic Data'!AR13*annualizationFactor</f>
        <v>1060.68074944</v>
      </c>
      <c r="Q169" s="749">
        <f>$H$21*$G$8*'Traffic Data'!AS13*annualizationFactor</f>
        <v>1157.39521846</v>
      </c>
      <c r="R169" s="749">
        <f>$H$21*$G$8*'Traffic Data'!AT13*annualizationFactor</f>
        <v>1254.2493978</v>
      </c>
      <c r="S169" s="749">
        <f>$H$21*$G$8*'Traffic Data'!AU13*annualizationFactor</f>
        <v>1350.9987944000002</v>
      </c>
      <c r="T169" s="749">
        <f>$H$21*$G$8*'Traffic Data'!AV13*annualizationFactor</f>
        <v>1447.71326342</v>
      </c>
      <c r="U169" s="749">
        <f>$H$21*$G$8*'Traffic Data'!AW13*annualizationFactor</f>
        <v>1544.6722255000004</v>
      </c>
      <c r="V169" s="749">
        <f>$H$21*$G$8*'Traffic Data'!AX13*annualizationFactor</f>
        <v>1566.2923975199997</v>
      </c>
      <c r="W169" s="749">
        <f>$H$21*$G$8*'Traffic Data'!AY13*annualizationFactor</f>
        <v>1587.9125695400003</v>
      </c>
      <c r="X169" s="749">
        <f>$H$21*$G$8*'Traffic Data'!AZ13*annualizationFactor</f>
        <v>1609.53274156</v>
      </c>
      <c r="Y169" s="749">
        <f>$H$21*$G$8*'Traffic Data'!BA13*annualizationFactor</f>
        <v>1631.1529135800001</v>
      </c>
      <c r="Z169" s="749">
        <f>$H$21*$G$8*'Traffic Data'!BB13*annualizationFactor</f>
        <v>1652.8778683400001</v>
      </c>
      <c r="AA169" s="749">
        <f>$H$21*$G$8*'Traffic Data'!BC13*annualizationFactor</f>
        <v>1674.49804036</v>
      </c>
      <c r="AB169" s="749">
        <f>$H$21*$G$8*'Traffic Data'!BD13*annualizationFactor</f>
        <v>1696.2229951199997</v>
      </c>
      <c r="AC169" s="749">
        <f>$H$21*$G$8*'Traffic Data'!BE13*annualizationFactor</f>
        <v>1717.8431671399999</v>
      </c>
      <c r="AD169" s="749">
        <f>$H$21*$G$8*'Traffic Data'!BF13*annualizationFactor</f>
        <v>1739.46333916</v>
      </c>
      <c r="AE169" s="749">
        <f>$H$21*$G$8*'Traffic Data'!BG13*annualizationFactor</f>
        <v>1761.1882939200002</v>
      </c>
      <c r="AF169" s="749">
        <f>$H$21*$G$8*'Traffic Data'!BH13*annualizationFactor</f>
        <v>1782.8084659399999</v>
      </c>
      <c r="AG169" s="749">
        <f>$H$21*$G$8*'Traffic Data'!BI13*annualizationFactor</f>
        <v>1804.4286379600001</v>
      </c>
      <c r="AH169" s="750">
        <f>$H$21*$G$8*'Traffic Data'!BJ13*annualizationFactor</f>
        <v>1826.1535927200005</v>
      </c>
      <c r="AI169" s="40"/>
      <c r="AJ169" s="40"/>
      <c r="AK169" s="40"/>
      <c r="AL169" s="40"/>
      <c r="AM169" s="40"/>
    </row>
    <row r="170" spans="2:39" ht="21.9" customHeight="1" x14ac:dyDescent="0.25">
      <c r="B170" s="1332" t="s">
        <v>308</v>
      </c>
      <c r="C170" s="217" t="s">
        <v>276</v>
      </c>
      <c r="D170" s="217" t="s">
        <v>320</v>
      </c>
      <c r="E170" s="114" t="s">
        <v>19</v>
      </c>
      <c r="F170" s="217" t="s">
        <v>40</v>
      </c>
      <c r="G170" s="941"/>
      <c r="H170" s="941"/>
      <c r="I170" s="749">
        <f>$H$21*$H$8*'Traffic Data'!AK14*annualizationFactor</f>
        <v>100.32389999999999</v>
      </c>
      <c r="J170" s="749">
        <f>$H$21*$H$8*'Traffic Data'!AL14*annualizationFactor</f>
        <v>100.32389999999999</v>
      </c>
      <c r="K170" s="749">
        <f>$H$21*$H$8*'Traffic Data'!AM14*annualizationFactor</f>
        <v>1173.8899539000001</v>
      </c>
      <c r="L170" s="749">
        <f>$H$21*$H$8*'Traffic Data'!AN14*annualizationFactor</f>
        <v>2247.4560078000004</v>
      </c>
      <c r="M170" s="749">
        <f>$H$21*$H$8*'Traffic Data'!AO14*annualizationFactor</f>
        <v>3321.9249768000009</v>
      </c>
      <c r="N170" s="749">
        <f>$H$21*$H$8*'Traffic Data'!AP14*annualizationFactor</f>
        <v>4395.4910307000009</v>
      </c>
      <c r="O170" s="749">
        <f>$H$21*$H$8*'Traffic Data'!AQ14*annualizationFactor</f>
        <v>5469.057084600001</v>
      </c>
      <c r="P170" s="749">
        <f>$H$21*$H$8*'Traffic Data'!AR14*annualizationFactor</f>
        <v>6543.5260536000014</v>
      </c>
      <c r="Q170" s="749">
        <f>$H$21*$H$8*'Traffic Data'!AS14*annualizationFactor</f>
        <v>6543.5260536000014</v>
      </c>
      <c r="R170" s="749">
        <f>$H$21*$H$8*'Traffic Data'!AT14*annualizationFactor</f>
        <v>6543.5260536000014</v>
      </c>
      <c r="S170" s="749">
        <f>$H$21*$H$8*'Traffic Data'!AU14*annualizationFactor</f>
        <v>6543.5260536000014</v>
      </c>
      <c r="T170" s="749">
        <f>$H$21*$H$8*'Traffic Data'!AV14*annualizationFactor</f>
        <v>6543.5260536000014</v>
      </c>
      <c r="U170" s="749">
        <f>$H$21*$H$8*'Traffic Data'!AW14*annualizationFactor</f>
        <v>6543.5260536000014</v>
      </c>
      <c r="V170" s="749">
        <f>$H$21*$H$8*'Traffic Data'!AX14*annualizationFactor</f>
        <v>6543.5260536000014</v>
      </c>
      <c r="W170" s="749">
        <f>$H$21*$H$8*'Traffic Data'!AY14*annualizationFactor</f>
        <v>6543.5260536000014</v>
      </c>
      <c r="X170" s="749">
        <f>$H$21*$H$8*'Traffic Data'!AZ14*annualizationFactor</f>
        <v>6543.5260536000014</v>
      </c>
      <c r="Y170" s="749">
        <f>$H$21*$H$8*'Traffic Data'!BA14*annualizationFactor</f>
        <v>6543.5260536000014</v>
      </c>
      <c r="Z170" s="749">
        <f>$H$21*$H$8*'Traffic Data'!BB14*annualizationFactor</f>
        <v>6543.5260536000014</v>
      </c>
      <c r="AA170" s="749">
        <f>$H$21*$H$8*'Traffic Data'!BC14*annualizationFactor</f>
        <v>6543.5260536000014</v>
      </c>
      <c r="AB170" s="749">
        <f>$H$21*$H$8*'Traffic Data'!BD14*annualizationFactor</f>
        <v>6543.5260536000014</v>
      </c>
      <c r="AC170" s="749">
        <f>$H$21*$H$8*'Traffic Data'!BE14*annualizationFactor</f>
        <v>6543.5260536000014</v>
      </c>
      <c r="AD170" s="749">
        <f>$H$21*$H$8*'Traffic Data'!BF14*annualizationFactor</f>
        <v>6543.5260536000014</v>
      </c>
      <c r="AE170" s="749">
        <f>$H$21*$H$8*'Traffic Data'!BG14*annualizationFactor</f>
        <v>6543.5260536000014</v>
      </c>
      <c r="AF170" s="749">
        <f>$H$21*$H$8*'Traffic Data'!BH14*annualizationFactor</f>
        <v>6543.5260536000014</v>
      </c>
      <c r="AG170" s="749">
        <f>$H$21*$H$8*'Traffic Data'!BI14*annualizationFactor</f>
        <v>6543.5260536000014</v>
      </c>
      <c r="AH170" s="750">
        <f>$H$21*$H$8*'Traffic Data'!BJ14*annualizationFactor</f>
        <v>6543.5260536000014</v>
      </c>
      <c r="AI170" s="40"/>
      <c r="AJ170" s="40"/>
      <c r="AK170" s="40"/>
      <c r="AL170" s="40"/>
      <c r="AM170" s="40"/>
    </row>
    <row r="171" spans="2:39" ht="21.9" customHeight="1" x14ac:dyDescent="0.25">
      <c r="B171" s="1332"/>
      <c r="C171" s="114" t="s">
        <v>320</v>
      </c>
      <c r="D171" s="114" t="s">
        <v>282</v>
      </c>
      <c r="E171" s="114" t="s">
        <v>19</v>
      </c>
      <c r="F171" s="114" t="s">
        <v>40</v>
      </c>
      <c r="G171" s="941"/>
      <c r="H171" s="941"/>
      <c r="I171" s="751">
        <f>$H$21*$H$8*'Traffic Data'!AK15*annualizationFactor</f>
        <v>45.777424000000003</v>
      </c>
      <c r="J171" s="751">
        <f>$H$21*$H$8*'Traffic Data'!AL15*annualizationFactor</f>
        <v>86.977105600000002</v>
      </c>
      <c r="K171" s="751">
        <f>$H$21*$H$8*'Traffic Data'!AM15*annualizationFactor</f>
        <v>128.17678720000001</v>
      </c>
      <c r="L171" s="751">
        <f>$H$21*$H$8*'Traffic Data'!AN15*annualizationFactor</f>
        <v>278.82612800000004</v>
      </c>
      <c r="M171" s="751">
        <f>$H$21*$H$8*'Traffic Data'!AO15*annualizationFactor</f>
        <v>429.26738960000006</v>
      </c>
      <c r="N171" s="751">
        <f>$H$21*$H$8*'Traffic Data'!AP15*annualizationFactor</f>
        <v>580.12480960000005</v>
      </c>
      <c r="O171" s="751">
        <f>$H$21*$H$8*'Traffic Data'!AQ15*annualizationFactor</f>
        <v>730.77415040000017</v>
      </c>
      <c r="P171" s="751">
        <f>$H$21*$H$8*'Traffic Data'!AR15*annualizationFactor</f>
        <v>881.42349120000006</v>
      </c>
      <c r="Q171" s="751">
        <f>$H$21*$H$8*'Traffic Data'!AS15*annualizationFactor</f>
        <v>1143.3952040000001</v>
      </c>
      <c r="R171" s="751">
        <f>$H$21*$H$8*'Traffic Data'!AT15*annualizationFactor</f>
        <v>1405.1588376000002</v>
      </c>
      <c r="S171" s="751">
        <f>$H$21*$H$8*'Traffic Data'!AU15*annualizationFactor</f>
        <v>1666.9224712000002</v>
      </c>
      <c r="T171" s="751">
        <f>$H$21*$H$8*'Traffic Data'!AV15*annualizationFactor</f>
        <v>1928.8941840000002</v>
      </c>
      <c r="U171" s="751">
        <f>$H$21*$H$8*'Traffic Data'!AW15*annualizationFactor</f>
        <v>2190.8658968000004</v>
      </c>
      <c r="V171" s="751">
        <f>$H$21*$H$8*'Traffic Data'!AX15*annualizationFactor</f>
        <v>2343.3879504000001</v>
      </c>
      <c r="W171" s="751">
        <f>$H$21*$H$8*'Traffic Data'!AY15*annualizationFactor</f>
        <v>2384.3795528000005</v>
      </c>
      <c r="X171" s="751">
        <f>$H$21*$H$8*'Traffic Data'!AZ15*annualizationFactor</f>
        <v>2425.5792344000001</v>
      </c>
      <c r="Y171" s="751">
        <f>$H$21*$H$8*'Traffic Data'!BA15*annualizationFactor</f>
        <v>2466.7789160000002</v>
      </c>
      <c r="Z171" s="751">
        <f>$H$21*$H$8*'Traffic Data'!BB15*annualizationFactor</f>
        <v>2507.9785976000003</v>
      </c>
      <c r="AA171" s="751">
        <f>$H$21*$H$8*'Traffic Data'!BC15*annualizationFactor</f>
        <v>2549.1782791999999</v>
      </c>
      <c r="AB171" s="751">
        <f>$H$21*$H$8*'Traffic Data'!BD15*annualizationFactor</f>
        <v>2590.3779608</v>
      </c>
      <c r="AC171" s="751">
        <f>$H$21*$H$8*'Traffic Data'!BE15*annualizationFactor</f>
        <v>2631.5776424000001</v>
      </c>
      <c r="AD171" s="751">
        <f>$H$21*$H$8*'Traffic Data'!BF15*annualizationFactor</f>
        <v>2672.7773240000006</v>
      </c>
      <c r="AE171" s="751">
        <f>$H$21*$H$8*'Traffic Data'!BG15*annualizationFactor</f>
        <v>2713.7689264000001</v>
      </c>
      <c r="AF171" s="751">
        <f>$H$21*$H$8*'Traffic Data'!BH15*annualizationFactor</f>
        <v>2754.9686080000001</v>
      </c>
      <c r="AG171" s="751">
        <f>$H$21*$H$8*'Traffic Data'!BI15*annualizationFactor</f>
        <v>2796.1682896000002</v>
      </c>
      <c r="AH171" s="752">
        <f>$H$21*$H$8*'Traffic Data'!BJ15*annualizationFactor</f>
        <v>2837.3679712000003</v>
      </c>
      <c r="AI171" s="40"/>
      <c r="AJ171" s="40"/>
      <c r="AK171" s="40"/>
      <c r="AL171" s="40"/>
      <c r="AM171" s="40"/>
    </row>
    <row r="172" spans="2:39" ht="21.9" customHeight="1" x14ac:dyDescent="0.25">
      <c r="B172" s="1332"/>
      <c r="C172" s="114" t="s">
        <v>282</v>
      </c>
      <c r="D172" s="114" t="s">
        <v>321</v>
      </c>
      <c r="E172" s="114" t="s">
        <v>19</v>
      </c>
      <c r="F172" s="114" t="s">
        <v>40</v>
      </c>
      <c r="G172" s="941"/>
      <c r="H172" s="941"/>
      <c r="I172" s="751">
        <f>$H$21*$H$8*'Traffic Data'!AK16*annualizationFactor</f>
        <v>162.74766</v>
      </c>
      <c r="J172" s="751">
        <f>$H$21*$H$8*'Traffic Data'!AL16*annualizationFactor</f>
        <v>309.15003001399998</v>
      </c>
      <c r="K172" s="751">
        <f>$H$21*$H$8*'Traffic Data'!AM16*annualizationFactor</f>
        <v>455.50357573000002</v>
      </c>
      <c r="L172" s="751">
        <f>$H$21*$H$8*'Traffic Data'!AN16*annualizationFactor</f>
        <v>990.92710236399989</v>
      </c>
      <c r="M172" s="751">
        <f>$H$21*$H$8*'Traffic Data'!AO16*annualizationFactor</f>
        <v>1526.3723286860002</v>
      </c>
      <c r="N172" s="751">
        <f>$H$21*$H$8*'Traffic Data'!AP16*annualizationFactor</f>
        <v>2062.50109518</v>
      </c>
      <c r="O172" s="751">
        <f>$H$21*$H$8*'Traffic Data'!AQ16*annualizationFactor</f>
        <v>2597.9246218139997</v>
      </c>
      <c r="P172" s="751">
        <f>$H$21*$H$8*'Traffic Data'!AR16*annualizationFactor</f>
        <v>3133.6736437680001</v>
      </c>
      <c r="Q172" s="751">
        <f>$H$21*$H$8*'Traffic Data'!AS16*annualizationFactor</f>
        <v>4064.7367318620004</v>
      </c>
      <c r="R172" s="751">
        <f>$H$21*$H$8*'Traffic Data'!AT16*annualizationFactor</f>
        <v>4995.4200754160011</v>
      </c>
      <c r="S172" s="751">
        <f>$H$21*$H$8*'Traffic Data'!AU16*annualizationFactor</f>
        <v>5926.4126395239991</v>
      </c>
      <c r="T172" s="751">
        <f>$H$21*$H$8*'Traffic Data'!AV16*annualizationFactor</f>
        <v>6857.4757276180007</v>
      </c>
      <c r="U172" s="751">
        <f>$H$21*$H$8*'Traffic Data'!AW16*annualizationFactor</f>
        <v>7789.2169309619985</v>
      </c>
      <c r="V172" s="751">
        <f>$H$21*$H$8*'Traffic Data'!AX16*annualizationFactor</f>
        <v>8330.8357185200002</v>
      </c>
      <c r="W172" s="751">
        <f>$H$21*$H$8*'Traffic Data'!AY16*annualizationFactor</f>
        <v>8477.2380885340008</v>
      </c>
      <c r="X172" s="751">
        <f>$H$21*$H$8*'Traffic Data'!AZ16*annualizationFactor</f>
        <v>8623.6404585480013</v>
      </c>
      <c r="Y172" s="751">
        <f>$H$21*$H$8*'Traffic Data'!BA16*annualizationFactor</f>
        <v>8770.0428285619982</v>
      </c>
      <c r="Z172" s="751">
        <f>$H$21*$H$8*'Traffic Data'!BB16*annualizationFactor</f>
        <v>8916.3963742779979</v>
      </c>
      <c r="AA172" s="751">
        <f>$H$21*$H$8*'Traffic Data'!BC16*annualizationFactor</f>
        <v>9062.7987442920003</v>
      </c>
      <c r="AB172" s="751">
        <f>$H$21*$H$8*'Traffic Data'!BD16*annualizationFactor</f>
        <v>9209.1522900079999</v>
      </c>
      <c r="AC172" s="751">
        <f>$H$21*$H$8*'Traffic Data'!BE16*annualizationFactor</f>
        <v>9355.5546600219986</v>
      </c>
      <c r="AD172" s="751">
        <f>$H$21*$H$8*'Traffic Data'!BF16*annualizationFactor</f>
        <v>9501.957030036001</v>
      </c>
      <c r="AE172" s="751">
        <f>$H$21*$H$8*'Traffic Data'!BG16*annualizationFactor</f>
        <v>9648.3105757519988</v>
      </c>
      <c r="AF172" s="751">
        <f>$H$21*$H$8*'Traffic Data'!BH16*annualizationFactor</f>
        <v>9794.7129457660012</v>
      </c>
      <c r="AG172" s="751">
        <f>$H$21*$H$8*'Traffic Data'!BI16*annualizationFactor</f>
        <v>9941.1153157800018</v>
      </c>
      <c r="AH172" s="752">
        <f>$H$21*$H$8*'Traffic Data'!BJ16*annualizationFactor</f>
        <v>10087.468861496</v>
      </c>
      <c r="AI172" s="40"/>
      <c r="AJ172" s="40"/>
      <c r="AK172" s="40"/>
      <c r="AL172" s="40"/>
      <c r="AM172" s="40"/>
    </row>
    <row r="173" spans="2:39" ht="21.9" customHeight="1" x14ac:dyDescent="0.25">
      <c r="B173" s="1332"/>
      <c r="C173" s="250" t="s">
        <v>321</v>
      </c>
      <c r="D173" s="250" t="s">
        <v>274</v>
      </c>
      <c r="E173" s="114" t="s">
        <v>19</v>
      </c>
      <c r="F173" s="114" t="s">
        <v>40</v>
      </c>
      <c r="G173" s="941"/>
      <c r="H173" s="941"/>
      <c r="I173" s="751">
        <f>$H$21*$H$8*'Traffic Data'!AK17*annualizationFactor</f>
        <v>234.0891</v>
      </c>
      <c r="J173" s="751">
        <f>$H$21*$H$8*'Traffic Data'!AL17*annualizationFactor</f>
        <v>444.66785139000007</v>
      </c>
      <c r="K173" s="751">
        <f>$H$21*$H$8*'Traffic Data'!AM17*annualizationFactor</f>
        <v>655.17637605000016</v>
      </c>
      <c r="L173" s="751">
        <f>$H$21*$H$8*'Traffic Data'!AN17*annualizationFactor</f>
        <v>1425.3061061400001</v>
      </c>
      <c r="M173" s="751">
        <f>$H$21*$H$8*'Traffic Data'!AO17*annualizationFactor</f>
        <v>2195.4670481100002</v>
      </c>
      <c r="N173" s="751">
        <f>$H$21*$H$8*'Traffic Data'!AP17*annualizationFactor</f>
        <v>2966.6111643000008</v>
      </c>
      <c r="O173" s="751">
        <f>$H$21*$H$8*'Traffic Data'!AQ17*annualizationFactor</f>
        <v>3736.74089439</v>
      </c>
      <c r="P173" s="751">
        <f>$H$21*$H$8*'Traffic Data'!AR17*annualizationFactor</f>
        <v>4507.3388026800003</v>
      </c>
      <c r="Q173" s="751">
        <f>$H$21*$H$8*'Traffic Data'!AS17*annualizationFactor</f>
        <v>5846.5391348700014</v>
      </c>
      <c r="R173" s="751">
        <f>$H$21*$H$8*'Traffic Data'!AT17*annualizationFactor</f>
        <v>7185.1932591600007</v>
      </c>
      <c r="S173" s="751">
        <f>$H$21*$H$8*'Traffic Data'!AU17*annualizationFactor</f>
        <v>8524.2921527399976</v>
      </c>
      <c r="T173" s="751">
        <f>$H$21*$H$8*'Traffic Data'!AV17*annualizationFactor</f>
        <v>9863.4924849300005</v>
      </c>
      <c r="U173" s="751">
        <f>$H$21*$H$8*'Traffic Data'!AW17*annualizationFactor</f>
        <v>11203.668188369998</v>
      </c>
      <c r="V173" s="751">
        <f>$H$21*$H$8*'Traffic Data'!AX17*annualizationFactor</f>
        <v>11982.708910199997</v>
      </c>
      <c r="W173" s="751">
        <f>$H$21*$H$8*'Traffic Data'!AY17*annualizationFactor</f>
        <v>12193.287661589999</v>
      </c>
      <c r="X173" s="751">
        <f>$H$21*$H$8*'Traffic Data'!AZ17*annualizationFactor</f>
        <v>12403.86641298</v>
      </c>
      <c r="Y173" s="751">
        <f>$H$21*$H$8*'Traffic Data'!BA17*annualizationFactor</f>
        <v>12614.445164370001</v>
      </c>
      <c r="Z173" s="751">
        <f>$H$21*$H$8*'Traffic Data'!BB17*annualizationFactor</f>
        <v>12824.953689030001</v>
      </c>
      <c r="AA173" s="751">
        <f>$H$21*$H$8*'Traffic Data'!BC17*annualizationFactor</f>
        <v>13035.532440420002</v>
      </c>
      <c r="AB173" s="751">
        <f>$H$21*$H$8*'Traffic Data'!BD17*annualizationFactor</f>
        <v>13246.040965079997</v>
      </c>
      <c r="AC173" s="751">
        <f>$H$21*$H$8*'Traffic Data'!BE17*annualizationFactor</f>
        <v>13456.619716469999</v>
      </c>
      <c r="AD173" s="751">
        <f>$H$21*$H$8*'Traffic Data'!BF17*annualizationFactor</f>
        <v>13667.198467860002</v>
      </c>
      <c r="AE173" s="751">
        <f>$H$21*$H$8*'Traffic Data'!BG17*annualizationFactor</f>
        <v>13877.706992520001</v>
      </c>
      <c r="AF173" s="751">
        <f>$H$21*$H$8*'Traffic Data'!BH17*annualizationFactor</f>
        <v>14088.285743910003</v>
      </c>
      <c r="AG173" s="751">
        <f>$H$21*$H$8*'Traffic Data'!BI17*annualizationFactor</f>
        <v>14298.864495300004</v>
      </c>
      <c r="AH173" s="752">
        <f>$H$21*$H$8*'Traffic Data'!BJ17*annualizationFactor</f>
        <v>14509.373019960001</v>
      </c>
      <c r="AI173" s="40"/>
      <c r="AJ173" s="40"/>
      <c r="AK173" s="40"/>
      <c r="AL173" s="40"/>
      <c r="AM173" s="40"/>
    </row>
    <row r="174" spans="2:39" ht="21.9" customHeight="1" x14ac:dyDescent="0.25">
      <c r="B174" s="469" t="s">
        <v>282</v>
      </c>
      <c r="C174" s="114" t="s">
        <v>308</v>
      </c>
      <c r="D174" s="114" t="s">
        <v>324</v>
      </c>
      <c r="E174" s="114" t="s">
        <v>19</v>
      </c>
      <c r="F174" s="217" t="s">
        <v>40</v>
      </c>
      <c r="G174" s="941"/>
      <c r="H174" s="941"/>
      <c r="I174" s="749">
        <f>$H$21*$J$8*'Traffic Data'!AK18*annualizationFactor</f>
        <v>1337.652</v>
      </c>
      <c r="J174" s="749">
        <f>$H$21*$J$8*'Traffic Data'!AL18*annualizationFactor</f>
        <v>1387.7990872</v>
      </c>
      <c r="K174" s="749">
        <f>$H$21*$J$8*'Traffic Data'!AM18*annualizationFactor</f>
        <v>1464.5059980000001</v>
      </c>
      <c r="L174" s="749">
        <f>$H$21*$J$8*'Traffic Data'!AN18*annualizationFactor</f>
        <v>1708.2187610000003</v>
      </c>
      <c r="M174" s="749">
        <f>$H$21*$J$8*'Traffic Data'!AO18*annualizationFactor</f>
        <v>1951.9686810000001</v>
      </c>
      <c r="N174" s="749">
        <f>$H$21*$J$8*'Traffic Data'!AP18*annualizationFactor</f>
        <v>2195.9786999999997</v>
      </c>
      <c r="O174" s="749">
        <f>$H$21*$J$8*'Traffic Data'!AQ18*annualizationFactor</f>
        <v>2439.6914629999997</v>
      </c>
      <c r="P174" s="749">
        <f>$H$21*$J$8*'Traffic Data'!AR18*annualizationFactor</f>
        <v>2683.6420308000002</v>
      </c>
      <c r="Q174" s="749">
        <f>$H$21*$J$8*'Traffic Data'!AS18*annualizationFactor</f>
        <v>3005.0723749999997</v>
      </c>
      <c r="R174" s="749">
        <f>$H$21*$J$8*'Traffic Data'!AT18*annualizationFactor</f>
        <v>3326.4209738</v>
      </c>
      <c r="S174" s="749">
        <f>$H$21*$J$8*'Traffic Data'!AU18*annualizationFactor</f>
        <v>3647.8884750000002</v>
      </c>
      <c r="T174" s="749">
        <f>$H$21*$J$8*'Traffic Data'!AV18*annualizationFactor</f>
        <v>3969.3188192000011</v>
      </c>
      <c r="U174" s="749">
        <f>$H$21*$J$8*'Traffic Data'!AW18*annualizationFactor</f>
        <v>4291.1133020000007</v>
      </c>
      <c r="V174" s="749">
        <f>$H$21*$J$8*'Traffic Data'!AX18*annualizationFactor</f>
        <v>4445.3743032000002</v>
      </c>
      <c r="W174" s="749">
        <f>$H$21*$J$8*'Traffic Data'!AY18*annualizationFactor</f>
        <v>4495.5213904000002</v>
      </c>
      <c r="X174" s="749">
        <f>$H$21*$J$8*'Traffic Data'!AZ18*annualizationFactor</f>
        <v>4545.6684775999993</v>
      </c>
      <c r="Y174" s="749">
        <f>$H$21*$J$8*'Traffic Data'!BA18*annualizationFactor</f>
        <v>4595.8155648000002</v>
      </c>
      <c r="Z174" s="749">
        <f>$H$21*$J$8*'Traffic Data'!BB18*annualizationFactor</f>
        <v>4646.0146717999996</v>
      </c>
      <c r="AA174" s="749">
        <f>$H$21*$J$8*'Traffic Data'!BC18*annualizationFactor</f>
        <v>4696.1617589999987</v>
      </c>
      <c r="AB174" s="749">
        <f>$H$21*$J$8*'Traffic Data'!BD18*annualizationFactor</f>
        <v>4746.3608660000009</v>
      </c>
      <c r="AC174" s="749">
        <f>$H$21*$J$8*'Traffic Data'!BE18*annualizationFactor</f>
        <v>4796.5079532000009</v>
      </c>
      <c r="AD174" s="749">
        <f>$H$21*$J$8*'Traffic Data'!BF18*annualizationFactor</f>
        <v>4846.6550404</v>
      </c>
      <c r="AE174" s="749">
        <f>$H$21*$J$8*'Traffic Data'!BG18*annualizationFactor</f>
        <v>4896.8541473999994</v>
      </c>
      <c r="AF174" s="749">
        <f>$H$21*$J$8*'Traffic Data'!BH18*annualizationFactor</f>
        <v>4947.0012346000012</v>
      </c>
      <c r="AG174" s="749">
        <f>$H$21*$J$8*'Traffic Data'!BI18*annualizationFactor</f>
        <v>4997.1483218000003</v>
      </c>
      <c r="AH174" s="750">
        <f>$H$21*$J$8*'Traffic Data'!BJ18*annualizationFactor</f>
        <v>5047.3474287999998</v>
      </c>
      <c r="AI174" s="40"/>
      <c r="AJ174" s="40"/>
      <c r="AK174" s="40"/>
      <c r="AL174" s="40"/>
      <c r="AM174" s="40"/>
    </row>
    <row r="175" spans="2:39" ht="21.9" customHeight="1" x14ac:dyDescent="0.25">
      <c r="B175" s="756" t="s">
        <v>321</v>
      </c>
      <c r="C175" s="273" t="s">
        <v>318</v>
      </c>
      <c r="D175" s="273" t="s">
        <v>308</v>
      </c>
      <c r="E175" s="273" t="s">
        <v>19</v>
      </c>
      <c r="F175" s="217" t="s">
        <v>40</v>
      </c>
      <c r="G175" s="754"/>
      <c r="H175" s="754"/>
      <c r="I175" s="749">
        <f>$H$21*$K$8*'Traffic Data'!AK19*annualizationFactor</f>
        <v>0</v>
      </c>
      <c r="J175" s="749">
        <f>$H$21*$K$8*'Traffic Data'!AL19*annualizationFactor</f>
        <v>0</v>
      </c>
      <c r="K175" s="749">
        <f>$H$21*$K$8*'Traffic Data'!AM19*annualizationFactor</f>
        <v>0</v>
      </c>
      <c r="L175" s="749">
        <f>$H$21*$K$8*'Traffic Data'!AN19*annualizationFactor</f>
        <v>0</v>
      </c>
      <c r="M175" s="749">
        <f>$H$21*$K$8*'Traffic Data'!AO19*annualizationFactor</f>
        <v>0</v>
      </c>
      <c r="N175" s="749">
        <f>$H$21*$K$8*'Traffic Data'!AP19*annualizationFactor</f>
        <v>0</v>
      </c>
      <c r="O175" s="749">
        <f>$H$21*$K$8*'Traffic Data'!AQ19*annualizationFactor</f>
        <v>0</v>
      </c>
      <c r="P175" s="749">
        <f>$H$21*$K$8*'Traffic Data'!AR19*annualizationFactor</f>
        <v>0</v>
      </c>
      <c r="Q175" s="749">
        <f>$H$21*$K$8*'Traffic Data'!AS19*annualizationFactor</f>
        <v>0</v>
      </c>
      <c r="R175" s="749">
        <f>$H$21*$K$8*'Traffic Data'!AT19*annualizationFactor</f>
        <v>0</v>
      </c>
      <c r="S175" s="749">
        <f>$H$21*$K$8*'Traffic Data'!AU19*annualizationFactor</f>
        <v>0</v>
      </c>
      <c r="T175" s="749">
        <f>$H$21*$K$8*'Traffic Data'!AV19*annualizationFactor</f>
        <v>0</v>
      </c>
      <c r="U175" s="749">
        <f>$H$21*$K$8*'Traffic Data'!AW19*annualizationFactor</f>
        <v>0</v>
      </c>
      <c r="V175" s="749">
        <f>$H$21*$K$8*'Traffic Data'!AX19*annualizationFactor</f>
        <v>0</v>
      </c>
      <c r="W175" s="749">
        <f>$H$21*$K$8*'Traffic Data'!AY19*annualizationFactor</f>
        <v>0</v>
      </c>
      <c r="X175" s="749">
        <f>$H$21*$K$8*'Traffic Data'!AZ19*annualizationFactor</f>
        <v>0</v>
      </c>
      <c r="Y175" s="749">
        <f>$H$21*$K$8*'Traffic Data'!BA19*annualizationFactor</f>
        <v>0</v>
      </c>
      <c r="Z175" s="749">
        <f>$H$21*$K$8*'Traffic Data'!BB19*annualizationFactor</f>
        <v>0</v>
      </c>
      <c r="AA175" s="749">
        <f>$H$21*$K$8*'Traffic Data'!BC19*annualizationFactor</f>
        <v>0</v>
      </c>
      <c r="AB175" s="749">
        <f>$H$21*$K$8*'Traffic Data'!BD19*annualizationFactor</f>
        <v>0</v>
      </c>
      <c r="AC175" s="749">
        <f>$H$21*$K$8*'Traffic Data'!BE19*annualizationFactor</f>
        <v>0</v>
      </c>
      <c r="AD175" s="749">
        <f>$H$21*$K$8*'Traffic Data'!BF19*annualizationFactor</f>
        <v>0</v>
      </c>
      <c r="AE175" s="749">
        <f>$H$21*$K$8*'Traffic Data'!BG19*annualizationFactor</f>
        <v>0</v>
      </c>
      <c r="AF175" s="749">
        <f>$H$21*$K$8*'Traffic Data'!BH19*annualizationFactor</f>
        <v>0</v>
      </c>
      <c r="AG175" s="749">
        <f>$H$21*$K$8*'Traffic Data'!BI19*annualizationFactor</f>
        <v>0</v>
      </c>
      <c r="AH175" s="750">
        <f>$H$21*$K$8*'Traffic Data'!BJ19*annualizationFactor</f>
        <v>0</v>
      </c>
      <c r="AI175" s="40"/>
      <c r="AJ175" s="40"/>
      <c r="AK175" s="40"/>
      <c r="AL175" s="40"/>
      <c r="AM175" s="40"/>
    </row>
    <row r="176" spans="2:39" ht="21.9" customHeight="1" x14ac:dyDescent="0.25">
      <c r="B176" s="756" t="s">
        <v>333</v>
      </c>
      <c r="C176" s="273" t="s">
        <v>319</v>
      </c>
      <c r="D176" s="273" t="s">
        <v>308</v>
      </c>
      <c r="E176" s="114" t="s">
        <v>19</v>
      </c>
      <c r="F176" s="217" t="s">
        <v>40</v>
      </c>
      <c r="G176" s="941"/>
      <c r="H176" s="941"/>
      <c r="I176" s="749">
        <f>$H$21*$L$8*'Traffic Data'!AK20*annualizationFactor</f>
        <v>2480.7364363636366</v>
      </c>
      <c r="J176" s="749">
        <f>$H$21*$L$8*'Traffic Data'!AL20*annualizationFactor</f>
        <v>2519.0775961745453</v>
      </c>
      <c r="K176" s="749">
        <f>$H$21*$L$8*'Traffic Data'!AM20*annualizationFactor</f>
        <v>2582.0745197890906</v>
      </c>
      <c r="L176" s="749">
        <f>$H$21*$L$8*'Traffic Data'!AN20*annualizationFactor</f>
        <v>2796.1827470509093</v>
      </c>
      <c r="M176" s="749">
        <f>$H$21*$L$8*'Traffic Data'!AO20*annualizationFactor</f>
        <v>3010.318538050909</v>
      </c>
      <c r="N176" s="749">
        <f>$H$21*$L$8*'Traffic Data'!AP20*annualizationFactor</f>
        <v>3224.7024026945451</v>
      </c>
      <c r="O176" s="749">
        <f>$H$21*$L$8*'Traffic Data'!AQ20*annualizationFactor</f>
        <v>3438.8106299563633</v>
      </c>
      <c r="P176" s="749">
        <f>$H$21*$L$8*'Traffic Data'!AR20*annualizationFactor</f>
        <v>3653.160039927272</v>
      </c>
      <c r="Q176" s="749">
        <f>$H$21*$L$8*'Traffic Data'!AS20*annualizationFactor</f>
        <v>3907.1185416654539</v>
      </c>
      <c r="R176" s="749">
        <f>$H$21*$L$8*'Traffic Data'!AT20*annualizationFactor</f>
        <v>4161.0219159272719</v>
      </c>
      <c r="S176" s="749">
        <f>$H$21*$L$8*'Traffic Data'!AU20*annualizationFactor</f>
        <v>4415.0493270109082</v>
      </c>
      <c r="T176" s="749">
        <f>$H$21*$L$8*'Traffic Data'!AV20*annualizationFactor</f>
        <v>4669.0078287490905</v>
      </c>
      <c r="U176" s="749">
        <f>$H$21*$L$8*'Traffic Data'!AW20*annualizationFactor</f>
        <v>4923.3246590836352</v>
      </c>
      <c r="V176" s="749">
        <f>$H$21*$L$8*'Traffic Data'!AX20*annualizationFactor</f>
        <v>5026.0271475490908</v>
      </c>
      <c r="W176" s="749">
        <f>$H$21*$L$8*'Traffic Data'!AY20*annualizationFactor</f>
        <v>5064.3683073599996</v>
      </c>
      <c r="X176" s="749">
        <f>$H$21*$L$8*'Traffic Data'!AZ20*annualizationFactor</f>
        <v>5102.7094671709101</v>
      </c>
      <c r="Y176" s="749">
        <f>$H$21*$L$8*'Traffic Data'!BA20*annualizationFactor</f>
        <v>5141.0506269818179</v>
      </c>
      <c r="Z176" s="749">
        <f>$H$21*$L$8*'Traffic Data'!BB20*annualizationFactor</f>
        <v>5179.4675870727269</v>
      </c>
      <c r="AA176" s="749">
        <f>$H$21*$L$8*'Traffic Data'!BC20*annualizationFactor</f>
        <v>5217.8087468836356</v>
      </c>
      <c r="AB176" s="749">
        <f>$H$21*$L$8*'Traffic Data'!BD20*annualizationFactor</f>
        <v>5256.2257069745456</v>
      </c>
      <c r="AC176" s="749">
        <f>$H$21*$L$8*'Traffic Data'!BE20*annualizationFactor</f>
        <v>5294.5668667854543</v>
      </c>
      <c r="AD176" s="749">
        <f>$H$21*$L$8*'Traffic Data'!BF20*annualizationFactor</f>
        <v>5332.9080265963639</v>
      </c>
      <c r="AE176" s="749">
        <f>$H$21*$L$8*'Traffic Data'!BG20*annualizationFactor</f>
        <v>5371.3249866872729</v>
      </c>
      <c r="AF176" s="749">
        <f>$H$21*$L$8*'Traffic Data'!BH20*annualizationFactor</f>
        <v>5409.6661464981826</v>
      </c>
      <c r="AG176" s="749">
        <f>$H$21*$L$8*'Traffic Data'!BI20*annualizationFactor</f>
        <v>5448.0073063090913</v>
      </c>
      <c r="AH176" s="750">
        <f>$H$21*$L$8*'Traffic Data'!BJ20*annualizationFactor</f>
        <v>5486.4242664000003</v>
      </c>
      <c r="AI176" s="40"/>
      <c r="AJ176" s="40"/>
      <c r="AK176" s="40"/>
      <c r="AL176" s="40"/>
      <c r="AM176" s="40"/>
    </row>
    <row r="177" spans="2:39" ht="21.9" customHeight="1" x14ac:dyDescent="0.25">
      <c r="B177" s="469" t="s">
        <v>319</v>
      </c>
      <c r="C177" s="114" t="s">
        <v>276</v>
      </c>
      <c r="D177" s="114" t="s">
        <v>333</v>
      </c>
      <c r="E177" s="217" t="s">
        <v>19</v>
      </c>
      <c r="F177" s="217" t="s">
        <v>40</v>
      </c>
      <c r="G177" s="749"/>
      <c r="H177" s="749"/>
      <c r="I177" s="749">
        <f>$H$21*$M$8*'Traffic Data'!AK21*annualizationFactor</f>
        <v>8909.2352272727276</v>
      </c>
      <c r="J177" s="749">
        <f>$H$21*$M$8*'Traffic Data'!AL21*annualizationFactor</f>
        <v>9240.5251391988659</v>
      </c>
      <c r="K177" s="749">
        <f>$H$21*$M$8*'Traffic Data'!AM21*annualizationFactor</f>
        <v>9593.1793971999996</v>
      </c>
      <c r="L177" s="749">
        <f>$H$21*$M$8*'Traffic Data'!AN21*annualizationFactor</f>
        <v>10375.526070212502</v>
      </c>
      <c r="M177" s="749">
        <f>$H$21*$M$8*'Traffic Data'!AO21*annualizationFactor</f>
        <v>11158.068746400002</v>
      </c>
      <c r="N177" s="749">
        <f>$H$21*$M$8*'Traffic Data'!AP21*annualizationFactor</f>
        <v>11941.039065878413</v>
      </c>
      <c r="O177" s="749">
        <f>$H$21*$M$8*'Traffic Data'!AQ21*annualizationFactor</f>
        <v>12723.385738890915</v>
      </c>
      <c r="P177" s="749">
        <f>$H$21*$M$8*'Traffic Data'!AR21*annualizationFactor</f>
        <v>13506.418423015912</v>
      </c>
      <c r="Q177" s="749">
        <f>$H$21*$M$8*'Traffic Data'!AS21*annualizationFactor</f>
        <v>14559.133657470453</v>
      </c>
      <c r="R177" s="749">
        <f>$H$21*$M$8*'Traffic Data'!AT21*annualizationFactor</f>
        <v>15611.893438101137</v>
      </c>
      <c r="S177" s="749">
        <f>$H$21*$M$8*'Traffic Data'!AU21*annualizationFactor</f>
        <v>16664.608672555678</v>
      </c>
      <c r="T177" s="749">
        <f>$H$21*$M$8*'Traffic Data'!AV21*annualizationFactor</f>
        <v>17717.323907010228</v>
      </c>
      <c r="U177" s="749">
        <f>$H$21*$M$8*'Traffic Data'!AW21*annualizationFactor</f>
        <v>18771.019157339775</v>
      </c>
      <c r="V177" s="749">
        <f>$H$21*$M$8*'Traffic Data'!AX21*annualizationFactor</f>
        <v>19393.551968845455</v>
      </c>
      <c r="W177" s="749">
        <f>$H$21*$M$8*'Traffic Data'!AY21*annualizationFactor</f>
        <v>19724.841880771593</v>
      </c>
      <c r="X177" s="749">
        <f>$H$21*$M$8*'Traffic Data'!AZ21*annualizationFactor</f>
        <v>20056.131792697724</v>
      </c>
      <c r="Y177" s="749">
        <f>$H$21*$M$8*'Traffic Data'!BA21*annualizationFactor</f>
        <v>20387.421704623866</v>
      </c>
      <c r="Z177" s="749">
        <f>$H$21*$M$8*'Traffic Data'!BB21*annualizationFactor</f>
        <v>20718.889801254543</v>
      </c>
      <c r="AA177" s="749">
        <f>$H$21*$M$8*'Traffic Data'!BC21*annualizationFactor</f>
        <v>21050.179713180682</v>
      </c>
      <c r="AB177" s="749">
        <f>$H$21*$M$8*'Traffic Data'!BD21*annualizationFactor</f>
        <v>21381.647809811362</v>
      </c>
      <c r="AC177" s="749">
        <f>$H$21*$M$8*'Traffic Data'!BE21*annualizationFactor</f>
        <v>21712.9377217375</v>
      </c>
      <c r="AD177" s="749">
        <f>$H$21*$M$8*'Traffic Data'!BF21*annualizationFactor</f>
        <v>22044.227633663635</v>
      </c>
      <c r="AE177" s="749">
        <f>$H$21*$M$8*'Traffic Data'!BG21*annualizationFactor</f>
        <v>22375.695730294319</v>
      </c>
      <c r="AF177" s="749">
        <f>$H$21*$M$8*'Traffic Data'!BH21*annualizationFactor</f>
        <v>22706.985642220454</v>
      </c>
      <c r="AG177" s="749">
        <f>$H$21*$M$8*'Traffic Data'!BI21*annualizationFactor</f>
        <v>23038.275554146592</v>
      </c>
      <c r="AH177" s="750">
        <f>$H$21*$M$8*'Traffic Data'!BJ21*annualizationFactor</f>
        <v>23369.743650777273</v>
      </c>
      <c r="AI177" s="40"/>
      <c r="AJ177" s="40"/>
      <c r="AK177" s="40"/>
      <c r="AL177" s="40"/>
      <c r="AM177" s="40"/>
    </row>
    <row r="178" spans="2:39" ht="21.9" customHeight="1" x14ac:dyDescent="0.25">
      <c r="B178" s="469"/>
      <c r="C178" s="114" t="s">
        <v>333</v>
      </c>
      <c r="D178" s="114" t="s">
        <v>323</v>
      </c>
      <c r="E178" s="114" t="s">
        <v>19</v>
      </c>
      <c r="F178" s="114" t="s">
        <v>40</v>
      </c>
      <c r="G178" s="941"/>
      <c r="H178" s="941"/>
      <c r="I178" s="751">
        <f>$H$21*$M$8*'Traffic Data'!AK22*annualizationFactor</f>
        <v>1297.5111803030304</v>
      </c>
      <c r="J178" s="751">
        <f>$H$21*$M$8*'Traffic Data'!AL22*annualizationFactor</f>
        <v>1343.6837985547349</v>
      </c>
      <c r="K178" s="751">
        <f>$H$21*$M$8*'Traffic Data'!AM22*annualizationFactor</f>
        <v>1393.9333335150759</v>
      </c>
      <c r="L178" s="751">
        <f>$H$21*$M$8*'Traffic Data'!AN22*annualizationFactor</f>
        <v>1490.0055001587505</v>
      </c>
      <c r="M178" s="751">
        <f>$H$21*$M$8*'Traffic Data'!AO22*annualizationFactor</f>
        <v>1586.1152263365914</v>
      </c>
      <c r="N178" s="751">
        <f>$H$21*$M$8*'Traffic Data'!AP22*annualizationFactor</f>
        <v>1682.2386105268563</v>
      </c>
      <c r="O178" s="751">
        <f>$H$21*$M$8*'Traffic Data'!AQ22*annualizationFactor</f>
        <v>1778.3107771705302</v>
      </c>
      <c r="P178" s="751">
        <f>$H$21*$M$8*'Traffic Data'!AR22*annualizationFactor</f>
        <v>1874.4631846371969</v>
      </c>
      <c r="Q178" s="751">
        <f>$H$21*$M$8*'Traffic Data'!AS22*annualizationFactor</f>
        <v>2006.3825121398481</v>
      </c>
      <c r="R178" s="751">
        <f>$H$21*$M$8*'Traffic Data'!AT22*annualizationFactor</f>
        <v>2138.3274484157951</v>
      </c>
      <c r="S178" s="751">
        <f>$H$21*$M$8*'Traffic Data'!AU22*annualizationFactor</f>
        <v>2270.2297034029166</v>
      </c>
      <c r="T178" s="751">
        <f>$H$21*$M$8*'Traffic Data'!AV22*annualizationFactor</f>
        <v>2402.149030905568</v>
      </c>
      <c r="U178" s="751">
        <f>$H$21*$M$8*'Traffic Data'!AW22*annualizationFactor</f>
        <v>2534.170793501401</v>
      </c>
      <c r="V178" s="751">
        <f>$H$21*$M$8*'Traffic Data'!AX22*annualizationFactor</f>
        <v>2620.2077355163633</v>
      </c>
      <c r="W178" s="751">
        <f>$H$21*$M$8*'Traffic Data'!AY22*annualizationFactor</f>
        <v>2666.3803537680678</v>
      </c>
      <c r="X178" s="751">
        <f>$H$21*$M$8*'Traffic Data'!AZ22*annualizationFactor</f>
        <v>2712.5529720197724</v>
      </c>
      <c r="Y178" s="751">
        <f>$H$21*$M$8*'Traffic Data'!BA22*annualizationFactor</f>
        <v>2758.7255902714774</v>
      </c>
      <c r="Z178" s="751">
        <f>$H$21*$M$8*'Traffic Data'!BB22*annualizationFactor</f>
        <v>2804.9152810387122</v>
      </c>
      <c r="AA178" s="751">
        <f>$H$21*$M$8*'Traffic Data'!BC22*annualizationFactor</f>
        <v>2851.0878992904159</v>
      </c>
      <c r="AB178" s="751">
        <f>$H$21*$M$8*'Traffic Data'!BD22*annualizationFactor</f>
        <v>2897.2775900576521</v>
      </c>
      <c r="AC178" s="751">
        <f>$H$21*$M$8*'Traffic Data'!BE22*annualizationFactor</f>
        <v>2943.4502083093557</v>
      </c>
      <c r="AD178" s="751">
        <f>$H$21*$M$8*'Traffic Data'!BF22*annualizationFactor</f>
        <v>2989.6228265610603</v>
      </c>
      <c r="AE178" s="751">
        <f>$H$21*$M$8*'Traffic Data'!BG22*annualizationFactor</f>
        <v>3035.8125173282956</v>
      </c>
      <c r="AF178" s="751">
        <f>$H$21*$M$8*'Traffic Data'!BH22*annualizationFactor</f>
        <v>3081.9851355800006</v>
      </c>
      <c r="AG178" s="751">
        <f>$H$21*$M$8*'Traffic Data'!BI22*annualizationFactor</f>
        <v>3128.1577538317047</v>
      </c>
      <c r="AH178" s="752">
        <f>$H$21*$M$8*'Traffic Data'!BJ22*annualizationFactor</f>
        <v>3174.3474445989386</v>
      </c>
      <c r="AI178" s="40"/>
      <c r="AJ178" s="40"/>
      <c r="AK178" s="40"/>
      <c r="AL178" s="40"/>
      <c r="AM178" s="40"/>
    </row>
    <row r="179" spans="2:39" ht="21.9" customHeight="1" x14ac:dyDescent="0.25">
      <c r="B179" s="469"/>
      <c r="C179" s="114" t="s">
        <v>323</v>
      </c>
      <c r="D179" s="114" t="s">
        <v>322</v>
      </c>
      <c r="E179" s="114" t="s">
        <v>19</v>
      </c>
      <c r="F179" s="114" t="s">
        <v>40</v>
      </c>
      <c r="G179" s="941"/>
      <c r="H179" s="941"/>
      <c r="I179" s="751">
        <f>$H$21*$M$8*'Traffic Data'!AK23*annualizationFactor</f>
        <v>320.90136363636361</v>
      </c>
      <c r="J179" s="751">
        <f>$H$21*$M$8*'Traffic Data'!AL23*annualizationFactor</f>
        <v>332.32080755681818</v>
      </c>
      <c r="K179" s="751">
        <f>$H$21*$M$8*'Traffic Data'!AM23*annualizationFactor</f>
        <v>344.74855734090909</v>
      </c>
      <c r="L179" s="751">
        <f>$H$21*$M$8*'Traffic Data'!AN23*annualizationFactor</f>
        <v>368.50919212500008</v>
      </c>
      <c r="M179" s="751">
        <f>$H$21*$M$8*'Traffic Data'!AO23*annualizationFactor</f>
        <v>392.27911615909096</v>
      </c>
      <c r="N179" s="751">
        <f>$H$21*$M$8*'Traffic Data'!AP23*annualizationFactor</f>
        <v>416.05241810227272</v>
      </c>
      <c r="O179" s="751">
        <f>$H$21*$M$8*'Traffic Data'!AQ23*annualizationFactor</f>
        <v>439.81305288636366</v>
      </c>
      <c r="P179" s="751">
        <f>$H$21*$M$8*'Traffic Data'!AR23*annualizationFactor</f>
        <v>463.59353288636362</v>
      </c>
      <c r="Q179" s="751">
        <f>$H$21*$M$8*'Traffic Data'!AS23*annualizationFactor</f>
        <v>496.21991231818168</v>
      </c>
      <c r="R179" s="751">
        <f>$H$21*$M$8*'Traffic Data'!AT23*annualizationFactor</f>
        <v>528.85262532954528</v>
      </c>
      <c r="S179" s="751">
        <f>$H$21*$M$8*'Traffic Data'!AU23*annualizationFactor</f>
        <v>561.47478237500002</v>
      </c>
      <c r="T179" s="751">
        <f>$H$21*$M$8*'Traffic Data'!AV23*annualizationFactor</f>
        <v>594.10116180681814</v>
      </c>
      <c r="U179" s="751">
        <f>$H$21*$M$8*'Traffic Data'!AW23*annualizationFactor</f>
        <v>626.75287555681814</v>
      </c>
      <c r="V179" s="751">
        <f>$H$21*$M$8*'Traffic Data'!AX23*annualizationFactor</f>
        <v>648.0315916363636</v>
      </c>
      <c r="W179" s="751">
        <f>$H$21*$M$8*'Traffic Data'!AY23*annualizationFactor</f>
        <v>659.45103555681806</v>
      </c>
      <c r="X179" s="751">
        <f>$H$21*$M$8*'Traffic Data'!AZ23*annualizationFactor</f>
        <v>670.87047947727262</v>
      </c>
      <c r="Y179" s="751">
        <f>$H$21*$M$8*'Traffic Data'!BA23*annualizationFactor</f>
        <v>682.28992339772731</v>
      </c>
      <c r="Z179" s="751">
        <f>$H$21*$M$8*'Traffic Data'!BB23*annualizationFactor</f>
        <v>693.71358970454537</v>
      </c>
      <c r="AA179" s="751">
        <f>$H$21*$M$8*'Traffic Data'!BC23*annualizationFactor</f>
        <v>705.13303362499983</v>
      </c>
      <c r="AB179" s="751">
        <f>$H$21*$M$8*'Traffic Data'!BD23*annualizationFactor</f>
        <v>716.55669993181823</v>
      </c>
      <c r="AC179" s="751">
        <f>$H$21*$M$8*'Traffic Data'!BE23*annualizationFactor</f>
        <v>727.97614385227268</v>
      </c>
      <c r="AD179" s="751">
        <f>$H$21*$M$8*'Traffic Data'!BF23*annualizationFactor</f>
        <v>739.39558777272714</v>
      </c>
      <c r="AE179" s="751">
        <f>$H$21*$M$8*'Traffic Data'!BG23*annualizationFactor</f>
        <v>750.81925407954543</v>
      </c>
      <c r="AF179" s="751">
        <f>$H$21*$M$8*'Traffic Data'!BH23*annualizationFactor</f>
        <v>762.23869800000011</v>
      </c>
      <c r="AG179" s="751">
        <f>$H$21*$M$8*'Traffic Data'!BI23*annualizationFactor</f>
        <v>773.65814192045457</v>
      </c>
      <c r="AH179" s="752">
        <f>$H$21*$M$8*'Traffic Data'!BJ23*annualizationFactor</f>
        <v>785.08180822727263</v>
      </c>
      <c r="AI179" s="40"/>
      <c r="AJ179" s="40"/>
      <c r="AK179" s="40"/>
      <c r="AL179" s="40"/>
      <c r="AM179" s="40"/>
    </row>
    <row r="180" spans="2:39" ht="21.9" customHeight="1" x14ac:dyDescent="0.25">
      <c r="B180" s="469"/>
      <c r="C180" s="114" t="s">
        <v>322</v>
      </c>
      <c r="D180" s="114" t="s">
        <v>326</v>
      </c>
      <c r="E180" s="114" t="s">
        <v>19</v>
      </c>
      <c r="F180" s="114" t="s">
        <v>40</v>
      </c>
      <c r="G180" s="941"/>
      <c r="H180" s="941"/>
      <c r="I180" s="751">
        <f>$H$21*$M$8*'Traffic Data'!AK24*annualizationFactor</f>
        <v>823.36534090909095</v>
      </c>
      <c r="J180" s="751">
        <f>$H$21*$M$8*'Traffic Data'!AL24*annualizationFactor</f>
        <v>851.72067097443175</v>
      </c>
      <c r="K180" s="751">
        <f>$H$21*$M$8*'Traffic Data'!AM24*annualizationFactor</f>
        <v>883.35573964772721</v>
      </c>
      <c r="L180" s="751">
        <f>$H$21*$M$8*'Traffic Data'!AN24*annualizationFactor</f>
        <v>938.61864905397738</v>
      </c>
      <c r="M180" s="751">
        <f>$H$21*$M$8*'Traffic Data'!AO24*annualizationFactor</f>
        <v>993.91449307386381</v>
      </c>
      <c r="N180" s="751">
        <f>$H$21*$M$8*'Traffic Data'!AP24*annualizationFactor</f>
        <v>1049.1911252357957</v>
      </c>
      <c r="O180" s="751">
        <f>$H$21*$M$8*'Traffic Data'!AQ24*annualizationFactor</f>
        <v>1104.4540346420456</v>
      </c>
      <c r="P180" s="751">
        <f>$H$21*$M$8*'Traffic Data'!AR24*annualizationFactor</f>
        <v>1159.7732073465909</v>
      </c>
      <c r="Q180" s="751">
        <f>$H$21*$M$8*'Traffic Data'!AS24*annualizationFactor</f>
        <v>1231.0190102954548</v>
      </c>
      <c r="R180" s="751">
        <f>$H$21*$M$8*'Traffic Data'!AT24*annualizationFactor</f>
        <v>1302.3046092357959</v>
      </c>
      <c r="S180" s="751">
        <f>$H$21*$M$8*'Traffic Data'!AU24*annualizationFactor</f>
        <v>1373.5366894289768</v>
      </c>
      <c r="T180" s="751">
        <f>$H$21*$M$8*'Traffic Data'!AV24*annualizationFactor</f>
        <v>1444.782492377841</v>
      </c>
      <c r="U180" s="751">
        <f>$H$21*$M$8*'Traffic Data'!AW24*annualizationFactor</f>
        <v>1516.0886754517046</v>
      </c>
      <c r="V180" s="751">
        <f>$H$21*$M$8*'Traffic Data'!AX24*annualizationFactor</f>
        <v>1563.6695862272729</v>
      </c>
      <c r="W180" s="751">
        <f>$H$21*$M$8*'Traffic Data'!AY24*annualizationFactor</f>
        <v>1592.0249162926143</v>
      </c>
      <c r="X180" s="751">
        <f>$H$21*$M$8*'Traffic Data'!AZ24*annualizationFactor</f>
        <v>1620.3802463579545</v>
      </c>
      <c r="Y180" s="751">
        <f>$H$21*$M$8*'Traffic Data'!BA24*annualizationFactor</f>
        <v>1648.7355764232964</v>
      </c>
      <c r="Z180" s="751">
        <f>$H$21*$M$8*'Traffic Data'!BB24*annualizationFactor</f>
        <v>1677.1073737954553</v>
      </c>
      <c r="AA180" s="751">
        <f>$H$21*$M$8*'Traffic Data'!BC24*annualizationFactor</f>
        <v>1705.4627038607957</v>
      </c>
      <c r="AB180" s="751">
        <f>$H$21*$M$8*'Traffic Data'!BD24*annualizationFactor</f>
        <v>1733.8345012329542</v>
      </c>
      <c r="AC180" s="751">
        <f>$H$21*$M$8*'Traffic Data'!BE24*annualizationFactor</f>
        <v>1762.1898312982958</v>
      </c>
      <c r="AD180" s="751">
        <f>$H$21*$M$8*'Traffic Data'!BF24*annualizationFactor</f>
        <v>1790.5451613636365</v>
      </c>
      <c r="AE180" s="751">
        <f>$H$21*$M$8*'Traffic Data'!BG24*annualizationFactor</f>
        <v>1818.9169587357958</v>
      </c>
      <c r="AF180" s="751">
        <f>$H$21*$M$8*'Traffic Data'!BH24*annualizationFactor</f>
        <v>1847.2722888011365</v>
      </c>
      <c r="AG180" s="751">
        <f>$H$21*$M$8*'Traffic Data'!BI24*annualizationFactor</f>
        <v>1875.6276188664774</v>
      </c>
      <c r="AH180" s="752">
        <f>$H$21*$M$8*'Traffic Data'!BJ24*annualizationFactor</f>
        <v>1903.9994162386365</v>
      </c>
      <c r="AI180" s="40"/>
      <c r="AJ180" s="40"/>
      <c r="AK180" s="40"/>
      <c r="AL180" s="40"/>
      <c r="AM180" s="40"/>
    </row>
    <row r="181" spans="2:39" ht="21.9" customHeight="1" x14ac:dyDescent="0.25">
      <c r="B181" s="469"/>
      <c r="C181" s="114" t="s">
        <v>326</v>
      </c>
      <c r="D181" s="114" t="s">
        <v>274</v>
      </c>
      <c r="E181" s="114" t="s">
        <v>19</v>
      </c>
      <c r="F181" s="114" t="s">
        <v>40</v>
      </c>
      <c r="G181" s="941"/>
      <c r="H181" s="941"/>
      <c r="I181" s="751">
        <f>$H$21*$M$8*'Traffic Data'!AK25*annualizationFactor</f>
        <v>6836.0435227272728</v>
      </c>
      <c r="J181" s="751">
        <f>$H$21*$M$8*'Traffic Data'!AL25*annualizationFactor</f>
        <v>7071.4654682441296</v>
      </c>
      <c r="K181" s="751">
        <f>$H$21*$M$8*'Traffic Data'!AM25*annualizationFactor</f>
        <v>7334.1176537931815</v>
      </c>
      <c r="L181" s="751">
        <f>$H$21*$M$8*'Traffic Data'!AN25*annualizationFactor</f>
        <v>7792.9415016327666</v>
      </c>
      <c r="M181" s="751">
        <f>$H$21*$M$8*'Traffic Data'!AO25*annualizationFactor</f>
        <v>8252.0387912132574</v>
      </c>
      <c r="N181" s="751">
        <f>$H$21*$M$8*'Traffic Data'!AP25*annualizationFactor</f>
        <v>8710.9765731115549</v>
      </c>
      <c r="O181" s="751">
        <f>$H$21*$M$8*'Traffic Data'!AQ25*annualizationFactor</f>
        <v>9169.8004209511382</v>
      </c>
      <c r="P181" s="751">
        <f>$H$21*$M$8*'Traffic Data'!AR25*annualizationFactor</f>
        <v>9629.0913984314411</v>
      </c>
      <c r="Q181" s="751">
        <f>$H$21*$M$8*'Traffic Data'!AS25*annualizationFactor</f>
        <v>10220.614244453032</v>
      </c>
      <c r="R181" s="751">
        <f>$H$21*$M$8*'Traffic Data'!AT25*annualizationFactor</f>
        <v>10812.467499244889</v>
      </c>
      <c r="S181" s="751">
        <f>$H$21*$M$8*'Traffic Data'!AU25*annualizationFactor</f>
        <v>11403.876411207762</v>
      </c>
      <c r="T181" s="751">
        <f>$H$21*$M$8*'Traffic Data'!AV25*annualizationFactor</f>
        <v>11995.399257229355</v>
      </c>
      <c r="U181" s="751">
        <f>$H$21*$M$8*'Traffic Data'!AW25*annualizationFactor</f>
        <v>12587.423413109284</v>
      </c>
      <c r="V181" s="751">
        <f>$H$21*$M$8*'Traffic Data'!AX25*annualizationFactor</f>
        <v>12982.46697488182</v>
      </c>
      <c r="W181" s="751">
        <f>$H$21*$M$8*'Traffic Data'!AY25*annualizationFactor</f>
        <v>13217.888920398676</v>
      </c>
      <c r="X181" s="751">
        <f>$H$21*$M$8*'Traffic Data'!AZ25*annualizationFactor</f>
        <v>13453.310865915533</v>
      </c>
      <c r="Y181" s="751">
        <f>$H$21*$M$8*'Traffic Data'!BA25*annualizationFactor</f>
        <v>13688.732811432394</v>
      </c>
      <c r="Z181" s="751">
        <f>$H$21*$M$8*'Traffic Data'!BB25*annualizationFactor</f>
        <v>13924.291477819701</v>
      </c>
      <c r="AA181" s="751">
        <f>$H$21*$M$8*'Traffic Data'!BC25*annualizationFactor</f>
        <v>14159.713423336556</v>
      </c>
      <c r="AB181" s="751">
        <f>$H$21*$M$8*'Traffic Data'!BD25*annualizationFactor</f>
        <v>14395.272089723861</v>
      </c>
      <c r="AC181" s="751">
        <f>$H$21*$M$8*'Traffic Data'!BE25*annualizationFactor</f>
        <v>14630.694035240722</v>
      </c>
      <c r="AD181" s="751">
        <f>$H$21*$M$8*'Traffic Data'!BF25*annualizationFactor</f>
        <v>14866.115980757577</v>
      </c>
      <c r="AE181" s="751">
        <f>$H$21*$M$8*'Traffic Data'!BG25*annualizationFactor</f>
        <v>15101.674647144888</v>
      </c>
      <c r="AF181" s="751">
        <f>$H$21*$M$8*'Traffic Data'!BH25*annualizationFactor</f>
        <v>15337.096592661745</v>
      </c>
      <c r="AG181" s="751">
        <f>$H$21*$M$8*'Traffic Data'!BI25*annualizationFactor</f>
        <v>15572.5185381786</v>
      </c>
      <c r="AH181" s="752">
        <f>$H$21*$M$8*'Traffic Data'!BJ25*annualizationFactor</f>
        <v>15808.077204565911</v>
      </c>
      <c r="AI181" s="40"/>
      <c r="AJ181" s="40"/>
      <c r="AK181" s="40"/>
      <c r="AL181" s="40"/>
      <c r="AM181" s="40"/>
    </row>
    <row r="182" spans="2:39" ht="21.9" customHeight="1" x14ac:dyDescent="0.25">
      <c r="B182" s="470"/>
      <c r="C182" s="250" t="s">
        <v>274</v>
      </c>
      <c r="D182" s="250" t="s">
        <v>317</v>
      </c>
      <c r="E182" s="250" t="s">
        <v>19</v>
      </c>
      <c r="F182" s="250" t="s">
        <v>40</v>
      </c>
      <c r="G182" s="753"/>
      <c r="H182" s="753"/>
      <c r="I182" s="753">
        <f>$H$21*$M$8*'Traffic Data'!AK26*annualizationFactor</f>
        <v>168.89545454545456</v>
      </c>
      <c r="J182" s="753">
        <f>$H$21*$M$8*'Traffic Data'!AL26*annualizationFactor</f>
        <v>174.71193250757577</v>
      </c>
      <c r="K182" s="753">
        <f>$H$21*$M$8*'Traffic Data'!AM26*annualizationFactor</f>
        <v>181.20117736363633</v>
      </c>
      <c r="L182" s="753">
        <f>$H$21*$M$8*'Traffic Data'!AN26*annualizationFactor</f>
        <v>192.53715878030306</v>
      </c>
      <c r="M182" s="753">
        <f>$H$21*$M$8*'Traffic Data'!AO26*annualizationFactor</f>
        <v>203.87989601515153</v>
      </c>
      <c r="N182" s="753">
        <f>$H$21*$M$8*'Traffic Data'!AP26*annualizationFactor</f>
        <v>215.21869235606067</v>
      </c>
      <c r="O182" s="753">
        <f>$H$21*$M$8*'Traffic Data'!AQ26*annualizationFactor</f>
        <v>226.55467377272734</v>
      </c>
      <c r="P182" s="753">
        <f>$H$21*$M$8*'Traffic Data'!AR26*annualizationFactor</f>
        <v>237.90219637878795</v>
      </c>
      <c r="Q182" s="753">
        <f>$H$21*$M$8*'Traffic Data'!AS26*annualizationFactor</f>
        <v>252.51672006060613</v>
      </c>
      <c r="R182" s="753">
        <f>$H$21*$M$8*'Traffic Data'!AT26*annualizationFactor</f>
        <v>267.13940702272737</v>
      </c>
      <c r="S182" s="753">
        <f>$H$21*$M$8*'Traffic Data'!AU26*annualizationFactor</f>
        <v>281.75111578030294</v>
      </c>
      <c r="T182" s="753">
        <f>$H$21*$M$8*'Traffic Data'!AV26*annualizationFactor</f>
        <v>296.36563946212124</v>
      </c>
      <c r="U182" s="753">
        <f>$H$21*$M$8*'Traffic Data'!AW26*annualizationFactor</f>
        <v>310.99254881060608</v>
      </c>
      <c r="V182" s="753">
        <f>$H$21*$M$8*'Traffic Data'!AX26*annualizationFactor</f>
        <v>320.7527356363637</v>
      </c>
      <c r="W182" s="753">
        <f>$H$21*$M$8*'Traffic Data'!AY26*annualizationFactor</f>
        <v>326.56921359848496</v>
      </c>
      <c r="X182" s="753">
        <f>$H$21*$M$8*'Traffic Data'!AZ26*annualizationFactor</f>
        <v>332.38569156060612</v>
      </c>
      <c r="Y182" s="753">
        <f>$H$21*$M$8*'Traffic Data'!BA26*annualizationFactor</f>
        <v>338.20216952272744</v>
      </c>
      <c r="Z182" s="753">
        <f>$H$21*$M$8*'Traffic Data'!BB26*annualizationFactor</f>
        <v>344.02202539393954</v>
      </c>
      <c r="AA182" s="753">
        <f>$H$21*$M$8*'Traffic Data'!BC26*annualizationFactor</f>
        <v>349.83850335606064</v>
      </c>
      <c r="AB182" s="753">
        <f>$H$21*$M$8*'Traffic Data'!BD26*annualizationFactor</f>
        <v>355.65835922727274</v>
      </c>
      <c r="AC182" s="753">
        <f>$H$21*$M$8*'Traffic Data'!BE26*annualizationFactor</f>
        <v>361.47483718939401</v>
      </c>
      <c r="AD182" s="753">
        <f>$H$21*$M$8*'Traffic Data'!BF26*annualizationFactor</f>
        <v>367.29131515151522</v>
      </c>
      <c r="AE182" s="753">
        <f>$H$21*$M$8*'Traffic Data'!BG26*annualizationFactor</f>
        <v>373.11117102272726</v>
      </c>
      <c r="AF182" s="753">
        <f>$H$21*$M$8*'Traffic Data'!BH26*annualizationFactor</f>
        <v>378.92764898484847</v>
      </c>
      <c r="AG182" s="753">
        <f>$H$21*$M$8*'Traffic Data'!BI26*annualizationFactor</f>
        <v>384.74412694696974</v>
      </c>
      <c r="AH182" s="757">
        <f>$H$21*$M$8*'Traffic Data'!BJ26*annualizationFactor</f>
        <v>390.56398281818184</v>
      </c>
      <c r="AI182" s="40"/>
      <c r="AJ182" s="40"/>
      <c r="AK182" s="40"/>
      <c r="AL182" s="40"/>
      <c r="AM182" s="40"/>
    </row>
    <row r="183" spans="2:39" ht="21.9" customHeight="1" thickBot="1" x14ac:dyDescent="0.3">
      <c r="B183" s="1072" t="s">
        <v>463</v>
      </c>
      <c r="C183" s="782"/>
      <c r="D183" s="782"/>
      <c r="E183" s="237"/>
      <c r="F183" s="237"/>
      <c r="G183" s="940">
        <f t="shared" ref="G183:AH183" si="6">SUM(G163:G182)</f>
        <v>0</v>
      </c>
      <c r="H183" s="940">
        <f t="shared" si="6"/>
        <v>0</v>
      </c>
      <c r="I183" s="759">
        <f t="shared" si="6"/>
        <v>85421.016604757591</v>
      </c>
      <c r="J183" s="759">
        <f t="shared" si="6"/>
        <v>90298.908215139614</v>
      </c>
      <c r="K183" s="759">
        <f t="shared" si="6"/>
        <v>96875.455024969109</v>
      </c>
      <c r="L183" s="759">
        <f t="shared" si="6"/>
        <v>110450.82000138973</v>
      </c>
      <c r="M183" s="759">
        <f t="shared" si="6"/>
        <v>124031.50033958092</v>
      </c>
      <c r="N183" s="759">
        <f t="shared" si="6"/>
        <v>137615.82141465051</v>
      </c>
      <c r="O183" s="759">
        <f t="shared" si="6"/>
        <v>151191.18639107113</v>
      </c>
      <c r="P183" s="759">
        <f t="shared" si="6"/>
        <v>164780.13747520957</v>
      </c>
      <c r="Q183" s="759">
        <f t="shared" si="6"/>
        <v>181244.20087181008</v>
      </c>
      <c r="R183" s="759">
        <f t="shared" si="6"/>
        <v>197711.46873791472</v>
      </c>
      <c r="S183" s="759">
        <f t="shared" si="6"/>
        <v>214174.9148109321</v>
      </c>
      <c r="T183" s="759">
        <f t="shared" si="6"/>
        <v>230638.97820753255</v>
      </c>
      <c r="U183" s="759">
        <f t="shared" si="6"/>
        <v>247119.57618201076</v>
      </c>
      <c r="V183" s="759">
        <f t="shared" si="6"/>
        <v>256576.34950088974</v>
      </c>
      <c r="W183" s="759">
        <f t="shared" si="6"/>
        <v>261454.03303207181</v>
      </c>
      <c r="X183" s="759">
        <f t="shared" si="6"/>
        <v>266331.92464245384</v>
      </c>
      <c r="Y183" s="759">
        <f t="shared" si="6"/>
        <v>271209.81625283585</v>
      </c>
      <c r="Z183" s="759">
        <f t="shared" si="6"/>
        <v>276091.39652024064</v>
      </c>
      <c r="AA183" s="759">
        <f t="shared" si="6"/>
        <v>280969.28813062265</v>
      </c>
      <c r="AB183" s="759">
        <f t="shared" si="6"/>
        <v>285850.86839802744</v>
      </c>
      <c r="AC183" s="759">
        <f t="shared" si="6"/>
        <v>290728.7600084095</v>
      </c>
      <c r="AD183" s="759">
        <f t="shared" si="6"/>
        <v>295606.65161879139</v>
      </c>
      <c r="AE183" s="759">
        <f t="shared" si="6"/>
        <v>300488.02380699641</v>
      </c>
      <c r="AF183" s="759">
        <f t="shared" si="6"/>
        <v>305365.91541737836</v>
      </c>
      <c r="AG183" s="759">
        <f t="shared" si="6"/>
        <v>310243.80702776037</v>
      </c>
      <c r="AH183" s="760">
        <f t="shared" si="6"/>
        <v>315125.38729516522</v>
      </c>
      <c r="AI183" s="40"/>
      <c r="AJ183" s="40"/>
      <c r="AK183" s="40"/>
      <c r="AL183" s="40"/>
      <c r="AM183" s="40"/>
    </row>
    <row r="184" spans="2:39" ht="21.9" customHeight="1" x14ac:dyDescent="0.25">
      <c r="B184" s="548" t="s">
        <v>312</v>
      </c>
      <c r="C184" s="1331" t="s">
        <v>18</v>
      </c>
      <c r="D184" s="1331"/>
      <c r="E184" s="197" t="s">
        <v>24</v>
      </c>
      <c r="F184" s="197" t="s">
        <v>42</v>
      </c>
      <c r="G184" s="459">
        <v>2021</v>
      </c>
      <c r="H184" s="459">
        <v>2022</v>
      </c>
      <c r="I184" s="459">
        <v>2023</v>
      </c>
      <c r="J184" s="459">
        <v>2024</v>
      </c>
      <c r="K184" s="459">
        <v>2025</v>
      </c>
      <c r="L184" s="459">
        <v>2026</v>
      </c>
      <c r="M184" s="459">
        <v>2027</v>
      </c>
      <c r="N184" s="459">
        <v>2028</v>
      </c>
      <c r="O184" s="459">
        <v>2029</v>
      </c>
      <c r="P184" s="459">
        <v>2030</v>
      </c>
      <c r="Q184" s="459">
        <v>2031</v>
      </c>
      <c r="R184" s="459">
        <v>2032</v>
      </c>
      <c r="S184" s="459">
        <v>2033</v>
      </c>
      <c r="T184" s="459">
        <v>2034</v>
      </c>
      <c r="U184" s="459">
        <v>2035</v>
      </c>
      <c r="V184" s="459">
        <v>2036</v>
      </c>
      <c r="W184" s="459">
        <v>2037</v>
      </c>
      <c r="X184" s="459">
        <v>2038</v>
      </c>
      <c r="Y184" s="459">
        <v>2039</v>
      </c>
      <c r="Z184" s="459">
        <v>2040</v>
      </c>
      <c r="AA184" s="459">
        <v>2041</v>
      </c>
      <c r="AB184" s="459">
        <v>2042</v>
      </c>
      <c r="AC184" s="459">
        <v>2043</v>
      </c>
      <c r="AD184" s="459">
        <v>2044</v>
      </c>
      <c r="AE184" s="459">
        <v>2045</v>
      </c>
      <c r="AF184" s="459">
        <v>2046</v>
      </c>
      <c r="AG184" s="459">
        <v>2047</v>
      </c>
      <c r="AH184" s="459">
        <v>2048</v>
      </c>
      <c r="AI184" s="247"/>
      <c r="AJ184" s="247"/>
      <c r="AK184" s="247"/>
      <c r="AL184" s="247"/>
      <c r="AM184" s="247"/>
    </row>
    <row r="185" spans="2:39" ht="21.9" customHeight="1" x14ac:dyDescent="0.25">
      <c r="B185" s="1332" t="s">
        <v>315</v>
      </c>
      <c r="C185" s="217" t="s">
        <v>316</v>
      </c>
      <c r="D185" s="217" t="s">
        <v>276</v>
      </c>
      <c r="E185" s="217" t="s">
        <v>434</v>
      </c>
      <c r="F185" s="217" t="s">
        <v>40</v>
      </c>
      <c r="G185" s="749"/>
      <c r="H185" s="749"/>
      <c r="I185" s="749">
        <f>$H$22*$E$9*'Traffic Data'!AK7*annualizationFactor</f>
        <v>3845.795928</v>
      </c>
      <c r="J185" s="749">
        <f>$H$22*$E$9*'Traffic Data'!AL7*annualizationFactor</f>
        <v>4022.7265769125502</v>
      </c>
      <c r="K185" s="749">
        <f>$H$22*$E$9*'Traffic Data'!AM7*annualizationFactor</f>
        <v>4271.1770119736248</v>
      </c>
      <c r="L185" s="749">
        <f>$H$22*$E$9*'Traffic Data'!AN7*annualizationFactor</f>
        <v>4635.6503029375508</v>
      </c>
      <c r="M185" s="749">
        <f>$H$22*$E$9*'Traffic Data'!AO7*annualizationFactor</f>
        <v>5000.2557931365</v>
      </c>
      <c r="N185" s="749">
        <f>$H$22*$E$9*'Traffic Data'!AP7*annualizationFactor</f>
        <v>5364.8733014477239</v>
      </c>
      <c r="O185" s="749">
        <f>$H$22*$E$9*'Traffic Data'!AQ7*annualizationFactor</f>
        <v>5729.3465924116481</v>
      </c>
      <c r="P185" s="749">
        <f>$H$22*$E$9*'Traffic Data'!AR7*annualizationFactor</f>
        <v>6094.0962999578978</v>
      </c>
      <c r="Q185" s="749">
        <f>$H$22*$E$9*'Traffic Data'!AS7*annualizationFactor</f>
        <v>6454.5435233096996</v>
      </c>
      <c r="R185" s="749">
        <f>$H$22*$E$9*'Traffic Data'!AT7*annualizationFactor</f>
        <v>6815.0628553351498</v>
      </c>
      <c r="S185" s="749">
        <f>$H$22*$E$9*'Traffic Data'!AU7*annualizationFactor</f>
        <v>7175.5100786869507</v>
      </c>
      <c r="T185" s="749">
        <f>$H$22*$E$9*'Traffic Data'!AV7*annualizationFactor</f>
        <v>7535.9573020387497</v>
      </c>
      <c r="U185" s="749">
        <f>$H$22*$E$9*'Traffic Data'!AW7*annualizationFactor</f>
        <v>7896.6929600851508</v>
      </c>
      <c r="V185" s="749">
        <f>$H$22*$E$9*'Traffic Data'!AX7*annualizationFactor</f>
        <v>8140.9731101868001</v>
      </c>
      <c r="W185" s="749">
        <f>$H$22*$E$9*'Traffic Data'!AY7*annualizationFactor</f>
        <v>8317.9037590993485</v>
      </c>
      <c r="X185" s="749">
        <f>$H$22*$E$9*'Traffic Data'!AZ7*annualizationFactor</f>
        <v>8494.8344080118986</v>
      </c>
      <c r="Y185" s="749">
        <f>$H$22*$E$9*'Traffic Data'!BA7*annualizationFactor</f>
        <v>8671.7650569244506</v>
      </c>
      <c r="Z185" s="749">
        <f>$H$22*$E$9*'Traffic Data'!BB7*annualizationFactor</f>
        <v>8848.7678145106493</v>
      </c>
      <c r="AA185" s="749">
        <f>$H$22*$E$9*'Traffic Data'!BC7*annualizationFactor</f>
        <v>9025.6984634231994</v>
      </c>
      <c r="AB185" s="749">
        <f>$H$22*$E$9*'Traffic Data'!BD7*annualizationFactor</f>
        <v>9202.7012210093981</v>
      </c>
      <c r="AC185" s="749">
        <f>$H$22*$E$9*'Traffic Data'!BE7*annualizationFactor</f>
        <v>9379.6318699219501</v>
      </c>
      <c r="AD185" s="749">
        <f>$H$22*$E$9*'Traffic Data'!BF7*annualizationFactor</f>
        <v>9556.5625188345002</v>
      </c>
      <c r="AE185" s="749">
        <f>$H$22*$E$9*'Traffic Data'!BG7*annualizationFactor</f>
        <v>9733.5652764206989</v>
      </c>
      <c r="AF185" s="749">
        <f>$H$22*$E$9*'Traffic Data'!BH7*annualizationFactor</f>
        <v>9910.495925333249</v>
      </c>
      <c r="AG185" s="749">
        <f>$H$22*$E$9*'Traffic Data'!BI7*annualizationFactor</f>
        <v>10087.426574245799</v>
      </c>
      <c r="AH185" s="750">
        <f>$H$22*$E$9*'Traffic Data'!BJ7*annualizationFactor</f>
        <v>10264.429331831998</v>
      </c>
      <c r="AI185" s="40"/>
      <c r="AJ185" s="40"/>
      <c r="AK185" s="40"/>
      <c r="AL185" s="40"/>
      <c r="AM185" s="40"/>
    </row>
    <row r="186" spans="2:39" ht="21.9" customHeight="1" x14ac:dyDescent="0.25">
      <c r="B186" s="1332"/>
      <c r="C186" s="114" t="s">
        <v>276</v>
      </c>
      <c r="D186" s="114" t="s">
        <v>274</v>
      </c>
      <c r="E186" s="114" t="s">
        <v>434</v>
      </c>
      <c r="F186" s="114" t="s">
        <v>40</v>
      </c>
      <c r="G186" s="941"/>
      <c r="H186" s="941"/>
      <c r="I186" s="751">
        <f>$H$22*$E$9*'Traffic Data'!AK8*annualizationFactor</f>
        <v>123662.92513397729</v>
      </c>
      <c r="J186" s="751">
        <f>$H$22*$E$9*'Traffic Data'!AL8*annualizationFactor</f>
        <v>130513.39317556575</v>
      </c>
      <c r="K186" s="751">
        <f>$H$22*$E$9*'Traffic Data'!AM8*annualizationFactor</f>
        <v>138457.59108833925</v>
      </c>
      <c r="L186" s="751">
        <f>$H$22*$E$9*'Traffic Data'!AN8*annualizationFactor</f>
        <v>153281.11172523248</v>
      </c>
      <c r="M186" s="751">
        <f>$H$22*$E$9*'Traffic Data'!AO8*annualizationFactor</f>
        <v>168110.12849213171</v>
      </c>
      <c r="N186" s="751">
        <f>$H$22*$E$9*'Traffic Data'!AP8*annualizationFactor</f>
        <v>182941.89332403388</v>
      </c>
      <c r="O186" s="751">
        <f>$H$22*$E$9*'Traffic Data'!AQ8*annualizationFactor</f>
        <v>197765.41396092711</v>
      </c>
      <c r="P186" s="751">
        <f>$H$22*$E$9*'Traffic Data'!AR8*annualizationFactor</f>
        <v>212603.13293366905</v>
      </c>
      <c r="Q186" s="751">
        <f>$H$22*$E$9*'Traffic Data'!AS8*annualizationFactor</f>
        <v>230191.66497439126</v>
      </c>
      <c r="R186" s="751">
        <f>$H$22*$E$9*'Traffic Data'!AT8*annualizationFactor</f>
        <v>247785.23513428561</v>
      </c>
      <c r="S186" s="751">
        <f>$H$22*$E$9*'Traffic Data'!AU8*annualizationFactor</f>
        <v>265373.76717500779</v>
      </c>
      <c r="T186" s="751">
        <f>$H$22*$E$9*'Traffic Data'!AV8*annualizationFactor</f>
        <v>282962.29921572993</v>
      </c>
      <c r="U186" s="751">
        <f>$H$22*$E$9*'Traffic Data'!AW8*annualizationFactor</f>
        <v>300568.23566813773</v>
      </c>
      <c r="V186" s="751">
        <f>$H$22*$E$9*'Traffic Data'!AX8*annualizationFactor</f>
        <v>311268.7427788974</v>
      </c>
      <c r="W186" s="751">
        <f>$H$22*$E$9*'Traffic Data'!AY8*annualizationFactor</f>
        <v>318119.2108204859</v>
      </c>
      <c r="X186" s="751">
        <f>$H$22*$E$9*'Traffic Data'!AZ8*annualizationFactor</f>
        <v>324969.67886207439</v>
      </c>
      <c r="Y186" s="751">
        <f>$H$22*$E$9*'Traffic Data'!BA8*annualizationFactor</f>
        <v>331820.14690366288</v>
      </c>
      <c r="Z186" s="751">
        <f>$H$22*$E$9*'Traffic Data'!BB8*annualizationFactor</f>
        <v>338675.19505358976</v>
      </c>
      <c r="AA186" s="751">
        <f>$H$22*$E$9*'Traffic Data'!BC8*annualizationFactor</f>
        <v>345525.6630951782</v>
      </c>
      <c r="AB186" s="751">
        <f>$H$22*$E$9*'Traffic Data'!BD8*annualizationFactor</f>
        <v>352380.71124510496</v>
      </c>
      <c r="AC186" s="751">
        <f>$H$22*$E$9*'Traffic Data'!BE8*annualizationFactor</f>
        <v>359231.17928669357</v>
      </c>
      <c r="AD186" s="751">
        <f>$H$22*$E$9*'Traffic Data'!BF8*annualizationFactor</f>
        <v>366081.64732828201</v>
      </c>
      <c r="AE186" s="751">
        <f>$H$22*$E$9*'Traffic Data'!BG8*annualizationFactor</f>
        <v>372936.69547820889</v>
      </c>
      <c r="AF186" s="751">
        <f>$H$22*$E$9*'Traffic Data'!BH8*annualizationFactor</f>
        <v>379787.16351979738</v>
      </c>
      <c r="AG186" s="751">
        <f>$H$22*$E$9*'Traffic Data'!BI8*annualizationFactor</f>
        <v>386637.63156138588</v>
      </c>
      <c r="AH186" s="752">
        <f>$H$22*$E$9*'Traffic Data'!BJ8*annualizationFactor</f>
        <v>393492.6797113127</v>
      </c>
      <c r="AI186" s="40"/>
      <c r="AJ186" s="40"/>
      <c r="AK186" s="40"/>
      <c r="AL186" s="40"/>
      <c r="AM186" s="40"/>
    </row>
    <row r="187" spans="2:39" ht="21.9" customHeight="1" x14ac:dyDescent="0.25">
      <c r="B187" s="1332"/>
      <c r="C187" s="114" t="s">
        <v>274</v>
      </c>
      <c r="D187" s="114" t="s">
        <v>317</v>
      </c>
      <c r="E187" s="250" t="s">
        <v>434</v>
      </c>
      <c r="F187" s="114" t="s">
        <v>40</v>
      </c>
      <c r="G187" s="753"/>
      <c r="H187" s="753"/>
      <c r="I187" s="751">
        <f>$H$22*$E$9*'Traffic Data'!AK9*annualizationFactor</f>
        <v>2884.3469460000001</v>
      </c>
      <c r="J187" s="751">
        <f>$H$22*$E$9*'Traffic Data'!AL9*annualizationFactor</f>
        <v>3004.7924672200497</v>
      </c>
      <c r="K187" s="751">
        <f>$H$22*$E$9*'Traffic Data'!AM9*annualizationFactor</f>
        <v>3153.8651318791494</v>
      </c>
      <c r="L187" s="751">
        <f>$H$22*$E$9*'Traffic Data'!AN9*annualizationFactor</f>
        <v>3354.5676068716498</v>
      </c>
      <c r="M187" s="751">
        <f>$H$22*$E$9*'Traffic Data'!AO9*annualizationFactor</f>
        <v>3555.3421905378004</v>
      </c>
      <c r="N187" s="751">
        <f>$H$22*$E$9*'Traffic Data'!AP9*annualizationFactor</f>
        <v>3756.0927379794007</v>
      </c>
      <c r="O187" s="751">
        <f>$H$22*$E$9*'Traffic Data'!AQ9*annualizationFactor</f>
        <v>3956.7952129719006</v>
      </c>
      <c r="P187" s="751">
        <f>$H$22*$E$9*'Traffic Data'!AR9*annualizationFactor</f>
        <v>4157.6419053117015</v>
      </c>
      <c r="Q187" s="751">
        <f>$H$22*$E$9*'Traffic Data'!AS9*annualizationFactor</f>
        <v>4352.2391792685003</v>
      </c>
      <c r="R187" s="751">
        <f>$H$22*$E$9*'Traffic Data'!AT9*annualizationFactor</f>
        <v>4546.9085618989484</v>
      </c>
      <c r="S187" s="751">
        <f>$H$22*$E$9*'Traffic Data'!AU9*annualizationFactor</f>
        <v>4741.5058358557499</v>
      </c>
      <c r="T187" s="751">
        <f>$H$22*$E$9*'Traffic Data'!AV9*annualizationFactor</f>
        <v>4936.1031098125495</v>
      </c>
      <c r="U187" s="751">
        <f>$H$22*$E$9*'Traffic Data'!AW9*annualizationFactor</f>
        <v>5130.8446011166507</v>
      </c>
      <c r="V187" s="751">
        <f>$H$22*$E$9*'Traffic Data'!AX9*annualizationFactor</f>
        <v>5273.7399560663989</v>
      </c>
      <c r="W187" s="751">
        <f>$H$22*$E$9*'Traffic Data'!AY9*annualizationFactor</f>
        <v>5394.1854772864499</v>
      </c>
      <c r="X187" s="751">
        <f>$H$22*$E$9*'Traffic Data'!AZ9*annualizationFactor</f>
        <v>5514.6309985064991</v>
      </c>
      <c r="Y187" s="751">
        <f>$H$22*$E$9*'Traffic Data'!BA9*annualizationFactor</f>
        <v>5635.07651972655</v>
      </c>
      <c r="Z187" s="751">
        <f>$H$22*$E$9*'Traffic Data'!BB9*annualizationFactor</f>
        <v>5755.5701133957</v>
      </c>
      <c r="AA187" s="751">
        <f>$H$22*$E$9*'Traffic Data'!BC9*annualizationFactor</f>
        <v>5876.0156346157491</v>
      </c>
      <c r="AB187" s="751">
        <f>$H$22*$E$9*'Traffic Data'!BD9*annualizationFactor</f>
        <v>5996.5092282849</v>
      </c>
      <c r="AC187" s="751">
        <f>$H$22*$E$9*'Traffic Data'!BE9*annualizationFactor</f>
        <v>6116.9547495049519</v>
      </c>
      <c r="AD187" s="751">
        <f>$H$22*$E$9*'Traffic Data'!BF9*annualizationFactor</f>
        <v>6237.4002707249992</v>
      </c>
      <c r="AE187" s="751">
        <f>$H$22*$E$9*'Traffic Data'!BG9*annualizationFactor</f>
        <v>6357.8938643941501</v>
      </c>
      <c r="AF187" s="751">
        <f>$H$22*$E$9*'Traffic Data'!BH9*annualizationFactor</f>
        <v>6478.3393856142002</v>
      </c>
      <c r="AG187" s="751">
        <f>$H$22*$E$9*'Traffic Data'!BI9*annualizationFactor</f>
        <v>6598.7849068342493</v>
      </c>
      <c r="AH187" s="752">
        <f>$H$22*$E$9*'Traffic Data'!BJ9*annualizationFactor</f>
        <v>6719.2785005034002</v>
      </c>
      <c r="AI187" s="40"/>
      <c r="AJ187" s="40"/>
      <c r="AK187" s="40"/>
      <c r="AL187" s="40"/>
      <c r="AM187" s="40"/>
    </row>
    <row r="188" spans="2:39" ht="21.9" customHeight="1" x14ac:dyDescent="0.25">
      <c r="B188" s="1332" t="s">
        <v>274</v>
      </c>
      <c r="C188" s="217" t="s">
        <v>275</v>
      </c>
      <c r="D188" s="217" t="s">
        <v>318</v>
      </c>
      <c r="E188" s="114" t="s">
        <v>434</v>
      </c>
      <c r="F188" s="217" t="s">
        <v>40</v>
      </c>
      <c r="G188" s="941"/>
      <c r="H188" s="941"/>
      <c r="I188" s="749">
        <f>$H$22*$F$9*'Traffic Data'!AK10*annualizationFactor</f>
        <v>26884.241440000002</v>
      </c>
      <c r="J188" s="749">
        <f>$H$22*$F$9*'Traffic Data'!AL10*annualizationFactor</f>
        <v>29817.648234122003</v>
      </c>
      <c r="K188" s="749">
        <f>$H$22*$F$9*'Traffic Data'!AM10*annualizationFactor</f>
        <v>32915.586585856792</v>
      </c>
      <c r="L188" s="749">
        <f>$H$22*$F$9*'Traffic Data'!AN10*annualizationFactor</f>
        <v>42504.725033279603</v>
      </c>
      <c r="M188" s="749">
        <f>$H$22*$F$9*'Traffic Data'!AO10*annualizationFactor</f>
        <v>52098.702644161589</v>
      </c>
      <c r="N188" s="749">
        <f>$H$22*$F$9*'Traffic Data'!AP10*annualizationFactor</f>
        <v>61695.234257980403</v>
      </c>
      <c r="O188" s="749">
        <f>$H$22*$F$9*'Traffic Data'!AQ10*annualizationFactor</f>
        <v>71284.372705403206</v>
      </c>
      <c r="P188" s="749">
        <f>$H$22*$F$9*'Traffic Data'!AR10*annualizationFactor</f>
        <v>80886.751641735202</v>
      </c>
      <c r="Q188" s="749">
        <f>$H$22*$F$9*'Traffic Data'!AS10*annualizationFactor</f>
        <v>93772.368563927186</v>
      </c>
      <c r="R188" s="749">
        <f>$H$22*$F$9*'Traffic Data'!AT10*annualizationFactor</f>
        <v>106663.69838742517</v>
      </c>
      <c r="S188" s="749">
        <f>$H$22*$F$9*'Traffic Data'!AU10*annualizationFactor</f>
        <v>119549.3153096172</v>
      </c>
      <c r="T188" s="749">
        <f>$H$22*$F$9*'Traffic Data'!AV10*annualizationFactor</f>
        <v>132434.93223180919</v>
      </c>
      <c r="U188" s="749">
        <f>$H$22*$F$9*'Traffic Data'!AW10*annualizationFactor</f>
        <v>145337.35180490123</v>
      </c>
      <c r="V188" s="749">
        <f>$H$22*$F$9*'Traffic Data'!AX10*annualizationFactor</f>
        <v>151723.36730595518</v>
      </c>
      <c r="W188" s="749">
        <f>$H$22*$F$9*'Traffic Data'!AY10*annualizationFactor</f>
        <v>154656.77410007719</v>
      </c>
      <c r="X188" s="749">
        <f>$H$22*$F$9*'Traffic Data'!AZ10*annualizationFactor</f>
        <v>157590.18089419918</v>
      </c>
      <c r="Y188" s="749">
        <f>$H$22*$F$9*'Traffic Data'!BA10*annualizationFactor</f>
        <v>160523.58768832119</v>
      </c>
      <c r="Z188" s="749">
        <f>$H$22*$F$9*'Traffic Data'!BB10*annualizationFactor</f>
        <v>163461.69922469518</v>
      </c>
      <c r="AA188" s="749">
        <f>$H$22*$F$9*'Traffic Data'!BC10*annualizationFactor</f>
        <v>166395.10601881717</v>
      </c>
      <c r="AB188" s="749">
        <f>$H$22*$F$9*'Traffic Data'!BD10*annualizationFactor</f>
        <v>169333.21755519116</v>
      </c>
      <c r="AC188" s="749">
        <f>$H$22*$F$9*'Traffic Data'!BE10*annualizationFactor</f>
        <v>172266.62434931324</v>
      </c>
      <c r="AD188" s="749">
        <f>$H$22*$F$9*'Traffic Data'!BF10*annualizationFactor</f>
        <v>175200.03114343519</v>
      </c>
      <c r="AE188" s="749">
        <f>$H$22*$F$9*'Traffic Data'!BG10*annualizationFactor</f>
        <v>178138.14267980921</v>
      </c>
      <c r="AF188" s="749">
        <f>$H$22*$F$9*'Traffic Data'!BH10*annualizationFactor</f>
        <v>181071.5494739312</v>
      </c>
      <c r="AG188" s="749">
        <f>$H$22*$F$9*'Traffic Data'!BI10*annualizationFactor</f>
        <v>184004.95626805315</v>
      </c>
      <c r="AH188" s="750">
        <f>$H$22*$F$9*'Traffic Data'!BJ10*annualizationFactor</f>
        <v>186943.06780442721</v>
      </c>
      <c r="AI188" s="40"/>
      <c r="AJ188" s="40"/>
      <c r="AK188" s="40"/>
      <c r="AL188" s="40"/>
      <c r="AM188" s="40"/>
    </row>
    <row r="189" spans="2:39" ht="21.9" customHeight="1" x14ac:dyDescent="0.25">
      <c r="B189" s="1332"/>
      <c r="C189" s="114" t="s">
        <v>318</v>
      </c>
      <c r="D189" s="114" t="s">
        <v>308</v>
      </c>
      <c r="E189" s="114" t="s">
        <v>434</v>
      </c>
      <c r="F189" s="114" t="s">
        <v>40</v>
      </c>
      <c r="G189" s="941"/>
      <c r="H189" s="941"/>
      <c r="I189" s="751">
        <f>$H$22*$F$9*'Traffic Data'!AK11*annualizationFactor</f>
        <v>3114.0048000000002</v>
      </c>
      <c r="J189" s="751">
        <f>$H$22*$F$9*'Traffic Data'!AL11*annualizationFactor</f>
        <v>3527.8041378399998</v>
      </c>
      <c r="K189" s="751">
        <f>$H$22*$F$9*'Traffic Data'!AM11*annualizationFactor</f>
        <v>3941.8629760800004</v>
      </c>
      <c r="L189" s="751">
        <f>$H$22*$F$9*'Traffic Data'!AN11*annualizationFactor</f>
        <v>5342.8018355200002</v>
      </c>
      <c r="M189" s="751">
        <f>$H$22*$F$9*'Traffic Data'!AO11*annualizationFactor</f>
        <v>6744.0261453999992</v>
      </c>
      <c r="N189" s="751">
        <f>$H$22*$F$9*'Traffic Data'!AP11*annualizationFactor</f>
        <v>8146.5220072400007</v>
      </c>
      <c r="O189" s="751">
        <f>$H$22*$F$9*'Traffic Data'!AQ11*annualizationFactor</f>
        <v>9547.4608666799995</v>
      </c>
      <c r="P189" s="751">
        <f>$H$22*$F$9*'Traffic Data'!AR11*annualizationFactor</f>
        <v>10949.72317816</v>
      </c>
      <c r="Q189" s="751">
        <f>$H$22*$F$9*'Traffic Data'!AS11*annualizationFactor</f>
        <v>13102.823946999999</v>
      </c>
      <c r="R189" s="751">
        <f>$H$22*$F$9*'Traffic Data'!AT11*annualizationFactor</f>
        <v>15255.691165480002</v>
      </c>
      <c r="S189" s="751">
        <f>$H$22*$F$9*'Traffic Data'!AU11*annualizationFactor</f>
        <v>17408.765984280002</v>
      </c>
      <c r="T189" s="751">
        <f>$H$22*$F$9*'Traffic Data'!AV11*annualizationFactor</f>
        <v>19561.866753120001</v>
      </c>
      <c r="U189" s="751">
        <f>$H$22*$F$9*'Traffic Data'!AW11*annualizationFactor</f>
        <v>21717.069475200002</v>
      </c>
      <c r="V189" s="751">
        <f>$H$22*$F$9*'Traffic Data'!AX11*annualizationFactor</f>
        <v>22882.226271200001</v>
      </c>
      <c r="W189" s="751">
        <f>$H$22*$F$9*'Traffic Data'!AY11*annualizationFactor</f>
        <v>23296.02560904</v>
      </c>
      <c r="X189" s="751">
        <f>$H$22*$F$9*'Traffic Data'!AZ11*annualizationFactor</f>
        <v>23709.824946880002</v>
      </c>
      <c r="Y189" s="751">
        <f>$H$22*$F$9*'Traffic Data'!BA11*annualizationFactor</f>
        <v>24123.624284720008</v>
      </c>
      <c r="Z189" s="751">
        <f>$H$22*$F$9*'Traffic Data'!BB11*annualizationFactor</f>
        <v>24537.683122960003</v>
      </c>
      <c r="AA189" s="751">
        <f>$H$22*$F$9*'Traffic Data'!BC11*annualizationFactor</f>
        <v>24951.482460800002</v>
      </c>
      <c r="AB189" s="751">
        <f>$H$22*$F$9*'Traffic Data'!BD11*annualizationFactor</f>
        <v>25365.541299039996</v>
      </c>
      <c r="AC189" s="751">
        <f>$H$22*$F$9*'Traffic Data'!BE11*annualizationFactor</f>
        <v>25779.340636879995</v>
      </c>
      <c r="AD189" s="751">
        <f>$H$22*$F$9*'Traffic Data'!BF11*annualizationFactor</f>
        <v>26193.139974720001</v>
      </c>
      <c r="AE189" s="751">
        <f>$H$22*$F$9*'Traffic Data'!BG11*annualizationFactor</f>
        <v>26607.198812960003</v>
      </c>
      <c r="AF189" s="751">
        <f>$H$22*$F$9*'Traffic Data'!BH11*annualizationFactor</f>
        <v>27020.998150800002</v>
      </c>
      <c r="AG189" s="751">
        <f>$H$22*$F$9*'Traffic Data'!BI11*annualizationFactor</f>
        <v>27434.797488640001</v>
      </c>
      <c r="AH189" s="752">
        <f>$H$22*$F$9*'Traffic Data'!BJ11*annualizationFactor</f>
        <v>27848.856326879995</v>
      </c>
      <c r="AI189" s="40"/>
      <c r="AJ189" s="40"/>
      <c r="AK189" s="40"/>
      <c r="AL189" s="40"/>
      <c r="AM189" s="40"/>
    </row>
    <row r="190" spans="2:39" ht="21.9" customHeight="1" x14ac:dyDescent="0.25">
      <c r="B190" s="1332"/>
      <c r="C190" s="250" t="s">
        <v>308</v>
      </c>
      <c r="D190" s="250" t="s">
        <v>319</v>
      </c>
      <c r="E190" s="114" t="s">
        <v>434</v>
      </c>
      <c r="F190" s="114" t="s">
        <v>40</v>
      </c>
      <c r="G190" s="941"/>
      <c r="H190" s="941"/>
      <c r="I190" s="751">
        <f>$H$22*$F$9*'Traffic Data'!AK12*annualizationFactor</f>
        <v>41727.664320000003</v>
      </c>
      <c r="J190" s="751">
        <f>$H$22*$F$9*'Traffic Data'!AL12*annualizationFactor</f>
        <v>43275.273843521602</v>
      </c>
      <c r="K190" s="751">
        <f>$H$22*$F$9*'Traffic Data'!AM12*annualizationFactor</f>
        <v>44823.857012543995</v>
      </c>
      <c r="L190" s="751">
        <f>$H$22*$F$9*'Traffic Data'!AN12*annualizationFactor</f>
        <v>47831.239326193594</v>
      </c>
      <c r="M190" s="751">
        <f>$H$22*$F$9*'Traffic Data'!AO12*annualizationFactor</f>
        <v>50840.360292523212</v>
      </c>
      <c r="N190" s="751">
        <f>$H$22*$F$9*'Traffic Data'!AP12*annualizationFactor</f>
        <v>53848.716251673606</v>
      </c>
      <c r="O190" s="751">
        <f>$H$22*$F$9*'Traffic Data'!AQ12*annualizationFactor</f>
        <v>56856.098565323206</v>
      </c>
      <c r="P190" s="751">
        <f>$H$22*$F$9*'Traffic Data'!AR12*annualizationFactor</f>
        <v>59866.679999904001</v>
      </c>
      <c r="Q190" s="751">
        <f>$H$22*$F$9*'Traffic Data'!AS12*annualizationFactor</f>
        <v>64044.523297729604</v>
      </c>
      <c r="R190" s="751">
        <f>$H$22*$F$9*'Traffic Data'!AT12*annualizationFactor</f>
        <v>68224.5920709856</v>
      </c>
      <c r="S190" s="751">
        <f>$H$22*$F$9*'Traffic Data'!AU12*annualizationFactor</f>
        <v>72401.670361632001</v>
      </c>
      <c r="T190" s="751">
        <f>$H$22*$F$9*'Traffic Data'!AV12*annualizationFactor</f>
        <v>76579.513659457603</v>
      </c>
      <c r="U190" s="751">
        <f>$H$22*$F$9*'Traffic Data'!AW12*annualizationFactor</f>
        <v>80761.042900964807</v>
      </c>
      <c r="V190" s="751">
        <f>$H$22*$F$9*'Traffic Data'!AX12*annualizationFactor</f>
        <v>83477.861578732802</v>
      </c>
      <c r="W190" s="751">
        <f>$H$22*$F$9*'Traffic Data'!AY12*annualizationFactor</f>
        <v>85025.471102254422</v>
      </c>
      <c r="X190" s="751">
        <f>$H$22*$F$9*'Traffic Data'!AZ12*annualizationFactor</f>
        <v>86573.080625776012</v>
      </c>
      <c r="Y190" s="751">
        <f>$H$22*$F$9*'Traffic Data'!BA12*annualizationFactor</f>
        <v>88120.690149297603</v>
      </c>
      <c r="Z190" s="751">
        <f>$H$22*$F$9*'Traffic Data'!BB12*annualizationFactor</f>
        <v>89669.273318320018</v>
      </c>
      <c r="AA190" s="751">
        <f>$H$22*$F$9*'Traffic Data'!BC12*annualizationFactor</f>
        <v>91216.882841841594</v>
      </c>
      <c r="AB190" s="751">
        <f>$H$22*$F$9*'Traffic Data'!BD12*annualizationFactor</f>
        <v>92765.466010864024</v>
      </c>
      <c r="AC190" s="751">
        <f>$H$22*$F$9*'Traffic Data'!BE12*annualizationFactor</f>
        <v>94313.075534385614</v>
      </c>
      <c r="AD190" s="751">
        <f>$H$22*$F$9*'Traffic Data'!BF12*annualizationFactor</f>
        <v>95860.68505790722</v>
      </c>
      <c r="AE190" s="751">
        <f>$H$22*$F$9*'Traffic Data'!BG12*annualizationFactor</f>
        <v>97409.26822692962</v>
      </c>
      <c r="AF190" s="751">
        <f>$H$22*$F$9*'Traffic Data'!BH12*annualizationFactor</f>
        <v>98956.877750451211</v>
      </c>
      <c r="AG190" s="751">
        <f>$H$22*$F$9*'Traffic Data'!BI12*annualizationFactor</f>
        <v>100504.4872739728</v>
      </c>
      <c r="AH190" s="752">
        <f>$H$22*$F$9*'Traffic Data'!BJ12*annualizationFactor</f>
        <v>102053.0704429952</v>
      </c>
      <c r="AI190" s="40"/>
      <c r="AJ190" s="40"/>
      <c r="AK190" s="40"/>
      <c r="AL190" s="40"/>
      <c r="AM190" s="40"/>
    </row>
    <row r="191" spans="2:39" ht="21.9" customHeight="1" x14ac:dyDescent="0.25">
      <c r="B191" s="469" t="s">
        <v>320</v>
      </c>
      <c r="C191" s="114" t="s">
        <v>318</v>
      </c>
      <c r="D191" s="114" t="s">
        <v>308</v>
      </c>
      <c r="E191" s="273" t="s">
        <v>434</v>
      </c>
      <c r="F191" s="217" t="s">
        <v>40</v>
      </c>
      <c r="G191" s="754"/>
      <c r="H191" s="754"/>
      <c r="I191" s="749">
        <f>$H$22*$G$9*'Traffic Data'!AK13*annualizationFactor</f>
        <v>121.965188</v>
      </c>
      <c r="J191" s="749">
        <f>$H$22*$G$9*'Traffic Data'!AL13*annualizationFactor</f>
        <v>197.46163937199998</v>
      </c>
      <c r="K191" s="749">
        <f>$H$22*$G$9*'Traffic Data'!AM13*annualizationFactor</f>
        <v>563.35720337199996</v>
      </c>
      <c r="L191" s="749">
        <f>$H$22*$G$9*'Traffic Data'!AN13*annualizationFactor</f>
        <v>1191.1120260079999</v>
      </c>
      <c r="M191" s="749">
        <f>$H$22*$G$9*'Traffic Data'!AO13*annualizationFactor</f>
        <v>1819.3547093959999</v>
      </c>
      <c r="N191" s="749">
        <f>$H$22*$G$9*'Traffic Data'!AP13*annualizationFactor</f>
        <v>2447.3534624080003</v>
      </c>
      <c r="O191" s="749">
        <f>$H$22*$G$9*'Traffic Data'!AQ13*annualizationFactor</f>
        <v>3075.1082850440002</v>
      </c>
      <c r="P191" s="749">
        <f>$H$22*$G$9*'Traffic Data'!AR13*annualizationFactor</f>
        <v>3703.8388291840001</v>
      </c>
      <c r="Q191" s="749">
        <f>$H$22*$G$9*'Traffic Data'!AS13*annualizationFactor</f>
        <v>4041.5604347560002</v>
      </c>
      <c r="R191" s="749">
        <f>$H$22*$G$9*'Traffic Data'!AT13*annualizationFactor</f>
        <v>4379.7699010799997</v>
      </c>
      <c r="S191" s="749">
        <f>$H$22*$G$9*'Traffic Data'!AU13*annualizationFactor</f>
        <v>4717.6134718399999</v>
      </c>
      <c r="T191" s="749">
        <f>$H$22*$G$9*'Traffic Data'!AV13*annualizationFactor</f>
        <v>5055.3350774119999</v>
      </c>
      <c r="U191" s="749">
        <f>$H$22*$G$9*'Traffic Data'!AW13*annualizationFactor</f>
        <v>5393.9104393000007</v>
      </c>
      <c r="V191" s="749">
        <f>$H$22*$G$9*'Traffic Data'!AX13*annualizationFactor</f>
        <v>5469.4068906719986</v>
      </c>
      <c r="W191" s="749">
        <f>$H$22*$G$9*'Traffic Data'!AY13*annualizationFactor</f>
        <v>5544.9033420439991</v>
      </c>
      <c r="X191" s="749">
        <f>$H$22*$G$9*'Traffic Data'!AZ13*annualizationFactor</f>
        <v>5620.3997934159997</v>
      </c>
      <c r="Y191" s="749">
        <f>$H$22*$G$9*'Traffic Data'!BA13*annualizationFactor</f>
        <v>5695.8962447880003</v>
      </c>
      <c r="Z191" s="749">
        <f>$H$22*$G$9*'Traffic Data'!BB13*annualizationFactor</f>
        <v>5771.7585917240003</v>
      </c>
      <c r="AA191" s="749">
        <f>$H$22*$G$9*'Traffic Data'!BC13*annualizationFactor</f>
        <v>5847.2550430959991</v>
      </c>
      <c r="AB191" s="749">
        <f>$H$22*$G$9*'Traffic Data'!BD13*annualizationFactor</f>
        <v>5923.1173900319991</v>
      </c>
      <c r="AC191" s="749">
        <f>$H$22*$G$9*'Traffic Data'!BE13*annualizationFactor</f>
        <v>5998.6138414039979</v>
      </c>
      <c r="AD191" s="749">
        <f>$H$22*$G$9*'Traffic Data'!BF13*annualizationFactor</f>
        <v>6074.1102927760003</v>
      </c>
      <c r="AE191" s="749">
        <f>$H$22*$G$9*'Traffic Data'!BG13*annualizationFactor</f>
        <v>6149.9726397120003</v>
      </c>
      <c r="AF191" s="749">
        <f>$H$22*$G$9*'Traffic Data'!BH13*annualizationFactor</f>
        <v>6225.469091083999</v>
      </c>
      <c r="AG191" s="749">
        <f>$H$22*$G$9*'Traffic Data'!BI13*annualizationFactor</f>
        <v>6300.9655424559996</v>
      </c>
      <c r="AH191" s="750">
        <f>$H$22*$G$9*'Traffic Data'!BJ13*annualizationFactor</f>
        <v>6376.8278893920015</v>
      </c>
      <c r="AI191" s="40"/>
      <c r="AJ191" s="40"/>
      <c r="AK191" s="40"/>
      <c r="AL191" s="40"/>
      <c r="AM191" s="40"/>
    </row>
    <row r="192" spans="2:39" ht="21.9" customHeight="1" x14ac:dyDescent="0.25">
      <c r="B192" s="1332" t="s">
        <v>308</v>
      </c>
      <c r="C192" s="217" t="s">
        <v>276</v>
      </c>
      <c r="D192" s="217" t="s">
        <v>320</v>
      </c>
      <c r="E192" s="114" t="s">
        <v>434</v>
      </c>
      <c r="F192" s="217" t="s">
        <v>40</v>
      </c>
      <c r="G192" s="941"/>
      <c r="H192" s="941"/>
      <c r="I192" s="749">
        <f>$H$22*$H$9*'Traffic Data'!AK14*annualizationFactor</f>
        <v>350.32553999999999</v>
      </c>
      <c r="J192" s="749">
        <f>$H$22*$H$9*'Traffic Data'!AL14*annualizationFactor</f>
        <v>350.32553999999999</v>
      </c>
      <c r="K192" s="749">
        <f>$H$22*$H$9*'Traffic Data'!AM14*annualizationFactor</f>
        <v>4099.1591435400005</v>
      </c>
      <c r="L192" s="749">
        <f>$H$22*$H$9*'Traffic Data'!AN14*annualizationFactor</f>
        <v>7847.9927470800003</v>
      </c>
      <c r="M192" s="749">
        <f>$H$22*$H$9*'Traffic Data'!AO14*annualizationFactor</f>
        <v>11599.979280480002</v>
      </c>
      <c r="N192" s="749">
        <f>$H$22*$H$9*'Traffic Data'!AP14*annualizationFactor</f>
        <v>15348.812884020001</v>
      </c>
      <c r="O192" s="749">
        <f>$H$22*$H$9*'Traffic Data'!AQ14*annualizationFactor</f>
        <v>19097.646487560003</v>
      </c>
      <c r="P192" s="749">
        <f>$H$22*$H$9*'Traffic Data'!AR14*annualizationFactor</f>
        <v>22849.633020960006</v>
      </c>
      <c r="Q192" s="749">
        <f>$H$22*$H$9*'Traffic Data'!AS14*annualizationFactor</f>
        <v>22849.633020960006</v>
      </c>
      <c r="R192" s="749">
        <f>$H$22*$H$9*'Traffic Data'!AT14*annualizationFactor</f>
        <v>22849.633020960006</v>
      </c>
      <c r="S192" s="749">
        <f>$H$22*$H$9*'Traffic Data'!AU14*annualizationFactor</f>
        <v>22849.633020960006</v>
      </c>
      <c r="T192" s="749">
        <f>$H$22*$H$9*'Traffic Data'!AV14*annualizationFactor</f>
        <v>22849.633020960006</v>
      </c>
      <c r="U192" s="749">
        <f>$H$22*$H$9*'Traffic Data'!AW14*annualizationFactor</f>
        <v>22849.633020960006</v>
      </c>
      <c r="V192" s="749">
        <f>$H$22*$H$9*'Traffic Data'!AX14*annualizationFactor</f>
        <v>22849.633020960006</v>
      </c>
      <c r="W192" s="749">
        <f>$H$22*$H$9*'Traffic Data'!AY14*annualizationFactor</f>
        <v>22849.633020960006</v>
      </c>
      <c r="X192" s="749">
        <f>$H$22*$H$9*'Traffic Data'!AZ14*annualizationFactor</f>
        <v>22849.633020960006</v>
      </c>
      <c r="Y192" s="749">
        <f>$H$22*$H$9*'Traffic Data'!BA14*annualizationFactor</f>
        <v>22849.633020960006</v>
      </c>
      <c r="Z192" s="749">
        <f>$H$22*$H$9*'Traffic Data'!BB14*annualizationFactor</f>
        <v>22849.633020960006</v>
      </c>
      <c r="AA192" s="749">
        <f>$H$22*$H$9*'Traffic Data'!BC14*annualizationFactor</f>
        <v>22849.633020960006</v>
      </c>
      <c r="AB192" s="749">
        <f>$H$22*$H$9*'Traffic Data'!BD14*annualizationFactor</f>
        <v>22849.633020960006</v>
      </c>
      <c r="AC192" s="749">
        <f>$H$22*$H$9*'Traffic Data'!BE14*annualizationFactor</f>
        <v>22849.633020960006</v>
      </c>
      <c r="AD192" s="749">
        <f>$H$22*$H$9*'Traffic Data'!BF14*annualizationFactor</f>
        <v>22849.633020960006</v>
      </c>
      <c r="AE192" s="749">
        <f>$H$22*$H$9*'Traffic Data'!BG14*annualizationFactor</f>
        <v>22849.633020960006</v>
      </c>
      <c r="AF192" s="749">
        <f>$H$22*$H$9*'Traffic Data'!BH14*annualizationFactor</f>
        <v>22849.633020960006</v>
      </c>
      <c r="AG192" s="749">
        <f>$H$22*$H$9*'Traffic Data'!BI14*annualizationFactor</f>
        <v>22849.633020960006</v>
      </c>
      <c r="AH192" s="750">
        <f>$H$22*$H$9*'Traffic Data'!BJ14*annualizationFactor</f>
        <v>22849.633020960006</v>
      </c>
      <c r="AI192" s="40"/>
      <c r="AJ192" s="40"/>
      <c r="AK192" s="40"/>
      <c r="AL192" s="40"/>
      <c r="AM192" s="40"/>
    </row>
    <row r="193" spans="2:39" ht="21.9" customHeight="1" x14ac:dyDescent="0.25">
      <c r="B193" s="1332"/>
      <c r="C193" s="114" t="s">
        <v>320</v>
      </c>
      <c r="D193" s="114" t="s">
        <v>282</v>
      </c>
      <c r="E193" s="114" t="s">
        <v>434</v>
      </c>
      <c r="F193" s="114" t="s">
        <v>40</v>
      </c>
      <c r="G193" s="941"/>
      <c r="H193" s="941"/>
      <c r="I193" s="751">
        <f>$H$22*$H$9*'Traffic Data'!AK15*annualizationFactor</f>
        <v>159.85224640000001</v>
      </c>
      <c r="J193" s="751">
        <f>$H$22*$H$9*'Traffic Data'!AL15*annualizationFactor</f>
        <v>303.71926816000001</v>
      </c>
      <c r="K193" s="751">
        <f>$H$22*$H$9*'Traffic Data'!AM15*annualizationFactor</f>
        <v>447.58628992000007</v>
      </c>
      <c r="L193" s="751">
        <f>$H$22*$H$9*'Traffic Data'!AN15*annualizationFactor</f>
        <v>973.64550080000015</v>
      </c>
      <c r="M193" s="751">
        <f>$H$22*$H$9*'Traffic Data'!AO15*annualizationFactor</f>
        <v>1498.9781105600005</v>
      </c>
      <c r="N193" s="751">
        <f>$H$22*$H$9*'Traffic Data'!AP15*annualizationFactor</f>
        <v>2025.7639225600001</v>
      </c>
      <c r="O193" s="751">
        <f>$H$22*$H$9*'Traffic Data'!AQ15*annualizationFactor</f>
        <v>2551.8231334400002</v>
      </c>
      <c r="P193" s="751">
        <f>$H$22*$H$9*'Traffic Data'!AR15*annualizationFactor</f>
        <v>3077.8823443200008</v>
      </c>
      <c r="Q193" s="751">
        <f>$H$22*$H$9*'Traffic Data'!AS15*annualizationFactor</f>
        <v>3992.6731544000004</v>
      </c>
      <c r="R193" s="751">
        <f>$H$22*$H$9*'Traffic Data'!AT15*annualizationFactor</f>
        <v>4906.73736336</v>
      </c>
      <c r="S193" s="751">
        <f>$H$22*$H$9*'Traffic Data'!AU15*annualizationFactor</f>
        <v>5820.8015723200006</v>
      </c>
      <c r="T193" s="751">
        <f>$H$22*$H$9*'Traffic Data'!AV15*annualizationFactor</f>
        <v>6735.5923824000001</v>
      </c>
      <c r="U193" s="751">
        <f>$H$22*$H$9*'Traffic Data'!AW15*annualizationFactor</f>
        <v>7650.3831924800006</v>
      </c>
      <c r="V193" s="751">
        <f>$H$22*$H$9*'Traffic Data'!AX15*annualizationFactor</f>
        <v>8182.9818134400002</v>
      </c>
      <c r="W193" s="751">
        <f>$H$22*$H$9*'Traffic Data'!AY15*annualizationFactor</f>
        <v>8326.1222340799995</v>
      </c>
      <c r="X193" s="751">
        <f>$H$22*$H$9*'Traffic Data'!AZ15*annualizationFactor</f>
        <v>8469.9892558400006</v>
      </c>
      <c r="Y193" s="751">
        <f>$H$22*$H$9*'Traffic Data'!BA15*annualizationFactor</f>
        <v>8613.8562775999999</v>
      </c>
      <c r="Z193" s="751">
        <f>$H$22*$H$9*'Traffic Data'!BB15*annualizationFactor</f>
        <v>8757.7232993599991</v>
      </c>
      <c r="AA193" s="751">
        <f>$H$22*$H$9*'Traffic Data'!BC15*annualizationFactor</f>
        <v>8901.5903211200002</v>
      </c>
      <c r="AB193" s="751">
        <f>$H$22*$H$9*'Traffic Data'!BD15*annualizationFactor</f>
        <v>9045.4573428800013</v>
      </c>
      <c r="AC193" s="751">
        <f>$H$22*$H$9*'Traffic Data'!BE15*annualizationFactor</f>
        <v>9189.3243646400006</v>
      </c>
      <c r="AD193" s="751">
        <f>$H$22*$H$9*'Traffic Data'!BF15*annualizationFactor</f>
        <v>9333.1913863999998</v>
      </c>
      <c r="AE193" s="751">
        <f>$H$22*$H$9*'Traffic Data'!BG15*annualizationFactor</f>
        <v>9476.3318070400001</v>
      </c>
      <c r="AF193" s="751">
        <f>$H$22*$H$9*'Traffic Data'!BH15*annualizationFactor</f>
        <v>9620.1988288000011</v>
      </c>
      <c r="AG193" s="751">
        <f>$H$22*$H$9*'Traffic Data'!BI15*annualizationFactor</f>
        <v>9764.0658505600004</v>
      </c>
      <c r="AH193" s="752">
        <f>$H$22*$H$9*'Traffic Data'!BJ15*annualizationFactor</f>
        <v>9907.9328723199997</v>
      </c>
      <c r="AI193" s="40"/>
      <c r="AJ193" s="40"/>
      <c r="AK193" s="40"/>
      <c r="AL193" s="40"/>
      <c r="AM193" s="40"/>
    </row>
    <row r="194" spans="2:39" ht="21.9" customHeight="1" x14ac:dyDescent="0.25">
      <c r="B194" s="1332"/>
      <c r="C194" s="114" t="s">
        <v>282</v>
      </c>
      <c r="D194" s="114" t="s">
        <v>321</v>
      </c>
      <c r="E194" s="114" t="s">
        <v>434</v>
      </c>
      <c r="F194" s="114" t="s">
        <v>40</v>
      </c>
      <c r="G194" s="941"/>
      <c r="H194" s="941"/>
      <c r="I194" s="751">
        <f>$H$22*$H$9*'Traffic Data'!AK16*annualizationFactor</f>
        <v>568.30587600000001</v>
      </c>
      <c r="J194" s="751">
        <f>$H$22*$H$9*'Traffic Data'!AL16*annualizationFactor</f>
        <v>1079.5348985204</v>
      </c>
      <c r="K194" s="751">
        <f>$H$22*$H$9*'Traffic Data'!AM16*annualizationFactor</f>
        <v>1590.5934292780003</v>
      </c>
      <c r="L194" s="751">
        <f>$H$22*$H$9*'Traffic Data'!AN16*annualizationFactor</f>
        <v>3460.2629307303991</v>
      </c>
      <c r="M194" s="751">
        <f>$H$22*$H$9*'Traffic Data'!AO16*annualizationFactor</f>
        <v>5330.0082062995998</v>
      </c>
      <c r="N194" s="751">
        <f>$H$22*$H$9*'Traffic Data'!AP16*annualizationFactor</f>
        <v>7202.1403665480002</v>
      </c>
      <c r="O194" s="751">
        <f>$H$22*$H$9*'Traffic Data'!AQ16*annualizationFactor</f>
        <v>9071.8098680003986</v>
      </c>
      <c r="P194" s="751">
        <f>$H$22*$H$9*'Traffic Data'!AR16*annualizationFactor</f>
        <v>10942.615981204799</v>
      </c>
      <c r="Q194" s="751">
        <f>$H$22*$H$9*'Traffic Data'!AS16*annualizationFactor</f>
        <v>14193.8370672132</v>
      </c>
      <c r="R194" s="751">
        <f>$H$22*$H$9*'Traffic Data'!AT16*annualizationFactor</f>
        <v>17443.732106177602</v>
      </c>
      <c r="S194" s="751">
        <f>$H$22*$H$9*'Traffic Data'!AU16*annualizationFactor</f>
        <v>20694.706926306393</v>
      </c>
      <c r="T194" s="751">
        <f>$H$22*$H$9*'Traffic Data'!AV16*annualizationFactor</f>
        <v>23945.928012314798</v>
      </c>
      <c r="U194" s="751">
        <f>$H$22*$H$9*'Traffic Data'!AW16*annualizationFactor</f>
        <v>27199.517039473194</v>
      </c>
      <c r="V194" s="751">
        <f>$H$22*$H$9*'Traffic Data'!AX16*annualizationFactor</f>
        <v>29090.820051271996</v>
      </c>
      <c r="W194" s="751">
        <f>$H$22*$H$9*'Traffic Data'!AY16*annualizationFactor</f>
        <v>29602.049073792397</v>
      </c>
      <c r="X194" s="751">
        <f>$H$22*$H$9*'Traffic Data'!AZ16*annualizationFactor</f>
        <v>30113.278096312799</v>
      </c>
      <c r="Y194" s="751">
        <f>$H$22*$H$9*'Traffic Data'!BA16*annualizationFactor</f>
        <v>30624.507118833197</v>
      </c>
      <c r="Z194" s="751">
        <f>$H$22*$H$9*'Traffic Data'!BB16*annualizationFactor</f>
        <v>31135.565649590797</v>
      </c>
      <c r="AA194" s="751">
        <f>$H$22*$H$9*'Traffic Data'!BC16*annualizationFactor</f>
        <v>31646.794672111195</v>
      </c>
      <c r="AB194" s="751">
        <f>$H$22*$H$9*'Traffic Data'!BD16*annualizationFactor</f>
        <v>32157.853202868795</v>
      </c>
      <c r="AC194" s="751">
        <f>$H$22*$H$9*'Traffic Data'!BE16*annualizationFactor</f>
        <v>32669.082225389193</v>
      </c>
      <c r="AD194" s="751">
        <f>$H$22*$H$9*'Traffic Data'!BF16*annualizationFactor</f>
        <v>33180.311247909602</v>
      </c>
      <c r="AE194" s="751">
        <f>$H$22*$H$9*'Traffic Data'!BG16*annualizationFactor</f>
        <v>33691.369778667198</v>
      </c>
      <c r="AF194" s="751">
        <f>$H$22*$H$9*'Traffic Data'!BH16*annualizationFactor</f>
        <v>34202.598801187596</v>
      </c>
      <c r="AG194" s="751">
        <f>$H$22*$H$9*'Traffic Data'!BI16*annualizationFactor</f>
        <v>34713.827823708001</v>
      </c>
      <c r="AH194" s="752">
        <f>$H$22*$H$9*'Traffic Data'!BJ16*annualizationFactor</f>
        <v>35224.886354465598</v>
      </c>
      <c r="AI194" s="40"/>
      <c r="AJ194" s="40"/>
      <c r="AK194" s="40"/>
      <c r="AL194" s="40"/>
      <c r="AM194" s="40"/>
    </row>
    <row r="195" spans="2:39" ht="21.9" customHeight="1" x14ac:dyDescent="0.25">
      <c r="B195" s="1332"/>
      <c r="C195" s="250" t="s">
        <v>321</v>
      </c>
      <c r="D195" s="250" t="s">
        <v>274</v>
      </c>
      <c r="E195" s="114" t="s">
        <v>434</v>
      </c>
      <c r="F195" s="114" t="s">
        <v>40</v>
      </c>
      <c r="G195" s="941"/>
      <c r="H195" s="941"/>
      <c r="I195" s="751">
        <f>$H$22*$H$9*'Traffic Data'!AK17*annualizationFactor</f>
        <v>817.42625999999996</v>
      </c>
      <c r="J195" s="751">
        <f>$H$22*$H$9*'Traffic Data'!AL17*annualizationFactor</f>
        <v>1552.755675954</v>
      </c>
      <c r="K195" s="751">
        <f>$H$22*$H$9*'Traffic Data'!AM17*annualizationFactor</f>
        <v>2287.8398640300006</v>
      </c>
      <c r="L195" s="751">
        <f>$H$22*$H$9*'Traffic Data'!AN17*annualizationFactor</f>
        <v>4977.0905168039999</v>
      </c>
      <c r="M195" s="751">
        <f>$H$22*$H$9*'Traffic Data'!AO17*annualizationFactor</f>
        <v>7666.4501597460003</v>
      </c>
      <c r="N195" s="751">
        <f>$H$22*$H$9*'Traffic Data'!AP17*annualizationFactor</f>
        <v>10359.242992980002</v>
      </c>
      <c r="O195" s="751">
        <f>$H$22*$H$9*'Traffic Data'!AQ17*annualizationFactor</f>
        <v>13048.493645754001</v>
      </c>
      <c r="P195" s="751">
        <f>$H$22*$H$9*'Traffic Data'!AR17*annualizationFactor</f>
        <v>15739.379151048</v>
      </c>
      <c r="Q195" s="751">
        <f>$H$22*$H$9*'Traffic Data'!AS17*annualizationFactor</f>
        <v>20415.793041882003</v>
      </c>
      <c r="R195" s="751">
        <f>$H$22*$H$9*'Traffic Data'!AT17*annualizationFactor</f>
        <v>25090.299604776003</v>
      </c>
      <c r="S195" s="751">
        <f>$H$22*$H$9*'Traffic Data'!AU17*annualizationFactor</f>
        <v>29766.359277563992</v>
      </c>
      <c r="T195" s="751">
        <f>$H$22*$H$9*'Traffic Data'!AV17*annualizationFactor</f>
        <v>34442.773168398002</v>
      </c>
      <c r="U195" s="751">
        <f>$H$22*$H$9*'Traffic Data'!AW17*annualizationFactor</f>
        <v>39122.593001981993</v>
      </c>
      <c r="V195" s="751">
        <f>$H$22*$H$9*'Traffic Data'!AX17*annualizationFactor</f>
        <v>41842.960347719993</v>
      </c>
      <c r="W195" s="751">
        <f>$H$22*$H$9*'Traffic Data'!AY17*annualizationFactor</f>
        <v>42578.289763674002</v>
      </c>
      <c r="X195" s="751">
        <f>$H$22*$H$9*'Traffic Data'!AZ17*annualizationFactor</f>
        <v>43313.619179627996</v>
      </c>
      <c r="Y195" s="751">
        <f>$H$22*$H$9*'Traffic Data'!BA17*annualizationFactor</f>
        <v>44048.948595581998</v>
      </c>
      <c r="Z195" s="751">
        <f>$H$22*$H$9*'Traffic Data'!BB17*annualizationFactor</f>
        <v>44784.032783657996</v>
      </c>
      <c r="AA195" s="751">
        <f>$H$22*$H$9*'Traffic Data'!BC17*annualizationFactor</f>
        <v>45519.362199612005</v>
      </c>
      <c r="AB195" s="751">
        <f>$H$22*$H$9*'Traffic Data'!BD17*annualizationFactor</f>
        <v>46254.446387687996</v>
      </c>
      <c r="AC195" s="751">
        <f>$H$22*$H$9*'Traffic Data'!BE17*annualizationFactor</f>
        <v>46989.775803641998</v>
      </c>
      <c r="AD195" s="751">
        <f>$H$22*$H$9*'Traffic Data'!BF17*annualizationFactor</f>
        <v>47725.105219596007</v>
      </c>
      <c r="AE195" s="751">
        <f>$H$22*$H$9*'Traffic Data'!BG17*annualizationFactor</f>
        <v>48460.189407672005</v>
      </c>
      <c r="AF195" s="751">
        <f>$H$22*$H$9*'Traffic Data'!BH17*annualizationFactor</f>
        <v>49195.518823626015</v>
      </c>
      <c r="AG195" s="751">
        <f>$H$22*$H$9*'Traffic Data'!BI17*annualizationFactor</f>
        <v>49930.848239580009</v>
      </c>
      <c r="AH195" s="752">
        <f>$H$22*$H$9*'Traffic Data'!BJ17*annualizationFactor</f>
        <v>50665.932427656</v>
      </c>
      <c r="AI195" s="40"/>
      <c r="AJ195" s="40"/>
      <c r="AK195" s="40"/>
      <c r="AL195" s="40"/>
      <c r="AM195" s="40"/>
    </row>
    <row r="196" spans="2:39" ht="21.9" customHeight="1" x14ac:dyDescent="0.25">
      <c r="B196" s="469" t="s">
        <v>282</v>
      </c>
      <c r="C196" s="114" t="s">
        <v>308</v>
      </c>
      <c r="D196" s="114" t="s">
        <v>324</v>
      </c>
      <c r="E196" s="114" t="s">
        <v>434</v>
      </c>
      <c r="F196" s="217" t="s">
        <v>40</v>
      </c>
      <c r="G196" s="941"/>
      <c r="H196" s="941"/>
      <c r="I196" s="749">
        <f>$H$22*$J$9*'Traffic Data'!AK18*annualizationFactor</f>
        <v>4671.0072</v>
      </c>
      <c r="J196" s="749">
        <f>$H$22*$J$9*'Traffic Data'!AL18*annualizationFactor</f>
        <v>4846.1180699199995</v>
      </c>
      <c r="K196" s="749">
        <f>$H$22*$J$9*'Traffic Data'!AM18*annualizationFactor</f>
        <v>5113.9743828000001</v>
      </c>
      <c r="L196" s="749">
        <f>$H$22*$J$9*'Traffic Data'!AN18*annualizationFactor</f>
        <v>5965.0059446000014</v>
      </c>
      <c r="M196" s="749">
        <f>$H$22*$J$9*'Traffic Data'!AO18*annualizationFactor</f>
        <v>6816.1672565999997</v>
      </c>
      <c r="N196" s="749">
        <f>$H$22*$J$9*'Traffic Data'!AP18*annualizationFactor</f>
        <v>7668.2368199999983</v>
      </c>
      <c r="O196" s="749">
        <f>$H$22*$J$9*'Traffic Data'!AQ18*annualizationFactor</f>
        <v>8519.2683818000005</v>
      </c>
      <c r="P196" s="749">
        <f>$H$22*$J$9*'Traffic Data'!AR18*annualizationFactor</f>
        <v>9371.1303448800008</v>
      </c>
      <c r="Q196" s="749">
        <f>$H$22*$J$9*'Traffic Data'!AS18*annualizationFactor</f>
        <v>10493.547424999999</v>
      </c>
      <c r="R196" s="749">
        <f>$H$22*$J$9*'Traffic Data'!AT18*annualizationFactor</f>
        <v>11615.67905468</v>
      </c>
      <c r="S196" s="749">
        <f>$H$22*$J$9*'Traffic Data'!AU18*annualizationFactor</f>
        <v>12738.225885</v>
      </c>
      <c r="T196" s="749">
        <f>$H$22*$J$9*'Traffic Data'!AV18*annualizationFactor</f>
        <v>13860.642965120003</v>
      </c>
      <c r="U196" s="749">
        <f>$H$22*$J$9*'Traffic Data'!AW18*annualizationFactor</f>
        <v>14984.3315972</v>
      </c>
      <c r="V196" s="749">
        <f>$H$22*$J$9*'Traffic Data'!AX18*annualizationFactor</f>
        <v>15523.002527519999</v>
      </c>
      <c r="W196" s="749">
        <f>$H$22*$J$9*'Traffic Data'!AY18*annualizationFactor</f>
        <v>15698.113397439998</v>
      </c>
      <c r="X196" s="749">
        <f>$H$22*$J$9*'Traffic Data'!AZ18*annualizationFactor</f>
        <v>15873.224267359998</v>
      </c>
      <c r="Y196" s="749">
        <f>$H$22*$J$9*'Traffic Data'!BA18*annualizationFactor</f>
        <v>16048.335137279999</v>
      </c>
      <c r="Z196" s="749">
        <f>$H$22*$J$9*'Traffic Data'!BB18*annualizationFactor</f>
        <v>16223.627657479999</v>
      </c>
      <c r="AA196" s="749">
        <f>$H$22*$J$9*'Traffic Data'!BC18*annualizationFactor</f>
        <v>16398.738527399997</v>
      </c>
      <c r="AB196" s="749">
        <f>$H$22*$J$9*'Traffic Data'!BD18*annualizationFactor</f>
        <v>16574.031047600001</v>
      </c>
      <c r="AC196" s="749">
        <f>$H$22*$J$9*'Traffic Data'!BE18*annualizationFactor</f>
        <v>16749.141917520003</v>
      </c>
      <c r="AD196" s="749">
        <f>$H$22*$J$9*'Traffic Data'!BF18*annualizationFactor</f>
        <v>16924.252787439997</v>
      </c>
      <c r="AE196" s="749">
        <f>$H$22*$J$9*'Traffic Data'!BG18*annualizationFactor</f>
        <v>17099.545307639997</v>
      </c>
      <c r="AF196" s="749">
        <f>$H$22*$J$9*'Traffic Data'!BH18*annualizationFactor</f>
        <v>17274.656177560002</v>
      </c>
      <c r="AG196" s="749">
        <f>$H$22*$J$9*'Traffic Data'!BI18*annualizationFactor</f>
        <v>17449.76704748</v>
      </c>
      <c r="AH196" s="750">
        <f>$H$22*$J$9*'Traffic Data'!BJ18*annualizationFactor</f>
        <v>17625.05956768</v>
      </c>
      <c r="AI196" s="40"/>
      <c r="AJ196" s="40"/>
      <c r="AK196" s="40"/>
      <c r="AL196" s="40"/>
      <c r="AM196" s="40"/>
    </row>
    <row r="197" spans="2:39" ht="21.9" customHeight="1" x14ac:dyDescent="0.25">
      <c r="B197" s="756" t="s">
        <v>321</v>
      </c>
      <c r="C197" s="273" t="s">
        <v>318</v>
      </c>
      <c r="D197" s="273" t="s">
        <v>308</v>
      </c>
      <c r="E197" s="273" t="s">
        <v>434</v>
      </c>
      <c r="F197" s="217" t="s">
        <v>40</v>
      </c>
      <c r="G197" s="754"/>
      <c r="H197" s="754"/>
      <c r="I197" s="749">
        <f>$H$22*$K$9*'Traffic Data'!AK19*annualizationFactor</f>
        <v>0</v>
      </c>
      <c r="J197" s="749">
        <f>$H$22*$K$9*'Traffic Data'!AL19*annualizationFactor</f>
        <v>0</v>
      </c>
      <c r="K197" s="749">
        <f>$H$22*$K$9*'Traffic Data'!AM19*annualizationFactor</f>
        <v>0</v>
      </c>
      <c r="L197" s="749">
        <f>$H$22*$K$9*'Traffic Data'!AN19*annualizationFactor</f>
        <v>0</v>
      </c>
      <c r="M197" s="749">
        <f>$H$22*$K$9*'Traffic Data'!AO19*annualizationFactor</f>
        <v>0</v>
      </c>
      <c r="N197" s="749">
        <f>$H$22*$K$9*'Traffic Data'!AP19*annualizationFactor</f>
        <v>0</v>
      </c>
      <c r="O197" s="749">
        <f>$H$22*$K$9*'Traffic Data'!AQ19*annualizationFactor</f>
        <v>0</v>
      </c>
      <c r="P197" s="749">
        <f>$H$22*$K$9*'Traffic Data'!AR19*annualizationFactor</f>
        <v>0</v>
      </c>
      <c r="Q197" s="749">
        <f>$H$22*$K$9*'Traffic Data'!AS19*annualizationFactor</f>
        <v>0</v>
      </c>
      <c r="R197" s="749">
        <f>$H$22*$K$9*'Traffic Data'!AT19*annualizationFactor</f>
        <v>0</v>
      </c>
      <c r="S197" s="749">
        <f>$H$22*$K$9*'Traffic Data'!AU19*annualizationFactor</f>
        <v>0</v>
      </c>
      <c r="T197" s="749">
        <f>$H$22*$K$9*'Traffic Data'!AV19*annualizationFactor</f>
        <v>0</v>
      </c>
      <c r="U197" s="749">
        <f>$H$22*$K$9*'Traffic Data'!AW19*annualizationFactor</f>
        <v>0</v>
      </c>
      <c r="V197" s="749">
        <f>$H$22*$K$9*'Traffic Data'!AX19*annualizationFactor</f>
        <v>0</v>
      </c>
      <c r="W197" s="749">
        <f>$H$22*$K$9*'Traffic Data'!AY19*annualizationFactor</f>
        <v>0</v>
      </c>
      <c r="X197" s="749">
        <f>$H$22*$K$9*'Traffic Data'!AZ19*annualizationFactor</f>
        <v>0</v>
      </c>
      <c r="Y197" s="749">
        <f>$H$22*$K$9*'Traffic Data'!BA19*annualizationFactor</f>
        <v>0</v>
      </c>
      <c r="Z197" s="749">
        <f>$H$22*$K$9*'Traffic Data'!BB19*annualizationFactor</f>
        <v>0</v>
      </c>
      <c r="AA197" s="749">
        <f>$H$22*$K$9*'Traffic Data'!BC19*annualizationFactor</f>
        <v>0</v>
      </c>
      <c r="AB197" s="749">
        <f>$H$22*$K$9*'Traffic Data'!BD19*annualizationFactor</f>
        <v>0</v>
      </c>
      <c r="AC197" s="749">
        <f>$H$22*$K$9*'Traffic Data'!BE19*annualizationFactor</f>
        <v>0</v>
      </c>
      <c r="AD197" s="749">
        <f>$H$22*$K$9*'Traffic Data'!BF19*annualizationFactor</f>
        <v>0</v>
      </c>
      <c r="AE197" s="749">
        <f>$H$22*$K$9*'Traffic Data'!BG19*annualizationFactor</f>
        <v>0</v>
      </c>
      <c r="AF197" s="749">
        <f>$H$22*$K$9*'Traffic Data'!BH19*annualizationFactor</f>
        <v>0</v>
      </c>
      <c r="AG197" s="749">
        <f>$H$22*$K$9*'Traffic Data'!BI19*annualizationFactor</f>
        <v>0</v>
      </c>
      <c r="AH197" s="750">
        <f>$H$22*$K$9*'Traffic Data'!BJ19*annualizationFactor</f>
        <v>0</v>
      </c>
      <c r="AI197" s="40"/>
      <c r="AJ197" s="40"/>
      <c r="AK197" s="40"/>
      <c r="AL197" s="40"/>
      <c r="AM197" s="40"/>
    </row>
    <row r="198" spans="2:39" ht="21.9" customHeight="1" x14ac:dyDescent="0.25">
      <c r="B198" s="756" t="s">
        <v>333</v>
      </c>
      <c r="C198" s="273" t="s">
        <v>319</v>
      </c>
      <c r="D198" s="273" t="s">
        <v>308</v>
      </c>
      <c r="E198" s="114" t="s">
        <v>434</v>
      </c>
      <c r="F198" s="217" t="s">
        <v>40</v>
      </c>
      <c r="G198" s="941"/>
      <c r="H198" s="941"/>
      <c r="I198" s="749">
        <f>$H$22*$L$9*'Traffic Data'!AK20*annualizationFactor</f>
        <v>8662.5951709090896</v>
      </c>
      <c r="J198" s="749">
        <f>$H$22*$L$9*'Traffic Data'!AL20*annualizationFactor</f>
        <v>8796.4803918283615</v>
      </c>
      <c r="K198" s="749">
        <f>$H$22*$L$9*'Traffic Data'!AM20*annualizationFactor</f>
        <v>9016.4621836407259</v>
      </c>
      <c r="L198" s="749">
        <f>$H$22*$L$9*'Traffic Data'!AN20*annualizationFactor</f>
        <v>9764.1163351832747</v>
      </c>
      <c r="M198" s="749">
        <f>$H$22*$L$9*'Traffic Data'!AO20*annualizationFactor</f>
        <v>10511.866737783272</v>
      </c>
      <c r="N198" s="749">
        <f>$H$22*$L$9*'Traffic Data'!AP20*annualizationFactor</f>
        <v>11260.48339990036</v>
      </c>
      <c r="O198" s="749">
        <f>$H$22*$L$9*'Traffic Data'!AQ20*annualizationFactor</f>
        <v>12008.137551442906</v>
      </c>
      <c r="P198" s="749">
        <f>$H$22*$L$9*'Traffic Data'!AR20*annualizationFactor</f>
        <v>12756.633899738179</v>
      </c>
      <c r="Q198" s="749">
        <f>$H$22*$L$9*'Traffic Data'!AS20*annualizationFactor</f>
        <v>13643.443017595633</v>
      </c>
      <c r="R198" s="749">
        <f>$H$22*$L$9*'Traffic Data'!AT20*annualizationFactor</f>
        <v>14530.059633338178</v>
      </c>
      <c r="S198" s="749">
        <f>$H$22*$L$9*'Traffic Data'!AU20*annualizationFactor</f>
        <v>15417.109378839268</v>
      </c>
      <c r="T198" s="749">
        <f>$H$22*$L$9*'Traffic Data'!AV20*annualizationFactor</f>
        <v>16303.918496696724</v>
      </c>
      <c r="U198" s="749">
        <f>$H$22*$L$9*'Traffic Data'!AW20*annualizationFactor</f>
        <v>17191.978878301088</v>
      </c>
      <c r="V198" s="749">
        <f>$H$22*$L$9*'Traffic Data'!AX20*annualizationFactor</f>
        <v>17550.610318376726</v>
      </c>
      <c r="W198" s="749">
        <f>$H$22*$L$9*'Traffic Data'!AY20*annualizationFactor</f>
        <v>17684.495539295996</v>
      </c>
      <c r="X198" s="749">
        <f>$H$22*$L$9*'Traffic Data'!AZ20*annualizationFactor</f>
        <v>17818.380760215274</v>
      </c>
      <c r="Y198" s="749">
        <f>$H$22*$L$9*'Traffic Data'!BA20*annualizationFactor</f>
        <v>17952.265981134544</v>
      </c>
      <c r="Z198" s="749">
        <f>$H$22*$L$9*'Traffic Data'!BB20*annualizationFactor</f>
        <v>18086.415892461813</v>
      </c>
      <c r="AA198" s="749">
        <f>$H$22*$L$9*'Traffic Data'!BC20*annualizationFactor</f>
        <v>18220.301113381091</v>
      </c>
      <c r="AB198" s="749">
        <f>$H$22*$L$9*'Traffic Data'!BD20*annualizationFactor</f>
        <v>18354.451024708364</v>
      </c>
      <c r="AC198" s="749">
        <f>$H$22*$L$9*'Traffic Data'!BE20*annualizationFactor</f>
        <v>18488.336245627634</v>
      </c>
      <c r="AD198" s="749">
        <f>$H$22*$L$9*'Traffic Data'!BF20*annualizationFactor</f>
        <v>18622.221466546911</v>
      </c>
      <c r="AE198" s="749">
        <f>$H$22*$L$9*'Traffic Data'!BG20*annualizationFactor</f>
        <v>18756.37137787418</v>
      </c>
      <c r="AF198" s="749">
        <f>$H$22*$L$9*'Traffic Data'!BH20*annualizationFactor</f>
        <v>18890.256598793458</v>
      </c>
      <c r="AG198" s="749">
        <f>$H$22*$L$9*'Traffic Data'!BI20*annualizationFactor</f>
        <v>19024.141819712728</v>
      </c>
      <c r="AH198" s="750">
        <f>$H$22*$L$9*'Traffic Data'!BJ20*annualizationFactor</f>
        <v>19158.291731040001</v>
      </c>
      <c r="AI198" s="40"/>
      <c r="AJ198" s="40"/>
      <c r="AK198" s="40"/>
      <c r="AL198" s="40"/>
      <c r="AM198" s="40"/>
    </row>
    <row r="199" spans="2:39" ht="21.9" customHeight="1" x14ac:dyDescent="0.25">
      <c r="B199" s="469" t="s">
        <v>319</v>
      </c>
      <c r="C199" s="114" t="s">
        <v>276</v>
      </c>
      <c r="D199" s="114" t="s">
        <v>333</v>
      </c>
      <c r="E199" s="217" t="s">
        <v>434</v>
      </c>
      <c r="F199" s="217" t="s">
        <v>40</v>
      </c>
      <c r="G199" s="749"/>
      <c r="H199" s="749"/>
      <c r="I199" s="749">
        <f>$H$22*$M$9*'Traffic Data'!AK21*annualizationFactor</f>
        <v>31110.559318181819</v>
      </c>
      <c r="J199" s="749">
        <f>$H$22*$M$9*'Traffic Data'!AL21*annualizationFactor</f>
        <v>32267.405466428412</v>
      </c>
      <c r="K199" s="749">
        <f>$H$22*$M$9*'Traffic Data'!AM21*annualizationFactor</f>
        <v>33498.854735920002</v>
      </c>
      <c r="L199" s="749">
        <f>$H$22*$M$9*'Traffic Data'!AN21*annualizationFactor</f>
        <v>36230.766281327502</v>
      </c>
      <c r="M199" s="749">
        <f>$H$22*$M$9*'Traffic Data'!AO21*annualizationFactor</f>
        <v>38963.362259040012</v>
      </c>
      <c r="N199" s="749">
        <f>$H$22*$M$9*'Traffic Data'!AP21*annualizationFactor</f>
        <v>41697.451543599782</v>
      </c>
      <c r="O199" s="749">
        <f>$H$22*$M$9*'Traffic Data'!AQ21*annualizationFactor</f>
        <v>44429.363089007296</v>
      </c>
      <c r="P199" s="749">
        <f>$H$22*$M$9*'Traffic Data'!AR21*annualizationFactor</f>
        <v>47163.670147482284</v>
      </c>
      <c r="Q199" s="749">
        <f>$H$22*$M$9*'Traffic Data'!AS21*annualizationFactor</f>
        <v>50839.693836518622</v>
      </c>
      <c r="R199" s="749">
        <f>$H$22*$M$9*'Traffic Data'!AT21*annualizationFactor</f>
        <v>54515.873078351586</v>
      </c>
      <c r="S199" s="749">
        <f>$H$22*$M$9*'Traffic Data'!AU21*annualizationFactor</f>
        <v>58191.896767387945</v>
      </c>
      <c r="T199" s="749">
        <f>$H$22*$M$9*'Traffic Data'!AV21*annualizationFactor</f>
        <v>61867.920456424312</v>
      </c>
      <c r="U199" s="749">
        <f>$H$22*$M$9*'Traffic Data'!AW21*annualizationFactor</f>
        <v>65547.366306985699</v>
      </c>
      <c r="V199" s="749">
        <f>$H$22*$M$9*'Traffic Data'!AX21*annualizationFactor</f>
        <v>67721.216639343635</v>
      </c>
      <c r="W199" s="749">
        <f>$H$22*$M$9*'Traffic Data'!AY21*annualizationFactor</f>
        <v>68878.062787590228</v>
      </c>
      <c r="X199" s="749">
        <f>$H$22*$M$9*'Traffic Data'!AZ21*annualizationFactor</f>
        <v>70034.908935836807</v>
      </c>
      <c r="Y199" s="749">
        <f>$H$22*$M$9*'Traffic Data'!BA21*annualizationFactor</f>
        <v>71191.755084083416</v>
      </c>
      <c r="Z199" s="749">
        <f>$H$22*$M$9*'Traffic Data'!BB21*annualizationFactor</f>
        <v>72349.223443516355</v>
      </c>
      <c r="AA199" s="749">
        <f>$H$22*$M$9*'Traffic Data'!BC21*annualizationFactor</f>
        <v>73506.069591762949</v>
      </c>
      <c r="AB199" s="749">
        <f>$H$22*$M$9*'Traffic Data'!BD21*annualizationFactor</f>
        <v>74663.537951195904</v>
      </c>
      <c r="AC199" s="749">
        <f>$H$22*$M$9*'Traffic Data'!BE21*annualizationFactor</f>
        <v>75820.384099442512</v>
      </c>
      <c r="AD199" s="749">
        <f>$H$22*$M$9*'Traffic Data'!BF21*annualizationFactor</f>
        <v>76977.230247689091</v>
      </c>
      <c r="AE199" s="749">
        <f>$H$22*$M$9*'Traffic Data'!BG21*annualizationFactor</f>
        <v>78134.698607122045</v>
      </c>
      <c r="AF199" s="749">
        <f>$H$22*$M$9*'Traffic Data'!BH21*annualizationFactor</f>
        <v>79291.544755368624</v>
      </c>
      <c r="AG199" s="749">
        <f>$H$22*$M$9*'Traffic Data'!BI21*annualizationFactor</f>
        <v>80448.390903615218</v>
      </c>
      <c r="AH199" s="750">
        <f>$H$22*$M$9*'Traffic Data'!BJ21*annualizationFactor</f>
        <v>81605.859263048187</v>
      </c>
      <c r="AI199" s="40"/>
      <c r="AJ199" s="40"/>
      <c r="AK199" s="40"/>
      <c r="AL199" s="40"/>
      <c r="AM199" s="40"/>
    </row>
    <row r="200" spans="2:39" ht="21.9" customHeight="1" x14ac:dyDescent="0.25">
      <c r="B200" s="469"/>
      <c r="C200" s="114" t="s">
        <v>333</v>
      </c>
      <c r="D200" s="114" t="s">
        <v>323</v>
      </c>
      <c r="E200" s="114" t="s">
        <v>434</v>
      </c>
      <c r="F200" s="114" t="s">
        <v>40</v>
      </c>
      <c r="G200" s="941"/>
      <c r="H200" s="941"/>
      <c r="I200" s="751">
        <f>$H$22*$M$9*'Traffic Data'!AK22*annualizationFactor</f>
        <v>4530.8376657575755</v>
      </c>
      <c r="J200" s="751">
        <f>$H$22*$M$9*'Traffic Data'!AL22*annualizationFactor</f>
        <v>4692.069908744962</v>
      </c>
      <c r="K200" s="751">
        <f>$H$22*$M$9*'Traffic Data'!AM22*annualizationFactor</f>
        <v>4867.5385206084393</v>
      </c>
      <c r="L200" s="751">
        <f>$H$22*$M$9*'Traffic Data'!AN22*annualizationFactor</f>
        <v>5203.0172416152509</v>
      </c>
      <c r="M200" s="751">
        <f>$H$22*$M$9*'Traffic Data'!AO22*annualizationFactor</f>
        <v>5538.627118449228</v>
      </c>
      <c r="N200" s="751">
        <f>$H$22*$M$9*'Traffic Data'!AP22*annualizationFactor</f>
        <v>5874.2846883112643</v>
      </c>
      <c r="O200" s="751">
        <f>$H$22*$M$9*'Traffic Data'!AQ22*annualizationFactor</f>
        <v>6209.763409318075</v>
      </c>
      <c r="P200" s="751">
        <f>$H$22*$M$9*'Traffic Data'!AR22*annualizationFactor</f>
        <v>6545.5223268647414</v>
      </c>
      <c r="Q200" s="751">
        <f>$H$22*$M$9*'Traffic Data'!AS22*annualizationFactor</f>
        <v>7006.1773616451192</v>
      </c>
      <c r="R200" s="751">
        <f>$H$22*$M$9*'Traffic Data'!AT22*annualizationFactor</f>
        <v>7466.921820853112</v>
      </c>
      <c r="S200" s="751">
        <f>$H$22*$M$9*'Traffic Data'!AU22*annualizationFactor</f>
        <v>7927.5172393484163</v>
      </c>
      <c r="T200" s="751">
        <f>$H$22*$M$9*'Traffic Data'!AV22*annualizationFactor</f>
        <v>8388.172274128794</v>
      </c>
      <c r="U200" s="751">
        <f>$H$22*$M$9*'Traffic Data'!AW22*annualizationFactor</f>
        <v>8849.1850066196275</v>
      </c>
      <c r="V200" s="751">
        <f>$H$22*$M$9*'Traffic Data'!AX22*annualizationFactor</f>
        <v>9149.621275258909</v>
      </c>
      <c r="W200" s="751">
        <f>$H$22*$M$9*'Traffic Data'!AY22*annualizationFactor</f>
        <v>9310.8535182462947</v>
      </c>
      <c r="X200" s="751">
        <f>$H$22*$M$9*'Traffic Data'!AZ22*annualizationFactor</f>
        <v>9472.0857612336804</v>
      </c>
      <c r="Y200" s="751">
        <f>$H$22*$M$9*'Traffic Data'!BA22*annualizationFactor</f>
        <v>9633.3180042210661</v>
      </c>
      <c r="Z200" s="751">
        <f>$H$22*$M$9*'Traffic Data'!BB22*annualizationFactor</f>
        <v>9794.6098634935297</v>
      </c>
      <c r="AA200" s="751">
        <f>$H$22*$M$9*'Traffic Data'!BC22*annualizationFactor</f>
        <v>9955.8421064809136</v>
      </c>
      <c r="AB200" s="751">
        <f>$H$22*$M$9*'Traffic Data'!BD22*annualizationFactor</f>
        <v>10117.133965753381</v>
      </c>
      <c r="AC200" s="751">
        <f>$H$22*$M$9*'Traffic Data'!BE22*annualizationFactor</f>
        <v>10278.366208740763</v>
      </c>
      <c r="AD200" s="751">
        <f>$H$22*$M$9*'Traffic Data'!BF22*annualizationFactor</f>
        <v>10439.598451728152</v>
      </c>
      <c r="AE200" s="751">
        <f>$H$22*$M$9*'Traffic Data'!BG22*annualizationFactor</f>
        <v>10600.890311000614</v>
      </c>
      <c r="AF200" s="751">
        <f>$H$22*$M$9*'Traffic Data'!BH22*annualizationFactor</f>
        <v>10762.122553988</v>
      </c>
      <c r="AG200" s="751">
        <f>$H$22*$M$9*'Traffic Data'!BI22*annualizationFactor</f>
        <v>10923.354796975385</v>
      </c>
      <c r="AH200" s="752">
        <f>$H$22*$M$9*'Traffic Data'!BJ22*annualizationFactor</f>
        <v>11084.646656247845</v>
      </c>
      <c r="AI200" s="40"/>
      <c r="AJ200" s="40"/>
      <c r="AK200" s="40"/>
      <c r="AL200" s="40"/>
      <c r="AM200" s="40"/>
    </row>
    <row r="201" spans="2:39" ht="21.9" customHeight="1" x14ac:dyDescent="0.25">
      <c r="B201" s="469"/>
      <c r="C201" s="114" t="s">
        <v>323</v>
      </c>
      <c r="D201" s="114" t="s">
        <v>322</v>
      </c>
      <c r="E201" s="114" t="s">
        <v>434</v>
      </c>
      <c r="F201" s="114" t="s">
        <v>40</v>
      </c>
      <c r="G201" s="941"/>
      <c r="H201" s="941"/>
      <c r="I201" s="751">
        <f>$H$22*$M$9*'Traffic Data'!AK23*annualizationFactor</f>
        <v>1120.5699090909091</v>
      </c>
      <c r="J201" s="751">
        <f>$H$22*$M$9*'Traffic Data'!AL23*annualizationFactor</f>
        <v>1160.4459790795454</v>
      </c>
      <c r="K201" s="751">
        <f>$H$22*$M$9*'Traffic Data'!AM23*annualizationFactor</f>
        <v>1203.8429976772727</v>
      </c>
      <c r="L201" s="751">
        <f>$H$22*$M$9*'Traffic Data'!AN23*annualizationFactor</f>
        <v>1286.8138272750002</v>
      </c>
      <c r="M201" s="751">
        <f>$H$22*$M$9*'Traffic Data'!AO23*annualizationFactor</f>
        <v>1369.8170944227275</v>
      </c>
      <c r="N201" s="751">
        <f>$H$22*$M$9*'Traffic Data'!AP23*annualizationFactor</f>
        <v>1452.8321570431817</v>
      </c>
      <c r="O201" s="751">
        <f>$H$22*$M$9*'Traffic Data'!AQ23*annualizationFactor</f>
        <v>1535.802986640909</v>
      </c>
      <c r="P201" s="751">
        <f>$H$22*$M$9*'Traffic Data'!AR23*annualizationFactor</f>
        <v>1618.8431146409089</v>
      </c>
      <c r="Q201" s="751">
        <f>$H$22*$M$9*'Traffic Data'!AS23*annualizationFactor</f>
        <v>1732.7726368454541</v>
      </c>
      <c r="R201" s="751">
        <f>$H$22*$M$9*'Traffic Data'!AT23*annualizationFactor</f>
        <v>1846.7242755613629</v>
      </c>
      <c r="S201" s="751">
        <f>$H$22*$M$9*'Traffic Data'!AU23*annualizationFactor</f>
        <v>1960.6390534249999</v>
      </c>
      <c r="T201" s="751">
        <f>$H$22*$M$9*'Traffic Data'!AV23*annualizationFactor</f>
        <v>2074.5685756295452</v>
      </c>
      <c r="U201" s="751">
        <f>$H$22*$M$9*'Traffic Data'!AW23*annualizationFactor</f>
        <v>2188.5865638795449</v>
      </c>
      <c r="V201" s="751">
        <f>$H$22*$M$9*'Traffic Data'!AX23*annualizationFactor</f>
        <v>2262.8906698909086</v>
      </c>
      <c r="W201" s="751">
        <f>$H$22*$M$9*'Traffic Data'!AY23*annualizationFactor</f>
        <v>2302.7667398795447</v>
      </c>
      <c r="X201" s="751">
        <f>$H$22*$M$9*'Traffic Data'!AZ23*annualizationFactor</f>
        <v>2342.6428098681813</v>
      </c>
      <c r="Y201" s="751">
        <f>$H$22*$M$9*'Traffic Data'!BA23*annualizationFactor</f>
        <v>2382.5188798568179</v>
      </c>
      <c r="Z201" s="751">
        <f>$H$22*$M$9*'Traffic Data'!BB23*annualizationFactor</f>
        <v>2422.4096941863631</v>
      </c>
      <c r="AA201" s="751">
        <f>$H$22*$M$9*'Traffic Data'!BC23*annualizationFactor</f>
        <v>2462.2857641749993</v>
      </c>
      <c r="AB201" s="751">
        <f>$H$22*$M$9*'Traffic Data'!BD23*annualizationFactor</f>
        <v>2502.1765785045454</v>
      </c>
      <c r="AC201" s="751">
        <f>$H$22*$M$9*'Traffic Data'!BE23*annualizationFactor</f>
        <v>2542.0526484931816</v>
      </c>
      <c r="AD201" s="751">
        <f>$H$22*$M$9*'Traffic Data'!BF23*annualizationFactor</f>
        <v>2581.9287184818181</v>
      </c>
      <c r="AE201" s="751">
        <f>$H$22*$M$9*'Traffic Data'!BG23*annualizationFactor</f>
        <v>2621.8195328113634</v>
      </c>
      <c r="AF201" s="751">
        <f>$H$22*$M$9*'Traffic Data'!BH23*annualizationFactor</f>
        <v>2661.6956028000004</v>
      </c>
      <c r="AG201" s="751">
        <f>$H$22*$M$9*'Traffic Data'!BI23*annualizationFactor</f>
        <v>2701.5716727886365</v>
      </c>
      <c r="AH201" s="752">
        <f>$H$22*$M$9*'Traffic Data'!BJ23*annualizationFactor</f>
        <v>2741.4624871181809</v>
      </c>
      <c r="AI201" s="40"/>
      <c r="AJ201" s="40"/>
      <c r="AK201" s="40"/>
      <c r="AL201" s="40"/>
      <c r="AM201" s="40"/>
    </row>
    <row r="202" spans="2:39" ht="21.9" customHeight="1" x14ac:dyDescent="0.25">
      <c r="B202" s="469"/>
      <c r="C202" s="114" t="s">
        <v>322</v>
      </c>
      <c r="D202" s="114" t="s">
        <v>326</v>
      </c>
      <c r="E202" s="114" t="s">
        <v>434</v>
      </c>
      <c r="F202" s="114" t="s">
        <v>40</v>
      </c>
      <c r="G202" s="941"/>
      <c r="H202" s="941"/>
      <c r="I202" s="751">
        <f>$H$22*$M$9*'Traffic Data'!AK24*annualizationFactor</f>
        <v>2875.1464772727272</v>
      </c>
      <c r="J202" s="751">
        <f>$H$22*$M$9*'Traffic Data'!AL24*annualizationFactor</f>
        <v>2974.1617300392045</v>
      </c>
      <c r="K202" s="751">
        <f>$H$22*$M$9*'Traffic Data'!AM24*annualizationFactor</f>
        <v>3084.6296496068176</v>
      </c>
      <c r="L202" s="751">
        <f>$H$22*$M$9*'Traffic Data'!AN24*annualizationFactor</f>
        <v>3277.6046892505683</v>
      </c>
      <c r="M202" s="751">
        <f>$H$22*$M$9*'Traffic Data'!AO24*annualizationFactor</f>
        <v>3470.6947347534092</v>
      </c>
      <c r="N202" s="751">
        <f>$H$22*$M$9*'Traffic Data'!AP24*annualizationFactor</f>
        <v>3663.7176935051148</v>
      </c>
      <c r="O202" s="751">
        <f>$H$22*$M$9*'Traffic Data'!AQ24*annualizationFactor</f>
        <v>3856.6927331488641</v>
      </c>
      <c r="P202" s="751">
        <f>$H$22*$M$9*'Traffic Data'!AR24*annualizationFactor</f>
        <v>4049.8642411352271</v>
      </c>
      <c r="Q202" s="751">
        <f>$H$22*$M$9*'Traffic Data'!AS24*annualizationFactor</f>
        <v>4298.6506658136368</v>
      </c>
      <c r="R202" s="751">
        <f>$H$22*$M$9*'Traffic Data'!AT24*annualizationFactor</f>
        <v>4547.576055905115</v>
      </c>
      <c r="S202" s="751">
        <f>$H$22*$M$9*'Traffic Data'!AU24*annualizationFactor</f>
        <v>4796.3145614755658</v>
      </c>
      <c r="T202" s="751">
        <f>$H$22*$M$9*'Traffic Data'!AV24*annualizationFactor</f>
        <v>5045.1009861539769</v>
      </c>
      <c r="U202" s="751">
        <f>$H$22*$M$9*'Traffic Data'!AW24*annualizationFactor</f>
        <v>5294.098254907386</v>
      </c>
      <c r="V202" s="751">
        <f>$H$22*$M$9*'Traffic Data'!AX24*annualizationFactor</f>
        <v>5460.2481779181826</v>
      </c>
      <c r="W202" s="751">
        <f>$H$22*$M$9*'Traffic Data'!AY24*annualizationFactor</f>
        <v>5559.2634306846603</v>
      </c>
      <c r="X202" s="751">
        <f>$H$22*$M$9*'Traffic Data'!AZ24*annualizationFactor</f>
        <v>5658.2786834511371</v>
      </c>
      <c r="Y202" s="751">
        <f>$H$22*$M$9*'Traffic Data'!BA24*annualizationFactor</f>
        <v>5757.2939362176166</v>
      </c>
      <c r="Z202" s="751">
        <f>$H$22*$M$9*'Traffic Data'!BB24*annualizationFactor</f>
        <v>5856.3666919136376</v>
      </c>
      <c r="AA202" s="751">
        <f>$H$22*$M$9*'Traffic Data'!BC24*annualizationFactor</f>
        <v>5955.3819446801144</v>
      </c>
      <c r="AB202" s="751">
        <f>$H$22*$M$9*'Traffic Data'!BD24*annualizationFactor</f>
        <v>6054.4547003761345</v>
      </c>
      <c r="AC202" s="751">
        <f>$H$22*$M$9*'Traffic Data'!BE24*annualizationFactor</f>
        <v>6153.469953142614</v>
      </c>
      <c r="AD202" s="751">
        <f>$H$22*$M$9*'Traffic Data'!BF24*annualizationFactor</f>
        <v>6252.4852059090899</v>
      </c>
      <c r="AE202" s="751">
        <f>$H$22*$M$9*'Traffic Data'!BG24*annualizationFactor</f>
        <v>6351.5579616051145</v>
      </c>
      <c r="AF202" s="751">
        <f>$H$22*$M$9*'Traffic Data'!BH24*annualizationFactor</f>
        <v>6450.5732143715904</v>
      </c>
      <c r="AG202" s="751">
        <f>$H$22*$M$9*'Traffic Data'!BI24*annualizationFactor</f>
        <v>6549.5884671380682</v>
      </c>
      <c r="AH202" s="752">
        <f>$H$22*$M$9*'Traffic Data'!BJ24*annualizationFactor</f>
        <v>6648.6612228340909</v>
      </c>
      <c r="AI202" s="40"/>
      <c r="AJ202" s="40"/>
      <c r="AK202" s="40"/>
      <c r="AL202" s="40"/>
      <c r="AM202" s="40"/>
    </row>
    <row r="203" spans="2:39" ht="21.9" customHeight="1" x14ac:dyDescent="0.25">
      <c r="B203" s="469"/>
      <c r="C203" s="114" t="s">
        <v>326</v>
      </c>
      <c r="D203" s="114" t="s">
        <v>274</v>
      </c>
      <c r="E203" s="114" t="s">
        <v>434</v>
      </c>
      <c r="F203" s="114" t="s">
        <v>40</v>
      </c>
      <c r="G203" s="941"/>
      <c r="H203" s="941"/>
      <c r="I203" s="751">
        <f>$H$22*$M$9*'Traffic Data'!AK25*annualizationFactor</f>
        <v>23871.087931818183</v>
      </c>
      <c r="J203" s="751">
        <f>$H$22*$M$9*'Traffic Data'!AL25*annualizationFactor</f>
        <v>24693.168415043448</v>
      </c>
      <c r="K203" s="751">
        <f>$H$22*$M$9*'Traffic Data'!AM25*annualizationFactor</f>
        <v>25610.335398530453</v>
      </c>
      <c r="L203" s="751">
        <f>$H$22*$M$9*'Traffic Data'!AN25*annualizationFactor</f>
        <v>27212.52303536754</v>
      </c>
      <c r="M203" s="751">
        <f>$H$22*$M$9*'Traffic Data'!AO25*annualizationFactor</f>
        <v>28815.665515721892</v>
      </c>
      <c r="N203" s="751">
        <f>$H$22*$M$9*'Traffic Data'!AP25*annualizationFactor</f>
        <v>30418.251004024518</v>
      </c>
      <c r="O203" s="751">
        <f>$H$22*$M$9*'Traffic Data'!AQ25*annualizationFactor</f>
        <v>32020.43864086159</v>
      </c>
      <c r="P203" s="751">
        <f>$H$22*$M$9*'Traffic Data'!AR25*annualizationFactor</f>
        <v>33624.25746870735</v>
      </c>
      <c r="Q203" s="751">
        <f>$H$22*$M$9*'Traffic Data'!AS25*annualizationFactor</f>
        <v>35689.82270744758</v>
      </c>
      <c r="R203" s="751">
        <f>$H$22*$M$9*'Traffic Data'!AT25*annualizationFactor</f>
        <v>37756.541715437852</v>
      </c>
      <c r="S203" s="751">
        <f>$H$22*$M$9*'Traffic Data'!AU25*annualizationFactor</f>
        <v>39821.709102712521</v>
      </c>
      <c r="T203" s="751">
        <f>$H$22*$M$9*'Traffic Data'!AV25*annualizationFactor</f>
        <v>41887.274341452765</v>
      </c>
      <c r="U203" s="751">
        <f>$H$22*$M$9*'Traffic Data'!AW25*annualizationFactor</f>
        <v>43954.590126641328</v>
      </c>
      <c r="V203" s="751">
        <f>$H$22*$M$9*'Traffic Data'!AX25*annualizationFactor</f>
        <v>45334.060513074546</v>
      </c>
      <c r="W203" s="751">
        <f>$H$22*$M$9*'Traffic Data'!AY25*annualizationFactor</f>
        <v>46156.140996299815</v>
      </c>
      <c r="X203" s="751">
        <f>$H$22*$M$9*'Traffic Data'!AZ25*annualizationFactor</f>
        <v>46978.221479525091</v>
      </c>
      <c r="Y203" s="751">
        <f>$H$22*$M$9*'Traffic Data'!BA25*annualizationFactor</f>
        <v>47800.301962750367</v>
      </c>
      <c r="Z203" s="751">
        <f>$H$22*$M$9*'Traffic Data'!BB25*annualizationFactor</f>
        <v>48622.85986773426</v>
      </c>
      <c r="AA203" s="751">
        <f>$H$22*$M$9*'Traffic Data'!BC25*annualizationFactor</f>
        <v>49444.940350959521</v>
      </c>
      <c r="AB203" s="751">
        <f>$H$22*$M$9*'Traffic Data'!BD25*annualizationFactor</f>
        <v>50267.498255943392</v>
      </c>
      <c r="AC203" s="751">
        <f>$H$22*$M$9*'Traffic Data'!BE25*annualizationFactor</f>
        <v>51089.578739168683</v>
      </c>
      <c r="AD203" s="751">
        <f>$H$22*$M$9*'Traffic Data'!BF25*annualizationFactor</f>
        <v>51911.659222393937</v>
      </c>
      <c r="AE203" s="751">
        <f>$H$22*$M$9*'Traffic Data'!BG25*annualizationFactor</f>
        <v>52734.217127377837</v>
      </c>
      <c r="AF203" s="751">
        <f>$H$22*$M$9*'Traffic Data'!BH25*annualizationFactor</f>
        <v>53556.297610603113</v>
      </c>
      <c r="AG203" s="751">
        <f>$H$22*$M$9*'Traffic Data'!BI25*annualizationFactor</f>
        <v>54378.378093828367</v>
      </c>
      <c r="AH203" s="752">
        <f>$H$22*$M$9*'Traffic Data'!BJ25*annualizationFactor</f>
        <v>55200.935998812274</v>
      </c>
      <c r="AI203" s="40"/>
      <c r="AJ203" s="40"/>
      <c r="AK203" s="40"/>
      <c r="AL203" s="40"/>
      <c r="AM203" s="40"/>
    </row>
    <row r="204" spans="2:39" ht="21.9" customHeight="1" x14ac:dyDescent="0.25">
      <c r="B204" s="470"/>
      <c r="C204" s="250" t="s">
        <v>274</v>
      </c>
      <c r="D204" s="250" t="s">
        <v>317</v>
      </c>
      <c r="E204" s="250" t="s">
        <v>434</v>
      </c>
      <c r="F204" s="250" t="s">
        <v>40</v>
      </c>
      <c r="G204" s="753"/>
      <c r="H204" s="753"/>
      <c r="I204" s="753">
        <f>$H$22*$M$9*'Traffic Data'!AK26*annualizationFactor</f>
        <v>589.77363636363634</v>
      </c>
      <c r="J204" s="753">
        <f>$H$22*$M$9*'Traffic Data'!AL26*annualizationFactor</f>
        <v>610.0844574439393</v>
      </c>
      <c r="K204" s="753">
        <f>$H$22*$M$9*'Traffic Data'!AM26*annualizationFactor</f>
        <v>632.7445435090907</v>
      </c>
      <c r="L204" s="753">
        <f>$H$22*$M$9*'Traffic Data'!AN26*annualizationFactor</f>
        <v>672.32916702575767</v>
      </c>
      <c r="M204" s="753">
        <f>$H$22*$M$9*'Traffic Data'!AO26*annualizationFactor</f>
        <v>711.93738148787884</v>
      </c>
      <c r="N204" s="753">
        <f>$H$22*$M$9*'Traffic Data'!AP26*annualizationFactor</f>
        <v>751.5318345651516</v>
      </c>
      <c r="O204" s="753">
        <f>$H$22*$M$9*'Traffic Data'!AQ26*annualizationFactor</f>
        <v>791.11645808181834</v>
      </c>
      <c r="P204" s="753">
        <f>$H$22*$M$9*'Traffic Data'!AR26*annualizationFactor</f>
        <v>830.74138279696979</v>
      </c>
      <c r="Q204" s="753">
        <f>$H$22*$M$9*'Traffic Data'!AS26*annualizationFactor</f>
        <v>881.77449555151532</v>
      </c>
      <c r="R204" s="753">
        <f>$H$22*$M$9*'Traffic Data'!AT26*annualizationFactor</f>
        <v>932.83611403181862</v>
      </c>
      <c r="S204" s="753">
        <f>$H$22*$M$9*'Traffic Data'!AU26*annualizationFactor</f>
        <v>983.85939722575722</v>
      </c>
      <c r="T204" s="753">
        <f>$H$22*$M$9*'Traffic Data'!AV26*annualizationFactor</f>
        <v>1034.892509980303</v>
      </c>
      <c r="U204" s="753">
        <f>$H$22*$M$9*'Traffic Data'!AW26*annualizationFactor</f>
        <v>1085.9688728015151</v>
      </c>
      <c r="V204" s="753">
        <f>$H$22*$M$9*'Traffic Data'!AX26*annualizationFactor</f>
        <v>1120.0509082909093</v>
      </c>
      <c r="W204" s="753">
        <f>$H$22*$M$9*'Traffic Data'!AY26*annualizationFactor</f>
        <v>1140.3617293712125</v>
      </c>
      <c r="X204" s="753">
        <f>$H$22*$M$9*'Traffic Data'!AZ26*annualizationFactor</f>
        <v>1160.6725504515155</v>
      </c>
      <c r="Y204" s="753">
        <f>$H$22*$M$9*'Traffic Data'!BA26*annualizationFactor</f>
        <v>1180.9833715318186</v>
      </c>
      <c r="Z204" s="753">
        <f>$H$22*$M$9*'Traffic Data'!BB26*annualizationFactor</f>
        <v>1201.3059880848489</v>
      </c>
      <c r="AA204" s="753">
        <f>$H$22*$M$9*'Traffic Data'!BC26*annualizationFactor</f>
        <v>1221.6168091651516</v>
      </c>
      <c r="AB204" s="753">
        <f>$H$22*$M$9*'Traffic Data'!BD26*annualizationFactor</f>
        <v>1241.9394257181818</v>
      </c>
      <c r="AC204" s="753">
        <f>$H$22*$M$9*'Traffic Data'!BE26*annualizationFactor</f>
        <v>1262.250246798485</v>
      </c>
      <c r="AD204" s="753">
        <f>$H$22*$M$9*'Traffic Data'!BF26*annualizationFactor</f>
        <v>1282.561067878788</v>
      </c>
      <c r="AE204" s="753">
        <f>$H$22*$M$9*'Traffic Data'!BG26*annualizationFactor</f>
        <v>1302.8836844318182</v>
      </c>
      <c r="AF204" s="753">
        <f>$H$22*$M$9*'Traffic Data'!BH26*annualizationFactor</f>
        <v>1323.1945055121214</v>
      </c>
      <c r="AG204" s="753">
        <f>$H$22*$M$9*'Traffic Data'!BI26*annualizationFactor</f>
        <v>1343.5053265924244</v>
      </c>
      <c r="AH204" s="757">
        <f>$H$22*$M$9*'Traffic Data'!BJ26*annualizationFactor</f>
        <v>1363.8279431454546</v>
      </c>
      <c r="AI204" s="40"/>
      <c r="AJ204" s="40"/>
      <c r="AK204" s="40"/>
      <c r="AL204" s="40"/>
      <c r="AM204" s="40"/>
    </row>
    <row r="205" spans="2:39" ht="21.9" customHeight="1" thickBot="1" x14ac:dyDescent="0.3">
      <c r="B205" s="761" t="s">
        <v>464</v>
      </c>
      <c r="C205" s="762"/>
      <c r="D205" s="762"/>
      <c r="E205" s="762"/>
      <c r="F205" s="762"/>
      <c r="G205" s="763">
        <f t="shared" ref="G205:AH205" si="7">SUM(G185:G204)</f>
        <v>0</v>
      </c>
      <c r="H205" s="763">
        <f t="shared" si="7"/>
        <v>0</v>
      </c>
      <c r="I205" s="763">
        <f t="shared" si="7"/>
        <v>281568.43098777125</v>
      </c>
      <c r="J205" s="763">
        <f t="shared" si="7"/>
        <v>297685.3698757161</v>
      </c>
      <c r="K205" s="763">
        <f t="shared" si="7"/>
        <v>319580.85814910562</v>
      </c>
      <c r="L205" s="763">
        <f t="shared" si="7"/>
        <v>365012.37607310223</v>
      </c>
      <c r="M205" s="763">
        <f t="shared" si="7"/>
        <v>410461.72412263078</v>
      </c>
      <c r="N205" s="763">
        <f t="shared" si="7"/>
        <v>455923.43464982038</v>
      </c>
      <c r="O205" s="763">
        <f t="shared" si="7"/>
        <v>501354.95257381687</v>
      </c>
      <c r="P205" s="763">
        <f t="shared" si="7"/>
        <v>546832.03821170051</v>
      </c>
      <c r="Q205" s="763">
        <f t="shared" si="7"/>
        <v>601997.54235125508</v>
      </c>
      <c r="R205" s="763">
        <f t="shared" si="7"/>
        <v>657173.5719199233</v>
      </c>
      <c r="S205" s="763">
        <f t="shared" si="7"/>
        <v>712336.92039948457</v>
      </c>
      <c r="T205" s="763">
        <f t="shared" si="7"/>
        <v>767502.42453903914</v>
      </c>
      <c r="U205" s="763">
        <f t="shared" si="7"/>
        <v>822723.37971193704</v>
      </c>
      <c r="V205" s="763">
        <f t="shared" si="7"/>
        <v>854324.41415477637</v>
      </c>
      <c r="W205" s="763">
        <f t="shared" si="7"/>
        <v>870440.62644160143</v>
      </c>
      <c r="X205" s="763">
        <f t="shared" si="7"/>
        <v>886557.56532954634</v>
      </c>
      <c r="Y205" s="763">
        <f t="shared" si="7"/>
        <v>902674.50421749172</v>
      </c>
      <c r="Z205" s="763">
        <f t="shared" si="7"/>
        <v>918803.72109163494</v>
      </c>
      <c r="AA205" s="763">
        <f t="shared" si="7"/>
        <v>934920.65997957962</v>
      </c>
      <c r="AB205" s="763">
        <f t="shared" si="7"/>
        <v>951049.87685372308</v>
      </c>
      <c r="AC205" s="763">
        <f t="shared" si="7"/>
        <v>967166.81574166846</v>
      </c>
      <c r="AD205" s="763">
        <f t="shared" si="7"/>
        <v>983283.75462961313</v>
      </c>
      <c r="AE205" s="763">
        <f t="shared" si="7"/>
        <v>999412.24490263686</v>
      </c>
      <c r="AF205" s="763">
        <f t="shared" si="7"/>
        <v>1015529.1837905818</v>
      </c>
      <c r="AG205" s="763">
        <f t="shared" si="7"/>
        <v>1031646.1226785267</v>
      </c>
      <c r="AH205" s="764">
        <f t="shared" si="7"/>
        <v>1047775.3395526703</v>
      </c>
      <c r="AI205" s="40"/>
      <c r="AJ205" s="40"/>
      <c r="AK205" s="40"/>
      <c r="AL205" s="40"/>
      <c r="AM205" s="40"/>
    </row>
    <row r="206" spans="2:39" ht="21.9" customHeight="1" x14ac:dyDescent="0.25">
      <c r="B206" s="114"/>
      <c r="C206" s="114"/>
      <c r="D206" s="114"/>
      <c r="E206" s="114"/>
      <c r="F206" s="114"/>
      <c r="G206" s="939"/>
      <c r="H206" s="939"/>
      <c r="I206" s="765"/>
      <c r="J206" s="765"/>
      <c r="K206" s="765"/>
      <c r="L206" s="765"/>
      <c r="M206" s="765"/>
      <c r="N206" s="765"/>
      <c r="O206" s="765"/>
      <c r="P206" s="765"/>
      <c r="Q206" s="765"/>
      <c r="R206" s="765"/>
      <c r="S206" s="765"/>
      <c r="T206" s="765"/>
      <c r="U206" s="765"/>
      <c r="V206" s="765"/>
      <c r="W206" s="765"/>
      <c r="X206" s="765"/>
      <c r="Y206" s="765"/>
      <c r="Z206" s="765"/>
      <c r="AA206" s="765"/>
      <c r="AB206" s="765"/>
      <c r="AC206" s="765"/>
      <c r="AD206" s="765"/>
      <c r="AE206" s="765"/>
      <c r="AF206" s="765"/>
      <c r="AG206" s="765"/>
      <c r="AH206" s="765"/>
      <c r="AI206" s="39"/>
      <c r="AJ206" s="39"/>
      <c r="AK206" s="39"/>
      <c r="AL206" s="39"/>
      <c r="AM206" s="39"/>
    </row>
    <row r="207" spans="2:39" ht="21.9" customHeight="1" x14ac:dyDescent="0.25">
      <c r="B207" s="114"/>
      <c r="C207" s="114"/>
      <c r="D207" s="114"/>
      <c r="E207" s="114"/>
      <c r="F207" s="114"/>
      <c r="G207" s="939"/>
      <c r="H207" s="939"/>
      <c r="I207" s="765"/>
      <c r="J207" s="765"/>
      <c r="K207" s="765"/>
      <c r="L207" s="765"/>
      <c r="M207" s="765"/>
      <c r="N207" s="765"/>
      <c r="O207" s="765"/>
      <c r="P207" s="765"/>
      <c r="Q207" s="765"/>
      <c r="R207" s="765"/>
      <c r="S207" s="765"/>
      <c r="T207" s="765"/>
      <c r="U207" s="765"/>
      <c r="V207" s="765"/>
      <c r="W207" s="765"/>
      <c r="X207" s="765"/>
      <c r="Y207" s="765"/>
      <c r="Z207" s="765"/>
      <c r="AA207" s="765"/>
      <c r="AB207" s="765"/>
      <c r="AC207" s="765"/>
      <c r="AD207" s="765"/>
      <c r="AE207" s="765"/>
      <c r="AF207" s="765"/>
      <c r="AG207" s="765"/>
      <c r="AH207" s="765"/>
      <c r="AI207" s="39"/>
      <c r="AJ207" s="39"/>
      <c r="AK207" s="39"/>
      <c r="AL207" s="39"/>
      <c r="AM207" s="39"/>
    </row>
    <row r="208" spans="2:39" ht="21.9" customHeight="1" thickBot="1" x14ac:dyDescent="0.3">
      <c r="B208" s="523" t="s">
        <v>466</v>
      </c>
      <c r="C208" s="114"/>
      <c r="D208" s="114"/>
      <c r="E208" s="114"/>
      <c r="F208" s="114"/>
      <c r="G208" s="939"/>
      <c r="H208" s="939"/>
      <c r="I208" s="765"/>
      <c r="J208" s="765"/>
      <c r="K208" s="765"/>
      <c r="L208" s="765"/>
      <c r="M208" s="765"/>
      <c r="N208" s="765"/>
      <c r="O208" s="765"/>
      <c r="P208" s="765"/>
      <c r="Q208" s="765"/>
      <c r="R208" s="765"/>
      <c r="S208" s="765"/>
      <c r="T208" s="765"/>
      <c r="U208" s="765"/>
      <c r="V208" s="765"/>
      <c r="W208" s="765"/>
      <c r="X208" s="765"/>
      <c r="Y208" s="765"/>
      <c r="Z208" s="765"/>
      <c r="AA208" s="765"/>
      <c r="AB208" s="765"/>
      <c r="AC208" s="765"/>
      <c r="AD208" s="765"/>
      <c r="AE208" s="765"/>
      <c r="AF208" s="765"/>
      <c r="AG208" s="765"/>
      <c r="AH208" s="765"/>
      <c r="AI208" s="39"/>
      <c r="AJ208" s="39"/>
      <c r="AK208" s="39"/>
      <c r="AL208" s="39"/>
      <c r="AM208" s="39"/>
    </row>
    <row r="209" spans="2:39" ht="21.9" customHeight="1" x14ac:dyDescent="0.25">
      <c r="B209" s="548" t="s">
        <v>312</v>
      </c>
      <c r="C209" s="1331" t="s">
        <v>18</v>
      </c>
      <c r="D209" s="1331"/>
      <c r="E209" s="197" t="s">
        <v>24</v>
      </c>
      <c r="F209" s="197" t="s">
        <v>42</v>
      </c>
      <c r="G209" s="459">
        <v>2021</v>
      </c>
      <c r="H209" s="459">
        <v>2022</v>
      </c>
      <c r="I209" s="459">
        <v>2023</v>
      </c>
      <c r="J209" s="459">
        <v>2024</v>
      </c>
      <c r="K209" s="459">
        <v>2025</v>
      </c>
      <c r="L209" s="459">
        <v>2026</v>
      </c>
      <c r="M209" s="459">
        <v>2027</v>
      </c>
      <c r="N209" s="459">
        <v>2028</v>
      </c>
      <c r="O209" s="459">
        <v>2029</v>
      </c>
      <c r="P209" s="459">
        <v>2030</v>
      </c>
      <c r="Q209" s="459">
        <v>2031</v>
      </c>
      <c r="R209" s="459">
        <v>2032</v>
      </c>
      <c r="S209" s="459">
        <v>2033</v>
      </c>
      <c r="T209" s="459">
        <v>2034</v>
      </c>
      <c r="U209" s="459">
        <v>2035</v>
      </c>
      <c r="V209" s="459">
        <v>2036</v>
      </c>
      <c r="W209" s="459">
        <v>2037</v>
      </c>
      <c r="X209" s="459">
        <v>2038</v>
      </c>
      <c r="Y209" s="459">
        <v>2039</v>
      </c>
      <c r="Z209" s="459">
        <v>2040</v>
      </c>
      <c r="AA209" s="459">
        <v>2041</v>
      </c>
      <c r="AB209" s="459">
        <v>2042</v>
      </c>
      <c r="AC209" s="459">
        <v>2043</v>
      </c>
      <c r="AD209" s="459">
        <v>2044</v>
      </c>
      <c r="AE209" s="459">
        <v>2045</v>
      </c>
      <c r="AF209" s="459">
        <v>2046</v>
      </c>
      <c r="AG209" s="459">
        <v>2047</v>
      </c>
      <c r="AH209" s="459">
        <v>2048</v>
      </c>
      <c r="AI209" s="247"/>
      <c r="AJ209" s="247"/>
      <c r="AK209" s="247"/>
      <c r="AL209" s="247"/>
      <c r="AM209" s="247"/>
    </row>
    <row r="210" spans="2:39" ht="21.9" customHeight="1" x14ac:dyDescent="0.25">
      <c r="B210" s="1332" t="s">
        <v>43</v>
      </c>
      <c r="C210" s="217"/>
      <c r="D210" s="217"/>
      <c r="E210" s="217" t="s">
        <v>19</v>
      </c>
      <c r="F210" s="217"/>
      <c r="G210" s="749">
        <f t="shared" ref="G210:AH210" si="8">G51</f>
        <v>0</v>
      </c>
      <c r="H210" s="749">
        <f t="shared" si="8"/>
        <v>0</v>
      </c>
      <c r="I210" s="749">
        <f>I51</f>
        <v>34.982339707783332</v>
      </c>
      <c r="J210" s="749">
        <f t="shared" si="8"/>
        <v>36.979975279854322</v>
      </c>
      <c r="K210" s="749">
        <f t="shared" si="8"/>
        <v>39.673258546080177</v>
      </c>
      <c r="L210" s="749">
        <f t="shared" si="8"/>
        <v>45.232757228466944</v>
      </c>
      <c r="M210" s="749">
        <f t="shared" si="8"/>
        <v>50.794432702918719</v>
      </c>
      <c r="N210" s="749">
        <f t="shared" si="8"/>
        <v>56.357599162836735</v>
      </c>
      <c r="O210" s="749">
        <f t="shared" si="8"/>
        <v>61.917097845223509</v>
      </c>
      <c r="P210" s="749">
        <f t="shared" si="8"/>
        <v>67.48216042575136</v>
      </c>
      <c r="Q210" s="749">
        <f t="shared" si="8"/>
        <v>74.224663402217672</v>
      </c>
      <c r="R210" s="749">
        <f t="shared" si="8"/>
        <v>80.968478700232453</v>
      </c>
      <c r="S210" s="749">
        <f t="shared" si="8"/>
        <v>87.710728865105651</v>
      </c>
      <c r="T210" s="749">
        <f t="shared" si="8"/>
        <v>94.453231841572006</v>
      </c>
      <c r="U210" s="749">
        <f t="shared" si="8"/>
        <v>101.20250619870359</v>
      </c>
      <c r="V210" s="749">
        <f t="shared" si="8"/>
        <v>105.07532427005985</v>
      </c>
      <c r="W210" s="749">
        <f t="shared" si="8"/>
        <v>107.07287462777082</v>
      </c>
      <c r="X210" s="749">
        <f t="shared" si="8"/>
        <v>109.07051019984182</v>
      </c>
      <c r="Y210" s="749">
        <f t="shared" si="8"/>
        <v>111.06814577191281</v>
      </c>
      <c r="Z210" s="749">
        <f t="shared" si="8"/>
        <v>113.06729195411427</v>
      </c>
      <c r="AA210" s="749">
        <f t="shared" si="8"/>
        <v>115.06492752618523</v>
      </c>
      <c r="AB210" s="749">
        <f t="shared" si="8"/>
        <v>117.06407370838666</v>
      </c>
      <c r="AC210" s="749">
        <f t="shared" si="8"/>
        <v>119.06170928045768</v>
      </c>
      <c r="AD210" s="749">
        <f t="shared" si="8"/>
        <v>121.05934485252864</v>
      </c>
      <c r="AE210" s="749">
        <f t="shared" si="8"/>
        <v>123.05840582037008</v>
      </c>
      <c r="AF210" s="749">
        <f t="shared" si="8"/>
        <v>125.05604139244112</v>
      </c>
      <c r="AG210" s="749">
        <f t="shared" si="8"/>
        <v>127.05367696451206</v>
      </c>
      <c r="AH210" s="750">
        <f t="shared" si="8"/>
        <v>129.05282314671351</v>
      </c>
      <c r="AI210" s="39"/>
      <c r="AJ210" s="39"/>
      <c r="AK210" s="39"/>
      <c r="AL210" s="39"/>
      <c r="AM210" s="39"/>
    </row>
    <row r="211" spans="2:39" ht="21.9" customHeight="1" x14ac:dyDescent="0.25">
      <c r="B211" s="1332"/>
      <c r="C211" s="114"/>
      <c r="D211" s="114"/>
      <c r="E211" s="114" t="s">
        <v>434</v>
      </c>
      <c r="F211" s="114"/>
      <c r="G211" s="751">
        <f t="shared" ref="G211:AH211" si="9">G73</f>
        <v>0</v>
      </c>
      <c r="H211" s="751">
        <f t="shared" si="9"/>
        <v>0</v>
      </c>
      <c r="I211" s="751">
        <f t="shared" si="9"/>
        <v>6.0831707831272741</v>
      </c>
      <c r="J211" s="751">
        <f t="shared" si="9"/>
        <v>6.4313706555797818</v>
      </c>
      <c r="K211" s="751">
        <f t="shared" si="9"/>
        <v>6.9044137239370187</v>
      </c>
      <c r="L211" s="751">
        <f t="shared" si="9"/>
        <v>7.8859430860848008</v>
      </c>
      <c r="M211" s="751">
        <f t="shared" si="9"/>
        <v>8.8678576608017483</v>
      </c>
      <c r="N211" s="751">
        <f t="shared" si="9"/>
        <v>9.8500393217920053</v>
      </c>
      <c r="O211" s="751">
        <f t="shared" si="9"/>
        <v>10.83156868393978</v>
      </c>
      <c r="P211" s="751">
        <f t="shared" si="9"/>
        <v>11.814082517907782</v>
      </c>
      <c r="Q211" s="751">
        <f t="shared" si="9"/>
        <v>13.005910670804655</v>
      </c>
      <c r="R211" s="751">
        <f t="shared" si="9"/>
        <v>14.197966221292367</v>
      </c>
      <c r="S211" s="751">
        <f t="shared" si="9"/>
        <v>15.389747802036799</v>
      </c>
      <c r="T211" s="751">
        <f t="shared" si="9"/>
        <v>16.581575954933669</v>
      </c>
      <c r="U211" s="751">
        <f t="shared" si="9"/>
        <v>17.774602104725098</v>
      </c>
      <c r="V211" s="751">
        <f t="shared" si="9"/>
        <v>18.45732952826793</v>
      </c>
      <c r="W211" s="751">
        <f t="shared" si="9"/>
        <v>18.80551370280044</v>
      </c>
      <c r="X211" s="751">
        <f t="shared" si="9"/>
        <v>19.153713575252944</v>
      </c>
      <c r="Y211" s="751">
        <f t="shared" si="9"/>
        <v>19.501913447705451</v>
      </c>
      <c r="Z211" s="751">
        <f t="shared" si="9"/>
        <v>19.850378581027783</v>
      </c>
      <c r="AA211" s="751">
        <f t="shared" si="9"/>
        <v>20.198578453480295</v>
      </c>
      <c r="AB211" s="751">
        <f t="shared" si="9"/>
        <v>20.547043586802616</v>
      </c>
      <c r="AC211" s="751">
        <f t="shared" si="9"/>
        <v>20.895243459255131</v>
      </c>
      <c r="AD211" s="751">
        <f t="shared" si="9"/>
        <v>21.243443331707642</v>
      </c>
      <c r="AE211" s="751">
        <f t="shared" si="9"/>
        <v>21.591892767109965</v>
      </c>
      <c r="AF211" s="751">
        <f t="shared" si="9"/>
        <v>21.940092639562483</v>
      </c>
      <c r="AG211" s="751">
        <f t="shared" si="9"/>
        <v>22.288292512014976</v>
      </c>
      <c r="AH211" s="752">
        <f t="shared" si="9"/>
        <v>22.636757645337308</v>
      </c>
      <c r="AI211" s="39"/>
      <c r="AJ211" s="39"/>
      <c r="AK211" s="39"/>
      <c r="AL211" s="39"/>
      <c r="AM211" s="39"/>
    </row>
    <row r="212" spans="2:39" ht="21.9" customHeight="1" x14ac:dyDescent="0.25">
      <c r="B212" s="1332"/>
      <c r="C212" s="114"/>
      <c r="D212" s="114"/>
      <c r="E212" s="746" t="s">
        <v>25</v>
      </c>
      <c r="F212" s="237"/>
      <c r="G212" s="766">
        <f>G210+G211</f>
        <v>0</v>
      </c>
      <c r="H212" s="766">
        <f>H210+H211</f>
        <v>0</v>
      </c>
      <c r="I212" s="766">
        <f t="shared" ref="I212:AH212" si="10">I210+I211</f>
        <v>41.065510490910604</v>
      </c>
      <c r="J212" s="766">
        <f t="shared" si="10"/>
        <v>43.411345935434106</v>
      </c>
      <c r="K212" s="766">
        <f t="shared" si="10"/>
        <v>46.577672270017196</v>
      </c>
      <c r="L212" s="766">
        <f t="shared" si="10"/>
        <v>53.118700314551745</v>
      </c>
      <c r="M212" s="766">
        <f t="shared" si="10"/>
        <v>59.662290363720466</v>
      </c>
      <c r="N212" s="766">
        <f t="shared" si="10"/>
        <v>66.207638484628745</v>
      </c>
      <c r="O212" s="766">
        <f t="shared" si="10"/>
        <v>72.748666529163287</v>
      </c>
      <c r="P212" s="766">
        <f t="shared" si="10"/>
        <v>79.296242943659138</v>
      </c>
      <c r="Q212" s="766">
        <f t="shared" si="10"/>
        <v>87.230574073022325</v>
      </c>
      <c r="R212" s="766">
        <f t="shared" si="10"/>
        <v>95.166444921524814</v>
      </c>
      <c r="S212" s="766">
        <f t="shared" si="10"/>
        <v>103.10047666714244</v>
      </c>
      <c r="T212" s="766">
        <f t="shared" si="10"/>
        <v>111.03480779650567</v>
      </c>
      <c r="U212" s="766">
        <f t="shared" si="10"/>
        <v>118.97710830342868</v>
      </c>
      <c r="V212" s="766">
        <f t="shared" si="10"/>
        <v>123.53265379832779</v>
      </c>
      <c r="W212" s="766">
        <f t="shared" si="10"/>
        <v>125.87838833057125</v>
      </c>
      <c r="X212" s="766">
        <f t="shared" si="10"/>
        <v>128.22422377509477</v>
      </c>
      <c r="Y212" s="766">
        <f t="shared" si="10"/>
        <v>130.57005921961826</v>
      </c>
      <c r="Z212" s="766">
        <f t="shared" si="10"/>
        <v>132.91767053514207</v>
      </c>
      <c r="AA212" s="766">
        <f t="shared" si="10"/>
        <v>135.26350597966552</v>
      </c>
      <c r="AB212" s="766">
        <f t="shared" si="10"/>
        <v>137.61111729518927</v>
      </c>
      <c r="AC212" s="766">
        <f t="shared" si="10"/>
        <v>139.95695273971282</v>
      </c>
      <c r="AD212" s="766">
        <f t="shared" si="10"/>
        <v>142.30278818423628</v>
      </c>
      <c r="AE212" s="766">
        <f t="shared" si="10"/>
        <v>144.65029858748005</v>
      </c>
      <c r="AF212" s="766">
        <f t="shared" si="10"/>
        <v>146.9961340320036</v>
      </c>
      <c r="AG212" s="766">
        <f t="shared" si="10"/>
        <v>149.34196947652703</v>
      </c>
      <c r="AH212" s="767">
        <f t="shared" si="10"/>
        <v>151.6895807920508</v>
      </c>
      <c r="AI212" s="39"/>
      <c r="AJ212" s="39"/>
      <c r="AK212" s="39"/>
      <c r="AL212" s="39"/>
      <c r="AM212" s="39"/>
    </row>
    <row r="213" spans="2:39" ht="21.9" customHeight="1" x14ac:dyDescent="0.25">
      <c r="B213" s="1332" t="s">
        <v>405</v>
      </c>
      <c r="C213" s="217"/>
      <c r="D213" s="217"/>
      <c r="E213" s="217" t="s">
        <v>19</v>
      </c>
      <c r="F213" s="217"/>
      <c r="G213" s="751">
        <f t="shared" ref="G213:AH213" si="11">G95</f>
        <v>0</v>
      </c>
      <c r="H213" s="751">
        <f t="shared" si="11"/>
        <v>0</v>
      </c>
      <c r="I213" s="751">
        <f t="shared" si="11"/>
        <v>7.4898565448619841E-3</v>
      </c>
      <c r="J213" s="751">
        <f t="shared" si="11"/>
        <v>7.9175581791353505E-3</v>
      </c>
      <c r="K213" s="751">
        <f t="shared" si="11"/>
        <v>8.4942007212641373E-3</v>
      </c>
      <c r="L213" s="751">
        <f t="shared" si="11"/>
        <v>9.6845112591027946E-3</v>
      </c>
      <c r="M213" s="751">
        <f t="shared" si="11"/>
        <v>1.087528785668563E-2</v>
      </c>
      <c r="N213" s="751">
        <f t="shared" si="11"/>
        <v>1.2066383680122011E-2</v>
      </c>
      <c r="O213" s="751">
        <f t="shared" si="11"/>
        <v>1.325669421796067E-2</v>
      </c>
      <c r="P213" s="751">
        <f t="shared" si="11"/>
        <v>1.444819600827857E-2</v>
      </c>
      <c r="Q213" s="751">
        <f t="shared" si="11"/>
        <v>1.5891792419178492E-2</v>
      </c>
      <c r="R213" s="751">
        <f t="shared" si="11"/>
        <v>1.7335669803284336E-2</v>
      </c>
      <c r="S213" s="751">
        <f t="shared" si="11"/>
        <v>1.8779212086227667E-2</v>
      </c>
      <c r="T213" s="751">
        <f t="shared" si="11"/>
        <v>2.0222808497127584E-2</v>
      </c>
      <c r="U213" s="751">
        <f t="shared" si="11"/>
        <v>2.1667854687265172E-2</v>
      </c>
      <c r="V213" s="751">
        <f t="shared" si="11"/>
        <v>2.2497040271222943E-2</v>
      </c>
      <c r="W213" s="751">
        <f t="shared" si="11"/>
        <v>2.292472366076662E-2</v>
      </c>
      <c r="X213" s="751">
        <f t="shared" si="11"/>
        <v>2.3352425295039985E-2</v>
      </c>
      <c r="Y213" s="751">
        <f t="shared" si="11"/>
        <v>2.3780126929313347E-2</v>
      </c>
      <c r="Z213" s="751">
        <f t="shared" si="11"/>
        <v>2.4208151991158076E-2</v>
      </c>
      <c r="AA213" s="751">
        <f t="shared" si="11"/>
        <v>2.4635853625431442E-2</v>
      </c>
      <c r="AB213" s="751">
        <f t="shared" si="11"/>
        <v>2.5063878687276178E-2</v>
      </c>
      <c r="AC213" s="751">
        <f t="shared" si="11"/>
        <v>2.5491580321549547E-2</v>
      </c>
      <c r="AD213" s="751">
        <f t="shared" si="11"/>
        <v>2.5919281955822909E-2</v>
      </c>
      <c r="AE213" s="751">
        <f t="shared" si="11"/>
        <v>2.634728877293795E-2</v>
      </c>
      <c r="AF213" s="751">
        <f t="shared" si="11"/>
        <v>2.6774990407211319E-2</v>
      </c>
      <c r="AG213" s="751">
        <f t="shared" si="11"/>
        <v>2.7202692041484677E-2</v>
      </c>
      <c r="AH213" s="752">
        <f t="shared" si="11"/>
        <v>2.7630717103329417E-2</v>
      </c>
      <c r="AI213" s="39"/>
      <c r="AJ213" s="39"/>
      <c r="AK213" s="39"/>
      <c r="AL213" s="39"/>
      <c r="AM213" s="39"/>
    </row>
    <row r="214" spans="2:39" ht="21.9" customHeight="1" x14ac:dyDescent="0.25">
      <c r="B214" s="1332"/>
      <c r="C214" s="114"/>
      <c r="D214" s="114"/>
      <c r="E214" s="114" t="s">
        <v>434</v>
      </c>
      <c r="F214" s="114"/>
      <c r="G214" s="751">
        <f t="shared" ref="G214:AH214" si="12">G117</f>
        <v>0</v>
      </c>
      <c r="H214" s="751">
        <f t="shared" si="12"/>
        <v>0</v>
      </c>
      <c r="I214" s="751">
        <f t="shared" si="12"/>
        <v>7.0072510310437958E-2</v>
      </c>
      <c r="J214" s="751">
        <f t="shared" si="12"/>
        <v>7.4083451318406546E-2</v>
      </c>
      <c r="K214" s="751">
        <f t="shared" si="12"/>
        <v>7.9532470664811131E-2</v>
      </c>
      <c r="L214" s="751">
        <f t="shared" si="12"/>
        <v>9.0838782586854572E-2</v>
      </c>
      <c r="M214" s="751">
        <f t="shared" si="12"/>
        <v>0.10214953180199506</v>
      </c>
      <c r="N214" s="751">
        <f t="shared" si="12"/>
        <v>0.11346335760438055</v>
      </c>
      <c r="O214" s="751">
        <f t="shared" si="12"/>
        <v>0.12476966952642396</v>
      </c>
      <c r="P214" s="751">
        <f t="shared" si="12"/>
        <v>0.13608732165478932</v>
      </c>
      <c r="Q214" s="751">
        <f t="shared" si="12"/>
        <v>0.14981608145942574</v>
      </c>
      <c r="R214" s="751">
        <f t="shared" si="12"/>
        <v>0.16354746067433293</v>
      </c>
      <c r="S214" s="751">
        <f t="shared" si="12"/>
        <v>0.17727568401077734</v>
      </c>
      <c r="T214" s="751">
        <f t="shared" si="12"/>
        <v>0.19100444381541376</v>
      </c>
      <c r="U214" s="751">
        <f t="shared" si="12"/>
        <v>0.20474700343806249</v>
      </c>
      <c r="V214" s="751">
        <f t="shared" si="12"/>
        <v>0.21261139293672951</v>
      </c>
      <c r="W214" s="751">
        <f t="shared" si="12"/>
        <v>0.21662215311915498</v>
      </c>
      <c r="X214" s="751">
        <f t="shared" si="12"/>
        <v>0.22063309412712348</v>
      </c>
      <c r="Y214" s="751">
        <f t="shared" si="12"/>
        <v>0.22464403513509215</v>
      </c>
      <c r="Z214" s="751">
        <f t="shared" si="12"/>
        <v>0.22865803170334301</v>
      </c>
      <c r="AA214" s="751">
        <f t="shared" si="12"/>
        <v>0.23266897271131159</v>
      </c>
      <c r="AB214" s="751">
        <f t="shared" si="12"/>
        <v>0.23668296927956253</v>
      </c>
      <c r="AC214" s="751">
        <f t="shared" si="12"/>
        <v>0.24069391028753112</v>
      </c>
      <c r="AD214" s="751">
        <f t="shared" si="12"/>
        <v>0.24470485129549974</v>
      </c>
      <c r="AE214" s="751">
        <f t="shared" si="12"/>
        <v>0.24871866703820744</v>
      </c>
      <c r="AF214" s="751">
        <f t="shared" si="12"/>
        <v>0.252729608046176</v>
      </c>
      <c r="AG214" s="751">
        <f t="shared" si="12"/>
        <v>0.25674054905414462</v>
      </c>
      <c r="AH214" s="752">
        <f t="shared" si="12"/>
        <v>0.26075454562239553</v>
      </c>
      <c r="AI214" s="39"/>
      <c r="AJ214" s="39"/>
      <c r="AK214" s="39"/>
      <c r="AL214" s="39"/>
      <c r="AM214" s="39"/>
    </row>
    <row r="215" spans="2:39" ht="21.9" customHeight="1" x14ac:dyDescent="0.25">
      <c r="B215" s="1332"/>
      <c r="C215" s="114"/>
      <c r="D215" s="114"/>
      <c r="E215" s="746" t="s">
        <v>25</v>
      </c>
      <c r="F215" s="237"/>
      <c r="G215" s="759">
        <f>G213+G214</f>
        <v>0</v>
      </c>
      <c r="H215" s="759">
        <f>H213+H214</f>
        <v>0</v>
      </c>
      <c r="I215" s="759">
        <f t="shared" ref="I215:AH215" si="13">I213+I214</f>
        <v>7.7562366855299936E-2</v>
      </c>
      <c r="J215" s="759">
        <f t="shared" si="13"/>
        <v>8.2001009497541896E-2</v>
      </c>
      <c r="K215" s="759">
        <f t="shared" si="13"/>
        <v>8.802667138607527E-2</v>
      </c>
      <c r="L215" s="759">
        <f t="shared" si="13"/>
        <v>0.10052329384595737</v>
      </c>
      <c r="M215" s="759">
        <f t="shared" si="13"/>
        <v>0.11302481965868069</v>
      </c>
      <c r="N215" s="759">
        <f t="shared" si="13"/>
        <v>0.12552974128450256</v>
      </c>
      <c r="O215" s="759">
        <f t="shared" si="13"/>
        <v>0.13802636374438462</v>
      </c>
      <c r="P215" s="759">
        <f t="shared" si="13"/>
        <v>0.15053551766306789</v>
      </c>
      <c r="Q215" s="759">
        <f t="shared" si="13"/>
        <v>0.16570787387860422</v>
      </c>
      <c r="R215" s="759">
        <f t="shared" si="13"/>
        <v>0.18088313047761725</v>
      </c>
      <c r="S215" s="759">
        <f t="shared" si="13"/>
        <v>0.19605489609700499</v>
      </c>
      <c r="T215" s="759">
        <f t="shared" si="13"/>
        <v>0.21122725231254136</v>
      </c>
      <c r="U215" s="759">
        <f t="shared" si="13"/>
        <v>0.22641485812532766</v>
      </c>
      <c r="V215" s="759">
        <f t="shared" si="13"/>
        <v>0.23510843320795244</v>
      </c>
      <c r="W215" s="759">
        <f t="shared" si="13"/>
        <v>0.23954687677992159</v>
      </c>
      <c r="X215" s="759">
        <f t="shared" si="13"/>
        <v>0.24398551942216345</v>
      </c>
      <c r="Y215" s="759">
        <f t="shared" si="13"/>
        <v>0.24842416206440548</v>
      </c>
      <c r="Z215" s="759">
        <f t="shared" si="13"/>
        <v>0.25286618369450109</v>
      </c>
      <c r="AA215" s="759">
        <f t="shared" si="13"/>
        <v>0.25730482633674301</v>
      </c>
      <c r="AB215" s="759">
        <f t="shared" si="13"/>
        <v>0.26174684796683872</v>
      </c>
      <c r="AC215" s="759">
        <f t="shared" si="13"/>
        <v>0.26618549060908064</v>
      </c>
      <c r="AD215" s="759">
        <f t="shared" si="13"/>
        <v>0.27062413325132262</v>
      </c>
      <c r="AE215" s="759">
        <f t="shared" si="13"/>
        <v>0.2750659558111454</v>
      </c>
      <c r="AF215" s="759">
        <f t="shared" si="13"/>
        <v>0.27950459845338732</v>
      </c>
      <c r="AG215" s="759">
        <f t="shared" si="13"/>
        <v>0.2839432410956293</v>
      </c>
      <c r="AH215" s="760">
        <f t="shared" si="13"/>
        <v>0.28838526272572496</v>
      </c>
      <c r="AI215" s="39"/>
      <c r="AJ215" s="39"/>
      <c r="AK215" s="39"/>
      <c r="AL215" s="39"/>
      <c r="AM215" s="39"/>
    </row>
    <row r="216" spans="2:39" ht="21.9" customHeight="1" x14ac:dyDescent="0.25">
      <c r="B216" s="1332" t="s">
        <v>41</v>
      </c>
      <c r="C216" s="217"/>
      <c r="D216" s="217"/>
      <c r="E216" s="217" t="s">
        <v>19</v>
      </c>
      <c r="F216" s="217"/>
      <c r="G216" s="749">
        <f t="shared" ref="G216:AH216" si="14">G139</f>
        <v>0</v>
      </c>
      <c r="H216" s="749">
        <f t="shared" si="14"/>
        <v>0</v>
      </c>
      <c r="I216" s="749">
        <f t="shared" si="14"/>
        <v>0.99853644164696997</v>
      </c>
      <c r="J216" s="749">
        <f t="shared" si="14"/>
        <v>1.0555569820826731</v>
      </c>
      <c r="K216" s="749">
        <f t="shared" si="14"/>
        <v>1.1324341009795016</v>
      </c>
      <c r="L216" s="749">
        <f t="shared" si="14"/>
        <v>1.291124516715656</v>
      </c>
      <c r="M216" s="749">
        <f t="shared" si="14"/>
        <v>1.4498770668379297</v>
      </c>
      <c r="N216" s="749">
        <f t="shared" si="14"/>
        <v>1.6086721756722409</v>
      </c>
      <c r="O216" s="749">
        <f t="shared" si="14"/>
        <v>1.7673625914083946</v>
      </c>
      <c r="P216" s="749">
        <f t="shared" si="14"/>
        <v>1.9262118231385008</v>
      </c>
      <c r="Q216" s="749">
        <f t="shared" si="14"/>
        <v>2.1186699316056381</v>
      </c>
      <c r="R216" s="749">
        <f t="shared" si="14"/>
        <v>2.3111654989991988</v>
      </c>
      <c r="S216" s="749">
        <f t="shared" si="14"/>
        <v>2.5036163912083413</v>
      </c>
      <c r="T216" s="749">
        <f t="shared" si="14"/>
        <v>2.6960744996754786</v>
      </c>
      <c r="U216" s="749">
        <f t="shared" si="14"/>
        <v>2.8887258905362754</v>
      </c>
      <c r="V216" s="749">
        <f t="shared" si="14"/>
        <v>2.9992716690182597</v>
      </c>
      <c r="W216" s="749">
        <f t="shared" si="14"/>
        <v>3.056289777093963</v>
      </c>
      <c r="X216" s="749">
        <f t="shared" si="14"/>
        <v>3.1133103175296659</v>
      </c>
      <c r="Y216" s="749">
        <f t="shared" si="14"/>
        <v>3.1703308579653702</v>
      </c>
      <c r="Z216" s="749">
        <f t="shared" si="14"/>
        <v>3.2273945172798273</v>
      </c>
      <c r="AA216" s="749">
        <f t="shared" si="14"/>
        <v>3.2844150577155298</v>
      </c>
      <c r="AB216" s="749">
        <f t="shared" si="14"/>
        <v>3.3414787170299873</v>
      </c>
      <c r="AC216" s="749">
        <f t="shared" si="14"/>
        <v>3.3984992574656903</v>
      </c>
      <c r="AD216" s="749">
        <f t="shared" si="14"/>
        <v>3.4555197979013936</v>
      </c>
      <c r="AE216" s="749">
        <f t="shared" si="14"/>
        <v>3.5125810248558516</v>
      </c>
      <c r="AF216" s="749">
        <f t="shared" si="14"/>
        <v>3.5696015652915549</v>
      </c>
      <c r="AG216" s="749">
        <f t="shared" si="14"/>
        <v>3.6266221057272578</v>
      </c>
      <c r="AH216" s="750">
        <f t="shared" si="14"/>
        <v>3.6836857650417154</v>
      </c>
      <c r="AI216" s="39"/>
      <c r="AJ216" s="39"/>
      <c r="AK216" s="39"/>
      <c r="AL216" s="39"/>
      <c r="AM216" s="39"/>
    </row>
    <row r="217" spans="2:39" ht="21.9" customHeight="1" x14ac:dyDescent="0.25">
      <c r="B217" s="1332"/>
      <c r="C217" s="114"/>
      <c r="D217" s="114"/>
      <c r="E217" s="114" t="s">
        <v>434</v>
      </c>
      <c r="F217" s="114"/>
      <c r="G217" s="751">
        <f t="shared" ref="G217:AH217" si="15">G161</f>
        <v>0</v>
      </c>
      <c r="H217" s="751">
        <f t="shared" si="15"/>
        <v>0</v>
      </c>
      <c r="I217" s="751">
        <f t="shared" si="15"/>
        <v>0.31683181162121216</v>
      </c>
      <c r="J217" s="751">
        <f t="shared" si="15"/>
        <v>0.33496722164478038</v>
      </c>
      <c r="K217" s="751">
        <f t="shared" si="15"/>
        <v>0.35960488145505298</v>
      </c>
      <c r="L217" s="751">
        <f t="shared" si="15"/>
        <v>0.41072620240025004</v>
      </c>
      <c r="M217" s="751">
        <f t="shared" si="15"/>
        <v>0.46186758650009097</v>
      </c>
      <c r="N217" s="751">
        <f t="shared" si="15"/>
        <v>0.5130228813433334</v>
      </c>
      <c r="O217" s="751">
        <f t="shared" si="15"/>
        <v>0.56414420228853035</v>
      </c>
      <c r="P217" s="751">
        <f t="shared" si="15"/>
        <v>0.61531679780769721</v>
      </c>
      <c r="Q217" s="751">
        <f t="shared" si="15"/>
        <v>0.67739118077107574</v>
      </c>
      <c r="R217" s="751">
        <f t="shared" si="15"/>
        <v>0.73947740735897738</v>
      </c>
      <c r="S217" s="751">
        <f t="shared" si="15"/>
        <v>0.80154936468941662</v>
      </c>
      <c r="T217" s="751">
        <f t="shared" si="15"/>
        <v>0.86362374765279548</v>
      </c>
      <c r="U217" s="751">
        <f t="shared" si="15"/>
        <v>0.92576052628776517</v>
      </c>
      <c r="V217" s="751">
        <f t="shared" si="15"/>
        <v>0.96131924626395471</v>
      </c>
      <c r="W217" s="751">
        <f t="shared" si="15"/>
        <v>0.97945383868752278</v>
      </c>
      <c r="X217" s="751">
        <f t="shared" si="15"/>
        <v>0.99758924871109089</v>
      </c>
      <c r="Y217" s="751">
        <f t="shared" si="15"/>
        <v>1.0157246587346589</v>
      </c>
      <c r="Z217" s="751">
        <f t="shared" si="15"/>
        <v>1.0338738844285307</v>
      </c>
      <c r="AA217" s="751">
        <f t="shared" si="15"/>
        <v>1.0520092944520989</v>
      </c>
      <c r="AB217" s="751">
        <f t="shared" si="15"/>
        <v>1.0701585201459696</v>
      </c>
      <c r="AC217" s="751">
        <f t="shared" si="15"/>
        <v>1.088293930169538</v>
      </c>
      <c r="AD217" s="751">
        <f t="shared" si="15"/>
        <v>1.1064293401931062</v>
      </c>
      <c r="AE217" s="751">
        <f t="shared" si="15"/>
        <v>1.1245777482869772</v>
      </c>
      <c r="AF217" s="751">
        <f t="shared" si="15"/>
        <v>1.1427131583105454</v>
      </c>
      <c r="AG217" s="751">
        <f t="shared" si="15"/>
        <v>1.1608485683341139</v>
      </c>
      <c r="AH217" s="752">
        <f t="shared" si="15"/>
        <v>1.178997794027985</v>
      </c>
      <c r="AI217" s="39"/>
      <c r="AJ217" s="39"/>
      <c r="AK217" s="39"/>
      <c r="AL217" s="39"/>
      <c r="AM217" s="39"/>
    </row>
    <row r="218" spans="2:39" ht="21.9" customHeight="1" x14ac:dyDescent="0.25">
      <c r="B218" s="1332"/>
      <c r="C218" s="114"/>
      <c r="D218" s="114"/>
      <c r="E218" s="746" t="s">
        <v>25</v>
      </c>
      <c r="F218" s="237"/>
      <c r="G218" s="766">
        <f>G216+G217</f>
        <v>0</v>
      </c>
      <c r="H218" s="766">
        <f>H216+H217</f>
        <v>0</v>
      </c>
      <c r="I218" s="766">
        <f t="shared" ref="I218:AH218" si="16">I216+I217</f>
        <v>1.3153682532681821</v>
      </c>
      <c r="J218" s="766">
        <f t="shared" si="16"/>
        <v>1.3905242037274534</v>
      </c>
      <c r="K218" s="766">
        <f t="shared" si="16"/>
        <v>1.4920389824345546</v>
      </c>
      <c r="L218" s="766">
        <f t="shared" si="16"/>
        <v>1.701850719115906</v>
      </c>
      <c r="M218" s="766">
        <f t="shared" si="16"/>
        <v>1.9117446533380207</v>
      </c>
      <c r="N218" s="766">
        <f t="shared" si="16"/>
        <v>2.1216950570155744</v>
      </c>
      <c r="O218" s="766">
        <f t="shared" si="16"/>
        <v>2.3315067936969252</v>
      </c>
      <c r="P218" s="766">
        <f t="shared" si="16"/>
        <v>2.541528620946198</v>
      </c>
      <c r="Q218" s="766">
        <f t="shared" si="16"/>
        <v>2.7960611123767141</v>
      </c>
      <c r="R218" s="766">
        <f t="shared" si="16"/>
        <v>3.0506429063581759</v>
      </c>
      <c r="S218" s="766">
        <f t="shared" si="16"/>
        <v>3.3051657558977579</v>
      </c>
      <c r="T218" s="766">
        <f t="shared" si="16"/>
        <v>3.5596982473282743</v>
      </c>
      <c r="U218" s="766">
        <f t="shared" si="16"/>
        <v>3.8144864168240407</v>
      </c>
      <c r="V218" s="766">
        <f t="shared" si="16"/>
        <v>3.9605909152822143</v>
      </c>
      <c r="W218" s="766">
        <f t="shared" si="16"/>
        <v>4.0357436157814854</v>
      </c>
      <c r="X218" s="766">
        <f t="shared" si="16"/>
        <v>4.1108995662407573</v>
      </c>
      <c r="Y218" s="766">
        <f t="shared" si="16"/>
        <v>4.1860555167000291</v>
      </c>
      <c r="Z218" s="766">
        <f t="shared" si="16"/>
        <v>4.2612684017083584</v>
      </c>
      <c r="AA218" s="766">
        <f t="shared" si="16"/>
        <v>4.3364243521676284</v>
      </c>
      <c r="AB218" s="766">
        <f t="shared" si="16"/>
        <v>4.4116372371759569</v>
      </c>
      <c r="AC218" s="766">
        <f t="shared" si="16"/>
        <v>4.4867931876352287</v>
      </c>
      <c r="AD218" s="766">
        <f t="shared" si="16"/>
        <v>4.5619491380944996</v>
      </c>
      <c r="AE218" s="766">
        <f t="shared" si="16"/>
        <v>4.6371587731428292</v>
      </c>
      <c r="AF218" s="766">
        <f t="shared" si="16"/>
        <v>4.7123147236021001</v>
      </c>
      <c r="AG218" s="766">
        <f t="shared" si="16"/>
        <v>4.7874706740613719</v>
      </c>
      <c r="AH218" s="767">
        <f t="shared" si="16"/>
        <v>4.8626835590697004</v>
      </c>
      <c r="AI218" s="39"/>
      <c r="AJ218" s="39"/>
      <c r="AK218" s="39"/>
      <c r="AL218" s="39"/>
      <c r="AM218" s="39"/>
    </row>
    <row r="219" spans="2:39" ht="21.9" customHeight="1" x14ac:dyDescent="0.25">
      <c r="B219" s="1332" t="s">
        <v>40</v>
      </c>
      <c r="C219" s="217"/>
      <c r="D219" s="217"/>
      <c r="E219" s="217" t="s">
        <v>19</v>
      </c>
      <c r="F219" s="217"/>
      <c r="G219" s="751">
        <f t="shared" ref="G219:AH219" si="17">G183</f>
        <v>0</v>
      </c>
      <c r="H219" s="751">
        <f t="shared" si="17"/>
        <v>0</v>
      </c>
      <c r="I219" s="751">
        <f t="shared" si="17"/>
        <v>85421.016604757591</v>
      </c>
      <c r="J219" s="751">
        <f t="shared" si="17"/>
        <v>90298.908215139614</v>
      </c>
      <c r="K219" s="751">
        <f t="shared" si="17"/>
        <v>96875.455024969109</v>
      </c>
      <c r="L219" s="751">
        <f t="shared" si="17"/>
        <v>110450.82000138973</v>
      </c>
      <c r="M219" s="751">
        <f t="shared" si="17"/>
        <v>124031.50033958092</v>
      </c>
      <c r="N219" s="751">
        <f t="shared" si="17"/>
        <v>137615.82141465051</v>
      </c>
      <c r="O219" s="751">
        <f t="shared" si="17"/>
        <v>151191.18639107113</v>
      </c>
      <c r="P219" s="751">
        <f t="shared" si="17"/>
        <v>164780.13747520957</v>
      </c>
      <c r="Q219" s="751">
        <f t="shared" si="17"/>
        <v>181244.20087181008</v>
      </c>
      <c r="R219" s="751">
        <f t="shared" si="17"/>
        <v>197711.46873791472</v>
      </c>
      <c r="S219" s="751">
        <f t="shared" si="17"/>
        <v>214174.9148109321</v>
      </c>
      <c r="T219" s="751">
        <f t="shared" si="17"/>
        <v>230638.97820753255</v>
      </c>
      <c r="U219" s="751">
        <f t="shared" si="17"/>
        <v>247119.57618201076</v>
      </c>
      <c r="V219" s="751">
        <f t="shared" si="17"/>
        <v>256576.34950088974</v>
      </c>
      <c r="W219" s="751">
        <f t="shared" si="17"/>
        <v>261454.03303207181</v>
      </c>
      <c r="X219" s="751">
        <f t="shared" si="17"/>
        <v>266331.92464245384</v>
      </c>
      <c r="Y219" s="751">
        <f t="shared" si="17"/>
        <v>271209.81625283585</v>
      </c>
      <c r="Z219" s="751">
        <f t="shared" si="17"/>
        <v>276091.39652024064</v>
      </c>
      <c r="AA219" s="751">
        <f t="shared" si="17"/>
        <v>280969.28813062265</v>
      </c>
      <c r="AB219" s="751">
        <f t="shared" si="17"/>
        <v>285850.86839802744</v>
      </c>
      <c r="AC219" s="751">
        <f t="shared" si="17"/>
        <v>290728.7600084095</v>
      </c>
      <c r="AD219" s="751">
        <f t="shared" si="17"/>
        <v>295606.65161879139</v>
      </c>
      <c r="AE219" s="751">
        <f t="shared" si="17"/>
        <v>300488.02380699641</v>
      </c>
      <c r="AF219" s="751">
        <f t="shared" si="17"/>
        <v>305365.91541737836</v>
      </c>
      <c r="AG219" s="751">
        <f t="shared" si="17"/>
        <v>310243.80702776037</v>
      </c>
      <c r="AH219" s="752">
        <f t="shared" si="17"/>
        <v>315125.38729516522</v>
      </c>
      <c r="AI219" s="39"/>
      <c r="AJ219" s="39"/>
      <c r="AK219" s="39"/>
      <c r="AL219" s="39"/>
      <c r="AM219" s="39"/>
    </row>
    <row r="220" spans="2:39" ht="21.9" customHeight="1" x14ac:dyDescent="0.25">
      <c r="B220" s="1332"/>
      <c r="C220" s="114"/>
      <c r="D220" s="114"/>
      <c r="E220" s="114" t="s">
        <v>434</v>
      </c>
      <c r="F220" s="114"/>
      <c r="G220" s="751">
        <f>G205</f>
        <v>0</v>
      </c>
      <c r="H220" s="751">
        <f>H205</f>
        <v>0</v>
      </c>
      <c r="I220" s="751">
        <f t="shared" ref="I220:AH220" si="18">I205</f>
        <v>281568.43098777125</v>
      </c>
      <c r="J220" s="751">
        <f t="shared" si="18"/>
        <v>297685.3698757161</v>
      </c>
      <c r="K220" s="751">
        <f t="shared" si="18"/>
        <v>319580.85814910562</v>
      </c>
      <c r="L220" s="751">
        <f t="shared" si="18"/>
        <v>365012.37607310223</v>
      </c>
      <c r="M220" s="751">
        <f t="shared" si="18"/>
        <v>410461.72412263078</v>
      </c>
      <c r="N220" s="751">
        <f t="shared" si="18"/>
        <v>455923.43464982038</v>
      </c>
      <c r="O220" s="751">
        <f t="shared" si="18"/>
        <v>501354.95257381687</v>
      </c>
      <c r="P220" s="751">
        <f t="shared" si="18"/>
        <v>546832.03821170051</v>
      </c>
      <c r="Q220" s="751">
        <f t="shared" si="18"/>
        <v>601997.54235125508</v>
      </c>
      <c r="R220" s="751">
        <f t="shared" si="18"/>
        <v>657173.5719199233</v>
      </c>
      <c r="S220" s="751">
        <f t="shared" si="18"/>
        <v>712336.92039948457</v>
      </c>
      <c r="T220" s="751">
        <f t="shared" si="18"/>
        <v>767502.42453903914</v>
      </c>
      <c r="U220" s="751">
        <f t="shared" si="18"/>
        <v>822723.37971193704</v>
      </c>
      <c r="V220" s="751">
        <f t="shared" si="18"/>
        <v>854324.41415477637</v>
      </c>
      <c r="W220" s="751">
        <f t="shared" si="18"/>
        <v>870440.62644160143</v>
      </c>
      <c r="X220" s="751">
        <f t="shared" si="18"/>
        <v>886557.56532954634</v>
      </c>
      <c r="Y220" s="751">
        <f t="shared" si="18"/>
        <v>902674.50421749172</v>
      </c>
      <c r="Z220" s="751">
        <f t="shared" si="18"/>
        <v>918803.72109163494</v>
      </c>
      <c r="AA220" s="751">
        <f t="shared" si="18"/>
        <v>934920.65997957962</v>
      </c>
      <c r="AB220" s="751">
        <f t="shared" si="18"/>
        <v>951049.87685372308</v>
      </c>
      <c r="AC220" s="751">
        <f t="shared" si="18"/>
        <v>967166.81574166846</v>
      </c>
      <c r="AD220" s="751">
        <f t="shared" si="18"/>
        <v>983283.75462961313</v>
      </c>
      <c r="AE220" s="751">
        <f t="shared" si="18"/>
        <v>999412.24490263686</v>
      </c>
      <c r="AF220" s="751">
        <f t="shared" si="18"/>
        <v>1015529.1837905818</v>
      </c>
      <c r="AG220" s="751">
        <f t="shared" si="18"/>
        <v>1031646.1226785267</v>
      </c>
      <c r="AH220" s="752">
        <f t="shared" si="18"/>
        <v>1047775.3395526703</v>
      </c>
      <c r="AI220" s="39"/>
      <c r="AJ220" s="39"/>
      <c r="AK220" s="39"/>
      <c r="AL220" s="39"/>
      <c r="AM220" s="39"/>
    </row>
    <row r="221" spans="2:39" ht="21.9" customHeight="1" thickBot="1" x14ac:dyDescent="0.3">
      <c r="B221" s="1333"/>
      <c r="C221" s="274"/>
      <c r="D221" s="274"/>
      <c r="E221" s="762" t="s">
        <v>25</v>
      </c>
      <c r="F221" s="762"/>
      <c r="G221" s="763">
        <f>G219+G220</f>
        <v>0</v>
      </c>
      <c r="H221" s="763">
        <f>H219+H220</f>
        <v>0</v>
      </c>
      <c r="I221" s="763">
        <f t="shared" ref="I221:AH221" si="19">I219+I220</f>
        <v>366989.44759252883</v>
      </c>
      <c r="J221" s="763">
        <f t="shared" si="19"/>
        <v>387984.27809085569</v>
      </c>
      <c r="K221" s="763">
        <f t="shared" si="19"/>
        <v>416456.31317407475</v>
      </c>
      <c r="L221" s="763">
        <f t="shared" si="19"/>
        <v>475463.19607449195</v>
      </c>
      <c r="M221" s="763">
        <f t="shared" si="19"/>
        <v>534493.22446221171</v>
      </c>
      <c r="N221" s="763">
        <f t="shared" si="19"/>
        <v>593539.25606447086</v>
      </c>
      <c r="O221" s="763">
        <f t="shared" si="19"/>
        <v>652546.13896488794</v>
      </c>
      <c r="P221" s="763">
        <f t="shared" si="19"/>
        <v>711612.17568691005</v>
      </c>
      <c r="Q221" s="763">
        <f t="shared" si="19"/>
        <v>783241.74322306516</v>
      </c>
      <c r="R221" s="763">
        <f t="shared" si="19"/>
        <v>854885.04065783799</v>
      </c>
      <c r="S221" s="763">
        <f t="shared" si="19"/>
        <v>926511.8352104167</v>
      </c>
      <c r="T221" s="763">
        <f t="shared" si="19"/>
        <v>998141.40274657169</v>
      </c>
      <c r="U221" s="763">
        <f t="shared" si="19"/>
        <v>1069842.9558939477</v>
      </c>
      <c r="V221" s="763">
        <f t="shared" si="19"/>
        <v>1110900.763655666</v>
      </c>
      <c r="W221" s="763">
        <f t="shared" si="19"/>
        <v>1131894.6594736732</v>
      </c>
      <c r="X221" s="763">
        <f t="shared" si="19"/>
        <v>1152889.4899720002</v>
      </c>
      <c r="Y221" s="763">
        <f t="shared" si="19"/>
        <v>1173884.3204703275</v>
      </c>
      <c r="Z221" s="763">
        <f t="shared" si="19"/>
        <v>1194895.1176118755</v>
      </c>
      <c r="AA221" s="763">
        <f t="shared" si="19"/>
        <v>1215889.9481102023</v>
      </c>
      <c r="AB221" s="763">
        <f t="shared" si="19"/>
        <v>1236900.7452517506</v>
      </c>
      <c r="AC221" s="763">
        <f t="shared" si="19"/>
        <v>1257895.5757500781</v>
      </c>
      <c r="AD221" s="763">
        <f t="shared" si="19"/>
        <v>1278890.4062484046</v>
      </c>
      <c r="AE221" s="763">
        <f t="shared" si="19"/>
        <v>1299900.2687096333</v>
      </c>
      <c r="AF221" s="763">
        <f t="shared" si="19"/>
        <v>1320895.0992079601</v>
      </c>
      <c r="AG221" s="763">
        <f t="shared" si="19"/>
        <v>1341889.9297062871</v>
      </c>
      <c r="AH221" s="764">
        <f t="shared" si="19"/>
        <v>1362900.7268478354</v>
      </c>
      <c r="AI221" s="39"/>
      <c r="AJ221" s="39"/>
      <c r="AK221" s="39"/>
      <c r="AL221" s="39"/>
      <c r="AM221" s="39"/>
    </row>
    <row r="222" spans="2:39" ht="21.9" customHeight="1" x14ac:dyDescent="0.25">
      <c r="F222"/>
      <c r="G222" s="24"/>
      <c r="H222" s="24"/>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row>
    <row r="223" spans="2:39" ht="21.9" customHeight="1" x14ac:dyDescent="0.25">
      <c r="F223"/>
      <c r="G223" s="24"/>
      <c r="H223" s="24"/>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row>
    <row r="224" spans="2:39" ht="21.9" customHeight="1" thickBot="1" x14ac:dyDescent="0.3">
      <c r="B224" s="523" t="s">
        <v>467</v>
      </c>
      <c r="F224"/>
      <c r="G224" s="24"/>
      <c r="H224" s="24"/>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row>
    <row r="225" spans="1:39" ht="21.9" customHeight="1" x14ac:dyDescent="0.25">
      <c r="B225" s="548" t="s">
        <v>312</v>
      </c>
      <c r="C225" s="1331" t="s">
        <v>18</v>
      </c>
      <c r="D225" s="1331"/>
      <c r="E225" s="197" t="s">
        <v>24</v>
      </c>
      <c r="F225" s="197" t="s">
        <v>42</v>
      </c>
      <c r="G225" s="459">
        <v>2021</v>
      </c>
      <c r="H225" s="459">
        <v>2022</v>
      </c>
      <c r="I225" s="459">
        <v>2023</v>
      </c>
      <c r="J225" s="459">
        <v>2024</v>
      </c>
      <c r="K225" s="459">
        <v>2025</v>
      </c>
      <c r="L225" s="459">
        <v>2026</v>
      </c>
      <c r="M225" s="459">
        <v>2027</v>
      </c>
      <c r="N225" s="459">
        <v>2028</v>
      </c>
      <c r="O225" s="459">
        <v>2029</v>
      </c>
      <c r="P225" s="459">
        <v>2030</v>
      </c>
      <c r="Q225" s="459">
        <v>2031</v>
      </c>
      <c r="R225" s="459">
        <v>2032</v>
      </c>
      <c r="S225" s="459">
        <v>2033</v>
      </c>
      <c r="T225" s="459">
        <v>2034</v>
      </c>
      <c r="U225" s="459">
        <v>2035</v>
      </c>
      <c r="V225" s="459">
        <v>2036</v>
      </c>
      <c r="W225" s="459">
        <v>2037</v>
      </c>
      <c r="X225" s="459">
        <v>2038</v>
      </c>
      <c r="Y225" s="459">
        <v>2039</v>
      </c>
      <c r="Z225" s="459">
        <v>2040</v>
      </c>
      <c r="AA225" s="459">
        <v>2041</v>
      </c>
      <c r="AB225" s="459">
        <v>2042</v>
      </c>
      <c r="AC225" s="459">
        <v>2043</v>
      </c>
      <c r="AD225" s="459">
        <v>2044</v>
      </c>
      <c r="AE225" s="459">
        <v>2045</v>
      </c>
      <c r="AF225" s="459">
        <v>2046</v>
      </c>
      <c r="AG225" s="459">
        <v>2047</v>
      </c>
      <c r="AH225" s="459">
        <v>2048</v>
      </c>
      <c r="AI225" s="247"/>
      <c r="AJ225" s="247"/>
      <c r="AK225" s="247"/>
      <c r="AL225" s="247"/>
      <c r="AM225" s="247"/>
    </row>
    <row r="226" spans="1:39" ht="21.9" customHeight="1" x14ac:dyDescent="0.25">
      <c r="B226" s="1332" t="s">
        <v>43</v>
      </c>
      <c r="C226" s="217"/>
      <c r="D226" s="217"/>
      <c r="E226" s="217" t="s">
        <v>19</v>
      </c>
      <c r="F226" s="217"/>
      <c r="G226" s="772">
        <f t="shared" ref="G226:AH226" si="20">G210*G13</f>
        <v>0</v>
      </c>
      <c r="H226" s="772">
        <f t="shared" si="20"/>
        <v>0</v>
      </c>
      <c r="I226" s="772">
        <f>I210*I13</f>
        <v>692650.32621411001</v>
      </c>
      <c r="J226" s="772">
        <f t="shared" si="20"/>
        <v>743297.50312507187</v>
      </c>
      <c r="K226" s="772">
        <f t="shared" si="20"/>
        <v>805367.14848542761</v>
      </c>
      <c r="L226" s="772">
        <f t="shared" si="20"/>
        <v>931794.79890641908</v>
      </c>
      <c r="M226" s="772">
        <f t="shared" si="20"/>
        <v>1066683.086761293</v>
      </c>
      <c r="N226" s="772">
        <f t="shared" si="20"/>
        <v>1200416.8621684224</v>
      </c>
      <c r="O226" s="772">
        <f t="shared" si="20"/>
        <v>1343601.0232413502</v>
      </c>
      <c r="P226" s="772">
        <f t="shared" si="20"/>
        <v>1484607.52936653</v>
      </c>
      <c r="Q226" s="772">
        <f t="shared" si="20"/>
        <v>1632942.5948487888</v>
      </c>
      <c r="R226" s="772">
        <f t="shared" si="20"/>
        <v>1781306.5314051139</v>
      </c>
      <c r="S226" s="772">
        <f t="shared" si="20"/>
        <v>1929636.0350323243</v>
      </c>
      <c r="T226" s="772">
        <f t="shared" si="20"/>
        <v>2077971.1005145842</v>
      </c>
      <c r="U226" s="772">
        <f t="shared" si="20"/>
        <v>2226455.1363714789</v>
      </c>
      <c r="V226" s="772">
        <f t="shared" si="20"/>
        <v>2311657.1339413165</v>
      </c>
      <c r="W226" s="772">
        <f t="shared" si="20"/>
        <v>2355603.2418109579</v>
      </c>
      <c r="X226" s="772">
        <f t="shared" si="20"/>
        <v>2399551.2243965198</v>
      </c>
      <c r="Y226" s="772">
        <f t="shared" si="20"/>
        <v>2443499.2069820818</v>
      </c>
      <c r="Z226" s="772">
        <f t="shared" si="20"/>
        <v>2487480.422990514</v>
      </c>
      <c r="AA226" s="772">
        <f t="shared" si="20"/>
        <v>2531428.405576075</v>
      </c>
      <c r="AB226" s="772">
        <f t="shared" si="20"/>
        <v>2575409.6215845067</v>
      </c>
      <c r="AC226" s="772">
        <f t="shared" si="20"/>
        <v>2619357.6041700691</v>
      </c>
      <c r="AD226" s="772">
        <f t="shared" si="20"/>
        <v>2663305.5867556301</v>
      </c>
      <c r="AE226" s="772">
        <f t="shared" si="20"/>
        <v>2707284.9280481418</v>
      </c>
      <c r="AF226" s="772">
        <f t="shared" si="20"/>
        <v>2751232.9106337046</v>
      </c>
      <c r="AG226" s="772">
        <f t="shared" si="20"/>
        <v>2795180.8932192656</v>
      </c>
      <c r="AH226" s="773">
        <f t="shared" si="20"/>
        <v>2839162.1092276974</v>
      </c>
      <c r="AI226" s="39"/>
      <c r="AJ226" s="39"/>
      <c r="AK226" s="39"/>
      <c r="AL226" s="39"/>
      <c r="AM226" s="39"/>
    </row>
    <row r="227" spans="1:39" ht="21.9" customHeight="1" x14ac:dyDescent="0.25">
      <c r="B227" s="1332"/>
      <c r="C227" s="114"/>
      <c r="D227" s="114"/>
      <c r="E227" s="114" t="s">
        <v>434</v>
      </c>
      <c r="F227" s="114"/>
      <c r="G227" s="783">
        <f t="shared" ref="G227:AH227" si="21">G211*G13</f>
        <v>0</v>
      </c>
      <c r="H227" s="783">
        <f t="shared" si="21"/>
        <v>0</v>
      </c>
      <c r="I227" s="783">
        <f t="shared" si="21"/>
        <v>120446.78150592002</v>
      </c>
      <c r="J227" s="783">
        <f t="shared" si="21"/>
        <v>129270.55017715362</v>
      </c>
      <c r="K227" s="783">
        <f t="shared" si="21"/>
        <v>140159.59859592147</v>
      </c>
      <c r="L227" s="783">
        <f t="shared" si="21"/>
        <v>162450.42757334688</v>
      </c>
      <c r="M227" s="783">
        <f t="shared" si="21"/>
        <v>186225.01087683672</v>
      </c>
      <c r="N227" s="783">
        <f t="shared" si="21"/>
        <v>209805.8375541697</v>
      </c>
      <c r="O227" s="783">
        <f t="shared" si="21"/>
        <v>235045.04044149324</v>
      </c>
      <c r="P227" s="783">
        <f t="shared" si="21"/>
        <v>259909.81539397119</v>
      </c>
      <c r="Q227" s="783">
        <f t="shared" si="21"/>
        <v>286130.03475770238</v>
      </c>
      <c r="R227" s="783">
        <f t="shared" si="21"/>
        <v>312355.25686843204</v>
      </c>
      <c r="S227" s="783">
        <f t="shared" si="21"/>
        <v>338574.45164480957</v>
      </c>
      <c r="T227" s="783">
        <f t="shared" si="21"/>
        <v>364794.67100854072</v>
      </c>
      <c r="U227" s="783">
        <f t="shared" si="21"/>
        <v>391041.24630395212</v>
      </c>
      <c r="V227" s="783">
        <f t="shared" si="21"/>
        <v>406061.24962189444</v>
      </c>
      <c r="W227" s="783">
        <f t="shared" si="21"/>
        <v>413721.30146160966</v>
      </c>
      <c r="X227" s="783">
        <f t="shared" si="21"/>
        <v>421381.69865556475</v>
      </c>
      <c r="Y227" s="783">
        <f t="shared" si="21"/>
        <v>429042.09584951994</v>
      </c>
      <c r="Z227" s="783">
        <f t="shared" si="21"/>
        <v>436708.32878261124</v>
      </c>
      <c r="AA227" s="783">
        <f t="shared" si="21"/>
        <v>444368.72597656649</v>
      </c>
      <c r="AB227" s="783">
        <f t="shared" si="21"/>
        <v>452034.95890965755</v>
      </c>
      <c r="AC227" s="783">
        <f t="shared" si="21"/>
        <v>459695.35610361287</v>
      </c>
      <c r="AD227" s="783">
        <f t="shared" si="21"/>
        <v>467355.75329756812</v>
      </c>
      <c r="AE227" s="783">
        <f t="shared" si="21"/>
        <v>475021.6408764192</v>
      </c>
      <c r="AF227" s="783">
        <f t="shared" si="21"/>
        <v>482682.03807037463</v>
      </c>
      <c r="AG227" s="783">
        <f t="shared" si="21"/>
        <v>490342.43526432948</v>
      </c>
      <c r="AH227" s="775">
        <f t="shared" si="21"/>
        <v>498008.66819742077</v>
      </c>
      <c r="AI227" s="39"/>
      <c r="AJ227" s="39"/>
      <c r="AK227" s="39"/>
      <c r="AL227" s="39"/>
      <c r="AM227" s="39"/>
    </row>
    <row r="228" spans="1:39" ht="21.9" customHeight="1" x14ac:dyDescent="0.25">
      <c r="B228" s="1332"/>
      <c r="C228" s="114"/>
      <c r="D228" s="114"/>
      <c r="E228" s="746" t="s">
        <v>25</v>
      </c>
      <c r="F228" s="237"/>
      <c r="G228" s="776">
        <f>G226+G227</f>
        <v>0</v>
      </c>
      <c r="H228" s="776">
        <f>H226+H227</f>
        <v>0</v>
      </c>
      <c r="I228" s="776">
        <f>I226+I227</f>
        <v>813097.10772003001</v>
      </c>
      <c r="J228" s="776">
        <f t="shared" ref="J228:AH228" si="22">J226+J227</f>
        <v>872568.05330222554</v>
      </c>
      <c r="K228" s="776">
        <f t="shared" si="22"/>
        <v>945526.74708134914</v>
      </c>
      <c r="L228" s="776">
        <f t="shared" si="22"/>
        <v>1094245.226479766</v>
      </c>
      <c r="M228" s="776">
        <f t="shared" si="22"/>
        <v>1252908.0976381297</v>
      </c>
      <c r="N228" s="776">
        <f t="shared" si="22"/>
        <v>1410222.6997225923</v>
      </c>
      <c r="O228" s="776">
        <f t="shared" si="22"/>
        <v>1578646.0636828435</v>
      </c>
      <c r="P228" s="776">
        <f t="shared" si="22"/>
        <v>1744517.3447605013</v>
      </c>
      <c r="Q228" s="776">
        <f t="shared" si="22"/>
        <v>1919072.6296064912</v>
      </c>
      <c r="R228" s="776">
        <f t="shared" si="22"/>
        <v>2093661.7882735459</v>
      </c>
      <c r="S228" s="776">
        <f t="shared" si="22"/>
        <v>2268210.4866771339</v>
      </c>
      <c r="T228" s="776">
        <f t="shared" si="22"/>
        <v>2442765.771523125</v>
      </c>
      <c r="U228" s="776">
        <f t="shared" si="22"/>
        <v>2617496.3826754312</v>
      </c>
      <c r="V228" s="776">
        <f t="shared" si="22"/>
        <v>2717718.3835632112</v>
      </c>
      <c r="W228" s="776">
        <f t="shared" si="22"/>
        <v>2769324.5432725674</v>
      </c>
      <c r="X228" s="776">
        <f t="shared" si="22"/>
        <v>2820932.9230520846</v>
      </c>
      <c r="Y228" s="776">
        <f t="shared" si="22"/>
        <v>2872541.3028316018</v>
      </c>
      <c r="Z228" s="776">
        <f t="shared" si="22"/>
        <v>2924188.751773125</v>
      </c>
      <c r="AA228" s="776">
        <f t="shared" si="22"/>
        <v>2975797.1315526413</v>
      </c>
      <c r="AB228" s="776">
        <f t="shared" si="22"/>
        <v>3027444.5804941645</v>
      </c>
      <c r="AC228" s="776">
        <f t="shared" si="22"/>
        <v>3079052.9602736821</v>
      </c>
      <c r="AD228" s="776">
        <f t="shared" si="22"/>
        <v>3130661.3400531984</v>
      </c>
      <c r="AE228" s="776">
        <f t="shared" si="22"/>
        <v>3182306.5689245611</v>
      </c>
      <c r="AF228" s="776">
        <f t="shared" si="22"/>
        <v>3233914.9487040793</v>
      </c>
      <c r="AG228" s="776">
        <f t="shared" si="22"/>
        <v>3285523.328483595</v>
      </c>
      <c r="AH228" s="777">
        <f t="shared" si="22"/>
        <v>3337170.7774251183</v>
      </c>
      <c r="AI228" s="39"/>
      <c r="AJ228" s="39"/>
      <c r="AK228" s="39"/>
      <c r="AL228" s="39"/>
      <c r="AM228" s="39"/>
    </row>
    <row r="229" spans="1:39" ht="21.9" customHeight="1" x14ac:dyDescent="0.25">
      <c r="B229" s="1332" t="s">
        <v>405</v>
      </c>
      <c r="C229" s="217"/>
      <c r="D229" s="217"/>
      <c r="E229" s="217" t="s">
        <v>19</v>
      </c>
      <c r="F229" s="217"/>
      <c r="G229" s="783">
        <f t="shared" ref="G229:AH229" si="23">G213*G14</f>
        <v>0</v>
      </c>
      <c r="H229" s="783">
        <f t="shared" si="23"/>
        <v>0</v>
      </c>
      <c r="I229" s="783">
        <f t="shared" si="23"/>
        <v>396.21341122319893</v>
      </c>
      <c r="J229" s="783">
        <f t="shared" si="23"/>
        <v>425.96463003748187</v>
      </c>
      <c r="K229" s="783">
        <f t="shared" si="23"/>
        <v>465.48219952527472</v>
      </c>
      <c r="L229" s="783">
        <f t="shared" si="23"/>
        <v>543.30108163566683</v>
      </c>
      <c r="M229" s="783">
        <f t="shared" si="23"/>
        <v>624.24152297375508</v>
      </c>
      <c r="N229" s="783">
        <f t="shared" si="23"/>
        <v>708.29672202316203</v>
      </c>
      <c r="O229" s="783">
        <f t="shared" si="23"/>
        <v>796.72732249943624</v>
      </c>
      <c r="P229" s="783">
        <f t="shared" si="23"/>
        <v>888.56405450913212</v>
      </c>
      <c r="Q229" s="783">
        <f t="shared" si="23"/>
        <v>977.34523377947733</v>
      </c>
      <c r="R229" s="783">
        <f t="shared" si="23"/>
        <v>1066.1436929019867</v>
      </c>
      <c r="S229" s="783">
        <f t="shared" si="23"/>
        <v>1154.9215433030015</v>
      </c>
      <c r="T229" s="783">
        <f t="shared" si="23"/>
        <v>1243.7027225733464</v>
      </c>
      <c r="U229" s="783">
        <f t="shared" si="23"/>
        <v>1332.573063266808</v>
      </c>
      <c r="V229" s="783">
        <f t="shared" si="23"/>
        <v>1383.5679766802109</v>
      </c>
      <c r="W229" s="783">
        <f t="shared" si="23"/>
        <v>1409.8705051371471</v>
      </c>
      <c r="X229" s="783">
        <f t="shared" si="23"/>
        <v>1436.174155644959</v>
      </c>
      <c r="Y229" s="783">
        <f t="shared" si="23"/>
        <v>1462.4778061527709</v>
      </c>
      <c r="Z229" s="783">
        <f t="shared" si="23"/>
        <v>1488.8013474562217</v>
      </c>
      <c r="AA229" s="783">
        <f t="shared" si="23"/>
        <v>1515.1049979640336</v>
      </c>
      <c r="AB229" s="783">
        <f t="shared" si="23"/>
        <v>1541.4285392674849</v>
      </c>
      <c r="AC229" s="783">
        <f t="shared" si="23"/>
        <v>1567.7321897752972</v>
      </c>
      <c r="AD229" s="783">
        <f t="shared" si="23"/>
        <v>1594.0358402831089</v>
      </c>
      <c r="AE229" s="783">
        <f t="shared" si="23"/>
        <v>1620.3582595356838</v>
      </c>
      <c r="AF229" s="783">
        <f t="shared" si="23"/>
        <v>1646.6619100434962</v>
      </c>
      <c r="AG229" s="783">
        <f t="shared" si="23"/>
        <v>1672.9655605513076</v>
      </c>
      <c r="AH229" s="775">
        <f t="shared" si="23"/>
        <v>1699.2891018547591</v>
      </c>
      <c r="AI229" s="39"/>
      <c r="AJ229" s="39"/>
      <c r="AK229" s="39"/>
      <c r="AL229" s="39"/>
      <c r="AM229" s="39"/>
    </row>
    <row r="230" spans="1:39" ht="21.9" customHeight="1" x14ac:dyDescent="0.25">
      <c r="B230" s="1332"/>
      <c r="C230" s="114"/>
      <c r="D230" s="114"/>
      <c r="E230" s="114" t="s">
        <v>434</v>
      </c>
      <c r="F230" s="114"/>
      <c r="G230" s="783">
        <f t="shared" ref="G230:AH230" si="24">G214*G14</f>
        <v>0</v>
      </c>
      <c r="H230" s="783">
        <f t="shared" si="24"/>
        <v>0</v>
      </c>
      <c r="I230" s="783">
        <f t="shared" si="24"/>
        <v>3706.8357954221678</v>
      </c>
      <c r="J230" s="783">
        <f t="shared" si="24"/>
        <v>3985.6896809302721</v>
      </c>
      <c r="K230" s="783">
        <f t="shared" si="24"/>
        <v>4358.3793924316496</v>
      </c>
      <c r="L230" s="783">
        <f t="shared" si="24"/>
        <v>5096.0557031225417</v>
      </c>
      <c r="M230" s="783">
        <f t="shared" si="24"/>
        <v>5863.3831254345159</v>
      </c>
      <c r="N230" s="783">
        <f t="shared" si="24"/>
        <v>6660.2990913771382</v>
      </c>
      <c r="O230" s="783">
        <f t="shared" si="24"/>
        <v>7498.6571385380803</v>
      </c>
      <c r="P230" s="783">
        <f t="shared" si="24"/>
        <v>8369.370281769543</v>
      </c>
      <c r="Q230" s="783">
        <f t="shared" si="24"/>
        <v>9213.689009754682</v>
      </c>
      <c r="R230" s="783">
        <f t="shared" si="24"/>
        <v>10058.168831471476</v>
      </c>
      <c r="S230" s="783">
        <f t="shared" si="24"/>
        <v>10902.454566662806</v>
      </c>
      <c r="T230" s="783">
        <f t="shared" si="24"/>
        <v>11746.773294647946</v>
      </c>
      <c r="U230" s="783">
        <f t="shared" si="24"/>
        <v>12591.940711440842</v>
      </c>
      <c r="V230" s="783">
        <f t="shared" si="24"/>
        <v>13075.600665608865</v>
      </c>
      <c r="W230" s="783">
        <f t="shared" si="24"/>
        <v>13322.262416828031</v>
      </c>
      <c r="X230" s="783">
        <f t="shared" si="24"/>
        <v>13568.935288818095</v>
      </c>
      <c r="Y230" s="783">
        <f t="shared" si="24"/>
        <v>13815.608160808168</v>
      </c>
      <c r="Z230" s="783">
        <f t="shared" si="24"/>
        <v>14062.468949755596</v>
      </c>
      <c r="AA230" s="783">
        <f t="shared" si="24"/>
        <v>14309.141821745663</v>
      </c>
      <c r="AB230" s="783">
        <f t="shared" si="24"/>
        <v>14556.002610693096</v>
      </c>
      <c r="AC230" s="783">
        <f t="shared" si="24"/>
        <v>14802.675482683164</v>
      </c>
      <c r="AD230" s="783">
        <f t="shared" si="24"/>
        <v>15049.348354673233</v>
      </c>
      <c r="AE230" s="783">
        <f t="shared" si="24"/>
        <v>15296.198022849758</v>
      </c>
      <c r="AF230" s="783">
        <f t="shared" si="24"/>
        <v>15542.870894839823</v>
      </c>
      <c r="AG230" s="783">
        <f t="shared" si="24"/>
        <v>15789.543766829895</v>
      </c>
      <c r="AH230" s="775">
        <f t="shared" si="24"/>
        <v>16036.404555777324</v>
      </c>
      <c r="AI230" s="39"/>
      <c r="AJ230" s="39"/>
      <c r="AK230" s="39"/>
      <c r="AL230" s="39"/>
      <c r="AM230" s="39"/>
    </row>
    <row r="231" spans="1:39" ht="21.9" customHeight="1" x14ac:dyDescent="0.25">
      <c r="B231" s="1332"/>
      <c r="C231" s="114"/>
      <c r="D231" s="114"/>
      <c r="E231" s="746" t="s">
        <v>25</v>
      </c>
      <c r="F231" s="237"/>
      <c r="G231" s="784">
        <f>G229+G230</f>
        <v>0</v>
      </c>
      <c r="H231" s="784">
        <f>H229+H230</f>
        <v>0</v>
      </c>
      <c r="I231" s="784">
        <f t="shared" ref="I231:AH231" si="25">I229+I230</f>
        <v>4103.0492066453671</v>
      </c>
      <c r="J231" s="784">
        <f t="shared" si="25"/>
        <v>4411.6543109677541</v>
      </c>
      <c r="K231" s="784">
        <f t="shared" si="25"/>
        <v>4823.8615919569247</v>
      </c>
      <c r="L231" s="784">
        <f t="shared" si="25"/>
        <v>5639.356784758209</v>
      </c>
      <c r="M231" s="784">
        <f t="shared" si="25"/>
        <v>6487.6246484082712</v>
      </c>
      <c r="N231" s="784">
        <f t="shared" si="25"/>
        <v>7368.5958134003004</v>
      </c>
      <c r="O231" s="784">
        <f t="shared" si="25"/>
        <v>8295.3844610375163</v>
      </c>
      <c r="P231" s="784">
        <f t="shared" si="25"/>
        <v>9257.9343362786749</v>
      </c>
      <c r="Q231" s="784">
        <f t="shared" si="25"/>
        <v>10191.034243534159</v>
      </c>
      <c r="R231" s="784">
        <f t="shared" si="25"/>
        <v>11124.312524373463</v>
      </c>
      <c r="S231" s="784">
        <f t="shared" si="25"/>
        <v>12057.376109965808</v>
      </c>
      <c r="T231" s="784">
        <f t="shared" si="25"/>
        <v>12990.476017221292</v>
      </c>
      <c r="U231" s="784">
        <f t="shared" si="25"/>
        <v>13924.51377470765</v>
      </c>
      <c r="V231" s="784">
        <f t="shared" si="25"/>
        <v>14459.168642289076</v>
      </c>
      <c r="W231" s="784">
        <f t="shared" si="25"/>
        <v>14732.132921965178</v>
      </c>
      <c r="X231" s="784">
        <f t="shared" si="25"/>
        <v>15005.109444463054</v>
      </c>
      <c r="Y231" s="784">
        <f t="shared" si="25"/>
        <v>15278.085966960938</v>
      </c>
      <c r="Z231" s="784">
        <f t="shared" si="25"/>
        <v>15551.270297211817</v>
      </c>
      <c r="AA231" s="784">
        <f t="shared" si="25"/>
        <v>15824.246819709697</v>
      </c>
      <c r="AB231" s="784">
        <f t="shared" si="25"/>
        <v>16097.431149960581</v>
      </c>
      <c r="AC231" s="784">
        <f t="shared" si="25"/>
        <v>16370.407672458461</v>
      </c>
      <c r="AD231" s="784">
        <f t="shared" si="25"/>
        <v>16643.384194956343</v>
      </c>
      <c r="AE231" s="784">
        <f t="shared" si="25"/>
        <v>16916.556282385442</v>
      </c>
      <c r="AF231" s="784">
        <f t="shared" si="25"/>
        <v>17189.532804883318</v>
      </c>
      <c r="AG231" s="784">
        <f t="shared" si="25"/>
        <v>17462.509327381202</v>
      </c>
      <c r="AH231" s="778">
        <f t="shared" si="25"/>
        <v>17735.693657632084</v>
      </c>
      <c r="AI231" s="39"/>
      <c r="AJ231" s="39"/>
      <c r="AK231" s="39"/>
      <c r="AL231" s="39"/>
      <c r="AM231" s="39"/>
    </row>
    <row r="232" spans="1:39" ht="21.9" customHeight="1" x14ac:dyDescent="0.25">
      <c r="B232" s="1332" t="s">
        <v>41</v>
      </c>
      <c r="C232" s="217"/>
      <c r="D232" s="217"/>
      <c r="E232" s="217" t="s">
        <v>19</v>
      </c>
      <c r="F232" s="217"/>
      <c r="G232" s="772">
        <f t="shared" ref="G232:AH232" si="26">G216*G15</f>
        <v>0</v>
      </c>
      <c r="H232" s="772">
        <f t="shared" si="26"/>
        <v>0</v>
      </c>
      <c r="I232" s="772">
        <f t="shared" si="26"/>
        <v>949608.15600626846</v>
      </c>
      <c r="J232" s="772">
        <f t="shared" si="26"/>
        <v>1016712.4851420308</v>
      </c>
      <c r="K232" s="772">
        <f t="shared" si="26"/>
        <v>1104689.4655055038</v>
      </c>
      <c r="L232" s="772">
        <f t="shared" si="26"/>
        <v>1282732.2073570043</v>
      </c>
      <c r="M232" s="772">
        <f t="shared" si="26"/>
        <v>1467130.6039333011</v>
      </c>
      <c r="N232" s="772">
        <f t="shared" si="26"/>
        <v>1657897.5442478114</v>
      </c>
      <c r="O232" s="772">
        <f t="shared" si="26"/>
        <v>1855023.7759422509</v>
      </c>
      <c r="P232" s="772">
        <f t="shared" si="26"/>
        <v>2059120.4389350573</v>
      </c>
      <c r="Q232" s="772">
        <f t="shared" si="26"/>
        <v>2264858.1568864272</v>
      </c>
      <c r="R232" s="772">
        <f t="shared" si="26"/>
        <v>2470635.9184301435</v>
      </c>
      <c r="S232" s="772">
        <f t="shared" si="26"/>
        <v>2676365.9222017168</v>
      </c>
      <c r="T232" s="772">
        <f t="shared" si="26"/>
        <v>2882103.6401530867</v>
      </c>
      <c r="U232" s="772">
        <f t="shared" si="26"/>
        <v>3088047.9769832785</v>
      </c>
      <c r="V232" s="772">
        <f t="shared" si="26"/>
        <v>3206221.4141805195</v>
      </c>
      <c r="W232" s="772">
        <f t="shared" si="26"/>
        <v>3267173.7717134464</v>
      </c>
      <c r="X232" s="772">
        <f t="shared" si="26"/>
        <v>3328128.7294392129</v>
      </c>
      <c r="Y232" s="772">
        <f t="shared" si="26"/>
        <v>3389083.6871649809</v>
      </c>
      <c r="Z232" s="772">
        <f t="shared" si="26"/>
        <v>3450084.7389721354</v>
      </c>
      <c r="AA232" s="772">
        <f t="shared" si="26"/>
        <v>3511039.6966979015</v>
      </c>
      <c r="AB232" s="772">
        <f t="shared" si="26"/>
        <v>3572040.7485050564</v>
      </c>
      <c r="AC232" s="772">
        <f t="shared" si="26"/>
        <v>3632995.706230823</v>
      </c>
      <c r="AD232" s="772">
        <f t="shared" si="26"/>
        <v>3693950.66395659</v>
      </c>
      <c r="AE232" s="772">
        <f t="shared" si="26"/>
        <v>3754949.1155709052</v>
      </c>
      <c r="AF232" s="772">
        <f t="shared" si="26"/>
        <v>3815904.0732966722</v>
      </c>
      <c r="AG232" s="772">
        <f t="shared" si="26"/>
        <v>3876859.0310224388</v>
      </c>
      <c r="AH232" s="773">
        <f t="shared" si="26"/>
        <v>3937860.0828295937</v>
      </c>
      <c r="AI232" s="39"/>
      <c r="AJ232" s="39"/>
      <c r="AK232" s="39"/>
      <c r="AL232" s="39"/>
      <c r="AM232" s="39"/>
    </row>
    <row r="233" spans="1:39" ht="21.9" customHeight="1" x14ac:dyDescent="0.25">
      <c r="B233" s="1332"/>
      <c r="C233" s="114"/>
      <c r="D233" s="114"/>
      <c r="E233" s="114" t="s">
        <v>434</v>
      </c>
      <c r="F233" s="114"/>
      <c r="G233" s="783">
        <f t="shared" ref="G233:AH233" si="27">G217*G15</f>
        <v>0</v>
      </c>
      <c r="H233" s="783">
        <f t="shared" si="27"/>
        <v>0</v>
      </c>
      <c r="I233" s="783">
        <f t="shared" si="27"/>
        <v>301307.05285177275</v>
      </c>
      <c r="J233" s="783">
        <f t="shared" si="27"/>
        <v>322640.42788825248</v>
      </c>
      <c r="K233" s="783">
        <f t="shared" si="27"/>
        <v>350794.5618594042</v>
      </c>
      <c r="L233" s="783">
        <f t="shared" si="27"/>
        <v>408056.48208464839</v>
      </c>
      <c r="M233" s="783">
        <f t="shared" si="27"/>
        <v>467363.81077944202</v>
      </c>
      <c r="N233" s="783">
        <f t="shared" si="27"/>
        <v>528721.38151243946</v>
      </c>
      <c r="O233" s="783">
        <f t="shared" si="27"/>
        <v>592125.75472204143</v>
      </c>
      <c r="P233" s="783">
        <f t="shared" si="27"/>
        <v>657773.65685642837</v>
      </c>
      <c r="Q233" s="783">
        <f t="shared" si="27"/>
        <v>724131.17224427999</v>
      </c>
      <c r="R233" s="783">
        <f t="shared" si="27"/>
        <v>790501.34846674686</v>
      </c>
      <c r="S233" s="783">
        <f t="shared" si="27"/>
        <v>856856.27085298637</v>
      </c>
      <c r="T233" s="783">
        <f t="shared" si="27"/>
        <v>923213.78624083835</v>
      </c>
      <c r="U233" s="783">
        <f t="shared" si="27"/>
        <v>989638.00260162097</v>
      </c>
      <c r="V233" s="783">
        <f t="shared" si="27"/>
        <v>1027650.2742561676</v>
      </c>
      <c r="W233" s="783">
        <f t="shared" si="27"/>
        <v>1047036.1535569618</v>
      </c>
      <c r="X233" s="783">
        <f t="shared" si="27"/>
        <v>1066422.9068721561</v>
      </c>
      <c r="Y233" s="783">
        <f t="shared" si="27"/>
        <v>1085809.6601873504</v>
      </c>
      <c r="Z233" s="783">
        <f t="shared" si="27"/>
        <v>1105211.1824540992</v>
      </c>
      <c r="AA233" s="783">
        <f t="shared" si="27"/>
        <v>1124597.9357692937</v>
      </c>
      <c r="AB233" s="783">
        <f t="shared" si="27"/>
        <v>1143999.4580360416</v>
      </c>
      <c r="AC233" s="783">
        <f t="shared" si="27"/>
        <v>1163386.2113512361</v>
      </c>
      <c r="AD233" s="783">
        <f t="shared" si="27"/>
        <v>1182772.9646664306</v>
      </c>
      <c r="AE233" s="783">
        <f t="shared" si="27"/>
        <v>1202173.6129187786</v>
      </c>
      <c r="AF233" s="783">
        <f t="shared" si="27"/>
        <v>1221560.3662339731</v>
      </c>
      <c r="AG233" s="783">
        <f t="shared" si="27"/>
        <v>1240947.1195491678</v>
      </c>
      <c r="AH233" s="775">
        <f t="shared" si="27"/>
        <v>1260348.6418159159</v>
      </c>
      <c r="AI233" s="39"/>
      <c r="AJ233" s="39"/>
      <c r="AK233" s="39"/>
      <c r="AL233" s="39"/>
      <c r="AM233" s="39"/>
    </row>
    <row r="234" spans="1:39" ht="21.9" customHeight="1" x14ac:dyDescent="0.25">
      <c r="B234" s="1332"/>
      <c r="C234" s="114"/>
      <c r="D234" s="114"/>
      <c r="E234" s="746" t="s">
        <v>25</v>
      </c>
      <c r="F234" s="237"/>
      <c r="G234" s="776">
        <f>G232+G233</f>
        <v>0</v>
      </c>
      <c r="H234" s="776">
        <f>H232+H233</f>
        <v>0</v>
      </c>
      <c r="I234" s="776">
        <f t="shared" ref="I234:AH234" si="28">I232+I233</f>
        <v>1250915.2088580411</v>
      </c>
      <c r="J234" s="776">
        <f t="shared" si="28"/>
        <v>1339352.9130302833</v>
      </c>
      <c r="K234" s="776">
        <f t="shared" si="28"/>
        <v>1455484.027364908</v>
      </c>
      <c r="L234" s="776">
        <f t="shared" si="28"/>
        <v>1690788.6894416527</v>
      </c>
      <c r="M234" s="776">
        <f t="shared" si="28"/>
        <v>1934494.4147127431</v>
      </c>
      <c r="N234" s="776">
        <f t="shared" si="28"/>
        <v>2186618.925760251</v>
      </c>
      <c r="O234" s="776">
        <f t="shared" si="28"/>
        <v>2447149.5306642922</v>
      </c>
      <c r="P234" s="776">
        <f t="shared" si="28"/>
        <v>2716894.0957914856</v>
      </c>
      <c r="Q234" s="776">
        <f t="shared" si="28"/>
        <v>2988989.3291307073</v>
      </c>
      <c r="R234" s="776">
        <f t="shared" si="28"/>
        <v>3261137.2668968905</v>
      </c>
      <c r="S234" s="776">
        <f t="shared" si="28"/>
        <v>3533222.1930547031</v>
      </c>
      <c r="T234" s="776">
        <f t="shared" si="28"/>
        <v>3805317.4263939252</v>
      </c>
      <c r="U234" s="776">
        <f t="shared" si="28"/>
        <v>4077685.9795848997</v>
      </c>
      <c r="V234" s="776">
        <f t="shared" si="28"/>
        <v>4233871.688436687</v>
      </c>
      <c r="W234" s="776">
        <f t="shared" si="28"/>
        <v>4314209.9252704084</v>
      </c>
      <c r="X234" s="776">
        <f t="shared" si="28"/>
        <v>4394551.636311369</v>
      </c>
      <c r="Y234" s="776">
        <f t="shared" si="28"/>
        <v>4474893.3473523315</v>
      </c>
      <c r="Z234" s="776">
        <f t="shared" si="28"/>
        <v>4555295.9214262348</v>
      </c>
      <c r="AA234" s="776">
        <f t="shared" si="28"/>
        <v>4635637.6324671954</v>
      </c>
      <c r="AB234" s="776">
        <f t="shared" si="28"/>
        <v>4716040.2065410977</v>
      </c>
      <c r="AC234" s="776">
        <f t="shared" si="28"/>
        <v>4796381.9175820593</v>
      </c>
      <c r="AD234" s="776">
        <f t="shared" si="28"/>
        <v>4876723.6286230208</v>
      </c>
      <c r="AE234" s="776">
        <f t="shared" si="28"/>
        <v>4957122.7284896839</v>
      </c>
      <c r="AF234" s="776">
        <f t="shared" si="28"/>
        <v>5037464.4395306455</v>
      </c>
      <c r="AG234" s="776">
        <f t="shared" si="28"/>
        <v>5117806.1505716071</v>
      </c>
      <c r="AH234" s="777">
        <f t="shared" si="28"/>
        <v>5198208.7246455094</v>
      </c>
      <c r="AI234" s="39"/>
      <c r="AJ234" s="39"/>
      <c r="AK234" s="39"/>
      <c r="AL234" s="39"/>
      <c r="AM234" s="39"/>
    </row>
    <row r="235" spans="1:39" ht="21.9" customHeight="1" x14ac:dyDescent="0.25">
      <c r="B235" s="1332" t="s">
        <v>40</v>
      </c>
      <c r="C235" s="217"/>
      <c r="D235" s="217"/>
      <c r="E235" s="217" t="s">
        <v>19</v>
      </c>
      <c r="F235" s="217"/>
      <c r="G235" s="783">
        <f t="shared" ref="G235:AH235" si="29">G219*G16</f>
        <v>0</v>
      </c>
      <c r="H235" s="783">
        <f t="shared" si="29"/>
        <v>0</v>
      </c>
      <c r="I235" s="783">
        <f t="shared" si="29"/>
        <v>19475991.785884731</v>
      </c>
      <c r="J235" s="783">
        <f t="shared" si="29"/>
        <v>21039645.614127532</v>
      </c>
      <c r="K235" s="783">
        <f t="shared" si="29"/>
        <v>22959482.84091768</v>
      </c>
      <c r="L235" s="783">
        <f t="shared" si="29"/>
        <v>26618647.620334923</v>
      </c>
      <c r="M235" s="783">
        <f t="shared" si="29"/>
        <v>30387717.583197325</v>
      </c>
      <c r="N235" s="783">
        <f t="shared" si="29"/>
        <v>34403955.353662625</v>
      </c>
      <c r="O235" s="783">
        <f t="shared" si="29"/>
        <v>38251370.156940997</v>
      </c>
      <c r="P235" s="783">
        <f t="shared" si="29"/>
        <v>42348495.331128858</v>
      </c>
      <c r="Q235" s="783">
        <f t="shared" si="29"/>
        <v>47485980.628414243</v>
      </c>
      <c r="R235" s="783">
        <f t="shared" si="29"/>
        <v>52393539.215547398</v>
      </c>
      <c r="S235" s="783">
        <f t="shared" si="29"/>
        <v>57827226.998951666</v>
      </c>
      <c r="T235" s="783">
        <f t="shared" si="29"/>
        <v>63195080.028863922</v>
      </c>
      <c r="U235" s="783">
        <f t="shared" si="29"/>
        <v>68699242.178598985</v>
      </c>
      <c r="V235" s="783">
        <f t="shared" si="29"/>
        <v>72354530.559250906</v>
      </c>
      <c r="W235" s="783">
        <f t="shared" si="29"/>
        <v>75037307.480204612</v>
      </c>
      <c r="X235" s="783">
        <f t="shared" si="29"/>
        <v>77236258.146311611</v>
      </c>
      <c r="Y235" s="783">
        <f t="shared" si="29"/>
        <v>79735685.978333741</v>
      </c>
      <c r="Z235" s="783">
        <f t="shared" si="29"/>
        <v>82551327.559551954</v>
      </c>
      <c r="AA235" s="783">
        <f t="shared" si="29"/>
        <v>85133694.30357866</v>
      </c>
      <c r="AB235" s="783">
        <f t="shared" si="29"/>
        <v>88042067.466592446</v>
      </c>
      <c r="AC235" s="783">
        <f t="shared" si="29"/>
        <v>90707373.122623771</v>
      </c>
      <c r="AD235" s="783">
        <f t="shared" si="29"/>
        <v>93707308.563156873</v>
      </c>
      <c r="AE235" s="783">
        <f t="shared" si="29"/>
        <v>96456655.642045841</v>
      </c>
      <c r="AF235" s="783">
        <f t="shared" si="29"/>
        <v>99549288.426065341</v>
      </c>
      <c r="AG235" s="783">
        <f t="shared" si="29"/>
        <v>102690700.12618868</v>
      </c>
      <c r="AH235" s="775">
        <f t="shared" si="29"/>
        <v>105882130.13117552</v>
      </c>
      <c r="AI235" s="39"/>
      <c r="AJ235" s="39"/>
      <c r="AK235" s="39"/>
      <c r="AL235" s="39"/>
      <c r="AM235" s="39"/>
    </row>
    <row r="236" spans="1:39" ht="21.9" customHeight="1" x14ac:dyDescent="0.25">
      <c r="B236" s="1332"/>
      <c r="C236" s="114"/>
      <c r="D236" s="114"/>
      <c r="E236" s="114" t="s">
        <v>434</v>
      </c>
      <c r="F236" s="114"/>
      <c r="G236" s="783">
        <f t="shared" ref="G236:AH236" si="30">G220*G16</f>
        <v>0</v>
      </c>
      <c r="H236" s="783">
        <f t="shared" si="30"/>
        <v>0</v>
      </c>
      <c r="I236" s="783">
        <f t="shared" si="30"/>
        <v>64197602.265211843</v>
      </c>
      <c r="J236" s="783">
        <f t="shared" si="30"/>
        <v>69360691.181041852</v>
      </c>
      <c r="K236" s="783">
        <f t="shared" si="30"/>
        <v>75740663.38133803</v>
      </c>
      <c r="L236" s="783">
        <f t="shared" si="30"/>
        <v>87967982.63361764</v>
      </c>
      <c r="M236" s="783">
        <f t="shared" si="30"/>
        <v>100563122.41004454</v>
      </c>
      <c r="N236" s="783">
        <f t="shared" si="30"/>
        <v>113980858.6624551</v>
      </c>
      <c r="O236" s="783">
        <f t="shared" si="30"/>
        <v>126842803.00117567</v>
      </c>
      <c r="P236" s="783">
        <f t="shared" si="30"/>
        <v>140535833.82040703</v>
      </c>
      <c r="Q236" s="783">
        <f t="shared" si="30"/>
        <v>157723356.09602883</v>
      </c>
      <c r="R236" s="783">
        <f t="shared" si="30"/>
        <v>174150996.55877969</v>
      </c>
      <c r="S236" s="783">
        <f t="shared" si="30"/>
        <v>192330968.50786084</v>
      </c>
      <c r="T236" s="783">
        <f t="shared" si="30"/>
        <v>210295664.32369673</v>
      </c>
      <c r="U236" s="783">
        <f t="shared" si="30"/>
        <v>228717099.55991849</v>
      </c>
      <c r="V236" s="783">
        <f t="shared" si="30"/>
        <v>240919484.79164693</v>
      </c>
      <c r="W236" s="783">
        <f t="shared" si="30"/>
        <v>249816459.78873962</v>
      </c>
      <c r="X236" s="783">
        <f t="shared" si="30"/>
        <v>257101693.94556844</v>
      </c>
      <c r="Y236" s="783">
        <f t="shared" si="30"/>
        <v>265386304.23994255</v>
      </c>
      <c r="Z236" s="783">
        <f t="shared" si="30"/>
        <v>274722312.60639882</v>
      </c>
      <c r="AA236" s="783">
        <f t="shared" si="30"/>
        <v>283280959.97381264</v>
      </c>
      <c r="AB236" s="783">
        <f t="shared" si="30"/>
        <v>292923362.07094669</v>
      </c>
      <c r="AC236" s="783">
        <f t="shared" si="30"/>
        <v>301756046.51140058</v>
      </c>
      <c r="AD236" s="783">
        <f t="shared" si="30"/>
        <v>311700950.21758735</v>
      </c>
      <c r="AE236" s="783">
        <f t="shared" si="30"/>
        <v>320811330.6137464</v>
      </c>
      <c r="AF236" s="783">
        <f t="shared" si="30"/>
        <v>331062513.91572964</v>
      </c>
      <c r="AG236" s="783">
        <f t="shared" si="30"/>
        <v>341474866.60659236</v>
      </c>
      <c r="AH236" s="775">
        <f t="shared" si="30"/>
        <v>352052514.08969718</v>
      </c>
      <c r="AI236" s="39"/>
      <c r="AJ236" s="39"/>
      <c r="AK236" s="39"/>
      <c r="AL236" s="39"/>
      <c r="AM236" s="39"/>
    </row>
    <row r="237" spans="1:39" ht="21.9" customHeight="1" thickBot="1" x14ac:dyDescent="0.3">
      <c r="B237" s="1333"/>
      <c r="C237" s="274"/>
      <c r="D237" s="274"/>
      <c r="E237" s="762" t="s">
        <v>25</v>
      </c>
      <c r="F237" s="762"/>
      <c r="G237" s="779">
        <f>G235+G236</f>
        <v>0</v>
      </c>
      <c r="H237" s="779">
        <f>H235+H236</f>
        <v>0</v>
      </c>
      <c r="I237" s="779">
        <f t="shared" ref="I237:AH237" si="31">I235+I236</f>
        <v>83673594.051096573</v>
      </c>
      <c r="J237" s="779">
        <f t="shared" si="31"/>
        <v>90400336.795169383</v>
      </c>
      <c r="K237" s="779">
        <f t="shared" si="31"/>
        <v>98700146.222255707</v>
      </c>
      <c r="L237" s="779">
        <f t="shared" si="31"/>
        <v>114586630.25395256</v>
      </c>
      <c r="M237" s="779">
        <f t="shared" si="31"/>
        <v>130950839.99324186</v>
      </c>
      <c r="N237" s="779">
        <f t="shared" si="31"/>
        <v>148384814.01611772</v>
      </c>
      <c r="O237" s="779">
        <f t="shared" si="31"/>
        <v>165094173.15811667</v>
      </c>
      <c r="P237" s="779">
        <f t="shared" si="31"/>
        <v>182884329.1515359</v>
      </c>
      <c r="Q237" s="779">
        <f t="shared" si="31"/>
        <v>205209336.72444308</v>
      </c>
      <c r="R237" s="779">
        <f t="shared" si="31"/>
        <v>226544535.7743271</v>
      </c>
      <c r="S237" s="779">
        <f t="shared" si="31"/>
        <v>250158195.50681251</v>
      </c>
      <c r="T237" s="779">
        <f t="shared" si="31"/>
        <v>273490744.35256064</v>
      </c>
      <c r="U237" s="779">
        <f t="shared" si="31"/>
        <v>297416341.73851746</v>
      </c>
      <c r="V237" s="779">
        <f t="shared" si="31"/>
        <v>313274015.35089785</v>
      </c>
      <c r="W237" s="779">
        <f t="shared" si="31"/>
        <v>324853767.26894426</v>
      </c>
      <c r="X237" s="779">
        <f t="shared" si="31"/>
        <v>334337952.09188008</v>
      </c>
      <c r="Y237" s="779">
        <f t="shared" si="31"/>
        <v>345121990.21827626</v>
      </c>
      <c r="Z237" s="779">
        <f t="shared" si="31"/>
        <v>357273640.16595078</v>
      </c>
      <c r="AA237" s="779">
        <f t="shared" si="31"/>
        <v>368414654.27739131</v>
      </c>
      <c r="AB237" s="779">
        <f t="shared" si="31"/>
        <v>380965429.53753912</v>
      </c>
      <c r="AC237" s="779">
        <f t="shared" si="31"/>
        <v>392463419.63402438</v>
      </c>
      <c r="AD237" s="779">
        <f t="shared" si="31"/>
        <v>405408258.78074419</v>
      </c>
      <c r="AE237" s="779">
        <f t="shared" si="31"/>
        <v>417267986.25579226</v>
      </c>
      <c r="AF237" s="779">
        <f t="shared" si="31"/>
        <v>430611802.34179497</v>
      </c>
      <c r="AG237" s="779">
        <f t="shared" si="31"/>
        <v>444165566.73278105</v>
      </c>
      <c r="AH237" s="780">
        <f t="shared" si="31"/>
        <v>457934644.2208727</v>
      </c>
      <c r="AI237" s="39"/>
      <c r="AJ237" s="39"/>
      <c r="AK237" s="39"/>
      <c r="AL237" s="39"/>
      <c r="AM237" s="39"/>
    </row>
    <row r="238" spans="1:39" ht="21.9" customHeight="1" x14ac:dyDescent="0.25">
      <c r="B238" s="9"/>
      <c r="F238"/>
      <c r="G238" s="24"/>
      <c r="H238" s="24"/>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row>
    <row r="239" spans="1:39" ht="21.9" customHeight="1" x14ac:dyDescent="0.25">
      <c r="K239" s="2"/>
      <c r="L239" s="2"/>
      <c r="M239" s="2"/>
      <c r="N239" s="2"/>
      <c r="O239" s="2"/>
    </row>
    <row r="240" spans="1:39" ht="21.9" customHeight="1" x14ac:dyDescent="0.25">
      <c r="A240" s="223" t="s">
        <v>87</v>
      </c>
      <c r="B240" s="771" t="s">
        <v>452</v>
      </c>
      <c r="K240" s="2"/>
      <c r="L240" s="2"/>
      <c r="M240" s="2"/>
      <c r="N240" s="2"/>
      <c r="O240" s="2"/>
    </row>
    <row r="241" spans="2:39" ht="21.9" customHeight="1" x14ac:dyDescent="0.25">
      <c r="K241" s="2"/>
      <c r="L241" s="2"/>
      <c r="M241" s="2"/>
      <c r="N241" s="2"/>
      <c r="O241" s="2"/>
    </row>
    <row r="242" spans="2:39" ht="21.9" customHeight="1" x14ac:dyDescent="0.25">
      <c r="B242" s="443"/>
      <c r="C242" s="443"/>
      <c r="D242" s="443"/>
      <c r="E242" s="443"/>
      <c r="F242" s="443"/>
      <c r="G242" s="247"/>
      <c r="H242" s="247"/>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c r="AF242" s="246"/>
      <c r="AG242" s="246"/>
      <c r="AH242" s="246"/>
      <c r="AI242" s="246"/>
      <c r="AJ242" s="246"/>
      <c r="AK242" s="246"/>
      <c r="AL242" s="246"/>
      <c r="AM242" s="246"/>
    </row>
    <row r="243" spans="2:39" ht="21.9" customHeight="1" thickBot="1" x14ac:dyDescent="0.3">
      <c r="B243" s="523" t="s">
        <v>465</v>
      </c>
      <c r="K243" s="2"/>
      <c r="L243" s="2"/>
      <c r="M243" s="2"/>
      <c r="N243" s="2"/>
      <c r="O243" s="2"/>
      <c r="AI243" s="40"/>
      <c r="AJ243" s="40"/>
      <c r="AK243" s="40"/>
      <c r="AL243" s="40"/>
      <c r="AM243" s="40"/>
    </row>
    <row r="244" spans="2:39" ht="21.9" customHeight="1" x14ac:dyDescent="0.25">
      <c r="B244" s="548" t="s">
        <v>312</v>
      </c>
      <c r="C244" s="1331" t="s">
        <v>18</v>
      </c>
      <c r="D244" s="1331"/>
      <c r="E244" s="197" t="s">
        <v>24</v>
      </c>
      <c r="F244" s="197" t="s">
        <v>42</v>
      </c>
      <c r="G244" s="459">
        <v>2021</v>
      </c>
      <c r="H244" s="459">
        <v>2022</v>
      </c>
      <c r="I244" s="459">
        <v>2023</v>
      </c>
      <c r="J244" s="459">
        <v>2024</v>
      </c>
      <c r="K244" s="459">
        <v>2025</v>
      </c>
      <c r="L244" s="459">
        <v>2026</v>
      </c>
      <c r="M244" s="459">
        <v>2027</v>
      </c>
      <c r="N244" s="459">
        <v>2028</v>
      </c>
      <c r="O244" s="459">
        <v>2029</v>
      </c>
      <c r="P244" s="459">
        <v>2030</v>
      </c>
      <c r="Q244" s="459">
        <v>2031</v>
      </c>
      <c r="R244" s="459">
        <v>2032</v>
      </c>
      <c r="S244" s="459">
        <v>2033</v>
      </c>
      <c r="T244" s="459">
        <v>2034</v>
      </c>
      <c r="U244" s="459">
        <v>2035</v>
      </c>
      <c r="V244" s="459">
        <v>2036</v>
      </c>
      <c r="W244" s="459">
        <v>2037</v>
      </c>
      <c r="X244" s="459">
        <v>2038</v>
      </c>
      <c r="Y244" s="459">
        <v>2039</v>
      </c>
      <c r="Z244" s="459">
        <v>2040</v>
      </c>
      <c r="AA244" s="459">
        <v>2041</v>
      </c>
      <c r="AB244" s="459">
        <v>2042</v>
      </c>
      <c r="AC244" s="459">
        <v>2043</v>
      </c>
      <c r="AD244" s="459">
        <v>2044</v>
      </c>
      <c r="AE244" s="459">
        <v>2045</v>
      </c>
      <c r="AF244" s="459">
        <v>2046</v>
      </c>
      <c r="AG244" s="459">
        <v>2047</v>
      </c>
      <c r="AH244" s="459">
        <v>2048</v>
      </c>
      <c r="AI244" s="247"/>
      <c r="AJ244" s="247"/>
      <c r="AK244" s="247"/>
      <c r="AL244" s="247"/>
      <c r="AM244" s="247"/>
    </row>
    <row r="245" spans="2:39" ht="21.9" customHeight="1" x14ac:dyDescent="0.25">
      <c r="B245" s="1332" t="s">
        <v>315</v>
      </c>
      <c r="C245" s="217" t="s">
        <v>316</v>
      </c>
      <c r="D245" s="217" t="s">
        <v>276</v>
      </c>
      <c r="E245" s="217" t="s">
        <v>19</v>
      </c>
      <c r="F245" s="217" t="s">
        <v>43</v>
      </c>
      <c r="G245" s="749"/>
      <c r="H245" s="749"/>
      <c r="I245" s="749">
        <f>$E$21*$E$8*'Traffic Data'!AK27*annualizationFactor</f>
        <v>0.50885146399999992</v>
      </c>
      <c r="J245" s="749">
        <f>$E$21*$E$8*'Traffic Data'!AL27*annualizationFactor</f>
        <v>0.53198989416457487</v>
      </c>
      <c r="K245" s="749">
        <f>$E$21*$E$8*'Traffic Data'!AM27*annualizationFactor</f>
        <v>0.56458978123790005</v>
      </c>
      <c r="L245" s="749">
        <f>$E$21*$E$8*'Traffic Data'!AN27*annualizationFactor</f>
        <v>0.61254267107659988</v>
      </c>
      <c r="M245" s="749">
        <f>$E$21*$E$8*'Traffic Data'!AO27*annualizationFactor</f>
        <v>0.66051305268437488</v>
      </c>
      <c r="N245" s="749">
        <f>$E$21*$E$8*'Traffic Data'!AP27*annualizationFactor</f>
        <v>0.70848343429214977</v>
      </c>
      <c r="O245" s="749">
        <f>$E$21*$E$8*'Traffic Data'!AQ27*annualizationFactor</f>
        <v>0.75643632413084982</v>
      </c>
      <c r="P245" s="749">
        <f>$E$21*$E$8*'Traffic Data'!AR27*annualizationFactor</f>
        <v>0.80442419750769967</v>
      </c>
      <c r="Q245" s="749">
        <f>$E$21*$E$8*'Traffic Data'!AS27*annualizationFactor</f>
        <v>0.85184438347002489</v>
      </c>
      <c r="R245" s="749">
        <f>$E$21*$E$8*'Traffic Data'!AT27*annualizationFactor</f>
        <v>0.89927411039729988</v>
      </c>
      <c r="S245" s="749">
        <f>$E$21*$E$8*'Traffic Data'!AU27*annualizationFactor</f>
        <v>0.9466942963596251</v>
      </c>
      <c r="T245" s="749">
        <f>$E$21*$E$8*'Traffic Data'!AV27*annualizationFactor</f>
        <v>0.99411448232194988</v>
      </c>
      <c r="U245" s="749">
        <f>$E$21*$E$8*'Traffic Data'!AW27*annualizationFactor</f>
        <v>1.0415696518224249</v>
      </c>
      <c r="V245" s="749">
        <f>$E$21*$E$8*'Traffic Data'!AX27*annualizationFactor</f>
        <v>1.0736193432502998</v>
      </c>
      <c r="W245" s="749">
        <f>$E$21*$E$8*'Traffic Data'!AY27*annualizationFactor</f>
        <v>1.0967577734148748</v>
      </c>
      <c r="X245" s="749">
        <f>$E$21*$E$8*'Traffic Data'!AZ27*annualizationFactor</f>
        <v>1.1198962035794497</v>
      </c>
      <c r="Y245" s="749">
        <f>$E$21*$E$8*'Traffic Data'!BA27*annualizationFactor</f>
        <v>1.1430346337440247</v>
      </c>
      <c r="Z245" s="749">
        <f>$E$21*$E$8*'Traffic Data'!BB27*annualizationFactor</f>
        <v>1.166181014712725</v>
      </c>
      <c r="AA245" s="749">
        <f>$E$21*$E$8*'Traffic Data'!BC27*annualizationFactor</f>
        <v>1.1893194448772999</v>
      </c>
      <c r="AB245" s="749">
        <f>$E$21*$E$8*'Traffic Data'!BD27*annualizationFactor</f>
        <v>1.2124658258459995</v>
      </c>
      <c r="AC245" s="749">
        <f>$E$21*$E$8*'Traffic Data'!BE27*annualizationFactor</f>
        <v>1.2356042560105749</v>
      </c>
      <c r="AD245" s="749">
        <f>$E$21*$E$8*'Traffic Data'!BF27*annualizationFactor</f>
        <v>1.2587426861751496</v>
      </c>
      <c r="AE245" s="749">
        <f>$E$21*$E$8*'Traffic Data'!BG27*annualizationFactor</f>
        <v>1.2818890671438496</v>
      </c>
      <c r="AF245" s="749">
        <f>$E$21*$E$8*'Traffic Data'!BH27*annualizationFactor</f>
        <v>1.3050274973084248</v>
      </c>
      <c r="AG245" s="749">
        <f>$E$21*$E$8*'Traffic Data'!BI27*annualizationFactor</f>
        <v>1.3281659274729998</v>
      </c>
      <c r="AH245" s="750">
        <f>$E$21*$E$8*'Traffic Data'!BJ27*annualizationFactor</f>
        <v>1.3513123084416996</v>
      </c>
      <c r="AI245" s="40"/>
      <c r="AJ245" s="40"/>
      <c r="AK245" s="40"/>
      <c r="AL245" s="40"/>
      <c r="AM245" s="40"/>
    </row>
    <row r="246" spans="2:39" ht="21.9" customHeight="1" x14ac:dyDescent="0.25">
      <c r="B246" s="1332"/>
      <c r="C246" s="114" t="s">
        <v>276</v>
      </c>
      <c r="D246" s="114" t="s">
        <v>274</v>
      </c>
      <c r="E246" s="114" t="s">
        <v>19</v>
      </c>
      <c r="F246" s="114" t="s">
        <v>43</v>
      </c>
      <c r="G246" s="941"/>
      <c r="H246" s="941"/>
      <c r="I246" s="751">
        <f>$E$21*$E$8*'Traffic Data'!AK28*annualizationFactor</f>
        <v>16.362298383749998</v>
      </c>
      <c r="J246" s="751">
        <f>$E$21*$E$8*'Traffic Data'!AL28*annualizationFactor</f>
        <v>17.225985333991495</v>
      </c>
      <c r="K246" s="751">
        <f>$E$21*$E$8*'Traffic Data'!AM28*annualizationFactor</f>
        <v>18.52248537703575</v>
      </c>
      <c r="L246" s="751">
        <f>$E$21*$E$8*'Traffic Data'!AN28*annualizationFactor</f>
        <v>20.664492038783997</v>
      </c>
      <c r="M246" s="751">
        <f>$E$21*$E$8*'Traffic Data'!AO28*annualizationFactor</f>
        <v>22.807468318214248</v>
      </c>
      <c r="N246" s="751">
        <f>$E$21*$E$8*'Traffic Data'!AP28*annualizationFactor</f>
        <v>24.950323395434243</v>
      </c>
      <c r="O246" s="751">
        <f>$E$21*$E$8*'Traffic Data'!AQ28*annualizationFactor</f>
        <v>27.092330057182497</v>
      </c>
      <c r="P246" s="751">
        <f>$E$21*$E$8*'Traffic Data'!AR28*annualizationFactor</f>
        <v>29.236275954294744</v>
      </c>
      <c r="Q246" s="751">
        <f>$E$21*$E$8*'Traffic Data'!AS28*annualizationFactor</f>
        <v>31.399250598416241</v>
      </c>
      <c r="R246" s="751">
        <f>$E$21*$E$8*'Traffic Data'!AT28*annualizationFactor</f>
        <v>33.562952455799241</v>
      </c>
      <c r="S246" s="751">
        <f>$E$21*$E$8*'Traffic Data'!AU28*annualizationFactor</f>
        <v>35.725927099920739</v>
      </c>
      <c r="T246" s="751">
        <f>$E$21*$E$8*'Traffic Data'!AV28*annualizationFactor</f>
        <v>37.888901744042244</v>
      </c>
      <c r="U246" s="751">
        <f>$E$21*$E$8*'Traffic Data'!AW28*annualizationFactor</f>
        <v>40.05381562352774</v>
      </c>
      <c r="V246" s="751">
        <f>$E$21*$E$8*'Traffic Data'!AX28*annualizationFactor</f>
        <v>41.370314031263248</v>
      </c>
      <c r="W246" s="751">
        <f>$E$21*$E$8*'Traffic Data'!AY28*annualizationFactor</f>
        <v>42.234000981504735</v>
      </c>
      <c r="X246" s="751">
        <f>$E$21*$E$8*'Traffic Data'!AZ28*annualizationFactor</f>
        <v>43.097687931746243</v>
      </c>
      <c r="Y246" s="751">
        <f>$E$21*$E$8*'Traffic Data'!BA28*annualizationFactor</f>
        <v>43.961374881987759</v>
      </c>
      <c r="Z246" s="751">
        <f>$E$21*$E$8*'Traffic Data'!BB28*annualizationFactor</f>
        <v>44.82554664107024</v>
      </c>
      <c r="AA246" s="751">
        <f>$E$21*$E$8*'Traffic Data'!BC28*annualizationFactor</f>
        <v>45.689233591311741</v>
      </c>
      <c r="AB246" s="751">
        <f>$E$21*$E$8*'Traffic Data'!BD28*annualizationFactor</f>
        <v>46.55340535039425</v>
      </c>
      <c r="AC246" s="751">
        <f>$E$21*$E$8*'Traffic Data'!BE28*annualizationFactor</f>
        <v>47.417092300635744</v>
      </c>
      <c r="AD246" s="751">
        <f>$E$21*$E$8*'Traffic Data'!BF28*annualizationFactor</f>
        <v>48.280779250877252</v>
      </c>
      <c r="AE246" s="751">
        <f>$E$21*$E$8*'Traffic Data'!BG28*annualizationFactor</f>
        <v>49.144951009959755</v>
      </c>
      <c r="AF246" s="751">
        <f>$E$21*$E$8*'Traffic Data'!BH28*annualizationFactor</f>
        <v>50.008637960201241</v>
      </c>
      <c r="AG246" s="751">
        <f>$E$21*$E$8*'Traffic Data'!BI28*annualizationFactor</f>
        <v>50.872324910442742</v>
      </c>
      <c r="AH246" s="752">
        <f>$E$21*$E$8*'Traffic Data'!BJ28*annualizationFactor</f>
        <v>51.736496669525245</v>
      </c>
      <c r="AI246" s="40"/>
      <c r="AJ246" s="40"/>
      <c r="AK246" s="40"/>
      <c r="AL246" s="40"/>
      <c r="AM246" s="40"/>
    </row>
    <row r="247" spans="2:39" ht="21.9" customHeight="1" x14ac:dyDescent="0.25">
      <c r="B247" s="1332"/>
      <c r="C247" s="114" t="s">
        <v>274</v>
      </c>
      <c r="D247" s="114" t="s">
        <v>317</v>
      </c>
      <c r="E247" s="250" t="s">
        <v>19</v>
      </c>
      <c r="F247" s="250" t="s">
        <v>43</v>
      </c>
      <c r="G247" s="753"/>
      <c r="H247" s="753"/>
      <c r="I247" s="751">
        <f>$E$21*$E$8*'Traffic Data'!AK29*annualizationFactor</f>
        <v>0.38163859799999994</v>
      </c>
      <c r="J247" s="751">
        <f>$E$21*$E$8*'Traffic Data'!AL29*annualizationFactor</f>
        <v>0.39757518978814987</v>
      </c>
      <c r="K247" s="751">
        <f>$E$21*$E$8*'Traffic Data'!AM29*annualizationFactor</f>
        <v>0.41729954466144981</v>
      </c>
      <c r="L247" s="751">
        <f>$E$21*$E$8*'Traffic Data'!AN29*annualizationFactor</f>
        <v>0.44385523043894998</v>
      </c>
      <c r="M247" s="751">
        <f>$E$21*$E$8*'Traffic Data'!AO29*annualizationFactor</f>
        <v>0.47042045718139996</v>
      </c>
      <c r="N247" s="751">
        <f>$E$21*$E$8*'Traffic Data'!AP29*annualizationFactor</f>
        <v>0.49698250360220003</v>
      </c>
      <c r="O247" s="751">
        <f>$E$21*$E$8*'Traffic Data'!AQ29*annualizationFactor</f>
        <v>0.52353818937969998</v>
      </c>
      <c r="P247" s="751">
        <f>$E$21*$E$8*'Traffic Data'!AR29*annualizationFactor</f>
        <v>0.55011295708710006</v>
      </c>
      <c r="Q247" s="751">
        <f>$E$21*$E$8*'Traffic Data'!AS29*annualizationFactor</f>
        <v>0.57586084116549985</v>
      </c>
      <c r="R247" s="751">
        <f>$E$21*$E$8*'Traffic Data'!AT29*annualizationFactor</f>
        <v>0.60161826620884973</v>
      </c>
      <c r="S247" s="751">
        <f>$E$21*$E$8*'Traffic Data'!AU29*annualizationFactor</f>
        <v>0.62736615028724985</v>
      </c>
      <c r="T247" s="751">
        <f>$E$21*$E$8*'Traffic Data'!AV29*annualizationFactor</f>
        <v>0.65311403436564996</v>
      </c>
      <c r="U247" s="751">
        <f>$E$21*$E$8*'Traffic Data'!AW29*annualizationFactor</f>
        <v>0.67888100037395005</v>
      </c>
      <c r="V247" s="751">
        <f>$E$21*$E$8*'Traffic Data'!AX29*annualizationFactor</f>
        <v>0.69778801258319989</v>
      </c>
      <c r="W247" s="751">
        <f>$E$21*$E$8*'Traffic Data'!AY29*annualizationFactor</f>
        <v>0.71372460437134988</v>
      </c>
      <c r="X247" s="751">
        <f>$E$21*$E$8*'Traffic Data'!AZ29*annualizationFactor</f>
        <v>0.72966119615949976</v>
      </c>
      <c r="Y247" s="751">
        <f>$E$21*$E$8*'Traffic Data'!BA29*annualizationFactor</f>
        <v>0.74559778794764986</v>
      </c>
      <c r="Z247" s="751">
        <f>$E$21*$E$8*'Traffic Data'!BB29*annualizationFactor</f>
        <v>0.76154074037909991</v>
      </c>
      <c r="AA247" s="751">
        <f>$E$21*$E$8*'Traffic Data'!BC29*annualizationFactor</f>
        <v>0.77747733216724979</v>
      </c>
      <c r="AB247" s="751">
        <f>$E$21*$E$8*'Traffic Data'!BD29*annualizationFactor</f>
        <v>0.79342028459869995</v>
      </c>
      <c r="AC247" s="751">
        <f>$E$21*$E$8*'Traffic Data'!BE29*annualizationFactor</f>
        <v>0.80935687638685005</v>
      </c>
      <c r="AD247" s="751">
        <f>$E$21*$E$8*'Traffic Data'!BF29*annualizationFactor</f>
        <v>0.82529346817499971</v>
      </c>
      <c r="AE247" s="751">
        <f>$E$21*$E$8*'Traffic Data'!BG29*annualizationFactor</f>
        <v>0.84123642060644988</v>
      </c>
      <c r="AF247" s="751">
        <f>$E$21*$E$8*'Traffic Data'!BH29*annualizationFactor</f>
        <v>0.85717301239459986</v>
      </c>
      <c r="AG247" s="751">
        <f>$E$21*$E$8*'Traffic Data'!BI29*annualizationFactor</f>
        <v>0.87310960418274963</v>
      </c>
      <c r="AH247" s="752">
        <f>$E$21*$E$8*'Traffic Data'!BJ29*annualizationFactor</f>
        <v>0.88905255661419991</v>
      </c>
      <c r="AI247" s="40"/>
      <c r="AJ247" s="40"/>
      <c r="AK247" s="40"/>
      <c r="AL247" s="40"/>
      <c r="AM247" s="40"/>
    </row>
    <row r="248" spans="2:39" ht="21.9" customHeight="1" x14ac:dyDescent="0.25">
      <c r="B248" s="1332" t="s">
        <v>274</v>
      </c>
      <c r="C248" s="217" t="s">
        <v>275</v>
      </c>
      <c r="D248" s="217" t="s">
        <v>318</v>
      </c>
      <c r="E248" s="114" t="s">
        <v>19</v>
      </c>
      <c r="F248" s="114" t="s">
        <v>43</v>
      </c>
      <c r="G248" s="941"/>
      <c r="H248" s="941"/>
      <c r="I248" s="749">
        <f>$E$21*$F$8*'Traffic Data'!AK30*annualizationFactor</f>
        <v>3.15293132</v>
      </c>
      <c r="J248" s="749">
        <f>$E$21*$F$8*'Traffic Data'!AL30*annualizationFactor</f>
        <v>3.4718660876745999</v>
      </c>
      <c r="K248" s="749">
        <f>$E$21*$F$8*'Traffic Data'!AM30*annualizationFactor</f>
        <v>4.1849172703491995</v>
      </c>
      <c r="L248" s="749">
        <f>$E$21*$F$8*'Traffic Data'!AN30*annualizationFactor</f>
        <v>5.6171363224592001</v>
      </c>
      <c r="M248" s="749">
        <f>$E$21*$F$8*'Traffic Data'!AO30*annualizationFactor</f>
        <v>7.0502381953387996</v>
      </c>
      <c r="N248" s="749">
        <f>$E$21*$F$8*'Traffic Data'!AP30*annualizationFactor</f>
        <v>8.4831824216523977</v>
      </c>
      <c r="O248" s="749">
        <f>$E$21*$F$8*'Traffic Data'!AQ30*annualizationFactor</f>
        <v>9.9154014737623974</v>
      </c>
      <c r="P248" s="749">
        <f>$E$21*$F$8*'Traffic Data'!AR30*annualizationFactor</f>
        <v>11.349386167411598</v>
      </c>
      <c r="Q248" s="749">
        <f>$E$21*$F$8*'Traffic Data'!AS30*annualizationFactor</f>
        <v>12.756476356901198</v>
      </c>
      <c r="R248" s="749">
        <f>$E$21*$F$8*'Traffic Data'!AT30*annualizationFactor</f>
        <v>14.164275955937795</v>
      </c>
      <c r="S248" s="749">
        <f>$E$21*$F$8*'Traffic Data'!AU30*annualizationFactor</f>
        <v>15.571366145427396</v>
      </c>
      <c r="T248" s="749">
        <f>$E$21*$F$8*'Traffic Data'!AV30*annualizationFactor</f>
        <v>16.978456334916999</v>
      </c>
      <c r="U248" s="749">
        <f>$E$21*$F$8*'Traffic Data'!AW30*annualizationFactor</f>
        <v>18.387312165945797</v>
      </c>
      <c r="V248" s="749">
        <f>$E$21*$F$8*'Traffic Data'!AX30*annualizationFactor</f>
        <v>19.074351665230395</v>
      </c>
      <c r="W248" s="749">
        <f>$E$21*$F$8*'Traffic Data'!AY30*annualizationFactor</f>
        <v>19.393286432904997</v>
      </c>
      <c r="X248" s="749">
        <f>$E$21*$F$8*'Traffic Data'!AZ30*annualizationFactor</f>
        <v>19.712221200579599</v>
      </c>
      <c r="Y248" s="749">
        <f>$E$21*$F$8*'Traffic Data'!BA30*annualizationFactor</f>
        <v>20.031155968254197</v>
      </c>
      <c r="Z248" s="749">
        <f>$E$21*$F$8*'Traffic Data'!BB30*annualizationFactor</f>
        <v>20.350579440283397</v>
      </c>
      <c r="AA248" s="749">
        <f>$E$21*$F$8*'Traffic Data'!BC30*annualizationFactor</f>
        <v>20.669514207957999</v>
      </c>
      <c r="AB248" s="749">
        <f>$E$21*$F$8*'Traffic Data'!BD30*annualizationFactor</f>
        <v>20.988937679987195</v>
      </c>
      <c r="AC248" s="749">
        <f>$E$21*$F$8*'Traffic Data'!BE30*annualizationFactor</f>
        <v>21.307872447661794</v>
      </c>
      <c r="AD248" s="749">
        <f>$E$21*$F$8*'Traffic Data'!BF30*annualizationFactor</f>
        <v>21.626807215336395</v>
      </c>
      <c r="AE248" s="749">
        <f>$E$21*$F$8*'Traffic Data'!BG30*annualizationFactor</f>
        <v>21.946230687365599</v>
      </c>
      <c r="AF248" s="749">
        <f>$E$21*$F$8*'Traffic Data'!BH30*annualizationFactor</f>
        <v>22.265165455040197</v>
      </c>
      <c r="AG248" s="749">
        <f>$E$21*$F$8*'Traffic Data'!BI30*annualizationFactor</f>
        <v>22.584100222714792</v>
      </c>
      <c r="AH248" s="750">
        <f>$E$21*$F$8*'Traffic Data'!BJ30*annualizationFactor</f>
        <v>22.903523694743996</v>
      </c>
      <c r="AI248" s="40"/>
      <c r="AJ248" s="40"/>
      <c r="AK248" s="40"/>
      <c r="AL248" s="40"/>
      <c r="AM248" s="40"/>
    </row>
    <row r="249" spans="2:39" ht="21.9" customHeight="1" x14ac:dyDescent="0.25">
      <c r="B249" s="1332"/>
      <c r="C249" s="114" t="s">
        <v>318</v>
      </c>
      <c r="D249" s="114" t="s">
        <v>308</v>
      </c>
      <c r="E249" s="114" t="s">
        <v>19</v>
      </c>
      <c r="F249" s="114" t="s">
        <v>43</v>
      </c>
      <c r="G249" s="941"/>
      <c r="H249" s="941"/>
      <c r="I249" s="751">
        <f>$E$21*$F$8*'Traffic Data'!AK31*annualizationFactor</f>
        <v>0.36520439999999998</v>
      </c>
      <c r="J249" s="751">
        <f>$E$21*$F$8*'Traffic Data'!AL31*annualizationFactor</f>
        <v>0.40331956588000006</v>
      </c>
      <c r="K249" s="751">
        <f>$E$21*$F$8*'Traffic Data'!AM31*annualizationFactor</f>
        <v>0.4559363898099999</v>
      </c>
      <c r="L249" s="751">
        <f>$E$21*$F$8*'Traffic Data'!AN31*annualizationFactor</f>
        <v>0.55256338730999988</v>
      </c>
      <c r="M249" s="751">
        <f>$E$21*$F$8*'Traffic Data'!AO31*annualizationFactor</f>
        <v>0.64921777514000001</v>
      </c>
      <c r="N249" s="751">
        <f>$E$21*$F$8*'Traffic Data'!AP31*annualizationFactor</f>
        <v>0.74589042318999998</v>
      </c>
      <c r="O249" s="751">
        <f>$E$21*$F$8*'Traffic Data'!AQ31*annualizationFactor</f>
        <v>0.84251742068999991</v>
      </c>
      <c r="P249" s="751">
        <f>$E$21*$F$8*'Traffic Data'!AR31*annualizationFactor</f>
        <v>0.93923267592000004</v>
      </c>
      <c r="Q249" s="751">
        <f>$E$21*$F$8*'Traffic Data'!AS31*annualizationFactor</f>
        <v>1.0782964247</v>
      </c>
      <c r="R249" s="751">
        <f>$E$21*$F$8*'Traffic Data'!AT31*annualizationFactor</f>
        <v>1.2173906071799998</v>
      </c>
      <c r="S249" s="751">
        <f>$E$21*$F$8*'Traffic Data'!AU31*annualizationFactor</f>
        <v>1.3564269656299999</v>
      </c>
      <c r="T249" s="751">
        <f>$E$21*$F$8*'Traffic Data'!AV31*annualizationFactor</f>
        <v>1.49549071441</v>
      </c>
      <c r="U249" s="751">
        <f>$E$21*$F$8*'Traffic Data'!AW31*annualizationFactor</f>
        <v>1.6346427209200001</v>
      </c>
      <c r="V249" s="751">
        <f>$E$21*$F$8*'Traffic Data'!AX31*annualizationFactor</f>
        <v>1.7296080383999999</v>
      </c>
      <c r="W249" s="751">
        <f>$E$21*$F$8*'Traffic Data'!AY31*annualizationFactor</f>
        <v>1.76772320428</v>
      </c>
      <c r="X249" s="751">
        <f>$E$21*$F$8*'Traffic Data'!AZ31*annualizationFactor</f>
        <v>1.8058383701599998</v>
      </c>
      <c r="Y249" s="751">
        <f>$E$21*$F$8*'Traffic Data'!BA31*annualizationFactor</f>
        <v>1.8439535360400001</v>
      </c>
      <c r="Z249" s="751">
        <f>$E$21*$F$8*'Traffic Data'!BB31*annualizationFactor</f>
        <v>1.8820960922500003</v>
      </c>
      <c r="AA249" s="751">
        <f>$E$21*$F$8*'Traffic Data'!BC31*annualizationFactor</f>
        <v>1.9202112581299997</v>
      </c>
      <c r="AB249" s="751">
        <f>$E$21*$F$8*'Traffic Data'!BD31*annualizationFactor</f>
        <v>1.9583538143400001</v>
      </c>
      <c r="AC249" s="751">
        <f>$E$21*$F$8*'Traffic Data'!BE31*annualizationFactor</f>
        <v>1.99646898022</v>
      </c>
      <c r="AD249" s="751">
        <f>$E$21*$F$8*'Traffic Data'!BF31*annualizationFactor</f>
        <v>2.0345841460999998</v>
      </c>
      <c r="AE249" s="751">
        <f>$E$21*$F$8*'Traffic Data'!BG31*annualizationFactor</f>
        <v>2.0727267023099998</v>
      </c>
      <c r="AF249" s="751">
        <f>$E$21*$F$8*'Traffic Data'!BH31*annualizationFactor</f>
        <v>2.1108418681899996</v>
      </c>
      <c r="AG249" s="751">
        <f>$E$21*$F$8*'Traffic Data'!BI31*annualizationFactor</f>
        <v>2.1489570340699999</v>
      </c>
      <c r="AH249" s="752">
        <f>$E$21*$F$8*'Traffic Data'!BJ31*annualizationFactor</f>
        <v>2.1870995902799999</v>
      </c>
      <c r="AI249" s="40"/>
      <c r="AJ249" s="40"/>
      <c r="AK249" s="40"/>
      <c r="AL249" s="40"/>
      <c r="AM249" s="40"/>
    </row>
    <row r="250" spans="2:39" ht="21.9" customHeight="1" x14ac:dyDescent="0.25">
      <c r="B250" s="1332"/>
      <c r="C250" s="250" t="s">
        <v>308</v>
      </c>
      <c r="D250" s="250" t="s">
        <v>319</v>
      </c>
      <c r="E250" s="114" t="s">
        <v>19</v>
      </c>
      <c r="F250" s="114" t="s">
        <v>43</v>
      </c>
      <c r="G250" s="941"/>
      <c r="H250" s="941"/>
      <c r="I250" s="751">
        <f>$E$21*$F$8*'Traffic Data'!AK32*annualizationFactor</f>
        <v>4.8937389600000003</v>
      </c>
      <c r="J250" s="751">
        <f>$E$21*$F$8*'Traffic Data'!AL32*annualizationFactor</f>
        <v>5.0307799633432007</v>
      </c>
      <c r="K250" s="751">
        <f>$E$21*$F$8*'Traffic Data'!AM32*annualizationFactor</f>
        <v>5.2260727727735992</v>
      </c>
      <c r="L250" s="751">
        <f>$E$21*$F$8*'Traffic Data'!AN32*annualizationFactor</f>
        <v>5.5001710919231996</v>
      </c>
      <c r="M250" s="751">
        <f>$E$21*$F$8*'Traffic Data'!AO32*annualizationFactor</f>
        <v>5.7743835983151994</v>
      </c>
      <c r="N250" s="751">
        <f>$E$21*$F$8*'Traffic Data'!AP32*annualizationFactor</f>
        <v>6.0485716360124027</v>
      </c>
      <c r="O250" s="751">
        <f>$E$21*$F$8*'Traffic Data'!AQ32*annualizationFactor</f>
        <v>6.3226699551620014</v>
      </c>
      <c r="P250" s="751">
        <f>$E$21*$F$8*'Traffic Data'!AR32*annualizationFactor</f>
        <v>6.596988492564801</v>
      </c>
      <c r="Q250" s="751">
        <f>$E$21*$F$8*'Traffic Data'!AS32*annualizationFactor</f>
        <v>6.8739088678479998</v>
      </c>
      <c r="R250" s="751">
        <f>$E$21*$F$8*'Traffic Data'!AT32*annualizationFactor</f>
        <v>7.1509108054472001</v>
      </c>
      <c r="S250" s="751">
        <f>$E$21*$F$8*'Traffic Data'!AU32*annualizationFactor</f>
        <v>7.4278067120355988</v>
      </c>
      <c r="T250" s="751">
        <f>$E$21*$F$8*'Traffic Data'!AV32*annualizationFactor</f>
        <v>7.7047270873188003</v>
      </c>
      <c r="U250" s="751">
        <f>$E$21*$F$8*'Traffic Data'!AW32*annualizationFactor</f>
        <v>7.9818676808552018</v>
      </c>
      <c r="V250" s="751">
        <f>$E$21*$F$8*'Traffic Data'!AX32*annualizationFactor</f>
        <v>8.1798520467136004</v>
      </c>
      <c r="W250" s="751">
        <f>$E$21*$F$8*'Traffic Data'!AY32*annualizationFactor</f>
        <v>8.3168930500567999</v>
      </c>
      <c r="X250" s="751">
        <f>$E$21*$F$8*'Traffic Data'!AZ32*annualizationFactor</f>
        <v>8.4539340533999994</v>
      </c>
      <c r="Y250" s="751">
        <f>$E$21*$F$8*'Traffic Data'!BA32*annualizationFactor</f>
        <v>8.5909750567431988</v>
      </c>
      <c r="Z250" s="751">
        <f>$E$21*$F$8*'Traffic Data'!BB32*annualizationFactor</f>
        <v>8.7280813099391992</v>
      </c>
      <c r="AA250" s="751">
        <f>$E$21*$F$8*'Traffic Data'!BC32*annualizationFactor</f>
        <v>8.8651223132824004</v>
      </c>
      <c r="AB250" s="751">
        <f>$E$21*$F$8*'Traffic Data'!BD32*annualizationFactor</f>
        <v>9.0022285664784008</v>
      </c>
      <c r="AC250" s="751">
        <f>$E$21*$F$8*'Traffic Data'!BE32*annualizationFactor</f>
        <v>9.1392695698216002</v>
      </c>
      <c r="AD250" s="751">
        <f>$E$21*$F$8*'Traffic Data'!BF32*annualizationFactor</f>
        <v>9.2763105731648015</v>
      </c>
      <c r="AE250" s="751">
        <f>$E$21*$F$8*'Traffic Data'!BG32*annualizationFactor</f>
        <v>9.4134168263608</v>
      </c>
      <c r="AF250" s="751">
        <f>$E$21*$F$8*'Traffic Data'!BH32*annualizationFactor</f>
        <v>9.5504578297039995</v>
      </c>
      <c r="AG250" s="751">
        <f>$E$21*$F$8*'Traffic Data'!BI32*annualizationFactor</f>
        <v>9.6874988330471989</v>
      </c>
      <c r="AH250" s="752">
        <f>$E$21*$F$8*'Traffic Data'!BJ32*annualizationFactor</f>
        <v>9.8246050862431993</v>
      </c>
      <c r="AI250" s="40"/>
      <c r="AJ250" s="40"/>
      <c r="AK250" s="40"/>
      <c r="AL250" s="40"/>
      <c r="AM250" s="40"/>
    </row>
    <row r="251" spans="2:39" ht="21.9" customHeight="1" x14ac:dyDescent="0.25">
      <c r="B251" s="469" t="s">
        <v>320</v>
      </c>
      <c r="C251" s="114" t="s">
        <v>318</v>
      </c>
      <c r="D251" s="114" t="s">
        <v>308</v>
      </c>
      <c r="E251" s="273" t="s">
        <v>19</v>
      </c>
      <c r="F251" s="273" t="s">
        <v>43</v>
      </c>
      <c r="G251" s="754"/>
      <c r="H251" s="754"/>
      <c r="I251" s="749">
        <f>$E$21*$G$8*'Traffic Data'!AK33*annualizationFactor</f>
        <v>1.4303839E-2</v>
      </c>
      <c r="J251" s="749">
        <f>$E$21*$G$8*'Traffic Data'!AL33*annualizationFactor</f>
        <v>0.108408795781</v>
      </c>
      <c r="K251" s="749">
        <f>$E$21*$G$8*'Traffic Data'!AM33*annualizationFactor</f>
        <v>0.62806726665099999</v>
      </c>
      <c r="L251" s="749">
        <f>$E$21*$G$8*'Traffic Data'!AN33*annualizationFactor</f>
        <v>1.4465901495869999</v>
      </c>
      <c r="M251" s="749">
        <f>$E$21*$G$8*'Traffic Data'!AO33*annualizationFactor</f>
        <v>2.2656279707269995</v>
      </c>
      <c r="N251" s="749">
        <f>$E$21*$G$8*'Traffic Data'!AP33*annualizationFactor</f>
        <v>3.0847087033840004</v>
      </c>
      <c r="O251" s="749">
        <f>$E$21*$G$8*'Traffic Data'!AQ33*annualizationFactor</f>
        <v>3.90323158632</v>
      </c>
      <c r="P251" s="749">
        <f>$E$21*$G$8*'Traffic Data'!AR33*annualizationFactor</f>
        <v>4.7228415610200001</v>
      </c>
      <c r="Q251" s="749">
        <f>$E$21*$G$8*'Traffic Data'!AS33*annualizationFactor</f>
        <v>5.1830532770059996</v>
      </c>
      <c r="R251" s="749">
        <f>$E$21*$G$8*'Traffic Data'!AT33*annualizationFactor</f>
        <v>5.6434366390599999</v>
      </c>
      <c r="S251" s="749">
        <f>$E$21*$G$8*'Traffic Data'!AU33*annualizationFactor</f>
        <v>6.1037770895969992</v>
      </c>
      <c r="T251" s="749">
        <f>$E$21*$G$8*'Traffic Data'!AV33*annualizationFactor</f>
        <v>6.5639888055829987</v>
      </c>
      <c r="U251" s="749">
        <f>$E$21*$G$8*'Traffic Data'!AW33*annualizationFactor</f>
        <v>7.0252876133330009</v>
      </c>
      <c r="V251" s="749">
        <f>$E$21*$G$8*'Traffic Data'!AX33*annualizationFactor</f>
        <v>7.1861914982440016</v>
      </c>
      <c r="W251" s="749">
        <f>$E$21*$G$8*'Traffic Data'!AY33*annualizationFactor</f>
        <v>7.2802964550250007</v>
      </c>
      <c r="X251" s="749">
        <f>$E$21*$G$8*'Traffic Data'!AZ33*annualizationFactor</f>
        <v>7.3744014118060015</v>
      </c>
      <c r="Y251" s="749">
        <f>$E$21*$G$8*'Traffic Data'!BA33*annualizationFactor</f>
        <v>7.4685063685870015</v>
      </c>
      <c r="Z251" s="749">
        <f>$E$21*$G$8*'Traffic Data'!BB33*annualizationFactor</f>
        <v>7.5629832251820002</v>
      </c>
      <c r="AA251" s="749">
        <f>$E$21*$G$8*'Traffic Data'!BC33*annualizationFactor</f>
        <v>7.6570881819630019</v>
      </c>
      <c r="AB251" s="749">
        <f>$E$21*$G$8*'Traffic Data'!BD33*annualizationFactor</f>
        <v>7.7515650385580024</v>
      </c>
      <c r="AC251" s="749">
        <f>$E$21*$G$8*'Traffic Data'!BE33*annualizationFactor</f>
        <v>7.8456699953390006</v>
      </c>
      <c r="AD251" s="749">
        <f>$E$21*$G$8*'Traffic Data'!BF33*annualizationFactor</f>
        <v>7.9397749521200023</v>
      </c>
      <c r="AE251" s="749">
        <f>$E$21*$G$8*'Traffic Data'!BG33*annualizationFactor</f>
        <v>8.0342518087150019</v>
      </c>
      <c r="AF251" s="749">
        <f>$E$21*$G$8*'Traffic Data'!BH33*annualizationFactor</f>
        <v>8.1283567654960009</v>
      </c>
      <c r="AG251" s="749">
        <f>$E$21*$G$8*'Traffic Data'!BI33*annualizationFactor</f>
        <v>8.222461722277</v>
      </c>
      <c r="AH251" s="750">
        <f>$E$21*$G$8*'Traffic Data'!BJ33*annualizationFactor</f>
        <v>8.3169385788720014</v>
      </c>
      <c r="AI251" s="40"/>
      <c r="AJ251" s="40"/>
      <c r="AK251" s="40"/>
      <c r="AL251" s="40"/>
      <c r="AM251" s="40"/>
    </row>
    <row r="252" spans="2:39" ht="21.9" customHeight="1" x14ac:dyDescent="0.25">
      <c r="B252" s="1332" t="s">
        <v>308</v>
      </c>
      <c r="C252" s="217" t="s">
        <v>276</v>
      </c>
      <c r="D252" s="217" t="s">
        <v>320</v>
      </c>
      <c r="E252" s="114" t="s">
        <v>19</v>
      </c>
      <c r="F252" s="114" t="s">
        <v>43</v>
      </c>
      <c r="G252" s="941"/>
      <c r="H252" s="941"/>
      <c r="I252" s="749">
        <f>$E$21*$H$8*'Traffic Data'!AK34*annualizationFactor</f>
        <v>4.1085495E-2</v>
      </c>
      <c r="J252" s="749">
        <f>$E$21*$H$8*'Traffic Data'!AL34*annualizationFactor</f>
        <v>9.1312512637499982E-2</v>
      </c>
      <c r="K252" s="749">
        <f>$E$21*$H$8*'Traffic Data'!AM34*annualizationFactor</f>
        <v>0.38593659728250002</v>
      </c>
      <c r="L252" s="749">
        <f>$E$21*$H$8*'Traffic Data'!AN34*annualizationFactor</f>
        <v>0.8675613124199999</v>
      </c>
      <c r="M252" s="749">
        <f>$E$21*$H$8*'Traffic Data'!AO34*annualizationFactor</f>
        <v>1.349453083275</v>
      </c>
      <c r="N252" s="749">
        <f>$E$21*$H$8*'Traffic Data'!AP34*annualizationFactor</f>
        <v>1.8313653968774997</v>
      </c>
      <c r="O252" s="749">
        <f>$E$21*$H$8*'Traffic Data'!AQ34*annualizationFactor</f>
        <v>2.312990112015</v>
      </c>
      <c r="P252" s="749">
        <f>$E$21*$H$8*'Traffic Data'!AR34*annualizationFactor</f>
        <v>2.7951694813350003</v>
      </c>
      <c r="Q252" s="749">
        <f>$E$21*$H$8*'Traffic Data'!AS34*annualizationFactor</f>
        <v>3.1669932110849999</v>
      </c>
      <c r="R252" s="749">
        <f>$E$21*$H$8*'Traffic Data'!AT34*annualizationFactor</f>
        <v>3.5388785690775002</v>
      </c>
      <c r="S252" s="749">
        <f>$E$21*$H$8*'Traffic Data'!AU34*annualizationFactor</f>
        <v>3.9107022988274993</v>
      </c>
      <c r="T252" s="749">
        <f>$E$21*$H$8*'Traffic Data'!AV34*annualizationFactor</f>
        <v>4.2825260285774993</v>
      </c>
      <c r="U252" s="749">
        <f>$E$21*$H$8*'Traffic Data'!AW34*annualizationFactor</f>
        <v>4.6548427842675002</v>
      </c>
      <c r="V252" s="749">
        <f>$E$21*$H$8*'Traffic Data'!AX34*annualizationFactor</f>
        <v>4.8393782850599996</v>
      </c>
      <c r="W252" s="749">
        <f>$E$21*$H$8*'Traffic Data'!AY34*annualizationFactor</f>
        <v>4.8896053026975004</v>
      </c>
      <c r="X252" s="749">
        <f>$E$21*$H$8*'Traffic Data'!AZ34*annualizationFactor</f>
        <v>4.9398323203349994</v>
      </c>
      <c r="Y252" s="749">
        <f>$E$21*$H$8*'Traffic Data'!BA34*annualizationFactor</f>
        <v>4.9900593379725011</v>
      </c>
      <c r="Z252" s="749">
        <f>$E$21*$H$8*'Traffic Data'!BB34*annualizationFactor</f>
        <v>5.0404301548425003</v>
      </c>
      <c r="AA252" s="749">
        <f>$E$21*$H$8*'Traffic Data'!BC34*annualizationFactor</f>
        <v>5.0906571724800003</v>
      </c>
      <c r="AB252" s="749">
        <f>$E$21*$H$8*'Traffic Data'!BD34*annualizationFactor</f>
        <v>5.1410279893499986</v>
      </c>
      <c r="AC252" s="749">
        <f>$E$21*$H$8*'Traffic Data'!BE34*annualizationFactor</f>
        <v>5.1912550069874994</v>
      </c>
      <c r="AD252" s="749">
        <f>$E$21*$H$8*'Traffic Data'!BF34*annualizationFactor</f>
        <v>5.2414820246249993</v>
      </c>
      <c r="AE252" s="749">
        <f>$E$21*$H$8*'Traffic Data'!BG34*annualizationFactor</f>
        <v>5.2918528414949995</v>
      </c>
      <c r="AF252" s="749">
        <f>$E$21*$H$8*'Traffic Data'!BH34*annualizationFactor</f>
        <v>5.3420798591324994</v>
      </c>
      <c r="AG252" s="749">
        <f>$E$21*$H$8*'Traffic Data'!BI34*annualizationFactor</f>
        <v>5.3923068767699993</v>
      </c>
      <c r="AH252" s="750">
        <f>$E$21*$H$8*'Traffic Data'!BJ34*annualizationFactor</f>
        <v>5.4426776936400003</v>
      </c>
      <c r="AI252" s="40"/>
      <c r="AJ252" s="40"/>
      <c r="AK252" s="40"/>
      <c r="AL252" s="40"/>
      <c r="AM252" s="40"/>
    </row>
    <row r="253" spans="2:39" ht="21.9" customHeight="1" x14ac:dyDescent="0.25">
      <c r="B253" s="1332"/>
      <c r="C253" s="114" t="s">
        <v>320</v>
      </c>
      <c r="D253" s="114" t="s">
        <v>282</v>
      </c>
      <c r="E253" s="114" t="s">
        <v>19</v>
      </c>
      <c r="F253" s="114" t="s">
        <v>43</v>
      </c>
      <c r="G253" s="941"/>
      <c r="H253" s="941"/>
      <c r="I253" s="751">
        <f>$E$21*$H$8*'Traffic Data'!AK35*annualizationFactor</f>
        <v>0</v>
      </c>
      <c r="J253" s="751">
        <f>$E$21*$H$8*'Traffic Data'!AL35*annualizationFactor</f>
        <v>2.7950310079999999E-2</v>
      </c>
      <c r="K253" s="751">
        <f>$E$21*$H$8*'Traffic Data'!AM35*annualizationFactor</f>
        <v>8.0046109066000001E-2</v>
      </c>
      <c r="L253" s="751">
        <f>$E$21*$H$8*'Traffic Data'!AN35*annualizationFactor</f>
        <v>0.17993864257600004</v>
      </c>
      <c r="M253" s="751">
        <f>$E$21*$H$8*'Traffic Data'!AO35*annualizationFactor</f>
        <v>0.27988656542000001</v>
      </c>
      <c r="N253" s="751">
        <f>$E$21*$H$8*'Traffic Data'!AP35*annualizationFactor</f>
        <v>0.37983874898199993</v>
      </c>
      <c r="O253" s="751">
        <f>$E$21*$H$8*'Traffic Data'!AQ35*annualizationFactor</f>
        <v>0.47973128249199998</v>
      </c>
      <c r="P253" s="751">
        <f>$E$21*$H$8*'Traffic Data'!AR35*annualizationFactor</f>
        <v>0.57973885538800007</v>
      </c>
      <c r="Q253" s="751">
        <f>$E$21*$H$8*'Traffic Data'!AS35*annualizationFactor</f>
        <v>0.65685785118800022</v>
      </c>
      <c r="R253" s="751">
        <f>$E$21*$H$8*'Traffic Data'!AT35*annualizationFactor</f>
        <v>0.73398962914200006</v>
      </c>
      <c r="S253" s="751">
        <f>$E$21*$H$8*'Traffic Data'!AU35*annualizationFactor</f>
        <v>0.81110862494199998</v>
      </c>
      <c r="T253" s="751">
        <f>$E$21*$H$8*'Traffic Data'!AV35*annualizationFactor</f>
        <v>0.8882276207419999</v>
      </c>
      <c r="U253" s="751">
        <f>$E$21*$H$8*'Traffic Data'!AW35*annualizationFactor</f>
        <v>0.96544887377400002</v>
      </c>
      <c r="V253" s="751">
        <f>$E$21*$H$8*'Traffic Data'!AX35*annualizationFactor</f>
        <v>1.003722903568</v>
      </c>
      <c r="W253" s="751">
        <f>$E$21*$H$8*'Traffic Data'!AY35*annualizationFactor</f>
        <v>1.0141403590780003</v>
      </c>
      <c r="X253" s="751">
        <f>$E$21*$H$8*'Traffic Data'!AZ35*annualizationFactor</f>
        <v>1.0245578145880001</v>
      </c>
      <c r="Y253" s="751">
        <f>$E$21*$H$8*'Traffic Data'!BA35*annualizationFactor</f>
        <v>1.0349752700980002</v>
      </c>
      <c r="Z253" s="751">
        <f>$E$21*$H$8*'Traffic Data'!BB35*annualizationFactor</f>
        <v>1.045422550634</v>
      </c>
      <c r="AA253" s="751">
        <f>$E$21*$H$8*'Traffic Data'!BC35*annualizationFactor</f>
        <v>1.0558400061440001</v>
      </c>
      <c r="AB253" s="751">
        <f>$E$21*$H$8*'Traffic Data'!BD35*annualizationFactor</f>
        <v>1.0662872866799997</v>
      </c>
      <c r="AC253" s="751">
        <f>$E$21*$H$8*'Traffic Data'!BE35*annualizationFactor</f>
        <v>1.0767047421899998</v>
      </c>
      <c r="AD253" s="751">
        <f>$E$21*$H$8*'Traffic Data'!BF35*annualizationFactor</f>
        <v>1.0871221976999998</v>
      </c>
      <c r="AE253" s="751">
        <f>$E$21*$H$8*'Traffic Data'!BG35*annualizationFactor</f>
        <v>1.0975694782359999</v>
      </c>
      <c r="AF253" s="751">
        <f>$E$21*$H$8*'Traffic Data'!BH35*annualizationFactor</f>
        <v>1.107986933746</v>
      </c>
      <c r="AG253" s="751">
        <f>$E$21*$H$8*'Traffic Data'!BI35*annualizationFactor</f>
        <v>1.1184043892560001</v>
      </c>
      <c r="AH253" s="752">
        <f>$E$21*$H$8*'Traffic Data'!BJ35*annualizationFactor</f>
        <v>1.1288516697919999</v>
      </c>
      <c r="AI253" s="40"/>
      <c r="AJ253" s="40"/>
      <c r="AK253" s="40"/>
      <c r="AL253" s="40"/>
      <c r="AM253" s="40"/>
    </row>
    <row r="254" spans="2:39" ht="21.9" customHeight="1" x14ac:dyDescent="0.25">
      <c r="B254" s="1332"/>
      <c r="C254" s="114" t="s">
        <v>282</v>
      </c>
      <c r="D254" s="114" t="s">
        <v>321</v>
      </c>
      <c r="E254" s="114" t="s">
        <v>19</v>
      </c>
      <c r="F254" s="114" t="s">
        <v>43</v>
      </c>
      <c r="G254" s="941"/>
      <c r="H254" s="941"/>
      <c r="I254" s="751">
        <f>$E$21*$H$8*'Traffic Data'!AK36*annualizationFactor</f>
        <v>0</v>
      </c>
      <c r="J254" s="751">
        <f>$E$21*$H$8*'Traffic Data'!AL36*annualizationFactor</f>
        <v>7.2870451279999998E-2</v>
      </c>
      <c r="K254" s="751">
        <f>$E$21*$H$8*'Traffic Data'!AM36*annualizationFactor</f>
        <v>0.2086916414935</v>
      </c>
      <c r="L254" s="751">
        <f>$E$21*$H$8*'Traffic Data'!AN36*annualizationFactor</f>
        <v>0.46912574671599994</v>
      </c>
      <c r="M254" s="751">
        <f>$E$21*$H$8*'Traffic Data'!AO36*annualizationFactor</f>
        <v>0.72970425984500009</v>
      </c>
      <c r="N254" s="751">
        <f>$E$21*$H$8*'Traffic Data'!AP36*annualizationFactor</f>
        <v>0.9902938812744998</v>
      </c>
      <c r="O254" s="751">
        <f>$E$21*$H$8*'Traffic Data'!AQ36*annualizationFactor</f>
        <v>1.2507279864969998</v>
      </c>
      <c r="P254" s="751">
        <f>$E$21*$H$8*'Traffic Data'!AR36*annualizationFactor</f>
        <v>1.5114620158329997</v>
      </c>
      <c r="Q254" s="751">
        <f>$E$21*$H$8*'Traffic Data'!AS36*annualizationFactor</f>
        <v>1.7125222548830001</v>
      </c>
      <c r="R254" s="751">
        <f>$E$21*$H$8*'Traffic Data'!AT36*annualizationFactor</f>
        <v>1.9136158188344998</v>
      </c>
      <c r="S254" s="751">
        <f>$E$21*$H$8*'Traffic Data'!AU36*annualizationFactor</f>
        <v>2.1146760578844996</v>
      </c>
      <c r="T254" s="751">
        <f>$E$21*$H$8*'Traffic Data'!AV36*annualizationFactor</f>
        <v>2.3157362969344994</v>
      </c>
      <c r="U254" s="751">
        <f>$E$21*$H$8*'Traffic Data'!AW36*annualizationFactor</f>
        <v>2.5170631351965</v>
      </c>
      <c r="V254" s="751">
        <f>$E$21*$H$8*'Traffic Data'!AX36*annualizationFactor</f>
        <v>2.6168489985879999</v>
      </c>
      <c r="W254" s="751">
        <f>$E$21*$H$8*'Traffic Data'!AY36*annualizationFactor</f>
        <v>2.6440087933104999</v>
      </c>
      <c r="X254" s="751">
        <f>$E$21*$H$8*'Traffic Data'!AZ36*annualizationFactor</f>
        <v>2.6711685880329998</v>
      </c>
      <c r="Y254" s="751">
        <f>$E$21*$H$8*'Traffic Data'!BA36*annualizationFactor</f>
        <v>2.6983283827555002</v>
      </c>
      <c r="Z254" s="751">
        <f>$E$21*$H$8*'Traffic Data'!BB36*annualizationFactor</f>
        <v>2.7255659355815003</v>
      </c>
      <c r="AA254" s="751">
        <f>$E$21*$H$8*'Traffic Data'!BC36*annualizationFactor</f>
        <v>2.7527257303039998</v>
      </c>
      <c r="AB254" s="751">
        <f>$E$21*$H$8*'Traffic Data'!BD36*annualizationFactor</f>
        <v>2.779963283129999</v>
      </c>
      <c r="AC254" s="751">
        <f>$E$21*$H$8*'Traffic Data'!BE36*annualizationFactor</f>
        <v>2.8071230778524994</v>
      </c>
      <c r="AD254" s="751">
        <f>$E$21*$H$8*'Traffic Data'!BF36*annualizationFactor</f>
        <v>2.8342828725749993</v>
      </c>
      <c r="AE254" s="751">
        <f>$E$21*$H$8*'Traffic Data'!BG36*annualizationFactor</f>
        <v>2.8615204254009989</v>
      </c>
      <c r="AF254" s="751">
        <f>$E$21*$H$8*'Traffic Data'!BH36*annualizationFactor</f>
        <v>2.8886802201234998</v>
      </c>
      <c r="AG254" s="751">
        <f>$E$21*$H$8*'Traffic Data'!BI36*annualizationFactor</f>
        <v>2.9158400148459998</v>
      </c>
      <c r="AH254" s="752">
        <f>$E$21*$H$8*'Traffic Data'!BJ36*annualizationFactor</f>
        <v>2.9430775676719994</v>
      </c>
      <c r="AI254" s="40"/>
      <c r="AJ254" s="40"/>
      <c r="AK254" s="40"/>
      <c r="AL254" s="40"/>
      <c r="AM254" s="40"/>
    </row>
    <row r="255" spans="2:39" ht="21.9" customHeight="1" x14ac:dyDescent="0.25">
      <c r="B255" s="1332"/>
      <c r="C255" s="250" t="s">
        <v>321</v>
      </c>
      <c r="D255" s="250" t="s">
        <v>274</v>
      </c>
      <c r="E255" s="114" t="s">
        <v>19</v>
      </c>
      <c r="F255" s="114" t="s">
        <v>43</v>
      </c>
      <c r="G255" s="941"/>
      <c r="H255" s="941"/>
      <c r="I255" s="751">
        <f>$E$21*$H$8*'Traffic Data'!AK37*annualizationFactor</f>
        <v>9.5866154999999995E-2</v>
      </c>
      <c r="J255" s="751">
        <f>$E$21*$H$8*'Traffic Data'!AL37*annualizationFactor</f>
        <v>0.14290767725849998</v>
      </c>
      <c r="K255" s="751">
        <f>$E$21*$H$8*'Traffic Data'!AM37*annualizationFactor</f>
        <v>0.20120388611399997</v>
      </c>
      <c r="L255" s="751">
        <f>$E$21*$H$8*'Traffic Data'!AN37*annualizationFactor</f>
        <v>0.34857573065699993</v>
      </c>
      <c r="M255" s="751">
        <f>$E$21*$H$8*'Traffic Data'!AO37*annualizationFactor</f>
        <v>0.49596355289249994</v>
      </c>
      <c r="N255" s="751">
        <f>$E$21*$H$8*'Traffic Data'!AP37*annualizationFactor</f>
        <v>0.64342487251350011</v>
      </c>
      <c r="O255" s="751">
        <f>$E$21*$H$8*'Traffic Data'!AQ37*annualizationFactor</f>
        <v>0.7907967170564999</v>
      </c>
      <c r="P255" s="751">
        <f>$E$21*$H$8*'Traffic Data'!AR37*annualizationFactor</f>
        <v>0.93812062852199984</v>
      </c>
      <c r="Q255" s="751">
        <f>$E$21*$H$8*'Traffic Data'!AS37*annualizationFactor</f>
        <v>1.3131202670355</v>
      </c>
      <c r="R255" s="751">
        <f>$E$21*$H$8*'Traffic Data'!AT37*annualizationFactor</f>
        <v>1.6879729107779999</v>
      </c>
      <c r="S255" s="751">
        <f>$E$21*$H$8*'Traffic Data'!AU37*annualizationFactor</f>
        <v>2.062796794674</v>
      </c>
      <c r="T255" s="751">
        <f>$E$21*$H$8*'Traffic Data'!AV37*annualizationFactor</f>
        <v>2.4377964331874997</v>
      </c>
      <c r="U255" s="751">
        <f>$E$21*$H$8*'Traffic Data'!AW37*annualizationFactor</f>
        <v>2.8127481386234998</v>
      </c>
      <c r="V255" s="751">
        <f>$E$21*$H$8*'Traffic Data'!AX37*annualizationFactor</f>
        <v>3.0985602976020004</v>
      </c>
      <c r="W255" s="751">
        <f>$E$21*$H$8*'Traffic Data'!AY37*annualizationFactor</f>
        <v>3.1456018198604996</v>
      </c>
      <c r="X255" s="751">
        <f>$E$21*$H$8*'Traffic Data'!AZ37*annualizationFactor</f>
        <v>3.1926433421190001</v>
      </c>
      <c r="Y255" s="751">
        <f>$E$21*$H$8*'Traffic Data'!BA37*annualizationFactor</f>
        <v>3.2396848643775003</v>
      </c>
      <c r="Z255" s="751">
        <f>$E$21*$H$8*'Traffic Data'!BB37*annualizationFactor</f>
        <v>3.2865825874035002</v>
      </c>
      <c r="AA255" s="751">
        <f>$E$21*$H$8*'Traffic Data'!BC37*annualizationFactor</f>
        <v>3.3336241096619998</v>
      </c>
      <c r="AB255" s="751">
        <f>$E$21*$H$8*'Traffic Data'!BD37*annualizationFactor</f>
        <v>3.3805218326880007</v>
      </c>
      <c r="AC255" s="751">
        <f>$E$21*$H$8*'Traffic Data'!BE37*annualizationFactor</f>
        <v>3.4275633549464994</v>
      </c>
      <c r="AD255" s="751">
        <f>$E$21*$H$8*'Traffic Data'!BF37*annualizationFactor</f>
        <v>3.4746048772050004</v>
      </c>
      <c r="AE255" s="751">
        <f>$E$21*$H$8*'Traffic Data'!BG37*annualizationFactor</f>
        <v>3.5215026002309999</v>
      </c>
      <c r="AF255" s="751">
        <f>$E$21*$H$8*'Traffic Data'!BH37*annualizationFactor</f>
        <v>3.5685441224895005</v>
      </c>
      <c r="AG255" s="751">
        <f>$E$21*$H$8*'Traffic Data'!BI37*annualizationFactor</f>
        <v>3.6155856447480001</v>
      </c>
      <c r="AH255" s="752">
        <f>$E$21*$H$8*'Traffic Data'!BJ37*annualizationFactor</f>
        <v>3.6624833677740001</v>
      </c>
      <c r="AI255" s="40"/>
      <c r="AJ255" s="40"/>
      <c r="AK255" s="40"/>
      <c r="AL255" s="40"/>
      <c r="AM255" s="40"/>
    </row>
    <row r="256" spans="2:39" ht="21.9" customHeight="1" x14ac:dyDescent="0.25">
      <c r="B256" s="469" t="s">
        <v>282</v>
      </c>
      <c r="C256" s="114" t="s">
        <v>308</v>
      </c>
      <c r="D256" s="114" t="s">
        <v>324</v>
      </c>
      <c r="E256" s="114" t="s">
        <v>19</v>
      </c>
      <c r="F256" s="114" t="s">
        <v>43</v>
      </c>
      <c r="G256" s="941"/>
      <c r="H256" s="941"/>
      <c r="I256" s="749">
        <f>$E$21*$J$8*'Traffic Data'!AK38*annualizationFactor</f>
        <v>0.54780660000000003</v>
      </c>
      <c r="J256" s="749">
        <f>$E$21*$J$8*'Traffic Data'!AL38*annualizationFactor</f>
        <v>0.58149061916</v>
      </c>
      <c r="K256" s="749">
        <f>$E$21*$J$8*'Traffic Data'!AM38*annualizationFactor</f>
        <v>0.62606685954999997</v>
      </c>
      <c r="L256" s="749">
        <f>$E$21*$J$8*'Traffic Data'!AN38*annualizationFactor</f>
        <v>0.68530605659999988</v>
      </c>
      <c r="M256" s="749">
        <f>$E$21*$J$8*'Traffic Data'!AO38*annualizationFactor</f>
        <v>0.74456351386999986</v>
      </c>
      <c r="N256" s="749">
        <f>$E$21*$J$8*'Traffic Data'!AP38*annualizationFactor</f>
        <v>0.80394879267999997</v>
      </c>
      <c r="O256" s="749">
        <f>$E$21*$J$8*'Traffic Data'!AQ38*annualizationFactor</f>
        <v>0.86318798972999988</v>
      </c>
      <c r="P256" s="749">
        <f>$E$21*$J$8*'Traffic Data'!AR38*annualizationFactor</f>
        <v>0.92249109754999981</v>
      </c>
      <c r="Q256" s="749">
        <f>$E$21*$J$8*'Traffic Data'!AS38*annualizationFactor</f>
        <v>0.97656569570999996</v>
      </c>
      <c r="R256" s="749">
        <f>$E$21*$J$8*'Traffic Data'!AT38*annualizationFactor</f>
        <v>1.0305946433200002</v>
      </c>
      <c r="S256" s="749">
        <f>$E$21*$J$8*'Traffic Data'!AU38*annualizationFactor</f>
        <v>1.0846722848499999</v>
      </c>
      <c r="T256" s="749">
        <f>$E$21*$J$8*'Traffic Data'!AV38*annualizationFactor</f>
        <v>1.13874688301</v>
      </c>
      <c r="U256" s="749">
        <f>$E$21*$J$8*'Traffic Data'!AW38*annualizationFactor</f>
        <v>1.19301321348</v>
      </c>
      <c r="V256" s="749">
        <f>$E$21*$J$8*'Traffic Data'!AX38*annualizationFactor</f>
        <v>1.2323822477999999</v>
      </c>
      <c r="W256" s="749">
        <f>$E$21*$J$8*'Traffic Data'!AY38*annualizationFactor</f>
        <v>1.26606626696</v>
      </c>
      <c r="X256" s="749">
        <f>$E$21*$J$8*'Traffic Data'!AZ38*annualizationFactor</f>
        <v>1.2997502861199997</v>
      </c>
      <c r="Y256" s="749">
        <f>$E$21*$J$8*'Traffic Data'!BA38*annualizationFactor</f>
        <v>1.3334343052799997</v>
      </c>
      <c r="Z256" s="749">
        <f>$E$21*$J$8*'Traffic Data'!BB38*annualizationFactor</f>
        <v>1.3671548448799999</v>
      </c>
      <c r="AA256" s="749">
        <f>$E$21*$J$8*'Traffic Data'!BC38*annualizationFactor</f>
        <v>1.4008388640399996</v>
      </c>
      <c r="AB256" s="749">
        <f>$E$21*$J$8*'Traffic Data'!BD38*annualizationFactor</f>
        <v>1.4346050541899997</v>
      </c>
      <c r="AC256" s="749">
        <f>$E$21*$J$8*'Traffic Data'!BE38*annualizationFactor</f>
        <v>1.4682890733499998</v>
      </c>
      <c r="AD256" s="749">
        <f>$E$21*$J$8*'Traffic Data'!BF38*annualizationFactor</f>
        <v>1.5019730925099999</v>
      </c>
      <c r="AE256" s="749">
        <f>$E$21*$J$8*'Traffic Data'!BG38*annualizationFactor</f>
        <v>1.5356936321099997</v>
      </c>
      <c r="AF256" s="749">
        <f>$E$21*$J$8*'Traffic Data'!BH38*annualizationFactor</f>
        <v>1.5693776512700002</v>
      </c>
      <c r="AG256" s="749">
        <f>$E$21*$J$8*'Traffic Data'!BI38*annualizationFactor</f>
        <v>1.6030616704299998</v>
      </c>
      <c r="AH256" s="750">
        <f>$E$21*$J$8*'Traffic Data'!BJ38*annualizationFactor</f>
        <v>1.6368278605799997</v>
      </c>
      <c r="AI256" s="40"/>
      <c r="AJ256" s="40"/>
      <c r="AK256" s="40"/>
      <c r="AL256" s="40"/>
      <c r="AM256" s="40"/>
    </row>
    <row r="257" spans="2:39" ht="21.9" customHeight="1" x14ac:dyDescent="0.25">
      <c r="B257" s="756" t="s">
        <v>321</v>
      </c>
      <c r="C257" s="273" t="s">
        <v>318</v>
      </c>
      <c r="D257" s="273" t="s">
        <v>308</v>
      </c>
      <c r="E257" s="273" t="s">
        <v>19</v>
      </c>
      <c r="F257" s="273" t="s">
        <v>43</v>
      </c>
      <c r="G257" s="754"/>
      <c r="H257" s="754"/>
      <c r="I257" s="749">
        <f>$E$21*$K$8*'Traffic Data'!AK39*annualizationFactor</f>
        <v>0</v>
      </c>
      <c r="J257" s="749">
        <f>$E$21*$K$8*'Traffic Data'!AL39*annualizationFactor</f>
        <v>0</v>
      </c>
      <c r="K257" s="749">
        <f>$E$21*$K$8*'Traffic Data'!AM39*annualizationFactor</f>
        <v>0</v>
      </c>
      <c r="L257" s="749">
        <f>$E$21*$K$8*'Traffic Data'!AN39*annualizationFactor</f>
        <v>0</v>
      </c>
      <c r="M257" s="749">
        <f>$E$21*$K$8*'Traffic Data'!AO39*annualizationFactor</f>
        <v>0</v>
      </c>
      <c r="N257" s="749">
        <f>$E$21*$K$8*'Traffic Data'!AP39*annualizationFactor</f>
        <v>0</v>
      </c>
      <c r="O257" s="749">
        <f>$E$21*$K$8*'Traffic Data'!AQ39*annualizationFactor</f>
        <v>0</v>
      </c>
      <c r="P257" s="749">
        <f>$E$21*$K$8*'Traffic Data'!AR39*annualizationFactor</f>
        <v>0</v>
      </c>
      <c r="Q257" s="749">
        <f>$E$21*$K$8*'Traffic Data'!AS39*annualizationFactor</f>
        <v>0</v>
      </c>
      <c r="R257" s="749">
        <f>$E$21*$K$8*'Traffic Data'!AT39*annualizationFactor</f>
        <v>0</v>
      </c>
      <c r="S257" s="749">
        <f>$E$21*$K$8*'Traffic Data'!AU39*annualizationFactor</f>
        <v>0</v>
      </c>
      <c r="T257" s="749">
        <f>$E$21*$K$8*'Traffic Data'!AV39*annualizationFactor</f>
        <v>0</v>
      </c>
      <c r="U257" s="749">
        <f>$E$21*$K$8*'Traffic Data'!AW39*annualizationFactor</f>
        <v>0</v>
      </c>
      <c r="V257" s="749">
        <f>$E$21*$K$8*'Traffic Data'!AX39*annualizationFactor</f>
        <v>0</v>
      </c>
      <c r="W257" s="749">
        <f>$E$21*$K$8*'Traffic Data'!AY39*annualizationFactor</f>
        <v>0</v>
      </c>
      <c r="X257" s="749">
        <f>$E$21*$K$8*'Traffic Data'!AZ39*annualizationFactor</f>
        <v>0</v>
      </c>
      <c r="Y257" s="749">
        <f>$E$21*$K$8*'Traffic Data'!BA39*annualizationFactor</f>
        <v>0</v>
      </c>
      <c r="Z257" s="749">
        <f>$E$21*$K$8*'Traffic Data'!BB39*annualizationFactor</f>
        <v>0</v>
      </c>
      <c r="AA257" s="749">
        <f>$E$21*$K$8*'Traffic Data'!BC39*annualizationFactor</f>
        <v>0</v>
      </c>
      <c r="AB257" s="749">
        <f>$E$21*$K$8*'Traffic Data'!BD39*annualizationFactor</f>
        <v>0</v>
      </c>
      <c r="AC257" s="749">
        <f>$E$21*$K$8*'Traffic Data'!BE39*annualizationFactor</f>
        <v>0</v>
      </c>
      <c r="AD257" s="749">
        <f>$E$21*$K$8*'Traffic Data'!BF39*annualizationFactor</f>
        <v>0</v>
      </c>
      <c r="AE257" s="749">
        <f>$E$21*$K$8*'Traffic Data'!BG39*annualizationFactor</f>
        <v>0</v>
      </c>
      <c r="AF257" s="749">
        <f>$E$21*$K$8*'Traffic Data'!BH39*annualizationFactor</f>
        <v>0</v>
      </c>
      <c r="AG257" s="749">
        <f>$E$21*$K$8*'Traffic Data'!BI39*annualizationFactor</f>
        <v>0</v>
      </c>
      <c r="AH257" s="750">
        <f>$E$21*$K$8*'Traffic Data'!BJ39*annualizationFactor</f>
        <v>0</v>
      </c>
      <c r="AI257" s="40"/>
      <c r="AJ257" s="40"/>
      <c r="AK257" s="40"/>
      <c r="AL257" s="40"/>
      <c r="AM257" s="40"/>
    </row>
    <row r="258" spans="2:39" ht="21.9" customHeight="1" x14ac:dyDescent="0.25">
      <c r="B258" s="756" t="s">
        <v>333</v>
      </c>
      <c r="C258" s="273" t="s">
        <v>319</v>
      </c>
      <c r="D258" s="273" t="s">
        <v>308</v>
      </c>
      <c r="E258" s="114" t="s">
        <v>19</v>
      </c>
      <c r="F258" s="114" t="s">
        <v>43</v>
      </c>
      <c r="G258" s="941"/>
      <c r="H258" s="941"/>
      <c r="I258" s="749">
        <f>$E$21*$L$8*'Traffic Data'!AK40*annualizationFactor</f>
        <v>1.0159322399999999</v>
      </c>
      <c r="J258" s="749">
        <f>$E$21*$L$8*'Traffic Data'!AL40*annualizationFactor</f>
        <v>1.0298815540619999</v>
      </c>
      <c r="K258" s="749">
        <f>$E$21*$L$8*'Traffic Data'!AM40*annualizationFactor</f>
        <v>1.0539930125579999</v>
      </c>
      <c r="L258" s="749">
        <f>$E$21*$L$8*'Traffic Data'!AN40*annualizationFactor</f>
        <v>1.0870954713780001</v>
      </c>
      <c r="M258" s="749">
        <f>$E$21*$L$8*'Traffic Data'!AO40*annualizationFactor</f>
        <v>1.120212040368</v>
      </c>
      <c r="N258" s="749">
        <f>$E$21*$L$8*'Traffic Data'!AP40*annualizationFactor</f>
        <v>1.1533765839359997</v>
      </c>
      <c r="O258" s="749">
        <f>$E$21*$L$8*'Traffic Data'!AQ40*annualizationFactor</f>
        <v>1.1864790427559999</v>
      </c>
      <c r="P258" s="749">
        <f>$E$21*$L$8*'Traffic Data'!AR40*annualizationFactor</f>
        <v>1.2196972049699999</v>
      </c>
      <c r="Q258" s="749">
        <f>$E$21*$L$8*'Traffic Data'!AS40*annualizationFactor</f>
        <v>1.242733468512</v>
      </c>
      <c r="R258" s="749">
        <f>$E$21*$L$8*'Traffic Data'!AT40*annualizationFactor</f>
        <v>1.2657725540879998</v>
      </c>
      <c r="S258" s="749">
        <f>$E$21*$L$8*'Traffic Data'!AU40*annualizationFactor</f>
        <v>1.288814461698</v>
      </c>
      <c r="T258" s="749">
        <f>$E$21*$L$8*'Traffic Data'!AV40*annualizationFactor</f>
        <v>1.3118507252400002</v>
      </c>
      <c r="U258" s="749">
        <f>$E$21*$L$8*'Traffic Data'!AW40*annualizationFactor</f>
        <v>1.3350506667539999</v>
      </c>
      <c r="V258" s="749">
        <f>$E$21*$L$8*'Traffic Data'!AX40*annualizationFactor</f>
        <v>1.3489999808159998</v>
      </c>
      <c r="W258" s="749">
        <f>$E$21*$L$8*'Traffic Data'!AY40*annualizationFactor</f>
        <v>1.3629492948779995</v>
      </c>
      <c r="X258" s="749">
        <f>$E$21*$L$8*'Traffic Data'!AZ40*annualizationFactor</f>
        <v>1.3768986089400002</v>
      </c>
      <c r="Y258" s="749">
        <f>$E$21*$L$8*'Traffic Data'!BA40*annualizationFactor</f>
        <v>1.3908479230019997</v>
      </c>
      <c r="Z258" s="749">
        <f>$E$21*$L$8*'Traffic Data'!BB40*annualizationFactor</f>
        <v>1.40489318622</v>
      </c>
      <c r="AA258" s="749">
        <f>$E$21*$L$8*'Traffic Data'!BC40*annualizationFactor</f>
        <v>1.418842500282</v>
      </c>
      <c r="AB258" s="749">
        <f>$E$21*$L$8*'Traffic Data'!BD40*annualizationFactor</f>
        <v>1.4328454329900002</v>
      </c>
      <c r="AC258" s="749">
        <f>$E$21*$L$8*'Traffic Data'!BE40*annualizationFactor</f>
        <v>1.4467947470519997</v>
      </c>
      <c r="AD258" s="749">
        <f>$E$21*$L$8*'Traffic Data'!BF40*annualizationFactor</f>
        <v>1.4607440611140001</v>
      </c>
      <c r="AE258" s="749">
        <f>$E$21*$L$8*'Traffic Data'!BG40*annualizationFactor</f>
        <v>1.4747893243319998</v>
      </c>
      <c r="AF258" s="749">
        <f>$E$21*$L$8*'Traffic Data'!BH40*annualizationFactor</f>
        <v>1.488738638394</v>
      </c>
      <c r="AG258" s="749">
        <f>$E$21*$L$8*'Traffic Data'!BI40*annualizationFactor</f>
        <v>1.502687952456</v>
      </c>
      <c r="AH258" s="750">
        <f>$E$21*$L$8*'Traffic Data'!BJ40*annualizationFactor</f>
        <v>1.516690885164</v>
      </c>
      <c r="AI258" s="40"/>
      <c r="AJ258" s="40"/>
      <c r="AK258" s="40"/>
      <c r="AL258" s="40"/>
      <c r="AM258" s="40"/>
    </row>
    <row r="259" spans="2:39" ht="21.9" customHeight="1" x14ac:dyDescent="0.25">
      <c r="B259" s="469" t="s">
        <v>319</v>
      </c>
      <c r="C259" s="114" t="s">
        <v>276</v>
      </c>
      <c r="D259" s="114" t="s">
        <v>333</v>
      </c>
      <c r="E259" s="217" t="s">
        <v>19</v>
      </c>
      <c r="F259" s="217" t="s">
        <v>43</v>
      </c>
      <c r="G259" s="749"/>
      <c r="H259" s="749"/>
      <c r="I259" s="749">
        <f>$E$21*$M$8*'Traffic Data'!AK41*annualizationFactor</f>
        <v>3.6485856249999999</v>
      </c>
      <c r="J259" s="749">
        <f>$E$21*$M$8*'Traffic Data'!AL41*annualizationFactor</f>
        <v>3.7537634028118756</v>
      </c>
      <c r="K259" s="749">
        <f>$E$21*$M$8*'Traffic Data'!AM41*annualizationFactor</f>
        <v>3.8676065714831251</v>
      </c>
      <c r="L259" s="749">
        <f>$E$21*$M$8*'Traffic Data'!AN41*annualizationFactor</f>
        <v>4.0186397734300003</v>
      </c>
      <c r="M259" s="749">
        <f>$E$21*$M$8*'Traffic Data'!AO41*annualizationFactor</f>
        <v>4.1696985154762496</v>
      </c>
      <c r="N259" s="749">
        <f>$E$21*$M$8*'Traffic Data'!AP41*annualizationFactor</f>
        <v>4.3208192834781247</v>
      </c>
      <c r="O259" s="749">
        <f>$E$21*$M$8*'Traffic Data'!AQ41*annualizationFactor</f>
        <v>4.4718524854250008</v>
      </c>
      <c r="P259" s="749">
        <f>$E$21*$M$8*'Traffic Data'!AR41*annualizationFactor</f>
        <v>4.6229258218137508</v>
      </c>
      <c r="Q259" s="749">
        <f>$E$21*$M$8*'Traffic Data'!AS41*annualizationFactor</f>
        <v>4.7891626800600005</v>
      </c>
      <c r="R259" s="749">
        <f>$E$21*$M$8*'Traffic Data'!AT41*annualizationFactor</f>
        <v>4.9553448095218746</v>
      </c>
      <c r="S259" s="749">
        <f>$E$21*$M$8*'Traffic Data'!AU41*annualizationFactor</f>
        <v>5.1215816677681252</v>
      </c>
      <c r="T259" s="749">
        <f>$E$21*$M$8*'Traffic Data'!AV41*annualizationFactor</f>
        <v>5.2878185260143749</v>
      </c>
      <c r="U259" s="749">
        <f>$E$21*$M$8*'Traffic Data'!AW41*annualizationFactor</f>
        <v>5.4541502474868757</v>
      </c>
      <c r="V259" s="749">
        <f>$E$21*$M$8*'Traffic Data'!AX41*annualizationFactor</f>
        <v>5.5831824781149999</v>
      </c>
      <c r="W259" s="749">
        <f>$E$21*$M$8*'Traffic Data'!AY41*annualizationFactor</f>
        <v>5.6883602559268747</v>
      </c>
      <c r="X259" s="749">
        <f>$E$21*$M$8*'Traffic Data'!AZ41*annualizationFactor</f>
        <v>5.7935380337387503</v>
      </c>
      <c r="Y259" s="749">
        <f>$E$21*$M$8*'Traffic Data'!BA41*annualizationFactor</f>
        <v>5.898715811550626</v>
      </c>
      <c r="Z259" s="749">
        <f>$E$21*$M$8*'Traffic Data'!BB41*annualizationFactor</f>
        <v>6.0038826436056256</v>
      </c>
      <c r="AA259" s="749">
        <f>$E$21*$M$8*'Traffic Data'!BC41*annualizationFactor</f>
        <v>6.1090604214174986</v>
      </c>
      <c r="AB259" s="749">
        <f>$E$21*$M$8*'Traffic Data'!BD41*annualizationFactor</f>
        <v>6.2142272534724974</v>
      </c>
      <c r="AC259" s="749">
        <f>$E$21*$M$8*'Traffic Data'!BE41*annualizationFactor</f>
        <v>6.3194050312843757</v>
      </c>
      <c r="AD259" s="749">
        <f>$E$21*$M$8*'Traffic Data'!BF41*annualizationFactor</f>
        <v>6.4245828090962513</v>
      </c>
      <c r="AE259" s="749">
        <f>$E$21*$M$8*'Traffic Data'!BG41*annualizationFactor</f>
        <v>6.529749641151251</v>
      </c>
      <c r="AF259" s="749">
        <f>$E$21*$M$8*'Traffic Data'!BH41*annualizationFactor</f>
        <v>6.6349274189631249</v>
      </c>
      <c r="AG259" s="749">
        <f>$E$21*$M$8*'Traffic Data'!BI41*annualizationFactor</f>
        <v>6.7401051967749996</v>
      </c>
      <c r="AH259" s="750">
        <f>$E$21*$M$8*'Traffic Data'!BJ41*annualizationFactor</f>
        <v>6.8452720288300011</v>
      </c>
      <c r="AI259" s="40"/>
      <c r="AJ259" s="40"/>
      <c r="AK259" s="40"/>
      <c r="AL259" s="40"/>
      <c r="AM259" s="40"/>
    </row>
    <row r="260" spans="2:39" ht="21.9" customHeight="1" x14ac:dyDescent="0.25">
      <c r="B260" s="469"/>
      <c r="C260" s="114" t="s">
        <v>333</v>
      </c>
      <c r="D260" s="114" t="s">
        <v>323</v>
      </c>
      <c r="E260" s="114" t="s">
        <v>19</v>
      </c>
      <c r="F260" s="114" t="s">
        <v>43</v>
      </c>
      <c r="G260" s="941"/>
      <c r="H260" s="941"/>
      <c r="I260" s="751">
        <f>$E$21*$M$8*'Traffic Data'!AK42*annualizationFactor</f>
        <v>0.5313677908333333</v>
      </c>
      <c r="J260" s="751">
        <f>$E$21*$M$8*'Traffic Data'!AL42*annualizationFactor</f>
        <v>0.5464488477389583</v>
      </c>
      <c r="K260" s="751">
        <f>$E$21*$M$8*'Traffic Data'!AM42*annualizationFactor</f>
        <v>0.56318483564577082</v>
      </c>
      <c r="L260" s="751">
        <f>$E$21*$M$8*'Traffic Data'!AN42*annualizationFactor</f>
        <v>0.58667548700947902</v>
      </c>
      <c r="M260" s="751">
        <f>$E$21*$M$8*'Traffic Data'!AO42*annualizationFactor</f>
        <v>0.6101703333820625</v>
      </c>
      <c r="N260" s="751">
        <f>$E$21*$M$8*'Traffic Data'!AP42*annualizationFactor</f>
        <v>0.63367007393166652</v>
      </c>
      <c r="O260" s="751">
        <f>$E$21*$M$8*'Traffic Data'!AQ42*annualizationFactor</f>
        <v>0.65716072529537495</v>
      </c>
      <c r="P260" s="751">
        <f>$E$21*$M$8*'Traffic Data'!AR42*annualizationFactor</f>
        <v>0.68065277499537491</v>
      </c>
      <c r="Q260" s="751">
        <f>$E$21*$M$8*'Traffic Data'!AS42*annualizationFactor</f>
        <v>0.70705686002277091</v>
      </c>
      <c r="R260" s="751">
        <f>$E$21*$M$8*'Traffic Data'!AT42*annualizationFactor</f>
        <v>0.73345185586427075</v>
      </c>
      <c r="S260" s="751">
        <f>$E$21*$M$8*'Traffic Data'!AU42*annualizationFactor</f>
        <v>0.75985594089166641</v>
      </c>
      <c r="T260" s="751">
        <f>$E$21*$M$8*'Traffic Data'!AV42*annualizationFactor</f>
        <v>0.7862600259190623</v>
      </c>
      <c r="U260" s="751">
        <f>$E$21*$M$8*'Traffic Data'!AW42*annualizationFactor</f>
        <v>0.81266830595533335</v>
      </c>
      <c r="V260" s="751">
        <f>$E$21*$M$8*'Traffic Data'!AX42*annualizationFactor</f>
        <v>0.83232052419841651</v>
      </c>
      <c r="W260" s="751">
        <f>$E$21*$M$8*'Traffic Data'!AY42*annualizationFactor</f>
        <v>0.84740158110404162</v>
      </c>
      <c r="X260" s="751">
        <f>$E$21*$M$8*'Traffic Data'!AZ42*annualizationFactor</f>
        <v>0.86248263800966674</v>
      </c>
      <c r="Y260" s="751">
        <f>$E$21*$M$8*'Traffic Data'!BA42*annualizationFactor</f>
        <v>0.87756369491529151</v>
      </c>
      <c r="Z260" s="751">
        <f>$E$21*$M$8*'Traffic Data'!BB42*annualizationFactor</f>
        <v>0.89263706097131224</v>
      </c>
      <c r="AA260" s="751">
        <f>$E$21*$M$8*'Traffic Data'!BC42*annualizationFactor</f>
        <v>0.90771811787693735</v>
      </c>
      <c r="AB260" s="751">
        <f>$E$21*$M$8*'Traffic Data'!BD42*annualizationFactor</f>
        <v>0.92279148393295829</v>
      </c>
      <c r="AC260" s="751">
        <f>$E$21*$M$8*'Traffic Data'!BE42*annualizationFactor</f>
        <v>0.93787254083858318</v>
      </c>
      <c r="AD260" s="751">
        <f>$E$21*$M$8*'Traffic Data'!BF42*annualizationFactor</f>
        <v>0.95295359774420829</v>
      </c>
      <c r="AE260" s="751">
        <f>$E$21*$M$8*'Traffic Data'!BG42*annualizationFactor</f>
        <v>0.96802696380022901</v>
      </c>
      <c r="AF260" s="751">
        <f>$E$21*$M$8*'Traffic Data'!BH42*annualizationFactor</f>
        <v>0.98310802070585412</v>
      </c>
      <c r="AG260" s="751">
        <f>$E$21*$M$8*'Traffic Data'!BI42*annualizationFactor</f>
        <v>0.9981890776114789</v>
      </c>
      <c r="AH260" s="752">
        <f>$E$21*$M$8*'Traffic Data'!BJ42*annualizationFactor</f>
        <v>1.0132624436674997</v>
      </c>
      <c r="AI260" s="40"/>
      <c r="AJ260" s="40"/>
      <c r="AK260" s="40"/>
      <c r="AL260" s="40"/>
      <c r="AM260" s="40"/>
    </row>
    <row r="261" spans="2:39" ht="21.9" customHeight="1" x14ac:dyDescent="0.25">
      <c r="B261" s="469"/>
      <c r="C261" s="114" t="s">
        <v>323</v>
      </c>
      <c r="D261" s="114" t="s">
        <v>322</v>
      </c>
      <c r="E261" s="114" t="s">
        <v>19</v>
      </c>
      <c r="F261" s="114" t="s">
        <v>43</v>
      </c>
      <c r="G261" s="941"/>
      <c r="H261" s="941"/>
      <c r="I261" s="751">
        <f>$E$21*$M$8*'Traffic Data'!AK43*annualizationFactor</f>
        <v>0.13141824999999999</v>
      </c>
      <c r="J261" s="751">
        <f>$E$21*$M$8*'Traffic Data'!AL43*annualizationFactor</f>
        <v>0.1351481074375</v>
      </c>
      <c r="K261" s="751">
        <f>$E$21*$M$8*'Traffic Data'!AM43*annualizationFactor</f>
        <v>0.13928726355624999</v>
      </c>
      <c r="L261" s="751">
        <f>$E$21*$M$8*'Traffic Data'!AN43*annualizationFactor</f>
        <v>0.14509698771874999</v>
      </c>
      <c r="M261" s="751">
        <f>$E$21*$M$8*'Traffic Data'!AO43*annualizationFactor</f>
        <v>0.15090774939374998</v>
      </c>
      <c r="N261" s="751">
        <f>$E$21*$M$8*'Traffic Data'!AP43*annualizationFactor</f>
        <v>0.15671972149999996</v>
      </c>
      <c r="O261" s="751">
        <f>$E$21*$M$8*'Traffic Data'!AQ43*annualizationFactor</f>
        <v>0.16252944566249999</v>
      </c>
      <c r="P261" s="751">
        <f>$E$21*$M$8*'Traffic Data'!AR43*annualizationFactor</f>
        <v>0.16833951566250002</v>
      </c>
      <c r="Q261" s="751">
        <f>$E$21*$M$8*'Traffic Data'!AS43*annualizationFactor</f>
        <v>0.17486979225625002</v>
      </c>
      <c r="R261" s="751">
        <f>$E$21*$M$8*'Traffic Data'!AT43*annualizationFactor</f>
        <v>0.18139782090624998</v>
      </c>
      <c r="S261" s="751">
        <f>$E$21*$M$8*'Traffic Data'!AU43*annualizationFactor</f>
        <v>0.18792809749999997</v>
      </c>
      <c r="T261" s="751">
        <f>$E$21*$M$8*'Traffic Data'!AV43*annualizationFactor</f>
        <v>0.19445837409374997</v>
      </c>
      <c r="U261" s="751">
        <f>$E$21*$M$8*'Traffic Data'!AW43*annualizationFactor</f>
        <v>0.20098968819999999</v>
      </c>
      <c r="V261" s="751">
        <f>$E$21*$M$8*'Traffic Data'!AX43*annualizationFactor</f>
        <v>0.20585008842499997</v>
      </c>
      <c r="W261" s="751">
        <f>$E$21*$M$8*'Traffic Data'!AY43*annualizationFactor</f>
        <v>0.20957994586249998</v>
      </c>
      <c r="X261" s="751">
        <f>$E$21*$M$8*'Traffic Data'!AZ43*annualizationFactor</f>
        <v>0.21330980329999999</v>
      </c>
      <c r="Y261" s="751">
        <f>$E$21*$M$8*'Traffic Data'!BA43*annualizationFactor</f>
        <v>0.21703966073749995</v>
      </c>
      <c r="Z261" s="751">
        <f>$E$21*$M$8*'Traffic Data'!BB43*annualizationFactor</f>
        <v>0.22076761606874995</v>
      </c>
      <c r="AA261" s="751">
        <f>$E$21*$M$8*'Traffic Data'!BC43*annualizationFactor</f>
        <v>0.22449747350624996</v>
      </c>
      <c r="AB261" s="751">
        <f>$E$21*$M$8*'Traffic Data'!BD43*annualizationFactor</f>
        <v>0.22822542883749999</v>
      </c>
      <c r="AC261" s="751">
        <f>$E$21*$M$8*'Traffic Data'!BE43*annualizationFactor</f>
        <v>0.23195528627499998</v>
      </c>
      <c r="AD261" s="751">
        <f>$E$21*$M$8*'Traffic Data'!BF43*annualizationFactor</f>
        <v>0.23568514371249996</v>
      </c>
      <c r="AE261" s="751">
        <f>$E$21*$M$8*'Traffic Data'!BG43*annualizationFactor</f>
        <v>0.23941309904374994</v>
      </c>
      <c r="AF261" s="751">
        <f>$E$21*$M$8*'Traffic Data'!BH43*annualizationFactor</f>
        <v>0.24314295648124998</v>
      </c>
      <c r="AG261" s="751">
        <f>$E$21*$M$8*'Traffic Data'!BI43*annualizationFactor</f>
        <v>0.24687281391874993</v>
      </c>
      <c r="AH261" s="752">
        <f>$E$21*$M$8*'Traffic Data'!BJ43*annualizationFactor</f>
        <v>0.25060076924999991</v>
      </c>
      <c r="AI261" s="40"/>
      <c r="AJ261" s="40"/>
      <c r="AK261" s="40"/>
      <c r="AL261" s="40"/>
      <c r="AM261" s="40"/>
    </row>
    <row r="262" spans="2:39" ht="21.9" customHeight="1" x14ac:dyDescent="0.25">
      <c r="B262" s="469"/>
      <c r="C262" s="114" t="s">
        <v>322</v>
      </c>
      <c r="D262" s="114" t="s">
        <v>326</v>
      </c>
      <c r="E262" s="114" t="s">
        <v>19</v>
      </c>
      <c r="F262" s="114" t="s">
        <v>43</v>
      </c>
      <c r="G262" s="941"/>
      <c r="H262" s="941"/>
      <c r="I262" s="751">
        <f>$E$21*$M$8*'Traffic Data'!AK44*annualizationFactor</f>
        <v>0.33719156250000004</v>
      </c>
      <c r="J262" s="751">
        <f>$E$21*$M$8*'Traffic Data'!AL44*annualizationFactor</f>
        <v>0.34675319124062498</v>
      </c>
      <c r="K262" s="751">
        <f>$E$21*$M$8*'Traffic Data'!AM44*annualizationFactor</f>
        <v>0.35764841261093744</v>
      </c>
      <c r="L262" s="751">
        <f>$E$21*$M$8*'Traffic Data'!AN44*annualizationFactor</f>
        <v>0.37156992825468749</v>
      </c>
      <c r="M262" s="751">
        <f>$E$21*$M$8*'Traffic Data'!AO44*annualizationFactor</f>
        <v>0.38549593978593749</v>
      </c>
      <c r="N262" s="751">
        <f>$E$21*$M$8*'Traffic Data'!AP44*annualizationFactor</f>
        <v>0.39941970337343757</v>
      </c>
      <c r="O262" s="751">
        <f>$E$21*$M$8*'Traffic Data'!AQ44*annualizationFactor</f>
        <v>0.41334121901718757</v>
      </c>
      <c r="P262" s="751">
        <f>$E$21*$M$8*'Traffic Data'!AR44*annualizationFactor</f>
        <v>0.42726554459062505</v>
      </c>
      <c r="Q262" s="751">
        <f>$E$21*$M$8*'Traffic Data'!AS44*annualizationFactor</f>
        <v>0.443003398784375</v>
      </c>
      <c r="R262" s="751">
        <f>$E$21*$M$8*'Traffic Data'!AT44*annualizationFactor</f>
        <v>0.45874069099218745</v>
      </c>
      <c r="S262" s="751">
        <f>$E$21*$M$8*'Traffic Data'!AU44*annualizationFactor</f>
        <v>0.47447629724218748</v>
      </c>
      <c r="T262" s="751">
        <f>$E$21*$M$8*'Traffic Data'!AV44*annualizationFactor</f>
        <v>0.4902141514359375</v>
      </c>
      <c r="U262" s="751">
        <f>$E$21*$M$8*'Traffic Data'!AW44*annualizationFactor</f>
        <v>0.50595481555937494</v>
      </c>
      <c r="V262" s="751">
        <f>$E$21*$M$8*'Traffic Data'!AX44*annualizationFactor</f>
        <v>0.51866581349375007</v>
      </c>
      <c r="W262" s="751">
        <f>$E$21*$M$8*'Traffic Data'!AY44*annualizationFactor</f>
        <v>0.52822744223437512</v>
      </c>
      <c r="X262" s="751">
        <f>$E$21*$M$8*'Traffic Data'!AZ44*annualizationFactor</f>
        <v>0.53778907097500017</v>
      </c>
      <c r="Y262" s="751">
        <f>$E$21*$M$8*'Traffic Data'!BA44*annualizationFactor</f>
        <v>0.54735069971562511</v>
      </c>
      <c r="Z262" s="751">
        <f>$E$21*$M$8*'Traffic Data'!BB44*annualizationFactor</f>
        <v>0.55690951852656256</v>
      </c>
      <c r="AA262" s="751">
        <f>$E$21*$M$8*'Traffic Data'!BC44*annualizationFactor</f>
        <v>0.56647114726718739</v>
      </c>
      <c r="AB262" s="751">
        <f>$E$21*$M$8*'Traffic Data'!BD44*annualizationFactor</f>
        <v>0.57602996607812484</v>
      </c>
      <c r="AC262" s="751">
        <f>$E$21*$M$8*'Traffic Data'!BE44*annualizationFactor</f>
        <v>0.58559159481874989</v>
      </c>
      <c r="AD262" s="751">
        <f>$E$21*$M$8*'Traffic Data'!BF44*annualizationFactor</f>
        <v>0.59515322355937483</v>
      </c>
      <c r="AE262" s="751">
        <f>$E$21*$M$8*'Traffic Data'!BG44*annualizationFactor</f>
        <v>0.60471204237031229</v>
      </c>
      <c r="AF262" s="751">
        <f>$E$21*$M$8*'Traffic Data'!BH44*annualizationFactor</f>
        <v>0.61427367111093745</v>
      </c>
      <c r="AG262" s="751">
        <f>$E$21*$M$8*'Traffic Data'!BI44*annualizationFactor</f>
        <v>0.62383529985156227</v>
      </c>
      <c r="AH262" s="752">
        <f>$E$21*$M$8*'Traffic Data'!BJ44*annualizationFactor</f>
        <v>0.63339411866249973</v>
      </c>
      <c r="AI262" s="40"/>
      <c r="AJ262" s="40"/>
      <c r="AK262" s="40"/>
      <c r="AL262" s="40"/>
      <c r="AM262" s="40"/>
    </row>
    <row r="263" spans="2:39" ht="21.9" customHeight="1" x14ac:dyDescent="0.25">
      <c r="B263" s="469"/>
      <c r="C263" s="114" t="s">
        <v>326</v>
      </c>
      <c r="D263" s="114" t="s">
        <v>274</v>
      </c>
      <c r="E263" s="114" t="s">
        <v>19</v>
      </c>
      <c r="F263" s="114" t="s">
        <v>43</v>
      </c>
      <c r="G263" s="941"/>
      <c r="H263" s="941"/>
      <c r="I263" s="751">
        <f>$E$21*$M$8*'Traffic Data'!AK45*annualizationFactor</f>
        <v>2.7995545624999996</v>
      </c>
      <c r="J263" s="751">
        <f>$E$21*$M$8*'Traffic Data'!AL45*annualizationFactor</f>
        <v>2.8789405980439589</v>
      </c>
      <c r="K263" s="751">
        <f>$E$21*$M$8*'Traffic Data'!AM45*annualizationFactor</f>
        <v>2.9693988718826039</v>
      </c>
      <c r="L263" s="751">
        <f>$E$21*$M$8*'Traffic Data'!AN45*annualizationFactor</f>
        <v>3.0849831479196879</v>
      </c>
      <c r="M263" s="751">
        <f>$E$21*$M$8*'Traffic Data'!AO45*annualizationFactor</f>
        <v>3.2006047513509377</v>
      </c>
      <c r="N263" s="751">
        <f>$E$21*$M$8*'Traffic Data'!AP45*annualizationFactor</f>
        <v>3.3162076910851059</v>
      </c>
      <c r="O263" s="751">
        <f>$E$21*$M$8*'Traffic Data'!AQ45*annualizationFactor</f>
        <v>3.4317919671221877</v>
      </c>
      <c r="P263" s="751">
        <f>$E$21*$M$8*'Traffic Data'!AR45*annualizationFactor</f>
        <v>3.5473995727806256</v>
      </c>
      <c r="Q263" s="751">
        <f>$E$21*$M$8*'Traffic Data'!AS45*annualizationFactor</f>
        <v>3.6780641160610417</v>
      </c>
      <c r="R263" s="751">
        <f>$E$21*$M$8*'Traffic Data'!AT45*annualizationFactor</f>
        <v>3.8087239934171877</v>
      </c>
      <c r="S263" s="751">
        <f>$E$21*$M$8*'Traffic Data'!AU45*annualizationFactor</f>
        <v>3.9393698730005209</v>
      </c>
      <c r="T263" s="751">
        <f>$E$21*$M$8*'Traffic Data'!AV45*annualizationFactor</f>
        <v>4.0700344162809383</v>
      </c>
      <c r="U263" s="751">
        <f>$E$21*$M$8*'Traffic Data'!AW45*annualizationFactor</f>
        <v>4.2007222891827078</v>
      </c>
      <c r="V263" s="751">
        <f>$E$21*$M$8*'Traffic Data'!AX45*annualizationFactor</f>
        <v>4.3062561643404171</v>
      </c>
      <c r="W263" s="751">
        <f>$E$21*$M$8*'Traffic Data'!AY45*annualizationFactor</f>
        <v>4.3856421998843755</v>
      </c>
      <c r="X263" s="751">
        <f>$E$21*$M$8*'Traffic Data'!AZ45*annualizationFactor</f>
        <v>4.4650282354283339</v>
      </c>
      <c r="Y263" s="751">
        <f>$E$21*$M$8*'Traffic Data'!BA45*annualizationFactor</f>
        <v>4.5444142709722923</v>
      </c>
      <c r="Z263" s="751">
        <f>$E$21*$M$8*'Traffic Data'!BB45*annualizationFactor</f>
        <v>4.6237769768948969</v>
      </c>
      <c r="AA263" s="751">
        <f>$E$21*$M$8*'Traffic Data'!BC45*annualizationFactor</f>
        <v>4.7031630124388526</v>
      </c>
      <c r="AB263" s="751">
        <f>$E$21*$M$8*'Traffic Data'!BD45*annualizationFactor</f>
        <v>4.7825257183614571</v>
      </c>
      <c r="AC263" s="751">
        <f>$E$21*$M$8*'Traffic Data'!BE45*annualizationFactor</f>
        <v>4.8619117539054155</v>
      </c>
      <c r="AD263" s="751">
        <f>$E$21*$M$8*'Traffic Data'!BF45*annualizationFactor</f>
        <v>4.9412977894493739</v>
      </c>
      <c r="AE263" s="751">
        <f>$E$21*$M$8*'Traffic Data'!BG45*annualizationFactor</f>
        <v>5.0206604953719776</v>
      </c>
      <c r="AF263" s="751">
        <f>$E$21*$M$8*'Traffic Data'!BH45*annualizationFactor</f>
        <v>5.1000465309159368</v>
      </c>
      <c r="AG263" s="751">
        <f>$E$21*$M$8*'Traffic Data'!BI45*annualizationFactor</f>
        <v>5.1794325664598944</v>
      </c>
      <c r="AH263" s="752">
        <f>$E$21*$M$8*'Traffic Data'!BJ45*annualizationFactor</f>
        <v>5.2587952723824989</v>
      </c>
      <c r="AI263" s="40"/>
      <c r="AJ263" s="40"/>
      <c r="AK263" s="40"/>
      <c r="AL263" s="40"/>
      <c r="AM263" s="40"/>
    </row>
    <row r="264" spans="2:39" ht="21.9" customHeight="1" x14ac:dyDescent="0.25">
      <c r="B264" s="470"/>
      <c r="C264" s="250" t="s">
        <v>274</v>
      </c>
      <c r="D264" s="250" t="s">
        <v>317</v>
      </c>
      <c r="E264" s="250" t="s">
        <v>19</v>
      </c>
      <c r="F264" s="250" t="s">
        <v>43</v>
      </c>
      <c r="G264" s="753"/>
      <c r="H264" s="753"/>
      <c r="I264" s="753">
        <f>$E$21*$M$8*'Traffic Data'!AK46*annualizationFactor</f>
        <v>6.9167499999999993E-2</v>
      </c>
      <c r="J264" s="753">
        <f>$E$21*$M$8*'Traffic Data'!AL46*annualizationFactor</f>
        <v>7.1128859741666675E-2</v>
      </c>
      <c r="K264" s="753">
        <f>$E$21*$M$8*'Traffic Data'!AM46*annualizationFactor</f>
        <v>7.336377694583332E-2</v>
      </c>
      <c r="L264" s="753">
        <f>$E$21*$M$8*'Traffic Data'!AN46*annualizationFactor</f>
        <v>7.6219472462500007E-2</v>
      </c>
      <c r="M264" s="753">
        <f>$E$21*$M$8*'Traffic Data'!AO46*annualizationFactor</f>
        <v>7.9076090212499991E-2</v>
      </c>
      <c r="N264" s="753">
        <f>$E$21*$M$8*'Traffic Data'!AP46*annualizationFactor</f>
        <v>8.1932246845833362E-2</v>
      </c>
      <c r="O264" s="753">
        <f>$E$21*$M$8*'Traffic Data'!AQ46*annualizationFactor</f>
        <v>8.4787942362500021E-2</v>
      </c>
      <c r="P264" s="753">
        <f>$E$21*$M$8*'Traffic Data'!AR46*annualizationFactor</f>
        <v>8.7644214275000021E-2</v>
      </c>
      <c r="Q264" s="753">
        <f>$E$21*$M$8*'Traffic Data'!AS46*annualizationFactor</f>
        <v>9.0872492058333337E-2</v>
      </c>
      <c r="R264" s="753">
        <f>$E$21*$M$8*'Traffic Data'!AT46*annualizationFactor</f>
        <v>9.4100654562500011E-2</v>
      </c>
      <c r="S264" s="753">
        <f>$E$21*$M$8*'Traffic Data'!AU46*annualizationFactor</f>
        <v>9.7328471229166658E-2</v>
      </c>
      <c r="T264" s="753">
        <f>$E$21*$M$8*'Traffic Data'!AV46*annualizationFactor</f>
        <v>0.10055674901250003</v>
      </c>
      <c r="U264" s="753">
        <f>$E$21*$M$8*'Traffic Data'!AW46*annualizationFactor</f>
        <v>0.10378560319166666</v>
      </c>
      <c r="V264" s="753">
        <f>$E$21*$M$8*'Traffic Data'!AX46*annualizationFactor</f>
        <v>0.10639298738333335</v>
      </c>
      <c r="W264" s="753">
        <f>$E$21*$M$8*'Traffic Data'!AY46*annualizationFactor</f>
        <v>0.10835434712500003</v>
      </c>
      <c r="X264" s="753">
        <f>$E$21*$M$8*'Traffic Data'!AZ46*annualizationFactor</f>
        <v>0.1103157068666667</v>
      </c>
      <c r="Y264" s="753">
        <f>$E$21*$M$8*'Traffic Data'!BA46*annualizationFactor</f>
        <v>0.11227706660833336</v>
      </c>
      <c r="Z264" s="753">
        <f>$E$21*$M$8*'Traffic Data'!BB46*annualizationFactor</f>
        <v>0.11423784995416668</v>
      </c>
      <c r="AA264" s="753">
        <f>$E$21*$M$8*'Traffic Data'!BC46*annualizationFactor</f>
        <v>0.11619920969583329</v>
      </c>
      <c r="AB264" s="753">
        <f>$E$21*$M$8*'Traffic Data'!BD46*annualizationFactor</f>
        <v>0.11815999304166663</v>
      </c>
      <c r="AC264" s="753">
        <f>$E$21*$M$8*'Traffic Data'!BE46*annualizationFactor</f>
        <v>0.12012135278333329</v>
      </c>
      <c r="AD264" s="753">
        <f>$E$21*$M$8*'Traffic Data'!BF46*annualizationFactor</f>
        <v>0.12208271252499997</v>
      </c>
      <c r="AE264" s="753">
        <f>$E$21*$M$8*'Traffic Data'!BG46*annualizationFactor</f>
        <v>0.12404349587083331</v>
      </c>
      <c r="AF264" s="753">
        <f>$E$21*$M$8*'Traffic Data'!BH46*annualizationFactor</f>
        <v>0.12600485561249999</v>
      </c>
      <c r="AG264" s="753">
        <f>$E$21*$M$8*'Traffic Data'!BI46*annualizationFactor</f>
        <v>0.12796621535416663</v>
      </c>
      <c r="AH264" s="757">
        <f>$E$21*$M$8*'Traffic Data'!BJ46*annualizationFactor</f>
        <v>0.12992699869999999</v>
      </c>
      <c r="AI264" s="40"/>
      <c r="AJ264" s="40"/>
      <c r="AK264" s="40"/>
      <c r="AL264" s="40"/>
      <c r="AM264" s="40"/>
    </row>
    <row r="265" spans="2:39" ht="21.9" customHeight="1" thickBot="1" x14ac:dyDescent="0.3">
      <c r="B265" s="1073" t="s">
        <v>457</v>
      </c>
      <c r="C265" s="237"/>
      <c r="D265" s="237"/>
      <c r="E265" s="237"/>
      <c r="F265" s="237"/>
      <c r="G265" s="940">
        <f t="shared" ref="G265:AH265" si="32">SUM(G245:G264)</f>
        <v>0</v>
      </c>
      <c r="H265" s="940">
        <f t="shared" si="32"/>
        <v>0</v>
      </c>
      <c r="I265" s="759">
        <f t="shared" si="32"/>
        <v>34.896942745583331</v>
      </c>
      <c r="J265" s="759">
        <f t="shared" si="32"/>
        <v>36.848520962115607</v>
      </c>
      <c r="K265" s="759">
        <f t="shared" si="32"/>
        <v>40.525796240707415</v>
      </c>
      <c r="L265" s="759">
        <f t="shared" si="32"/>
        <v>46.758138648721044</v>
      </c>
      <c r="M265" s="759">
        <f t="shared" si="32"/>
        <v>52.993605762872967</v>
      </c>
      <c r="N265" s="759">
        <f t="shared" si="32"/>
        <v>59.229159514045051</v>
      </c>
      <c r="O265" s="759">
        <f t="shared" si="32"/>
        <v>65.461501922058702</v>
      </c>
      <c r="P265" s="759">
        <f t="shared" si="32"/>
        <v>71.700168733521807</v>
      </c>
      <c r="Q265" s="759">
        <f t="shared" si="32"/>
        <v>77.67051283716323</v>
      </c>
      <c r="R265" s="759">
        <f t="shared" si="32"/>
        <v>83.642442790534673</v>
      </c>
      <c r="S265" s="759">
        <f t="shared" si="32"/>
        <v>89.612675329765267</v>
      </c>
      <c r="T265" s="759">
        <f t="shared" si="32"/>
        <v>95.583019433406704</v>
      </c>
      <c r="U265" s="759">
        <f t="shared" si="32"/>
        <v>101.55981421844957</v>
      </c>
      <c r="V265" s="759">
        <f t="shared" si="32"/>
        <v>105.00428540507468</v>
      </c>
      <c r="W265" s="759">
        <f t="shared" si="32"/>
        <v>106.89262011047943</v>
      </c>
      <c r="X265" s="759">
        <f t="shared" si="32"/>
        <v>108.78095481588421</v>
      </c>
      <c r="Y265" s="759">
        <f t="shared" si="32"/>
        <v>110.669289521289</v>
      </c>
      <c r="Z265" s="759">
        <f t="shared" si="32"/>
        <v>112.55926938939946</v>
      </c>
      <c r="AA265" s="759">
        <f t="shared" si="32"/>
        <v>114.44760409480422</v>
      </c>
      <c r="AB265" s="759">
        <f t="shared" si="32"/>
        <v>116.33758728295477</v>
      </c>
      <c r="AC265" s="759">
        <f t="shared" si="32"/>
        <v>118.22592198835949</v>
      </c>
      <c r="AD265" s="759">
        <f t="shared" si="32"/>
        <v>120.11425669376432</v>
      </c>
      <c r="AE265" s="759">
        <f t="shared" si="32"/>
        <v>122.00423656187479</v>
      </c>
      <c r="AF265" s="759">
        <f t="shared" si="32"/>
        <v>123.89257126727958</v>
      </c>
      <c r="AG265" s="759">
        <f t="shared" si="32"/>
        <v>125.78090597268434</v>
      </c>
      <c r="AH265" s="760">
        <f t="shared" si="32"/>
        <v>127.67088916083483</v>
      </c>
      <c r="AI265" s="40"/>
      <c r="AJ265" s="40"/>
      <c r="AK265" s="40"/>
      <c r="AL265" s="40"/>
      <c r="AM265" s="40"/>
    </row>
    <row r="266" spans="2:39" ht="21.9" customHeight="1" x14ac:dyDescent="0.25">
      <c r="B266" s="548" t="s">
        <v>312</v>
      </c>
      <c r="C266" s="1331" t="s">
        <v>18</v>
      </c>
      <c r="D266" s="1331"/>
      <c r="E266" s="197" t="s">
        <v>24</v>
      </c>
      <c r="F266" s="197" t="s">
        <v>42</v>
      </c>
      <c r="G266" s="459">
        <v>2021</v>
      </c>
      <c r="H266" s="459">
        <v>2022</v>
      </c>
      <c r="I266" s="459">
        <v>2023</v>
      </c>
      <c r="J266" s="459">
        <v>2024</v>
      </c>
      <c r="K266" s="459">
        <v>2025</v>
      </c>
      <c r="L266" s="459">
        <v>2026</v>
      </c>
      <c r="M266" s="459">
        <v>2027</v>
      </c>
      <c r="N266" s="459">
        <v>2028</v>
      </c>
      <c r="O266" s="459">
        <v>2029</v>
      </c>
      <c r="P266" s="459">
        <v>2030</v>
      </c>
      <c r="Q266" s="459">
        <v>2031</v>
      </c>
      <c r="R266" s="459">
        <v>2032</v>
      </c>
      <c r="S266" s="459">
        <v>2033</v>
      </c>
      <c r="T266" s="459">
        <v>2034</v>
      </c>
      <c r="U266" s="459">
        <v>2035</v>
      </c>
      <c r="V266" s="459">
        <v>2036</v>
      </c>
      <c r="W266" s="459">
        <v>2037</v>
      </c>
      <c r="X266" s="459">
        <v>2038</v>
      </c>
      <c r="Y266" s="459">
        <v>2039</v>
      </c>
      <c r="Z266" s="459">
        <v>2040</v>
      </c>
      <c r="AA266" s="459">
        <v>2041</v>
      </c>
      <c r="AB266" s="459">
        <v>2042</v>
      </c>
      <c r="AC266" s="459">
        <v>2043</v>
      </c>
      <c r="AD266" s="459">
        <v>2044</v>
      </c>
      <c r="AE266" s="459">
        <v>2045</v>
      </c>
      <c r="AF266" s="459">
        <v>2046</v>
      </c>
      <c r="AG266" s="459">
        <v>2047</v>
      </c>
      <c r="AH266" s="459">
        <v>2048</v>
      </c>
      <c r="AI266" s="247"/>
      <c r="AJ266" s="247"/>
      <c r="AK266" s="247"/>
      <c r="AL266" s="247"/>
      <c r="AM266" s="247"/>
    </row>
    <row r="267" spans="2:39" ht="21.9" customHeight="1" x14ac:dyDescent="0.25">
      <c r="B267" s="1332" t="s">
        <v>315</v>
      </c>
      <c r="C267" s="217" t="s">
        <v>316</v>
      </c>
      <c r="D267" s="217" t="s">
        <v>276</v>
      </c>
      <c r="E267" s="217" t="s">
        <v>434</v>
      </c>
      <c r="F267" s="217" t="s">
        <v>43</v>
      </c>
      <c r="G267" s="749"/>
      <c r="H267" s="749"/>
      <c r="I267" s="749">
        <f>$E$22*$E$9*'Traffic Data'!AK27*annualizationFactor</f>
        <v>8.3086848000000005E-2</v>
      </c>
      <c r="J267" s="749">
        <f>$E$22*$E$9*'Traffic Data'!AL27*annualizationFactor</f>
        <v>8.6864962766400017E-2</v>
      </c>
      <c r="K267" s="749">
        <f>$E$22*$E$9*'Traffic Data'!AM27*annualizationFactor</f>
        <v>9.2187973612800025E-2</v>
      </c>
      <c r="L267" s="749">
        <f>$E$22*$E$9*'Traffic Data'!AN27*annualizationFactor</f>
        <v>0.10001787045120002</v>
      </c>
      <c r="M267" s="749">
        <f>$E$22*$E$9*'Traffic Data'!AO27*annualizationFactor</f>
        <v>0.1078506234</v>
      </c>
      <c r="N267" s="749">
        <f>$E$22*$E$9*'Traffic Data'!AP27*annualizationFactor</f>
        <v>0.11568337634879999</v>
      </c>
      <c r="O267" s="749">
        <f>$E$22*$E$9*'Traffic Data'!AQ27*annualizationFactor</f>
        <v>0.1235132731872</v>
      </c>
      <c r="P267" s="749">
        <f>$E$22*$E$9*'Traffic Data'!AR27*annualizationFactor</f>
        <v>0.13134888224639998</v>
      </c>
      <c r="Q267" s="749">
        <f>$E$22*$E$9*'Traffic Data'!AS27*annualizationFactor</f>
        <v>0.13909179754080001</v>
      </c>
      <c r="R267" s="749">
        <f>$E$22*$E$9*'Traffic Data'!AT27*annualizationFactor</f>
        <v>0.1468362707136</v>
      </c>
      <c r="S267" s="749">
        <f>$E$22*$E$9*'Traffic Data'!AU27*annualizationFactor</f>
        <v>0.15457918600800002</v>
      </c>
      <c r="T267" s="749">
        <f>$E$22*$E$9*'Traffic Data'!AV27*annualizationFactor</f>
        <v>0.16232210130240002</v>
      </c>
      <c r="U267" s="749">
        <f>$E$22*$E$9*'Traffic Data'!AW27*annualizationFactor</f>
        <v>0.17007072881760002</v>
      </c>
      <c r="V267" s="749">
        <f>$E$22*$E$9*'Traffic Data'!AX27*annualizationFactor</f>
        <v>0.17530390200960005</v>
      </c>
      <c r="W267" s="749">
        <f>$E$22*$E$9*'Traffic Data'!AY27*annualizationFactor</f>
        <v>0.17908201677600002</v>
      </c>
      <c r="X267" s="749">
        <f>$E$22*$E$9*'Traffic Data'!AZ27*annualizationFactor</f>
        <v>0.1828601315424</v>
      </c>
      <c r="Y267" s="749">
        <f>$E$22*$E$9*'Traffic Data'!BA27*annualizationFactor</f>
        <v>0.18663824630880002</v>
      </c>
      <c r="Z267" s="749">
        <f>$E$22*$E$9*'Traffic Data'!BB27*annualizationFactor</f>
        <v>0.19041765930720003</v>
      </c>
      <c r="AA267" s="749">
        <f>$E$22*$E$9*'Traffic Data'!BC27*annualizationFactor</f>
        <v>0.19419577407360006</v>
      </c>
      <c r="AB267" s="749">
        <f>$E$22*$E$9*'Traffic Data'!BD27*annualizationFactor</f>
        <v>0.19797518707199996</v>
      </c>
      <c r="AC267" s="749">
        <f>$E$22*$E$9*'Traffic Data'!BE27*annualizationFactor</f>
        <v>0.20175330183840007</v>
      </c>
      <c r="AD267" s="749">
        <f>$E$22*$E$9*'Traffic Data'!BF27*annualizationFactor</f>
        <v>0.20553141660479998</v>
      </c>
      <c r="AE267" s="749">
        <f>$E$22*$E$9*'Traffic Data'!BG27*annualizationFactor</f>
        <v>0.20931082960319997</v>
      </c>
      <c r="AF267" s="749">
        <f>$E$22*$E$9*'Traffic Data'!BH27*annualizationFactor</f>
        <v>0.21308894436959999</v>
      </c>
      <c r="AG267" s="749">
        <f>$E$22*$E$9*'Traffic Data'!BI27*annualizationFactor</f>
        <v>0.21686705913599999</v>
      </c>
      <c r="AH267" s="750">
        <f>$E$22*$E$9*'Traffic Data'!BJ27*annualizationFactor</f>
        <v>0.22064647213439997</v>
      </c>
      <c r="AI267" s="40"/>
      <c r="AJ267" s="40"/>
      <c r="AK267" s="40"/>
      <c r="AL267" s="40"/>
      <c r="AM267" s="40"/>
    </row>
    <row r="268" spans="2:39" ht="21.9" customHeight="1" x14ac:dyDescent="0.25">
      <c r="B268" s="1332"/>
      <c r="C268" s="114" t="s">
        <v>276</v>
      </c>
      <c r="D268" s="114" t="s">
        <v>274</v>
      </c>
      <c r="E268" s="114" t="s">
        <v>434</v>
      </c>
      <c r="F268" s="114" t="s">
        <v>43</v>
      </c>
      <c r="G268" s="941"/>
      <c r="H268" s="941"/>
      <c r="I268" s="751">
        <f>$E$22*$E$9*'Traffic Data'!AK28*annualizationFactor</f>
        <v>2.6716869163636368</v>
      </c>
      <c r="J268" s="751">
        <f>$E$22*$E$9*'Traffic Data'!AL28*annualizationFactor</f>
        <v>2.8127124050007271</v>
      </c>
      <c r="K268" s="751">
        <f>$E$22*$E$9*'Traffic Data'!AM28*annualizationFactor</f>
        <v>3.0244089601440005</v>
      </c>
      <c r="L268" s="751">
        <f>$E$22*$E$9*'Traffic Data'!AN28*annualizationFactor</f>
        <v>3.3741624629061824</v>
      </c>
      <c r="M268" s="751">
        <f>$E$22*$E$9*'Traffic Data'!AO28*annualizationFactor</f>
        <v>3.7240742878560007</v>
      </c>
      <c r="N268" s="751">
        <f>$E$22*$E$9*'Traffic Data'!AP28*annualizationFactor</f>
        <v>4.073966322532363</v>
      </c>
      <c r="O268" s="751">
        <f>$E$22*$E$9*'Traffic Data'!AQ28*annualizationFactor</f>
        <v>4.4237198252945467</v>
      </c>
      <c r="P268" s="751">
        <f>$E$22*$E$9*'Traffic Data'!AR28*annualizationFactor</f>
        <v>4.7737899724319997</v>
      </c>
      <c r="Q268" s="751">
        <f>$E$22*$E$9*'Traffic Data'!AS28*annualizationFactor</f>
        <v>5.1269671925018185</v>
      </c>
      <c r="R268" s="751">
        <f>$E$22*$E$9*'Traffic Data'!AT28*annualizationFactor</f>
        <v>5.4802631542123637</v>
      </c>
      <c r="S268" s="751">
        <f>$E$22*$E$9*'Traffic Data'!AU28*annualizationFactor</f>
        <v>5.8334403742821817</v>
      </c>
      <c r="T268" s="751">
        <f>$E$22*$E$9*'Traffic Data'!AV28*annualizationFactor</f>
        <v>6.1866175943519996</v>
      </c>
      <c r="U268" s="751">
        <f>$E$22*$E$9*'Traffic Data'!AW28*annualizationFactor</f>
        <v>6.5401114587970914</v>
      </c>
      <c r="V268" s="751">
        <f>$E$22*$E$9*'Traffic Data'!AX28*annualizationFactor</f>
        <v>6.7550734090603655</v>
      </c>
      <c r="W268" s="751">
        <f>$E$22*$E$9*'Traffic Data'!AY28*annualizationFactor</f>
        <v>6.8960988976974535</v>
      </c>
      <c r="X268" s="751">
        <f>$E$22*$E$9*'Traffic Data'!AZ28*annualizationFactor</f>
        <v>7.0371243863345461</v>
      </c>
      <c r="Y268" s="751">
        <f>$E$22*$E$9*'Traffic Data'!BA28*annualizationFactor</f>
        <v>7.1781498749716386</v>
      </c>
      <c r="Z268" s="751">
        <f>$E$22*$E$9*'Traffic Data'!BB28*annualizationFactor</f>
        <v>7.3192545247025462</v>
      </c>
      <c r="AA268" s="751">
        <f>$E$22*$E$9*'Traffic Data'!BC28*annualizationFactor</f>
        <v>7.4602800133396361</v>
      </c>
      <c r="AB268" s="751">
        <f>$E$22*$E$9*'Traffic Data'!BD28*annualizationFactor</f>
        <v>7.6013846630705473</v>
      </c>
      <c r="AC268" s="751">
        <f>$E$22*$E$9*'Traffic Data'!BE28*annualizationFactor</f>
        <v>7.742410151707638</v>
      </c>
      <c r="AD268" s="751">
        <f>$E$22*$E$9*'Traffic Data'!BF28*annualizationFactor</f>
        <v>7.8834356403447297</v>
      </c>
      <c r="AE268" s="751">
        <f>$E$22*$E$9*'Traffic Data'!BG28*annualizationFactor</f>
        <v>8.0245402900756382</v>
      </c>
      <c r="AF268" s="751">
        <f>$E$22*$E$9*'Traffic Data'!BH28*annualizationFactor</f>
        <v>8.1655657787127272</v>
      </c>
      <c r="AG268" s="751">
        <f>$E$22*$E$9*'Traffic Data'!BI28*annualizationFactor</f>
        <v>8.3065912673498197</v>
      </c>
      <c r="AH268" s="752">
        <f>$E$22*$E$9*'Traffic Data'!BJ28*annualizationFactor</f>
        <v>8.4476959170807291</v>
      </c>
      <c r="AI268" s="40"/>
      <c r="AJ268" s="40"/>
      <c r="AK268" s="40"/>
      <c r="AL268" s="40"/>
      <c r="AM268" s="40"/>
    </row>
    <row r="269" spans="2:39" ht="21.9" customHeight="1" x14ac:dyDescent="0.25">
      <c r="B269" s="1332"/>
      <c r="C269" s="114" t="s">
        <v>274</v>
      </c>
      <c r="D269" s="114" t="s">
        <v>317</v>
      </c>
      <c r="E269" s="250" t="s">
        <v>434</v>
      </c>
      <c r="F269" s="250" t="s">
        <v>43</v>
      </c>
      <c r="G269" s="753"/>
      <c r="H269" s="753"/>
      <c r="I269" s="751">
        <f>$E$22*$E$9*'Traffic Data'!AK29*annualizationFactor</f>
        <v>6.2315136E-2</v>
      </c>
      <c r="J269" s="751">
        <f>$E$22*$E$9*'Traffic Data'!AL29*annualizationFactor</f>
        <v>6.4917312220799994E-2</v>
      </c>
      <c r="K269" s="751">
        <f>$E$22*$E$9*'Traffic Data'!AM29*annualizationFactor</f>
        <v>6.8137966166399999E-2</v>
      </c>
      <c r="L269" s="751">
        <f>$E$22*$E$9*'Traffic Data'!AN29*annualizationFactor</f>
        <v>7.2474061046400015E-2</v>
      </c>
      <c r="M269" s="751">
        <f>$E$22*$E$9*'Traffic Data'!AO29*annualizationFactor</f>
        <v>7.6811713804800022E-2</v>
      </c>
      <c r="N269" s="751">
        <f>$E$22*$E$9*'Traffic Data'!AP29*annualizationFactor</f>
        <v>8.1148847270400032E-2</v>
      </c>
      <c r="O269" s="751">
        <f>$E$22*$E$9*'Traffic Data'!AQ29*annualizationFactor</f>
        <v>8.548494215040002E-2</v>
      </c>
      <c r="P269" s="751">
        <f>$E$22*$E$9*'Traffic Data'!AR29*annualizationFactor</f>
        <v>8.9824152787200046E-2</v>
      </c>
      <c r="Q269" s="751">
        <f>$E$22*$E$9*'Traffic Data'!AS29*annualizationFactor</f>
        <v>9.4028347296000001E-2</v>
      </c>
      <c r="R269" s="751">
        <f>$E$22*$E$9*'Traffic Data'!AT29*annualizationFactor</f>
        <v>9.8234099683199988E-2</v>
      </c>
      <c r="S269" s="751">
        <f>$E$22*$E$9*'Traffic Data'!AU29*annualizationFactor</f>
        <v>0.10243829419200001</v>
      </c>
      <c r="T269" s="751">
        <f>$E$22*$E$9*'Traffic Data'!AV29*annualizationFactor</f>
        <v>0.10664248870080001</v>
      </c>
      <c r="U269" s="751">
        <f>$E$22*$E$9*'Traffic Data'!AW29*annualizationFactor</f>
        <v>0.11084979896640001</v>
      </c>
      <c r="V269" s="751">
        <f>$E$22*$E$9*'Traffic Data'!AX29*annualizationFactor</f>
        <v>0.1139369946624</v>
      </c>
      <c r="W269" s="751">
        <f>$E$22*$E$9*'Traffic Data'!AY29*annualizationFactor</f>
        <v>0.11653917088320001</v>
      </c>
      <c r="X269" s="751">
        <f>$E$22*$E$9*'Traffic Data'!AZ29*annualizationFactor</f>
        <v>0.11914134710399998</v>
      </c>
      <c r="Y269" s="751">
        <f>$E$22*$E$9*'Traffic Data'!BA29*annualizationFactor</f>
        <v>0.12174352332480001</v>
      </c>
      <c r="Z269" s="751">
        <f>$E$22*$E$9*'Traffic Data'!BB29*annualizationFactor</f>
        <v>0.12434673813120001</v>
      </c>
      <c r="AA269" s="751">
        <f>$E$22*$E$9*'Traffic Data'!BC29*annualizationFactor</f>
        <v>0.12694891435200001</v>
      </c>
      <c r="AB269" s="751">
        <f>$E$22*$E$9*'Traffic Data'!BD29*annualizationFactor</f>
        <v>0.1295521291584</v>
      </c>
      <c r="AC269" s="751">
        <f>$E$22*$E$9*'Traffic Data'!BE29*annualizationFactor</f>
        <v>0.13215430537920006</v>
      </c>
      <c r="AD269" s="751">
        <f>$E$22*$E$9*'Traffic Data'!BF29*annualizationFactor</f>
        <v>0.13475648159999998</v>
      </c>
      <c r="AE269" s="751">
        <f>$E$22*$E$9*'Traffic Data'!BG29*annualizationFactor</f>
        <v>0.13735969640640003</v>
      </c>
      <c r="AF269" s="751">
        <f>$E$22*$E$9*'Traffic Data'!BH29*annualizationFactor</f>
        <v>0.1399618726272</v>
      </c>
      <c r="AG269" s="751">
        <f>$E$22*$E$9*'Traffic Data'!BI29*annualizationFactor</f>
        <v>0.14256404884799997</v>
      </c>
      <c r="AH269" s="752">
        <f>$E$22*$E$9*'Traffic Data'!BJ29*annualizationFactor</f>
        <v>0.14516726365440002</v>
      </c>
      <c r="AI269" s="40"/>
      <c r="AJ269" s="40"/>
      <c r="AK269" s="40"/>
      <c r="AL269" s="40"/>
      <c r="AM269" s="40"/>
    </row>
    <row r="270" spans="2:39" ht="21.9" customHeight="1" x14ac:dyDescent="0.25">
      <c r="B270" s="1332" t="s">
        <v>274</v>
      </c>
      <c r="C270" s="217" t="s">
        <v>275</v>
      </c>
      <c r="D270" s="217" t="s">
        <v>318</v>
      </c>
      <c r="E270" s="114" t="s">
        <v>434</v>
      </c>
      <c r="F270" s="114" t="s">
        <v>43</v>
      </c>
      <c r="G270" s="941"/>
      <c r="H270" s="941"/>
      <c r="I270" s="749">
        <f>$E$22*$F$9*'Traffic Data'!AK30*annualizationFactor</f>
        <v>0.58082304000000007</v>
      </c>
      <c r="J270" s="749">
        <f>$E$22*$F$9*'Traffic Data'!AL30*annualizationFactor</f>
        <v>0.63957619461119997</v>
      </c>
      <c r="K270" s="749">
        <f>$E$22*$F$9*'Traffic Data'!AM30*annualizationFactor</f>
        <v>0.7709322292223999</v>
      </c>
      <c r="L270" s="749">
        <f>$E$22*$F$9*'Traffic Data'!AN30*annualizationFactor</f>
        <v>1.0347710951424001</v>
      </c>
      <c r="M270" s="749">
        <f>$E$22*$F$9*'Traffic Data'!AO30*annualizationFactor</f>
        <v>1.2987725915135997</v>
      </c>
      <c r="N270" s="749">
        <f>$E$22*$F$9*'Traffic Data'!AP30*annualizationFactor</f>
        <v>1.5627450467327997</v>
      </c>
      <c r="O270" s="749">
        <f>$E$22*$F$9*'Traffic Data'!AQ30*annualizationFactor</f>
        <v>1.8265839126527998</v>
      </c>
      <c r="P270" s="749">
        <f>$E$22*$F$9*'Traffic Data'!AR30*annualizationFactor</f>
        <v>2.0907480394751996</v>
      </c>
      <c r="Q270" s="749">
        <f>$E$22*$F$9*'Traffic Data'!AS30*annualizationFactor</f>
        <v>2.3499577457663996</v>
      </c>
      <c r="R270" s="749">
        <f>$E$22*$F$9*'Traffic Data'!AT30*annualizationFactor</f>
        <v>2.6092981372415989</v>
      </c>
      <c r="S270" s="749">
        <f>$E$22*$F$9*'Traffic Data'!AU30*annualizationFactor</f>
        <v>2.8685078435327993</v>
      </c>
      <c r="T270" s="749">
        <f>$E$22*$F$9*'Traffic Data'!AV30*annualizationFactor</f>
        <v>3.1277175498239997</v>
      </c>
      <c r="U270" s="749">
        <f>$E$22*$F$9*'Traffic Data'!AW30*annualizationFactor</f>
        <v>3.3872525170175996</v>
      </c>
      <c r="V270" s="749">
        <f>$E$22*$F$9*'Traffic Data'!AX30*annualizationFactor</f>
        <v>3.5138167615487994</v>
      </c>
      <c r="W270" s="749">
        <f>$E$22*$F$9*'Traffic Data'!AY30*annualizationFactor</f>
        <v>3.5725699161599995</v>
      </c>
      <c r="X270" s="749">
        <f>$E$22*$F$9*'Traffic Data'!AZ30*annualizationFactor</f>
        <v>3.6313230707711996</v>
      </c>
      <c r="Y270" s="749">
        <f>$E$22*$F$9*'Traffic Data'!BA30*annualizationFactor</f>
        <v>3.6900762253823989</v>
      </c>
      <c r="Z270" s="749">
        <f>$E$22*$F$9*'Traffic Data'!BB30*annualizationFactor</f>
        <v>3.7489194075648</v>
      </c>
      <c r="AA270" s="749">
        <f>$E$22*$F$9*'Traffic Data'!BC30*annualizationFactor</f>
        <v>3.8076725621760001</v>
      </c>
      <c r="AB270" s="749">
        <f>$E$22*$F$9*'Traffic Data'!BD30*annualizationFactor</f>
        <v>3.8665157443583986</v>
      </c>
      <c r="AC270" s="749">
        <f>$E$22*$F$9*'Traffic Data'!BE30*annualizationFactor</f>
        <v>3.9252688989695992</v>
      </c>
      <c r="AD270" s="749">
        <f>$E$22*$F$9*'Traffic Data'!BF30*annualizationFactor</f>
        <v>3.9840220535807993</v>
      </c>
      <c r="AE270" s="749">
        <f>$E$22*$F$9*'Traffic Data'!BG30*annualizationFactor</f>
        <v>4.0428652357632</v>
      </c>
      <c r="AF270" s="749">
        <f>$E$22*$F$9*'Traffic Data'!BH30*annualizationFactor</f>
        <v>4.1016183903743997</v>
      </c>
      <c r="AG270" s="749">
        <f>$E$22*$F$9*'Traffic Data'!BI30*annualizationFactor</f>
        <v>4.1603715449855994</v>
      </c>
      <c r="AH270" s="750">
        <f>$E$22*$F$9*'Traffic Data'!BJ30*annualizationFactor</f>
        <v>4.2192147271679987</v>
      </c>
      <c r="AI270" s="40"/>
      <c r="AJ270" s="40"/>
      <c r="AK270" s="40"/>
      <c r="AL270" s="40"/>
      <c r="AM270" s="40"/>
    </row>
    <row r="271" spans="2:39" ht="21.9" customHeight="1" x14ac:dyDescent="0.25">
      <c r="B271" s="1332"/>
      <c r="C271" s="114" t="s">
        <v>318</v>
      </c>
      <c r="D271" s="114" t="s">
        <v>308</v>
      </c>
      <c r="E271" s="114" t="s">
        <v>434</v>
      </c>
      <c r="F271" s="114" t="s">
        <v>43</v>
      </c>
      <c r="G271" s="941"/>
      <c r="H271" s="941"/>
      <c r="I271" s="751">
        <f>$E$22*$F$9*'Traffic Data'!AK31*annualizationFactor</f>
        <v>6.7276799999999998E-2</v>
      </c>
      <c r="J271" s="751">
        <f>$E$22*$F$9*'Traffic Data'!AL31*annualizationFactor</f>
        <v>7.429825536000001E-2</v>
      </c>
      <c r="K271" s="751">
        <f>$E$22*$F$9*'Traffic Data'!AM31*annualizationFactor</f>
        <v>8.3991160319999994E-2</v>
      </c>
      <c r="L271" s="751">
        <f>$E$22*$F$9*'Traffic Data'!AN31*annualizationFactor</f>
        <v>0.10179148031999999</v>
      </c>
      <c r="M271" s="751">
        <f>$E$22*$F$9*'Traffic Data'!AO31*annualizationFactor</f>
        <v>0.11959684608</v>
      </c>
      <c r="N271" s="751">
        <f>$E$22*$F$9*'Traffic Data'!AP31*annualizationFactor</f>
        <v>0.13740557568</v>
      </c>
      <c r="O271" s="751">
        <f>$E$22*$F$9*'Traffic Data'!AQ31*annualizationFactor</f>
        <v>0.15520589567999998</v>
      </c>
      <c r="P271" s="751">
        <f>$E$22*$F$9*'Traffic Data'!AR31*annualizationFactor</f>
        <v>0.17302247424</v>
      </c>
      <c r="Q271" s="751">
        <f>$E$22*$F$9*'Traffic Data'!AS31*annualizationFactor</f>
        <v>0.19864035839999999</v>
      </c>
      <c r="R271" s="751">
        <f>$E$22*$F$9*'Traffic Data'!AT31*annualizationFactor</f>
        <v>0.22426384896000001</v>
      </c>
      <c r="S271" s="751">
        <f>$E$22*$F$9*'Traffic Data'!AU31*annualizationFactor</f>
        <v>0.24987668735999999</v>
      </c>
      <c r="T271" s="751">
        <f>$E$22*$F$9*'Traffic Data'!AV31*annualizationFactor</f>
        <v>0.27549457152000001</v>
      </c>
      <c r="U271" s="751">
        <f>$E$22*$F$9*'Traffic Data'!AW31*annualizationFactor</f>
        <v>0.30112871424000004</v>
      </c>
      <c r="V271" s="751">
        <f>$E$22*$F$9*'Traffic Data'!AX31*annualizationFactor</f>
        <v>0.31862292479999998</v>
      </c>
      <c r="W271" s="751">
        <f>$E$22*$F$9*'Traffic Data'!AY31*annualizationFactor</f>
        <v>0.32564438016000002</v>
      </c>
      <c r="X271" s="751">
        <f>$E$22*$F$9*'Traffic Data'!AZ31*annualizationFactor</f>
        <v>0.33266583552000001</v>
      </c>
      <c r="Y271" s="751">
        <f>$E$22*$F$9*'Traffic Data'!BA31*annualizationFactor</f>
        <v>0.33968729087999999</v>
      </c>
      <c r="Z271" s="751">
        <f>$E$22*$F$9*'Traffic Data'!BB31*annualizationFactor</f>
        <v>0.34671379200000002</v>
      </c>
      <c r="AA271" s="751">
        <f>$E$22*$F$9*'Traffic Data'!BC31*annualizationFactor</f>
        <v>0.35373524736</v>
      </c>
      <c r="AB271" s="751">
        <f>$E$22*$F$9*'Traffic Data'!BD31*annualizationFactor</f>
        <v>0.36076174848000003</v>
      </c>
      <c r="AC271" s="751">
        <f>$E$22*$F$9*'Traffic Data'!BE31*annualizationFactor</f>
        <v>0.36778320384000002</v>
      </c>
      <c r="AD271" s="751">
        <f>$E$22*$F$9*'Traffic Data'!BF31*annualizationFactor</f>
        <v>0.3748046592</v>
      </c>
      <c r="AE271" s="751">
        <f>$E$22*$F$9*'Traffic Data'!BG31*annualizationFactor</f>
        <v>0.38183116032000003</v>
      </c>
      <c r="AF271" s="751">
        <f>$E$22*$F$9*'Traffic Data'!BH31*annualizationFactor</f>
        <v>0.38885261568000001</v>
      </c>
      <c r="AG271" s="751">
        <f>$E$22*$F$9*'Traffic Data'!BI31*annualizationFactor</f>
        <v>0.39587407104</v>
      </c>
      <c r="AH271" s="752">
        <f>$E$22*$F$9*'Traffic Data'!BJ31*annualizationFactor</f>
        <v>0.40290057216000003</v>
      </c>
      <c r="AI271" s="40"/>
      <c r="AJ271" s="40"/>
      <c r="AK271" s="40"/>
      <c r="AL271" s="40"/>
      <c r="AM271" s="40"/>
    </row>
    <row r="272" spans="2:39" ht="21.9" customHeight="1" x14ac:dyDescent="0.25">
      <c r="B272" s="1332"/>
      <c r="C272" s="250" t="s">
        <v>308</v>
      </c>
      <c r="D272" s="250" t="s">
        <v>319</v>
      </c>
      <c r="E272" s="114" t="s">
        <v>434</v>
      </c>
      <c r="F272" s="114" t="s">
        <v>43</v>
      </c>
      <c r="G272" s="941"/>
      <c r="H272" s="941"/>
      <c r="I272" s="751">
        <f>$E$22*$F$9*'Traffic Data'!AK32*annualizationFactor</f>
        <v>0.90150912000000016</v>
      </c>
      <c r="J272" s="751">
        <f>$E$22*$F$9*'Traffic Data'!AL32*annualizationFactor</f>
        <v>0.92675438039040003</v>
      </c>
      <c r="K272" s="751">
        <f>$E$22*$F$9*'Traffic Data'!AM32*annualizationFactor</f>
        <v>0.96273060433919999</v>
      </c>
      <c r="L272" s="751">
        <f>$E$22*$F$9*'Traffic Data'!AN32*annualizationFactor</f>
        <v>1.0132241301503999</v>
      </c>
      <c r="M272" s="751">
        <f>$E$22*$F$9*'Traffic Data'!AO32*annualizationFactor</f>
        <v>1.0637386911743998</v>
      </c>
      <c r="N272" s="751">
        <f>$E$22*$F$9*'Traffic Data'!AP32*annualizationFactor</f>
        <v>1.1142487446528004</v>
      </c>
      <c r="O272" s="751">
        <f>$E$22*$F$9*'Traffic Data'!AQ32*annualizationFactor</f>
        <v>1.1647422704640005</v>
      </c>
      <c r="P272" s="751">
        <f>$E$22*$F$9*'Traffic Data'!AR32*annualizationFactor</f>
        <v>1.2152763641856001</v>
      </c>
      <c r="Q272" s="751">
        <f>$E$22*$F$9*'Traffic Data'!AS32*annualizationFactor</f>
        <v>1.2662897602559999</v>
      </c>
      <c r="R272" s="751">
        <f>$E$22*$F$9*'Traffic Data'!AT32*annualizationFactor</f>
        <v>1.3173181814784001</v>
      </c>
      <c r="S272" s="751">
        <f>$E$22*$F$9*'Traffic Data'!AU32*annualizationFactor</f>
        <v>1.3683270700032</v>
      </c>
      <c r="T272" s="751">
        <f>$E$22*$F$9*'Traffic Data'!AV32*annualizationFactor</f>
        <v>1.4193404660736</v>
      </c>
      <c r="U272" s="751">
        <f>$E$22*$F$9*'Traffic Data'!AW32*annualizationFactor</f>
        <v>1.4703944300544003</v>
      </c>
      <c r="V272" s="751">
        <f>$E$22*$F$9*'Traffic Data'!AX32*annualizationFactor</f>
        <v>1.5068664840192001</v>
      </c>
      <c r="W272" s="751">
        <f>$E$22*$F$9*'Traffic Data'!AY32*annualizationFactor</f>
        <v>1.5321117444095997</v>
      </c>
      <c r="X272" s="751">
        <f>$E$22*$F$9*'Traffic Data'!AZ32*annualizationFactor</f>
        <v>1.5573570047999998</v>
      </c>
      <c r="Y272" s="751">
        <f>$E$22*$F$9*'Traffic Data'!BA32*annualizationFactor</f>
        <v>1.5826022651903997</v>
      </c>
      <c r="Z272" s="751">
        <f>$E$22*$F$9*'Traffic Data'!BB32*annualizationFactor</f>
        <v>1.6078595457024001</v>
      </c>
      <c r="AA272" s="751">
        <f>$E$22*$F$9*'Traffic Data'!BC32*annualizationFactor</f>
        <v>1.6331048060928002</v>
      </c>
      <c r="AB272" s="751">
        <f>$E$22*$F$9*'Traffic Data'!BD32*annualizationFactor</f>
        <v>1.6583620866048001</v>
      </c>
      <c r="AC272" s="751">
        <f>$E$22*$F$9*'Traffic Data'!BE32*annualizationFactor</f>
        <v>1.6836073469952002</v>
      </c>
      <c r="AD272" s="751">
        <f>$E$22*$F$9*'Traffic Data'!BF32*annualizationFactor</f>
        <v>1.7088526073856001</v>
      </c>
      <c r="AE272" s="751">
        <f>$E$22*$F$9*'Traffic Data'!BG32*annualizationFactor</f>
        <v>1.7341098878975998</v>
      </c>
      <c r="AF272" s="751">
        <f>$E$22*$F$9*'Traffic Data'!BH32*annualizationFactor</f>
        <v>1.7593551482879997</v>
      </c>
      <c r="AG272" s="751">
        <f>$E$22*$F$9*'Traffic Data'!BI32*annualizationFactor</f>
        <v>1.7846004086783998</v>
      </c>
      <c r="AH272" s="752">
        <f>$E$22*$F$9*'Traffic Data'!BJ32*annualizationFactor</f>
        <v>1.8098576891903997</v>
      </c>
      <c r="AI272" s="40"/>
      <c r="AJ272" s="40"/>
      <c r="AK272" s="40"/>
      <c r="AL272" s="40"/>
      <c r="AM272" s="40"/>
    </row>
    <row r="273" spans="2:39" ht="21.9" customHeight="1" x14ac:dyDescent="0.25">
      <c r="B273" s="469" t="s">
        <v>320</v>
      </c>
      <c r="C273" s="114" t="s">
        <v>318</v>
      </c>
      <c r="D273" s="114" t="s">
        <v>308</v>
      </c>
      <c r="E273" s="273" t="s">
        <v>434</v>
      </c>
      <c r="F273" s="273" t="s">
        <v>43</v>
      </c>
      <c r="G273" s="754"/>
      <c r="H273" s="754"/>
      <c r="I273" s="749">
        <f>$E$22*$G$9*'Traffic Data'!AK33*annualizationFactor</f>
        <v>2.6350080000000003E-3</v>
      </c>
      <c r="J273" s="749">
        <f>$E$22*$G$9*'Traffic Data'!AL33*annualizationFactor</f>
        <v>1.9970725631999999E-2</v>
      </c>
      <c r="K273" s="749">
        <f>$E$22*$G$9*'Traffic Data'!AM33*annualizationFactor</f>
        <v>0.11570056627200001</v>
      </c>
      <c r="L273" s="749">
        <f>$E$22*$G$9*'Traffic Data'!AN33*annualizationFactor</f>
        <v>0.266486264064</v>
      </c>
      <c r="M273" s="749">
        <f>$E$22*$G$9*'Traffic Data'!AO33*annualizationFactor</f>
        <v>0.41736682214399995</v>
      </c>
      <c r="N273" s="749">
        <f>$E$22*$G$9*'Traffic Data'!AP33*annualizationFactor</f>
        <v>0.56825528524800017</v>
      </c>
      <c r="O273" s="749">
        <f>$E$22*$G$9*'Traffic Data'!AQ33*annualizationFactor</f>
        <v>0.71904098304000008</v>
      </c>
      <c r="P273" s="749">
        <f>$E$22*$G$9*'Traffic Data'!AR33*annualizationFactor</f>
        <v>0.87002694144000003</v>
      </c>
      <c r="Q273" s="749">
        <f>$E$22*$G$9*'Traffic Data'!AS33*annualizationFactor</f>
        <v>0.9548056888319999</v>
      </c>
      <c r="R273" s="749">
        <f>$E$22*$G$9*'Traffic Data'!AT33*annualizationFactor</f>
        <v>1.0396160563199999</v>
      </c>
      <c r="S273" s="749">
        <f>$E$22*$G$9*'Traffic Data'!AU33*annualizationFactor</f>
        <v>1.1244185187839999</v>
      </c>
      <c r="T273" s="749">
        <f>$E$22*$G$9*'Traffic Data'!AV33*annualizationFactor</f>
        <v>1.2091972661759998</v>
      </c>
      <c r="U273" s="749">
        <f>$E$22*$G$9*'Traffic Data'!AW33*annualizationFactor</f>
        <v>1.2941762741760003</v>
      </c>
      <c r="V273" s="749">
        <f>$E$22*$G$9*'Traffic Data'!AX33*annualizationFactor</f>
        <v>1.3238174791680004</v>
      </c>
      <c r="W273" s="749">
        <f>$E$22*$G$9*'Traffic Data'!AY33*annualizationFactor</f>
        <v>1.3411531967999999</v>
      </c>
      <c r="X273" s="749">
        <f>$E$22*$G$9*'Traffic Data'!AZ33*annualizationFactor</f>
        <v>1.3584889144320003</v>
      </c>
      <c r="Y273" s="749">
        <f>$E$22*$G$9*'Traffic Data'!BA33*annualizationFactor</f>
        <v>1.3758246320640002</v>
      </c>
      <c r="Z273" s="749">
        <f>$E$22*$G$9*'Traffic Data'!BB33*annualizationFactor</f>
        <v>1.3932288599039999</v>
      </c>
      <c r="AA273" s="749">
        <f>$E$22*$G$9*'Traffic Data'!BC33*annualizationFactor</f>
        <v>1.4105645775360003</v>
      </c>
      <c r="AB273" s="749">
        <f>$E$22*$G$9*'Traffic Data'!BD33*annualizationFactor</f>
        <v>1.4279688053760007</v>
      </c>
      <c r="AC273" s="749">
        <f>$E$22*$G$9*'Traffic Data'!BE33*annualizationFactor</f>
        <v>1.4453045230080002</v>
      </c>
      <c r="AD273" s="749">
        <f>$E$22*$G$9*'Traffic Data'!BF33*annualizationFactor</f>
        <v>1.4626402406400003</v>
      </c>
      <c r="AE273" s="749">
        <f>$E$22*$G$9*'Traffic Data'!BG33*annualizationFactor</f>
        <v>1.4800444684800005</v>
      </c>
      <c r="AF273" s="749">
        <f>$E$22*$G$9*'Traffic Data'!BH33*annualizationFactor</f>
        <v>1.4973801861120002</v>
      </c>
      <c r="AG273" s="749">
        <f>$E$22*$G$9*'Traffic Data'!BI33*annualizationFactor</f>
        <v>1.5147159037439999</v>
      </c>
      <c r="AH273" s="750">
        <f>$E$22*$G$9*'Traffic Data'!BJ33*annualizationFactor</f>
        <v>1.5321201315840005</v>
      </c>
      <c r="AI273" s="40"/>
      <c r="AJ273" s="40"/>
      <c r="AK273" s="40"/>
      <c r="AL273" s="40"/>
      <c r="AM273" s="40"/>
    </row>
    <row r="274" spans="2:39" ht="21.9" customHeight="1" x14ac:dyDescent="0.25">
      <c r="B274" s="1332" t="s">
        <v>308</v>
      </c>
      <c r="C274" s="217" t="s">
        <v>276</v>
      </c>
      <c r="D274" s="217" t="s">
        <v>320</v>
      </c>
      <c r="E274" s="114" t="s">
        <v>434</v>
      </c>
      <c r="F274" s="114" t="s">
        <v>43</v>
      </c>
      <c r="G274" s="941"/>
      <c r="H274" s="941"/>
      <c r="I274" s="749">
        <f>$E$22*$H$9*'Traffic Data'!AK34*annualizationFactor</f>
        <v>7.5686399999999997E-3</v>
      </c>
      <c r="J274" s="749">
        <f>$E$22*$H$9*'Traffic Data'!AL34*annualizationFactor</f>
        <v>1.6821302399999998E-2</v>
      </c>
      <c r="K274" s="749">
        <f>$E$22*$H$9*'Traffic Data'!AM34*annualizationFactor</f>
        <v>7.109601984000001E-2</v>
      </c>
      <c r="L274" s="749">
        <f>$E$22*$H$9*'Traffic Data'!AN34*annualizationFactor</f>
        <v>0.15981940223999999</v>
      </c>
      <c r="M274" s="749">
        <f>$E$22*$H$9*'Traffic Data'!AO34*annualizationFactor</f>
        <v>0.24859198080000006</v>
      </c>
      <c r="N274" s="749">
        <f>$E$22*$H$9*'Traffic Data'!AP34*annualizationFactor</f>
        <v>0.33736834367999996</v>
      </c>
      <c r="O274" s="749">
        <f>$E$22*$H$9*'Traffic Data'!AQ34*annualizationFactor</f>
        <v>0.42609172608000007</v>
      </c>
      <c r="P274" s="749">
        <f>$E$22*$H$9*'Traffic Data'!AR34*annualizationFactor</f>
        <v>0.51491728512000012</v>
      </c>
      <c r="Q274" s="749">
        <f>$E$22*$H$9*'Traffic Data'!AS34*annualizationFactor</f>
        <v>0.58341347712000013</v>
      </c>
      <c r="R274" s="749">
        <f>$E$22*$H$9*'Traffic Data'!AT34*annualizationFactor</f>
        <v>0.65192102208000013</v>
      </c>
      <c r="S274" s="749">
        <f>$E$22*$H$9*'Traffic Data'!AU34*annualizationFactor</f>
        <v>0.72041721407999992</v>
      </c>
      <c r="T274" s="749">
        <f>$E$22*$H$9*'Traffic Data'!AV34*annualizationFactor</f>
        <v>0.78891340608000005</v>
      </c>
      <c r="U274" s="749">
        <f>$E$22*$H$9*'Traffic Data'!AW34*annualizationFactor</f>
        <v>0.85750042176000008</v>
      </c>
      <c r="V274" s="749">
        <f>$E$22*$H$9*'Traffic Data'!AX34*annualizationFactor</f>
        <v>0.89149496831999997</v>
      </c>
      <c r="W274" s="749">
        <f>$E$22*$H$9*'Traffic Data'!AY34*annualizationFactor</f>
        <v>0.90074763072000019</v>
      </c>
      <c r="X274" s="749">
        <f>$E$22*$H$9*'Traffic Data'!AZ34*annualizationFactor</f>
        <v>0.91000029312000008</v>
      </c>
      <c r="Y274" s="749">
        <f>$E$22*$H$9*'Traffic Data'!BA34*annualizationFactor</f>
        <v>0.91925295552000019</v>
      </c>
      <c r="Z274" s="749">
        <f>$E$22*$H$9*'Traffic Data'!BB34*annualizationFactor</f>
        <v>0.92853210816000009</v>
      </c>
      <c r="AA274" s="749">
        <f>$E$22*$H$9*'Traffic Data'!BC34*annualizationFactor</f>
        <v>0.93778477056000009</v>
      </c>
      <c r="AB274" s="749">
        <f>$E$22*$H$9*'Traffic Data'!BD34*annualizationFactor</f>
        <v>0.94706392319999966</v>
      </c>
      <c r="AC274" s="749">
        <f>$E$22*$H$9*'Traffic Data'!BE34*annualizationFactor</f>
        <v>0.95631658559999988</v>
      </c>
      <c r="AD274" s="749">
        <f>$E$22*$H$9*'Traffic Data'!BF34*annualizationFactor</f>
        <v>0.96556924799999999</v>
      </c>
      <c r="AE274" s="749">
        <f>$E$22*$H$9*'Traffic Data'!BG34*annualizationFactor</f>
        <v>0.97484840063999989</v>
      </c>
      <c r="AF274" s="749">
        <f>$E$22*$H$9*'Traffic Data'!BH34*annualizationFactor</f>
        <v>0.98410106304</v>
      </c>
      <c r="AG274" s="749">
        <f>$E$22*$H$9*'Traffic Data'!BI34*annualizationFactor</f>
        <v>0.99335372544</v>
      </c>
      <c r="AH274" s="750">
        <f>$E$22*$H$9*'Traffic Data'!BJ34*annualizationFactor</f>
        <v>1.00263287808</v>
      </c>
      <c r="AI274" s="40"/>
      <c r="AJ274" s="40"/>
      <c r="AK274" s="40"/>
      <c r="AL274" s="40"/>
      <c r="AM274" s="40"/>
    </row>
    <row r="275" spans="2:39" ht="21.9" customHeight="1" x14ac:dyDescent="0.25">
      <c r="B275" s="1332"/>
      <c r="C275" s="114" t="s">
        <v>320</v>
      </c>
      <c r="D275" s="114" t="s">
        <v>282</v>
      </c>
      <c r="E275" s="114" t="s">
        <v>434</v>
      </c>
      <c r="F275" s="114" t="s">
        <v>43</v>
      </c>
      <c r="G275" s="941"/>
      <c r="H275" s="941"/>
      <c r="I275" s="751">
        <f>$E$22*$H$9*'Traffic Data'!AK35*annualizationFactor</f>
        <v>0</v>
      </c>
      <c r="J275" s="751">
        <f>$E$22*$H$9*'Traffic Data'!AL35*annualizationFactor</f>
        <v>5.1489177599999998E-3</v>
      </c>
      <c r="K275" s="751">
        <f>$E$22*$H$9*'Traffic Data'!AM35*annualizationFactor</f>
        <v>1.4745841152000002E-2</v>
      </c>
      <c r="L275" s="751">
        <f>$E$22*$H$9*'Traffic Data'!AN35*annualizationFactor</f>
        <v>3.3147727872000002E-2</v>
      </c>
      <c r="M275" s="751">
        <f>$E$22*$H$9*'Traffic Data'!AO35*annualizationFactor</f>
        <v>5.1559818240000013E-2</v>
      </c>
      <c r="N275" s="751">
        <f>$E$22*$H$9*'Traffic Data'!AP35*annualizationFactor</f>
        <v>6.9972693503999997E-2</v>
      </c>
      <c r="O275" s="751">
        <f>$E$22*$H$9*'Traffic Data'!AQ35*annualizationFactor</f>
        <v>8.8374580223999993E-2</v>
      </c>
      <c r="P275" s="751">
        <f>$E$22*$H$9*'Traffic Data'!AR35*annualizationFactor</f>
        <v>0.10679765913600001</v>
      </c>
      <c r="Q275" s="751">
        <f>$E$22*$H$9*'Traffic Data'!AS35*annualizationFactor</f>
        <v>0.12100427673600003</v>
      </c>
      <c r="R275" s="751">
        <f>$E$22*$H$9*'Traffic Data'!AT35*annualizationFactor</f>
        <v>0.13521324902400003</v>
      </c>
      <c r="S275" s="751">
        <f>$E$22*$H$9*'Traffic Data'!AU35*annualizationFactor</f>
        <v>0.149419866624</v>
      </c>
      <c r="T275" s="751">
        <f>$E$22*$H$9*'Traffic Data'!AV35*annualizationFactor</f>
        <v>0.163626484224</v>
      </c>
      <c r="U275" s="751">
        <f>$E$22*$H$9*'Traffic Data'!AW35*annualizationFactor</f>
        <v>0.177851939328</v>
      </c>
      <c r="V275" s="751">
        <f>$E$22*$H$9*'Traffic Data'!AX35*annualizationFactor</f>
        <v>0.18490266009600001</v>
      </c>
      <c r="W275" s="751">
        <f>$E$22*$H$9*'Traffic Data'!AY35*annualizationFactor</f>
        <v>0.18682173081600006</v>
      </c>
      <c r="X275" s="751">
        <f>$E$22*$H$9*'Traffic Data'!AZ35*annualizationFactor</f>
        <v>0.18874080153600001</v>
      </c>
      <c r="Y275" s="751">
        <f>$E$22*$H$9*'Traffic Data'!BA35*annualizationFactor</f>
        <v>0.19065987225600003</v>
      </c>
      <c r="Z275" s="751">
        <f>$E$22*$H$9*'Traffic Data'!BB35*annualizationFactor</f>
        <v>0.19258443724800003</v>
      </c>
      <c r="AA275" s="751">
        <f>$E$22*$H$9*'Traffic Data'!BC35*annualizationFactor</f>
        <v>0.19450350796800003</v>
      </c>
      <c r="AB275" s="751">
        <f>$E$22*$H$9*'Traffic Data'!BD35*annualizationFactor</f>
        <v>0.19642807295999995</v>
      </c>
      <c r="AC275" s="751">
        <f>$E$22*$H$9*'Traffic Data'!BE35*annualizationFactor</f>
        <v>0.19834714367999998</v>
      </c>
      <c r="AD275" s="751">
        <f>$E$22*$H$9*'Traffic Data'!BF35*annualizationFactor</f>
        <v>0.2002662144</v>
      </c>
      <c r="AE275" s="751">
        <f>$E$22*$H$9*'Traffic Data'!BG35*annualizationFactor</f>
        <v>0.20219077939199998</v>
      </c>
      <c r="AF275" s="751">
        <f>$E$22*$H$9*'Traffic Data'!BH35*annualizationFactor</f>
        <v>0.204109850112</v>
      </c>
      <c r="AG275" s="751">
        <f>$E$22*$H$9*'Traffic Data'!BI35*annualizationFactor</f>
        <v>0.20602892083199997</v>
      </c>
      <c r="AH275" s="752">
        <f>$E$22*$H$9*'Traffic Data'!BJ35*annualizationFactor</f>
        <v>0.207953485824</v>
      </c>
      <c r="AI275" s="40"/>
      <c r="AJ275" s="40"/>
      <c r="AK275" s="40"/>
      <c r="AL275" s="40"/>
      <c r="AM275" s="40"/>
    </row>
    <row r="276" spans="2:39" ht="21.9" customHeight="1" x14ac:dyDescent="0.25">
      <c r="B276" s="1332"/>
      <c r="C276" s="114" t="s">
        <v>282</v>
      </c>
      <c r="D276" s="114" t="s">
        <v>321</v>
      </c>
      <c r="E276" s="114" t="s">
        <v>434</v>
      </c>
      <c r="F276" s="114" t="s">
        <v>43</v>
      </c>
      <c r="G276" s="941"/>
      <c r="H276" s="941"/>
      <c r="I276" s="751">
        <f>$E$22*$H$9*'Traffic Data'!AK36*annualizationFactor</f>
        <v>0</v>
      </c>
      <c r="J276" s="751">
        <f>$E$22*$H$9*'Traffic Data'!AL36*annualizationFactor</f>
        <v>1.3423964160000001E-2</v>
      </c>
      <c r="K276" s="751">
        <f>$E$22*$H$9*'Traffic Data'!AM36*annualizationFactor</f>
        <v>3.8444514431999997E-2</v>
      </c>
      <c r="L276" s="751">
        <f>$E$22*$H$9*'Traffic Data'!AN36*annualizationFactor</f>
        <v>8.6420861951999994E-2</v>
      </c>
      <c r="M276" s="751">
        <f>$E$22*$H$9*'Traffic Data'!AO36*annualizationFactor</f>
        <v>0.13442381184000002</v>
      </c>
      <c r="N276" s="751">
        <f>$E$22*$H$9*'Traffic Data'!AP36*annualizationFactor</f>
        <v>0.18242880806399997</v>
      </c>
      <c r="O276" s="751">
        <f>$E$22*$H$9*'Traffic Data'!AQ36*annualizationFactor</f>
        <v>0.23040515558399996</v>
      </c>
      <c r="P276" s="751">
        <f>$E$22*$H$9*'Traffic Data'!AR36*annualizationFactor</f>
        <v>0.278436754176</v>
      </c>
      <c r="Q276" s="751">
        <f>$E$22*$H$9*'Traffic Data'!AS36*annualizationFactor</f>
        <v>0.31547543577600007</v>
      </c>
      <c r="R276" s="751">
        <f>$E$22*$H$9*'Traffic Data'!AT36*annualizationFactor</f>
        <v>0.35252025638400003</v>
      </c>
      <c r="S276" s="751">
        <f>$E$22*$H$9*'Traffic Data'!AU36*annualizationFactor</f>
        <v>0.38955893798399993</v>
      </c>
      <c r="T276" s="751">
        <f>$E$22*$H$9*'Traffic Data'!AV36*annualizationFactor</f>
        <v>0.42659761958399994</v>
      </c>
      <c r="U276" s="751">
        <f>$E$22*$H$9*'Traffic Data'!AW36*annualizationFactor</f>
        <v>0.46368541324800006</v>
      </c>
      <c r="V276" s="751">
        <f>$E$22*$H$9*'Traffic Data'!AX36*annualizationFactor</f>
        <v>0.48206764953600001</v>
      </c>
      <c r="W276" s="751">
        <f>$E$22*$H$9*'Traffic Data'!AY36*annualizationFactor</f>
        <v>0.48707094105599996</v>
      </c>
      <c r="X276" s="751">
        <f>$E$22*$H$9*'Traffic Data'!AZ36*annualizationFactor</f>
        <v>0.49207423257599997</v>
      </c>
      <c r="Y276" s="751">
        <f>$E$22*$H$9*'Traffic Data'!BA36*annualizationFactor</f>
        <v>0.49707752409600003</v>
      </c>
      <c r="Z276" s="751">
        <f>$E$22*$H$9*'Traffic Data'!BB36*annualizationFactor</f>
        <v>0.50209513996800015</v>
      </c>
      <c r="AA276" s="751">
        <f>$E$22*$H$9*'Traffic Data'!BC36*annualizationFactor</f>
        <v>0.50709843148800005</v>
      </c>
      <c r="AB276" s="751">
        <f>$E$22*$H$9*'Traffic Data'!BD36*annualizationFactor</f>
        <v>0.51211604735999983</v>
      </c>
      <c r="AC276" s="751">
        <f>$E$22*$H$9*'Traffic Data'!BE36*annualizationFactor</f>
        <v>0.51711933887999995</v>
      </c>
      <c r="AD276" s="751">
        <f>$E$22*$H$9*'Traffic Data'!BF36*annualizationFactor</f>
        <v>0.52212263039999995</v>
      </c>
      <c r="AE276" s="751">
        <f>$E$22*$H$9*'Traffic Data'!BG36*annualizationFactor</f>
        <v>0.52714024627199985</v>
      </c>
      <c r="AF276" s="751">
        <f>$E$22*$H$9*'Traffic Data'!BH36*annualizationFactor</f>
        <v>0.53214353779199985</v>
      </c>
      <c r="AG276" s="751">
        <f>$E$22*$H$9*'Traffic Data'!BI36*annualizationFactor</f>
        <v>0.53714682931199997</v>
      </c>
      <c r="AH276" s="752">
        <f>$E$22*$H$9*'Traffic Data'!BJ36*annualizationFactor</f>
        <v>0.54216444518399987</v>
      </c>
      <c r="AI276" s="40"/>
      <c r="AJ276" s="40"/>
      <c r="AK276" s="40"/>
      <c r="AL276" s="40"/>
      <c r="AM276" s="40"/>
    </row>
    <row r="277" spans="2:39" ht="21.9" customHeight="1" x14ac:dyDescent="0.25">
      <c r="B277" s="1332"/>
      <c r="C277" s="250" t="s">
        <v>321</v>
      </c>
      <c r="D277" s="250" t="s">
        <v>274</v>
      </c>
      <c r="E277" s="114" t="s">
        <v>434</v>
      </c>
      <c r="F277" s="114" t="s">
        <v>43</v>
      </c>
      <c r="G277" s="941"/>
      <c r="H277" s="941"/>
      <c r="I277" s="751">
        <f>$E$22*$H$9*'Traffic Data'!AK37*annualizationFactor</f>
        <v>1.7660160000000001E-2</v>
      </c>
      <c r="J277" s="751">
        <f>$E$22*$H$9*'Traffic Data'!AL37*annualizationFactor</f>
        <v>2.6326000512E-2</v>
      </c>
      <c r="K277" s="751">
        <f>$E$22*$H$9*'Traffic Data'!AM37*annualizationFactor</f>
        <v>3.7065143807999995E-2</v>
      </c>
      <c r="L277" s="751">
        <f>$E$22*$H$9*'Traffic Data'!AN37*annualizationFactor</f>
        <v>6.4213519104E-2</v>
      </c>
      <c r="M277" s="751">
        <f>$E$22*$H$9*'Traffic Data'!AO37*annualizationFactor</f>
        <v>9.1364837759999984E-2</v>
      </c>
      <c r="N277" s="751">
        <f>$E$22*$H$9*'Traffic Data'!AP37*annualizationFactor</f>
        <v>0.11852969587200003</v>
      </c>
      <c r="O277" s="751">
        <f>$E$22*$H$9*'Traffic Data'!AQ37*annualizationFactor</f>
        <v>0.145678071168</v>
      </c>
      <c r="P277" s="751">
        <f>$E$22*$H$9*'Traffic Data'!AR37*annualizationFactor</f>
        <v>0.17281761638400001</v>
      </c>
      <c r="Q277" s="751">
        <f>$E$22*$H$9*'Traffic Data'!AS37*annualizationFactor</f>
        <v>0.24189886425599999</v>
      </c>
      <c r="R277" s="751">
        <f>$E$22*$H$9*'Traffic Data'!AT37*annualizationFactor</f>
        <v>0.31095303321599999</v>
      </c>
      <c r="S277" s="751">
        <f>$E$22*$H$9*'Traffic Data'!AU37*annualizationFactor</f>
        <v>0.380001904128</v>
      </c>
      <c r="T277" s="751">
        <f>$E$22*$H$9*'Traffic Data'!AV37*annualizationFactor</f>
        <v>0.44908315199999999</v>
      </c>
      <c r="U277" s="751">
        <f>$E$22*$H$9*'Traffic Data'!AW37*annualizationFactor</f>
        <v>0.51815556979200006</v>
      </c>
      <c r="V277" s="751">
        <f>$E$22*$H$9*'Traffic Data'!AX37*annualizationFactor</f>
        <v>0.57080698214400016</v>
      </c>
      <c r="W277" s="751">
        <f>$E$22*$H$9*'Traffic Data'!AY37*annualizationFactor</f>
        <v>0.57947282265599998</v>
      </c>
      <c r="X277" s="751">
        <f>$E$22*$H$9*'Traffic Data'!AZ37*annualizationFactor</f>
        <v>0.58813866316800001</v>
      </c>
      <c r="Y277" s="751">
        <f>$E$22*$H$9*'Traffic Data'!BA37*annualizationFactor</f>
        <v>0.59680450368000004</v>
      </c>
      <c r="Z277" s="751">
        <f>$E$22*$H$9*'Traffic Data'!BB37*annualizationFactor</f>
        <v>0.60544385395200007</v>
      </c>
      <c r="AA277" s="751">
        <f>$E$22*$H$9*'Traffic Data'!BC37*annualizationFactor</f>
        <v>0.61410969446399999</v>
      </c>
      <c r="AB277" s="751">
        <f>$E$22*$H$9*'Traffic Data'!BD37*annualizationFactor</f>
        <v>0.62274904473600012</v>
      </c>
      <c r="AC277" s="751">
        <f>$E$22*$H$9*'Traffic Data'!BE37*annualizationFactor</f>
        <v>0.63141488524800005</v>
      </c>
      <c r="AD277" s="751">
        <f>$E$22*$H$9*'Traffic Data'!BF37*annualizationFactor</f>
        <v>0.64008072576000008</v>
      </c>
      <c r="AE277" s="751">
        <f>$E$22*$H$9*'Traffic Data'!BG37*annualizationFactor</f>
        <v>0.64872007603199999</v>
      </c>
      <c r="AF277" s="751">
        <f>$E$22*$H$9*'Traffic Data'!BH37*annualizationFactor</f>
        <v>0.65738591654400003</v>
      </c>
      <c r="AG277" s="751">
        <f>$E$22*$H$9*'Traffic Data'!BI37*annualizationFactor</f>
        <v>0.66605175705599995</v>
      </c>
      <c r="AH277" s="752">
        <f>$E$22*$H$9*'Traffic Data'!BJ37*annualizationFactor</f>
        <v>0.67469110732799997</v>
      </c>
      <c r="AI277" s="40"/>
      <c r="AJ277" s="40"/>
      <c r="AK277" s="40"/>
      <c r="AL277" s="40"/>
      <c r="AM277" s="40"/>
    </row>
    <row r="278" spans="2:39" ht="21.9" customHeight="1" x14ac:dyDescent="0.25">
      <c r="B278" s="469" t="s">
        <v>282</v>
      </c>
      <c r="C278" s="114" t="s">
        <v>308</v>
      </c>
      <c r="D278" s="114" t="s">
        <v>324</v>
      </c>
      <c r="E278" s="114" t="s">
        <v>434</v>
      </c>
      <c r="F278" s="114" t="s">
        <v>43</v>
      </c>
      <c r="G278" s="941"/>
      <c r="H278" s="941"/>
      <c r="I278" s="749">
        <f>$E$22*$J$9*'Traffic Data'!AK38*annualizationFactor</f>
        <v>0.1009152</v>
      </c>
      <c r="J278" s="749">
        <f>$E$22*$J$9*'Traffic Data'!AL38*annualizationFactor</f>
        <v>0.10712036352</v>
      </c>
      <c r="K278" s="749">
        <f>$E$22*$J$9*'Traffic Data'!AM38*annualizationFactor</f>
        <v>0.11533205760000001</v>
      </c>
      <c r="L278" s="749">
        <f>$E$22*$J$9*'Traffic Data'!AN38*annualizationFactor</f>
        <v>0.12624491519999997</v>
      </c>
      <c r="M278" s="749">
        <f>$E$22*$J$9*'Traffic Data'!AO38*annualizationFactor</f>
        <v>0.13716113663999999</v>
      </c>
      <c r="N278" s="749">
        <f>$E$22*$J$9*'Traffic Data'!AP38*annualizationFactor</f>
        <v>0.14810090496000003</v>
      </c>
      <c r="O278" s="749">
        <f>$E$22*$J$9*'Traffic Data'!AQ38*annualizationFactor</f>
        <v>0.15901376255999997</v>
      </c>
      <c r="P278" s="749">
        <f>$E$22*$J$9*'Traffic Data'!AR38*annualizationFactor</f>
        <v>0.16993839359999999</v>
      </c>
      <c r="Q278" s="749">
        <f>$E$22*$J$9*'Traffic Data'!AS38*annualizationFactor</f>
        <v>0.17989984511999998</v>
      </c>
      <c r="R278" s="749">
        <f>$E$22*$J$9*'Traffic Data'!AT38*annualizationFactor</f>
        <v>0.18985288704000003</v>
      </c>
      <c r="S278" s="749">
        <f>$E$22*$J$9*'Traffic Data'!AU38*annualizationFactor</f>
        <v>0.19981489919999998</v>
      </c>
      <c r="T278" s="749">
        <f>$E$22*$J$9*'Traffic Data'!AV38*annualizationFactor</f>
        <v>0.20977635071999998</v>
      </c>
      <c r="U278" s="749">
        <f>$E$22*$J$9*'Traffic Data'!AW38*annualizationFactor</f>
        <v>0.21977312255999998</v>
      </c>
      <c r="V278" s="749">
        <f>$E$22*$J$9*'Traffic Data'!AX38*annualizationFactor</f>
        <v>0.22702556159999998</v>
      </c>
      <c r="W278" s="749">
        <f>$E$22*$J$9*'Traffic Data'!AY38*annualizationFactor</f>
        <v>0.23323072512000001</v>
      </c>
      <c r="X278" s="749">
        <f>$E$22*$J$9*'Traffic Data'!AZ38*annualizationFactor</f>
        <v>0.23943588863999996</v>
      </c>
      <c r="Y278" s="749">
        <f>$E$22*$J$9*'Traffic Data'!BA38*annualizationFactor</f>
        <v>0.24564105215999998</v>
      </c>
      <c r="Z278" s="749">
        <f>$E$22*$J$9*'Traffic Data'!BB38*annualizationFactor</f>
        <v>0.25185294335999997</v>
      </c>
      <c r="AA278" s="749">
        <f>$E$22*$J$9*'Traffic Data'!BC38*annualizationFactor</f>
        <v>0.25805810687999997</v>
      </c>
      <c r="AB278" s="749">
        <f>$E$22*$J$9*'Traffic Data'!BD38*annualizationFactor</f>
        <v>0.26427840767999999</v>
      </c>
      <c r="AC278" s="749">
        <f>$E$22*$J$9*'Traffic Data'!BE38*annualizationFactor</f>
        <v>0.27048357119999994</v>
      </c>
      <c r="AD278" s="749">
        <f>$E$22*$J$9*'Traffic Data'!BF38*annualizationFactor</f>
        <v>0.27668873472</v>
      </c>
      <c r="AE278" s="749">
        <f>$E$22*$J$9*'Traffic Data'!BG38*annualizationFactor</f>
        <v>0.28290062591999993</v>
      </c>
      <c r="AF278" s="749">
        <f>$E$22*$J$9*'Traffic Data'!BH38*annualizationFactor</f>
        <v>0.28910578943999998</v>
      </c>
      <c r="AG278" s="749">
        <f>$E$22*$J$9*'Traffic Data'!BI38*annualizationFactor</f>
        <v>0.29531095295999993</v>
      </c>
      <c r="AH278" s="750">
        <f>$E$22*$J$9*'Traffic Data'!BJ38*annualizationFactor</f>
        <v>0.30153125375999995</v>
      </c>
      <c r="AI278" s="40"/>
      <c r="AJ278" s="40"/>
      <c r="AK278" s="40"/>
      <c r="AL278" s="40"/>
      <c r="AM278" s="40"/>
    </row>
    <row r="279" spans="2:39" ht="21.9" customHeight="1" x14ac:dyDescent="0.25">
      <c r="B279" s="756" t="s">
        <v>321</v>
      </c>
      <c r="C279" s="273" t="s">
        <v>318</v>
      </c>
      <c r="D279" s="273" t="s">
        <v>308</v>
      </c>
      <c r="E279" s="273" t="s">
        <v>434</v>
      </c>
      <c r="F279" s="273" t="s">
        <v>43</v>
      </c>
      <c r="G279" s="754"/>
      <c r="H279" s="754"/>
      <c r="I279" s="749">
        <f>$E$22*$K$9*'Traffic Data'!AK39*annualizationFactor</f>
        <v>0</v>
      </c>
      <c r="J279" s="749">
        <f>$E$22*$K$9*'Traffic Data'!AL39*annualizationFactor</f>
        <v>0</v>
      </c>
      <c r="K279" s="749">
        <f>$E$22*$K$9*'Traffic Data'!AM39*annualizationFactor</f>
        <v>0</v>
      </c>
      <c r="L279" s="749">
        <f>$E$22*$K$9*'Traffic Data'!AN39*annualizationFactor</f>
        <v>0</v>
      </c>
      <c r="M279" s="749">
        <f>$E$22*$K$9*'Traffic Data'!AO39*annualizationFactor</f>
        <v>0</v>
      </c>
      <c r="N279" s="749">
        <f>$E$22*$K$9*'Traffic Data'!AP39*annualizationFactor</f>
        <v>0</v>
      </c>
      <c r="O279" s="749">
        <f>$E$22*$K$9*'Traffic Data'!AQ39*annualizationFactor</f>
        <v>0</v>
      </c>
      <c r="P279" s="749">
        <f>$E$22*$K$9*'Traffic Data'!AR39*annualizationFactor</f>
        <v>0</v>
      </c>
      <c r="Q279" s="749">
        <f>$E$22*$K$9*'Traffic Data'!AS39*annualizationFactor</f>
        <v>0</v>
      </c>
      <c r="R279" s="749">
        <f>$E$22*$K$9*'Traffic Data'!AT39*annualizationFactor</f>
        <v>0</v>
      </c>
      <c r="S279" s="749">
        <f>$E$22*$K$9*'Traffic Data'!AU39*annualizationFactor</f>
        <v>0</v>
      </c>
      <c r="T279" s="749">
        <f>$E$22*$K$9*'Traffic Data'!AV39*annualizationFactor</f>
        <v>0</v>
      </c>
      <c r="U279" s="749">
        <f>$E$22*$K$9*'Traffic Data'!AW39*annualizationFactor</f>
        <v>0</v>
      </c>
      <c r="V279" s="749">
        <f>$E$22*$K$9*'Traffic Data'!AX39*annualizationFactor</f>
        <v>0</v>
      </c>
      <c r="W279" s="749">
        <f>$E$22*$K$9*'Traffic Data'!AY39*annualizationFactor</f>
        <v>0</v>
      </c>
      <c r="X279" s="749">
        <f>$E$22*$K$9*'Traffic Data'!AZ39*annualizationFactor</f>
        <v>0</v>
      </c>
      <c r="Y279" s="749">
        <f>$E$22*$K$9*'Traffic Data'!BA39*annualizationFactor</f>
        <v>0</v>
      </c>
      <c r="Z279" s="749">
        <f>$E$22*$K$9*'Traffic Data'!BB39*annualizationFactor</f>
        <v>0</v>
      </c>
      <c r="AA279" s="749">
        <f>$E$22*$K$9*'Traffic Data'!BC39*annualizationFactor</f>
        <v>0</v>
      </c>
      <c r="AB279" s="749">
        <f>$E$22*$K$9*'Traffic Data'!BD39*annualizationFactor</f>
        <v>0</v>
      </c>
      <c r="AC279" s="749">
        <f>$E$22*$K$9*'Traffic Data'!BE39*annualizationFactor</f>
        <v>0</v>
      </c>
      <c r="AD279" s="749">
        <f>$E$22*$K$9*'Traffic Data'!BF39*annualizationFactor</f>
        <v>0</v>
      </c>
      <c r="AE279" s="749">
        <f>$E$22*$K$9*'Traffic Data'!BG39*annualizationFactor</f>
        <v>0</v>
      </c>
      <c r="AF279" s="749">
        <f>$E$22*$K$9*'Traffic Data'!BH39*annualizationFactor</f>
        <v>0</v>
      </c>
      <c r="AG279" s="749">
        <f>$E$22*$K$9*'Traffic Data'!BI39*annualizationFactor</f>
        <v>0</v>
      </c>
      <c r="AH279" s="750">
        <f>$E$22*$K$9*'Traffic Data'!BJ39*annualizationFactor</f>
        <v>0</v>
      </c>
      <c r="AI279" s="40"/>
      <c r="AJ279" s="40"/>
      <c r="AK279" s="40"/>
      <c r="AL279" s="40"/>
      <c r="AM279" s="40"/>
    </row>
    <row r="280" spans="2:39" ht="21.9" customHeight="1" x14ac:dyDescent="0.25">
      <c r="B280" s="756" t="s">
        <v>333</v>
      </c>
      <c r="C280" s="273" t="s">
        <v>319</v>
      </c>
      <c r="D280" s="273" t="s">
        <v>308</v>
      </c>
      <c r="E280" s="114" t="s">
        <v>434</v>
      </c>
      <c r="F280" s="114" t="s">
        <v>43</v>
      </c>
      <c r="G280" s="941"/>
      <c r="H280" s="941"/>
      <c r="I280" s="749">
        <f>$E$22*$L$9*'Traffic Data'!AK40*annualizationFactor</f>
        <v>0.18715182545454545</v>
      </c>
      <c r="J280" s="749">
        <f>$E$22*$L$9*'Traffic Data'!AL40*annualizationFactor</f>
        <v>0.18972152399127271</v>
      </c>
      <c r="K280" s="749">
        <f>$E$22*$L$9*'Traffic Data'!AM40*annualizationFactor</f>
        <v>0.19416326064872727</v>
      </c>
      <c r="L280" s="749">
        <f>$E$22*$L$9*'Traffic Data'!AN40*annualizationFactor</f>
        <v>0.20026129096145456</v>
      </c>
      <c r="M280" s="749">
        <f>$E$22*$L$9*'Traffic Data'!AO40*annualizationFactor</f>
        <v>0.20636192060509093</v>
      </c>
      <c r="N280" s="749">
        <f>$E$22*$L$9*'Traffic Data'!AP40*annualizationFactor</f>
        <v>0.21247138797381815</v>
      </c>
      <c r="O280" s="749">
        <f>$E$22*$L$9*'Traffic Data'!AQ40*annualizationFactor</f>
        <v>0.21856941828654547</v>
      </c>
      <c r="P280" s="749">
        <f>$E$22*$L$9*'Traffic Data'!AR40*annualizationFactor</f>
        <v>0.22468876311272729</v>
      </c>
      <c r="Q280" s="749">
        <f>$E$22*$L$9*'Traffic Data'!AS40*annualizationFactor</f>
        <v>0.2289324307549091</v>
      </c>
      <c r="R280" s="749">
        <f>$E$22*$L$9*'Traffic Data'!AT40*annualizationFactor</f>
        <v>0.23317661826327268</v>
      </c>
      <c r="S280" s="749">
        <f>$E$22*$L$9*'Traffic Data'!AU40*annualizationFactor</f>
        <v>0.2374213256378182</v>
      </c>
      <c r="T280" s="749">
        <f>$E$22*$L$9*'Traffic Data'!AV40*annualizationFactor</f>
        <v>0.24166499328000005</v>
      </c>
      <c r="U280" s="749">
        <f>$E$22*$L$9*'Traffic Data'!AW40*annualizationFactor</f>
        <v>0.24593881316072724</v>
      </c>
      <c r="V280" s="749">
        <f>$E$22*$L$9*'Traffic Data'!AX40*annualizationFactor</f>
        <v>0.2485085116974545</v>
      </c>
      <c r="W280" s="749">
        <f>$E$22*$L$9*'Traffic Data'!AY40*annualizationFactor</f>
        <v>0.25107821023418175</v>
      </c>
      <c r="X280" s="749">
        <f>$E$22*$L$9*'Traffic Data'!AZ40*annualizationFactor</f>
        <v>0.25364790877090909</v>
      </c>
      <c r="Y280" s="749">
        <f>$E$22*$L$9*'Traffic Data'!BA40*annualizationFactor</f>
        <v>0.25621760730763632</v>
      </c>
      <c r="Z280" s="749">
        <f>$E$22*$L$9*'Traffic Data'!BB40*annualizationFactor</f>
        <v>0.25880498129454549</v>
      </c>
      <c r="AA280" s="749">
        <f>$E$22*$L$9*'Traffic Data'!BC40*annualizationFactor</f>
        <v>0.26137467983127272</v>
      </c>
      <c r="AB280" s="749">
        <f>$E$22*$L$9*'Traffic Data'!BD40*annualizationFactor</f>
        <v>0.26395425582545456</v>
      </c>
      <c r="AC280" s="749">
        <f>$E$22*$L$9*'Traffic Data'!BE40*annualizationFactor</f>
        <v>0.26652395436218179</v>
      </c>
      <c r="AD280" s="749">
        <f>$E$22*$L$9*'Traffic Data'!BF40*annualizationFactor</f>
        <v>0.26909365289890913</v>
      </c>
      <c r="AE280" s="749">
        <f>$E$22*$L$9*'Traffic Data'!BG40*annualizationFactor</f>
        <v>0.27168102688581819</v>
      </c>
      <c r="AF280" s="749">
        <f>$E$22*$L$9*'Traffic Data'!BH40*annualizationFactor</f>
        <v>0.27425072542254547</v>
      </c>
      <c r="AG280" s="749">
        <f>$E$22*$L$9*'Traffic Data'!BI40*annualizationFactor</f>
        <v>0.27682042395927275</v>
      </c>
      <c r="AH280" s="750">
        <f>$E$22*$L$9*'Traffic Data'!BJ40*annualizationFactor</f>
        <v>0.27939999995345455</v>
      </c>
      <c r="AI280" s="40"/>
      <c r="AJ280" s="40"/>
      <c r="AK280" s="40"/>
      <c r="AL280" s="40"/>
      <c r="AM280" s="40"/>
    </row>
    <row r="281" spans="2:39" ht="21.9" customHeight="1" x14ac:dyDescent="0.25">
      <c r="B281" s="469" t="s">
        <v>319</v>
      </c>
      <c r="C281" s="114" t="s">
        <v>276</v>
      </c>
      <c r="D281" s="114" t="s">
        <v>333</v>
      </c>
      <c r="E281" s="217" t="s">
        <v>434</v>
      </c>
      <c r="F281" s="217" t="s">
        <v>43</v>
      </c>
      <c r="G281" s="749"/>
      <c r="H281" s="749"/>
      <c r="I281" s="749">
        <f>$E$22*$M$9*'Traffic Data'!AK41*annualizationFactor</f>
        <v>0.67213090909090911</v>
      </c>
      <c r="J281" s="749">
        <f>$E$22*$M$9*'Traffic Data'!AL41*annualizationFactor</f>
        <v>0.69150642680727292</v>
      </c>
      <c r="K281" s="749">
        <f>$E$22*$M$9*'Traffic Data'!AM41*annualizationFactor</f>
        <v>0.71247825543272736</v>
      </c>
      <c r="L281" s="749">
        <f>$E$22*$M$9*'Traffic Data'!AN41*annualizationFactor</f>
        <v>0.7403011144145456</v>
      </c>
      <c r="M281" s="749">
        <f>$E$22*$M$9*'Traffic Data'!AO41*annualizationFactor</f>
        <v>0.76812867831272724</v>
      </c>
      <c r="N281" s="749">
        <f>$E$22*$M$9*'Traffic Data'!AP41*annualizationFactor</f>
        <v>0.79596766843636368</v>
      </c>
      <c r="O281" s="749">
        <f>$E$22*$M$9*'Traffic Data'!AQ41*annualizationFactor</f>
        <v>0.82379052741818193</v>
      </c>
      <c r="P281" s="749">
        <f>$E$22*$M$9*'Traffic Data'!AR41*annualizationFactor</f>
        <v>0.85162077984000017</v>
      </c>
      <c r="Q281" s="749">
        <f>$E$22*$M$9*'Traffic Data'!AS41*annualizationFactor</f>
        <v>0.88224440832000017</v>
      </c>
      <c r="R281" s="749">
        <f>$E$22*$M$9*'Traffic Data'!AT41*annualizationFactor</f>
        <v>0.91285795483636367</v>
      </c>
      <c r="S281" s="749">
        <f>$E$22*$M$9*'Traffic Data'!AU41*annualizationFactor</f>
        <v>0.94348158331636378</v>
      </c>
      <c r="T281" s="749">
        <f>$E$22*$M$9*'Traffic Data'!AV41*annualizationFactor</f>
        <v>0.97410521179636378</v>
      </c>
      <c r="U281" s="749">
        <f>$E$22*$M$9*'Traffic Data'!AW41*annualizationFactor</f>
        <v>1.0047463156800001</v>
      </c>
      <c r="V281" s="749">
        <f>$E$22*$M$9*'Traffic Data'!AX41*annualizationFactor</f>
        <v>1.02851622528</v>
      </c>
      <c r="W281" s="749">
        <f>$E$22*$M$9*'Traffic Data'!AY41*annualizationFactor</f>
        <v>1.0478917429963637</v>
      </c>
      <c r="X281" s="749">
        <f>$E$22*$M$9*'Traffic Data'!AZ41*annualizationFactor</f>
        <v>1.0672672607127274</v>
      </c>
      <c r="Y281" s="749">
        <f>$E$22*$M$9*'Traffic Data'!BA41*annualizationFactor</f>
        <v>1.0866427784290911</v>
      </c>
      <c r="Z281" s="749">
        <f>$E$22*$M$9*'Traffic Data'!BB41*annualizationFactor</f>
        <v>1.1060162797527273</v>
      </c>
      <c r="AA281" s="749">
        <f>$E$22*$M$9*'Traffic Data'!BC41*annualizationFactor</f>
        <v>1.1253917974690906</v>
      </c>
      <c r="AB281" s="749">
        <f>$E$22*$M$9*'Traffic Data'!BD41*annualizationFactor</f>
        <v>1.1447652987927268</v>
      </c>
      <c r="AC281" s="749">
        <f>$E$22*$M$9*'Traffic Data'!BE41*annualizationFactor</f>
        <v>1.1641408165090912</v>
      </c>
      <c r="AD281" s="749">
        <f>$E$22*$M$9*'Traffic Data'!BF41*annualizationFactor</f>
        <v>1.1835163342254549</v>
      </c>
      <c r="AE281" s="749">
        <f>$E$22*$M$9*'Traffic Data'!BG41*annualizationFactor</f>
        <v>1.2028898355490911</v>
      </c>
      <c r="AF281" s="749">
        <f>$E$22*$M$9*'Traffic Data'!BH41*annualizationFactor</f>
        <v>1.2222653532654546</v>
      </c>
      <c r="AG281" s="749">
        <f>$E$22*$M$9*'Traffic Data'!BI41*annualizationFactor</f>
        <v>1.2416408709818183</v>
      </c>
      <c r="AH281" s="750">
        <f>$E$22*$M$9*'Traffic Data'!BJ41*annualizationFactor</f>
        <v>1.2610143723054548</v>
      </c>
      <c r="AI281" s="40"/>
      <c r="AJ281" s="40"/>
      <c r="AK281" s="40"/>
      <c r="AL281" s="40"/>
      <c r="AM281" s="40"/>
    </row>
    <row r="282" spans="2:39" ht="21.9" customHeight="1" x14ac:dyDescent="0.25">
      <c r="B282" s="469"/>
      <c r="C282" s="114" t="s">
        <v>333</v>
      </c>
      <c r="D282" s="114" t="s">
        <v>323</v>
      </c>
      <c r="E282" s="114" t="s">
        <v>434</v>
      </c>
      <c r="F282" s="114" t="s">
        <v>43</v>
      </c>
      <c r="G282" s="941"/>
      <c r="H282" s="941"/>
      <c r="I282" s="751">
        <f>$E$22*$M$9*'Traffic Data'!AK42*annualizationFactor</f>
        <v>9.7886894545454559E-2</v>
      </c>
      <c r="J282" s="751">
        <f>$E$22*$M$9*'Traffic Data'!AL42*annualizationFactor</f>
        <v>0.10066507917090908</v>
      </c>
      <c r="K282" s="751">
        <f>$E$22*$M$9*'Traffic Data'!AM42*annualizationFactor</f>
        <v>0.10374812995345453</v>
      </c>
      <c r="L282" s="751">
        <f>$E$22*$M$9*'Traffic Data'!AN42*annualizationFactor</f>
        <v>0.10807550348363636</v>
      </c>
      <c r="M282" s="751">
        <f>$E$22*$M$9*'Traffic Data'!AO42*annualizationFactor</f>
        <v>0.1124036498050909</v>
      </c>
      <c r="N282" s="751">
        <f>$E$22*$M$9*'Traffic Data'!AP42*annualizationFactor</f>
        <v>0.1167326977163636</v>
      </c>
      <c r="O282" s="751">
        <f>$E$22*$M$9*'Traffic Data'!AQ42*annualizationFactor</f>
        <v>0.12106007124654546</v>
      </c>
      <c r="P282" s="751">
        <f>$E$22*$M$9*'Traffic Data'!AR42*annualizationFactor</f>
        <v>0.12538770237381816</v>
      </c>
      <c r="Q282" s="751">
        <f>$E$22*$M$9*'Traffic Data'!AS42*annualizationFactor</f>
        <v>0.13025177944290911</v>
      </c>
      <c r="R282" s="751">
        <f>$E$22*$M$9*'Traffic Data'!AT42*annualizationFactor</f>
        <v>0.13511418213090906</v>
      </c>
      <c r="S282" s="751">
        <f>$E$22*$M$9*'Traffic Data'!AU42*annualizationFactor</f>
        <v>0.13997825919999998</v>
      </c>
      <c r="T282" s="751">
        <f>$E$22*$M$9*'Traffic Data'!AV42*annualizationFactor</f>
        <v>0.14484233626909088</v>
      </c>
      <c r="U282" s="751">
        <f>$E$22*$M$9*'Traffic Data'!AW42*annualizationFactor</f>
        <v>0.14970718612945455</v>
      </c>
      <c r="V282" s="751">
        <f>$E$22*$M$9*'Traffic Data'!AX42*annualizationFactor</f>
        <v>0.1533274556450909</v>
      </c>
      <c r="W282" s="751">
        <f>$E$22*$M$9*'Traffic Data'!AY42*annualizationFactor</f>
        <v>0.15610564027054544</v>
      </c>
      <c r="X282" s="751">
        <f>$E$22*$M$9*'Traffic Data'!AZ42*annualizationFactor</f>
        <v>0.15888382489600003</v>
      </c>
      <c r="Y282" s="751">
        <f>$E$22*$M$9*'Traffic Data'!BA42*annualizationFactor</f>
        <v>0.16166200952145454</v>
      </c>
      <c r="Z282" s="751">
        <f>$E$22*$M$9*'Traffic Data'!BB42*annualizationFactor</f>
        <v>0.16443877736290907</v>
      </c>
      <c r="AA282" s="751">
        <f>$E$22*$M$9*'Traffic Data'!BC42*annualizationFactor</f>
        <v>0.16721696198836361</v>
      </c>
      <c r="AB282" s="751">
        <f>$E$22*$M$9*'Traffic Data'!BD42*annualizationFactor</f>
        <v>0.16999372982981817</v>
      </c>
      <c r="AC282" s="751">
        <f>$E$22*$M$9*'Traffic Data'!BE42*annualizationFactor</f>
        <v>0.17277191445527271</v>
      </c>
      <c r="AD282" s="751">
        <f>$E$22*$M$9*'Traffic Data'!BF42*annualizationFactor</f>
        <v>0.17555009908072725</v>
      </c>
      <c r="AE282" s="751">
        <f>$E$22*$M$9*'Traffic Data'!BG42*annualizationFactor</f>
        <v>0.17832686692218178</v>
      </c>
      <c r="AF282" s="751">
        <f>$E$22*$M$9*'Traffic Data'!BH42*annualizationFactor</f>
        <v>0.18110505154763634</v>
      </c>
      <c r="AG282" s="751">
        <f>$E$22*$M$9*'Traffic Data'!BI42*annualizationFactor</f>
        <v>0.18388323617309085</v>
      </c>
      <c r="AH282" s="752">
        <f>$E$22*$M$9*'Traffic Data'!BJ42*annualizationFactor</f>
        <v>0.18666000401454541</v>
      </c>
      <c r="AI282" s="40"/>
      <c r="AJ282" s="40"/>
      <c r="AK282" s="40"/>
      <c r="AL282" s="40"/>
      <c r="AM282" s="40"/>
    </row>
    <row r="283" spans="2:39" ht="21.9" customHeight="1" x14ac:dyDescent="0.25">
      <c r="B283" s="469"/>
      <c r="C283" s="114" t="s">
        <v>323</v>
      </c>
      <c r="D283" s="114" t="s">
        <v>322</v>
      </c>
      <c r="E283" s="114" t="s">
        <v>434</v>
      </c>
      <c r="F283" s="114" t="s">
        <v>43</v>
      </c>
      <c r="G283" s="941"/>
      <c r="H283" s="941"/>
      <c r="I283" s="751">
        <f>$E$22*$M$9*'Traffic Data'!AK43*annualizationFactor</f>
        <v>2.4209454545454544E-2</v>
      </c>
      <c r="J283" s="751">
        <f>$E$22*$M$9*'Traffic Data'!AL43*annualizationFactor</f>
        <v>2.4896557090909089E-2</v>
      </c>
      <c r="K283" s="751">
        <f>$E$22*$M$9*'Traffic Data'!AM43*annualizationFactor</f>
        <v>2.5659059345454545E-2</v>
      </c>
      <c r="L283" s="751">
        <f>$E$22*$M$9*'Traffic Data'!AN43*annualizationFactor</f>
        <v>2.6729308363636361E-2</v>
      </c>
      <c r="M283" s="751">
        <f>$E$22*$M$9*'Traffic Data'!AO43*annualizationFactor</f>
        <v>2.7799748509090907E-2</v>
      </c>
      <c r="N283" s="751">
        <f>$E$22*$M$9*'Traffic Data'!AP43*annualizationFactor</f>
        <v>2.8870411636363634E-2</v>
      </c>
      <c r="O283" s="751">
        <f>$E$22*$M$9*'Traffic Data'!AQ43*annualizationFactor</f>
        <v>2.9940660654545453E-2</v>
      </c>
      <c r="P283" s="751">
        <f>$E$22*$M$9*'Traffic Data'!AR43*annualizationFactor</f>
        <v>3.1010973381818185E-2</v>
      </c>
      <c r="Q283" s="751">
        <f>$E$22*$M$9*'Traffic Data'!AS43*annualizationFactor</f>
        <v>3.2213960290909095E-2</v>
      </c>
      <c r="R283" s="751">
        <f>$E$22*$M$9*'Traffic Data'!AT43*annualizationFactor</f>
        <v>3.3416533090909084E-2</v>
      </c>
      <c r="S283" s="751">
        <f>$E$22*$M$9*'Traffic Data'!AU43*annualizationFactor</f>
        <v>3.4619519999999994E-2</v>
      </c>
      <c r="T283" s="751">
        <f>$E$22*$M$9*'Traffic Data'!AV43*annualizationFactor</f>
        <v>3.5822506909090904E-2</v>
      </c>
      <c r="U283" s="751">
        <f>$E$22*$M$9*'Traffic Data'!AW43*annualizationFactor</f>
        <v>3.7025684945454544E-2</v>
      </c>
      <c r="V283" s="751">
        <f>$E$22*$M$9*'Traffic Data'!AX43*annualizationFactor</f>
        <v>3.7921052509090905E-2</v>
      </c>
      <c r="W283" s="751">
        <f>$E$22*$M$9*'Traffic Data'!AY43*annualizationFactor</f>
        <v>3.860815505454545E-2</v>
      </c>
      <c r="X283" s="751">
        <f>$E$22*$M$9*'Traffic Data'!AZ43*annualizationFactor</f>
        <v>3.9295257600000001E-2</v>
      </c>
      <c r="Y283" s="751">
        <f>$E$22*$M$9*'Traffic Data'!BA43*annualizationFactor</f>
        <v>3.9982360145454546E-2</v>
      </c>
      <c r="Z283" s="751">
        <f>$E$22*$M$9*'Traffic Data'!BB43*annualizationFactor</f>
        <v>4.0669112290909082E-2</v>
      </c>
      <c r="AA283" s="751">
        <f>$E$22*$M$9*'Traffic Data'!BC43*annualizationFactor</f>
        <v>4.1356214836363626E-2</v>
      </c>
      <c r="AB283" s="751">
        <f>$E$22*$M$9*'Traffic Data'!BD43*annualizationFactor</f>
        <v>4.2042966981818183E-2</v>
      </c>
      <c r="AC283" s="751">
        <f>$E$22*$M$9*'Traffic Data'!BE43*annualizationFactor</f>
        <v>4.2730069527272728E-2</v>
      </c>
      <c r="AD283" s="751">
        <f>$E$22*$M$9*'Traffic Data'!BF43*annualizationFactor</f>
        <v>4.3417172072727273E-2</v>
      </c>
      <c r="AE283" s="751">
        <f>$E$22*$M$9*'Traffic Data'!BG43*annualizationFactor</f>
        <v>4.4103924218181809E-2</v>
      </c>
      <c r="AF283" s="751">
        <f>$E$22*$M$9*'Traffic Data'!BH43*annualizationFactor</f>
        <v>4.4791026763636353E-2</v>
      </c>
      <c r="AG283" s="751">
        <f>$E$22*$M$9*'Traffic Data'!BI43*annualizationFactor</f>
        <v>4.5478129309090898E-2</v>
      </c>
      <c r="AH283" s="752">
        <f>$E$22*$M$9*'Traffic Data'!BJ43*annualizationFactor</f>
        <v>4.6164881454545448E-2</v>
      </c>
      <c r="AI283" s="40"/>
      <c r="AJ283" s="40"/>
      <c r="AK283" s="40"/>
      <c r="AL283" s="40"/>
      <c r="AM283" s="40"/>
    </row>
    <row r="284" spans="2:39" ht="21.9" customHeight="1" x14ac:dyDescent="0.25">
      <c r="B284" s="469"/>
      <c r="C284" s="114" t="s">
        <v>322</v>
      </c>
      <c r="D284" s="114" t="s">
        <v>326</v>
      </c>
      <c r="E284" s="114" t="s">
        <v>434</v>
      </c>
      <c r="F284" s="114" t="s">
        <v>43</v>
      </c>
      <c r="G284" s="941"/>
      <c r="H284" s="941"/>
      <c r="I284" s="751">
        <f>$E$22*$M$9*'Traffic Data'!AK44*annualizationFactor</f>
        <v>6.2116363636363636E-2</v>
      </c>
      <c r="J284" s="751">
        <f>$E$22*$M$9*'Traffic Data'!AL44*annualizationFactor</f>
        <v>6.3877776654545457E-2</v>
      </c>
      <c r="K284" s="751">
        <f>$E$22*$M$9*'Traffic Data'!AM44*annualizationFactor</f>
        <v>6.5884859890909087E-2</v>
      </c>
      <c r="L284" s="751">
        <f>$E$22*$M$9*'Traffic Data'!AN44*annualizationFactor</f>
        <v>6.8449437490909093E-2</v>
      </c>
      <c r="M284" s="751">
        <f>$E$22*$M$9*'Traffic Data'!AO44*annualizationFactor</f>
        <v>7.1014843309090914E-2</v>
      </c>
      <c r="N284" s="751">
        <f>$E$22*$M$9*'Traffic Data'!AP44*annualizationFactor</f>
        <v>7.3579835018181841E-2</v>
      </c>
      <c r="O284" s="751">
        <f>$E$22*$M$9*'Traffic Data'!AQ44*annualizationFactor</f>
        <v>7.6144412618181834E-2</v>
      </c>
      <c r="P284" s="751">
        <f>$E$22*$M$9*'Traffic Data'!AR44*annualizationFactor</f>
        <v>7.8709507854545474E-2</v>
      </c>
      <c r="Q284" s="751">
        <f>$E$22*$M$9*'Traffic Data'!AS44*annualizationFactor</f>
        <v>8.1608685599999994E-2</v>
      </c>
      <c r="R284" s="751">
        <f>$E$22*$M$9*'Traffic Data'!AT44*annualizationFactor</f>
        <v>8.4507759818181816E-2</v>
      </c>
      <c r="S284" s="751">
        <f>$E$22*$M$9*'Traffic Data'!AU44*annualizationFactor</f>
        <v>8.7406523454545457E-2</v>
      </c>
      <c r="T284" s="751">
        <f>$E$22*$M$9*'Traffic Data'!AV44*annualizationFactor</f>
        <v>9.0305701200000005E-2</v>
      </c>
      <c r="U284" s="751">
        <f>$E$22*$M$9*'Traffic Data'!AW44*annualizationFactor</f>
        <v>9.3205396581818173E-2</v>
      </c>
      <c r="V284" s="751">
        <f>$E$22*$M$9*'Traffic Data'!AX44*annualizationFactor</f>
        <v>9.5546976436363645E-2</v>
      </c>
      <c r="W284" s="751">
        <f>$E$22*$M$9*'Traffic Data'!AY44*annualizationFactor</f>
        <v>9.7308389454545466E-2</v>
      </c>
      <c r="X284" s="751">
        <f>$E$22*$M$9*'Traffic Data'!AZ44*annualizationFactor</f>
        <v>9.90698024727273E-2</v>
      </c>
      <c r="Y284" s="751">
        <f>$E$22*$M$9*'Traffic Data'!BA44*annualizationFactor</f>
        <v>0.10083121549090911</v>
      </c>
      <c r="Z284" s="751">
        <f>$E$22*$M$9*'Traffic Data'!BB44*annualizationFactor</f>
        <v>0.10259211087272729</v>
      </c>
      <c r="AA284" s="751">
        <f>$E$22*$M$9*'Traffic Data'!BC44*annualizationFactor</f>
        <v>0.10435352389090907</v>
      </c>
      <c r="AB284" s="751">
        <f>$E$22*$M$9*'Traffic Data'!BD44*annualizationFactor</f>
        <v>0.10611441927272726</v>
      </c>
      <c r="AC284" s="751">
        <f>$E$22*$M$9*'Traffic Data'!BE44*annualizationFactor</f>
        <v>0.10787583229090907</v>
      </c>
      <c r="AD284" s="751">
        <f>$E$22*$M$9*'Traffic Data'!BF44*annualizationFactor</f>
        <v>0.1096372453090909</v>
      </c>
      <c r="AE284" s="751">
        <f>$E$22*$M$9*'Traffic Data'!BG44*annualizationFactor</f>
        <v>0.11139814069090907</v>
      </c>
      <c r="AF284" s="751">
        <f>$E$22*$M$9*'Traffic Data'!BH44*annualizationFactor</f>
        <v>0.11315955370909089</v>
      </c>
      <c r="AG284" s="751">
        <f>$E$22*$M$9*'Traffic Data'!BI44*annualizationFactor</f>
        <v>0.1149209667272727</v>
      </c>
      <c r="AH284" s="752">
        <f>$E$22*$M$9*'Traffic Data'!BJ44*annualizationFactor</f>
        <v>0.11668186210909087</v>
      </c>
      <c r="AI284" s="40"/>
      <c r="AJ284" s="40"/>
      <c r="AK284" s="40"/>
      <c r="AL284" s="40"/>
      <c r="AM284" s="40"/>
    </row>
    <row r="285" spans="2:39" ht="21.9" customHeight="1" x14ac:dyDescent="0.25">
      <c r="B285" s="469"/>
      <c r="C285" s="114" t="s">
        <v>326</v>
      </c>
      <c r="D285" s="114" t="s">
        <v>274</v>
      </c>
      <c r="E285" s="114" t="s">
        <v>434</v>
      </c>
      <c r="F285" s="114" t="s">
        <v>43</v>
      </c>
      <c r="G285" s="941"/>
      <c r="H285" s="941"/>
      <c r="I285" s="751">
        <f>$E$22*$M$9*'Traffic Data'!AK45*annualizationFactor</f>
        <v>0.51572509090909091</v>
      </c>
      <c r="J285" s="751">
        <f>$E$22*$M$9*'Traffic Data'!AL45*annualizationFactor</f>
        <v>0.53034933540363638</v>
      </c>
      <c r="K285" s="751">
        <f>$E$22*$M$9*'Traffic Data'!AM45*annualizationFactor</f>
        <v>0.54701327263272725</v>
      </c>
      <c r="L285" s="751">
        <f>$E$22*$M$9*'Traffic Data'!AN45*annualizationFactor</f>
        <v>0.56830584255272731</v>
      </c>
      <c r="M285" s="751">
        <f>$E$22*$M$9*'Traffic Data'!AO45*annualizationFactor</f>
        <v>0.58960528880727281</v>
      </c>
      <c r="N285" s="751">
        <f>$E$22*$M$9*'Traffic Data'!AP45*annualizationFactor</f>
        <v>0.61090129689454575</v>
      </c>
      <c r="O285" s="751">
        <f>$E$22*$M$9*'Traffic Data'!AQ45*annualizationFactor</f>
        <v>0.63219386681454548</v>
      </c>
      <c r="P285" s="751">
        <f>$E$22*$M$9*'Traffic Data'!AR45*annualizationFactor</f>
        <v>0.65349073444363648</v>
      </c>
      <c r="Q285" s="751">
        <f>$E$22*$M$9*'Traffic Data'!AS45*annualizationFactor</f>
        <v>0.67756134351999986</v>
      </c>
      <c r="R285" s="751">
        <f>$E$22*$M$9*'Traffic Data'!AT45*annualizationFactor</f>
        <v>0.70163109305454552</v>
      </c>
      <c r="S285" s="751">
        <f>$E$22*$M$9*'Traffic Data'!AU45*annualizationFactor</f>
        <v>0.72569826396363635</v>
      </c>
      <c r="T285" s="751">
        <f>$E$22*$M$9*'Traffic Data'!AV45*annualizationFactor</f>
        <v>0.74976887304000006</v>
      </c>
      <c r="U285" s="751">
        <f>$E$22*$M$9*'Traffic Data'!AW45*annualizationFactor</f>
        <v>0.77384377982545449</v>
      </c>
      <c r="V285" s="751">
        <f>$E$22*$M$9*'Traffic Data'!AX45*annualizationFactor</f>
        <v>0.79328489666909097</v>
      </c>
      <c r="W285" s="751">
        <f>$E$22*$M$9*'Traffic Data'!AY45*annualizationFactor</f>
        <v>0.80790914116363655</v>
      </c>
      <c r="X285" s="751">
        <f>$E$22*$M$9*'Traffic Data'!AZ45*annualizationFactor</f>
        <v>0.82253338565818201</v>
      </c>
      <c r="Y285" s="751">
        <f>$E$22*$M$9*'Traffic Data'!BA45*annualizationFactor</f>
        <v>0.83715763015272748</v>
      </c>
      <c r="Z285" s="751">
        <f>$E$22*$M$9*'Traffic Data'!BB45*annualizationFactor</f>
        <v>0.85177757693818201</v>
      </c>
      <c r="AA285" s="751">
        <f>$E$22*$M$9*'Traffic Data'!BC45*annualizationFactor</f>
        <v>0.86640182143272715</v>
      </c>
      <c r="AB285" s="751">
        <f>$E$22*$M$9*'Traffic Data'!BD45*annualizationFactor</f>
        <v>0.88102176821818168</v>
      </c>
      <c r="AC285" s="751">
        <f>$E$22*$M$9*'Traffic Data'!BE45*annualizationFactor</f>
        <v>0.89564601271272715</v>
      </c>
      <c r="AD285" s="751">
        <f>$E$22*$M$9*'Traffic Data'!BF45*annualizationFactor</f>
        <v>0.91027025720727273</v>
      </c>
      <c r="AE285" s="751">
        <f>$E$22*$M$9*'Traffic Data'!BG45*annualizationFactor</f>
        <v>0.92489020399272714</v>
      </c>
      <c r="AF285" s="751">
        <f>$E$22*$M$9*'Traffic Data'!BH45*annualizationFactor</f>
        <v>0.93951444848727272</v>
      </c>
      <c r="AG285" s="751">
        <f>$E$22*$M$9*'Traffic Data'!BI45*annualizationFactor</f>
        <v>0.95413869298181797</v>
      </c>
      <c r="AH285" s="752">
        <f>$E$22*$M$9*'Traffic Data'!BJ45*annualizationFactor</f>
        <v>0.9687586397672725</v>
      </c>
      <c r="AI285" s="40"/>
      <c r="AJ285" s="40"/>
      <c r="AK285" s="40"/>
      <c r="AL285" s="40"/>
      <c r="AM285" s="40"/>
    </row>
    <row r="286" spans="2:39" ht="21.9" customHeight="1" x14ac:dyDescent="0.25">
      <c r="B286" s="470"/>
      <c r="C286" s="250" t="s">
        <v>274</v>
      </c>
      <c r="D286" s="250" t="s">
        <v>317</v>
      </c>
      <c r="E286" s="250" t="s">
        <v>434</v>
      </c>
      <c r="F286" s="250" t="s">
        <v>43</v>
      </c>
      <c r="G286" s="753"/>
      <c r="H286" s="753"/>
      <c r="I286" s="753">
        <f>$E$22*$M$9*'Traffic Data'!AK46*annualizationFactor</f>
        <v>1.2741818181818182E-2</v>
      </c>
      <c r="J286" s="753">
        <f>$E$22*$M$9*'Traffic Data'!AL46*annualizationFactor</f>
        <v>1.3103133672727276E-2</v>
      </c>
      <c r="K286" s="753">
        <f>$E$22*$M$9*'Traffic Data'!AM46*annualizationFactor</f>
        <v>1.3514843054545454E-2</v>
      </c>
      <c r="L286" s="753">
        <f>$E$22*$M$9*'Traffic Data'!AN46*annualizationFactor</f>
        <v>1.4040910254545458E-2</v>
      </c>
      <c r="M286" s="753">
        <f>$E$22*$M$9*'Traffic Data'!AO46*annualizationFactor</f>
        <v>1.4567147345454542E-2</v>
      </c>
      <c r="N286" s="753">
        <f>$E$22*$M$9*'Traffic Data'!AP46*annualizationFactor</f>
        <v>1.5093299490909094E-2</v>
      </c>
      <c r="O286" s="753">
        <f>$E$22*$M$9*'Traffic Data'!AQ46*annualizationFactor</f>
        <v>1.5619366690909095E-2</v>
      </c>
      <c r="P286" s="753">
        <f>$E$22*$M$9*'Traffic Data'!AR46*annualizationFactor</f>
        <v>1.6145540072727275E-2</v>
      </c>
      <c r="Q286" s="753">
        <f>$E$22*$M$9*'Traffic Data'!AS46*annualizationFactor</f>
        <v>1.6740243200000001E-2</v>
      </c>
      <c r="R286" s="753">
        <f>$E$22*$M$9*'Traffic Data'!AT46*annualizationFactor</f>
        <v>1.7334925090909094E-2</v>
      </c>
      <c r="S286" s="753">
        <f>$E$22*$M$9*'Traffic Data'!AU46*annualizationFactor</f>
        <v>1.7929543272727274E-2</v>
      </c>
      <c r="T286" s="753">
        <f>$E$22*$M$9*'Traffic Data'!AV46*annualizationFactor</f>
        <v>1.8524246400000006E-2</v>
      </c>
      <c r="U286" s="753">
        <f>$E$22*$M$9*'Traffic Data'!AW46*annualizationFactor</f>
        <v>1.911905570909091E-2</v>
      </c>
      <c r="V286" s="753">
        <f>$E$22*$M$9*'Traffic Data'!AX46*annualizationFactor</f>
        <v>1.9599379781818183E-2</v>
      </c>
      <c r="W286" s="753">
        <f>$E$22*$M$9*'Traffic Data'!AY46*annualizationFactor</f>
        <v>1.9960695272727279E-2</v>
      </c>
      <c r="X286" s="753">
        <f>$E$22*$M$9*'Traffic Data'!AZ46*annualizationFactor</f>
        <v>2.0322010763636371E-2</v>
      </c>
      <c r="Y286" s="753">
        <f>$E$22*$M$9*'Traffic Data'!BA46*annualizationFactor</f>
        <v>2.0683326254545456E-2</v>
      </c>
      <c r="Z286" s="753">
        <f>$E$22*$M$9*'Traffic Data'!BB46*annualizationFactor</f>
        <v>2.1044535563636366E-2</v>
      </c>
      <c r="AA286" s="753">
        <f>$E$22*$M$9*'Traffic Data'!BC46*annualizationFactor</f>
        <v>2.1405851054545448E-2</v>
      </c>
      <c r="AB286" s="753">
        <f>$E$22*$M$9*'Traffic Data'!BD46*annualizationFactor</f>
        <v>2.1767060363636362E-2</v>
      </c>
      <c r="AC286" s="753">
        <f>$E$22*$M$9*'Traffic Data'!BE46*annualizationFactor</f>
        <v>2.2128375854545447E-2</v>
      </c>
      <c r="AD286" s="753">
        <f>$E$22*$M$9*'Traffic Data'!BF46*annualizationFactor</f>
        <v>2.2489691345454539E-2</v>
      </c>
      <c r="AE286" s="753">
        <f>$E$22*$M$9*'Traffic Data'!BG46*annualizationFactor</f>
        <v>2.2850900654545449E-2</v>
      </c>
      <c r="AF286" s="753">
        <f>$E$22*$M$9*'Traffic Data'!BH46*annualizationFactor</f>
        <v>2.3212216145454545E-2</v>
      </c>
      <c r="AG286" s="753">
        <f>$E$22*$M$9*'Traffic Data'!BI46*annualizationFactor</f>
        <v>2.3573531636363634E-2</v>
      </c>
      <c r="AH286" s="757">
        <f>$E$22*$M$9*'Traffic Data'!BJ46*annualizationFactor</f>
        <v>2.3934740945454544E-2</v>
      </c>
      <c r="AI286" s="40"/>
      <c r="AJ286" s="40"/>
      <c r="AK286" s="40"/>
      <c r="AL286" s="40"/>
      <c r="AM286" s="40"/>
    </row>
    <row r="287" spans="2:39" ht="21.9" customHeight="1" thickBot="1" x14ac:dyDescent="0.3">
      <c r="B287" s="758" t="s">
        <v>458</v>
      </c>
      <c r="C287" s="237"/>
      <c r="D287" s="237"/>
      <c r="E287" s="237"/>
      <c r="F287" s="237"/>
      <c r="G287" s="940">
        <f t="shared" ref="G287:AH287" si="33">SUM(G267:G286)</f>
        <v>0</v>
      </c>
      <c r="H287" s="940">
        <f t="shared" si="33"/>
        <v>0</v>
      </c>
      <c r="I287" s="759">
        <f t="shared" si="33"/>
        <v>6.0674392247272744</v>
      </c>
      <c r="J287" s="759">
        <f t="shared" si="33"/>
        <v>6.4080546171248018</v>
      </c>
      <c r="K287" s="759">
        <f t="shared" si="33"/>
        <v>7.0572347178673462</v>
      </c>
      <c r="L287" s="759">
        <f t="shared" si="33"/>
        <v>8.1589371979700385</v>
      </c>
      <c r="M287" s="759">
        <f t="shared" si="33"/>
        <v>9.2611944379466173</v>
      </c>
      <c r="N287" s="759">
        <f t="shared" si="33"/>
        <v>10.363470241711708</v>
      </c>
      <c r="O287" s="759">
        <f t="shared" si="33"/>
        <v>11.465172721814401</v>
      </c>
      <c r="P287" s="759">
        <f t="shared" si="33"/>
        <v>12.567998536301674</v>
      </c>
      <c r="Q287" s="759">
        <f t="shared" si="33"/>
        <v>13.621025640729743</v>
      </c>
      <c r="R287" s="759">
        <f t="shared" si="33"/>
        <v>14.674329262638254</v>
      </c>
      <c r="S287" s="759">
        <f t="shared" si="33"/>
        <v>15.72733581502327</v>
      </c>
      <c r="T287" s="759">
        <f t="shared" si="33"/>
        <v>16.780362919451342</v>
      </c>
      <c r="U287" s="759">
        <f t="shared" si="33"/>
        <v>17.834536620789091</v>
      </c>
      <c r="V287" s="759">
        <f t="shared" si="33"/>
        <v>18.440440274983281</v>
      </c>
      <c r="W287" s="759">
        <f t="shared" si="33"/>
        <v>18.769405147700802</v>
      </c>
      <c r="X287" s="759">
        <f t="shared" si="33"/>
        <v>19.098370020418326</v>
      </c>
      <c r="Y287" s="759">
        <f t="shared" si="33"/>
        <v>19.42733489313586</v>
      </c>
      <c r="Z287" s="759">
        <f t="shared" si="33"/>
        <v>19.756592384075784</v>
      </c>
      <c r="AA287" s="759">
        <f t="shared" si="33"/>
        <v>20.085557256793312</v>
      </c>
      <c r="AB287" s="759">
        <f t="shared" si="33"/>
        <v>20.414815359340508</v>
      </c>
      <c r="AC287" s="759">
        <f t="shared" si="33"/>
        <v>20.74378023205804</v>
      </c>
      <c r="AD287" s="759">
        <f t="shared" si="33"/>
        <v>21.072745104775567</v>
      </c>
      <c r="AE287" s="759">
        <f t="shared" si="33"/>
        <v>21.402002595715494</v>
      </c>
      <c r="AF287" s="759">
        <f t="shared" si="33"/>
        <v>21.730967468433029</v>
      </c>
      <c r="AG287" s="759">
        <f t="shared" si="33"/>
        <v>22.059932341150546</v>
      </c>
      <c r="AH287" s="760">
        <f t="shared" si="33"/>
        <v>22.389190443697739</v>
      </c>
      <c r="AI287" s="40"/>
      <c r="AJ287" s="40"/>
      <c r="AK287" s="40"/>
      <c r="AL287" s="40"/>
      <c r="AM287" s="40"/>
    </row>
    <row r="288" spans="2:39" ht="21.9" customHeight="1" x14ac:dyDescent="0.25">
      <c r="B288" s="548" t="s">
        <v>312</v>
      </c>
      <c r="C288" s="1331" t="s">
        <v>18</v>
      </c>
      <c r="D288" s="1331"/>
      <c r="E288" s="197" t="s">
        <v>24</v>
      </c>
      <c r="F288" s="197" t="s">
        <v>42</v>
      </c>
      <c r="G288" s="459">
        <v>2021</v>
      </c>
      <c r="H288" s="459">
        <v>2022</v>
      </c>
      <c r="I288" s="459">
        <v>2023</v>
      </c>
      <c r="J288" s="459">
        <v>2024</v>
      </c>
      <c r="K288" s="459">
        <v>2025</v>
      </c>
      <c r="L288" s="459">
        <v>2026</v>
      </c>
      <c r="M288" s="459">
        <v>2027</v>
      </c>
      <c r="N288" s="459">
        <v>2028</v>
      </c>
      <c r="O288" s="459">
        <v>2029</v>
      </c>
      <c r="P288" s="459">
        <v>2030</v>
      </c>
      <c r="Q288" s="459">
        <v>2031</v>
      </c>
      <c r="R288" s="459">
        <v>2032</v>
      </c>
      <c r="S288" s="459">
        <v>2033</v>
      </c>
      <c r="T288" s="459">
        <v>2034</v>
      </c>
      <c r="U288" s="459">
        <v>2035</v>
      </c>
      <c r="V288" s="459">
        <v>2036</v>
      </c>
      <c r="W288" s="459">
        <v>2037</v>
      </c>
      <c r="X288" s="459">
        <v>2038</v>
      </c>
      <c r="Y288" s="459">
        <v>2039</v>
      </c>
      <c r="Z288" s="459">
        <v>2040</v>
      </c>
      <c r="AA288" s="459">
        <v>2041</v>
      </c>
      <c r="AB288" s="459">
        <v>2042</v>
      </c>
      <c r="AC288" s="459">
        <v>2043</v>
      </c>
      <c r="AD288" s="459">
        <v>2044</v>
      </c>
      <c r="AE288" s="459">
        <v>2045</v>
      </c>
      <c r="AF288" s="459">
        <v>2046</v>
      </c>
      <c r="AG288" s="459">
        <v>2047</v>
      </c>
      <c r="AH288" s="459">
        <v>2048</v>
      </c>
      <c r="AI288" s="247"/>
      <c r="AJ288" s="247"/>
      <c r="AK288" s="247"/>
      <c r="AL288" s="247"/>
      <c r="AM288" s="247"/>
    </row>
    <row r="289" spans="2:39" ht="21.9" customHeight="1" x14ac:dyDescent="0.25">
      <c r="B289" s="1332" t="s">
        <v>315</v>
      </c>
      <c r="C289" s="217" t="s">
        <v>316</v>
      </c>
      <c r="D289" s="217" t="s">
        <v>276</v>
      </c>
      <c r="E289" s="217" t="s">
        <v>19</v>
      </c>
      <c r="F289" s="217" t="s">
        <v>405</v>
      </c>
      <c r="G289" s="749"/>
      <c r="H289" s="749"/>
      <c r="I289" s="749">
        <f>$F$21*$E$8*'Traffic Data'!AK27*annualizationFactor</f>
        <v>1.0894710016080001E-4</v>
      </c>
      <c r="J289" s="749">
        <f>$F$21*$E$8*'Traffic Data'!AL27*annualizationFactor</f>
        <v>1.1390112908092438E-4</v>
      </c>
      <c r="K289" s="749">
        <f>$F$21*$E$8*'Traffic Data'!AM27*annualizationFactor</f>
        <v>1.2088089314466365E-4</v>
      </c>
      <c r="L289" s="749">
        <f>$F$21*$E$8*'Traffic Data'!AN27*annualizationFactor</f>
        <v>1.3114779549606705E-4</v>
      </c>
      <c r="M289" s="749">
        <f>$F$21*$E$8*'Traffic Data'!AO27*annualizationFactor</f>
        <v>1.4141844290403843E-4</v>
      </c>
      <c r="N289" s="749">
        <f>$F$21*$E$8*'Traffic Data'!AP27*annualizationFactor</f>
        <v>1.5168909031200984E-4</v>
      </c>
      <c r="O289" s="749">
        <f>$F$21*$E$8*'Traffic Data'!AQ27*annualizationFactor</f>
        <v>1.6195599266341322E-4</v>
      </c>
      <c r="P289" s="749">
        <f>$F$21*$E$8*'Traffic Data'!AR27*annualizationFactor</f>
        <v>1.7223038512795266E-4</v>
      </c>
      <c r="Q289" s="749">
        <f>$F$21*$E$8*'Traffic Data'!AS27*annualizationFactor</f>
        <v>1.8238323348387526E-4</v>
      </c>
      <c r="R289" s="749">
        <f>$F$21*$E$8*'Traffic Data'!AT27*annualizationFactor</f>
        <v>1.9253812459792583E-4</v>
      </c>
      <c r="S289" s="749">
        <f>$F$21*$E$8*'Traffic Data'!AU27*annualizationFactor</f>
        <v>2.026909729538484E-4</v>
      </c>
      <c r="T289" s="749">
        <f>$F$21*$E$8*'Traffic Data'!AV27*annualizationFactor</f>
        <v>2.1284382130977092E-4</v>
      </c>
      <c r="U289" s="749">
        <f>$F$21*$E$8*'Traffic Data'!AW27*annualizationFactor</f>
        <v>2.2300415977882955E-4</v>
      </c>
      <c r="V289" s="749">
        <f>$F$21*$E$8*'Traffic Data'!AX27*annualizationFactor</f>
        <v>2.2986612479051997E-4</v>
      </c>
      <c r="W289" s="749">
        <f>$F$21*$E$8*'Traffic Data'!AY27*annualizationFactor</f>
        <v>2.3482015371064432E-4</v>
      </c>
      <c r="X289" s="749">
        <f>$F$21*$E$8*'Traffic Data'!AZ27*annualizationFactor</f>
        <v>2.3977418263076863E-4</v>
      </c>
      <c r="Y289" s="749">
        <f>$F$21*$E$8*'Traffic Data'!BA27*annualizationFactor</f>
        <v>2.4472821155089301E-4</v>
      </c>
      <c r="Z289" s="749">
        <f>$F$21*$E$8*'Traffic Data'!BB27*annualizationFactor</f>
        <v>2.4968394276945745E-4</v>
      </c>
      <c r="AA289" s="749">
        <f>$F$21*$E$8*'Traffic Data'!BC27*annualizationFactor</f>
        <v>2.5463797168958187E-4</v>
      </c>
      <c r="AB289" s="749">
        <f>$F$21*$E$8*'Traffic Data'!BD27*annualizationFactor</f>
        <v>2.5959370290814615E-4</v>
      </c>
      <c r="AC289" s="749">
        <f>$F$21*$E$8*'Traffic Data'!BE27*annualizationFactor</f>
        <v>2.6454773182827063E-4</v>
      </c>
      <c r="AD289" s="749">
        <f>$F$21*$E$8*'Traffic Data'!BF27*annualizationFactor</f>
        <v>2.6950176074839495E-4</v>
      </c>
      <c r="AE289" s="749">
        <f>$F$21*$E$8*'Traffic Data'!BG27*annualizationFactor</f>
        <v>2.7445749196695928E-4</v>
      </c>
      <c r="AF289" s="749">
        <f>$F$21*$E$8*'Traffic Data'!BH27*annualizationFactor</f>
        <v>2.7941152088708371E-4</v>
      </c>
      <c r="AG289" s="749">
        <f>$F$21*$E$8*'Traffic Data'!BI27*annualizationFactor</f>
        <v>2.8436554980720814E-4</v>
      </c>
      <c r="AH289" s="750">
        <f>$F$21*$E$8*'Traffic Data'!BJ27*annualizationFactor</f>
        <v>2.8932128102577247E-4</v>
      </c>
      <c r="AI289" s="40"/>
      <c r="AJ289" s="40"/>
      <c r="AK289" s="40"/>
      <c r="AL289" s="40"/>
      <c r="AM289" s="40"/>
    </row>
    <row r="290" spans="2:39" ht="21.9" customHeight="1" x14ac:dyDescent="0.25">
      <c r="B290" s="1332"/>
      <c r="C290" s="114" t="s">
        <v>276</v>
      </c>
      <c r="D290" s="114" t="s">
        <v>274</v>
      </c>
      <c r="E290" s="114" t="s">
        <v>19</v>
      </c>
      <c r="F290" s="114" t="s">
        <v>405</v>
      </c>
      <c r="G290" s="941"/>
      <c r="H290" s="941"/>
      <c r="I290" s="751">
        <f>$F$21*$E$8*'Traffic Data'!AK28*annualizationFactor</f>
        <v>3.5032324499223752E-3</v>
      </c>
      <c r="J290" s="751">
        <f>$F$21*$E$8*'Traffic Data'!AL28*annualizationFactor</f>
        <v>3.6881512235382775E-3</v>
      </c>
      <c r="K290" s="751">
        <f>$F$21*$E$8*'Traffic Data'!AM28*annualizationFactor</f>
        <v>3.9657369829221275E-3</v>
      </c>
      <c r="L290" s="751">
        <f>$F$21*$E$8*'Traffic Data'!AN28*annualizationFactor</f>
        <v>4.424349035421965E-3</v>
      </c>
      <c r="M290" s="751">
        <f>$F$21*$E$8*'Traffic Data'!AO28*annualizationFactor</f>
        <v>4.8831686868817982E-3</v>
      </c>
      <c r="N290" s="751">
        <f>$F$21*$E$8*'Traffic Data'!AP28*annualizationFactor</f>
        <v>5.341962388471632E-3</v>
      </c>
      <c r="O290" s="751">
        <f>$F$21*$E$8*'Traffic Data'!AQ28*annualizationFactor</f>
        <v>5.8005744409714713E-3</v>
      </c>
      <c r="P290" s="751">
        <f>$F$21*$E$8*'Traffic Data'!AR28*annualizationFactor</f>
        <v>6.2596016913912993E-3</v>
      </c>
      <c r="Q290" s="751">
        <f>$F$21*$E$8*'Traffic Data'!AS28*annualizationFactor</f>
        <v>6.722703071401037E-3</v>
      </c>
      <c r="R290" s="751">
        <f>$F$21*$E$8*'Traffic Data'!AT28*annualizationFactor</f>
        <v>7.1859601506307725E-3</v>
      </c>
      <c r="S290" s="751">
        <f>$F$21*$E$8*'Traffic Data'!AU28*annualizationFactor</f>
        <v>7.6490615306405102E-3</v>
      </c>
      <c r="T290" s="751">
        <f>$F$21*$E$8*'Traffic Data'!AV28*annualizationFactor</f>
        <v>8.1121629106502488E-3</v>
      </c>
      <c r="U290" s="751">
        <f>$F$21*$E$8*'Traffic Data'!AW28*annualizationFactor</f>
        <v>8.5756794885799795E-3</v>
      </c>
      <c r="V290" s="751">
        <f>$F$21*$E$8*'Traffic Data'!AX28*annualizationFactor</f>
        <v>8.8575469765137353E-3</v>
      </c>
      <c r="W290" s="751">
        <f>$F$21*$E$8*'Traffic Data'!AY28*annualizationFactor</f>
        <v>9.042465750129635E-3</v>
      </c>
      <c r="X290" s="751">
        <f>$F$21*$E$8*'Traffic Data'!AZ28*annualizationFactor</f>
        <v>9.2273845237455399E-3</v>
      </c>
      <c r="Y290" s="751">
        <f>$F$21*$E$8*'Traffic Data'!BA28*annualizationFactor</f>
        <v>9.4123032973614448E-3</v>
      </c>
      <c r="Z290" s="751">
        <f>$F$21*$E$8*'Traffic Data'!BB28*annualizationFactor</f>
        <v>9.5973258704573419E-3</v>
      </c>
      <c r="AA290" s="751">
        <f>$F$21*$E$8*'Traffic Data'!BC28*annualizationFactor</f>
        <v>9.7822446440732434E-3</v>
      </c>
      <c r="AB290" s="751">
        <f>$F$21*$E$8*'Traffic Data'!BD28*annualizationFactor</f>
        <v>9.9672672171691457E-3</v>
      </c>
      <c r="AC290" s="751">
        <f>$F$21*$E$8*'Traffic Data'!BE28*annualizationFactor</f>
        <v>1.0152185990785049E-2</v>
      </c>
      <c r="AD290" s="751">
        <f>$F$21*$E$8*'Traffic Data'!BF28*annualizationFactor</f>
        <v>1.033710476440095E-2</v>
      </c>
      <c r="AE290" s="751">
        <f>$F$21*$E$8*'Traffic Data'!BG28*annualizationFactor</f>
        <v>1.0522127337496853E-2</v>
      </c>
      <c r="AF290" s="751">
        <f>$F$21*$E$8*'Traffic Data'!BH28*annualizationFactor</f>
        <v>1.0707046111112752E-2</v>
      </c>
      <c r="AG290" s="751">
        <f>$F$21*$E$8*'Traffic Data'!BI28*annualizationFactor</f>
        <v>1.0891964884728655E-2</v>
      </c>
      <c r="AH290" s="752">
        <f>$F$21*$E$8*'Traffic Data'!BJ28*annualizationFactor</f>
        <v>1.1076987457824556E-2</v>
      </c>
      <c r="AI290" s="40"/>
      <c r="AJ290" s="40"/>
      <c r="AK290" s="40"/>
      <c r="AL290" s="40"/>
      <c r="AM290" s="40"/>
    </row>
    <row r="291" spans="2:39" ht="21.9" customHeight="1" x14ac:dyDescent="0.25">
      <c r="B291" s="1332"/>
      <c r="C291" s="114" t="s">
        <v>274</v>
      </c>
      <c r="D291" s="114" t="s">
        <v>317</v>
      </c>
      <c r="E291" s="250" t="s">
        <v>19</v>
      </c>
      <c r="F291" s="250" t="s">
        <v>405</v>
      </c>
      <c r="G291" s="753"/>
      <c r="H291" s="753"/>
      <c r="I291" s="751">
        <f>$F$21*$E$8*'Traffic Data'!AK29*annualizationFactor</f>
        <v>8.1710325120600013E-5</v>
      </c>
      <c r="J291" s="751">
        <f>$F$21*$E$8*'Traffic Data'!AL29*annualizationFactor</f>
        <v>8.5122412113761048E-5</v>
      </c>
      <c r="K291" s="751">
        <f>$F$21*$E$8*'Traffic Data'!AM29*annualizationFactor</f>
        <v>8.9345474083744056E-5</v>
      </c>
      <c r="L291" s="751">
        <f>$F$21*$E$8*'Traffic Data'!AN29*annualizationFactor</f>
        <v>9.5031150873385825E-5</v>
      </c>
      <c r="M291" s="751">
        <f>$F$21*$E$8*'Traffic Data'!AO29*annualizationFactor</f>
        <v>1.007188704211556E-4</v>
      </c>
      <c r="N291" s="751">
        <f>$F$21*$E$8*'Traffic Data'!AP29*annualizationFactor</f>
        <v>1.0640590904954938E-4</v>
      </c>
      <c r="O291" s="751">
        <f>$F$21*$E$8*'Traffic Data'!AQ29*annualizationFactor</f>
        <v>1.1209158583919112E-4</v>
      </c>
      <c r="P291" s="751">
        <f>$F$21*$E$8*'Traffic Data'!AR29*annualizationFactor</f>
        <v>1.1778134814508891E-4</v>
      </c>
      <c r="Q291" s="751">
        <f>$F$21*$E$8*'Traffic Data'!AS29*annualizationFactor</f>
        <v>1.2329407141322535E-4</v>
      </c>
      <c r="R291" s="751">
        <f>$F$21*$E$8*'Traffic Data'!AT29*annualizationFactor</f>
        <v>1.2880883743948983E-4</v>
      </c>
      <c r="S291" s="751">
        <f>$F$21*$E$8*'Traffic Data'!AU29*annualizationFactor</f>
        <v>1.3432156070762634E-4</v>
      </c>
      <c r="T291" s="751">
        <f>$F$21*$E$8*'Traffic Data'!AV29*annualizationFactor</f>
        <v>1.398342839757628E-4</v>
      </c>
      <c r="U291" s="751">
        <f>$F$21*$E$8*'Traffic Data'!AW29*annualizationFactor</f>
        <v>1.4535109276015532E-4</v>
      </c>
      <c r="V291" s="751">
        <f>$F$21*$E$8*'Traffic Data'!AX29*annualizationFactor</f>
        <v>1.4939915845050503E-4</v>
      </c>
      <c r="W291" s="751">
        <f>$F$21*$E$8*'Traffic Data'!AY29*annualizationFactor</f>
        <v>1.5281124544366611E-4</v>
      </c>
      <c r="X291" s="751">
        <f>$F$21*$E$8*'Traffic Data'!AZ29*annualizationFactor</f>
        <v>1.5622333243682713E-4</v>
      </c>
      <c r="Y291" s="751">
        <f>$F$21*$E$8*'Traffic Data'!BA29*annualizationFactor</f>
        <v>1.596354194299882E-4</v>
      </c>
      <c r="Z291" s="751">
        <f>$F$21*$E$8*'Traffic Data'!BB29*annualizationFactor</f>
        <v>1.6304886826190129E-4</v>
      </c>
      <c r="AA291" s="751">
        <f>$F$21*$E$8*'Traffic Data'!BC29*annualizationFactor</f>
        <v>1.6646095525506234E-4</v>
      </c>
      <c r="AB291" s="751">
        <f>$F$21*$E$8*'Traffic Data'!BD29*annualizationFactor</f>
        <v>1.6987440408697539E-4</v>
      </c>
      <c r="AC291" s="751">
        <f>$F$21*$E$8*'Traffic Data'!BE29*annualizationFactor</f>
        <v>1.732864910801365E-4</v>
      </c>
      <c r="AD291" s="751">
        <f>$F$21*$E$8*'Traffic Data'!BF29*annualizationFactor</f>
        <v>1.7669857807329746E-4</v>
      </c>
      <c r="AE291" s="751">
        <f>$F$21*$E$8*'Traffic Data'!BG29*annualizationFactor</f>
        <v>1.801120269052106E-4</v>
      </c>
      <c r="AF291" s="751">
        <f>$F$21*$E$8*'Traffic Data'!BH29*annualizationFactor</f>
        <v>1.8352411389837165E-4</v>
      </c>
      <c r="AG291" s="751">
        <f>$F$21*$E$8*'Traffic Data'!BI29*annualizationFactor</f>
        <v>1.8693620089153264E-4</v>
      </c>
      <c r="AH291" s="752">
        <f>$F$21*$E$8*'Traffic Data'!BJ29*annualizationFactor</f>
        <v>1.9034964972344576E-4</v>
      </c>
      <c r="AI291" s="40"/>
      <c r="AJ291" s="40"/>
      <c r="AK291" s="40"/>
      <c r="AL291" s="40"/>
      <c r="AM291" s="40"/>
    </row>
    <row r="292" spans="2:39" ht="21.9" customHeight="1" x14ac:dyDescent="0.25">
      <c r="B292" s="1332" t="s">
        <v>274</v>
      </c>
      <c r="C292" s="217" t="s">
        <v>275</v>
      </c>
      <c r="D292" s="217" t="s">
        <v>318</v>
      </c>
      <c r="E292" s="114" t="s">
        <v>19</v>
      </c>
      <c r="F292" s="217" t="s">
        <v>405</v>
      </c>
      <c r="G292" s="941"/>
      <c r="H292" s="941"/>
      <c r="I292" s="749">
        <f>$F$21*$F$8*'Traffic Data'!AK30*annualizationFactor</f>
        <v>6.7505499860400007E-4</v>
      </c>
      <c r="J292" s="749">
        <f>$F$21*$F$8*'Traffic Data'!AL30*annualizationFactor</f>
        <v>7.4334018698778766E-4</v>
      </c>
      <c r="K292" s="749">
        <f>$F$21*$F$8*'Traffic Data'!AM30*annualizationFactor</f>
        <v>8.9600725019707529E-4</v>
      </c>
      <c r="L292" s="749">
        <f>$F$21*$F$8*'Traffic Data'!AN30*annualizationFactor</f>
        <v>1.2026509833129426E-3</v>
      </c>
      <c r="M292" s="749">
        <f>$F$21*$F$8*'Traffic Data'!AO30*annualizationFactor</f>
        <v>1.5094837318284182E-3</v>
      </c>
      <c r="N292" s="749">
        <f>$F$21*$F$8*'Traffic Data'!AP30*annualizationFactor</f>
        <v>1.816282727593964E-3</v>
      </c>
      <c r="O292" s="749">
        <f>$F$21*$F$8*'Traffic Data'!AQ30*annualizationFactor</f>
        <v>2.1229264607098312E-3</v>
      </c>
      <c r="P292" s="749">
        <f>$F$21*$F$8*'Traffic Data'!AR30*annualizationFactor</f>
        <v>2.4299482246249167E-3</v>
      </c>
      <c r="Q292" s="749">
        <f>$F$21*$F$8*'Traffic Data'!AS30*annualizationFactor</f>
        <v>2.7312117694019097E-3</v>
      </c>
      <c r="R292" s="749">
        <f>$F$21*$F$8*'Traffic Data'!AT30*annualizationFactor</f>
        <v>3.032627201553588E-3</v>
      </c>
      <c r="S292" s="749">
        <f>$F$21*$F$8*'Traffic Data'!AU30*annualizationFactor</f>
        <v>3.3338907463305815E-3</v>
      </c>
      <c r="T292" s="749">
        <f>$F$21*$F$8*'Traffic Data'!AV30*annualizationFactor</f>
        <v>3.6351542911075754E-3</v>
      </c>
      <c r="U292" s="749">
        <f>$F$21*$F$8*'Traffic Data'!AW30*annualizationFactor</f>
        <v>3.9367958666837862E-3</v>
      </c>
      <c r="V292" s="749">
        <f>$F$21*$F$8*'Traffic Data'!AX30*annualizationFactor</f>
        <v>4.0838937261545903E-3</v>
      </c>
      <c r="W292" s="749">
        <f>$F$21*$F$8*'Traffic Data'!AY30*annualizationFactor</f>
        <v>4.1521789145383785E-3</v>
      </c>
      <c r="X292" s="749">
        <f>$F$21*$F$8*'Traffic Data'!AZ30*annualizationFactor</f>
        <v>4.2204641029221657E-3</v>
      </c>
      <c r="Y292" s="749">
        <f>$F$21*$F$8*'Traffic Data'!BA30*annualizationFactor</f>
        <v>4.288749291305953E-3</v>
      </c>
      <c r="Z292" s="749">
        <f>$F$21*$F$8*'Traffic Data'!BB30*annualizationFactor</f>
        <v>4.3571391132145249E-3</v>
      </c>
      <c r="AA292" s="749">
        <f>$F$21*$F$8*'Traffic Data'!BC30*annualizationFactor</f>
        <v>4.425424301598313E-3</v>
      </c>
      <c r="AB292" s="749">
        <f>$F$21*$F$8*'Traffic Data'!BD30*annualizationFactor</f>
        <v>4.4938141235068832E-3</v>
      </c>
      <c r="AC292" s="749">
        <f>$F$21*$F$8*'Traffic Data'!BE30*annualizationFactor</f>
        <v>4.5620993118906713E-3</v>
      </c>
      <c r="AD292" s="749">
        <f>$F$21*$F$8*'Traffic Data'!BF30*annualizationFactor</f>
        <v>4.6303845002744586E-3</v>
      </c>
      <c r="AE292" s="749">
        <f>$F$21*$F$8*'Traffic Data'!BG30*annualizationFactor</f>
        <v>4.6987743221830304E-3</v>
      </c>
      <c r="AF292" s="749">
        <f>$F$21*$F$8*'Traffic Data'!BH30*annualizationFactor</f>
        <v>4.7670595105668177E-3</v>
      </c>
      <c r="AG292" s="749">
        <f>$F$21*$F$8*'Traffic Data'!BI30*annualizationFactor</f>
        <v>4.835344698950605E-3</v>
      </c>
      <c r="AH292" s="750">
        <f>$F$21*$F$8*'Traffic Data'!BJ30*annualizationFactor</f>
        <v>4.903734520859176E-3</v>
      </c>
      <c r="AI292" s="40"/>
      <c r="AJ292" s="40"/>
      <c r="AK292" s="40"/>
      <c r="AL292" s="40"/>
      <c r="AM292" s="40"/>
    </row>
    <row r="293" spans="2:39" ht="21.9" customHeight="1" x14ac:dyDescent="0.25">
      <c r="B293" s="1332"/>
      <c r="C293" s="114" t="s">
        <v>318</v>
      </c>
      <c r="D293" s="114" t="s">
        <v>308</v>
      </c>
      <c r="E293" s="114" t="s">
        <v>19</v>
      </c>
      <c r="F293" s="114" t="s">
        <v>405</v>
      </c>
      <c r="G293" s="941"/>
      <c r="H293" s="941"/>
      <c r="I293" s="751">
        <f>$F$21*$F$8*'Traffic Data'!AK31*annualizationFactor</f>
        <v>7.8191698680000015E-5</v>
      </c>
      <c r="J293" s="751">
        <f>$F$21*$F$8*'Traffic Data'!AL31*annualizationFactor</f>
        <v>8.6352305632236021E-5</v>
      </c>
      <c r="K293" s="751">
        <f>$F$21*$F$8*'Traffic Data'!AM31*annualizationFactor</f>
        <v>9.7617774619556999E-5</v>
      </c>
      <c r="L293" s="751">
        <f>$F$21*$F$8*'Traffic Data'!AN31*annualizationFactor</f>
        <v>1.1830599489530701E-4</v>
      </c>
      <c r="M293" s="751">
        <f>$F$21*$F$8*'Traffic Data'!AO31*annualizationFactor</f>
        <v>1.3900007954845803E-4</v>
      </c>
      <c r="N293" s="751">
        <f>$F$21*$F$8*'Traffic Data'!AP31*annualizationFactor</f>
        <v>1.5969807378654304E-4</v>
      </c>
      <c r="O293" s="751">
        <f>$F$21*$F$8*'Traffic Data'!AQ31*annualizationFactor</f>
        <v>1.8038629406229301E-4</v>
      </c>
      <c r="P293" s="751">
        <f>$F$21*$F$8*'Traffic Data'!AR31*annualizationFactor</f>
        <v>2.0109341066522406E-4</v>
      </c>
      <c r="Q293" s="751">
        <f>$F$21*$F$8*'Traffic Data'!AS31*annualizationFactor</f>
        <v>2.3086750632759001E-4</v>
      </c>
      <c r="R293" s="751">
        <f>$F$21*$F$8*'Traffic Data'!AT31*annualizationFactor</f>
        <v>2.60648117964846E-4</v>
      </c>
      <c r="S293" s="751">
        <f>$F$21*$F$8*'Traffic Data'!AU31*annualizationFactor</f>
        <v>2.9041634924981103E-4</v>
      </c>
      <c r="T293" s="751">
        <f>$F$21*$F$8*'Traffic Data'!AV31*annualizationFactor</f>
        <v>3.2019044491217701E-4</v>
      </c>
      <c r="U293" s="751">
        <f>$F$21*$F$8*'Traffic Data'!AW31*annualizationFactor</f>
        <v>3.4998343690172411E-4</v>
      </c>
      <c r="V293" s="751">
        <f>$F$21*$F$8*'Traffic Data'!AX31*annualizationFactor</f>
        <v>3.7031588494848002E-4</v>
      </c>
      <c r="W293" s="751">
        <f>$F$21*$F$8*'Traffic Data'!AY31*annualizationFactor</f>
        <v>3.7847649190071606E-4</v>
      </c>
      <c r="X293" s="751">
        <f>$F$21*$F$8*'Traffic Data'!AZ31*annualizationFactor</f>
        <v>3.8663709885295203E-4</v>
      </c>
      <c r="Y293" s="751">
        <f>$F$21*$F$8*'Traffic Data'!BA31*annualizationFactor</f>
        <v>3.9479770580518801E-4</v>
      </c>
      <c r="Z293" s="751">
        <f>$F$21*$F$8*'Traffic Data'!BB31*annualizationFactor</f>
        <v>4.029641771348251E-4</v>
      </c>
      <c r="AA293" s="751">
        <f>$F$21*$F$8*'Traffic Data'!BC31*annualizationFactor</f>
        <v>4.1112478408706103E-4</v>
      </c>
      <c r="AB293" s="751">
        <f>$F$21*$F$8*'Traffic Data'!BD31*annualizationFactor</f>
        <v>4.1929125541669807E-4</v>
      </c>
      <c r="AC293" s="751">
        <f>$F$21*$F$8*'Traffic Data'!BE31*annualizationFactor</f>
        <v>4.274518623689341E-4</v>
      </c>
      <c r="AD293" s="751">
        <f>$F$21*$F$8*'Traffic Data'!BF31*annualizationFactor</f>
        <v>4.3561246932117008E-4</v>
      </c>
      <c r="AE293" s="751">
        <f>$F$21*$F$8*'Traffic Data'!BG31*annualizationFactor</f>
        <v>4.4377894065080701E-4</v>
      </c>
      <c r="AF293" s="751">
        <f>$F$21*$F$8*'Traffic Data'!BH31*annualizationFactor</f>
        <v>4.5193954760304304E-4</v>
      </c>
      <c r="AG293" s="751">
        <f>$F$21*$F$8*'Traffic Data'!BI31*annualizationFactor</f>
        <v>4.6010015455527913E-4</v>
      </c>
      <c r="AH293" s="752">
        <f>$F$21*$F$8*'Traffic Data'!BJ31*annualizationFactor</f>
        <v>4.68266625884916E-4</v>
      </c>
      <c r="AI293" s="40"/>
      <c r="AJ293" s="40"/>
      <c r="AK293" s="40"/>
      <c r="AL293" s="40"/>
      <c r="AM293" s="40"/>
    </row>
    <row r="294" spans="2:39" ht="21.9" customHeight="1" x14ac:dyDescent="0.25">
      <c r="B294" s="1332"/>
      <c r="C294" s="250" t="s">
        <v>308</v>
      </c>
      <c r="D294" s="250" t="s">
        <v>319</v>
      </c>
      <c r="E294" s="114" t="s">
        <v>19</v>
      </c>
      <c r="F294" s="250" t="s">
        <v>405</v>
      </c>
      <c r="G294" s="941"/>
      <c r="H294" s="941"/>
      <c r="I294" s="751">
        <f>$F$21*$F$8*'Traffic Data'!AK32*annualizationFactor</f>
        <v>1.0477687623120001E-3</v>
      </c>
      <c r="J294" s="751">
        <f>$F$21*$F$8*'Traffic Data'!AL32*annualizationFactor</f>
        <v>1.0771097802192773E-3</v>
      </c>
      <c r="K294" s="751">
        <f>$F$21*$F$8*'Traffic Data'!AM32*annualizationFactor</f>
        <v>1.118922738960608E-3</v>
      </c>
      <c r="L294" s="751">
        <f>$F$21*$F$8*'Traffic Data'!AN32*annualizationFactor</f>
        <v>1.1776082673377031E-3</v>
      </c>
      <c r="M294" s="751">
        <f>$F$21*$F$8*'Traffic Data'!AO32*annualizationFactor</f>
        <v>1.2363182436525854E-3</v>
      </c>
      <c r="N294" s="751">
        <f>$F$21*$F$8*'Traffic Data'!AP32*annualizationFactor</f>
        <v>1.295022981123657E-3</v>
      </c>
      <c r="O294" s="751">
        <f>$F$21*$F$8*'Traffic Data'!AQ32*annualizationFactor</f>
        <v>1.3537085095007518E-3</v>
      </c>
      <c r="P294" s="751">
        <f>$F$21*$F$8*'Traffic Data'!AR32*annualizationFactor</f>
        <v>1.412441187472151E-3</v>
      </c>
      <c r="Q294" s="751">
        <f>$F$21*$F$8*'Traffic Data'!AS32*annualizationFactor</f>
        <v>1.4717309291688457E-3</v>
      </c>
      <c r="R294" s="751">
        <f>$F$21*$F$8*'Traffic Data'!AT32*annualizationFactor</f>
        <v>1.531038133678246E-3</v>
      </c>
      <c r="S294" s="751">
        <f>$F$21*$F$8*'Traffic Data'!AU32*annualizationFactor</f>
        <v>1.5903226365311294E-3</v>
      </c>
      <c r="T294" s="751">
        <f>$F$21*$F$8*'Traffic Data'!AV32*annualizationFactor</f>
        <v>1.6496123782278244E-3</v>
      </c>
      <c r="U294" s="751">
        <f>$F$21*$F$8*'Traffic Data'!AW32*annualizationFactor</f>
        <v>1.7089492695188241E-3</v>
      </c>
      <c r="V294" s="751">
        <f>$F$21*$F$8*'Traffic Data'!AX32*annualizationFactor</f>
        <v>1.7513385010794263E-3</v>
      </c>
      <c r="W294" s="751">
        <f>$F$21*$F$8*'Traffic Data'!AY32*annualizationFactor</f>
        <v>1.7806795189867033E-3</v>
      </c>
      <c r="X294" s="751">
        <f>$F$21*$F$8*'Traffic Data'!AZ32*annualizationFactor</f>
        <v>1.8100205368939801E-3</v>
      </c>
      <c r="Y294" s="751">
        <f>$F$21*$F$8*'Traffic Data'!BA32*annualizationFactor</f>
        <v>1.8393615548012571E-3</v>
      </c>
      <c r="Z294" s="751">
        <f>$F$21*$F$8*'Traffic Data'!BB32*annualizationFactor</f>
        <v>1.8687165429586983E-3</v>
      </c>
      <c r="AA294" s="751">
        <f>$F$21*$F$8*'Traffic Data'!BC32*annualizationFactor</f>
        <v>1.8980575608659759E-3</v>
      </c>
      <c r="AB294" s="751">
        <f>$F$21*$F$8*'Traffic Data'!BD32*annualizationFactor</f>
        <v>1.9274125490234171E-3</v>
      </c>
      <c r="AC294" s="751">
        <f>$F$21*$F$8*'Traffic Data'!BE32*annualizationFactor</f>
        <v>1.9567535669306941E-3</v>
      </c>
      <c r="AD294" s="751">
        <f>$F$21*$F$8*'Traffic Data'!BF32*annualizationFactor</f>
        <v>1.9860945848379709E-3</v>
      </c>
      <c r="AE294" s="751">
        <f>$F$21*$F$8*'Traffic Data'!BG32*annualizationFactor</f>
        <v>2.0154495729954119E-3</v>
      </c>
      <c r="AF294" s="751">
        <f>$F$21*$F$8*'Traffic Data'!BH32*annualizationFactor</f>
        <v>2.0447905909026886E-3</v>
      </c>
      <c r="AG294" s="751">
        <f>$F$21*$F$8*'Traffic Data'!BI32*annualizationFactor</f>
        <v>2.0741316088099659E-3</v>
      </c>
      <c r="AH294" s="752">
        <f>$F$21*$F$8*'Traffic Data'!BJ32*annualizationFactor</f>
        <v>2.1034865969674068E-3</v>
      </c>
      <c r="AI294" s="40"/>
      <c r="AJ294" s="40"/>
      <c r="AK294" s="40"/>
      <c r="AL294" s="40"/>
      <c r="AM294" s="40"/>
    </row>
    <row r="295" spans="2:39" ht="21.9" customHeight="1" x14ac:dyDescent="0.25">
      <c r="B295" s="469" t="s">
        <v>320</v>
      </c>
      <c r="C295" s="114" t="s">
        <v>318</v>
      </c>
      <c r="D295" s="114" t="s">
        <v>308</v>
      </c>
      <c r="E295" s="273" t="s">
        <v>19</v>
      </c>
      <c r="F295" s="273" t="s">
        <v>405</v>
      </c>
      <c r="G295" s="754"/>
      <c r="H295" s="754"/>
      <c r="I295" s="749">
        <f>$F$21*$G$8*'Traffic Data'!AK33*annualizationFactor</f>
        <v>3.0625081983000006E-6</v>
      </c>
      <c r="J295" s="749">
        <f>$F$21*$G$8*'Traffic Data'!AL33*annualizationFactor</f>
        <v>2.3210749634915706E-5</v>
      </c>
      <c r="K295" s="749">
        <f>$F$21*$G$8*'Traffic Data'!AM33*annualizationFactor</f>
        <v>1.3447167247915471E-4</v>
      </c>
      <c r="L295" s="749">
        <f>$F$21*$G$8*'Traffic Data'!AN33*annualizationFactor</f>
        <v>3.0972064161867397E-4</v>
      </c>
      <c r="M295" s="749">
        <f>$F$21*$G$8*'Traffic Data'!AO33*annualizationFactor</f>
        <v>4.8507986105333196E-4</v>
      </c>
      <c r="N295" s="749">
        <f>$F$21*$G$8*'Traffic Data'!AP33*annualizationFactor</f>
        <v>6.60448268012585E-4</v>
      </c>
      <c r="O295" s="749">
        <f>$F$21*$G$8*'Traffic Data'!AQ33*annualizationFactor</f>
        <v>8.3569723715210421E-4</v>
      </c>
      <c r="P295" s="749">
        <f>$F$21*$G$8*'Traffic Data'!AR33*annualizationFactor</f>
        <v>1.0111789569146941E-3</v>
      </c>
      <c r="Q295" s="749">
        <f>$F$21*$G$8*'Traffic Data'!AS33*annualizationFactor</f>
        <v>1.1097120956867982E-3</v>
      </c>
      <c r="R295" s="749">
        <f>$F$21*$G$8*'Traffic Data'!AT33*annualizationFactor</f>
        <v>1.2082819845572821E-3</v>
      </c>
      <c r="S295" s="749">
        <f>$F$21*$G$8*'Traffic Data'!AU33*annualizationFactor</f>
        <v>1.306842685903171E-3</v>
      </c>
      <c r="T295" s="749">
        <f>$F$21*$G$8*'Traffic Data'!AV33*annualizationFactor</f>
        <v>1.4053758246752751E-3</v>
      </c>
      <c r="U295" s="749">
        <f>$F$21*$G$8*'Traffic Data'!AW33*annualizationFactor</f>
        <v>1.5041417140704506E-3</v>
      </c>
      <c r="V295" s="749">
        <f>$F$21*$G$8*'Traffic Data'!AX33*annualizationFactor</f>
        <v>1.5385918687931275E-3</v>
      </c>
      <c r="W295" s="749">
        <f>$F$21*$G$8*'Traffic Data'!AY33*annualizationFactor</f>
        <v>1.5587401102297427E-3</v>
      </c>
      <c r="X295" s="749">
        <f>$F$21*$G$8*'Traffic Data'!AZ33*annualizationFactor</f>
        <v>1.5788883516663584E-3</v>
      </c>
      <c r="Y295" s="749">
        <f>$F$21*$G$8*'Traffic Data'!BA33*annualizationFactor</f>
        <v>1.5990365931029741E-3</v>
      </c>
      <c r="Z295" s="749">
        <f>$F$21*$G$8*'Traffic Data'!BB33*annualizationFactor</f>
        <v>1.6192644597527457E-3</v>
      </c>
      <c r="AA295" s="749">
        <f>$F$21*$G$8*'Traffic Data'!BC33*annualizationFactor</f>
        <v>1.6394127011893614E-3</v>
      </c>
      <c r="AB295" s="749">
        <f>$F$21*$G$8*'Traffic Data'!BD33*annualizationFactor</f>
        <v>1.6596405678391333E-3</v>
      </c>
      <c r="AC295" s="749">
        <f>$F$21*$G$8*'Traffic Data'!BE33*annualizationFactor</f>
        <v>1.6797888092757488E-3</v>
      </c>
      <c r="AD295" s="749">
        <f>$F$21*$G$8*'Traffic Data'!BF33*annualizationFactor</f>
        <v>1.6999370507123645E-3</v>
      </c>
      <c r="AE295" s="749">
        <f>$F$21*$G$8*'Traffic Data'!BG33*annualizationFactor</f>
        <v>1.7201649173621363E-3</v>
      </c>
      <c r="AF295" s="749">
        <f>$F$21*$G$8*'Traffic Data'!BH33*annualizationFactor</f>
        <v>1.7403131587987513E-3</v>
      </c>
      <c r="AG295" s="749">
        <f>$F$21*$G$8*'Traffic Data'!BI33*annualizationFactor</f>
        <v>1.760461400235367E-3</v>
      </c>
      <c r="AH295" s="750">
        <f>$F$21*$G$8*'Traffic Data'!BJ33*annualizationFactor</f>
        <v>1.780689266885139E-3</v>
      </c>
      <c r="AI295" s="40"/>
      <c r="AJ295" s="40"/>
      <c r="AK295" s="40"/>
      <c r="AL295" s="40"/>
      <c r="AM295" s="40"/>
    </row>
    <row r="296" spans="2:39" ht="21.9" customHeight="1" x14ac:dyDescent="0.25">
      <c r="B296" s="1332" t="s">
        <v>308</v>
      </c>
      <c r="C296" s="217" t="s">
        <v>276</v>
      </c>
      <c r="D296" s="217" t="s">
        <v>320</v>
      </c>
      <c r="E296" s="114" t="s">
        <v>19</v>
      </c>
      <c r="F296" s="114" t="s">
        <v>405</v>
      </c>
      <c r="G296" s="941"/>
      <c r="H296" s="941"/>
      <c r="I296" s="749">
        <f>$F$21*$H$8*'Traffic Data'!AK34*annualizationFactor</f>
        <v>8.7965661015000022E-6</v>
      </c>
      <c r="J296" s="749">
        <f>$F$21*$H$8*'Traffic Data'!AL34*annualizationFactor</f>
        <v>1.9550368160583749E-5</v>
      </c>
      <c r="K296" s="749">
        <f>$F$21*$H$8*'Traffic Data'!AM34*annualizationFactor</f>
        <v>8.2630543674440266E-5</v>
      </c>
      <c r="L296" s="749">
        <f>$F$21*$H$8*'Traffic Data'!AN34*annualizationFactor</f>
        <v>1.85748289799274E-4</v>
      </c>
      <c r="M296" s="749">
        <f>$F$21*$H$8*'Traffic Data'!AO34*annualizationFactor</f>
        <v>2.8892321360376755E-4</v>
      </c>
      <c r="N296" s="749">
        <f>$F$21*$H$8*'Traffic Data'!AP34*annualizationFactor</f>
        <v>3.9210253569131175E-4</v>
      </c>
      <c r="O296" s="749">
        <f>$F$21*$H$8*'Traffic Data'!AQ34*annualizationFactor</f>
        <v>4.9522028181614561E-4</v>
      </c>
      <c r="P296" s="749">
        <f>$F$21*$H$8*'Traffic Data'!AR34*annualizationFactor</f>
        <v>5.9845678158334961E-4</v>
      </c>
      <c r="Q296" s="749">
        <f>$F$21*$H$8*'Traffic Data'!AS34*annualizationFactor</f>
        <v>6.7806570480192466E-4</v>
      </c>
      <c r="R296" s="749">
        <f>$F$21*$H$8*'Traffic Data'!AT34*annualizationFactor</f>
        <v>7.5768782286965192E-4</v>
      </c>
      <c r="S296" s="749">
        <f>$F$21*$H$8*'Traffic Data'!AU34*annualizationFactor</f>
        <v>8.3729674608822675E-4</v>
      </c>
      <c r="T296" s="749">
        <f>$F$21*$H$8*'Traffic Data'!AV34*annualizationFactor</f>
        <v>9.169056693068018E-4</v>
      </c>
      <c r="U296" s="749">
        <f>$F$21*$H$8*'Traffic Data'!AW34*annualizationFactor</f>
        <v>9.9662015131859495E-4</v>
      </c>
      <c r="V296" s="749">
        <f>$F$21*$H$8*'Traffic Data'!AX34*annualizationFactor</f>
        <v>1.0361299279634819E-3</v>
      </c>
      <c r="W296" s="749">
        <f>$F$21*$H$8*'Traffic Data'!AY34*annualizationFactor</f>
        <v>1.046883730022566E-3</v>
      </c>
      <c r="X296" s="749">
        <f>$F$21*$H$8*'Traffic Data'!AZ34*annualizationFactor</f>
        <v>1.0576375320816495E-3</v>
      </c>
      <c r="Y296" s="749">
        <f>$F$21*$H$8*'Traffic Data'!BA34*annualizationFactor</f>
        <v>1.0683913341407337E-3</v>
      </c>
      <c r="Z296" s="749">
        <f>$F$21*$H$8*'Traffic Data'!BB34*annualizationFactor</f>
        <v>1.0791759241811725E-3</v>
      </c>
      <c r="AA296" s="749">
        <f>$F$21*$H$8*'Traffic Data'!BC34*annualizationFactor</f>
        <v>1.0899297262402562E-3</v>
      </c>
      <c r="AB296" s="749">
        <f>$F$21*$H$8*'Traffic Data'!BD34*annualizationFactor</f>
        <v>1.1007143162806948E-3</v>
      </c>
      <c r="AC296" s="749">
        <f>$F$21*$H$8*'Traffic Data'!BE34*annualizationFactor</f>
        <v>1.1114681183397787E-3</v>
      </c>
      <c r="AD296" s="749">
        <f>$F$21*$H$8*'Traffic Data'!BF34*annualizationFactor</f>
        <v>1.1222219203988627E-3</v>
      </c>
      <c r="AE296" s="749">
        <f>$F$21*$H$8*'Traffic Data'!BG34*annualizationFactor</f>
        <v>1.1330065104393015E-3</v>
      </c>
      <c r="AF296" s="749">
        <f>$F$21*$H$8*'Traffic Data'!BH34*annualizationFactor</f>
        <v>1.1437603124983854E-3</v>
      </c>
      <c r="AG296" s="749">
        <f>$F$21*$H$8*'Traffic Data'!BI34*annualizationFactor</f>
        <v>1.1545141145574691E-3</v>
      </c>
      <c r="AH296" s="750">
        <f>$F$21*$H$8*'Traffic Data'!BJ34*annualizationFactor</f>
        <v>1.1652987045979082E-3</v>
      </c>
      <c r="AI296" s="40"/>
      <c r="AJ296" s="40"/>
      <c r="AK296" s="40"/>
      <c r="AL296" s="40"/>
      <c r="AM296" s="40"/>
    </row>
    <row r="297" spans="2:39" ht="21.9" customHeight="1" x14ac:dyDescent="0.25">
      <c r="B297" s="1332"/>
      <c r="C297" s="114" t="s">
        <v>320</v>
      </c>
      <c r="D297" s="114" t="s">
        <v>282</v>
      </c>
      <c r="E297" s="114" t="s">
        <v>19</v>
      </c>
      <c r="F297" s="114" t="s">
        <v>405</v>
      </c>
      <c r="G297" s="941"/>
      <c r="H297" s="941"/>
      <c r="I297" s="751">
        <f>$F$21*$H$8*'Traffic Data'!AK35*annualizationFactor</f>
        <v>0</v>
      </c>
      <c r="J297" s="751">
        <f>$F$21*$H$8*'Traffic Data'!AL35*annualizationFactor</f>
        <v>5.9842713389760009E-6</v>
      </c>
      <c r="K297" s="751">
        <f>$F$21*$H$8*'Traffic Data'!AM35*annualizationFactor</f>
        <v>1.7138186836180205E-5</v>
      </c>
      <c r="L297" s="751">
        <f>$F$21*$H$8*'Traffic Data'!AN35*annualizationFactor</f>
        <v>3.8525571217627209E-5</v>
      </c>
      <c r="M297" s="751">
        <f>$F$21*$H$8*'Traffic Data'!AO35*annualizationFactor</f>
        <v>5.992481467337402E-5</v>
      </c>
      <c r="N297" s="751">
        <f>$F$21*$H$8*'Traffic Data'!AP35*annualizationFactor</f>
        <v>8.1324970365605396E-5</v>
      </c>
      <c r="O297" s="751">
        <f>$F$21*$H$8*'Traffic Data'!AQ35*annualizationFactor</f>
        <v>1.0271235474705241E-4</v>
      </c>
      <c r="P297" s="751">
        <f>$F$21*$H$8*'Traffic Data'!AR35*annualizationFactor</f>
        <v>1.2412436951358361E-4</v>
      </c>
      <c r="Q297" s="751">
        <f>$F$21*$H$8*'Traffic Data'!AS35*annualizationFactor</f>
        <v>1.4063584988484364E-4</v>
      </c>
      <c r="R297" s="751">
        <f>$F$21*$H$8*'Traffic Data'!AT35*annualizationFactor</f>
        <v>1.5715006696555745E-4</v>
      </c>
      <c r="S297" s="751">
        <f>$F$21*$H$8*'Traffic Data'!AU35*annualizationFactor</f>
        <v>1.7366154733681742E-4</v>
      </c>
      <c r="T297" s="751">
        <f>$F$21*$H$8*'Traffic Data'!AV35*annualizationFactor</f>
        <v>1.9017302770807742E-4</v>
      </c>
      <c r="U297" s="751">
        <f>$F$21*$H$8*'Traffic Data'!AW35*annualizationFactor</f>
        <v>2.067064017549678E-4</v>
      </c>
      <c r="V297" s="751">
        <f>$F$21*$H$8*'Traffic Data'!AX35*annualizationFactor</f>
        <v>2.1490102209612962E-4</v>
      </c>
      <c r="W297" s="751">
        <f>$F$21*$H$8*'Traffic Data'!AY35*annualizationFactor</f>
        <v>2.1713144030097666E-4</v>
      </c>
      <c r="X297" s="751">
        <f>$F$21*$H$8*'Traffic Data'!AZ35*annualizationFactor</f>
        <v>2.1936185850582364E-4</v>
      </c>
      <c r="Y297" s="751">
        <f>$F$21*$H$8*'Traffic Data'!BA35*annualizationFactor</f>
        <v>2.2159227671067068E-4</v>
      </c>
      <c r="Z297" s="751">
        <f>$F$21*$H$8*'Traffic Data'!BB35*annualizationFactor</f>
        <v>2.2382908057090988E-4</v>
      </c>
      <c r="AA297" s="751">
        <f>$F$21*$H$8*'Traffic Data'!BC35*annualizationFactor</f>
        <v>2.2605949877575683E-4</v>
      </c>
      <c r="AB297" s="751">
        <f>$F$21*$H$8*'Traffic Data'!BD35*annualizationFactor</f>
        <v>2.2829630263599597E-4</v>
      </c>
      <c r="AC297" s="751">
        <f>$F$21*$H$8*'Traffic Data'!BE35*annualizationFactor</f>
        <v>2.3052672084084301E-4</v>
      </c>
      <c r="AD297" s="751">
        <f>$F$21*$H$8*'Traffic Data'!BF35*annualizationFactor</f>
        <v>2.3275713904569002E-4</v>
      </c>
      <c r="AE297" s="751">
        <f>$F$21*$H$8*'Traffic Data'!BG35*annualizationFactor</f>
        <v>2.3499394290592922E-4</v>
      </c>
      <c r="AF297" s="751">
        <f>$F$21*$H$8*'Traffic Data'!BH35*annualizationFactor</f>
        <v>2.372243611107762E-4</v>
      </c>
      <c r="AG297" s="751">
        <f>$F$21*$H$8*'Traffic Data'!BI35*annualizationFactor</f>
        <v>2.3945477931562324E-4</v>
      </c>
      <c r="AH297" s="752">
        <f>$F$21*$H$8*'Traffic Data'!BJ35*annualizationFactor</f>
        <v>2.4169158317586241E-4</v>
      </c>
      <c r="AI297" s="40"/>
      <c r="AJ297" s="40"/>
      <c r="AK297" s="40"/>
      <c r="AL297" s="40"/>
      <c r="AM297" s="40"/>
    </row>
    <row r="298" spans="2:39" ht="21.9" customHeight="1" x14ac:dyDescent="0.25">
      <c r="B298" s="1332"/>
      <c r="C298" s="114" t="s">
        <v>282</v>
      </c>
      <c r="D298" s="114" t="s">
        <v>321</v>
      </c>
      <c r="E298" s="114" t="s">
        <v>19</v>
      </c>
      <c r="F298" s="114" t="s">
        <v>405</v>
      </c>
      <c r="G298" s="941"/>
      <c r="H298" s="941"/>
      <c r="I298" s="751">
        <f>$F$21*$H$8*'Traffic Data'!AK36*annualizationFactor</f>
        <v>0</v>
      </c>
      <c r="J298" s="751">
        <f>$F$21*$H$8*'Traffic Data'!AL36*annualizationFactor</f>
        <v>1.5601850276616001E-5</v>
      </c>
      <c r="K298" s="751">
        <f>$F$21*$H$8*'Traffic Data'!AM36*annualizationFactor</f>
        <v>4.4681701394326958E-5</v>
      </c>
      <c r="L298" s="751">
        <f>$F$21*$H$8*'Traffic Data'!AN36*annualizationFactor</f>
        <v>1.004416678173852E-4</v>
      </c>
      <c r="M298" s="751">
        <f>$F$21*$H$8*'Traffic Data'!AO36*annualizationFactor</f>
        <v>1.5623255254129653E-4</v>
      </c>
      <c r="N298" s="751">
        <f>$F$21*$H$8*'Traffic Data'!AP36*annualizationFactor</f>
        <v>2.120258155960426E-4</v>
      </c>
      <c r="O298" s="751">
        <f>$F$21*$H$8*'Traffic Data'!AQ36*annualizationFactor</f>
        <v>2.6778578201910088E-4</v>
      </c>
      <c r="P298" s="751">
        <f>$F$21*$H$8*'Traffic Data'!AR36*annualizationFactor</f>
        <v>3.2360996337470009E-4</v>
      </c>
      <c r="Q298" s="751">
        <f>$F$21*$H$8*'Traffic Data'!AS36*annualizationFactor</f>
        <v>3.6665775148548516E-4</v>
      </c>
      <c r="R298" s="751">
        <f>$F$21*$H$8*'Traffic Data'!AT36*annualizationFactor</f>
        <v>4.0971267458877472E-4</v>
      </c>
      <c r="S298" s="751">
        <f>$F$21*$H$8*'Traffic Data'!AU36*annualizationFactor</f>
        <v>4.5276046269955962E-4</v>
      </c>
      <c r="T298" s="751">
        <f>$F$21*$H$8*'Traffic Data'!AV36*annualizationFactor</f>
        <v>4.9580825081034464E-4</v>
      </c>
      <c r="U298" s="751">
        <f>$F$21*$H$8*'Traffic Data'!AW36*annualizationFactor</f>
        <v>5.3891311886116616E-4</v>
      </c>
      <c r="V298" s="751">
        <f>$F$21*$H$8*'Traffic Data'!AX36*annualizationFactor</f>
        <v>5.6027766475062355E-4</v>
      </c>
      <c r="W298" s="751">
        <f>$F$21*$H$8*'Traffic Data'!AY36*annualizationFactor</f>
        <v>5.6609268364183197E-4</v>
      </c>
      <c r="X298" s="751">
        <f>$F$21*$H$8*'Traffic Data'!AZ36*annualizationFactor</f>
        <v>5.7190770253304018E-4</v>
      </c>
      <c r="Y298" s="751">
        <f>$F$21*$H$8*'Traffic Data'!BA36*annualizationFactor</f>
        <v>5.7772272142424838E-4</v>
      </c>
      <c r="Z298" s="751">
        <f>$F$21*$H$8*'Traffic Data'!BB36*annualizationFactor</f>
        <v>5.8355438863130066E-4</v>
      </c>
      <c r="AA298" s="751">
        <f>$F$21*$H$8*'Traffic Data'!BC36*annualizationFactor</f>
        <v>5.8936940752250886E-4</v>
      </c>
      <c r="AB298" s="751">
        <f>$F$21*$H$8*'Traffic Data'!BD36*annualizationFactor</f>
        <v>5.9520107472956093E-4</v>
      </c>
      <c r="AC298" s="751">
        <f>$F$21*$H$8*'Traffic Data'!BE36*annualizationFactor</f>
        <v>6.0101609362076924E-4</v>
      </c>
      <c r="AD298" s="751">
        <f>$F$21*$H$8*'Traffic Data'!BF36*annualizationFactor</f>
        <v>6.0683111251197744E-4</v>
      </c>
      <c r="AE298" s="751">
        <f>$F$21*$H$8*'Traffic Data'!BG36*annualizationFactor</f>
        <v>6.1266277971902961E-4</v>
      </c>
      <c r="AF298" s="751">
        <f>$F$21*$H$8*'Traffic Data'!BH36*annualizationFactor</f>
        <v>6.1847779861023792E-4</v>
      </c>
      <c r="AG298" s="751">
        <f>$F$21*$H$8*'Traffic Data'!BI36*annualizationFactor</f>
        <v>6.2429281750144613E-4</v>
      </c>
      <c r="AH298" s="752">
        <f>$F$21*$H$8*'Traffic Data'!BJ36*annualizationFactor</f>
        <v>6.301244847084983E-4</v>
      </c>
      <c r="AI298" s="40"/>
      <c r="AJ298" s="40"/>
      <c r="AK298" s="40"/>
      <c r="AL298" s="40"/>
      <c r="AM298" s="40"/>
    </row>
    <row r="299" spans="2:39" ht="21.9" customHeight="1" x14ac:dyDescent="0.25">
      <c r="B299" s="1332"/>
      <c r="C299" s="250" t="s">
        <v>321</v>
      </c>
      <c r="D299" s="250" t="s">
        <v>274</v>
      </c>
      <c r="E299" s="114" t="s">
        <v>19</v>
      </c>
      <c r="F299" s="250" t="s">
        <v>405</v>
      </c>
      <c r="G299" s="941"/>
      <c r="H299" s="941"/>
      <c r="I299" s="751">
        <f>$F$21*$H$8*'Traffic Data'!AK37*annualizationFactor</f>
        <v>2.0525320903500002E-5</v>
      </c>
      <c r="J299" s="751">
        <f>$F$21*$H$8*'Traffic Data'!AL37*annualizationFactor</f>
        <v>3.0597095870847453E-5</v>
      </c>
      <c r="K299" s="751">
        <f>$F$21*$H$8*'Traffic Data'!AM37*annualizationFactor</f>
        <v>4.3078543512265803E-5</v>
      </c>
      <c r="L299" s="751">
        <f>$F$21*$H$8*'Traffic Data'!AN37*annualizationFactor</f>
        <v>7.4631435159852892E-5</v>
      </c>
      <c r="M299" s="751">
        <f>$F$21*$H$8*'Traffic Data'!AO37*annualizationFactor</f>
        <v>1.0618774769425725E-4</v>
      </c>
      <c r="N299" s="751">
        <f>$F$21*$H$8*'Traffic Data'!AP37*annualizationFactor</f>
        <v>1.3775979630802101E-4</v>
      </c>
      <c r="O299" s="751">
        <f>$F$21*$H$8*'Traffic Data'!AQ37*annualizationFactor</f>
        <v>1.6931268795560808E-4</v>
      </c>
      <c r="P299" s="751">
        <f>$F$21*$H$8*'Traffic Data'!AR37*annualizationFactor</f>
        <v>2.0085531694274343E-4</v>
      </c>
      <c r="Q299" s="751">
        <f>$F$21*$H$8*'Traffic Data'!AS37*annualizationFactor</f>
        <v>2.8114421472096436E-4</v>
      </c>
      <c r="R299" s="751">
        <f>$F$21*$H$8*'Traffic Data'!AT37*annualizationFactor</f>
        <v>3.6140164034046665E-4</v>
      </c>
      <c r="S299" s="751">
        <f>$F$21*$H$8*'Traffic Data'!AU37*annualizationFactor</f>
        <v>4.4165290836369791E-4</v>
      </c>
      <c r="T299" s="751">
        <f>$F$21*$H$8*'Traffic Data'!AV37*annualizationFactor</f>
        <v>5.2194180614191879E-4</v>
      </c>
      <c r="U299" s="751">
        <f>$F$21*$H$8*'Traffic Data'!AW37*annualizationFactor</f>
        <v>6.0222044125968796E-4</v>
      </c>
      <c r="V299" s="751">
        <f>$F$21*$H$8*'Traffic Data'!AX37*annualizationFactor</f>
        <v>6.6341394882401953E-4</v>
      </c>
      <c r="W299" s="751">
        <f>$F$21*$H$8*'Traffic Data'!AY37*annualizationFactor</f>
        <v>6.7348572379136683E-4</v>
      </c>
      <c r="X299" s="751">
        <f>$F$21*$H$8*'Traffic Data'!AZ37*annualizationFactor</f>
        <v>6.8355749875871434E-4</v>
      </c>
      <c r="Y299" s="751">
        <f>$F$21*$H$8*'Traffic Data'!BA37*annualizationFactor</f>
        <v>6.9362927372606186E-4</v>
      </c>
      <c r="Z299" s="751">
        <f>$F$21*$H$8*'Traffic Data'!BB37*annualizationFactor</f>
        <v>7.0367026071205404E-4</v>
      </c>
      <c r="AA299" s="751">
        <f>$F$21*$H$8*'Traffic Data'!BC37*annualizationFactor</f>
        <v>7.1374203567940156E-4</v>
      </c>
      <c r="AB299" s="751">
        <f>$F$21*$H$8*'Traffic Data'!BD37*annualizationFactor</f>
        <v>7.2378302266539385E-4</v>
      </c>
      <c r="AC299" s="751">
        <f>$F$21*$H$8*'Traffic Data'!BE37*annualizationFactor</f>
        <v>7.3385479763274125E-4</v>
      </c>
      <c r="AD299" s="751">
        <f>$F$21*$H$8*'Traffic Data'!BF37*annualizationFactor</f>
        <v>7.4392657260008866E-4</v>
      </c>
      <c r="AE299" s="751">
        <f>$F$21*$H$8*'Traffic Data'!BG37*annualizationFactor</f>
        <v>7.5396755958608073E-4</v>
      </c>
      <c r="AF299" s="751">
        <f>$F$21*$H$8*'Traffic Data'!BH37*annualizationFactor</f>
        <v>7.6403933455342836E-4</v>
      </c>
      <c r="AG299" s="751">
        <f>$F$21*$H$8*'Traffic Data'!BI37*annualizationFactor</f>
        <v>7.7411110952077566E-4</v>
      </c>
      <c r="AH299" s="752">
        <f>$F$21*$H$8*'Traffic Data'!BJ37*annualizationFactor</f>
        <v>7.8415209650676784E-4</v>
      </c>
      <c r="AI299" s="40"/>
      <c r="AJ299" s="40"/>
      <c r="AK299" s="40"/>
      <c r="AL299" s="40"/>
      <c r="AM299" s="40"/>
    </row>
    <row r="300" spans="2:39" ht="21.9" customHeight="1" x14ac:dyDescent="0.25">
      <c r="B300" s="469" t="s">
        <v>282</v>
      </c>
      <c r="C300" s="114" t="s">
        <v>308</v>
      </c>
      <c r="D300" s="114" t="s">
        <v>324</v>
      </c>
      <c r="E300" s="114" t="s">
        <v>19</v>
      </c>
      <c r="F300" s="250" t="s">
        <v>405</v>
      </c>
      <c r="G300" s="941"/>
      <c r="H300" s="941"/>
      <c r="I300" s="749">
        <f>$F$21*$J$8*'Traffic Data'!AK38*annualizationFactor</f>
        <v>1.1728754802E-4</v>
      </c>
      <c r="J300" s="749">
        <f>$F$21*$J$8*'Traffic Data'!AL38*annualizationFactor</f>
        <v>1.2449942902825203E-4</v>
      </c>
      <c r="K300" s="749">
        <f>$F$21*$J$8*'Traffic Data'!AM38*annualizationFactor</f>
        <v>1.3404337744963503E-4</v>
      </c>
      <c r="L300" s="749">
        <f>$F$21*$J$8*'Traffic Data'!AN38*annualizationFactor</f>
        <v>1.4672672257301999E-4</v>
      </c>
      <c r="M300" s="749">
        <f>$F$21*$J$8*'Traffic Data'!AO38*annualizationFactor</f>
        <v>1.5941397728133901E-4</v>
      </c>
      <c r="N300" s="749">
        <f>$F$21*$J$8*'Traffic Data'!AP38*annualizationFactor</f>
        <v>1.7212859908419603E-4</v>
      </c>
      <c r="O300" s="749">
        <f>$F$21*$J$8*'Traffic Data'!AQ38*annualizationFactor</f>
        <v>1.8481194420758097E-4</v>
      </c>
      <c r="P300" s="749">
        <f>$F$21*$J$8*'Traffic Data'!AR38*annualizationFactor</f>
        <v>1.97508972878235E-4</v>
      </c>
      <c r="Q300" s="749">
        <f>$F$21*$J$8*'Traffic Data'!AS38*annualizationFactor</f>
        <v>2.09086557062787E-4</v>
      </c>
      <c r="R300" s="749">
        <f>$F$21*$J$8*'Traffic Data'!AT38*annualizationFactor</f>
        <v>2.2065436728500404E-4</v>
      </c>
      <c r="S300" s="749">
        <f>$F$21*$J$8*'Traffic Data'!AU38*annualizationFactor</f>
        <v>2.32232603067045E-4</v>
      </c>
      <c r="T300" s="749">
        <f>$F$21*$J$8*'Traffic Data'!AV38*annualizationFactor</f>
        <v>2.43810187251597E-4</v>
      </c>
      <c r="U300" s="749">
        <f>$F$21*$J$8*'Traffic Data'!AW38*annualizationFactor</f>
        <v>2.5542882207795598E-4</v>
      </c>
      <c r="V300" s="749">
        <f>$F$21*$J$8*'Traffic Data'!AX38*annualizationFactor</f>
        <v>2.6385788719566003E-4</v>
      </c>
      <c r="W300" s="749">
        <f>$F$21*$J$8*'Traffic Data'!AY38*annualizationFactor</f>
        <v>2.7106976820391203E-4</v>
      </c>
      <c r="X300" s="749">
        <f>$F$21*$J$8*'Traffic Data'!AZ38*annualizationFactor</f>
        <v>2.7828164921216397E-4</v>
      </c>
      <c r="Y300" s="749">
        <f>$F$21*$J$8*'Traffic Data'!BA38*annualizationFactor</f>
        <v>2.8549353022041602E-4</v>
      </c>
      <c r="Z300" s="749">
        <f>$F$21*$J$8*'Traffic Data'!BB38*annualizationFactor</f>
        <v>2.9271323039853603E-4</v>
      </c>
      <c r="AA300" s="749">
        <f>$F$21*$J$8*'Traffic Data'!BC38*annualizationFactor</f>
        <v>2.9992511140678797E-4</v>
      </c>
      <c r="AB300" s="749">
        <f>$F$21*$J$8*'Traffic Data'!BD38*annualizationFactor</f>
        <v>3.0715458554724304E-4</v>
      </c>
      <c r="AC300" s="749">
        <f>$F$21*$J$8*'Traffic Data'!BE38*annualizationFactor</f>
        <v>3.1436646655549498E-4</v>
      </c>
      <c r="AD300" s="749">
        <f>$F$21*$J$8*'Traffic Data'!BF38*annualizationFactor</f>
        <v>3.2157834756374703E-4</v>
      </c>
      <c r="AE300" s="749">
        <f>$F$21*$J$8*'Traffic Data'!BG38*annualizationFactor</f>
        <v>3.2879804774186693E-4</v>
      </c>
      <c r="AF300" s="749">
        <f>$F$21*$J$8*'Traffic Data'!BH38*annualizationFactor</f>
        <v>3.3600992875011904E-4</v>
      </c>
      <c r="AG300" s="749">
        <f>$F$21*$J$8*'Traffic Data'!BI38*annualizationFactor</f>
        <v>3.4322180975837103E-4</v>
      </c>
      <c r="AH300" s="750">
        <f>$F$21*$J$8*'Traffic Data'!BJ38*annualizationFactor</f>
        <v>3.5045128389882599E-4</v>
      </c>
      <c r="AI300" s="40"/>
      <c r="AJ300" s="40"/>
      <c r="AK300" s="40"/>
      <c r="AL300" s="40"/>
      <c r="AM300" s="40"/>
    </row>
    <row r="301" spans="2:39" ht="21.9" customHeight="1" x14ac:dyDescent="0.25">
      <c r="B301" s="756" t="s">
        <v>321</v>
      </c>
      <c r="C301" s="273" t="s">
        <v>318</v>
      </c>
      <c r="D301" s="273" t="s">
        <v>308</v>
      </c>
      <c r="E301" s="273" t="s">
        <v>19</v>
      </c>
      <c r="F301" s="273" t="s">
        <v>405</v>
      </c>
      <c r="G301" s="754"/>
      <c r="H301" s="754"/>
      <c r="I301" s="749">
        <f>$F$21*$K$8*'Traffic Data'!AK39*annualizationFactor</f>
        <v>0</v>
      </c>
      <c r="J301" s="749">
        <f>$F$21*$K$8*'Traffic Data'!AL39*annualizationFactor</f>
        <v>0</v>
      </c>
      <c r="K301" s="749">
        <f>$F$21*$K$8*'Traffic Data'!AM39*annualizationFactor</f>
        <v>0</v>
      </c>
      <c r="L301" s="749">
        <f>$F$21*$K$8*'Traffic Data'!AN39*annualizationFactor</f>
        <v>0</v>
      </c>
      <c r="M301" s="749">
        <f>$F$21*$K$8*'Traffic Data'!AO39*annualizationFactor</f>
        <v>0</v>
      </c>
      <c r="N301" s="749">
        <f>$F$21*$K$8*'Traffic Data'!AP39*annualizationFactor</f>
        <v>0</v>
      </c>
      <c r="O301" s="749">
        <f>$F$21*$K$8*'Traffic Data'!AQ39*annualizationFactor</f>
        <v>0</v>
      </c>
      <c r="P301" s="749">
        <f>$F$21*$K$8*'Traffic Data'!AR39*annualizationFactor</f>
        <v>0</v>
      </c>
      <c r="Q301" s="749">
        <f>$F$21*$K$8*'Traffic Data'!AS39*annualizationFactor</f>
        <v>0</v>
      </c>
      <c r="R301" s="749">
        <f>$F$21*$K$8*'Traffic Data'!AT39*annualizationFactor</f>
        <v>0</v>
      </c>
      <c r="S301" s="749">
        <f>$F$21*$K$8*'Traffic Data'!AU39*annualizationFactor</f>
        <v>0</v>
      </c>
      <c r="T301" s="749">
        <f>$F$21*$K$8*'Traffic Data'!AV39*annualizationFactor</f>
        <v>0</v>
      </c>
      <c r="U301" s="749">
        <f>$F$21*$K$8*'Traffic Data'!AW39*annualizationFactor</f>
        <v>0</v>
      </c>
      <c r="V301" s="749">
        <f>$F$21*$K$8*'Traffic Data'!AX39*annualizationFactor</f>
        <v>0</v>
      </c>
      <c r="W301" s="749">
        <f>$F$21*$K$8*'Traffic Data'!AY39*annualizationFactor</f>
        <v>0</v>
      </c>
      <c r="X301" s="749">
        <f>$F$21*$K$8*'Traffic Data'!AZ39*annualizationFactor</f>
        <v>0</v>
      </c>
      <c r="Y301" s="749">
        <f>$F$21*$K$8*'Traffic Data'!BA39*annualizationFactor</f>
        <v>0</v>
      </c>
      <c r="Z301" s="749">
        <f>$F$21*$K$8*'Traffic Data'!BB39*annualizationFactor</f>
        <v>0</v>
      </c>
      <c r="AA301" s="749">
        <f>$F$21*$K$8*'Traffic Data'!BC39*annualizationFactor</f>
        <v>0</v>
      </c>
      <c r="AB301" s="749">
        <f>$F$21*$K$8*'Traffic Data'!BD39*annualizationFactor</f>
        <v>0</v>
      </c>
      <c r="AC301" s="749">
        <f>$F$21*$K$8*'Traffic Data'!BE39*annualizationFactor</f>
        <v>0</v>
      </c>
      <c r="AD301" s="749">
        <f>$F$21*$K$8*'Traffic Data'!BF39*annualizationFactor</f>
        <v>0</v>
      </c>
      <c r="AE301" s="749">
        <f>$F$21*$K$8*'Traffic Data'!BG39*annualizationFactor</f>
        <v>0</v>
      </c>
      <c r="AF301" s="749">
        <f>$F$21*$K$8*'Traffic Data'!BH39*annualizationFactor</f>
        <v>0</v>
      </c>
      <c r="AG301" s="749">
        <f>$F$21*$K$8*'Traffic Data'!BI39*annualizationFactor</f>
        <v>0</v>
      </c>
      <c r="AH301" s="750">
        <f>$F$21*$K$8*'Traffic Data'!BJ39*annualizationFactor</f>
        <v>0</v>
      </c>
      <c r="AI301" s="40"/>
      <c r="AJ301" s="40"/>
      <c r="AK301" s="40"/>
      <c r="AL301" s="40"/>
      <c r="AM301" s="40"/>
    </row>
    <row r="302" spans="2:39" ht="21.9" customHeight="1" x14ac:dyDescent="0.25">
      <c r="B302" s="756" t="s">
        <v>333</v>
      </c>
      <c r="C302" s="273" t="s">
        <v>319</v>
      </c>
      <c r="D302" s="273" t="s">
        <v>308</v>
      </c>
      <c r="E302" s="114" t="s">
        <v>19</v>
      </c>
      <c r="F302" s="273" t="s">
        <v>405</v>
      </c>
      <c r="G302" s="941"/>
      <c r="H302" s="941"/>
      <c r="I302" s="749">
        <f>$F$21*$L$8*'Traffic Data'!AK40*annualizationFactor</f>
        <v>2.1751508905527275E-4</v>
      </c>
      <c r="J302" s="749">
        <f>$F$21*$L$8*'Traffic Data'!AL40*annualizationFactor</f>
        <v>2.2050169206971776E-4</v>
      </c>
      <c r="K302" s="749">
        <f>$F$21*$L$8*'Traffic Data'!AM40*annualizationFactor</f>
        <v>2.2566405018329625E-4</v>
      </c>
      <c r="L302" s="749">
        <f>$F$21*$L$8*'Traffic Data'!AN40*annualizationFactor</f>
        <v>2.3275141683501392E-4</v>
      </c>
      <c r="M302" s="749">
        <f>$F$21*$L$8*'Traffic Data'!AO40*annualizationFactor</f>
        <v>2.3984180452963507E-4</v>
      </c>
      <c r="N302" s="749">
        <f>$F$21*$L$8*'Traffic Data'!AP40*annualizationFactor</f>
        <v>2.4694246377012831E-4</v>
      </c>
      <c r="O302" s="749">
        <f>$F$21*$L$8*'Traffic Data'!AQ40*annualizationFactor</f>
        <v>2.5402983042184594E-4</v>
      </c>
      <c r="P302" s="749">
        <f>$F$21*$L$8*'Traffic Data'!AR40*annualizationFactor</f>
        <v>2.6114196962537267E-4</v>
      </c>
      <c r="Q302" s="749">
        <f>$F$21*$L$8*'Traffic Data'!AS40*annualizationFactor</f>
        <v>2.6607412426970096E-4</v>
      </c>
      <c r="R302" s="749">
        <f>$F$21*$L$8*'Traffic Data'!AT40*annualizationFactor</f>
        <v>2.7100688312260994E-4</v>
      </c>
      <c r="S302" s="749">
        <f>$F$21*$L$8*'Traffic Data'!AU40*annualizationFactor</f>
        <v>2.7594024618409971E-4</v>
      </c>
      <c r="T302" s="749">
        <f>$F$21*$L$8*'Traffic Data'!AV40*annualizationFactor</f>
        <v>2.8087240082842806E-4</v>
      </c>
      <c r="U302" s="749">
        <f>$F$21*$L$8*'Traffic Data'!AW40*annualizationFactor</f>
        <v>2.8583959957043743E-4</v>
      </c>
      <c r="V302" s="749">
        <f>$F$21*$L$8*'Traffic Data'!AX40*annualizationFactor</f>
        <v>2.8882620258488247E-4</v>
      </c>
      <c r="W302" s="749">
        <f>$F$21*$L$8*'Traffic Data'!AY40*annualizationFactor</f>
        <v>2.9181280559932744E-4</v>
      </c>
      <c r="X302" s="749">
        <f>$F$21*$L$8*'Traffic Data'!AZ40*annualizationFactor</f>
        <v>2.9479940861377259E-4</v>
      </c>
      <c r="Y302" s="749">
        <f>$F$21*$L$8*'Traffic Data'!BA40*annualizationFactor</f>
        <v>2.9778601162821751E-4</v>
      </c>
      <c r="Z302" s="749">
        <f>$F$21*$L$8*'Traffic Data'!BB40*annualizationFactor</f>
        <v>3.007931577344068E-4</v>
      </c>
      <c r="AA302" s="749">
        <f>$F$21*$L$8*'Traffic Data'!BC40*annualizationFactor</f>
        <v>3.0377976074885178E-4</v>
      </c>
      <c r="AB302" s="749">
        <f>$F$21*$L$8*'Traffic Data'!BD40*annualizationFactor</f>
        <v>3.0677784372633033E-4</v>
      </c>
      <c r="AC302" s="749">
        <f>$F$21*$L$8*'Traffic Data'!BE40*annualizationFactor</f>
        <v>3.0976444674077531E-4</v>
      </c>
      <c r="AD302" s="749">
        <f>$F$21*$L$8*'Traffic Data'!BF40*annualizationFactor</f>
        <v>3.1275104975522045E-4</v>
      </c>
      <c r="AE302" s="749">
        <f>$F$21*$L$8*'Traffic Data'!BG40*annualizationFactor</f>
        <v>3.1575819586140952E-4</v>
      </c>
      <c r="AF302" s="749">
        <f>$F$21*$L$8*'Traffic Data'!BH40*annualizationFactor</f>
        <v>3.1874479887585461E-4</v>
      </c>
      <c r="AG302" s="749">
        <f>$F$21*$L$8*'Traffic Data'!BI40*annualizationFactor</f>
        <v>3.2173140189029959E-4</v>
      </c>
      <c r="AH302" s="750">
        <f>$F$21*$L$8*'Traffic Data'!BJ40*annualizationFactor</f>
        <v>3.2472948486777809E-4</v>
      </c>
      <c r="AI302" s="40"/>
      <c r="AJ302" s="40"/>
      <c r="AK302" s="40"/>
      <c r="AL302" s="40"/>
      <c r="AM302" s="40"/>
    </row>
    <row r="303" spans="2:39" ht="21.9" customHeight="1" x14ac:dyDescent="0.25">
      <c r="B303" s="469" t="s">
        <v>319</v>
      </c>
      <c r="C303" s="114" t="s">
        <v>276</v>
      </c>
      <c r="D303" s="114" t="s">
        <v>333</v>
      </c>
      <c r="E303" s="217" t="s">
        <v>19</v>
      </c>
      <c r="F303" s="114" t="s">
        <v>405</v>
      </c>
      <c r="G303" s="749"/>
      <c r="H303" s="749"/>
      <c r="I303" s="749">
        <f>$F$21*$M$8*'Traffic Data'!AK41*annualizationFactor</f>
        <v>7.8117653510795465E-4</v>
      </c>
      <c r="J303" s="749">
        <f>$F$21*$M$8*'Traffic Data'!AL41*annualizationFactor</f>
        <v>8.0369551108551191E-4</v>
      </c>
      <c r="K303" s="749">
        <f>$F$21*$M$8*'Traffic Data'!AM41*annualizationFactor</f>
        <v>8.2806978133395019E-4</v>
      </c>
      <c r="L303" s="749">
        <f>$F$21*$M$8*'Traffic Data'!AN41*annualizationFactor</f>
        <v>8.6040658400474395E-4</v>
      </c>
      <c r="M303" s="749">
        <f>$F$21*$M$8*'Traffic Data'!AO41*annualizationFactor</f>
        <v>8.9274885491128322E-4</v>
      </c>
      <c r="N303" s="749">
        <f>$F$21*$M$8*'Traffic Data'!AP41*annualizationFactor</f>
        <v>9.2510440581891965E-4</v>
      </c>
      <c r="O303" s="749">
        <f>$F$21*$M$8*'Traffic Data'!AQ41*annualizationFactor</f>
        <v>9.5744120848971373E-4</v>
      </c>
      <c r="P303" s="749">
        <f>$F$21*$M$8*'Traffic Data'!AR41*annualizationFactor</f>
        <v>9.8978660410239364E-4</v>
      </c>
      <c r="Q303" s="749">
        <f>$F$21*$M$8*'Traffic Data'!AS41*annualizationFactor</f>
        <v>1.0253785693949823E-3</v>
      </c>
      <c r="R303" s="749">
        <f>$F$21*$M$8*'Traffic Data'!AT41*annualizationFactor</f>
        <v>1.060958817039544E-3</v>
      </c>
      <c r="S303" s="749">
        <f>$F$21*$M$8*'Traffic Data'!AU41*annualizationFactor</f>
        <v>1.0965507823321328E-3</v>
      </c>
      <c r="T303" s="749">
        <f>$F$21*$M$8*'Traffic Data'!AV41*annualizationFactor</f>
        <v>1.1321427476247213E-3</v>
      </c>
      <c r="U303" s="749">
        <f>$F$21*$M$8*'Traffic Data'!AW41*annualizationFactor</f>
        <v>1.167755023507223E-3</v>
      </c>
      <c r="V303" s="749">
        <f>$F$21*$M$8*'Traffic Data'!AX41*annualizationFactor</f>
        <v>1.1953813316713155E-3</v>
      </c>
      <c r="W303" s="749">
        <f>$F$21*$M$8*'Traffic Data'!AY41*annualizationFactor</f>
        <v>1.2179003076488728E-3</v>
      </c>
      <c r="X303" s="749">
        <f>$F$21*$M$8*'Traffic Data'!AZ41*annualizationFactor</f>
        <v>1.2404192836264301E-3</v>
      </c>
      <c r="Y303" s="749">
        <f>$F$21*$M$8*'Traffic Data'!BA41*annualizationFactor</f>
        <v>1.2629382596039869E-3</v>
      </c>
      <c r="Z303" s="749">
        <f>$F$21*$M$8*'Traffic Data'!BB41*annualizationFactor</f>
        <v>1.2854548920519385E-3</v>
      </c>
      <c r="AA303" s="749">
        <f>$F$21*$M$8*'Traffic Data'!BC41*annualizationFactor</f>
        <v>1.3079738680294951E-3</v>
      </c>
      <c r="AB303" s="749">
        <f>$F$21*$M$8*'Traffic Data'!BD41*annualizationFactor</f>
        <v>1.3304905004774465E-3</v>
      </c>
      <c r="AC303" s="749">
        <f>$F$21*$M$8*'Traffic Data'!BE41*annualizationFactor</f>
        <v>1.3530094764550042E-3</v>
      </c>
      <c r="AD303" s="749">
        <f>$F$21*$M$8*'Traffic Data'!BF41*annualizationFactor</f>
        <v>1.3755284524325615E-3</v>
      </c>
      <c r="AE303" s="749">
        <f>$F$21*$M$8*'Traffic Data'!BG41*annualizationFactor</f>
        <v>1.3980450848805129E-3</v>
      </c>
      <c r="AF303" s="749">
        <f>$F$21*$M$8*'Traffic Data'!BH41*annualizationFactor</f>
        <v>1.4205640608580699E-3</v>
      </c>
      <c r="AG303" s="749">
        <f>$F$21*$M$8*'Traffic Data'!BI41*annualizationFactor</f>
        <v>1.4430830368356269E-3</v>
      </c>
      <c r="AH303" s="750">
        <f>$F$21*$M$8*'Traffic Data'!BJ41*annualizationFactor</f>
        <v>1.4655996692835786E-3</v>
      </c>
      <c r="AI303" s="40"/>
      <c r="AJ303" s="40"/>
      <c r="AK303" s="40"/>
      <c r="AL303" s="40"/>
      <c r="AM303" s="40"/>
    </row>
    <row r="304" spans="2:39" ht="21.9" customHeight="1" x14ac:dyDescent="0.25">
      <c r="B304" s="469"/>
      <c r="C304" s="114" t="s">
        <v>333</v>
      </c>
      <c r="D304" s="114" t="s">
        <v>323</v>
      </c>
      <c r="E304" s="114" t="s">
        <v>19</v>
      </c>
      <c r="F304" s="114" t="s">
        <v>405</v>
      </c>
      <c r="G304" s="941"/>
      <c r="H304" s="941"/>
      <c r="I304" s="751">
        <f>$F$21*$M$8*'Traffic Data'!AK42*annualizationFactor</f>
        <v>1.1376793431047729E-4</v>
      </c>
      <c r="J304" s="751">
        <f>$F$21*$M$8*'Traffic Data'!AL42*annualizationFactor</f>
        <v>1.1699684791978913E-4</v>
      </c>
      <c r="K304" s="751">
        <f>$F$21*$M$8*'Traffic Data'!AM42*annualizationFactor</f>
        <v>1.2058008876661793E-4</v>
      </c>
      <c r="L304" s="751">
        <f>$F$21*$M$8*'Traffic Data'!AN42*annualizationFactor</f>
        <v>1.2560952963104345E-4</v>
      </c>
      <c r="M304" s="751">
        <f>$F$21*$M$8*'Traffic Data'!AO42*annualizationFactor</f>
        <v>1.3063986866337148E-4</v>
      </c>
      <c r="N304" s="751">
        <f>$F$21*$M$8*'Traffic Data'!AP42*annualizationFactor</f>
        <v>1.3567125555825229E-4</v>
      </c>
      <c r="O304" s="751">
        <f>$F$21*$M$8*'Traffic Data'!AQ42*annualizationFactor</f>
        <v>1.4070069642267789E-4</v>
      </c>
      <c r="P304" s="751">
        <f>$F$21*$M$8*'Traffic Data'!AR42*annualizationFactor</f>
        <v>1.4573043667640424E-4</v>
      </c>
      <c r="Q304" s="751">
        <f>$F$21*$M$8*'Traffic Data'!AS42*annualizationFactor</f>
        <v>1.5138365514908214E-4</v>
      </c>
      <c r="R304" s="751">
        <f>$F$21*$M$8*'Traffic Data'!AT42*annualizationFactor</f>
        <v>1.5703492759130464E-4</v>
      </c>
      <c r="S304" s="751">
        <f>$F$21*$M$8*'Traffic Data'!AU42*annualizationFactor</f>
        <v>1.6268814606398249E-4</v>
      </c>
      <c r="T304" s="751">
        <f>$F$21*$M$8*'Traffic Data'!AV42*annualizationFactor</f>
        <v>1.6834136453666035E-4</v>
      </c>
      <c r="U304" s="751">
        <f>$F$21*$M$8*'Traffic Data'!AW42*annualizationFactor</f>
        <v>1.7399548117724069E-4</v>
      </c>
      <c r="V304" s="751">
        <f>$F$21*$M$8*'Traffic Data'!AX42*annualizationFactor</f>
        <v>1.7820309841092341E-4</v>
      </c>
      <c r="W304" s="751">
        <f>$F$21*$M$8*'Traffic Data'!AY42*annualizationFactor</f>
        <v>1.8143201202023526E-4</v>
      </c>
      <c r="X304" s="751">
        <f>$F$21*$M$8*'Traffic Data'!AZ42*annualizationFactor</f>
        <v>1.8466092562954712E-4</v>
      </c>
      <c r="Y304" s="751">
        <f>$F$21*$M$8*'Traffic Data'!BA42*annualizationFactor</f>
        <v>1.8788983923885894E-4</v>
      </c>
      <c r="Z304" s="751">
        <f>$F$21*$M$8*'Traffic Data'!BB42*annualizationFactor</f>
        <v>1.9111710620701625E-4</v>
      </c>
      <c r="AA304" s="751">
        <f>$F$21*$M$8*'Traffic Data'!BC42*annualizationFactor</f>
        <v>1.9434601981632813E-4</v>
      </c>
      <c r="AB304" s="751">
        <f>$F$21*$M$8*'Traffic Data'!BD42*annualizationFactor</f>
        <v>1.9757328678448547E-4</v>
      </c>
      <c r="AC304" s="751">
        <f>$F$21*$M$8*'Traffic Data'!BE42*annualizationFactor</f>
        <v>2.0080220039379729E-4</v>
      </c>
      <c r="AD304" s="751">
        <f>$F$21*$M$8*'Traffic Data'!BF42*annualizationFactor</f>
        <v>2.0403111400310914E-4</v>
      </c>
      <c r="AE304" s="751">
        <f>$F$21*$M$8*'Traffic Data'!BG42*annualizationFactor</f>
        <v>2.0725838097126643E-4</v>
      </c>
      <c r="AF304" s="751">
        <f>$F$21*$M$8*'Traffic Data'!BH42*annualizationFactor</f>
        <v>2.1048729458057828E-4</v>
      </c>
      <c r="AG304" s="751">
        <f>$F$21*$M$8*'Traffic Data'!BI42*annualizationFactor</f>
        <v>2.137162081898901E-4</v>
      </c>
      <c r="AH304" s="752">
        <f>$F$21*$M$8*'Traffic Data'!BJ42*annualizationFactor</f>
        <v>2.1694347515804744E-4</v>
      </c>
      <c r="AI304" s="40"/>
      <c r="AJ304" s="40"/>
      <c r="AK304" s="40"/>
      <c r="AL304" s="40"/>
      <c r="AM304" s="40"/>
    </row>
    <row r="305" spans="2:39" ht="21.9" customHeight="1" x14ac:dyDescent="0.25">
      <c r="B305" s="469"/>
      <c r="C305" s="114" t="s">
        <v>323</v>
      </c>
      <c r="D305" s="114" t="s">
        <v>322</v>
      </c>
      <c r="E305" s="114" t="s">
        <v>19</v>
      </c>
      <c r="F305" s="114" t="s">
        <v>405</v>
      </c>
      <c r="G305" s="941"/>
      <c r="H305" s="941"/>
      <c r="I305" s="751">
        <f>$F$21*$M$8*'Traffic Data'!AK43*annualizationFactor</f>
        <v>2.8137164297727277E-5</v>
      </c>
      <c r="J305" s="751">
        <f>$F$21*$M$8*'Traffic Data'!AL43*annualizationFactor</f>
        <v>2.8935741447598298E-5</v>
      </c>
      <c r="K305" s="751">
        <f>$F$21*$M$8*'Traffic Data'!AM43*annualizationFactor</f>
        <v>2.9821951055222899E-5</v>
      </c>
      <c r="L305" s="751">
        <f>$F$21*$M$8*'Traffic Data'!AN43*annualizationFactor</f>
        <v>3.1065835852690056E-5</v>
      </c>
      <c r="M305" s="751">
        <f>$F$21*$M$8*'Traffic Data'!AO43*annualizationFactor</f>
        <v>3.2309942785664829E-5</v>
      </c>
      <c r="N305" s="751">
        <f>$F$21*$M$8*'Traffic Data'!AP43*annualizationFactor</f>
        <v>3.3554308876731813E-5</v>
      </c>
      <c r="O305" s="751">
        <f>$F$21*$M$8*'Traffic Data'!AQ43*annualizationFactor</f>
        <v>3.479819367419898E-5</v>
      </c>
      <c r="P305" s="751">
        <f>$F$21*$M$8*'Traffic Data'!AR43*annualizationFactor</f>
        <v>3.6042152516835348E-5</v>
      </c>
      <c r="Q305" s="751">
        <f>$F$21*$M$8*'Traffic Data'!AS43*annualizationFactor</f>
        <v>3.7440310424340178E-5</v>
      </c>
      <c r="R305" s="751">
        <f>$F$21*$M$8*'Traffic Data'!AT43*annualizationFactor</f>
        <v>3.8837987038245165E-5</v>
      </c>
      <c r="S305" s="751">
        <f>$F$21*$M$8*'Traffic Data'!AU43*annualizationFactor</f>
        <v>4.0236144945749995E-5</v>
      </c>
      <c r="T305" s="751">
        <f>$F$21*$M$8*'Traffic Data'!AV43*annualizationFactor</f>
        <v>4.1634302853254825E-5</v>
      </c>
      <c r="U305" s="751">
        <f>$F$21*$M$8*'Traffic Data'!AW43*annualizationFactor</f>
        <v>4.3032682896267276E-5</v>
      </c>
      <c r="V305" s="751">
        <f>$F$21*$M$8*'Traffic Data'!AX43*annualizationFactor</f>
        <v>4.4073313704267949E-5</v>
      </c>
      <c r="W305" s="751">
        <f>$F$21*$M$8*'Traffic Data'!AY43*annualizationFactor</f>
        <v>4.487189085413897E-5</v>
      </c>
      <c r="X305" s="751">
        <f>$F$21*$M$8*'Traffic Data'!AZ43*annualizationFactor</f>
        <v>4.5670468004010005E-5</v>
      </c>
      <c r="Y305" s="751">
        <f>$F$21*$M$8*'Traffic Data'!BA43*annualizationFactor</f>
        <v>4.6469045153881019E-5</v>
      </c>
      <c r="Z305" s="751">
        <f>$F$21*$M$8*'Traffic Data'!BB43*annualizationFactor</f>
        <v>4.7267215055321417E-5</v>
      </c>
      <c r="AA305" s="751">
        <f>$F$21*$M$8*'Traffic Data'!BC43*annualizationFactor</f>
        <v>4.8065792205192438E-5</v>
      </c>
      <c r="AB305" s="751">
        <f>$F$21*$M$8*'Traffic Data'!BD43*annualizationFactor</f>
        <v>4.8863962106632843E-5</v>
      </c>
      <c r="AC305" s="751">
        <f>$F$21*$M$8*'Traffic Data'!BE43*annualizationFactor</f>
        <v>4.9662539256503871E-5</v>
      </c>
      <c r="AD305" s="751">
        <f>$F$21*$M$8*'Traffic Data'!BF43*annualizationFactor</f>
        <v>5.0461116406374893E-5</v>
      </c>
      <c r="AE305" s="751">
        <f>$F$21*$M$8*'Traffic Data'!BG43*annualizationFactor</f>
        <v>5.1259286307815277E-5</v>
      </c>
      <c r="AF305" s="751">
        <f>$F$21*$M$8*'Traffic Data'!BH43*annualizationFactor</f>
        <v>5.2057863457686305E-5</v>
      </c>
      <c r="AG305" s="751">
        <f>$F$21*$M$8*'Traffic Data'!BI43*annualizationFactor</f>
        <v>5.2856440607557319E-5</v>
      </c>
      <c r="AH305" s="752">
        <f>$F$21*$M$8*'Traffic Data'!BJ43*annualizationFactor</f>
        <v>5.3654610508997724E-5</v>
      </c>
      <c r="AI305" s="40"/>
      <c r="AJ305" s="40"/>
      <c r="AK305" s="40"/>
      <c r="AL305" s="40"/>
      <c r="AM305" s="40"/>
    </row>
    <row r="306" spans="2:39" ht="21.9" customHeight="1" x14ac:dyDescent="0.25">
      <c r="B306" s="469"/>
      <c r="C306" s="114" t="s">
        <v>322</v>
      </c>
      <c r="D306" s="114" t="s">
        <v>326</v>
      </c>
      <c r="E306" s="114" t="s">
        <v>19</v>
      </c>
      <c r="F306" s="114" t="s">
        <v>405</v>
      </c>
      <c r="G306" s="941"/>
      <c r="H306" s="941"/>
      <c r="I306" s="751">
        <f>$F$21*$M$8*'Traffic Data'!AK44*annualizationFactor</f>
        <v>7.2194039974431826E-5</v>
      </c>
      <c r="J306" s="751">
        <f>$F$21*$M$8*'Traffic Data'!AL44*annualizationFactor</f>
        <v>7.4241222301306794E-5</v>
      </c>
      <c r="K306" s="751">
        <f>$F$21*$M$8*'Traffic Data'!AM44*annualizationFactor</f>
        <v>7.657393205628064E-5</v>
      </c>
      <c r="L306" s="751">
        <f>$F$21*$M$8*'Traffic Data'!AN44*annualizationFactor</f>
        <v>7.9554583320025018E-5</v>
      </c>
      <c r="M306" s="751">
        <f>$F$21*$M$8*'Traffic Data'!AO44*annualizationFactor</f>
        <v>8.2536197170969056E-5</v>
      </c>
      <c r="N306" s="751">
        <f>$F$21*$M$8*'Traffic Data'!AP44*annualizationFactor</f>
        <v>8.5517329728313285E-5</v>
      </c>
      <c r="O306" s="751">
        <f>$F$21*$M$8*'Traffic Data'!AQ44*annualizationFactor</f>
        <v>8.8497980992057664E-5</v>
      </c>
      <c r="P306" s="751">
        <f>$F$21*$M$8*'Traffic Data'!AR44*annualizationFactor</f>
        <v>9.1479233872801804E-5</v>
      </c>
      <c r="Q306" s="751">
        <f>$F$21*$M$8*'Traffic Data'!AS44*annualizationFactor</f>
        <v>9.4848770365208444E-5</v>
      </c>
      <c r="R306" s="751">
        <f>$F$21*$M$8*'Traffic Data'!AT44*annualizationFactor</f>
        <v>9.8218186534215144E-5</v>
      </c>
      <c r="S306" s="751">
        <f>$F$21*$M$8*'Traffic Data'!AU44*annualizationFactor</f>
        <v>1.0158724173302196E-4</v>
      </c>
      <c r="T306" s="751">
        <f>$F$21*$M$8*'Traffic Data'!AV44*annualizationFactor</f>
        <v>1.0495677822542861E-4</v>
      </c>
      <c r="U306" s="751">
        <f>$F$21*$M$8*'Traffic Data'!AW44*annualizationFactor</f>
        <v>1.0832691633483504E-4</v>
      </c>
      <c r="V306" s="751">
        <f>$F$21*$M$8*'Traffic Data'!AX44*annualizationFactor</f>
        <v>1.1104839099507121E-4</v>
      </c>
      <c r="W306" s="751">
        <f>$F$21*$M$8*'Traffic Data'!AY44*annualizationFactor</f>
        <v>1.1309557332194621E-4</v>
      </c>
      <c r="X306" s="751">
        <f>$F$21*$M$8*'Traffic Data'!AZ44*annualizationFactor</f>
        <v>1.1514275564882119E-4</v>
      </c>
      <c r="Y306" s="751">
        <f>$F$21*$M$8*'Traffic Data'!BA44*annualizationFactor</f>
        <v>1.1718993797569613E-4</v>
      </c>
      <c r="Z306" s="751">
        <f>$F$21*$M$8*'Traffic Data'!BB44*annualizationFactor</f>
        <v>1.1923651868557134E-4</v>
      </c>
      <c r="AA306" s="751">
        <f>$F$21*$M$8*'Traffic Data'!BC44*annualizationFactor</f>
        <v>1.2128370101244626E-4</v>
      </c>
      <c r="AB306" s="751">
        <f>$F$21*$M$8*'Traffic Data'!BD44*annualizationFactor</f>
        <v>1.2333028172232142E-4</v>
      </c>
      <c r="AC306" s="751">
        <f>$F$21*$M$8*'Traffic Data'!BE44*annualizationFactor</f>
        <v>1.2537746404919642E-4</v>
      </c>
      <c r="AD306" s="751">
        <f>$F$21*$M$8*'Traffic Data'!BF44*annualizationFactor</f>
        <v>1.2742464637607141E-4</v>
      </c>
      <c r="AE306" s="751">
        <f>$F$21*$M$8*'Traffic Data'!BG44*annualizationFactor</f>
        <v>1.2947122708594657E-4</v>
      </c>
      <c r="AF306" s="751">
        <f>$F$21*$M$8*'Traffic Data'!BH44*annualizationFactor</f>
        <v>1.3151840941282155E-4</v>
      </c>
      <c r="AG306" s="751">
        <f>$F$21*$M$8*'Traffic Data'!BI44*annualizationFactor</f>
        <v>1.3356559173969651E-4</v>
      </c>
      <c r="AH306" s="752">
        <f>$F$21*$M$8*'Traffic Data'!BJ44*annualizationFactor</f>
        <v>1.3561217244957167E-4</v>
      </c>
      <c r="AI306" s="40"/>
      <c r="AJ306" s="40"/>
      <c r="AK306" s="40"/>
      <c r="AL306" s="40"/>
      <c r="AM306" s="40"/>
    </row>
    <row r="307" spans="2:39" ht="21.9" customHeight="1" x14ac:dyDescent="0.25">
      <c r="B307" s="469"/>
      <c r="C307" s="114" t="s">
        <v>326</v>
      </c>
      <c r="D307" s="114" t="s">
        <v>274</v>
      </c>
      <c r="E307" s="114" t="s">
        <v>19</v>
      </c>
      <c r="F307" s="114" t="s">
        <v>405</v>
      </c>
      <c r="G307" s="941"/>
      <c r="H307" s="941"/>
      <c r="I307" s="751">
        <f>$F$21*$M$8*'Traffic Data'!AK45*annualizationFactor</f>
        <v>5.9939564471079545E-4</v>
      </c>
      <c r="J307" s="751">
        <f>$F$21*$M$8*'Traffic Data'!AL45*annualizationFactor</f>
        <v>6.1639250720931145E-4</v>
      </c>
      <c r="K307" s="751">
        <f>$F$21*$M$8*'Traffic Data'!AM45*annualizationFactor</f>
        <v>6.3575997948265824E-4</v>
      </c>
      <c r="L307" s="751">
        <f>$F$21*$M$8*'Traffic Data'!AN45*annualizationFactor</f>
        <v>6.6050702766728476E-4</v>
      </c>
      <c r="M307" s="751">
        <f>$F$21*$M$8*'Traffic Data'!AO45*annualizationFactor</f>
        <v>6.852620677938406E-4</v>
      </c>
      <c r="N307" s="751">
        <f>$F$21*$M$8*'Traffic Data'!AP45*annualizationFactor</f>
        <v>7.1001311194943194E-4</v>
      </c>
      <c r="O307" s="751">
        <f>$F$21*$M$8*'Traffic Data'!AQ45*annualizationFactor</f>
        <v>7.3476016013405802E-4</v>
      </c>
      <c r="P307" s="751">
        <f>$F$21*$M$8*'Traffic Data'!AR45*annualizationFactor</f>
        <v>7.5951220328239054E-4</v>
      </c>
      <c r="Q307" s="751">
        <f>$F$21*$M$8*'Traffic Data'!AS45*annualizationFactor</f>
        <v>7.8748799600652543E-4</v>
      </c>
      <c r="R307" s="751">
        <f>$F$21*$M$8*'Traffic Data'!AT45*annualizationFactor</f>
        <v>8.1546278973791957E-4</v>
      </c>
      <c r="S307" s="751">
        <f>$F$21*$M$8*'Traffic Data'!AU45*annualizationFactor</f>
        <v>8.4343458649109007E-4</v>
      </c>
      <c r="T307" s="751">
        <f>$F$21*$M$8*'Traffic Data'!AV45*annualizationFactor</f>
        <v>8.7141037921522528E-4</v>
      </c>
      <c r="U307" s="751">
        <f>$F$21*$M$8*'Traffic Data'!AW45*annualizationFactor</f>
        <v>8.9939116690306627E-4</v>
      </c>
      <c r="V307" s="751">
        <f>$F$21*$M$8*'Traffic Data'!AX45*annualizationFactor</f>
        <v>9.2198638472318101E-4</v>
      </c>
      <c r="W307" s="751">
        <f>$F$21*$M$8*'Traffic Data'!AY45*annualizationFactor</f>
        <v>9.3898324722169679E-4</v>
      </c>
      <c r="X307" s="751">
        <f>$F$21*$M$8*'Traffic Data'!AZ45*annualizationFactor</f>
        <v>9.5598010972021278E-4</v>
      </c>
      <c r="Y307" s="751">
        <f>$F$21*$M$8*'Traffic Data'!BA45*annualizationFactor</f>
        <v>9.7297697221872845E-4</v>
      </c>
      <c r="Z307" s="751">
        <f>$F$21*$M$8*'Traffic Data'!BB45*annualizationFactor</f>
        <v>9.8996883975353833E-4</v>
      </c>
      <c r="AA307" s="751">
        <f>$F$21*$M$8*'Traffic Data'!BC45*annualizationFactor</f>
        <v>1.0069657022520537E-3</v>
      </c>
      <c r="AB307" s="751">
        <f>$F$21*$M$8*'Traffic Data'!BD45*annualizationFactor</f>
        <v>1.0239575697868636E-3</v>
      </c>
      <c r="AC307" s="751">
        <f>$F$21*$M$8*'Traffic Data'!BE45*annualizationFactor</f>
        <v>1.0409544322853793E-3</v>
      </c>
      <c r="AD307" s="751">
        <f>$F$21*$M$8*'Traffic Data'!BF45*annualizationFactor</f>
        <v>1.0579512947838953E-3</v>
      </c>
      <c r="AE307" s="751">
        <f>$F$21*$M$8*'Traffic Data'!BG45*annualizationFactor</f>
        <v>1.074943162318705E-3</v>
      </c>
      <c r="AF307" s="751">
        <f>$F$21*$M$8*'Traffic Data'!BH45*annualizationFactor</f>
        <v>1.091940024817221E-3</v>
      </c>
      <c r="AG307" s="751">
        <f>$F$21*$M$8*'Traffic Data'!BI45*annualizationFactor</f>
        <v>1.1089368873157365E-3</v>
      </c>
      <c r="AH307" s="752">
        <f>$F$21*$M$8*'Traffic Data'!BJ45*annualizationFactor</f>
        <v>1.1259287548505464E-3</v>
      </c>
      <c r="AI307" s="40"/>
      <c r="AJ307" s="40"/>
      <c r="AK307" s="40"/>
      <c r="AL307" s="40"/>
      <c r="AM307" s="40"/>
    </row>
    <row r="308" spans="2:39" ht="21.9" customHeight="1" x14ac:dyDescent="0.25">
      <c r="B308" s="470"/>
      <c r="C308" s="250" t="s">
        <v>274</v>
      </c>
      <c r="D308" s="250" t="s">
        <v>317</v>
      </c>
      <c r="E308" s="250" t="s">
        <v>19</v>
      </c>
      <c r="F308" s="250" t="s">
        <v>405</v>
      </c>
      <c r="G308" s="753"/>
      <c r="H308" s="753"/>
      <c r="I308" s="753">
        <f>$F$21*$M$8*'Traffic Data'!AK46*annualizationFactor</f>
        <v>1.4809033840909094E-5</v>
      </c>
      <c r="J308" s="753">
        <f>$F$21*$M$8*'Traffic Data'!AL46*annualizationFactor</f>
        <v>1.5228968677191142E-5</v>
      </c>
      <c r="K308" s="753">
        <f>$F$21*$M$8*'Traffic Data'!AM46*annualizationFactor</f>
        <v>1.5707473242313979E-5</v>
      </c>
      <c r="L308" s="753">
        <f>$F$21*$M$8*'Traffic Data'!AN46*annualizationFactor</f>
        <v>1.6318888886158982E-5</v>
      </c>
      <c r="M308" s="753">
        <f>$F$21*$M$8*'Traffic Data'!AO46*annualizationFactor</f>
        <v>1.6930501983788523E-5</v>
      </c>
      <c r="N308" s="753">
        <f>$F$21*$M$8*'Traffic Data'!AP46*annualizationFactor</f>
        <v>1.7542016354525806E-5</v>
      </c>
      <c r="O308" s="753">
        <f>$F$21*$M$8*'Traffic Data'!AQ46*annualizationFactor</f>
        <v>1.8153431998370802E-5</v>
      </c>
      <c r="P308" s="753">
        <f>$F$21*$M$8*'Traffic Data'!AR46*annualizationFactor</f>
        <v>1.8764971050831143E-5</v>
      </c>
      <c r="Q308" s="753">
        <f>$F$21*$M$8*'Traffic Data'!AS46*annualizationFactor</f>
        <v>1.9456158023632504E-5</v>
      </c>
      <c r="R308" s="753">
        <f>$F$21*$M$8*'Traffic Data'!AT46*annualizationFactor</f>
        <v>2.01473203147108E-5</v>
      </c>
      <c r="S308" s="753">
        <f>$F$21*$M$8*'Traffic Data'!AU46*annualizationFactor</f>
        <v>2.0838408560619888E-5</v>
      </c>
      <c r="T308" s="753">
        <f>$F$21*$M$8*'Traffic Data'!AV46*annualizationFactor</f>
        <v>2.1529595533421256E-5</v>
      </c>
      <c r="U308" s="753">
        <f>$F$21*$M$8*'Traffic Data'!AW46*annualizationFactor</f>
        <v>2.2220905914837955E-5</v>
      </c>
      <c r="V308" s="753">
        <f>$F$21*$M$8*'Traffic Data'!AX46*annualizationFactor</f>
        <v>2.2779157127194095E-5</v>
      </c>
      <c r="W308" s="753">
        <f>$F$21*$M$8*'Traffic Data'!AY46*annualizationFactor</f>
        <v>2.3199091963476147E-5</v>
      </c>
      <c r="X308" s="753">
        <f>$F$21*$M$8*'Traffic Data'!AZ46*annualizationFactor</f>
        <v>2.3619026799758192E-5</v>
      </c>
      <c r="Y308" s="753">
        <f>$F$21*$M$8*'Traffic Data'!BA46*annualizationFactor</f>
        <v>2.4038961636040233E-5</v>
      </c>
      <c r="Z308" s="753">
        <f>$F$21*$M$8*'Traffic Data'!BB46*annualizationFactor</f>
        <v>2.4458773063706937E-5</v>
      </c>
      <c r="AA308" s="753">
        <f>$F$21*$M$8*'Traffic Data'!BC46*annualizationFactor</f>
        <v>2.4878707899988975E-5</v>
      </c>
      <c r="AB308" s="753">
        <f>$F$21*$M$8*'Traffic Data'!BD46*annualizationFactor</f>
        <v>2.5298519327655682E-5</v>
      </c>
      <c r="AC308" s="753">
        <f>$F$21*$M$8*'Traffic Data'!BE46*annualizationFactor</f>
        <v>2.5718454163937723E-5</v>
      </c>
      <c r="AD308" s="753">
        <f>$F$21*$M$8*'Traffic Data'!BF46*annualizationFactor</f>
        <v>2.6138389000219768E-5</v>
      </c>
      <c r="AE308" s="753">
        <f>$F$21*$M$8*'Traffic Data'!BG46*annualizationFactor</f>
        <v>2.6558200427886475E-5</v>
      </c>
      <c r="AF308" s="753">
        <f>$F$21*$M$8*'Traffic Data'!BH46*annualizationFactor</f>
        <v>2.6978135264168527E-5</v>
      </c>
      <c r="AG308" s="753">
        <f>$F$21*$M$8*'Traffic Data'!BI46*annualizationFactor</f>
        <v>2.7398070100450565E-5</v>
      </c>
      <c r="AH308" s="757">
        <f>$F$21*$M$8*'Traffic Data'!BJ46*annualizationFactor</f>
        <v>2.7817881528117272E-5</v>
      </c>
      <c r="AI308" s="40"/>
      <c r="AJ308" s="40"/>
      <c r="AK308" s="40"/>
      <c r="AL308" s="40"/>
      <c r="AM308" s="40"/>
    </row>
    <row r="309" spans="2:39" ht="21.9" customHeight="1" thickBot="1" x14ac:dyDescent="0.3">
      <c r="B309" s="1073" t="s">
        <v>459</v>
      </c>
      <c r="C309" s="237"/>
      <c r="D309" s="237"/>
      <c r="E309" s="237"/>
      <c r="F309" s="237"/>
      <c r="G309" s="940">
        <f t="shared" ref="G309:AH309" si="34">SUM(G289:G308)</f>
        <v>0</v>
      </c>
      <c r="H309" s="940">
        <f t="shared" si="34"/>
        <v>0</v>
      </c>
      <c r="I309" s="759">
        <f t="shared" si="34"/>
        <v>7.4715727193206448E-3</v>
      </c>
      <c r="J309" s="759">
        <f t="shared" si="34"/>
        <v>7.8894132925928818E-3</v>
      </c>
      <c r="K309" s="759">
        <f t="shared" si="34"/>
        <v>8.676732395394118E-3</v>
      </c>
      <c r="L309" s="759">
        <f t="shared" si="34"/>
        <v>1.0011101421720162E-2</v>
      </c>
      <c r="M309" s="759">
        <f t="shared" si="34"/>
        <v>1.1346139459922376E-2</v>
      </c>
      <c r="N309" s="759">
        <f t="shared" si="34"/>
        <v>1.268119604745142E-2</v>
      </c>
      <c r="O309" s="759">
        <f t="shared" si="34"/>
        <v>1.4015565073777464E-2</v>
      </c>
      <c r="P309" s="759">
        <f t="shared" si="34"/>
        <v>1.5351288179760969E-2</v>
      </c>
      <c r="Q309" s="759">
        <f t="shared" si="34"/>
        <v>1.6629562338472754E-2</v>
      </c>
      <c r="R309" s="759">
        <f t="shared" si="34"/>
        <v>1.790817603385016E-2</v>
      </c>
      <c r="S309" s="759">
        <f t="shared" si="34"/>
        <v>1.9186426306182721E-2</v>
      </c>
      <c r="T309" s="759">
        <f t="shared" si="34"/>
        <v>2.0464700464894511E-2</v>
      </c>
      <c r="U309" s="759">
        <f t="shared" si="34"/>
        <v>2.1744355739870033E-2</v>
      </c>
      <c r="V309" s="759">
        <f t="shared" si="34"/>
        <v>2.2481830570777135E-2</v>
      </c>
      <c r="W309" s="759">
        <f t="shared" si="34"/>
        <v>2.2886130459529828E-2</v>
      </c>
      <c r="X309" s="759">
        <f t="shared" si="34"/>
        <v>2.3290430348282539E-2</v>
      </c>
      <c r="Y309" s="759">
        <f t="shared" si="34"/>
        <v>2.3694730237035239E-2</v>
      </c>
      <c r="Z309" s="759">
        <f t="shared" si="34"/>
        <v>2.4099382361594965E-2</v>
      </c>
      <c r="AA309" s="759">
        <f t="shared" si="34"/>
        <v>2.4503682250347665E-2</v>
      </c>
      <c r="AB309" s="759">
        <f t="shared" si="34"/>
        <v>2.4908335085741022E-2</v>
      </c>
      <c r="AC309" s="759">
        <f t="shared" si="34"/>
        <v>2.5312634974493726E-2</v>
      </c>
      <c r="AD309" s="759">
        <f t="shared" si="34"/>
        <v>2.571693486324643E-2</v>
      </c>
      <c r="AE309" s="759">
        <f t="shared" si="34"/>
        <v>2.6121586987806155E-2</v>
      </c>
      <c r="AF309" s="759">
        <f t="shared" si="34"/>
        <v>2.6525886876558859E-2</v>
      </c>
      <c r="AG309" s="759">
        <f t="shared" si="34"/>
        <v>2.6930186765311566E-2</v>
      </c>
      <c r="AH309" s="760">
        <f t="shared" si="34"/>
        <v>2.7334839600704909E-2</v>
      </c>
      <c r="AI309" s="40"/>
      <c r="AJ309" s="40"/>
      <c r="AK309" s="40"/>
      <c r="AL309" s="40"/>
      <c r="AM309" s="40"/>
    </row>
    <row r="310" spans="2:39" ht="21.9" customHeight="1" x14ac:dyDescent="0.25">
      <c r="B310" s="548" t="s">
        <v>312</v>
      </c>
      <c r="C310" s="1331" t="s">
        <v>18</v>
      </c>
      <c r="D310" s="1331"/>
      <c r="E310" s="197" t="s">
        <v>24</v>
      </c>
      <c r="F310" s="197" t="s">
        <v>42</v>
      </c>
      <c r="G310" s="459">
        <v>2021</v>
      </c>
      <c r="H310" s="459">
        <v>2022</v>
      </c>
      <c r="I310" s="459">
        <v>2023</v>
      </c>
      <c r="J310" s="459">
        <v>2024</v>
      </c>
      <c r="K310" s="459">
        <v>2025</v>
      </c>
      <c r="L310" s="459">
        <v>2026</v>
      </c>
      <c r="M310" s="459">
        <v>2027</v>
      </c>
      <c r="N310" s="459">
        <v>2028</v>
      </c>
      <c r="O310" s="459">
        <v>2029</v>
      </c>
      <c r="P310" s="459">
        <v>2030</v>
      </c>
      <c r="Q310" s="459">
        <v>2031</v>
      </c>
      <c r="R310" s="459">
        <v>2032</v>
      </c>
      <c r="S310" s="459">
        <v>2033</v>
      </c>
      <c r="T310" s="459">
        <v>2034</v>
      </c>
      <c r="U310" s="459">
        <v>2035</v>
      </c>
      <c r="V310" s="459">
        <v>2036</v>
      </c>
      <c r="W310" s="459">
        <v>2037</v>
      </c>
      <c r="X310" s="459">
        <v>2038</v>
      </c>
      <c r="Y310" s="459">
        <v>2039</v>
      </c>
      <c r="Z310" s="459">
        <v>2040</v>
      </c>
      <c r="AA310" s="459">
        <v>2041</v>
      </c>
      <c r="AB310" s="459">
        <v>2042</v>
      </c>
      <c r="AC310" s="459">
        <v>2043</v>
      </c>
      <c r="AD310" s="459">
        <v>2044</v>
      </c>
      <c r="AE310" s="459">
        <v>2045</v>
      </c>
      <c r="AF310" s="459">
        <v>2046</v>
      </c>
      <c r="AG310" s="459">
        <v>2047</v>
      </c>
      <c r="AH310" s="459">
        <v>2048</v>
      </c>
      <c r="AI310" s="247"/>
      <c r="AJ310" s="247"/>
      <c r="AK310" s="247"/>
      <c r="AL310" s="247"/>
      <c r="AM310" s="247"/>
    </row>
    <row r="311" spans="2:39" ht="21.9" customHeight="1" x14ac:dyDescent="0.25">
      <c r="B311" s="1332" t="s">
        <v>315</v>
      </c>
      <c r="C311" s="217" t="s">
        <v>316</v>
      </c>
      <c r="D311" s="217" t="s">
        <v>276</v>
      </c>
      <c r="E311" s="217" t="s">
        <v>434</v>
      </c>
      <c r="F311" s="217" t="s">
        <v>405</v>
      </c>
      <c r="G311" s="749"/>
      <c r="H311" s="749"/>
      <c r="I311" s="749">
        <f>$F$22*$E$9*'Traffic Data'!AK27*annualizationFactor</f>
        <v>9.5708376777624011E-4</v>
      </c>
      <c r="J311" s="749">
        <f>$F$22*$E$9*'Traffic Data'!AL27*annualizationFactor</f>
        <v>1.0006041612290904E-3</v>
      </c>
      <c r="K311" s="749">
        <f>$F$22*$E$9*'Traffic Data'!AM27*annualizationFactor</f>
        <v>1.0619203309890301E-3</v>
      </c>
      <c r="L311" s="749">
        <f>$F$22*$E$9*'Traffic Data'!AN27*annualizationFactor</f>
        <v>1.1521135125548434E-3</v>
      </c>
      <c r="M311" s="749">
        <f>$F$22*$E$9*'Traffic Data'!AO27*annualizationFactor</f>
        <v>1.2423395938751742E-3</v>
      </c>
      <c r="N311" s="749">
        <f>$F$22*$E$9*'Traffic Data'!AP27*annualizationFactor</f>
        <v>1.3325656751955047E-3</v>
      </c>
      <c r="O311" s="749">
        <f>$F$22*$E$9*'Traffic Data'!AQ27*annualizationFactor</f>
        <v>1.4227588567613182E-3</v>
      </c>
      <c r="P311" s="749">
        <f>$F$22*$E$9*'Traffic Data'!AR27*annualizationFactor</f>
        <v>1.5130178378361661E-3</v>
      </c>
      <c r="Q311" s="749">
        <f>$F$22*$E$9*'Traffic Data'!AS27*annualizationFactor</f>
        <v>1.6022090723325892E-3</v>
      </c>
      <c r="R311" s="749">
        <f>$F$22*$E$9*'Traffic Data'!AT27*annualizationFactor</f>
        <v>1.6914182521496576E-3</v>
      </c>
      <c r="S311" s="749">
        <f>$F$22*$E$9*'Traffic Data'!AU27*annualizationFactor</f>
        <v>1.7806094866460805E-3</v>
      </c>
      <c r="T311" s="749">
        <f>$F$22*$E$9*'Traffic Data'!AV27*annualizationFactor</f>
        <v>1.8698007211425029E-3</v>
      </c>
      <c r="U311" s="749">
        <f>$F$22*$E$9*'Traffic Data'!AW27*annualizationFactor</f>
        <v>1.9590577551479599E-3</v>
      </c>
      <c r="V311" s="749">
        <f>$F$22*$E$9*'Traffic Data'!AX27*annualizationFactor</f>
        <v>2.0193390780839922E-3</v>
      </c>
      <c r="W311" s="749">
        <f>$F$22*$E$9*'Traffic Data'!AY27*annualizationFactor</f>
        <v>2.0628594715368423E-3</v>
      </c>
      <c r="X311" s="749">
        <f>$F$22*$E$9*'Traffic Data'!AZ27*annualizationFactor</f>
        <v>2.1063798649896917E-3</v>
      </c>
      <c r="Y311" s="749">
        <f>$F$22*$E$9*'Traffic Data'!BA27*annualizationFactor</f>
        <v>2.1499002584425423E-3</v>
      </c>
      <c r="Z311" s="749">
        <f>$F$22*$E$9*'Traffic Data'!BB27*annualizationFactor</f>
        <v>2.1934356063292642E-3</v>
      </c>
      <c r="AA311" s="749">
        <f>$F$22*$E$9*'Traffic Data'!BC27*annualizationFactor</f>
        <v>2.2369559997821148E-3</v>
      </c>
      <c r="AB311" s="749">
        <f>$F$22*$E$9*'Traffic Data'!BD27*annualizationFactor</f>
        <v>2.2804913476688355E-3</v>
      </c>
      <c r="AC311" s="749">
        <f>$F$22*$E$9*'Traffic Data'!BE27*annualizationFactor</f>
        <v>2.3240117411216865E-3</v>
      </c>
      <c r="AD311" s="749">
        <f>$F$22*$E$9*'Traffic Data'!BF27*annualizationFactor</f>
        <v>2.3675321345745363E-3</v>
      </c>
      <c r="AE311" s="749">
        <f>$F$22*$E$9*'Traffic Data'!BG27*annualizationFactor</f>
        <v>2.4110674824612578E-3</v>
      </c>
      <c r="AF311" s="749">
        <f>$F$22*$E$9*'Traffic Data'!BH27*annualizationFactor</f>
        <v>2.4545878759141084E-3</v>
      </c>
      <c r="AG311" s="749">
        <f>$F$22*$E$9*'Traffic Data'!BI27*annualizationFactor</f>
        <v>2.4981082693669586E-3</v>
      </c>
      <c r="AH311" s="750">
        <f>$F$22*$E$9*'Traffic Data'!BJ27*annualizationFactor</f>
        <v>2.5416436172536801E-3</v>
      </c>
      <c r="AI311" s="40"/>
      <c r="AJ311" s="40"/>
      <c r="AK311" s="40"/>
      <c r="AL311" s="40"/>
      <c r="AM311" s="40"/>
    </row>
    <row r="312" spans="2:39" ht="21.9" customHeight="1" x14ac:dyDescent="0.25">
      <c r="B312" s="1332"/>
      <c r="C312" s="114" t="s">
        <v>276</v>
      </c>
      <c r="D312" s="114" t="s">
        <v>274</v>
      </c>
      <c r="E312" s="114" t="s">
        <v>434</v>
      </c>
      <c r="F312" s="114" t="s">
        <v>405</v>
      </c>
      <c r="G312" s="941"/>
      <c r="H312" s="941"/>
      <c r="I312" s="751">
        <f>$F$22*$E$9*'Traffic Data'!AK28*annualizationFactor</f>
        <v>3.0775366279772631E-2</v>
      </c>
      <c r="J312" s="751">
        <f>$F$22*$E$9*'Traffic Data'!AL28*annualizationFactor</f>
        <v>3.2399849687992324E-2</v>
      </c>
      <c r="K312" s="751">
        <f>$F$22*$E$9*'Traffic Data'!AM28*annualizationFactor</f>
        <v>3.4838398525731055E-2</v>
      </c>
      <c r="L312" s="751">
        <f>$F$22*$E$9*'Traffic Data'!AN28*annualizationFactor</f>
        <v>3.8867235920267508E-2</v>
      </c>
      <c r="M312" s="751">
        <f>$F$22*$E$9*'Traffic Data'!AO28*annualizationFactor</f>
        <v>4.2897897040213136E-2</v>
      </c>
      <c r="N312" s="751">
        <f>$F$22*$E$9*'Traffic Data'!AP28*annualizationFactor</f>
        <v>4.6928330194482608E-2</v>
      </c>
      <c r="O312" s="751">
        <f>$F$22*$E$9*'Traffic Data'!AQ28*annualizationFactor</f>
        <v>5.0957167589019074E-2</v>
      </c>
      <c r="P312" s="751">
        <f>$F$22*$E$9*'Traffic Data'!AR28*annualizationFactor</f>
        <v>5.4989652434373863E-2</v>
      </c>
      <c r="Q312" s="751">
        <f>$F$22*$E$9*'Traffic Data'!AS28*annualizationFactor</f>
        <v>5.9057927890883669E-2</v>
      </c>
      <c r="R312" s="751">
        <f>$F$22*$E$9*'Traffic Data'!AT28*annualizationFactor</f>
        <v>6.3127571141450331E-2</v>
      </c>
      <c r="S312" s="751">
        <f>$F$22*$E$9*'Traffic Data'!AU28*annualizationFactor</f>
        <v>6.7195846597960129E-2</v>
      </c>
      <c r="T312" s="751">
        <f>$F$22*$E$9*'Traffic Data'!AV28*annualizationFactor</f>
        <v>7.1264122054469928E-2</v>
      </c>
      <c r="U312" s="751">
        <f>$F$22*$E$9*'Traffic Data'!AW28*annualizationFactor</f>
        <v>7.5336044961798063E-2</v>
      </c>
      <c r="V312" s="751">
        <f>$F$22*$E$9*'Traffic Data'!AX28*annualizationFactor</f>
        <v>7.7812208136100972E-2</v>
      </c>
      <c r="W312" s="751">
        <f>$F$22*$E$9*'Traffic Data'!AY28*annualizationFactor</f>
        <v>7.9436691544320648E-2</v>
      </c>
      <c r="X312" s="751">
        <f>$F$22*$E$9*'Traffic Data'!AZ28*annualizationFactor</f>
        <v>8.1061174952540366E-2</v>
      </c>
      <c r="Y312" s="751">
        <f>$F$22*$E$9*'Traffic Data'!BA28*annualizationFactor</f>
        <v>8.2685658360760084E-2</v>
      </c>
      <c r="Z312" s="751">
        <f>$F$22*$E$9*'Traffic Data'!BB28*annualizationFactor</f>
        <v>8.4311053631684355E-2</v>
      </c>
      <c r="AA312" s="751">
        <f>$F$22*$E$9*'Traffic Data'!BC28*annualizationFactor</f>
        <v>8.5935537039904045E-2</v>
      </c>
      <c r="AB312" s="751">
        <f>$F$22*$E$9*'Traffic Data'!BD28*annualizationFactor</f>
        <v>8.7560932310828343E-2</v>
      </c>
      <c r="AC312" s="751">
        <f>$F$22*$E$9*'Traffic Data'!BE28*annualizationFactor</f>
        <v>8.9185415719048047E-2</v>
      </c>
      <c r="AD312" s="751">
        <f>$F$22*$E$9*'Traffic Data'!BF28*annualizationFactor</f>
        <v>9.0809899127267751E-2</v>
      </c>
      <c r="AE312" s="751">
        <f>$F$22*$E$9*'Traffic Data'!BG28*annualizationFactor</f>
        <v>9.243529439819205E-2</v>
      </c>
      <c r="AF312" s="751">
        <f>$F$22*$E$9*'Traffic Data'!BH28*annualizationFactor</f>
        <v>9.405977780641174E-2</v>
      </c>
      <c r="AG312" s="751">
        <f>$F$22*$E$9*'Traffic Data'!BI28*annualizationFactor</f>
        <v>9.568426121463143E-2</v>
      </c>
      <c r="AH312" s="752">
        <f>$F$22*$E$9*'Traffic Data'!BJ28*annualizationFactor</f>
        <v>9.7309656485555729E-2</v>
      </c>
      <c r="AI312" s="40"/>
      <c r="AJ312" s="40"/>
      <c r="AK312" s="40"/>
      <c r="AL312" s="40"/>
      <c r="AM312" s="40"/>
    </row>
    <row r="313" spans="2:39" ht="21.9" customHeight="1" x14ac:dyDescent="0.25">
      <c r="B313" s="1332"/>
      <c r="C313" s="114" t="s">
        <v>274</v>
      </c>
      <c r="D313" s="114" t="s">
        <v>317</v>
      </c>
      <c r="E313" s="250" t="s">
        <v>434</v>
      </c>
      <c r="F313" s="250" t="s">
        <v>405</v>
      </c>
      <c r="G313" s="753"/>
      <c r="H313" s="753"/>
      <c r="I313" s="751">
        <f>$F$22*$E$9*'Traffic Data'!AK29*annualizationFactor</f>
        <v>7.1781282583218006E-4</v>
      </c>
      <c r="J313" s="751">
        <f>$F$22*$E$9*'Traffic Data'!AL29*annualizationFactor</f>
        <v>7.4778749308422219E-4</v>
      </c>
      <c r="K313" s="751">
        <f>$F$22*$E$9*'Traffic Data'!AM29*annualizationFactor</f>
        <v>7.8488645263264853E-4</v>
      </c>
      <c r="L313" s="751">
        <f>$F$22*$E$9*'Traffic Data'!AN29*annualizationFactor</f>
        <v>8.3483426176347126E-4</v>
      </c>
      <c r="M313" s="751">
        <f>$F$22*$E$9*'Traffic Data'!AO29*annualizationFactor</f>
        <v>8.848000162149397E-4</v>
      </c>
      <c r="N313" s="751">
        <f>$F$22*$E$9*'Traffic Data'!AP29*annualizationFactor</f>
        <v>9.3475978889285953E-4</v>
      </c>
      <c r="O313" s="751">
        <f>$F$22*$E$9*'Traffic Data'!AQ29*annualizationFactor</f>
        <v>9.8470759802368204E-4</v>
      </c>
      <c r="P313" s="751">
        <f>$F$22*$E$9*'Traffic Data'!AR29*annualizationFactor</f>
        <v>1.0346912977957964E-3</v>
      </c>
      <c r="Q313" s="751">
        <f>$F$22*$E$9*'Traffic Data'!AS29*annualizationFactor</f>
        <v>1.0831197364452737E-3</v>
      </c>
      <c r="R313" s="751">
        <f>$F$22*$E$9*'Traffic Data'!AT29*annualizationFactor</f>
        <v>1.1315661204153969E-3</v>
      </c>
      <c r="S313" s="751">
        <f>$F$22*$E$9*'Traffic Data'!AU29*annualizationFactor</f>
        <v>1.1799945590648749E-3</v>
      </c>
      <c r="T313" s="751">
        <f>$F$22*$E$9*'Traffic Data'!AV29*annualizationFactor</f>
        <v>1.2284229977143528E-3</v>
      </c>
      <c r="U313" s="751">
        <f>$F$22*$E$9*'Traffic Data'!AW29*annualizationFactor</f>
        <v>1.2768873270051222E-3</v>
      </c>
      <c r="V313" s="751">
        <f>$F$22*$E$9*'Traffic Data'!AX29*annualizationFactor</f>
        <v>1.3124489707515578E-3</v>
      </c>
      <c r="W313" s="751">
        <f>$F$22*$E$9*'Traffic Data'!AY29*annualizationFactor</f>
        <v>1.3424236380036002E-3</v>
      </c>
      <c r="X313" s="751">
        <f>$F$22*$E$9*'Traffic Data'!AZ29*annualizationFactor</f>
        <v>1.3723983052556419E-3</v>
      </c>
      <c r="Y313" s="751">
        <f>$F$22*$E$9*'Traffic Data'!BA29*annualizationFactor</f>
        <v>1.4023729725076844E-3</v>
      </c>
      <c r="Z313" s="751">
        <f>$F$22*$E$9*'Traffic Data'!BB29*annualizationFactor</f>
        <v>1.4323596033068238E-3</v>
      </c>
      <c r="AA313" s="751">
        <f>$F$22*$E$9*'Traffic Data'!BC29*annualizationFactor</f>
        <v>1.4623342705588657E-3</v>
      </c>
      <c r="AB313" s="751">
        <f>$F$22*$E$9*'Traffic Data'!BD29*annualizationFactor</f>
        <v>1.492320901358005E-3</v>
      </c>
      <c r="AC313" s="751">
        <f>$F$22*$E$9*'Traffic Data'!BE29*annualizationFactor</f>
        <v>1.5222955686100476E-3</v>
      </c>
      <c r="AD313" s="751">
        <f>$F$22*$E$9*'Traffic Data'!BF29*annualizationFactor</f>
        <v>1.5522702358620891E-3</v>
      </c>
      <c r="AE313" s="751">
        <f>$F$22*$E$9*'Traffic Data'!BG29*annualizationFactor</f>
        <v>1.5822568666612289E-3</v>
      </c>
      <c r="AF313" s="751">
        <f>$F$22*$E$9*'Traffic Data'!BH29*annualizationFactor</f>
        <v>1.6122315339132708E-3</v>
      </c>
      <c r="AG313" s="751">
        <f>$F$22*$E$9*'Traffic Data'!BI29*annualizationFactor</f>
        <v>1.6422062011653127E-3</v>
      </c>
      <c r="AH313" s="752">
        <f>$F$22*$E$9*'Traffic Data'!BJ29*annualizationFactor</f>
        <v>1.6721928319644523E-3</v>
      </c>
      <c r="AI313" s="40"/>
      <c r="AJ313" s="40"/>
      <c r="AK313" s="40"/>
      <c r="AL313" s="40"/>
      <c r="AM313" s="40"/>
    </row>
    <row r="314" spans="2:39" ht="21.9" customHeight="1" x14ac:dyDescent="0.25">
      <c r="B314" s="1332" t="s">
        <v>274</v>
      </c>
      <c r="C314" s="217" t="s">
        <v>275</v>
      </c>
      <c r="D314" s="217" t="s">
        <v>318</v>
      </c>
      <c r="E314" s="114" t="s">
        <v>434</v>
      </c>
      <c r="F314" s="217" t="s">
        <v>405</v>
      </c>
      <c r="G314" s="941"/>
      <c r="H314" s="941"/>
      <c r="I314" s="749">
        <f>$F$22*$F$9*'Traffic Data'!AK30*annualizationFactor</f>
        <v>6.6905450972752E-3</v>
      </c>
      <c r="J314" s="749">
        <f>$F$22*$F$9*'Traffic Data'!AL30*annualizationFactor</f>
        <v>7.367327186590074E-3</v>
      </c>
      <c r="K314" s="749">
        <f>$F$22*$F$9*'Traffic Data'!AM30*annualizationFactor</f>
        <v>8.8804274130643446E-3</v>
      </c>
      <c r="L314" s="749">
        <f>$F$22*$F$9*'Traffic Data'!AN30*annualizationFactor</f>
        <v>1.1919607523501607E-2</v>
      </c>
      <c r="M314" s="749">
        <f>$F$22*$F$9*'Traffic Data'!AO30*annualizationFactor</f>
        <v>1.4960660986566102E-2</v>
      </c>
      <c r="N314" s="749">
        <f>$F$22*$F$9*'Traffic Data'!AP30*annualizationFactor</f>
        <v>1.8001379922375733E-2</v>
      </c>
      <c r="O314" s="749">
        <f>$F$22*$F$9*'Traffic Data'!AQ30*annualizationFactor</f>
        <v>2.1040560032812992E-2</v>
      </c>
      <c r="P314" s="749">
        <f>$F$22*$F$9*'Traffic Data'!AR30*annualizationFactor</f>
        <v>2.4083486848504733E-2</v>
      </c>
      <c r="Q314" s="749">
        <f>$F$22*$F$9*'Traffic Data'!AS30*annualizationFactor</f>
        <v>2.7069343314516704E-2</v>
      </c>
      <c r="R314" s="749">
        <f>$F$22*$F$9*'Traffic Data'!AT30*annualizationFactor</f>
        <v>3.0056705153175562E-2</v>
      </c>
      <c r="S314" s="749">
        <f>$F$22*$F$9*'Traffic Data'!AU30*annualizationFactor</f>
        <v>3.304256161918754E-2</v>
      </c>
      <c r="T314" s="749">
        <f>$F$22*$F$9*'Traffic Data'!AV30*annualizationFactor</f>
        <v>3.6028418085199521E-2</v>
      </c>
      <c r="U314" s="749">
        <f>$F$22*$F$9*'Traffic Data'!AW30*annualizationFactor</f>
        <v>3.9018021256465973E-2</v>
      </c>
      <c r="V314" s="749">
        <f>$F$22*$F$9*'Traffic Data'!AX30*annualizationFactor</f>
        <v>4.0475924485887715E-2</v>
      </c>
      <c r="W314" s="749">
        <f>$F$22*$F$9*'Traffic Data'!AY30*annualizationFactor</f>
        <v>4.1152706575202591E-2</v>
      </c>
      <c r="X314" s="749">
        <f>$F$22*$F$9*'Traffic Data'!AZ30*annualizationFactor</f>
        <v>4.1829488664517474E-2</v>
      </c>
      <c r="Y314" s="749">
        <f>$F$22*$F$9*'Traffic Data'!BA30*annualizationFactor</f>
        <v>4.2506270753832336E-2</v>
      </c>
      <c r="Z314" s="749">
        <f>$F$22*$F$9*'Traffic Data'!BB30*annualizationFactor</f>
        <v>4.3184089877637291E-2</v>
      </c>
      <c r="AA314" s="749">
        <f>$F$22*$F$9*'Traffic Data'!BC30*annualizationFactor</f>
        <v>4.3860871966952167E-2</v>
      </c>
      <c r="AB314" s="749">
        <f>$F$22*$F$9*'Traffic Data'!BD30*annualizationFactor</f>
        <v>4.4538691090757108E-2</v>
      </c>
      <c r="AC314" s="749">
        <f>$F$22*$F$9*'Traffic Data'!BE30*annualizationFactor</f>
        <v>4.5215473180071984E-2</v>
      </c>
      <c r="AD314" s="749">
        <f>$F$22*$F$9*'Traffic Data'!BF30*annualizationFactor</f>
        <v>4.589225526938686E-2</v>
      </c>
      <c r="AE314" s="749">
        <f>$F$22*$F$9*'Traffic Data'!BG30*annualizationFactor</f>
        <v>4.6570074393191815E-2</v>
      </c>
      <c r="AF314" s="749">
        <f>$F$22*$F$9*'Traffic Data'!BH30*annualizationFactor</f>
        <v>4.7246856482506684E-2</v>
      </c>
      <c r="AG314" s="749">
        <f>$F$22*$F$9*'Traffic Data'!BI30*annualizationFactor</f>
        <v>4.7923638571821553E-2</v>
      </c>
      <c r="AH314" s="750">
        <f>$F$22*$F$9*'Traffic Data'!BJ30*annualizationFactor</f>
        <v>4.8601457695626502E-2</v>
      </c>
      <c r="AI314" s="40"/>
      <c r="AJ314" s="40"/>
      <c r="AK314" s="40"/>
      <c r="AL314" s="40"/>
      <c r="AM314" s="40"/>
    </row>
    <row r="315" spans="2:39" ht="21.9" customHeight="1" x14ac:dyDescent="0.25">
      <c r="B315" s="1332"/>
      <c r="C315" s="114" t="s">
        <v>318</v>
      </c>
      <c r="D315" s="114" t="s">
        <v>308</v>
      </c>
      <c r="E315" s="114" t="s">
        <v>434</v>
      </c>
      <c r="F315" s="114" t="s">
        <v>405</v>
      </c>
      <c r="G315" s="941"/>
      <c r="H315" s="941"/>
      <c r="I315" s="751">
        <f>$F$22*$F$9*'Traffic Data'!AK31*annualizationFactor</f>
        <v>7.749666135840001E-4</v>
      </c>
      <c r="J315" s="751">
        <f>$F$22*$F$9*'Traffic Data'!AL31*annualizationFactor</f>
        <v>8.5584729582171702E-4</v>
      </c>
      <c r="K315" s="751">
        <f>$F$22*$F$9*'Traffic Data'!AM31*annualizationFactor</f>
        <v>9.6750061067383164E-4</v>
      </c>
      <c r="L315" s="751">
        <f>$F$22*$F$9*'Traffic Data'!AN31*annualizationFactor</f>
        <v>1.1725438605179317E-3</v>
      </c>
      <c r="M315" s="751">
        <f>$F$22*$F$9*'Traffic Data'!AO31*annualizationFactor</f>
        <v>1.3776452328580506E-3</v>
      </c>
      <c r="N315" s="751">
        <f>$F$22*$F$9*'Traffic Data'!AP31*annualizationFactor</f>
        <v>1.5827853535288487E-3</v>
      </c>
      <c r="O315" s="751">
        <f>$F$22*$F$9*'Traffic Data'!AQ31*annualizationFactor</f>
        <v>1.7878286033729484E-3</v>
      </c>
      <c r="P315" s="751">
        <f>$F$22*$F$9*'Traffic Data'!AR31*annualizationFactor</f>
        <v>1.9930591368153313E-3</v>
      </c>
      <c r="Q315" s="751">
        <f>$F$22*$F$9*'Traffic Data'!AS31*annualizationFactor</f>
        <v>2.2881535071578923E-3</v>
      </c>
      <c r="R315" s="751">
        <f>$F$22*$F$9*'Traffic Data'!AT31*annualizationFactor</f>
        <v>2.5833124580515849E-3</v>
      </c>
      <c r="S315" s="751">
        <f>$F$22*$F$9*'Traffic Data'!AU31*annualizationFactor</f>
        <v>2.878348705898127E-3</v>
      </c>
      <c r="T315" s="751">
        <f>$F$22*$F$9*'Traffic Data'!AV31*annualizationFactor</f>
        <v>3.173443076240688E-3</v>
      </c>
      <c r="U315" s="751">
        <f>$F$22*$F$9*'Traffic Data'!AW31*annualizationFactor</f>
        <v>3.4687247301815323E-3</v>
      </c>
      <c r="V315" s="751">
        <f>$F$22*$F$9*'Traffic Data'!AX31*annualizationFactor</f>
        <v>3.6702418819338244E-3</v>
      </c>
      <c r="W315" s="751">
        <f>$F$22*$F$9*'Traffic Data'!AY31*annualizationFactor</f>
        <v>3.7511225641715419E-3</v>
      </c>
      <c r="X315" s="751">
        <f>$F$22*$F$9*'Traffic Data'!AZ31*annualizationFactor</f>
        <v>3.8320032464092581E-3</v>
      </c>
      <c r="Y315" s="751">
        <f>$F$22*$F$9*'Traffic Data'!BA31*annualizationFactor</f>
        <v>3.9128839286469751E-3</v>
      </c>
      <c r="Z315" s="751">
        <f>$F$22*$F$9*'Traffic Data'!BB31*annualizationFactor</f>
        <v>3.9938227333807114E-3</v>
      </c>
      <c r="AA315" s="751">
        <f>$F$22*$F$9*'Traffic Data'!BC31*annualizationFactor</f>
        <v>4.0747034156184267E-3</v>
      </c>
      <c r="AB315" s="751">
        <f>$F$22*$F$9*'Traffic Data'!BD31*annualizationFactor</f>
        <v>4.1556422203521629E-3</v>
      </c>
      <c r="AC315" s="751">
        <f>$F$22*$F$9*'Traffic Data'!BE31*annualizationFactor</f>
        <v>4.23652290258988E-3</v>
      </c>
      <c r="AD315" s="751">
        <f>$F$22*$F$9*'Traffic Data'!BF31*annualizationFactor</f>
        <v>4.317403584827597E-3</v>
      </c>
      <c r="AE315" s="751">
        <f>$F$22*$F$9*'Traffic Data'!BG31*annualizationFactor</f>
        <v>4.3983423895613324E-3</v>
      </c>
      <c r="AF315" s="751">
        <f>$F$22*$F$9*'Traffic Data'!BH31*annualizationFactor</f>
        <v>4.4792230717990485E-3</v>
      </c>
      <c r="AG315" s="751">
        <f>$F$22*$F$9*'Traffic Data'!BI31*annualizationFactor</f>
        <v>4.5601037540367664E-3</v>
      </c>
      <c r="AH315" s="752">
        <f>$F$22*$F$9*'Traffic Data'!BJ31*annualizationFactor</f>
        <v>4.641042558770501E-3</v>
      </c>
      <c r="AI315" s="40"/>
      <c r="AJ315" s="40"/>
      <c r="AK315" s="40"/>
      <c r="AL315" s="40"/>
      <c r="AM315" s="40"/>
    </row>
    <row r="316" spans="2:39" ht="21.9" customHeight="1" x14ac:dyDescent="0.25">
      <c r="B316" s="1332"/>
      <c r="C316" s="250" t="s">
        <v>308</v>
      </c>
      <c r="D316" s="250" t="s">
        <v>319</v>
      </c>
      <c r="E316" s="114" t="s">
        <v>434</v>
      </c>
      <c r="F316" s="250" t="s">
        <v>405</v>
      </c>
      <c r="G316" s="941"/>
      <c r="H316" s="941"/>
      <c r="I316" s="751">
        <f>$F$22*$F$9*'Traffic Data'!AK32*annualizationFactor</f>
        <v>1.0384552622025603E-2</v>
      </c>
      <c r="J316" s="751">
        <f>$F$22*$F$9*'Traffic Data'!AL32*annualizationFactor</f>
        <v>1.0675354710617726E-2</v>
      </c>
      <c r="K316" s="751">
        <f>$F$22*$F$9*'Traffic Data'!AM32*annualizationFactor</f>
        <v>1.1089767590587361E-2</v>
      </c>
      <c r="L316" s="751">
        <f>$F$22*$F$9*'Traffic Data'!AN32*annualizationFactor</f>
        <v>1.1671406382947015E-2</v>
      </c>
      <c r="M316" s="751">
        <f>$F$22*$F$9*'Traffic Data'!AO32*annualizationFactor</f>
        <v>1.2253287481534512E-2</v>
      </c>
      <c r="N316" s="751">
        <f>$F$22*$F$9*'Traffic Data'!AP32*annualizationFactor</f>
        <v>1.2835116657358911E-2</v>
      </c>
      <c r="O316" s="751">
        <f>$F$22*$F$9*'Traffic Data'!AQ32*annualizationFactor</f>
        <v>1.3416755449718563E-2</v>
      </c>
      <c r="P316" s="751">
        <f>$F$22*$F$9*'Traffic Data'!AR32*annualizationFactor</f>
        <v>1.3998861546946207E-2</v>
      </c>
      <c r="Q316" s="751">
        <f>$F$22*$F$9*'Traffic Data'!AS32*annualizationFactor</f>
        <v>1.4586488764651226E-2</v>
      </c>
      <c r="R316" s="751">
        <f>$F$22*$F$9*'Traffic Data'!AT32*annualizationFactor</f>
        <v>1.5174289058233282E-2</v>
      </c>
      <c r="S316" s="751">
        <f>$F$22*$F$9*'Traffic Data'!AU32*annualizationFactor</f>
        <v>1.5761864353175194E-2</v>
      </c>
      <c r="T316" s="751">
        <f>$F$22*$F$9*'Traffic Data'!AV32*annualizationFactor</f>
        <v>1.6349491570880219E-2</v>
      </c>
      <c r="U316" s="751">
        <f>$F$22*$F$9*'Traffic Data'!AW32*annualizationFactor</f>
        <v>1.6937586093453232E-2</v>
      </c>
      <c r="V316" s="751">
        <f>$F$22*$F$9*'Traffic Data'!AX32*annualizationFactor</f>
        <v>1.7357710477364979E-2</v>
      </c>
      <c r="W316" s="751">
        <f>$F$22*$F$9*'Traffic Data'!AY32*annualizationFactor</f>
        <v>1.7648512565957102E-2</v>
      </c>
      <c r="X316" s="751">
        <f>$F$22*$F$9*'Traffic Data'!AZ32*annualizationFactor</f>
        <v>1.7939314654549225E-2</v>
      </c>
      <c r="Y316" s="751">
        <f>$F$22*$F$9*'Traffic Data'!BA32*annualizationFactor</f>
        <v>1.8230116743141348E-2</v>
      </c>
      <c r="Z316" s="751">
        <f>$F$22*$F$9*'Traffic Data'!BB32*annualizationFactor</f>
        <v>1.8521057292435101E-2</v>
      </c>
      <c r="AA316" s="751">
        <f>$F$22*$F$9*'Traffic Data'!BC32*annualizationFactor</f>
        <v>1.8811859381027227E-2</v>
      </c>
      <c r="AB316" s="751">
        <f>$F$22*$F$9*'Traffic Data'!BD32*annualizationFactor</f>
        <v>1.9102799930320977E-2</v>
      </c>
      <c r="AC316" s="751">
        <f>$F$22*$F$9*'Traffic Data'!BE32*annualizationFactor</f>
        <v>1.93936020189131E-2</v>
      </c>
      <c r="AD316" s="751">
        <f>$F$22*$F$9*'Traffic Data'!BF32*annualizationFactor</f>
        <v>1.9684404107505223E-2</v>
      </c>
      <c r="AE316" s="751">
        <f>$F$22*$F$9*'Traffic Data'!BG32*annualizationFactor</f>
        <v>1.9975344656798972E-2</v>
      </c>
      <c r="AF316" s="751">
        <f>$F$22*$F$9*'Traffic Data'!BH32*annualizationFactor</f>
        <v>2.0266146745391091E-2</v>
      </c>
      <c r="AG316" s="751">
        <f>$F$22*$F$9*'Traffic Data'!BI32*annualizationFactor</f>
        <v>2.0556948833983214E-2</v>
      </c>
      <c r="AH316" s="752">
        <f>$F$22*$F$9*'Traffic Data'!BJ32*annualizationFactor</f>
        <v>2.0847889383276971E-2</v>
      </c>
      <c r="AI316" s="40"/>
      <c r="AJ316" s="40"/>
      <c r="AK316" s="40"/>
      <c r="AL316" s="40"/>
      <c r="AM316" s="40"/>
    </row>
    <row r="317" spans="2:39" ht="21.9" customHeight="1" x14ac:dyDescent="0.25">
      <c r="B317" s="469" t="s">
        <v>320</v>
      </c>
      <c r="C317" s="114" t="s">
        <v>318</v>
      </c>
      <c r="D317" s="114" t="s">
        <v>308</v>
      </c>
      <c r="E317" s="273" t="s">
        <v>434</v>
      </c>
      <c r="F317" s="273" t="s">
        <v>405</v>
      </c>
      <c r="G317" s="754"/>
      <c r="H317" s="754"/>
      <c r="I317" s="749">
        <f>$F$22*$G$9*'Traffic Data'!AK33*annualizationFactor</f>
        <v>3.0352859032040004E-5</v>
      </c>
      <c r="J317" s="749">
        <f>$F$22*$G$9*'Traffic Data'!AL33*annualizationFactor</f>
        <v>2.3004431860383119E-4</v>
      </c>
      <c r="K317" s="749">
        <f>$F$22*$G$9*'Traffic Data'!AM33*annualizationFactor</f>
        <v>1.3327636872378444E-3</v>
      </c>
      <c r="L317" s="749">
        <f>$F$22*$G$9*'Traffic Data'!AN33*annualizationFactor</f>
        <v>3.0696756924873019E-3</v>
      </c>
      <c r="M317" s="749">
        <f>$F$22*$G$9*'Traffic Data'!AO33*annualizationFactor</f>
        <v>4.8076804006619116E-3</v>
      </c>
      <c r="N317" s="749">
        <f>$F$22*$G$9*'Traffic Data'!AP33*annualizationFactor</f>
        <v>6.5457761674136208E-3</v>
      </c>
      <c r="O317" s="749">
        <f>$F$22*$G$9*'Traffic Data'!AQ33*annualizationFactor</f>
        <v>8.2826881726630764E-3</v>
      </c>
      <c r="P317" s="749">
        <f>$F$22*$G$9*'Traffic Data'!AR33*annualizationFactor</f>
        <v>1.0021906995198969E-2</v>
      </c>
      <c r="Q317" s="749">
        <f>$F$22*$G$9*'Traffic Data'!AS33*annualizationFactor</f>
        <v>1.0998479881695822E-2</v>
      </c>
      <c r="R317" s="749">
        <f>$F$22*$G$9*'Traffic Data'!AT33*annualizationFactor</f>
        <v>1.1975417002501064E-2</v>
      </c>
      <c r="S317" s="749">
        <f>$F$22*$G$9*'Traffic Data'!AU33*annualizationFactor</f>
        <v>1.2952263064729207E-2</v>
      </c>
      <c r="T317" s="749">
        <f>$F$22*$G$9*'Traffic Data'!AV33*annualizationFactor</f>
        <v>1.3928835951226059E-2</v>
      </c>
      <c r="U317" s="749">
        <f>$F$22*$G$9*'Traffic Data'!AW33*annualizationFactor</f>
        <v>1.4907715655009356E-2</v>
      </c>
      <c r="V317" s="749">
        <f>$F$22*$G$9*'Traffic Data'!AX33*annualizationFactor</f>
        <v>1.5249154966260775E-2</v>
      </c>
      <c r="W317" s="749">
        <f>$F$22*$G$9*'Traffic Data'!AY33*annualizationFactor</f>
        <v>1.5448846425832561E-2</v>
      </c>
      <c r="X317" s="749">
        <f>$F$22*$G$9*'Traffic Data'!AZ33*annualizationFactor</f>
        <v>1.5648537885404355E-2</v>
      </c>
      <c r="Y317" s="749">
        <f>$F$22*$G$9*'Traffic Data'!BA33*annualizationFactor</f>
        <v>1.5848229344976147E-2</v>
      </c>
      <c r="Z317" s="749">
        <f>$F$22*$G$9*'Traffic Data'!BB33*annualizationFactor</f>
        <v>1.6048709978882768E-2</v>
      </c>
      <c r="AA317" s="749">
        <f>$F$22*$G$9*'Traffic Data'!BC33*annualizationFactor</f>
        <v>1.624840143845456E-2</v>
      </c>
      <c r="AB317" s="749">
        <f>$F$22*$G$9*'Traffic Data'!BD33*annualizationFactor</f>
        <v>1.6448882072361188E-2</v>
      </c>
      <c r="AC317" s="749">
        <f>$F$22*$G$9*'Traffic Data'!BE33*annualizationFactor</f>
        <v>1.6648573531932973E-2</v>
      </c>
      <c r="AD317" s="749">
        <f>$F$22*$G$9*'Traffic Data'!BF33*annualizationFactor</f>
        <v>1.6848264991504769E-2</v>
      </c>
      <c r="AE317" s="749">
        <f>$F$22*$G$9*'Traffic Data'!BG33*annualizationFactor</f>
        <v>1.7048745625411397E-2</v>
      </c>
      <c r="AF317" s="749">
        <f>$F$22*$G$9*'Traffic Data'!BH33*annualizationFactor</f>
        <v>1.7248437084983182E-2</v>
      </c>
      <c r="AG317" s="749">
        <f>$F$22*$G$9*'Traffic Data'!BI33*annualizationFactor</f>
        <v>1.7448128544554974E-2</v>
      </c>
      <c r="AH317" s="750">
        <f>$F$22*$G$9*'Traffic Data'!BJ33*annualizationFactor</f>
        <v>1.7648609178461599E-2</v>
      </c>
      <c r="AI317" s="40"/>
      <c r="AJ317" s="40"/>
      <c r="AK317" s="40"/>
      <c r="AL317" s="40"/>
      <c r="AM317" s="40"/>
    </row>
    <row r="318" spans="2:39" ht="21.9" customHeight="1" x14ac:dyDescent="0.25">
      <c r="B318" s="1332" t="s">
        <v>308</v>
      </c>
      <c r="C318" s="217" t="s">
        <v>276</v>
      </c>
      <c r="D318" s="217" t="s">
        <v>320</v>
      </c>
      <c r="E318" s="114" t="s">
        <v>434</v>
      </c>
      <c r="F318" s="114" t="s">
        <v>405</v>
      </c>
      <c r="G318" s="941"/>
      <c r="H318" s="941"/>
      <c r="I318" s="749">
        <f>$F$22*$H$9*'Traffic Data'!AK34*annualizationFactor</f>
        <v>8.7183744028199994E-5</v>
      </c>
      <c r="J318" s="749">
        <f>$F$22*$H$9*'Traffic Data'!AL34*annualizationFactor</f>
        <v>1.9376587110267449E-4</v>
      </c>
      <c r="K318" s="749">
        <f>$F$22*$H$9*'Traffic Data'!AM34*annualizationFactor</f>
        <v>8.1896049952889696E-4</v>
      </c>
      <c r="L318" s="749">
        <f>$F$22*$H$9*'Traffic Data'!AN34*annualizationFactor</f>
        <v>1.8409719388994712E-3</v>
      </c>
      <c r="M318" s="749">
        <f>$F$22*$H$9*'Traffic Data'!AO34*annualizationFactor</f>
        <v>2.8635500726062295E-3</v>
      </c>
      <c r="N318" s="749">
        <f>$F$22*$H$9*'Traffic Data'!AP34*annualizationFactor</f>
        <v>3.8861717981850006E-3</v>
      </c>
      <c r="O318" s="749">
        <f>$F$22*$H$9*'Traffic Data'!AQ34*annualizationFactor</f>
        <v>4.9081832375555759E-3</v>
      </c>
      <c r="P318" s="749">
        <f>$F$22*$H$9*'Traffic Data'!AR34*annualizationFactor</f>
        <v>5.9313716574705324E-3</v>
      </c>
      <c r="Q318" s="749">
        <f>$F$22*$H$9*'Traffic Data'!AS34*annualizationFactor</f>
        <v>6.7203845409257428E-3</v>
      </c>
      <c r="R318" s="749">
        <f>$F$22*$H$9*'Traffic Data'!AT34*annualizationFactor</f>
        <v>7.5095281999969943E-3</v>
      </c>
      <c r="S318" s="749">
        <f>$F$22*$H$9*'Traffic Data'!AU34*annualizationFactor</f>
        <v>8.298541083452203E-3</v>
      </c>
      <c r="T318" s="749">
        <f>$F$22*$H$9*'Traffic Data'!AV34*annualizationFactor</f>
        <v>9.0875539669074135E-3</v>
      </c>
      <c r="U318" s="749">
        <f>$F$22*$H$9*'Traffic Data'!AW34*annualizationFactor</f>
        <v>9.8776130552909631E-3</v>
      </c>
      <c r="V318" s="749">
        <f>$F$22*$H$9*'Traffic Data'!AX34*annualizationFactor</f>
        <v>1.0269198841593623E-2</v>
      </c>
      <c r="W318" s="749">
        <f>$F$22*$H$9*'Traffic Data'!AY34*annualizationFactor</f>
        <v>1.03757809686681E-2</v>
      </c>
      <c r="X318" s="749">
        <f>$F$22*$H$9*'Traffic Data'!AZ34*annualizationFactor</f>
        <v>1.0482363095742572E-2</v>
      </c>
      <c r="Y318" s="749">
        <f>$F$22*$H$9*'Traffic Data'!BA34*annualizationFactor</f>
        <v>1.0588945222817048E-2</v>
      </c>
      <c r="Z318" s="749">
        <f>$F$22*$H$9*'Traffic Data'!BB34*annualizationFactor</f>
        <v>1.0695832492995621E-2</v>
      </c>
      <c r="AA318" s="749">
        <f>$F$22*$H$9*'Traffic Data'!BC34*annualizationFactor</f>
        <v>1.0802414620070094E-2</v>
      </c>
      <c r="AB318" s="749">
        <f>$F$22*$H$9*'Traffic Data'!BD34*annualizationFactor</f>
        <v>1.0909301890248664E-2</v>
      </c>
      <c r="AC318" s="749">
        <f>$F$22*$H$9*'Traffic Data'!BE34*annualizationFactor</f>
        <v>1.101588401732314E-2</v>
      </c>
      <c r="AD318" s="749">
        <f>$F$22*$H$9*'Traffic Data'!BF34*annualizationFactor</f>
        <v>1.1122466144397616E-2</v>
      </c>
      <c r="AE318" s="749">
        <f>$F$22*$H$9*'Traffic Data'!BG34*annualizationFactor</f>
        <v>1.1229353414576189E-2</v>
      </c>
      <c r="AF318" s="749">
        <f>$F$22*$H$9*'Traffic Data'!BH34*annualizationFactor</f>
        <v>1.1335935541650664E-2</v>
      </c>
      <c r="AG318" s="749">
        <f>$F$22*$H$9*'Traffic Data'!BI34*annualizationFactor</f>
        <v>1.1442517668725137E-2</v>
      </c>
      <c r="AH318" s="750">
        <f>$F$22*$H$9*'Traffic Data'!BJ34*annualizationFactor</f>
        <v>1.1549404938903711E-2</v>
      </c>
      <c r="AI318" s="40"/>
      <c r="AJ318" s="40"/>
      <c r="AK318" s="40"/>
      <c r="AL318" s="40"/>
      <c r="AM318" s="40"/>
    </row>
    <row r="319" spans="2:39" ht="21.9" customHeight="1" x14ac:dyDescent="0.25">
      <c r="B319" s="1332"/>
      <c r="C319" s="114" t="s">
        <v>320</v>
      </c>
      <c r="D319" s="114" t="s">
        <v>282</v>
      </c>
      <c r="E319" s="114" t="s">
        <v>434</v>
      </c>
      <c r="F319" s="114" t="s">
        <v>405</v>
      </c>
      <c r="G319" s="941"/>
      <c r="H319" s="941"/>
      <c r="I319" s="751">
        <f>$F$22*$H$9*'Traffic Data'!AK35*annualizationFactor</f>
        <v>0</v>
      </c>
      <c r="J319" s="751">
        <f>$F$22*$H$9*'Traffic Data'!AL35*annualizationFactor</f>
        <v>5.9310778159628808E-5</v>
      </c>
      <c r="K319" s="751">
        <f>$F$22*$H$9*'Traffic Data'!AM35*annualizationFactor</f>
        <v>1.698584739763638E-4</v>
      </c>
      <c r="L319" s="751">
        <f>$F$22*$H$9*'Traffic Data'!AN35*annualizationFactor</f>
        <v>3.8183121695692737E-4</v>
      </c>
      <c r="M319" s="751">
        <f>$F$22*$H$9*'Traffic Data'!AO35*annualizationFactor</f>
        <v>5.9392149654055137E-4</v>
      </c>
      <c r="N319" s="751">
        <f>$F$22*$H$9*'Traffic Data'!AP35*annualizationFactor</f>
        <v>8.0602081740133353E-4</v>
      </c>
      <c r="O319" s="751">
        <f>$F$22*$H$9*'Traffic Data'!AQ35*annualizationFactor</f>
        <v>1.0179935603818974E-3</v>
      </c>
      <c r="P319" s="751">
        <f>$F$22*$H$9*'Traffic Data'!AR35*annualizationFactor</f>
        <v>1.23021041784574E-3</v>
      </c>
      <c r="Q319" s="751">
        <f>$F$22*$H$9*'Traffic Data'!AS35*annualizationFactor</f>
        <v>1.3938575344142282E-3</v>
      </c>
      <c r="R319" s="751">
        <f>$F$22*$H$9*'Traffic Data'!AT35*annualizationFactor</f>
        <v>1.5575317748141918E-3</v>
      </c>
      <c r="S319" s="751">
        <f>$F$22*$H$9*'Traffic Data'!AU35*annualizationFactor</f>
        <v>1.7211788913826795E-3</v>
      </c>
      <c r="T319" s="751">
        <f>$F$22*$H$9*'Traffic Data'!AV35*annualizationFactor</f>
        <v>1.8848260079511673E-3</v>
      </c>
      <c r="U319" s="751">
        <f>$F$22*$H$9*'Traffic Data'!AW35*annualizationFactor</f>
        <v>2.0486901151714589E-3</v>
      </c>
      <c r="V319" s="751">
        <f>$F$22*$H$9*'Traffic Data'!AX35*annualizationFactor</f>
        <v>2.1299079078860848E-3</v>
      </c>
      <c r="W319" s="751">
        <f>$F$22*$H$9*'Traffic Data'!AY35*annualizationFactor</f>
        <v>2.1520138305385688E-3</v>
      </c>
      <c r="X319" s="751">
        <f>$F$22*$H$9*'Traffic Data'!AZ35*annualizationFactor</f>
        <v>2.1741197531910525E-3</v>
      </c>
      <c r="Y319" s="751">
        <f>$F$22*$H$9*'Traffic Data'!BA35*annualizationFactor</f>
        <v>2.1962256758435361E-3</v>
      </c>
      <c r="Z319" s="751">
        <f>$F$22*$H$9*'Traffic Data'!BB35*annualizationFactor</f>
        <v>2.2183948874361292E-3</v>
      </c>
      <c r="AA319" s="751">
        <f>$F$22*$H$9*'Traffic Data'!BC35*annualizationFactor</f>
        <v>2.2405008100886124E-3</v>
      </c>
      <c r="AB319" s="751">
        <f>$F$22*$H$9*'Traffic Data'!BD35*annualizationFactor</f>
        <v>2.2626700216812046E-3</v>
      </c>
      <c r="AC319" s="751">
        <f>$F$22*$H$9*'Traffic Data'!BE35*annualizationFactor</f>
        <v>2.2847759443336887E-3</v>
      </c>
      <c r="AD319" s="751">
        <f>$F$22*$H$9*'Traffic Data'!BF35*annualizationFactor</f>
        <v>2.3068818669861719E-3</v>
      </c>
      <c r="AE319" s="751">
        <f>$F$22*$H$9*'Traffic Data'!BG35*annualizationFactor</f>
        <v>2.329051078578765E-3</v>
      </c>
      <c r="AF319" s="751">
        <f>$F$22*$H$9*'Traffic Data'!BH35*annualizationFactor</f>
        <v>2.351157001231249E-3</v>
      </c>
      <c r="AG319" s="751">
        <f>$F$22*$H$9*'Traffic Data'!BI35*annualizationFactor</f>
        <v>2.3732629238837322E-3</v>
      </c>
      <c r="AH319" s="752">
        <f>$F$22*$H$9*'Traffic Data'!BJ35*annualizationFactor</f>
        <v>2.3954321354763253E-3</v>
      </c>
      <c r="AI319" s="40"/>
      <c r="AJ319" s="40"/>
      <c r="AK319" s="40"/>
      <c r="AL319" s="40"/>
      <c r="AM319" s="40"/>
    </row>
    <row r="320" spans="2:39" ht="21.9" customHeight="1" x14ac:dyDescent="0.25">
      <c r="B320" s="1332"/>
      <c r="C320" s="114" t="s">
        <v>282</v>
      </c>
      <c r="D320" s="114" t="s">
        <v>321</v>
      </c>
      <c r="E320" s="114" t="s">
        <v>434</v>
      </c>
      <c r="F320" s="114" t="s">
        <v>405</v>
      </c>
      <c r="G320" s="941"/>
      <c r="H320" s="941"/>
      <c r="I320" s="751">
        <f>$F$22*$H$9*'Traffic Data'!AK36*annualizationFactor</f>
        <v>0</v>
      </c>
      <c r="J320" s="751">
        <f>$F$22*$H$9*'Traffic Data'!AL36*annualizationFactor</f>
        <v>1.5463167163046082E-4</v>
      </c>
      <c r="K320" s="751">
        <f>$F$22*$H$9*'Traffic Data'!AM36*annualizationFactor</f>
        <v>4.4284530715266271E-4</v>
      </c>
      <c r="L320" s="751">
        <f>$F$22*$H$9*'Traffic Data'!AN36*annualizationFactor</f>
        <v>9.9548852992341775E-4</v>
      </c>
      <c r="M320" s="751">
        <f>$F$22*$H$9*'Traffic Data'!AO36*annualizationFactor</f>
        <v>1.5484381874092945E-3</v>
      </c>
      <c r="N320" s="751">
        <f>$F$22*$H$9*'Traffic Data'!AP36*annualizationFactor</f>
        <v>2.1014114167963336E-3</v>
      </c>
      <c r="O320" s="751">
        <f>$F$22*$H$9*'Traffic Data'!AQ36*annualizationFactor</f>
        <v>2.6540546395670888E-3</v>
      </c>
      <c r="P320" s="751">
        <f>$F$22*$H$9*'Traffic Data'!AR36*annualizationFactor</f>
        <v>3.20733430366925E-3</v>
      </c>
      <c r="Q320" s="751">
        <f>$F$22*$H$9*'Traffic Data'!AS36*annualizationFactor</f>
        <v>3.6339857147228089E-3</v>
      </c>
      <c r="R320" s="751">
        <f>$F$22*$H$9*'Traffic Data'!AT36*annualizationFactor</f>
        <v>4.0607078414798556E-3</v>
      </c>
      <c r="S320" s="751">
        <f>$F$22*$H$9*'Traffic Data'!AU36*annualizationFactor</f>
        <v>4.4873592525334132E-3</v>
      </c>
      <c r="T320" s="751">
        <f>$F$22*$H$9*'Traffic Data'!AV36*annualizationFactor</f>
        <v>4.9140106635869709E-3</v>
      </c>
      <c r="U320" s="751">
        <f>$F$22*$H$9*'Traffic Data'!AW36*annualizationFactor</f>
        <v>5.3412278002684466E-3</v>
      </c>
      <c r="V320" s="751">
        <f>$F$22*$H$9*'Traffic Data'!AX36*annualizationFactor</f>
        <v>5.5529741884172918E-3</v>
      </c>
      <c r="W320" s="751">
        <f>$F$22*$H$9*'Traffic Data'!AY36*annualizationFactor</f>
        <v>5.6106074867612668E-3</v>
      </c>
      <c r="X320" s="751">
        <f>$F$22*$H$9*'Traffic Data'!AZ36*annualizationFactor</f>
        <v>5.6682407851052418E-3</v>
      </c>
      <c r="Y320" s="751">
        <f>$F$22*$H$9*'Traffic Data'!BA36*annualizationFactor</f>
        <v>5.7258740834492177E-3</v>
      </c>
      <c r="Z320" s="751">
        <f>$F$22*$H$9*'Traffic Data'!BB36*annualizationFactor</f>
        <v>5.7836723851013355E-3</v>
      </c>
      <c r="AA320" s="751">
        <f>$F$22*$H$9*'Traffic Data'!BC36*annualizationFactor</f>
        <v>5.8413056834453097E-3</v>
      </c>
      <c r="AB320" s="751">
        <f>$F$22*$H$9*'Traffic Data'!BD36*annualizationFactor</f>
        <v>5.8991039850974265E-3</v>
      </c>
      <c r="AC320" s="751">
        <f>$F$22*$H$9*'Traffic Data'!BE36*annualizationFactor</f>
        <v>5.9567372834414007E-3</v>
      </c>
      <c r="AD320" s="751">
        <f>$F$22*$H$9*'Traffic Data'!BF36*annualizationFactor</f>
        <v>6.0143705817853775E-3</v>
      </c>
      <c r="AE320" s="751">
        <f>$F$22*$H$9*'Traffic Data'!BG36*annualizationFactor</f>
        <v>6.0721688834374935E-3</v>
      </c>
      <c r="AF320" s="751">
        <f>$F$22*$H$9*'Traffic Data'!BH36*annualizationFactor</f>
        <v>6.1298021817814685E-3</v>
      </c>
      <c r="AG320" s="751">
        <f>$F$22*$H$9*'Traffic Data'!BI36*annualizationFactor</f>
        <v>6.1874354801254453E-3</v>
      </c>
      <c r="AH320" s="752">
        <f>$F$22*$H$9*'Traffic Data'!BJ36*annualizationFactor</f>
        <v>6.2452337817775613E-3</v>
      </c>
      <c r="AI320" s="40"/>
      <c r="AJ320" s="40"/>
      <c r="AK320" s="40"/>
      <c r="AL320" s="40"/>
      <c r="AM320" s="40"/>
    </row>
    <row r="321" spans="2:39" ht="21.9" customHeight="1" x14ac:dyDescent="0.25">
      <c r="B321" s="1332"/>
      <c r="C321" s="250" t="s">
        <v>321</v>
      </c>
      <c r="D321" s="250" t="s">
        <v>274</v>
      </c>
      <c r="E321" s="114" t="s">
        <v>434</v>
      </c>
      <c r="F321" s="250" t="s">
        <v>405</v>
      </c>
      <c r="G321" s="941"/>
      <c r="H321" s="941"/>
      <c r="I321" s="751">
        <f>$F$22*$H$9*'Traffic Data'!AK37*annualizationFactor</f>
        <v>2.0342873606580002E-4</v>
      </c>
      <c r="J321" s="751">
        <f>$F$22*$H$9*'Traffic Data'!AL37*annualizationFactor</f>
        <v>3.0325121685328808E-4</v>
      </c>
      <c r="K321" s="751">
        <f>$F$22*$H$9*'Traffic Data'!AM37*annualizationFactor</f>
        <v>4.2695623125490106E-4</v>
      </c>
      <c r="L321" s="751">
        <f>$F$22*$H$9*'Traffic Data'!AN37*annualizationFactor</f>
        <v>7.3968044625098651E-4</v>
      </c>
      <c r="M321" s="751">
        <f>$F$22*$H$9*'Traffic Data'!AO37*annualizationFactor</f>
        <v>1.0524385660364165E-3</v>
      </c>
      <c r="N321" s="751">
        <f>$F$22*$H$9*'Traffic Data'!AP37*annualizationFactor</f>
        <v>1.3653526478528304E-3</v>
      </c>
      <c r="O321" s="751">
        <f>$F$22*$H$9*'Traffic Data'!AQ37*annualizationFactor</f>
        <v>1.6780768628489157E-3</v>
      </c>
      <c r="P321" s="751">
        <f>$F$22*$H$9*'Traffic Data'!AR37*annualizationFactor</f>
        <v>1.990699363476968E-3</v>
      </c>
      <c r="Q321" s="751">
        <f>$F$22*$H$9*'Traffic Data'!AS37*annualizationFactor</f>
        <v>2.7864515503455579E-3</v>
      </c>
      <c r="R321" s="751">
        <f>$F$22*$H$9*'Traffic Data'!AT37*annualizationFactor</f>
        <v>3.5818918131521808E-3</v>
      </c>
      <c r="S321" s="751">
        <f>$F$22*$H$9*'Traffic Data'!AU37*annualizationFactor</f>
        <v>4.3772710473379836E-3</v>
      </c>
      <c r="T321" s="751">
        <f>$F$22*$H$9*'Traffic Data'!AV37*annualizationFactor</f>
        <v>5.1730232342065731E-3</v>
      </c>
      <c r="U321" s="751">
        <f>$F$22*$H$9*'Traffic Data'!AW37*annualizationFactor</f>
        <v>5.9686737067071302E-3</v>
      </c>
      <c r="V321" s="751">
        <f>$F$22*$H$9*'Traffic Data'!AX37*annualizationFactor</f>
        <v>6.575169359455838E-3</v>
      </c>
      <c r="W321" s="751">
        <f>$F$22*$H$9*'Traffic Data'!AY37*annualizationFactor</f>
        <v>6.6749918402433245E-3</v>
      </c>
      <c r="X321" s="751">
        <f>$F$22*$H$9*'Traffic Data'!AZ37*annualizationFactor</f>
        <v>6.7748143210308136E-3</v>
      </c>
      <c r="Y321" s="751">
        <f>$F$22*$H$9*'Traffic Data'!BA37*annualizationFactor</f>
        <v>6.8746368018183027E-3</v>
      </c>
      <c r="Z321" s="751">
        <f>$F$22*$H$9*'Traffic Data'!BB37*annualizationFactor</f>
        <v>6.9741541395016912E-3</v>
      </c>
      <c r="AA321" s="751">
        <f>$F$22*$H$9*'Traffic Data'!BC37*annualizationFactor</f>
        <v>7.0739766202891786E-3</v>
      </c>
      <c r="AB321" s="751">
        <f>$F$22*$H$9*'Traffic Data'!BD37*annualizationFactor</f>
        <v>7.1734939579725706E-3</v>
      </c>
      <c r="AC321" s="751">
        <f>$F$22*$H$9*'Traffic Data'!BE37*annualizationFactor</f>
        <v>7.2733164387600562E-3</v>
      </c>
      <c r="AD321" s="751">
        <f>$F$22*$H$9*'Traffic Data'!BF37*annualizationFactor</f>
        <v>7.3731389195475453E-3</v>
      </c>
      <c r="AE321" s="751">
        <f>$F$22*$H$9*'Traffic Data'!BG37*annualizationFactor</f>
        <v>7.4726562572309339E-3</v>
      </c>
      <c r="AF321" s="751">
        <f>$F$22*$H$9*'Traffic Data'!BH37*annualizationFactor</f>
        <v>7.572478738018423E-3</v>
      </c>
      <c r="AG321" s="751">
        <f>$F$22*$H$9*'Traffic Data'!BI37*annualizationFactor</f>
        <v>7.6723012188059094E-3</v>
      </c>
      <c r="AH321" s="752">
        <f>$F$22*$H$9*'Traffic Data'!BJ37*annualizationFactor</f>
        <v>7.7718185564892997E-3</v>
      </c>
      <c r="AI321" s="40"/>
      <c r="AJ321" s="40"/>
      <c r="AK321" s="40"/>
      <c r="AL321" s="40"/>
      <c r="AM321" s="40"/>
    </row>
    <row r="322" spans="2:39" ht="21.9" customHeight="1" x14ac:dyDescent="0.25">
      <c r="B322" s="469" t="s">
        <v>282</v>
      </c>
      <c r="C322" s="114" t="s">
        <v>308</v>
      </c>
      <c r="D322" s="114" t="s">
        <v>324</v>
      </c>
      <c r="E322" s="114" t="s">
        <v>434</v>
      </c>
      <c r="F322" s="250" t="s">
        <v>405</v>
      </c>
      <c r="G322" s="941"/>
      <c r="H322" s="941"/>
      <c r="I322" s="749">
        <f>$F$22*$J$9*'Traffic Data'!AK38*annualizationFactor</f>
        <v>1.1624499203760001E-3</v>
      </c>
      <c r="J322" s="749">
        <f>$F$22*$J$9*'Traffic Data'!AL38*annualizationFactor</f>
        <v>1.2339276743688979E-3</v>
      </c>
      <c r="K322" s="749">
        <f>$F$22*$J$9*'Traffic Data'!AM38*annualizationFactor</f>
        <v>1.3285188076119381E-3</v>
      </c>
      <c r="L322" s="749">
        <f>$F$22*$J$9*'Traffic Data'!AN38*annualizationFactor</f>
        <v>1.454224850390376E-3</v>
      </c>
      <c r="M322" s="749">
        <f>$F$22*$J$9*'Traffic Data'!AO38*annualizationFactor</f>
        <v>1.5799696414994931E-3</v>
      </c>
      <c r="N322" s="749">
        <f>$F$22*$J$9*'Traffic Data'!AP38*annualizationFactor</f>
        <v>1.7059856709233652E-3</v>
      </c>
      <c r="O322" s="749">
        <f>$F$22*$J$9*'Traffic Data'!AQ38*annualizationFactor</f>
        <v>1.8316917137018026E-3</v>
      </c>
      <c r="P322" s="749">
        <f>$F$22*$J$9*'Traffic Data'!AR38*annualizationFactor</f>
        <v>1.9575333756376178E-3</v>
      </c>
      <c r="Q322" s="749">
        <f>$F$22*$J$9*'Traffic Data'!AS38*annualizationFactor</f>
        <v>2.0722800988889557E-3</v>
      </c>
      <c r="R322" s="749">
        <f>$F$22*$J$9*'Traffic Data'!AT38*annualizationFactor</f>
        <v>2.1869299513135954E-3</v>
      </c>
      <c r="S322" s="749">
        <f>$F$22*$J$9*'Traffic Data'!AU38*annualizationFactor</f>
        <v>2.3016831326200461E-3</v>
      </c>
      <c r="T322" s="749">
        <f>$F$22*$J$9*'Traffic Data'!AV38*annualizationFactor</f>
        <v>2.4164298558713841E-3</v>
      </c>
      <c r="U322" s="749">
        <f>$F$22*$J$9*'Traffic Data'!AW38*annualizationFactor</f>
        <v>2.5315834365948532E-3</v>
      </c>
      <c r="V322" s="749">
        <f>$F$22*$J$9*'Traffic Data'!AX38*annualizationFactor</f>
        <v>2.6151248375392085E-3</v>
      </c>
      <c r="W322" s="749">
        <f>$F$22*$J$9*'Traffic Data'!AY38*annualizationFactor</f>
        <v>2.686602591532106E-3</v>
      </c>
      <c r="X322" s="749">
        <f>$F$22*$J$9*'Traffic Data'!AZ38*annualizationFactor</f>
        <v>2.7580803455250031E-3</v>
      </c>
      <c r="Y322" s="749">
        <f>$F$22*$J$9*'Traffic Data'!BA38*annualizationFactor</f>
        <v>2.8295580995179011E-3</v>
      </c>
      <c r="Z322" s="749">
        <f>$F$22*$J$9*'Traffic Data'!BB38*annualizationFactor</f>
        <v>2.9011133501721568E-3</v>
      </c>
      <c r="AA322" s="749">
        <f>$F$22*$J$9*'Traffic Data'!BC38*annualizationFactor</f>
        <v>2.9725911041650543E-3</v>
      </c>
      <c r="AB322" s="749">
        <f>$F$22*$J$9*'Traffic Data'!BD38*annualizationFactor</f>
        <v>3.0442432256460087E-3</v>
      </c>
      <c r="AC322" s="749">
        <f>$F$22*$J$9*'Traffic Data'!BE38*annualizationFactor</f>
        <v>3.1157209796389058E-3</v>
      </c>
      <c r="AD322" s="749">
        <f>$F$22*$J$9*'Traffic Data'!BF38*annualizationFactor</f>
        <v>3.1871987336318038E-3</v>
      </c>
      <c r="AE322" s="749">
        <f>$F$22*$J$9*'Traffic Data'!BG38*annualizationFactor</f>
        <v>3.258753984286059E-3</v>
      </c>
      <c r="AF322" s="749">
        <f>$F$22*$J$9*'Traffic Data'!BH38*annualizationFactor</f>
        <v>3.3302317382789578E-3</v>
      </c>
      <c r="AG322" s="749">
        <f>$F$22*$J$9*'Traffic Data'!BI38*annualizationFactor</f>
        <v>3.4017094922718549E-3</v>
      </c>
      <c r="AH322" s="750">
        <f>$F$22*$J$9*'Traffic Data'!BJ38*annualizationFactor</f>
        <v>3.4733616137528085E-3</v>
      </c>
      <c r="AI322" s="40"/>
      <c r="AJ322" s="40"/>
      <c r="AK322" s="40"/>
      <c r="AL322" s="40"/>
      <c r="AM322" s="40"/>
    </row>
    <row r="323" spans="2:39" ht="21.9" customHeight="1" x14ac:dyDescent="0.25">
      <c r="B323" s="756" t="s">
        <v>321</v>
      </c>
      <c r="C323" s="273" t="s">
        <v>318</v>
      </c>
      <c r="D323" s="273" t="s">
        <v>308</v>
      </c>
      <c r="E323" s="273" t="s">
        <v>434</v>
      </c>
      <c r="F323" s="273" t="s">
        <v>405</v>
      </c>
      <c r="G323" s="754"/>
      <c r="H323" s="754"/>
      <c r="I323" s="749">
        <f>$F$22*$K$9*'Traffic Data'!AK39*annualizationFactor</f>
        <v>0</v>
      </c>
      <c r="J323" s="749">
        <f>$F$22*$K$9*'Traffic Data'!AL39*annualizationFactor</f>
        <v>0</v>
      </c>
      <c r="K323" s="749">
        <f>$F$22*$K$9*'Traffic Data'!AM39*annualizationFactor</f>
        <v>0</v>
      </c>
      <c r="L323" s="749">
        <f>$F$22*$K$9*'Traffic Data'!AN39*annualizationFactor</f>
        <v>0</v>
      </c>
      <c r="M323" s="749">
        <f>$F$22*$K$9*'Traffic Data'!AO39*annualizationFactor</f>
        <v>0</v>
      </c>
      <c r="N323" s="749">
        <f>$F$22*$K$9*'Traffic Data'!AP39*annualizationFactor</f>
        <v>0</v>
      </c>
      <c r="O323" s="749">
        <f>$F$22*$K$9*'Traffic Data'!AQ39*annualizationFactor</f>
        <v>0</v>
      </c>
      <c r="P323" s="749">
        <f>$F$22*$K$9*'Traffic Data'!AR39*annualizationFactor</f>
        <v>0</v>
      </c>
      <c r="Q323" s="749">
        <f>$F$22*$K$9*'Traffic Data'!AS39*annualizationFactor</f>
        <v>0</v>
      </c>
      <c r="R323" s="749">
        <f>$F$22*$K$9*'Traffic Data'!AT39*annualizationFactor</f>
        <v>0</v>
      </c>
      <c r="S323" s="749">
        <f>$F$22*$K$9*'Traffic Data'!AU39*annualizationFactor</f>
        <v>0</v>
      </c>
      <c r="T323" s="749">
        <f>$F$22*$K$9*'Traffic Data'!AV39*annualizationFactor</f>
        <v>0</v>
      </c>
      <c r="U323" s="749">
        <f>$F$22*$K$9*'Traffic Data'!AW39*annualizationFactor</f>
        <v>0</v>
      </c>
      <c r="V323" s="749">
        <f>$F$22*$K$9*'Traffic Data'!AX39*annualizationFactor</f>
        <v>0</v>
      </c>
      <c r="W323" s="749">
        <f>$F$22*$K$9*'Traffic Data'!AY39*annualizationFactor</f>
        <v>0</v>
      </c>
      <c r="X323" s="749">
        <f>$F$22*$K$9*'Traffic Data'!AZ39*annualizationFactor</f>
        <v>0</v>
      </c>
      <c r="Y323" s="749">
        <f>$F$22*$K$9*'Traffic Data'!BA39*annualizationFactor</f>
        <v>0</v>
      </c>
      <c r="Z323" s="749">
        <f>$F$22*$K$9*'Traffic Data'!BB39*annualizationFactor</f>
        <v>0</v>
      </c>
      <c r="AA323" s="749">
        <f>$F$22*$K$9*'Traffic Data'!BC39*annualizationFactor</f>
        <v>0</v>
      </c>
      <c r="AB323" s="749">
        <f>$F$22*$K$9*'Traffic Data'!BD39*annualizationFactor</f>
        <v>0</v>
      </c>
      <c r="AC323" s="749">
        <f>$F$22*$K$9*'Traffic Data'!BE39*annualizationFactor</f>
        <v>0</v>
      </c>
      <c r="AD323" s="749">
        <f>$F$22*$K$9*'Traffic Data'!BF39*annualizationFactor</f>
        <v>0</v>
      </c>
      <c r="AE323" s="749">
        <f>$F$22*$K$9*'Traffic Data'!BG39*annualizationFactor</f>
        <v>0</v>
      </c>
      <c r="AF323" s="749">
        <f>$F$22*$K$9*'Traffic Data'!BH39*annualizationFactor</f>
        <v>0</v>
      </c>
      <c r="AG323" s="749">
        <f>$F$22*$K$9*'Traffic Data'!BI39*annualizationFactor</f>
        <v>0</v>
      </c>
      <c r="AH323" s="750">
        <f>$F$22*$K$9*'Traffic Data'!BJ39*annualizationFactor</f>
        <v>0</v>
      </c>
      <c r="AI323" s="40"/>
      <c r="AJ323" s="40"/>
      <c r="AK323" s="40"/>
      <c r="AL323" s="40"/>
      <c r="AM323" s="40"/>
    </row>
    <row r="324" spans="2:39" ht="21.9" customHeight="1" x14ac:dyDescent="0.25">
      <c r="B324" s="756" t="s">
        <v>333</v>
      </c>
      <c r="C324" s="273" t="s">
        <v>319</v>
      </c>
      <c r="D324" s="273" t="s">
        <v>308</v>
      </c>
      <c r="E324" s="114" t="s">
        <v>434</v>
      </c>
      <c r="F324" s="273" t="s">
        <v>405</v>
      </c>
      <c r="G324" s="941"/>
      <c r="H324" s="941"/>
      <c r="I324" s="749">
        <f>$F$22*$L$9*'Traffic Data'!AK40*annualizationFactor</f>
        <v>2.1558162159700366E-3</v>
      </c>
      <c r="J324" s="749">
        <f>$F$22*$L$9*'Traffic Data'!AL40*annualizationFactor</f>
        <v>2.1854167702909807E-3</v>
      </c>
      <c r="K324" s="749">
        <f>$F$22*$L$9*'Traffic Data'!AM40*annualizationFactor</f>
        <v>2.2365814751500027E-3</v>
      </c>
      <c r="L324" s="749">
        <f>$F$22*$L$9*'Traffic Data'!AN40*annualizationFactor</f>
        <v>2.3068251535203602E-3</v>
      </c>
      <c r="M324" s="749">
        <f>$F$22*$L$9*'Traffic Data'!AO40*annualizationFactor</f>
        <v>2.3770987737826055E-3</v>
      </c>
      <c r="N324" s="749">
        <f>$F$22*$L$9*'Traffic Data'!AP40*annualizationFactor</f>
        <v>2.4474741964772713E-3</v>
      </c>
      <c r="O324" s="749">
        <f>$F$22*$L$9*'Traffic Data'!AQ40*annualizationFactor</f>
        <v>2.5177178748476288E-3</v>
      </c>
      <c r="P324" s="749">
        <f>$F$22*$L$9*'Traffic Data'!AR40*annualizationFactor</f>
        <v>2.5882070767314714E-3</v>
      </c>
      <c r="Q324" s="749">
        <f>$F$22*$L$9*'Traffic Data'!AS40*annualizationFactor</f>
        <v>2.637090209428592E-3</v>
      </c>
      <c r="R324" s="749">
        <f>$F$22*$L$9*'Traffic Data'!AT40*annualizationFactor</f>
        <v>2.6859793305040896E-3</v>
      </c>
      <c r="S324" s="749">
        <f>$F$22*$L$9*'Traffic Data'!AU40*annualizationFactor</f>
        <v>2.7348744399579663E-3</v>
      </c>
      <c r="T324" s="749">
        <f>$F$22*$L$9*'Traffic Data'!AV40*annualizationFactor</f>
        <v>2.783757572655087E-3</v>
      </c>
      <c r="U324" s="749">
        <f>$F$22*$L$9*'Traffic Data'!AW40*annualizationFactor</f>
        <v>2.8329880312981132E-3</v>
      </c>
      <c r="V324" s="749">
        <f>$F$22*$L$9*'Traffic Data'!AX40*annualizationFactor</f>
        <v>2.8625885856190568E-3</v>
      </c>
      <c r="W324" s="749">
        <f>$F$22*$L$9*'Traffic Data'!AY40*annualizationFactor</f>
        <v>2.8921891399400009E-3</v>
      </c>
      <c r="X324" s="749">
        <f>$F$22*$L$9*'Traffic Data'!AZ40*annualizationFactor</f>
        <v>2.9217896942609458E-3</v>
      </c>
      <c r="Y324" s="749">
        <f>$F$22*$L$9*'Traffic Data'!BA40*annualizationFactor</f>
        <v>2.9513902485818894E-3</v>
      </c>
      <c r="Z324" s="749">
        <f>$F$22*$L$9*'Traffic Data'!BB40*annualizationFactor</f>
        <v>2.9811944077676759E-3</v>
      </c>
      <c r="AA324" s="749">
        <f>$F$22*$L$9*'Traffic Data'!BC40*annualizationFactor</f>
        <v>3.0107949620886199E-3</v>
      </c>
      <c r="AB324" s="749">
        <f>$F$22*$L$9*'Traffic Data'!BD40*annualizationFactor</f>
        <v>3.0405092955987406E-3</v>
      </c>
      <c r="AC324" s="749">
        <f>$F$22*$L$9*'Traffic Data'!BE40*annualizationFactor</f>
        <v>3.0701098499196842E-3</v>
      </c>
      <c r="AD324" s="749">
        <f>$F$22*$L$9*'Traffic Data'!BF40*annualizationFactor</f>
        <v>3.0997104042406287E-3</v>
      </c>
      <c r="AE324" s="749">
        <f>$F$22*$L$9*'Traffic Data'!BG40*annualizationFactor</f>
        <v>3.1295145634264144E-3</v>
      </c>
      <c r="AF324" s="749">
        <f>$F$22*$L$9*'Traffic Data'!BH40*annualizationFactor</f>
        <v>3.1591151177473588E-3</v>
      </c>
      <c r="AG324" s="749">
        <f>$F$22*$L$9*'Traffic Data'!BI40*annualizationFactor</f>
        <v>3.1887156720683033E-3</v>
      </c>
      <c r="AH324" s="750">
        <f>$F$22*$L$9*'Traffic Data'!BJ40*annualizationFactor</f>
        <v>3.2184300055784231E-3</v>
      </c>
      <c r="AI324" s="40"/>
      <c r="AJ324" s="40"/>
      <c r="AK324" s="40"/>
      <c r="AL324" s="40"/>
      <c r="AM324" s="40"/>
    </row>
    <row r="325" spans="2:39" ht="21.9" customHeight="1" x14ac:dyDescent="0.25">
      <c r="B325" s="469" t="s">
        <v>319</v>
      </c>
      <c r="C325" s="114" t="s">
        <v>276</v>
      </c>
      <c r="D325" s="114" t="s">
        <v>333</v>
      </c>
      <c r="E325" s="217" t="s">
        <v>434</v>
      </c>
      <c r="F325" s="114" t="s">
        <v>405</v>
      </c>
      <c r="G325" s="749"/>
      <c r="H325" s="749"/>
      <c r="I325" s="749">
        <f>$F$22*$M$9*'Traffic Data'!AK41*annualizationFactor</f>
        <v>7.7423274368477275E-3</v>
      </c>
      <c r="J325" s="749">
        <f>$F$22*$M$9*'Traffic Data'!AL41*annualizationFactor</f>
        <v>7.9655155098697396E-3</v>
      </c>
      <c r="K325" s="749">
        <f>$F$22*$M$9*'Traffic Data'!AM41*annualizationFactor</f>
        <v>8.2070916105542614E-3</v>
      </c>
      <c r="L325" s="749">
        <f>$F$22*$M$9*'Traffic Data'!AN41*annualizationFactor</f>
        <v>8.5275852548025739E-3</v>
      </c>
      <c r="M325" s="749">
        <f>$F$22*$M$9*'Traffic Data'!AO41*annualizationFactor</f>
        <v>8.8481330953429412E-3</v>
      </c>
      <c r="N325" s="749">
        <f>$F$22*$M$9*'Traffic Data'!AP41*annualizationFactor</f>
        <v>9.1688125554497367E-3</v>
      </c>
      <c r="O325" s="749">
        <f>$F$22*$M$9*'Traffic Data'!AQ41*annualizationFactor</f>
        <v>9.4893061996980509E-3</v>
      </c>
      <c r="P325" s="749">
        <f>$F$22*$M$9*'Traffic Data'!AR41*annualizationFactor</f>
        <v>9.8098850095481686E-3</v>
      </c>
      <c r="Q325" s="749">
        <f>$F$22*$M$9*'Traffic Data'!AS41*annualizationFactor</f>
        <v>1.0162640932225825E-2</v>
      </c>
      <c r="R325" s="749">
        <f>$F$22*$M$9*'Traffic Data'!AT41*annualizationFactor</f>
        <v>1.0515280719991926E-2</v>
      </c>
      <c r="S325" s="749">
        <f>$F$22*$M$9*'Traffic Data'!AU41*annualizationFactor</f>
        <v>1.0868036642669584E-2</v>
      </c>
      <c r="T325" s="749">
        <f>$F$22*$M$9*'Traffic Data'!AV41*annualizationFactor</f>
        <v>1.1220792565347238E-2</v>
      </c>
      <c r="U325" s="749">
        <f>$F$22*$M$9*'Traffic Data'!AW41*annualizationFactor</f>
        <v>1.1573749788538253E-2</v>
      </c>
      <c r="V325" s="749">
        <f>$F$22*$M$9*'Traffic Data'!AX41*annualizationFactor</f>
        <v>1.1847557198342374E-2</v>
      </c>
      <c r="W325" s="749">
        <f>$F$22*$M$9*'Traffic Data'!AY41*annualizationFactor</f>
        <v>1.2070745271364383E-2</v>
      </c>
      <c r="X325" s="749">
        <f>$F$22*$M$9*'Traffic Data'!AZ41*annualizationFactor</f>
        <v>1.2293933344386394E-2</v>
      </c>
      <c r="Y325" s="749">
        <f>$F$22*$M$9*'Traffic Data'!BA41*annualizationFactor</f>
        <v>1.2517121417408404E-2</v>
      </c>
      <c r="Z325" s="749">
        <f>$F$22*$M$9*'Traffic Data'!BB41*annualizationFactor</f>
        <v>1.27402862634481E-2</v>
      </c>
      <c r="AA325" s="749">
        <f>$F$22*$M$9*'Traffic Data'!BC41*annualizationFactor</f>
        <v>1.2963474336470108E-2</v>
      </c>
      <c r="AB325" s="749">
        <f>$F$22*$M$9*'Traffic Data'!BD41*annualizationFactor</f>
        <v>1.3186639182509804E-2</v>
      </c>
      <c r="AC325" s="749">
        <f>$F$22*$M$9*'Traffic Data'!BE41*annualizationFactor</f>
        <v>1.3409827255531822E-2</v>
      </c>
      <c r="AD325" s="749">
        <f>$F$22*$M$9*'Traffic Data'!BF41*annualizationFactor</f>
        <v>1.3633015328553832E-2</v>
      </c>
      <c r="AE325" s="749">
        <f>$F$22*$M$9*'Traffic Data'!BG41*annualizationFactor</f>
        <v>1.3856180174593528E-2</v>
      </c>
      <c r="AF325" s="749">
        <f>$F$22*$M$9*'Traffic Data'!BH41*annualizationFactor</f>
        <v>1.4079368247615538E-2</v>
      </c>
      <c r="AG325" s="749">
        <f>$F$22*$M$9*'Traffic Data'!BI41*annualizationFactor</f>
        <v>1.4302556320637547E-2</v>
      </c>
      <c r="AH325" s="750">
        <f>$F$22*$M$9*'Traffic Data'!BJ41*annualizationFactor</f>
        <v>1.4525721166677249E-2</v>
      </c>
      <c r="AI325" s="40"/>
      <c r="AJ325" s="40"/>
      <c r="AK325" s="40"/>
      <c r="AL325" s="40"/>
      <c r="AM325" s="40"/>
    </row>
    <row r="326" spans="2:39" ht="21.9" customHeight="1" x14ac:dyDescent="0.25">
      <c r="B326" s="469"/>
      <c r="C326" s="114" t="s">
        <v>333</v>
      </c>
      <c r="D326" s="114" t="s">
        <v>323</v>
      </c>
      <c r="E326" s="114" t="s">
        <v>434</v>
      </c>
      <c r="F326" s="114" t="s">
        <v>405</v>
      </c>
      <c r="G326" s="941"/>
      <c r="H326" s="941"/>
      <c r="I326" s="751">
        <f>$F$22*$M$9*'Traffic Data'!AK42*annualizationFactor</f>
        <v>1.1275666378327304E-3</v>
      </c>
      <c r="J326" s="751">
        <f>$F$22*$M$9*'Traffic Data'!AL42*annualizationFactor</f>
        <v>1.1595687593827988E-3</v>
      </c>
      <c r="K326" s="751">
        <f>$F$22*$M$9*'Traffic Data'!AM42*annualizationFactor</f>
        <v>1.1950826575535909E-3</v>
      </c>
      <c r="L326" s="751">
        <f>$F$22*$M$9*'Traffic Data'!AN42*annualizationFactor</f>
        <v>1.2449300047876752E-3</v>
      </c>
      <c r="M326" s="751">
        <f>$F$22*$M$9*'Traffic Data'!AO42*annualizationFactor</f>
        <v>1.2947862538636374E-3</v>
      </c>
      <c r="N326" s="751">
        <f>$F$22*$M$9*'Traffic Data'!AP42*annualizationFactor</f>
        <v>1.3446528884217895E-3</v>
      </c>
      <c r="O326" s="751">
        <f>$F$22*$M$9*'Traffic Data'!AQ42*annualizationFactor</f>
        <v>1.3945002356558743E-3</v>
      </c>
      <c r="P326" s="751">
        <f>$F$22*$M$9*'Traffic Data'!AR42*annualizationFactor</f>
        <v>1.4443505501705843E-3</v>
      </c>
      <c r="Q326" s="751">
        <f>$F$22*$M$9*'Traffic Data'!AS42*annualizationFactor</f>
        <v>1.5003802265886807E-3</v>
      </c>
      <c r="R326" s="751">
        <f>$F$22*$M$9*'Traffic Data'!AT42*annualizationFactor</f>
        <v>1.5563906156827083E-3</v>
      </c>
      <c r="S326" s="751">
        <f>$F$22*$M$9*'Traffic Data'!AU42*annualizationFactor</f>
        <v>1.6124202921008041E-3</v>
      </c>
      <c r="T326" s="751">
        <f>$F$22*$M$9*'Traffic Data'!AV42*annualizationFactor</f>
        <v>1.6684499685189003E-3</v>
      </c>
      <c r="U326" s="751">
        <f>$F$22*$M$9*'Traffic Data'!AW42*annualizationFactor</f>
        <v>1.7244885467788745E-3</v>
      </c>
      <c r="V326" s="751">
        <f>$F$22*$M$9*'Traffic Data'!AX42*annualizationFactor</f>
        <v>1.7661907086949299E-3</v>
      </c>
      <c r="W326" s="751">
        <f>$F$22*$M$9*'Traffic Data'!AY42*annualizationFactor</f>
        <v>1.7981928302449985E-3</v>
      </c>
      <c r="X326" s="751">
        <f>$F$22*$M$9*'Traffic Data'!AZ42*annualizationFactor</f>
        <v>1.8301949517950673E-3</v>
      </c>
      <c r="Y326" s="751">
        <f>$F$22*$M$9*'Traffic Data'!BA42*annualizationFactor</f>
        <v>1.8621970733451354E-3</v>
      </c>
      <c r="Z326" s="751">
        <f>$F$22*$M$9*'Traffic Data'!BB42*annualizationFactor</f>
        <v>1.894182874851761E-3</v>
      </c>
      <c r="AA326" s="751">
        <f>$F$22*$M$9*'Traffic Data'!BC42*annualizationFactor</f>
        <v>1.9261849964018298E-3</v>
      </c>
      <c r="AB326" s="751">
        <f>$F$22*$M$9*'Traffic Data'!BD42*annualizationFactor</f>
        <v>1.9581707979084558E-3</v>
      </c>
      <c r="AC326" s="751">
        <f>$F$22*$M$9*'Traffic Data'!BE42*annualizationFactor</f>
        <v>1.9901729194585246E-3</v>
      </c>
      <c r="AD326" s="751">
        <f>$F$22*$M$9*'Traffic Data'!BF42*annualizationFactor</f>
        <v>2.0221750410085925E-3</v>
      </c>
      <c r="AE326" s="751">
        <f>$F$22*$M$9*'Traffic Data'!BG42*annualizationFactor</f>
        <v>2.0541608425152184E-3</v>
      </c>
      <c r="AF326" s="751">
        <f>$F$22*$M$9*'Traffic Data'!BH42*annualizationFactor</f>
        <v>2.0861629640652871E-3</v>
      </c>
      <c r="AG326" s="751">
        <f>$F$22*$M$9*'Traffic Data'!BI42*annualizationFactor</f>
        <v>2.1181650856153555E-3</v>
      </c>
      <c r="AH326" s="752">
        <f>$F$22*$M$9*'Traffic Data'!BJ42*annualizationFactor</f>
        <v>2.1501508871219818E-3</v>
      </c>
      <c r="AI326" s="40"/>
      <c r="AJ326" s="40"/>
      <c r="AK326" s="40"/>
      <c r="AL326" s="40"/>
      <c r="AM326" s="40"/>
    </row>
    <row r="327" spans="2:39" ht="21.9" customHeight="1" x14ac:dyDescent="0.25">
      <c r="B327" s="469"/>
      <c r="C327" s="114" t="s">
        <v>323</v>
      </c>
      <c r="D327" s="114" t="s">
        <v>322</v>
      </c>
      <c r="E327" s="114" t="s">
        <v>434</v>
      </c>
      <c r="F327" s="114" t="s">
        <v>405</v>
      </c>
      <c r="G327" s="941"/>
      <c r="H327" s="941"/>
      <c r="I327" s="751">
        <f>$F$22*$M$9*'Traffic Data'!AK43*annualizationFactor</f>
        <v>2.7887056170636362E-4</v>
      </c>
      <c r="J327" s="751">
        <f>$F$22*$M$9*'Traffic Data'!AL43*annualizationFactor</f>
        <v>2.8678534856952981E-4</v>
      </c>
      <c r="K327" s="751">
        <f>$F$22*$M$9*'Traffic Data'!AM43*annualizationFactor</f>
        <v>2.9556867045843141E-4</v>
      </c>
      <c r="L327" s="751">
        <f>$F$22*$M$9*'Traffic Data'!AN43*annualizationFactor</f>
        <v>3.0789695089555034E-4</v>
      </c>
      <c r="M327" s="751">
        <f>$F$22*$M$9*'Traffic Data'!AO43*annualizationFactor</f>
        <v>3.2022743294236698E-4</v>
      </c>
      <c r="N327" s="751">
        <f>$F$22*$M$9*'Traffic Data'!AP43*annualizationFactor</f>
        <v>3.325604835338309E-4</v>
      </c>
      <c r="O327" s="751">
        <f>$F$22*$M$9*'Traffic Data'!AQ43*annualizationFactor</f>
        <v>3.4488876397094988E-4</v>
      </c>
      <c r="P327" s="751">
        <f>$F$22*$M$9*'Traffic Data'!AR43*annualizationFactor</f>
        <v>3.5721777827796817E-4</v>
      </c>
      <c r="Q327" s="751">
        <f>$F$22*$M$9*'Traffic Data'!AS43*annualizationFactor</f>
        <v>3.7107507665012712E-4</v>
      </c>
      <c r="R327" s="751">
        <f>$F$22*$M$9*'Traffic Data'!AT43*annualizationFactor</f>
        <v>3.8492760486794102E-4</v>
      </c>
      <c r="S327" s="751">
        <f>$F$22*$M$9*'Traffic Data'!AU43*annualizationFactor</f>
        <v>3.9878490324009997E-4</v>
      </c>
      <c r="T327" s="751">
        <f>$F$22*$M$9*'Traffic Data'!AV43*annualizationFactor</f>
        <v>4.1264220161225896E-4</v>
      </c>
      <c r="U327" s="751">
        <f>$F$22*$M$9*'Traffic Data'!AW43*annualizationFactor</f>
        <v>4.2650170159411562E-4</v>
      </c>
      <c r="V327" s="751">
        <f>$F$22*$M$9*'Traffic Data'!AX43*annualizationFactor</f>
        <v>4.368155091578557E-4</v>
      </c>
      <c r="W327" s="751">
        <f>$F$22*$M$9*'Traffic Data'!AY43*annualizationFactor</f>
        <v>4.4473029602102183E-4</v>
      </c>
      <c r="X327" s="751">
        <f>$F$22*$M$9*'Traffic Data'!AZ43*annualizationFactor</f>
        <v>4.5264508288418801E-4</v>
      </c>
      <c r="Y327" s="751">
        <f>$F$22*$M$9*'Traffic Data'!BA43*annualizationFactor</f>
        <v>4.6055986974735409E-4</v>
      </c>
      <c r="Z327" s="751">
        <f>$F$22*$M$9*'Traffic Data'!BB43*annualizationFactor</f>
        <v>4.6847062032607444E-4</v>
      </c>
      <c r="AA327" s="751">
        <f>$F$22*$M$9*'Traffic Data'!BC43*annualizationFactor</f>
        <v>4.7638540718924062E-4</v>
      </c>
      <c r="AB327" s="751">
        <f>$F$22*$M$9*'Traffic Data'!BD43*annualizationFactor</f>
        <v>4.8429615776796108E-4</v>
      </c>
      <c r="AC327" s="751">
        <f>$F$22*$M$9*'Traffic Data'!BE43*annualizationFactor</f>
        <v>4.922109446311272E-4</v>
      </c>
      <c r="AD327" s="751">
        <f>$F$22*$M$9*'Traffic Data'!BF43*annualizationFactor</f>
        <v>5.0012573149429333E-4</v>
      </c>
      <c r="AE327" s="751">
        <f>$F$22*$M$9*'Traffic Data'!BG43*annualizationFactor</f>
        <v>5.0803648207301357E-4</v>
      </c>
      <c r="AF327" s="751">
        <f>$F$22*$M$9*'Traffic Data'!BH43*annualizationFactor</f>
        <v>5.1595126893617981E-4</v>
      </c>
      <c r="AG327" s="751">
        <f>$F$22*$M$9*'Traffic Data'!BI43*annualizationFactor</f>
        <v>5.2386605579934594E-4</v>
      </c>
      <c r="AH327" s="752">
        <f>$F$22*$M$9*'Traffic Data'!BJ43*annualizationFactor</f>
        <v>5.3177680637806629E-4</v>
      </c>
      <c r="AI327" s="40"/>
      <c r="AJ327" s="40"/>
      <c r="AK327" s="40"/>
      <c r="AL327" s="40"/>
      <c r="AM327" s="40"/>
    </row>
    <row r="328" spans="2:39" ht="21.9" customHeight="1" x14ac:dyDescent="0.25">
      <c r="B328" s="469"/>
      <c r="C328" s="114" t="s">
        <v>322</v>
      </c>
      <c r="D328" s="114" t="s">
        <v>326</v>
      </c>
      <c r="E328" s="114" t="s">
        <v>434</v>
      </c>
      <c r="F328" s="114" t="s">
        <v>405</v>
      </c>
      <c r="G328" s="941"/>
      <c r="H328" s="941"/>
      <c r="I328" s="751">
        <f>$F$22*$M$9*'Traffic Data'!AK44*annualizationFactor</f>
        <v>7.1552315174659101E-4</v>
      </c>
      <c r="J328" s="751">
        <f>$F$22*$M$9*'Traffic Data'!AL44*annualizationFactor</f>
        <v>7.3581300325295182E-4</v>
      </c>
      <c r="K328" s="751">
        <f>$F$22*$M$9*'Traffic Data'!AM44*annualizationFactor</f>
        <v>7.5893274882447034E-4</v>
      </c>
      <c r="L328" s="751">
        <f>$F$22*$M$9*'Traffic Data'!AN44*annualizationFactor</f>
        <v>7.8847431468291476E-4</v>
      </c>
      <c r="M328" s="751">
        <f>$F$22*$M$9*'Traffic Data'!AO44*annualizationFactor</f>
        <v>8.1802542085004893E-4</v>
      </c>
      <c r="N328" s="751">
        <f>$F$22*$M$9*'Traffic Data'!AP44*annualizationFactor</f>
        <v>8.4757175686283844E-4</v>
      </c>
      <c r="O328" s="751">
        <f>$F$22*$M$9*'Traffic Data'!AQ44*annualizationFactor</f>
        <v>8.7711332272128253E-4</v>
      </c>
      <c r="P328" s="751">
        <f>$F$22*$M$9*'Traffic Data'!AR44*annualizationFactor</f>
        <v>9.0666085127265794E-4</v>
      </c>
      <c r="Q328" s="751">
        <f>$F$22*$M$9*'Traffic Data'!AS44*annualizationFactor</f>
        <v>9.4005670184184374E-4</v>
      </c>
      <c r="R328" s="751">
        <f>$F$22*$M$9*'Traffic Data'!AT44*annualizationFactor</f>
        <v>9.7345135987244333E-4</v>
      </c>
      <c r="S328" s="751">
        <f>$F$22*$M$9*'Traffic Data'!AU44*annualizationFactor</f>
        <v>1.0068424402872843E-3</v>
      </c>
      <c r="T328" s="751">
        <f>$F$22*$M$9*'Traffic Data'!AV44*annualizationFactor</f>
        <v>1.0402382908564702E-3</v>
      </c>
      <c r="U328" s="751">
        <f>$F$22*$M$9*'Traffic Data'!AW44*annualizationFactor</f>
        <v>1.0736401041185873E-3</v>
      </c>
      <c r="V328" s="751">
        <f>$F$22*$M$9*'Traffic Data'!AX44*annualizationFactor</f>
        <v>1.1006129418622613E-3</v>
      </c>
      <c r="W328" s="751">
        <f>$F$22*$M$9*'Traffic Data'!AY44*annualizationFactor</f>
        <v>1.1209027933686223E-3</v>
      </c>
      <c r="X328" s="751">
        <f>$F$22*$M$9*'Traffic Data'!AZ44*annualizationFactor</f>
        <v>1.1411926448749833E-3</v>
      </c>
      <c r="Y328" s="751">
        <f>$F$22*$M$9*'Traffic Data'!BA44*annualizationFactor</f>
        <v>1.1614824963813439E-3</v>
      </c>
      <c r="Z328" s="751">
        <f>$F$22*$M$9*'Traffic Data'!BB44*annualizationFactor</f>
        <v>1.1817663851947735E-3</v>
      </c>
      <c r="AA328" s="751">
        <f>$F$22*$M$9*'Traffic Data'!BC44*annualizationFactor</f>
        <v>1.2020562367011341E-3</v>
      </c>
      <c r="AB328" s="751">
        <f>$F$22*$M$9*'Traffic Data'!BD44*annualizationFactor</f>
        <v>1.2223401255145635E-3</v>
      </c>
      <c r="AC328" s="751">
        <f>$F$22*$M$9*'Traffic Data'!BE44*annualizationFactor</f>
        <v>1.2426299770209243E-3</v>
      </c>
      <c r="AD328" s="751">
        <f>$F$22*$M$9*'Traffic Data'!BF44*annualizationFactor</f>
        <v>1.2629198285272853E-3</v>
      </c>
      <c r="AE328" s="751">
        <f>$F$22*$M$9*'Traffic Data'!BG44*annualizationFactor</f>
        <v>1.2832037173407147E-3</v>
      </c>
      <c r="AF328" s="751">
        <f>$F$22*$M$9*'Traffic Data'!BH44*annualizationFactor</f>
        <v>1.3034935688470757E-3</v>
      </c>
      <c r="AG328" s="751">
        <f>$F$22*$M$9*'Traffic Data'!BI44*annualizationFactor</f>
        <v>1.3237834203534366E-3</v>
      </c>
      <c r="AH328" s="752">
        <f>$F$22*$M$9*'Traffic Data'!BJ44*annualizationFactor</f>
        <v>1.3440673091668659E-3</v>
      </c>
      <c r="AI328" s="40"/>
      <c r="AJ328" s="40"/>
      <c r="AK328" s="40"/>
      <c r="AL328" s="40"/>
      <c r="AM328" s="40"/>
    </row>
    <row r="329" spans="2:39" ht="21.9" customHeight="1" x14ac:dyDescent="0.25">
      <c r="B329" s="469"/>
      <c r="C329" s="114" t="s">
        <v>326</v>
      </c>
      <c r="D329" s="114" t="s">
        <v>274</v>
      </c>
      <c r="E329" s="114" t="s">
        <v>434</v>
      </c>
      <c r="F329" s="114" t="s">
        <v>405</v>
      </c>
      <c r="G329" s="941"/>
      <c r="H329" s="941"/>
      <c r="I329" s="751">
        <f>$F$22*$M$9*'Traffic Data'!AK45*annualizationFactor</f>
        <v>5.9406768342447737E-3</v>
      </c>
      <c r="J329" s="751">
        <f>$F$22*$M$9*'Traffic Data'!AL45*annualizationFactor</f>
        <v>6.1091346270078419E-3</v>
      </c>
      <c r="K329" s="751">
        <f>$F$22*$M$9*'Traffic Data'!AM45*annualizationFactor</f>
        <v>6.3010877966503467E-3</v>
      </c>
      <c r="L329" s="751">
        <f>$F$22*$M$9*'Traffic Data'!AN45*annualizationFactor</f>
        <v>6.5463585408801995E-3</v>
      </c>
      <c r="M329" s="751">
        <f>$F$22*$M$9*'Traffic Data'!AO45*annualizationFactor</f>
        <v>6.7917084941345081E-3</v>
      </c>
      <c r="N329" s="751">
        <f>$F$22*$M$9*'Traffic Data'!AP45*annualizationFactor</f>
        <v>7.0370188428765931E-3</v>
      </c>
      <c r="O329" s="751">
        <f>$F$22*$M$9*'Traffic Data'!AQ45*annualizationFactor</f>
        <v>7.2822895871064433E-3</v>
      </c>
      <c r="P329" s="751">
        <f>$F$22*$M$9*'Traffic Data'!AR45*annualizationFactor</f>
        <v>7.5276098369765811E-3</v>
      </c>
      <c r="Q329" s="751">
        <f>$F$22*$M$9*'Traffic Data'!AS45*annualizationFactor</f>
        <v>7.8048810270868975E-3</v>
      </c>
      <c r="R329" s="751">
        <f>$F$22*$M$9*'Traffic Data'!AT45*annualizationFactor</f>
        <v>8.0821423160691592E-3</v>
      </c>
      <c r="S329" s="751">
        <f>$F$22*$M$9*'Traffic Data'!AU45*annualizationFactor</f>
        <v>8.3593739016672476E-3</v>
      </c>
      <c r="T329" s="751">
        <f>$F$22*$M$9*'Traffic Data'!AV45*annualizationFactor</f>
        <v>8.6366450917775665E-3</v>
      </c>
      <c r="U329" s="751">
        <f>$F$22*$M$9*'Traffic Data'!AW45*annualizationFactor</f>
        <v>8.9139657875281688E-3</v>
      </c>
      <c r="V329" s="751">
        <f>$F$22*$M$9*'Traffic Data'!AX45*annualizationFactor</f>
        <v>9.1379095019230826E-3</v>
      </c>
      <c r="W329" s="751">
        <f>$F$22*$M$9*'Traffic Data'!AY45*annualizationFactor</f>
        <v>9.3063672946861516E-3</v>
      </c>
      <c r="X329" s="751">
        <f>$F$22*$M$9*'Traffic Data'!AZ45*annualizationFactor</f>
        <v>9.4748250874492207E-3</v>
      </c>
      <c r="Y329" s="751">
        <f>$F$22*$M$9*'Traffic Data'!BA45*annualizationFactor</f>
        <v>9.643282880212288E-3</v>
      </c>
      <c r="Z329" s="751">
        <f>$F$22*$M$9*'Traffic Data'!BB45*annualizationFactor</f>
        <v>9.8116911673350703E-3</v>
      </c>
      <c r="AA329" s="751">
        <f>$F$22*$M$9*'Traffic Data'!BC45*annualizationFactor</f>
        <v>9.9801489600981324E-3</v>
      </c>
      <c r="AB329" s="751">
        <f>$F$22*$M$9*'Traffic Data'!BD45*annualizationFactor</f>
        <v>1.0148557247220916E-2</v>
      </c>
      <c r="AC329" s="751">
        <f>$F$22*$M$9*'Traffic Data'!BE45*annualizationFactor</f>
        <v>1.0317015039983984E-2</v>
      </c>
      <c r="AD329" s="751">
        <f>$F$22*$M$9*'Traffic Data'!BF45*annualizationFactor</f>
        <v>1.0485472832747053E-2</v>
      </c>
      <c r="AE329" s="751">
        <f>$F$22*$M$9*'Traffic Data'!BG45*annualizationFactor</f>
        <v>1.0653881119869832E-2</v>
      </c>
      <c r="AF329" s="751">
        <f>$F$22*$M$9*'Traffic Data'!BH45*annualizationFactor</f>
        <v>1.0822338912632902E-2</v>
      </c>
      <c r="AG329" s="751">
        <f>$F$22*$M$9*'Traffic Data'!BI45*annualizationFactor</f>
        <v>1.0990796705395966E-2</v>
      </c>
      <c r="AH329" s="752">
        <f>$F$22*$M$9*'Traffic Data'!BJ45*annualizationFactor</f>
        <v>1.115920499251875E-2</v>
      </c>
      <c r="AI329" s="40"/>
      <c r="AJ329" s="40"/>
      <c r="AK329" s="40"/>
      <c r="AL329" s="40"/>
      <c r="AM329" s="40"/>
    </row>
    <row r="330" spans="2:39" ht="21.9" customHeight="1" x14ac:dyDescent="0.25">
      <c r="B330" s="470"/>
      <c r="C330" s="250" t="s">
        <v>274</v>
      </c>
      <c r="D330" s="250" t="s">
        <v>317</v>
      </c>
      <c r="E330" s="250" t="s">
        <v>434</v>
      </c>
      <c r="F330" s="250" t="s">
        <v>405</v>
      </c>
      <c r="G330" s="753"/>
      <c r="H330" s="753"/>
      <c r="I330" s="753">
        <f>$F$22*$M$9*'Traffic Data'!AK46*annualizationFactor</f>
        <v>1.4677397984545458E-4</v>
      </c>
      <c r="J330" s="753">
        <f>$F$22*$M$9*'Traffic Data'!AL46*annualizationFactor</f>
        <v>1.5093600066727221E-4</v>
      </c>
      <c r="K330" s="753">
        <f>$F$22*$M$9*'Traffic Data'!AM46*annualizationFactor</f>
        <v>1.5567851257937851E-4</v>
      </c>
      <c r="L330" s="753">
        <f>$F$22*$M$9*'Traffic Data'!AN46*annualizationFactor</f>
        <v>1.6173832096059792E-4</v>
      </c>
      <c r="M330" s="753">
        <f>$F$22*$M$9*'Traffic Data'!AO46*annualizationFactor</f>
        <v>1.6780008632821512E-4</v>
      </c>
      <c r="N330" s="753">
        <f>$F$22*$M$9*'Traffic Data'!AP46*annualizationFactor</f>
        <v>1.7386087320263351E-4</v>
      </c>
      <c r="O330" s="753">
        <f>$F$22*$M$9*'Traffic Data'!AQ46*annualizationFactor</f>
        <v>1.7992068158385286E-4</v>
      </c>
      <c r="P330" s="753">
        <f>$F$22*$M$9*'Traffic Data'!AR46*annualizationFactor</f>
        <v>1.8598171308157089E-4</v>
      </c>
      <c r="Q330" s="753">
        <f>$F$22*$M$9*'Traffic Data'!AS46*annualizationFactor</f>
        <v>1.928321439675577E-4</v>
      </c>
      <c r="R330" s="753">
        <f>$F$22*$M$9*'Traffic Data'!AT46*annualizationFactor</f>
        <v>1.996823302302448E-4</v>
      </c>
      <c r="S330" s="753">
        <f>$F$22*$M$9*'Traffic Data'!AU46*annualizationFactor</f>
        <v>2.0653178262303268E-4</v>
      </c>
      <c r="T330" s="753">
        <f>$F$22*$M$9*'Traffic Data'!AV46*annualizationFactor</f>
        <v>2.1338221350901957E-4</v>
      </c>
      <c r="U330" s="753">
        <f>$F$22*$M$9*'Traffic Data'!AW46*annualizationFactor</f>
        <v>2.2023386751150506E-4</v>
      </c>
      <c r="V330" s="753">
        <f>$F$22*$M$9*'Traffic Data'!AX46*annualizationFactor</f>
        <v>2.2576675730507926E-4</v>
      </c>
      <c r="W330" s="753">
        <f>$F$22*$M$9*'Traffic Data'!AY46*annualizationFactor</f>
        <v>2.2992877812689691E-4</v>
      </c>
      <c r="X330" s="753">
        <f>$F$22*$M$9*'Traffic Data'!AZ46*annualizationFactor</f>
        <v>2.3409079894871454E-4</v>
      </c>
      <c r="Y330" s="753">
        <f>$F$22*$M$9*'Traffic Data'!BA46*annualizationFactor</f>
        <v>2.382528197705321E-4</v>
      </c>
      <c r="Z330" s="753">
        <f>$F$22*$M$9*'Traffic Data'!BB46*annualizationFactor</f>
        <v>2.4241361747585099E-4</v>
      </c>
      <c r="AA330" s="753">
        <f>$F$22*$M$9*'Traffic Data'!BC46*annualizationFactor</f>
        <v>2.4657563829766848E-4</v>
      </c>
      <c r="AB330" s="753">
        <f>$F$22*$M$9*'Traffic Data'!BD46*annualizationFactor</f>
        <v>2.507364360029874E-4</v>
      </c>
      <c r="AC330" s="753">
        <f>$F$22*$M$9*'Traffic Data'!BE46*annualizationFactor</f>
        <v>2.5489845682480497E-4</v>
      </c>
      <c r="AD330" s="753">
        <f>$F$22*$M$9*'Traffic Data'!BF46*annualizationFactor</f>
        <v>2.5906047764662259E-4</v>
      </c>
      <c r="AE330" s="753">
        <f>$F$22*$M$9*'Traffic Data'!BG46*annualizationFactor</f>
        <v>2.632212753519415E-4</v>
      </c>
      <c r="AF330" s="753">
        <f>$F$22*$M$9*'Traffic Data'!BH46*annualizationFactor</f>
        <v>2.6738329617375913E-4</v>
      </c>
      <c r="AG330" s="753">
        <f>$F$22*$M$9*'Traffic Data'!BI46*annualizationFactor</f>
        <v>2.715453169955767E-4</v>
      </c>
      <c r="AH330" s="757">
        <f>$F$22*$M$9*'Traffic Data'!BJ46*annualizationFactor</f>
        <v>2.7570611470089561E-4</v>
      </c>
      <c r="AI330" s="40"/>
      <c r="AJ330" s="40"/>
      <c r="AK330" s="40"/>
      <c r="AL330" s="40"/>
      <c r="AM330" s="40"/>
    </row>
    <row r="331" spans="2:39" ht="21.9" customHeight="1" thickBot="1" x14ac:dyDescent="0.3">
      <c r="B331" s="758" t="s">
        <v>460</v>
      </c>
      <c r="C331" s="237"/>
      <c r="D331" s="237"/>
      <c r="E331" s="237"/>
      <c r="F331" s="237"/>
      <c r="G331" s="940">
        <f t="shared" ref="G331:AH331" si="35">SUM(G311:G330)</f>
        <v>0</v>
      </c>
      <c r="H331" s="940">
        <f t="shared" si="35"/>
        <v>0</v>
      </c>
      <c r="I331" s="759">
        <f t="shared" si="35"/>
        <v>6.9891297283961568E-2</v>
      </c>
      <c r="J331" s="759">
        <f t="shared" si="35"/>
        <v>7.3814872085095032E-2</v>
      </c>
      <c r="K331" s="759">
        <f t="shared" si="35"/>
        <v>8.1292827402211346E-2</v>
      </c>
      <c r="L331" s="759">
        <f t="shared" si="35"/>
        <v>9.3983422676990711E-2</v>
      </c>
      <c r="M331" s="759">
        <f t="shared" si="35"/>
        <v>0.10668040827326013</v>
      </c>
      <c r="N331" s="759">
        <f t="shared" si="35"/>
        <v>0.11937760770723164</v>
      </c>
      <c r="O331" s="759">
        <f t="shared" si="35"/>
        <v>0.132068202982011</v>
      </c>
      <c r="P331" s="759">
        <f t="shared" si="35"/>
        <v>0.14477173803163018</v>
      </c>
      <c r="Q331" s="759">
        <f t="shared" si="35"/>
        <v>0.15690163792477005</v>
      </c>
      <c r="R331" s="759">
        <f t="shared" si="35"/>
        <v>0.16903472304395223</v>
      </c>
      <c r="S331" s="759">
        <f t="shared" si="35"/>
        <v>0.18116438619653349</v>
      </c>
      <c r="T331" s="759">
        <f t="shared" si="35"/>
        <v>0.19329428608967331</v>
      </c>
      <c r="U331" s="759">
        <f t="shared" si="35"/>
        <v>0.20543739372046169</v>
      </c>
      <c r="V331" s="759">
        <f t="shared" si="35"/>
        <v>0.21241684433418054</v>
      </c>
      <c r="W331" s="759">
        <f t="shared" si="35"/>
        <v>0.21620621590652028</v>
      </c>
      <c r="X331" s="759">
        <f t="shared" si="35"/>
        <v>0.21999558747886017</v>
      </c>
      <c r="Y331" s="759">
        <f t="shared" si="35"/>
        <v>0.22378495905120008</v>
      </c>
      <c r="Z331" s="759">
        <f t="shared" si="35"/>
        <v>0.22757770131526261</v>
      </c>
      <c r="AA331" s="759">
        <f t="shared" si="35"/>
        <v>0.23136707288760239</v>
      </c>
      <c r="AB331" s="759">
        <f t="shared" si="35"/>
        <v>0.23515982219681592</v>
      </c>
      <c r="AC331" s="759">
        <f t="shared" si="35"/>
        <v>0.23894919376915577</v>
      </c>
      <c r="AD331" s="759">
        <f t="shared" si="35"/>
        <v>0.24273856534149563</v>
      </c>
      <c r="AE331" s="759">
        <f t="shared" si="35"/>
        <v>0.24653130760555816</v>
      </c>
      <c r="AF331" s="759">
        <f t="shared" si="35"/>
        <v>0.25032067917789802</v>
      </c>
      <c r="AG331" s="759">
        <f t="shared" si="35"/>
        <v>0.25411005075023785</v>
      </c>
      <c r="AH331" s="760">
        <f t="shared" si="35"/>
        <v>0.25790280005945138</v>
      </c>
      <c r="AI331" s="40"/>
      <c r="AJ331" s="40"/>
      <c r="AK331" s="40"/>
      <c r="AL331" s="40"/>
      <c r="AM331" s="40"/>
    </row>
    <row r="332" spans="2:39" ht="21.9" customHeight="1" x14ac:dyDescent="0.25">
      <c r="B332" s="548" t="s">
        <v>312</v>
      </c>
      <c r="C332" s="1331" t="s">
        <v>18</v>
      </c>
      <c r="D332" s="1331"/>
      <c r="E332" s="197" t="s">
        <v>24</v>
      </c>
      <c r="F332" s="197" t="s">
        <v>42</v>
      </c>
      <c r="G332" s="459">
        <v>2021</v>
      </c>
      <c r="H332" s="459">
        <v>2022</v>
      </c>
      <c r="I332" s="459">
        <v>2023</v>
      </c>
      <c r="J332" s="459">
        <v>2024</v>
      </c>
      <c r="K332" s="459">
        <v>2025</v>
      </c>
      <c r="L332" s="459">
        <v>2026</v>
      </c>
      <c r="M332" s="459">
        <v>2027</v>
      </c>
      <c r="N332" s="459">
        <v>2028</v>
      </c>
      <c r="O332" s="459">
        <v>2029</v>
      </c>
      <c r="P332" s="459">
        <v>2030</v>
      </c>
      <c r="Q332" s="459">
        <v>2031</v>
      </c>
      <c r="R332" s="459">
        <v>2032</v>
      </c>
      <c r="S332" s="459">
        <v>2033</v>
      </c>
      <c r="T332" s="459">
        <v>2034</v>
      </c>
      <c r="U332" s="459">
        <v>2035</v>
      </c>
      <c r="V332" s="459">
        <v>2036</v>
      </c>
      <c r="W332" s="459">
        <v>2037</v>
      </c>
      <c r="X332" s="459">
        <v>2038</v>
      </c>
      <c r="Y332" s="459">
        <v>2039</v>
      </c>
      <c r="Z332" s="459">
        <v>2040</v>
      </c>
      <c r="AA332" s="459">
        <v>2041</v>
      </c>
      <c r="AB332" s="459">
        <v>2042</v>
      </c>
      <c r="AC332" s="459">
        <v>2043</v>
      </c>
      <c r="AD332" s="459">
        <v>2044</v>
      </c>
      <c r="AE332" s="459">
        <v>2045</v>
      </c>
      <c r="AF332" s="459">
        <v>2046</v>
      </c>
      <c r="AG332" s="459">
        <v>2047</v>
      </c>
      <c r="AH332" s="459">
        <v>2048</v>
      </c>
      <c r="AI332" s="247"/>
      <c r="AJ332" s="247"/>
      <c r="AK332" s="247"/>
      <c r="AL332" s="247"/>
      <c r="AM332" s="247"/>
    </row>
    <row r="333" spans="2:39" ht="21.9" customHeight="1" x14ac:dyDescent="0.25">
      <c r="B333" s="1332" t="s">
        <v>315</v>
      </c>
      <c r="C333" s="217" t="s">
        <v>316</v>
      </c>
      <c r="D333" s="217" t="s">
        <v>276</v>
      </c>
      <c r="E333" s="217" t="s">
        <v>19</v>
      </c>
      <c r="F333" s="217" t="s">
        <v>41</v>
      </c>
      <c r="G333" s="749"/>
      <c r="H333" s="749"/>
      <c r="I333" s="749">
        <f>$G$21*$E$8*'Traffic Data'!AK27*annualizationFactor</f>
        <v>1.4524664E-2</v>
      </c>
      <c r="J333" s="749">
        <f>$G$21*$E$8*'Traffic Data'!AL27*annualizationFactor</f>
        <v>1.5185127705825001E-2</v>
      </c>
      <c r="K333" s="749">
        <f>$G$21*$E$8*'Traffic Data'!AM27*annualizationFactor</f>
        <v>1.6115659382900004E-2</v>
      </c>
      <c r="L333" s="749">
        <f>$G$21*$E$8*'Traffic Data'!AN27*annualizationFactor</f>
        <v>1.74844274066E-2</v>
      </c>
      <c r="M333" s="749">
        <f>$G$21*$E$8*'Traffic Data'!AO27*annualizationFactor</f>
        <v>1.8853694715625001E-2</v>
      </c>
      <c r="N333" s="749">
        <f>$G$21*$E$8*'Traffic Data'!AP27*annualizationFactor</f>
        <v>2.0222962024649998E-2</v>
      </c>
      <c r="O333" s="749">
        <f>$G$21*$E$8*'Traffic Data'!AQ27*annualizationFactor</f>
        <v>2.1591730048349998E-2</v>
      </c>
      <c r="P333" s="749">
        <f>$G$21*$E$8*'Traffic Data'!AR27*annualizationFactor</f>
        <v>2.2961496642699999E-2</v>
      </c>
      <c r="Q333" s="749">
        <f>$G$21*$E$8*'Traffic Data'!AS27*annualizationFactor</f>
        <v>2.4315059158775004E-2</v>
      </c>
      <c r="R333" s="749">
        <f>$G$21*$E$8*'Traffic Data'!AT27*annualizationFactor</f>
        <v>2.5668894012300002E-2</v>
      </c>
      <c r="S333" s="749">
        <f>$G$21*$E$8*'Traffic Data'!AU27*annualizationFactor</f>
        <v>2.7022456528375004E-2</v>
      </c>
      <c r="T333" s="749">
        <f>$G$21*$E$8*'Traffic Data'!AV27*annualizationFactor</f>
        <v>2.8376019044449998E-2</v>
      </c>
      <c r="U333" s="749">
        <f>$G$21*$E$8*'Traffic Data'!AW27*annualizationFactor</f>
        <v>2.9730580131175001E-2</v>
      </c>
      <c r="V333" s="749">
        <f>$G$21*$E$8*'Traffic Data'!AX27*annualizationFactor</f>
        <v>3.0645407015300004E-2</v>
      </c>
      <c r="W333" s="749">
        <f>$G$21*$E$8*'Traffic Data'!AY27*annualizationFactor</f>
        <v>3.1305870721125006E-2</v>
      </c>
      <c r="X333" s="749">
        <f>$G$21*$E$8*'Traffic Data'!AZ27*annualizationFactor</f>
        <v>3.1966334426949995E-2</v>
      </c>
      <c r="Y333" s="749">
        <f>$G$21*$E$8*'Traffic Data'!BA27*annualizationFactor</f>
        <v>3.2626798132774998E-2</v>
      </c>
      <c r="Z333" s="749">
        <f>$G$21*$E$8*'Traffic Data'!BB27*annualizationFactor</f>
        <v>3.3287488786475E-2</v>
      </c>
      <c r="AA333" s="749">
        <f>$G$21*$E$8*'Traffic Data'!BC27*annualizationFactor</f>
        <v>3.394795249230001E-2</v>
      </c>
      <c r="AB333" s="749">
        <f>$G$21*$E$8*'Traffic Data'!BD27*annualizationFactor</f>
        <v>3.4608643145999991E-2</v>
      </c>
      <c r="AC333" s="749">
        <f>$G$21*$E$8*'Traffic Data'!BE27*annualizationFactor</f>
        <v>3.5269106851825008E-2</v>
      </c>
      <c r="AD333" s="749">
        <f>$G$21*$E$8*'Traffic Data'!BF27*annualizationFactor</f>
        <v>3.5929570557649997E-2</v>
      </c>
      <c r="AE333" s="749">
        <f>$G$21*$E$8*'Traffic Data'!BG27*annualizationFactor</f>
        <v>3.6590261211349999E-2</v>
      </c>
      <c r="AF333" s="749">
        <f>$G$21*$E$8*'Traffic Data'!BH27*annualizationFactor</f>
        <v>3.7250724917174995E-2</v>
      </c>
      <c r="AG333" s="749">
        <f>$G$21*$E$8*'Traffic Data'!BI27*annualizationFactor</f>
        <v>3.7911188622999997E-2</v>
      </c>
      <c r="AH333" s="750">
        <f>$G$21*$E$8*'Traffic Data'!BJ27*annualizationFactor</f>
        <v>3.8571879276699993E-2</v>
      </c>
      <c r="AI333" s="40"/>
      <c r="AJ333" s="40"/>
      <c r="AK333" s="40"/>
      <c r="AL333" s="40"/>
      <c r="AM333" s="40"/>
    </row>
    <row r="334" spans="2:39" ht="21.9" customHeight="1" x14ac:dyDescent="0.25">
      <c r="B334" s="1332"/>
      <c r="C334" s="114" t="s">
        <v>276</v>
      </c>
      <c r="D334" s="114" t="s">
        <v>274</v>
      </c>
      <c r="E334" s="114" t="s">
        <v>19</v>
      </c>
      <c r="F334" s="114" t="s">
        <v>41</v>
      </c>
      <c r="G334" s="941"/>
      <c r="H334" s="941"/>
      <c r="I334" s="751">
        <f>$G$21*$E$8*'Traffic Data'!AK28*annualizationFactor</f>
        <v>0.46704569625000003</v>
      </c>
      <c r="J334" s="751">
        <f>$G$21*$E$8*'Traffic Data'!AL28*annualizationFactor</f>
        <v>0.49169878981649995</v>
      </c>
      <c r="K334" s="751">
        <f>$G$21*$E$8*'Traffic Data'!AM28*annualizationFactor</f>
        <v>0.52870610694825004</v>
      </c>
      <c r="L334" s="751">
        <f>$G$21*$E$8*'Traffic Data'!AN28*annualizationFactor</f>
        <v>0.589847577984</v>
      </c>
      <c r="M334" s="751">
        <f>$G$21*$E$8*'Traffic Data'!AO28*annualizationFactor</f>
        <v>0.65101672580175007</v>
      </c>
      <c r="N334" s="751">
        <f>$G$21*$E$8*'Traffic Data'!AP28*annualizationFactor</f>
        <v>0.71218241402174998</v>
      </c>
      <c r="O334" s="751">
        <f>$G$21*$E$8*'Traffic Data'!AQ28*annualizationFactor</f>
        <v>0.77332388505750016</v>
      </c>
      <c r="P334" s="751">
        <f>$G$21*$E$8*'Traffic Data'!AR28*annualizationFactor</f>
        <v>0.83452070965724989</v>
      </c>
      <c r="Q334" s="751">
        <f>$G$21*$E$8*'Traffic Data'!AS28*annualizationFactor</f>
        <v>0.89626069110374995</v>
      </c>
      <c r="R334" s="751">
        <f>$G$21*$E$8*'Traffic Data'!AT28*annualizationFactor</f>
        <v>0.95802143013674979</v>
      </c>
      <c r="S334" s="751">
        <f>$G$21*$E$8*'Traffic Data'!AU28*annualizationFactor</f>
        <v>1.0197614115832498</v>
      </c>
      <c r="T334" s="751">
        <f>$G$21*$E$8*'Traffic Data'!AV28*annualizationFactor</f>
        <v>1.0815013930297499</v>
      </c>
      <c r="U334" s="751">
        <f>$G$21*$E$8*'Traffic Data'!AW28*annualizationFactor</f>
        <v>1.14329672804025</v>
      </c>
      <c r="V334" s="751">
        <f>$G$21*$E$8*'Traffic Data'!AX28*annualizationFactor</f>
        <v>1.1808748788007501</v>
      </c>
      <c r="W334" s="751">
        <f>$G$21*$E$8*'Traffic Data'!AY28*annualizationFactor</f>
        <v>1.2055279723672498</v>
      </c>
      <c r="X334" s="751">
        <f>$G$21*$E$8*'Traffic Data'!AZ28*annualizationFactor</f>
        <v>1.23018106593375</v>
      </c>
      <c r="Y334" s="751">
        <f>$G$21*$E$8*'Traffic Data'!BA28*annualizationFactor</f>
        <v>1.2548341595002503</v>
      </c>
      <c r="Z334" s="751">
        <f>$G$21*$E$8*'Traffic Data'!BB28*annualizationFactor</f>
        <v>1.27950109145775</v>
      </c>
      <c r="AA334" s="751">
        <f>$G$21*$E$8*'Traffic Data'!BC28*annualizationFactor</f>
        <v>1.30415418502425</v>
      </c>
      <c r="AB334" s="751">
        <f>$G$21*$E$8*'Traffic Data'!BD28*annualizationFactor</f>
        <v>1.3288211169817501</v>
      </c>
      <c r="AC334" s="751">
        <f>$G$21*$E$8*'Traffic Data'!BE28*annualizationFactor</f>
        <v>1.3534742105482502</v>
      </c>
      <c r="AD334" s="751">
        <f>$G$21*$E$8*'Traffic Data'!BF28*annualizationFactor</f>
        <v>1.3781273041147502</v>
      </c>
      <c r="AE334" s="751">
        <f>$G$21*$E$8*'Traffic Data'!BG28*annualizationFactor</f>
        <v>1.4027942360722503</v>
      </c>
      <c r="AF334" s="751">
        <f>$G$21*$E$8*'Traffic Data'!BH28*annualizationFactor</f>
        <v>1.42744732963875</v>
      </c>
      <c r="AG334" s="751">
        <f>$G$21*$E$8*'Traffic Data'!BI28*annualizationFactor</f>
        <v>1.4521004232052499</v>
      </c>
      <c r="AH334" s="752">
        <f>$G$21*$E$8*'Traffic Data'!BJ28*annualizationFactor</f>
        <v>1.47676735516275</v>
      </c>
      <c r="AI334" s="40"/>
      <c r="AJ334" s="40"/>
      <c r="AK334" s="40"/>
      <c r="AL334" s="40"/>
      <c r="AM334" s="40"/>
    </row>
    <row r="335" spans="2:39" ht="21.9" customHeight="1" x14ac:dyDescent="0.25">
      <c r="B335" s="1332"/>
      <c r="C335" s="114" t="s">
        <v>274</v>
      </c>
      <c r="D335" s="114" t="s">
        <v>317</v>
      </c>
      <c r="E335" s="250" t="s">
        <v>19</v>
      </c>
      <c r="F335" s="250" t="s">
        <v>41</v>
      </c>
      <c r="G335" s="753"/>
      <c r="H335" s="753"/>
      <c r="I335" s="751">
        <f>$G$21*$E$8*'Traffic Data'!AK29*annualizationFactor</f>
        <v>1.0893498E-2</v>
      </c>
      <c r="J335" s="751">
        <f>$G$21*$E$8*'Traffic Data'!AL29*annualizationFactor</f>
        <v>1.134839232065E-2</v>
      </c>
      <c r="K335" s="751">
        <f>$G$21*$E$8*'Traffic Data'!AM29*annualizationFactor</f>
        <v>1.1911404608949999E-2</v>
      </c>
      <c r="L335" s="751">
        <f>$G$21*$E$8*'Traffic Data'!AN29*annualizationFactor</f>
        <v>1.2669410511449999E-2</v>
      </c>
      <c r="M335" s="751">
        <f>$G$21*$E$8*'Traffic Data'!AO29*annualizationFactor</f>
        <v>1.3427688751400003E-2</v>
      </c>
      <c r="N335" s="751">
        <f>$G$21*$E$8*'Traffic Data'!AP29*annualizationFactor</f>
        <v>1.4185876212200004E-2</v>
      </c>
      <c r="O335" s="751">
        <f>$G$21*$E$8*'Traffic Data'!AQ29*annualizationFactor</f>
        <v>1.4943882114700003E-2</v>
      </c>
      <c r="P335" s="751">
        <f>$G$21*$E$8*'Traffic Data'!AR29*annualizationFactor</f>
        <v>1.5702432692100005E-2</v>
      </c>
      <c r="Q335" s="751">
        <f>$G$21*$E$8*'Traffic Data'!AS29*annualizationFactor</f>
        <v>1.6437380690500002E-2</v>
      </c>
      <c r="R335" s="751">
        <f>$G$21*$E$8*'Traffic Data'!AT29*annualizationFactor</f>
        <v>1.7172601026349994E-2</v>
      </c>
      <c r="S335" s="751">
        <f>$G$21*$E$8*'Traffic Data'!AU29*annualizationFactor</f>
        <v>1.7907549024749999E-2</v>
      </c>
      <c r="T335" s="751">
        <f>$G$21*$E$8*'Traffic Data'!AV29*annualizationFactor</f>
        <v>1.864249702315E-2</v>
      </c>
      <c r="U335" s="751">
        <f>$G$21*$E$8*'Traffic Data'!AW29*annualizationFactor</f>
        <v>1.937798969645E-2</v>
      </c>
      <c r="V335" s="751">
        <f>$G$21*$E$8*'Traffic Data'!AX29*annualizationFactor</f>
        <v>1.9917671743199996E-2</v>
      </c>
      <c r="W335" s="751">
        <f>$G$21*$E$8*'Traffic Data'!AY29*annualizationFactor</f>
        <v>2.037256606385E-2</v>
      </c>
      <c r="X335" s="751">
        <f>$G$21*$E$8*'Traffic Data'!AZ29*annualizationFactor</f>
        <v>2.0827460384499993E-2</v>
      </c>
      <c r="Y335" s="751">
        <f>$G$21*$E$8*'Traffic Data'!BA29*annualizationFactor</f>
        <v>2.1282354705149997E-2</v>
      </c>
      <c r="Z335" s="751">
        <f>$G$21*$E$8*'Traffic Data'!BB29*annualizationFactor</f>
        <v>2.1737430584100003E-2</v>
      </c>
      <c r="AA335" s="751">
        <f>$G$21*$E$8*'Traffic Data'!BC29*annualizationFactor</f>
        <v>2.219232490475E-2</v>
      </c>
      <c r="AB335" s="751">
        <f>$G$21*$E$8*'Traffic Data'!BD29*annualizationFactor</f>
        <v>2.2647400783700002E-2</v>
      </c>
      <c r="AC335" s="751">
        <f>$G$21*$E$8*'Traffic Data'!BE29*annualizationFactor</f>
        <v>2.3102295104350006E-2</v>
      </c>
      <c r="AD335" s="751">
        <f>$G$21*$E$8*'Traffic Data'!BF29*annualizationFactor</f>
        <v>2.3557189424999996E-2</v>
      </c>
      <c r="AE335" s="751">
        <f>$G$21*$E$8*'Traffic Data'!BG29*annualizationFactor</f>
        <v>2.4012265303950002E-2</v>
      </c>
      <c r="AF335" s="751">
        <f>$G$21*$E$8*'Traffic Data'!BH29*annualizationFactor</f>
        <v>2.4467159624599999E-2</v>
      </c>
      <c r="AG335" s="751">
        <f>$G$21*$E$8*'Traffic Data'!BI29*annualizationFactor</f>
        <v>2.4922053945249992E-2</v>
      </c>
      <c r="AH335" s="752">
        <f>$G$21*$E$8*'Traffic Data'!BJ29*annualizationFactor</f>
        <v>2.5377129824199998E-2</v>
      </c>
      <c r="AI335" s="40"/>
      <c r="AJ335" s="40"/>
      <c r="AK335" s="40"/>
      <c r="AL335" s="40"/>
      <c r="AM335" s="40"/>
    </row>
    <row r="336" spans="2:39" ht="21.9" customHeight="1" x14ac:dyDescent="0.25">
      <c r="B336" s="1332" t="s">
        <v>274</v>
      </c>
      <c r="C336" s="217" t="s">
        <v>275</v>
      </c>
      <c r="D336" s="217" t="s">
        <v>318</v>
      </c>
      <c r="E336" s="114" t="s">
        <v>19</v>
      </c>
      <c r="F336" s="114" t="s">
        <v>41</v>
      </c>
      <c r="G336" s="941"/>
      <c r="H336" s="941"/>
      <c r="I336" s="749">
        <f>$G$21*$F$8*'Traffic Data'!AK30*annualizationFactor</f>
        <v>8.9997320000000006E-2</v>
      </c>
      <c r="J336" s="749">
        <f>$G$21*$F$8*'Traffic Data'!AL30*annualizationFactor</f>
        <v>9.9100998904600002E-2</v>
      </c>
      <c r="K336" s="749">
        <f>$G$21*$F$8*'Traffic Data'!AM30*annualizationFactor</f>
        <v>0.11945434280919999</v>
      </c>
      <c r="L336" s="749">
        <f>$G$21*$F$8*'Traffic Data'!AN30*annualizationFactor</f>
        <v>0.16033562541920005</v>
      </c>
      <c r="M336" s="749">
        <f>$G$21*$F$8*'Traffic Data'!AO30*annualizationFactor</f>
        <v>0.20124210727879999</v>
      </c>
      <c r="N336" s="749">
        <f>$G$21*$F$8*'Traffic Data'!AP30*annualizationFactor</f>
        <v>0.24214408927239997</v>
      </c>
      <c r="O336" s="749">
        <f>$G$21*$F$8*'Traffic Data'!AQ30*annualizationFactor</f>
        <v>0.28302537188239996</v>
      </c>
      <c r="P336" s="749">
        <f>$G$21*$F$8*'Traffic Data'!AR30*annualizationFactor</f>
        <v>0.32395705299160005</v>
      </c>
      <c r="Q336" s="749">
        <f>$G$21*$F$8*'Traffic Data'!AS30*annualizationFactor</f>
        <v>0.36412105696119995</v>
      </c>
      <c r="R336" s="749">
        <f>$G$21*$F$8*'Traffic Data'!AT30*annualizationFactor</f>
        <v>0.40430531032779987</v>
      </c>
      <c r="S336" s="749">
        <f>$G$21*$F$8*'Traffic Data'!AU30*annualizationFactor</f>
        <v>0.44446931429739994</v>
      </c>
      <c r="T336" s="749">
        <f>$G$21*$F$8*'Traffic Data'!AV30*annualizationFactor</f>
        <v>0.48463331826700001</v>
      </c>
      <c r="U336" s="749">
        <f>$G$21*$F$8*'Traffic Data'!AW30*annualizationFactor</f>
        <v>0.52484772073580011</v>
      </c>
      <c r="V336" s="749">
        <f>$G$21*$F$8*'Traffic Data'!AX30*annualizationFactor</f>
        <v>0.54445858675039993</v>
      </c>
      <c r="W336" s="749">
        <f>$G$21*$F$8*'Traffic Data'!AY30*annualizationFactor</f>
        <v>0.55356226565499989</v>
      </c>
      <c r="X336" s="749">
        <f>$G$21*$F$8*'Traffic Data'!AZ30*annualizationFactor</f>
        <v>0.56266594455959995</v>
      </c>
      <c r="Y336" s="749">
        <f>$G$21*$F$8*'Traffic Data'!BA30*annualizationFactor</f>
        <v>0.57176962346419991</v>
      </c>
      <c r="Z336" s="749">
        <f>$G$21*$F$8*'Traffic Data'!BB30*annualizationFactor</f>
        <v>0.58088725195339996</v>
      </c>
      <c r="AA336" s="749">
        <f>$G$21*$F$8*'Traffic Data'!BC30*annualizationFactor</f>
        <v>0.58999093085800003</v>
      </c>
      <c r="AB336" s="749">
        <f>$G$21*$F$8*'Traffic Data'!BD30*annualizationFactor</f>
        <v>0.59910855934719986</v>
      </c>
      <c r="AC336" s="749">
        <f>$G$21*$F$8*'Traffic Data'!BE30*annualizationFactor</f>
        <v>0.60821223825179993</v>
      </c>
      <c r="AD336" s="749">
        <f>$G$21*$F$8*'Traffic Data'!BF30*annualizationFactor</f>
        <v>0.61731591715639988</v>
      </c>
      <c r="AE336" s="749">
        <f>$G$21*$F$8*'Traffic Data'!BG30*annualizationFactor</f>
        <v>0.62643354564560005</v>
      </c>
      <c r="AF336" s="749">
        <f>$G$21*$F$8*'Traffic Data'!BH30*annualizationFactor</f>
        <v>0.63553722455020001</v>
      </c>
      <c r="AG336" s="749">
        <f>$G$21*$F$8*'Traffic Data'!BI30*annualizationFactor</f>
        <v>0.64464090345479985</v>
      </c>
      <c r="AH336" s="750">
        <f>$G$21*$F$8*'Traffic Data'!BJ30*annualizationFactor</f>
        <v>0.6537585319439998</v>
      </c>
      <c r="AI336" s="40"/>
      <c r="AJ336" s="40"/>
      <c r="AK336" s="40"/>
      <c r="AL336" s="40"/>
      <c r="AM336" s="40"/>
    </row>
    <row r="337" spans="2:39" ht="21.9" customHeight="1" x14ac:dyDescent="0.25">
      <c r="B337" s="1332"/>
      <c r="C337" s="114" t="s">
        <v>318</v>
      </c>
      <c r="D337" s="114" t="s">
        <v>308</v>
      </c>
      <c r="E337" s="114" t="s">
        <v>19</v>
      </c>
      <c r="F337" s="114" t="s">
        <v>41</v>
      </c>
      <c r="G337" s="941"/>
      <c r="H337" s="941"/>
      <c r="I337" s="751">
        <f>$G$21*$F$8*'Traffic Data'!AK31*annualizationFactor</f>
        <v>1.04244E-2</v>
      </c>
      <c r="J337" s="751">
        <f>$G$21*$F$8*'Traffic Data'!AL31*annualizationFactor</f>
        <v>1.1512359880000003E-2</v>
      </c>
      <c r="K337" s="751">
        <f>$G$21*$F$8*'Traffic Data'!AM31*annualizationFactor</f>
        <v>1.301425531E-2</v>
      </c>
      <c r="L337" s="751">
        <f>$G$21*$F$8*'Traffic Data'!AN31*annualizationFactor</f>
        <v>1.5772377810000002E-2</v>
      </c>
      <c r="M337" s="751">
        <f>$G$21*$F$8*'Traffic Data'!AO31*annualizationFactor</f>
        <v>1.8531282140000004E-2</v>
      </c>
      <c r="N337" s="751">
        <f>$G$21*$F$8*'Traffic Data'!AP31*annualizationFactor</f>
        <v>2.1290707690000004E-2</v>
      </c>
      <c r="O337" s="751">
        <f>$G$21*$F$8*'Traffic Data'!AQ31*annualizationFactor</f>
        <v>2.4048830190000002E-2</v>
      </c>
      <c r="P337" s="751">
        <f>$G$21*$F$8*'Traffic Data'!AR31*annualizationFactor</f>
        <v>2.6809471920000001E-2</v>
      </c>
      <c r="Q337" s="751">
        <f>$G$21*$F$8*'Traffic Data'!AS31*annualizationFactor</f>
        <v>3.0778909700000003E-2</v>
      </c>
      <c r="R337" s="751">
        <f>$G$21*$F$8*'Traffic Data'!AT31*annualizationFactor</f>
        <v>3.474921618E-2</v>
      </c>
      <c r="S337" s="751">
        <f>$G$21*$F$8*'Traffic Data'!AU31*annualizationFactor</f>
        <v>3.8717872129999997E-2</v>
      </c>
      <c r="T337" s="751">
        <f>$G$21*$F$8*'Traffic Data'!AV31*annualizationFactor</f>
        <v>4.2687309910000006E-2</v>
      </c>
      <c r="U337" s="751">
        <f>$G$21*$F$8*'Traffic Data'!AW31*annualizationFactor</f>
        <v>4.6659266920000012E-2</v>
      </c>
      <c r="V337" s="751">
        <f>$G$21*$F$8*'Traffic Data'!AX31*annualizationFactor</f>
        <v>4.9369958400000004E-2</v>
      </c>
      <c r="W337" s="751">
        <f>$G$21*$F$8*'Traffic Data'!AY31*annualizationFactor</f>
        <v>5.0457918280000007E-2</v>
      </c>
      <c r="X337" s="751">
        <f>$G$21*$F$8*'Traffic Data'!AZ31*annualizationFactor</f>
        <v>5.154587816000001E-2</v>
      </c>
      <c r="Y337" s="751">
        <f>$G$21*$F$8*'Traffic Data'!BA31*annualizationFactor</f>
        <v>5.2633838040000006E-2</v>
      </c>
      <c r="Z337" s="751">
        <f>$G$21*$F$8*'Traffic Data'!BB31*annualizationFactor</f>
        <v>5.3722579750000013E-2</v>
      </c>
      <c r="AA337" s="751">
        <f>$G$21*$F$8*'Traffic Data'!BC31*annualizationFactor</f>
        <v>5.4810539630000002E-2</v>
      </c>
      <c r="AB337" s="751">
        <f>$G$21*$F$8*'Traffic Data'!BD31*annualizationFactor</f>
        <v>5.5899281340000009E-2</v>
      </c>
      <c r="AC337" s="751">
        <f>$G$21*$F$8*'Traffic Data'!BE31*annualizationFactor</f>
        <v>5.6987241220000005E-2</v>
      </c>
      <c r="AD337" s="751">
        <f>$G$21*$F$8*'Traffic Data'!BF31*annualizationFactor</f>
        <v>5.8075201100000008E-2</v>
      </c>
      <c r="AE337" s="751">
        <f>$G$21*$F$8*'Traffic Data'!BG31*annualizationFactor</f>
        <v>5.9163942810000002E-2</v>
      </c>
      <c r="AF337" s="751">
        <f>$G$21*$F$8*'Traffic Data'!BH31*annualizationFactor</f>
        <v>6.0251902690000005E-2</v>
      </c>
      <c r="AG337" s="751">
        <f>$G$21*$F$8*'Traffic Data'!BI31*annualizationFactor</f>
        <v>6.1339862570000001E-2</v>
      </c>
      <c r="AH337" s="752">
        <f>$G$21*$F$8*'Traffic Data'!BJ31*annualizationFactor</f>
        <v>6.2428604279999994E-2</v>
      </c>
      <c r="AI337" s="40"/>
      <c r="AJ337" s="40"/>
      <c r="AK337" s="40"/>
      <c r="AL337" s="40"/>
      <c r="AM337" s="40"/>
    </row>
    <row r="338" spans="2:39" ht="21.9" customHeight="1" x14ac:dyDescent="0.25">
      <c r="B338" s="1332"/>
      <c r="C338" s="250" t="s">
        <v>308</v>
      </c>
      <c r="D338" s="250" t="s">
        <v>319</v>
      </c>
      <c r="E338" s="114" t="s">
        <v>19</v>
      </c>
      <c r="F338" s="114" t="s">
        <v>41</v>
      </c>
      <c r="G338" s="941"/>
      <c r="H338" s="941"/>
      <c r="I338" s="751">
        <f>$G$21*$F$8*'Traffic Data'!AK32*annualizationFactor</f>
        <v>0.13968696000000003</v>
      </c>
      <c r="J338" s="751">
        <f>$G$21*$F$8*'Traffic Data'!AL32*annualizationFactor</f>
        <v>0.1435986605032</v>
      </c>
      <c r="K338" s="751">
        <f>$G$21*$F$8*'Traffic Data'!AM32*annualizationFactor</f>
        <v>0.14917310145360002</v>
      </c>
      <c r="L338" s="751">
        <f>$G$21*$F$8*'Traffic Data'!AN32*annualizationFactor</f>
        <v>0.15699696808320002</v>
      </c>
      <c r="M338" s="751">
        <f>$G$21*$F$8*'Traffic Data'!AO32*annualizationFactor</f>
        <v>0.16482409407519999</v>
      </c>
      <c r="N338" s="751">
        <f>$G$21*$F$8*'Traffic Data'!AP32*annualizationFactor</f>
        <v>0.17265052163240008</v>
      </c>
      <c r="O338" s="751">
        <f>$G$21*$F$8*'Traffic Data'!AQ32*annualizationFactor</f>
        <v>0.18047438826200007</v>
      </c>
      <c r="P338" s="751">
        <f>$G$21*$F$8*'Traffic Data'!AR32*annualizationFactor</f>
        <v>0.18830454080480005</v>
      </c>
      <c r="Q338" s="751">
        <f>$G$21*$F$8*'Traffic Data'!AS32*annualizationFactor</f>
        <v>0.19620896024800002</v>
      </c>
      <c r="R338" s="751">
        <f>$G$21*$F$8*'Traffic Data'!AT32*annualizationFactor</f>
        <v>0.20411570780720004</v>
      </c>
      <c r="S338" s="751">
        <f>$G$21*$F$8*'Traffic Data'!AU32*annualizationFactor</f>
        <v>0.21201942881559999</v>
      </c>
      <c r="T338" s="751">
        <f>$G$21*$F$8*'Traffic Data'!AV32*annualizationFactor</f>
        <v>0.21992384825880004</v>
      </c>
      <c r="U338" s="751">
        <f>$G$21*$F$8*'Traffic Data'!AW32*annualizationFactor</f>
        <v>0.22783455361520005</v>
      </c>
      <c r="V338" s="751">
        <f>$G$21*$F$8*'Traffic Data'!AX32*annualizationFactor</f>
        <v>0.23348582239360005</v>
      </c>
      <c r="W338" s="751">
        <f>$G$21*$F$8*'Traffic Data'!AY32*annualizationFactor</f>
        <v>0.2373975228968</v>
      </c>
      <c r="X338" s="751">
        <f>$G$21*$F$8*'Traffic Data'!AZ32*annualizationFactor</f>
        <v>0.24130922340000002</v>
      </c>
      <c r="Y338" s="751">
        <f>$G$21*$F$8*'Traffic Data'!BA32*annualizationFactor</f>
        <v>0.24522092390319999</v>
      </c>
      <c r="Z338" s="751">
        <f>$G$21*$F$8*'Traffic Data'!BB32*annualizationFactor</f>
        <v>0.24913448689920004</v>
      </c>
      <c r="AA338" s="751">
        <f>$G$21*$F$8*'Traffic Data'!BC32*annualizationFactor</f>
        <v>0.25304618740240004</v>
      </c>
      <c r="AB338" s="751">
        <f>$G$21*$F$8*'Traffic Data'!BD32*annualizationFactor</f>
        <v>0.25695975039840008</v>
      </c>
      <c r="AC338" s="751">
        <f>$G$21*$F$8*'Traffic Data'!BE32*annualizationFactor</f>
        <v>0.26087145090160008</v>
      </c>
      <c r="AD338" s="751">
        <f>$G$21*$F$8*'Traffic Data'!BF32*annualizationFactor</f>
        <v>0.26478315140480002</v>
      </c>
      <c r="AE338" s="751">
        <f>$G$21*$F$8*'Traffic Data'!BG32*annualizationFactor</f>
        <v>0.26869671440080001</v>
      </c>
      <c r="AF338" s="751">
        <f>$G$21*$F$8*'Traffic Data'!BH32*annualizationFactor</f>
        <v>0.27260841490399995</v>
      </c>
      <c r="AG338" s="751">
        <f>$G$21*$F$8*'Traffic Data'!BI32*annualizationFactor</f>
        <v>0.27652011540720001</v>
      </c>
      <c r="AH338" s="752">
        <f>$G$21*$F$8*'Traffic Data'!BJ32*annualizationFactor</f>
        <v>0.28043367840319999</v>
      </c>
      <c r="AI338" s="40"/>
      <c r="AJ338" s="40"/>
      <c r="AK338" s="40"/>
      <c r="AL338" s="40"/>
      <c r="AM338" s="40"/>
    </row>
    <row r="339" spans="2:39" ht="21.9" customHeight="1" x14ac:dyDescent="0.25">
      <c r="B339" s="469" t="s">
        <v>320</v>
      </c>
      <c r="C339" s="114" t="s">
        <v>318</v>
      </c>
      <c r="D339" s="114" t="s">
        <v>308</v>
      </c>
      <c r="E339" s="273" t="s">
        <v>19</v>
      </c>
      <c r="F339" s="273" t="s">
        <v>41</v>
      </c>
      <c r="G339" s="754"/>
      <c r="H339" s="754"/>
      <c r="I339" s="749">
        <f>$G$21*$G$8*'Traffic Data'!AK33*annualizationFactor</f>
        <v>4.0828899999999999E-4</v>
      </c>
      <c r="J339" s="749">
        <f>$G$21*$G$8*'Traffic Data'!AL33*annualizationFactor</f>
        <v>3.0944223310000003E-3</v>
      </c>
      <c r="K339" s="749">
        <f>$G$21*$G$8*'Traffic Data'!AM33*annualizationFactor</f>
        <v>1.7927561700999999E-2</v>
      </c>
      <c r="L339" s="749">
        <f>$G$21*$G$8*'Traffic Data'!AN33*annualizationFactor</f>
        <v>4.1291491437000005E-2</v>
      </c>
      <c r="M339" s="749">
        <f>$G$21*$G$8*'Traffic Data'!AO33*annualizationFactor</f>
        <v>6.4670119577000001E-2</v>
      </c>
      <c r="N339" s="749">
        <f>$G$21*$G$8*'Traffic Data'!AP33*annualizationFactor</f>
        <v>8.8049972584000019E-2</v>
      </c>
      <c r="O339" s="749">
        <f>$G$21*$G$8*'Traffic Data'!AQ33*annualizationFactor</f>
        <v>0.11141390232000001</v>
      </c>
      <c r="P339" s="749">
        <f>$G$21*$G$8*'Traffic Data'!AR33*annualizationFactor</f>
        <v>0.13480886202000003</v>
      </c>
      <c r="Q339" s="749">
        <f>$G$21*$G$8*'Traffic Data'!AS33*annualizationFactor</f>
        <v>0.147945152306</v>
      </c>
      <c r="R339" s="749">
        <f>$G$21*$G$8*'Traffic Data'!AT33*annualizationFactor</f>
        <v>0.16108634206</v>
      </c>
      <c r="S339" s="749">
        <f>$G$21*$G$8*'Traffic Data'!AU33*annualizationFactor</f>
        <v>0.174226306947</v>
      </c>
      <c r="T339" s="749">
        <f>$G$21*$G$8*'Traffic Data'!AV33*annualizationFactor</f>
        <v>0.18736259723299997</v>
      </c>
      <c r="U339" s="749">
        <f>$G$21*$G$8*'Traffic Data'!AW33*annualizationFactor</f>
        <v>0.20052991748300009</v>
      </c>
      <c r="V339" s="749">
        <f>$G$21*$G$8*'Traffic Data'!AX33*annualizationFactor</f>
        <v>0.20512276044400007</v>
      </c>
      <c r="W339" s="749">
        <f>$G$21*$G$8*'Traffic Data'!AY33*annualizationFactor</f>
        <v>0.20780889377500003</v>
      </c>
      <c r="X339" s="749">
        <f>$G$21*$G$8*'Traffic Data'!AZ33*annualizationFactor</f>
        <v>0.21049502710600002</v>
      </c>
      <c r="Y339" s="749">
        <f>$G$21*$G$8*'Traffic Data'!BA33*annualizationFactor</f>
        <v>0.21318116043700003</v>
      </c>
      <c r="Z339" s="749">
        <f>$G$21*$G$8*'Traffic Data'!BB33*annualizationFactor</f>
        <v>0.21587790928200001</v>
      </c>
      <c r="AA339" s="749">
        <f>$G$21*$G$8*'Traffic Data'!BC33*annualizationFactor</f>
        <v>0.21856404261300005</v>
      </c>
      <c r="AB339" s="749">
        <f>$G$21*$G$8*'Traffic Data'!BD33*annualizationFactor</f>
        <v>0.22126079145800009</v>
      </c>
      <c r="AC339" s="749">
        <f>$G$21*$G$8*'Traffic Data'!BE33*annualizationFactor</f>
        <v>0.22394692478900002</v>
      </c>
      <c r="AD339" s="749">
        <f>$G$21*$G$8*'Traffic Data'!BF33*annualizationFactor</f>
        <v>0.22663305812000006</v>
      </c>
      <c r="AE339" s="749">
        <f>$G$21*$G$8*'Traffic Data'!BG33*annualizationFactor</f>
        <v>0.2293298069650001</v>
      </c>
      <c r="AF339" s="749">
        <f>$G$21*$G$8*'Traffic Data'!BH33*annualizationFactor</f>
        <v>0.23201594029600006</v>
      </c>
      <c r="AG339" s="749">
        <f>$G$21*$G$8*'Traffic Data'!BI33*annualizationFactor</f>
        <v>0.23470207362700005</v>
      </c>
      <c r="AH339" s="750">
        <f>$G$21*$G$8*'Traffic Data'!BJ33*annualizationFactor</f>
        <v>0.23739882247200009</v>
      </c>
      <c r="AI339" s="40"/>
      <c r="AJ339" s="40"/>
      <c r="AK339" s="40"/>
      <c r="AL339" s="40"/>
      <c r="AM339" s="40"/>
    </row>
    <row r="340" spans="2:39" ht="21.9" customHeight="1" x14ac:dyDescent="0.25">
      <c r="B340" s="1332" t="s">
        <v>308</v>
      </c>
      <c r="C340" s="217" t="s">
        <v>276</v>
      </c>
      <c r="D340" s="217" t="s">
        <v>320</v>
      </c>
      <c r="E340" s="114" t="s">
        <v>19</v>
      </c>
      <c r="F340" s="114" t="s">
        <v>41</v>
      </c>
      <c r="G340" s="941"/>
      <c r="H340" s="941"/>
      <c r="I340" s="749">
        <f>$G$21*$H$8*'Traffic Data'!AK34*annualizationFactor</f>
        <v>1.172745E-3</v>
      </c>
      <c r="J340" s="749">
        <f>$G$21*$H$8*'Traffic Data'!AL34*annualizationFactor</f>
        <v>2.6064257625000001E-3</v>
      </c>
      <c r="K340" s="749">
        <f>$G$21*$H$8*'Traffic Data'!AM34*annualizationFactor</f>
        <v>1.1016180157500001E-2</v>
      </c>
      <c r="L340" s="749">
        <f>$G$21*$H$8*'Traffic Data'!AN34*annualizationFactor</f>
        <v>2.4763683420000002E-2</v>
      </c>
      <c r="M340" s="749">
        <f>$G$21*$H$8*'Traffic Data'!AO34*annualizationFactor</f>
        <v>3.851880952500001E-2</v>
      </c>
      <c r="N340" s="749">
        <f>$G$21*$H$8*'Traffic Data'!AP34*annualizationFactor</f>
        <v>5.227452200249999E-2</v>
      </c>
      <c r="O340" s="749">
        <f>$G$21*$H$8*'Traffic Data'!AQ34*annualizationFactor</f>
        <v>6.6022025265000006E-2</v>
      </c>
      <c r="P340" s="749">
        <f>$G$21*$H$8*'Traffic Data'!AR34*annualizationFactor</f>
        <v>7.978536058500002E-2</v>
      </c>
      <c r="Q340" s="749">
        <f>$G$21*$H$8*'Traffic Data'!AS34*annualizationFactor</f>
        <v>9.0398702835000025E-2</v>
      </c>
      <c r="R340" s="749">
        <f>$G$21*$H$8*'Traffic Data'!AT34*annualizationFactor</f>
        <v>0.10101380420250002</v>
      </c>
      <c r="S340" s="749">
        <f>$G$21*$H$8*'Traffic Data'!AU34*annualizationFactor</f>
        <v>0.11162714645250001</v>
      </c>
      <c r="T340" s="749">
        <f>$G$21*$H$8*'Traffic Data'!AV34*annualizationFactor</f>
        <v>0.12224048870250001</v>
      </c>
      <c r="U340" s="749">
        <f>$G$21*$H$8*'Traffic Data'!AW34*annualizationFactor</f>
        <v>0.1328679038925</v>
      </c>
      <c r="V340" s="749">
        <f>$G$21*$H$8*'Traffic Data'!AX34*annualizationFactor</f>
        <v>0.13813528806</v>
      </c>
      <c r="W340" s="749">
        <f>$G$21*$H$8*'Traffic Data'!AY34*annualizationFactor</f>
        <v>0.13956896882250003</v>
      </c>
      <c r="X340" s="749">
        <f>$G$21*$H$8*'Traffic Data'!AZ34*annualizationFactor</f>
        <v>0.141002649585</v>
      </c>
      <c r="Y340" s="749">
        <f>$G$21*$H$8*'Traffic Data'!BA34*annualizationFactor</f>
        <v>0.14243633034750003</v>
      </c>
      <c r="Z340" s="749">
        <f>$G$21*$H$8*'Traffic Data'!BB34*annualizationFactor</f>
        <v>0.14387411571750003</v>
      </c>
      <c r="AA340" s="749">
        <f>$G$21*$H$8*'Traffic Data'!BC34*annualizationFactor</f>
        <v>0.14530779648</v>
      </c>
      <c r="AB340" s="749">
        <f>$G$21*$H$8*'Traffic Data'!BD34*annualizationFactor</f>
        <v>0.14674558184999997</v>
      </c>
      <c r="AC340" s="749">
        <f>$G$21*$H$8*'Traffic Data'!BE34*annualizationFactor</f>
        <v>0.1481792626125</v>
      </c>
      <c r="AD340" s="749">
        <f>$G$21*$H$8*'Traffic Data'!BF34*annualizationFactor</f>
        <v>0.149612943375</v>
      </c>
      <c r="AE340" s="749">
        <f>$G$21*$H$8*'Traffic Data'!BG34*annualizationFactor</f>
        <v>0.151050728745</v>
      </c>
      <c r="AF340" s="749">
        <f>$G$21*$H$8*'Traffic Data'!BH34*annualizationFactor</f>
        <v>0.15248440950750003</v>
      </c>
      <c r="AG340" s="749">
        <f>$G$21*$H$8*'Traffic Data'!BI34*annualizationFactor</f>
        <v>0.15391809027</v>
      </c>
      <c r="AH340" s="750">
        <f>$G$21*$H$8*'Traffic Data'!BJ34*annualizationFactor</f>
        <v>0.15535587564</v>
      </c>
      <c r="AI340" s="40"/>
      <c r="AJ340" s="40"/>
      <c r="AK340" s="40"/>
      <c r="AL340" s="40"/>
      <c r="AM340" s="40"/>
    </row>
    <row r="341" spans="2:39" ht="21.9" customHeight="1" x14ac:dyDescent="0.25">
      <c r="B341" s="1332"/>
      <c r="C341" s="114" t="s">
        <v>320</v>
      </c>
      <c r="D341" s="114" t="s">
        <v>282</v>
      </c>
      <c r="E341" s="114" t="s">
        <v>19</v>
      </c>
      <c r="F341" s="114" t="s">
        <v>41</v>
      </c>
      <c r="G341" s="941"/>
      <c r="H341" s="941"/>
      <c r="I341" s="751">
        <f>$G$21*$H$8*'Traffic Data'!AK35*annualizationFactor</f>
        <v>0</v>
      </c>
      <c r="J341" s="751">
        <f>$G$21*$H$8*'Traffic Data'!AL35*annualizationFactor</f>
        <v>7.9781407999999999E-4</v>
      </c>
      <c r="K341" s="751">
        <f>$G$21*$H$8*'Traffic Data'!AM35*annualizationFactor</f>
        <v>2.2848373660000003E-3</v>
      </c>
      <c r="L341" s="751">
        <f>$G$21*$H$8*'Traffic Data'!AN35*annualizationFactor</f>
        <v>5.1361713760000004E-3</v>
      </c>
      <c r="M341" s="751">
        <f>$G$21*$H$8*'Traffic Data'!AO35*annualizationFactor</f>
        <v>7.9890864200000029E-3</v>
      </c>
      <c r="N341" s="751">
        <f>$G$21*$H$8*'Traffic Data'!AP35*annualizationFactor</f>
        <v>1.0842123081999997E-2</v>
      </c>
      <c r="O341" s="751">
        <f>$G$21*$H$8*'Traffic Data'!AQ35*annualizationFactor</f>
        <v>1.3693457092000002E-2</v>
      </c>
      <c r="P341" s="751">
        <f>$G$21*$H$8*'Traffic Data'!AR35*annualizationFactor</f>
        <v>1.6548074788000005E-2</v>
      </c>
      <c r="Q341" s="751">
        <f>$G$21*$H$8*'Traffic Data'!AS35*annualizationFactor</f>
        <v>1.8749360588000006E-2</v>
      </c>
      <c r="R341" s="751">
        <f>$G$21*$H$8*'Traffic Data'!AT35*annualizationFactor</f>
        <v>2.0951011242000005E-2</v>
      </c>
      <c r="S341" s="751">
        <f>$G$21*$H$8*'Traffic Data'!AU35*annualizationFactor</f>
        <v>2.3152297042000003E-2</v>
      </c>
      <c r="T341" s="751">
        <f>$G$21*$H$8*'Traffic Data'!AV35*annualizationFactor</f>
        <v>2.5353582842E-2</v>
      </c>
      <c r="U341" s="751">
        <f>$G$21*$H$8*'Traffic Data'!AW35*annualizationFactor</f>
        <v>2.7557787474000003E-2</v>
      </c>
      <c r="V341" s="751">
        <f>$G$21*$H$8*'Traffic Data'!AX35*annualizationFactor</f>
        <v>2.8650281968000006E-2</v>
      </c>
      <c r="W341" s="751">
        <f>$G$21*$H$8*'Traffic Data'!AY35*annualizationFactor</f>
        <v>2.8947637978000006E-2</v>
      </c>
      <c r="X341" s="751">
        <f>$G$21*$H$8*'Traffic Data'!AZ35*annualizationFactor</f>
        <v>2.9244993988000005E-2</v>
      </c>
      <c r="Y341" s="751">
        <f>$G$21*$H$8*'Traffic Data'!BA35*annualizationFactor</f>
        <v>2.9542349998000011E-2</v>
      </c>
      <c r="Z341" s="751">
        <f>$G$21*$H$8*'Traffic Data'!BB35*annualizationFactor</f>
        <v>2.9840557334000012E-2</v>
      </c>
      <c r="AA341" s="751">
        <f>$G$21*$H$8*'Traffic Data'!BC35*annualizationFactor</f>
        <v>3.0137913344000004E-2</v>
      </c>
      <c r="AB341" s="751">
        <f>$G$21*$H$8*'Traffic Data'!BD35*annualizationFactor</f>
        <v>3.0436120679999994E-2</v>
      </c>
      <c r="AC341" s="751">
        <f>$G$21*$H$8*'Traffic Data'!BE35*annualizationFactor</f>
        <v>3.0733476690000001E-2</v>
      </c>
      <c r="AD341" s="751">
        <f>$G$21*$H$8*'Traffic Data'!BF35*annualizationFactor</f>
        <v>3.10308327E-2</v>
      </c>
      <c r="AE341" s="751">
        <f>$G$21*$H$8*'Traffic Data'!BG35*annualizationFactor</f>
        <v>3.1329040035999997E-2</v>
      </c>
      <c r="AF341" s="751">
        <f>$G$21*$H$8*'Traffic Data'!BH35*annualizationFactor</f>
        <v>3.1626396045999997E-2</v>
      </c>
      <c r="AG341" s="751">
        <f>$G$21*$H$8*'Traffic Data'!BI35*annualizationFactor</f>
        <v>3.1923752055999996E-2</v>
      </c>
      <c r="AH341" s="752">
        <f>$G$21*$H$8*'Traffic Data'!BJ35*annualizationFactor</f>
        <v>3.2221959391999996E-2</v>
      </c>
      <c r="AI341" s="40"/>
      <c r="AJ341" s="40"/>
      <c r="AK341" s="40"/>
      <c r="AL341" s="40"/>
      <c r="AM341" s="40"/>
    </row>
    <row r="342" spans="2:39" ht="21.9" customHeight="1" x14ac:dyDescent="0.25">
      <c r="B342" s="1332"/>
      <c r="C342" s="114" t="s">
        <v>282</v>
      </c>
      <c r="D342" s="114" t="s">
        <v>321</v>
      </c>
      <c r="E342" s="114" t="s">
        <v>19</v>
      </c>
      <c r="F342" s="114" t="s">
        <v>41</v>
      </c>
      <c r="G342" s="941"/>
      <c r="H342" s="941"/>
      <c r="I342" s="751">
        <f>$G$21*$H$8*'Traffic Data'!AK36*annualizationFactor</f>
        <v>0</v>
      </c>
      <c r="J342" s="751">
        <f>$G$21*$H$8*'Traffic Data'!AL36*annualizationFactor</f>
        <v>2.0800152799999999E-3</v>
      </c>
      <c r="K342" s="751">
        <f>$G$21*$H$8*'Traffic Data'!AM36*annualizationFactor</f>
        <v>5.9568974185000003E-3</v>
      </c>
      <c r="L342" s="751">
        <f>$G$21*$H$8*'Traffic Data'!AN36*annualizationFactor</f>
        <v>1.3390732516E-2</v>
      </c>
      <c r="M342" s="751">
        <f>$G$21*$H$8*'Traffic Data'!AO36*annualizationFactor</f>
        <v>2.0828689595000005E-2</v>
      </c>
      <c r="N342" s="751">
        <f>$G$21*$H$8*'Traffic Data'!AP36*annualizationFactor</f>
        <v>2.8266963749499996E-2</v>
      </c>
      <c r="O342" s="751">
        <f>$G$21*$H$8*'Traffic Data'!AQ36*annualizationFactor</f>
        <v>3.5700798846999997E-2</v>
      </c>
      <c r="P342" s="751">
        <f>$G$21*$H$8*'Traffic Data'!AR36*annualizationFactor</f>
        <v>4.3143194983000004E-2</v>
      </c>
      <c r="Q342" s="751">
        <f>$G$21*$H$8*'Traffic Data'!AS36*annualizationFactor</f>
        <v>4.8882261533000008E-2</v>
      </c>
      <c r="R342" s="751">
        <f>$G$21*$H$8*'Traffic Data'!AT36*annualizationFactor</f>
        <v>5.4622279309500012E-2</v>
      </c>
      <c r="S342" s="751">
        <f>$G$21*$H$8*'Traffic Data'!AU36*annualizationFactor</f>
        <v>6.0361345859499989E-2</v>
      </c>
      <c r="T342" s="751">
        <f>$G$21*$H$8*'Traffic Data'!AV36*annualizationFactor</f>
        <v>6.6100412409499987E-2</v>
      </c>
      <c r="U342" s="751">
        <f>$G$21*$H$8*'Traffic Data'!AW36*annualizationFactor</f>
        <v>7.1847088771500006E-2</v>
      </c>
      <c r="V342" s="751">
        <f>$G$21*$H$8*'Traffic Data'!AX36*annualizationFactor</f>
        <v>7.4695377987999995E-2</v>
      </c>
      <c r="W342" s="751">
        <f>$G$21*$H$8*'Traffic Data'!AY36*annualizationFactor</f>
        <v>7.5470627585499994E-2</v>
      </c>
      <c r="X342" s="751">
        <f>$G$21*$H$8*'Traffic Data'!AZ36*annualizationFactor</f>
        <v>7.6245877182999994E-2</v>
      </c>
      <c r="Y342" s="751">
        <f>$G$21*$H$8*'Traffic Data'!BA36*annualizationFactor</f>
        <v>7.7021126780500007E-2</v>
      </c>
      <c r="Z342" s="751">
        <f>$G$21*$H$8*'Traffic Data'!BB36*annualizationFactor</f>
        <v>7.7798595906500012E-2</v>
      </c>
      <c r="AA342" s="751">
        <f>$G$21*$H$8*'Traffic Data'!BC36*annualizationFactor</f>
        <v>7.8573845504000012E-2</v>
      </c>
      <c r="AB342" s="751">
        <f>$G$21*$H$8*'Traffic Data'!BD36*annualizationFactor</f>
        <v>7.9351314629999989E-2</v>
      </c>
      <c r="AC342" s="751">
        <f>$G$21*$H$8*'Traffic Data'!BE36*annualizationFactor</f>
        <v>8.0126564227499988E-2</v>
      </c>
      <c r="AD342" s="751">
        <f>$G$21*$H$8*'Traffic Data'!BF36*annualizationFactor</f>
        <v>8.0901813824999988E-2</v>
      </c>
      <c r="AE342" s="751">
        <f>$G$21*$H$8*'Traffic Data'!BG36*annualizationFactor</f>
        <v>8.1679282950999993E-2</v>
      </c>
      <c r="AF342" s="751">
        <f>$G$21*$H$8*'Traffic Data'!BH36*annualizationFactor</f>
        <v>8.2454532548499992E-2</v>
      </c>
      <c r="AG342" s="751">
        <f>$G$21*$H$8*'Traffic Data'!BI36*annualizationFactor</f>
        <v>8.3229782145999992E-2</v>
      </c>
      <c r="AH342" s="752">
        <f>$G$21*$H$8*'Traffic Data'!BJ36*annualizationFactor</f>
        <v>8.4007251271999983E-2</v>
      </c>
      <c r="AI342" s="40"/>
      <c r="AJ342" s="40"/>
      <c r="AK342" s="40"/>
      <c r="AL342" s="40"/>
      <c r="AM342" s="40"/>
    </row>
    <row r="343" spans="2:39" ht="21.9" customHeight="1" x14ac:dyDescent="0.25">
      <c r="B343" s="1332"/>
      <c r="C343" s="250" t="s">
        <v>321</v>
      </c>
      <c r="D343" s="250" t="s">
        <v>274</v>
      </c>
      <c r="E343" s="114" t="s">
        <v>19</v>
      </c>
      <c r="F343" s="114" t="s">
        <v>41</v>
      </c>
      <c r="G343" s="941"/>
      <c r="H343" s="941"/>
      <c r="I343" s="751">
        <f>$G$21*$H$8*'Traffic Data'!AK37*annualizationFactor</f>
        <v>2.7364050000000003E-3</v>
      </c>
      <c r="J343" s="751">
        <f>$G$21*$H$8*'Traffic Data'!AL37*annualizationFactor</f>
        <v>4.0791589334999998E-3</v>
      </c>
      <c r="K343" s="751">
        <f>$G$21*$H$8*'Traffic Data'!AM37*annualizationFactor</f>
        <v>5.7431668140000003E-3</v>
      </c>
      <c r="L343" s="751">
        <f>$G$21*$H$8*'Traffic Data'!AN37*annualizationFactor</f>
        <v>9.9497510069999993E-3</v>
      </c>
      <c r="M343" s="751">
        <f>$G$21*$H$8*'Traffic Data'!AO37*annualizationFactor</f>
        <v>1.41567912675E-2</v>
      </c>
      <c r="N343" s="751">
        <f>$G$21*$H$8*'Traffic Data'!AP37*annualizationFactor</f>
        <v>1.8365929438500007E-2</v>
      </c>
      <c r="O343" s="751">
        <f>$G$21*$H$8*'Traffic Data'!AQ37*annualizationFactor</f>
        <v>2.2572513631500004E-2</v>
      </c>
      <c r="P343" s="751">
        <f>$G$21*$H$8*'Traffic Data'!AR37*annualizationFactor</f>
        <v>2.6777729622E-2</v>
      </c>
      <c r="Q343" s="751">
        <f>$G$21*$H$8*'Traffic Data'!AS37*annualizationFactor</f>
        <v>3.7481725060500001E-2</v>
      </c>
      <c r="R343" s="751">
        <f>$G$21*$H$8*'Traffic Data'!AT37*annualizationFactor</f>
        <v>4.8181524678000007E-2</v>
      </c>
      <c r="S343" s="751">
        <f>$G$21*$H$8*'Traffic Data'!AU37*annualizationFactor</f>
        <v>5.8880503374000012E-2</v>
      </c>
      <c r="T343" s="751">
        <f>$G$21*$H$8*'Traffic Data'!AV37*annualizationFactor</f>
        <v>6.9584498812500006E-2</v>
      </c>
      <c r="U343" s="751">
        <f>$G$21*$H$8*'Traffic Data'!AW37*annualizationFactor</f>
        <v>8.028712604850001E-2</v>
      </c>
      <c r="V343" s="751">
        <f>$G$21*$H$8*'Traffic Data'!AX37*annualizationFactor</f>
        <v>8.8445352702000019E-2</v>
      </c>
      <c r="W343" s="751">
        <f>$G$21*$H$8*'Traffic Data'!AY37*annualizationFactor</f>
        <v>8.9788106635499992E-2</v>
      </c>
      <c r="X343" s="751">
        <f>$G$21*$H$8*'Traffic Data'!AZ37*annualizationFactor</f>
        <v>9.1130860569000022E-2</v>
      </c>
      <c r="Y343" s="751">
        <f>$G$21*$H$8*'Traffic Data'!BA37*annualizationFactor</f>
        <v>9.2473614502500009E-2</v>
      </c>
      <c r="Z343" s="751">
        <f>$G$21*$H$8*'Traffic Data'!BB37*annualizationFactor</f>
        <v>9.3812263828500012E-2</v>
      </c>
      <c r="AA343" s="751">
        <f>$G$21*$H$8*'Traffic Data'!BC37*annualizationFactor</f>
        <v>9.5155017761999999E-2</v>
      </c>
      <c r="AB343" s="751">
        <f>$G$21*$H$8*'Traffic Data'!BD37*annualizationFactor</f>
        <v>9.6493667088000029E-2</v>
      </c>
      <c r="AC343" s="751">
        <f>$G$21*$H$8*'Traffic Data'!BE37*annualizationFactor</f>
        <v>9.7836421021500017E-2</v>
      </c>
      <c r="AD343" s="751">
        <f>$G$21*$H$8*'Traffic Data'!BF37*annualizationFactor</f>
        <v>9.9179174955000018E-2</v>
      </c>
      <c r="AE343" s="751">
        <f>$G$21*$H$8*'Traffic Data'!BG37*annualizationFactor</f>
        <v>0.10051782428100001</v>
      </c>
      <c r="AF343" s="751">
        <f>$G$21*$H$8*'Traffic Data'!BH37*annualizationFactor</f>
        <v>0.10186057821450004</v>
      </c>
      <c r="AG343" s="751">
        <f>$G$21*$H$8*'Traffic Data'!BI37*annualizationFactor</f>
        <v>0.103203332148</v>
      </c>
      <c r="AH343" s="752">
        <f>$G$21*$H$8*'Traffic Data'!BJ37*annualizationFactor</f>
        <v>0.104541981474</v>
      </c>
      <c r="AI343" s="40"/>
      <c r="AJ343" s="40"/>
      <c r="AK343" s="40"/>
      <c r="AL343" s="40"/>
      <c r="AM343" s="40"/>
    </row>
    <row r="344" spans="2:39" ht="21.9" customHeight="1" x14ac:dyDescent="0.25">
      <c r="B344" s="469" t="s">
        <v>282</v>
      </c>
      <c r="C344" s="114" t="s">
        <v>308</v>
      </c>
      <c r="D344" s="114" t="s">
        <v>324</v>
      </c>
      <c r="E344" s="114" t="s">
        <v>19</v>
      </c>
      <c r="F344" s="114" t="s">
        <v>41</v>
      </c>
      <c r="G344" s="941"/>
      <c r="H344" s="941"/>
      <c r="I344" s="749">
        <f>$G$21*$J$8*'Traffic Data'!AK38*annualizationFactor</f>
        <v>1.56366E-2</v>
      </c>
      <c r="J344" s="749">
        <f>$G$21*$J$8*'Traffic Data'!AL38*annualizationFactor</f>
        <v>1.6598077160000002E-2</v>
      </c>
      <c r="K344" s="749">
        <f>$G$21*$J$8*'Traffic Data'!AM38*annualizationFactor</f>
        <v>1.7870462050000001E-2</v>
      </c>
      <c r="L344" s="749">
        <f>$G$21*$J$8*'Traffic Data'!AN38*annualizationFactor</f>
        <v>1.9561386599999998E-2</v>
      </c>
      <c r="M344" s="749">
        <f>$G$21*$J$8*'Traffic Data'!AO38*annualizationFactor</f>
        <v>2.1252832369999999E-2</v>
      </c>
      <c r="N344" s="749">
        <f>$G$21*$J$8*'Traffic Data'!AP38*annualizationFactor</f>
        <v>2.2947926680000005E-2</v>
      </c>
      <c r="O344" s="749">
        <f>$G$21*$J$8*'Traffic Data'!AQ38*annualizationFactor</f>
        <v>2.4638851229999998E-2</v>
      </c>
      <c r="P344" s="749">
        <f>$G$21*$J$8*'Traffic Data'!AR38*annualizationFactor</f>
        <v>2.6331600050000001E-2</v>
      </c>
      <c r="Q344" s="749">
        <f>$G$21*$J$8*'Traffic Data'!AS38*annualizationFactor</f>
        <v>2.787510621E-2</v>
      </c>
      <c r="R344" s="749">
        <f>$G$21*$J$8*'Traffic Data'!AT38*annualizationFactor</f>
        <v>2.9417309320000001E-2</v>
      </c>
      <c r="S344" s="749">
        <f>$G$21*$J$8*'Traffic Data'!AU38*annualizationFactor</f>
        <v>3.096090235E-2</v>
      </c>
      <c r="T344" s="749">
        <f>$G$21*$J$8*'Traffic Data'!AV38*annualizationFactor</f>
        <v>3.2504408510000006E-2</v>
      </c>
      <c r="U344" s="749">
        <f>$G$21*$J$8*'Traffic Data'!AW38*annualizationFactor</f>
        <v>3.4053387480000002E-2</v>
      </c>
      <c r="V344" s="749">
        <f>$G$21*$J$8*'Traffic Data'!AX38*annualizationFactor</f>
        <v>3.5177137800000001E-2</v>
      </c>
      <c r="W344" s="749">
        <f>$G$21*$J$8*'Traffic Data'!AY38*annualizationFactor</f>
        <v>3.6138614960000003E-2</v>
      </c>
      <c r="X344" s="749">
        <f>$G$21*$J$8*'Traffic Data'!AZ38*annualizationFactor</f>
        <v>3.7100092119999997E-2</v>
      </c>
      <c r="Y344" s="749">
        <f>$G$21*$J$8*'Traffic Data'!BA38*annualizationFactor</f>
        <v>3.8061569279999999E-2</v>
      </c>
      <c r="Z344" s="749">
        <f>$G$21*$J$8*'Traffic Data'!BB38*annualizationFactor</f>
        <v>3.9024088880000002E-2</v>
      </c>
      <c r="AA344" s="749">
        <f>$G$21*$J$8*'Traffic Data'!BC38*annualizationFactor</f>
        <v>3.9985566039999997E-2</v>
      </c>
      <c r="AB344" s="749">
        <f>$G$21*$J$8*'Traffic Data'!BD38*annualizationFactor</f>
        <v>4.0949388690000005E-2</v>
      </c>
      <c r="AC344" s="749">
        <f>$G$21*$J$8*'Traffic Data'!BE38*annualizationFactor</f>
        <v>4.1910865849999999E-2</v>
      </c>
      <c r="AD344" s="749">
        <f>$G$21*$J$8*'Traffic Data'!BF38*annualizationFactor</f>
        <v>4.2872343010000001E-2</v>
      </c>
      <c r="AE344" s="749">
        <f>$G$21*$J$8*'Traffic Data'!BG38*annualizationFactor</f>
        <v>4.383486260999999E-2</v>
      </c>
      <c r="AF344" s="749">
        <f>$G$21*$J$8*'Traffic Data'!BH38*annualizationFactor</f>
        <v>4.4796339769999999E-2</v>
      </c>
      <c r="AG344" s="749">
        <f>$G$21*$J$8*'Traffic Data'!BI38*annualizationFactor</f>
        <v>4.575781693E-2</v>
      </c>
      <c r="AH344" s="750">
        <f>$G$21*$J$8*'Traffic Data'!BJ38*annualizationFactor</f>
        <v>4.6721639579999995E-2</v>
      </c>
      <c r="AI344" s="40"/>
      <c r="AJ344" s="40"/>
      <c r="AK344" s="40"/>
      <c r="AL344" s="40"/>
      <c r="AM344" s="40"/>
    </row>
    <row r="345" spans="2:39" ht="21.9" customHeight="1" x14ac:dyDescent="0.25">
      <c r="B345" s="756" t="s">
        <v>321</v>
      </c>
      <c r="C345" s="273" t="s">
        <v>318</v>
      </c>
      <c r="D345" s="273" t="s">
        <v>308</v>
      </c>
      <c r="E345" s="273" t="s">
        <v>19</v>
      </c>
      <c r="F345" s="273" t="s">
        <v>41</v>
      </c>
      <c r="G345" s="754"/>
      <c r="H345" s="754"/>
      <c r="I345" s="749">
        <f>$G$21*$K$8*'Traffic Data'!AK39*annualizationFactor</f>
        <v>0</v>
      </c>
      <c r="J345" s="749">
        <f>$G$21*$K$8*'Traffic Data'!AL39*annualizationFactor</f>
        <v>0</v>
      </c>
      <c r="K345" s="749">
        <f>$G$21*$K$8*'Traffic Data'!AM39*annualizationFactor</f>
        <v>0</v>
      </c>
      <c r="L345" s="749">
        <f>$G$21*$K$8*'Traffic Data'!AN39*annualizationFactor</f>
        <v>0</v>
      </c>
      <c r="M345" s="749">
        <f>$G$21*$K$8*'Traffic Data'!AO39*annualizationFactor</f>
        <v>0</v>
      </c>
      <c r="N345" s="749">
        <f>$G$21*$K$8*'Traffic Data'!AP39*annualizationFactor</f>
        <v>0</v>
      </c>
      <c r="O345" s="749">
        <f>$G$21*$K$8*'Traffic Data'!AQ39*annualizationFactor</f>
        <v>0</v>
      </c>
      <c r="P345" s="749">
        <f>$G$21*$K$8*'Traffic Data'!AR39*annualizationFactor</f>
        <v>0</v>
      </c>
      <c r="Q345" s="749">
        <f>$G$21*$K$8*'Traffic Data'!AS39*annualizationFactor</f>
        <v>0</v>
      </c>
      <c r="R345" s="749">
        <f>$G$21*$K$8*'Traffic Data'!AT39*annualizationFactor</f>
        <v>0</v>
      </c>
      <c r="S345" s="749">
        <f>$G$21*$K$8*'Traffic Data'!AU39*annualizationFactor</f>
        <v>0</v>
      </c>
      <c r="T345" s="749">
        <f>$G$21*$K$8*'Traffic Data'!AV39*annualizationFactor</f>
        <v>0</v>
      </c>
      <c r="U345" s="749">
        <f>$G$21*$K$8*'Traffic Data'!AW39*annualizationFactor</f>
        <v>0</v>
      </c>
      <c r="V345" s="749">
        <f>$G$21*$K$8*'Traffic Data'!AX39*annualizationFactor</f>
        <v>0</v>
      </c>
      <c r="W345" s="749">
        <f>$G$21*$K$8*'Traffic Data'!AY39*annualizationFactor</f>
        <v>0</v>
      </c>
      <c r="X345" s="749">
        <f>$G$21*$K$8*'Traffic Data'!AZ39*annualizationFactor</f>
        <v>0</v>
      </c>
      <c r="Y345" s="749">
        <f>$G$21*$K$8*'Traffic Data'!BA39*annualizationFactor</f>
        <v>0</v>
      </c>
      <c r="Z345" s="749">
        <f>$G$21*$K$8*'Traffic Data'!BB39*annualizationFactor</f>
        <v>0</v>
      </c>
      <c r="AA345" s="749">
        <f>$G$21*$K$8*'Traffic Data'!BC39*annualizationFactor</f>
        <v>0</v>
      </c>
      <c r="AB345" s="749">
        <f>$G$21*$K$8*'Traffic Data'!BD39*annualizationFactor</f>
        <v>0</v>
      </c>
      <c r="AC345" s="749">
        <f>$G$21*$K$8*'Traffic Data'!BE39*annualizationFactor</f>
        <v>0</v>
      </c>
      <c r="AD345" s="749">
        <f>$G$21*$K$8*'Traffic Data'!BF39*annualizationFactor</f>
        <v>0</v>
      </c>
      <c r="AE345" s="749">
        <f>$G$21*$K$8*'Traffic Data'!BG39*annualizationFactor</f>
        <v>0</v>
      </c>
      <c r="AF345" s="749">
        <f>$G$21*$K$8*'Traffic Data'!BH39*annualizationFactor</f>
        <v>0</v>
      </c>
      <c r="AG345" s="749">
        <f>$G$21*$K$8*'Traffic Data'!BI39*annualizationFactor</f>
        <v>0</v>
      </c>
      <c r="AH345" s="750">
        <f>$G$21*$K$8*'Traffic Data'!BJ39*annualizationFactor</f>
        <v>0</v>
      </c>
      <c r="AI345" s="40"/>
      <c r="AJ345" s="40"/>
      <c r="AK345" s="40"/>
      <c r="AL345" s="40"/>
      <c r="AM345" s="40"/>
    </row>
    <row r="346" spans="2:39" ht="21.9" customHeight="1" x14ac:dyDescent="0.25">
      <c r="B346" s="756" t="s">
        <v>333</v>
      </c>
      <c r="C346" s="273" t="s">
        <v>319</v>
      </c>
      <c r="D346" s="273" t="s">
        <v>308</v>
      </c>
      <c r="E346" s="114" t="s">
        <v>19</v>
      </c>
      <c r="F346" s="114" t="s">
        <v>41</v>
      </c>
      <c r="G346" s="941"/>
      <c r="H346" s="941"/>
      <c r="I346" s="749">
        <f>$G$21*$L$8*'Traffic Data'!AK40*annualizationFactor</f>
        <v>2.8998785454545456E-2</v>
      </c>
      <c r="J346" s="749">
        <f>$G$21*$L$8*'Traffic Data'!AL40*annualizationFactor</f>
        <v>2.9396954889272728E-2</v>
      </c>
      <c r="K346" s="749">
        <f>$G$21*$L$8*'Traffic Data'!AM40*annualizationFactor</f>
        <v>3.0085192730727274E-2</v>
      </c>
      <c r="L346" s="749">
        <f>$G$21*$L$8*'Traffic Data'!AN40*annualizationFactor</f>
        <v>3.1030069823454555E-2</v>
      </c>
      <c r="M346" s="749">
        <f>$G$21*$L$8*'Traffic Data'!AO40*annualizationFactor</f>
        <v>3.1975349677090911E-2</v>
      </c>
      <c r="N346" s="749">
        <f>$G$21*$L$8*'Traffic Data'!AP40*annualizationFactor</f>
        <v>3.2921998917818183E-2</v>
      </c>
      <c r="O346" s="749">
        <f>$G$21*$L$8*'Traffic Data'!AQ40*annualizationFactor</f>
        <v>3.3866876010545457E-2</v>
      </c>
      <c r="P346" s="749">
        <f>$G$21*$L$8*'Traffic Data'!AR40*annualizationFactor</f>
        <v>3.4815055742727273E-2</v>
      </c>
      <c r="Q346" s="749">
        <f>$G$21*$L$8*'Traffic Data'!AS40*annualizationFactor</f>
        <v>3.5472603202909091E-2</v>
      </c>
      <c r="R346" s="749">
        <f>$G$21*$L$8*'Traffic Data'!AT40*annualizationFactor</f>
        <v>3.6130231215272722E-2</v>
      </c>
      <c r="S346" s="749">
        <f>$G$21*$L$8*'Traffic Data'!AU40*annualizationFactor</f>
        <v>3.6787939779818181E-2</v>
      </c>
      <c r="T346" s="749">
        <f>$G$21*$L$8*'Traffic Data'!AV40*annualizationFactor</f>
        <v>3.7445487240000006E-2</v>
      </c>
      <c r="U346" s="749">
        <f>$G$21*$L$8*'Traffic Data'!AW40*annualizationFactor</f>
        <v>3.8107706726727274E-2</v>
      </c>
      <c r="V346" s="749">
        <f>$G$21*$L$8*'Traffic Data'!AX40*annualizationFactor</f>
        <v>3.8505876161454539E-2</v>
      </c>
      <c r="W346" s="749">
        <f>$G$21*$L$8*'Traffic Data'!AY40*annualizationFactor</f>
        <v>3.890404559618181E-2</v>
      </c>
      <c r="X346" s="749">
        <f>$G$21*$L$8*'Traffic Data'!AZ40*annualizationFactor</f>
        <v>3.9302215030909096E-2</v>
      </c>
      <c r="Y346" s="749">
        <f>$G$21*$L$8*'Traffic Data'!BA40*annualizationFactor</f>
        <v>3.9700384465636361E-2</v>
      </c>
      <c r="Z346" s="749">
        <f>$G$21*$L$8*'Traffic Data'!BB40*annualizationFactor</f>
        <v>4.0101292674545458E-2</v>
      </c>
      <c r="AA346" s="749">
        <f>$G$21*$L$8*'Traffic Data'!BC40*annualizationFactor</f>
        <v>4.049946210927273E-2</v>
      </c>
      <c r="AB346" s="749">
        <f>$G$21*$L$8*'Traffic Data'!BD40*annualizationFactor</f>
        <v>4.0899162035454552E-2</v>
      </c>
      <c r="AC346" s="749">
        <f>$G$21*$L$8*'Traffic Data'!BE40*annualizationFactor</f>
        <v>4.129733147018181E-2</v>
      </c>
      <c r="AD346" s="749">
        <f>$G$21*$L$8*'Traffic Data'!BF40*annualizationFactor</f>
        <v>4.1695500904909102E-2</v>
      </c>
      <c r="AE346" s="749">
        <f>$G$21*$L$8*'Traffic Data'!BG40*annualizationFactor</f>
        <v>4.2096409113818185E-2</v>
      </c>
      <c r="AF346" s="749">
        <f>$G$21*$L$8*'Traffic Data'!BH40*annualizationFactor</f>
        <v>4.2494578548545464E-2</v>
      </c>
      <c r="AG346" s="749">
        <f>$G$21*$L$8*'Traffic Data'!BI40*annualizationFactor</f>
        <v>4.2892747983272729E-2</v>
      </c>
      <c r="AH346" s="750">
        <f>$G$21*$L$8*'Traffic Data'!BJ40*annualizationFactor</f>
        <v>4.3292447909454551E-2</v>
      </c>
      <c r="AI346" s="40"/>
      <c r="AJ346" s="40"/>
      <c r="AK346" s="40"/>
      <c r="AL346" s="40"/>
      <c r="AM346" s="40"/>
    </row>
    <row r="347" spans="2:39" ht="21.9" customHeight="1" x14ac:dyDescent="0.25">
      <c r="B347" s="469" t="s">
        <v>319</v>
      </c>
      <c r="C347" s="114" t="s">
        <v>276</v>
      </c>
      <c r="D347" s="114" t="s">
        <v>333</v>
      </c>
      <c r="E347" s="217" t="s">
        <v>19</v>
      </c>
      <c r="F347" s="217" t="s">
        <v>41</v>
      </c>
      <c r="G347" s="749"/>
      <c r="H347" s="749"/>
      <c r="I347" s="749">
        <f>$G$21*$M$8*'Traffic Data'!AK41*annualizationFactor</f>
        <v>0.1041452840909091</v>
      </c>
      <c r="J347" s="749">
        <f>$G$21*$M$8*'Traffic Data'!AL41*annualizationFactor</f>
        <v>0.10714748019539776</v>
      </c>
      <c r="K347" s="749">
        <f>$G$21*$M$8*'Traffic Data'!AM41*annualizationFactor</f>
        <v>0.11039702134960229</v>
      </c>
      <c r="L347" s="749">
        <f>$G$21*$M$8*'Traffic Data'!AN41*annualizationFactor</f>
        <v>0.11470811538454546</v>
      </c>
      <c r="M347" s="749">
        <f>$G$21*$M$8*'Traffic Data'!AO41*annualizationFactor</f>
        <v>0.11901993843647728</v>
      </c>
      <c r="N347" s="749">
        <f>$G$21*$M$8*'Traffic Data'!AP41*annualizationFactor</f>
        <v>0.12333353195823862</v>
      </c>
      <c r="O347" s="749">
        <f>$G$21*$M$8*'Traffic Data'!AQ41*annualizationFactor</f>
        <v>0.12764462599318185</v>
      </c>
      <c r="P347" s="749">
        <f>$G$21*$M$8*'Traffic Data'!AR41*annualizationFactor</f>
        <v>0.13195686562625003</v>
      </c>
      <c r="Q347" s="749">
        <f>$G$21*$M$8*'Traffic Data'!AS41*annualizationFactor</f>
        <v>0.13670193306000003</v>
      </c>
      <c r="R347" s="749">
        <f>$G$21*$M$8*'Traffic Data'!AT41*annualizationFactor</f>
        <v>0.14144543831448864</v>
      </c>
      <c r="S347" s="749">
        <f>$G$21*$M$8*'Traffic Data'!AU41*annualizationFactor</f>
        <v>0.14619050574823866</v>
      </c>
      <c r="T347" s="749">
        <f>$G$21*$M$8*'Traffic Data'!AV41*annualizationFactor</f>
        <v>0.15093557318198864</v>
      </c>
      <c r="U347" s="749">
        <f>$G$21*$M$8*'Traffic Data'!AW41*annualizationFactor</f>
        <v>0.15568334839312503</v>
      </c>
      <c r="V347" s="749">
        <f>$G$21*$M$8*'Traffic Data'!AX41*annualizationFactor</f>
        <v>0.15936644636500003</v>
      </c>
      <c r="W347" s="749">
        <f>$G$21*$M$8*'Traffic Data'!AY41*annualizationFactor</f>
        <v>0.16236864246948865</v>
      </c>
      <c r="X347" s="749">
        <f>$G$21*$M$8*'Traffic Data'!AZ41*annualizationFactor</f>
        <v>0.16537083857397733</v>
      </c>
      <c r="Y347" s="749">
        <f>$G$21*$M$8*'Traffic Data'!BA41*annualizationFactor</f>
        <v>0.16837303467846595</v>
      </c>
      <c r="Z347" s="749">
        <f>$G$21*$M$8*'Traffic Data'!BB41*annualizationFactor</f>
        <v>0.17137491834710228</v>
      </c>
      <c r="AA347" s="749">
        <f>$G$21*$M$8*'Traffic Data'!BC41*annualizationFactor</f>
        <v>0.1743771144515909</v>
      </c>
      <c r="AB347" s="749">
        <f>$G$21*$M$8*'Traffic Data'!BD41*annualizationFactor</f>
        <v>0.17737899812022723</v>
      </c>
      <c r="AC347" s="749">
        <f>$G$21*$M$8*'Traffic Data'!BE41*annualizationFactor</f>
        <v>0.18038119422471596</v>
      </c>
      <c r="AD347" s="749">
        <f>$G$21*$M$8*'Traffic Data'!BF41*annualizationFactor</f>
        <v>0.18338339032920462</v>
      </c>
      <c r="AE347" s="749">
        <f>$G$21*$M$8*'Traffic Data'!BG41*annualizationFactor</f>
        <v>0.18638527399784094</v>
      </c>
      <c r="AF347" s="749">
        <f>$G$21*$M$8*'Traffic Data'!BH41*annualizationFactor</f>
        <v>0.18938747010232956</v>
      </c>
      <c r="AG347" s="749">
        <f>$G$21*$M$8*'Traffic Data'!BI41*annualizationFactor</f>
        <v>0.19238966620681819</v>
      </c>
      <c r="AH347" s="750">
        <f>$G$21*$M$8*'Traffic Data'!BJ41*annualizationFactor</f>
        <v>0.19539154987545462</v>
      </c>
      <c r="AI347" s="40"/>
      <c r="AJ347" s="40"/>
      <c r="AK347" s="40"/>
      <c r="AL347" s="40"/>
      <c r="AM347" s="40"/>
    </row>
    <row r="348" spans="2:39" ht="21.9" customHeight="1" x14ac:dyDescent="0.25">
      <c r="B348" s="469"/>
      <c r="C348" s="114" t="s">
        <v>333</v>
      </c>
      <c r="D348" s="114" t="s">
        <v>323</v>
      </c>
      <c r="E348" s="114" t="s">
        <v>19</v>
      </c>
      <c r="F348" s="114" t="s">
        <v>41</v>
      </c>
      <c r="G348" s="941"/>
      <c r="H348" s="941"/>
      <c r="I348" s="751">
        <f>$G$21*$M$8*'Traffic Data'!AK42*annualizationFactor</f>
        <v>1.5167370378787879E-2</v>
      </c>
      <c r="J348" s="751">
        <f>$G$21*$M$8*'Traffic Data'!AL42*annualizationFactor</f>
        <v>1.5597844298617426E-2</v>
      </c>
      <c r="K348" s="751">
        <f>$G$21*$M$8*'Traffic Data'!AM42*annualizationFactor</f>
        <v>1.6075556594350379E-2</v>
      </c>
      <c r="L348" s="751">
        <f>$G$21*$M$8*'Traffic Data'!AN42*annualizationFactor</f>
        <v>1.674607410749053E-2</v>
      </c>
      <c r="M348" s="751">
        <f>$G$21*$M$8*'Traffic Data'!AO42*annualizationFactor</f>
        <v>1.7416711363028411E-2</v>
      </c>
      <c r="N348" s="751">
        <f>$G$21*$M$8*'Traffic Data'!AP42*annualizationFactor</f>
        <v>1.8087488318030299E-2</v>
      </c>
      <c r="O348" s="751">
        <f>$G$21*$M$8*'Traffic Data'!AQ42*annualizationFactor</f>
        <v>1.8758005831170457E-2</v>
      </c>
      <c r="P348" s="751">
        <f>$G$21*$M$8*'Traffic Data'!AR42*annualizationFactor</f>
        <v>1.9428563258443183E-2</v>
      </c>
      <c r="Q348" s="751">
        <f>$G$21*$M$8*'Traffic Data'!AS42*annualizationFactor</f>
        <v>2.018224186680493E-2</v>
      </c>
      <c r="R348" s="751">
        <f>$G$21*$M$8*'Traffic Data'!AT42*annualizationFactor</f>
        <v>2.0935661033304926E-2</v>
      </c>
      <c r="S348" s="751">
        <f>$G$21*$M$8*'Traffic Data'!AU42*annualizationFactor</f>
        <v>2.1689339641666663E-2</v>
      </c>
      <c r="T348" s="751">
        <f>$G$21*$M$8*'Traffic Data'!AV42*annualizationFactor</f>
        <v>2.2443018250028406E-2</v>
      </c>
      <c r="U348" s="751">
        <f>$G$21*$M$8*'Traffic Data'!AW42*annualizationFactor</f>
        <v>2.319681660078788E-2</v>
      </c>
      <c r="V348" s="751">
        <f>$G$21*$M$8*'Traffic Data'!AX42*annualizationFactor</f>
        <v>2.3757769820007574E-2</v>
      </c>
      <c r="W348" s="751">
        <f>$G$21*$M$8*'Traffic Data'!AY42*annualizationFactor</f>
        <v>2.418824373983712E-2</v>
      </c>
      <c r="X348" s="751">
        <f>$G$21*$M$8*'Traffic Data'!AZ42*annualizationFactor</f>
        <v>2.4618717659666674E-2</v>
      </c>
      <c r="Y348" s="751">
        <f>$G$21*$M$8*'Traffic Data'!BA42*annualizationFactor</f>
        <v>2.5049191579496213E-2</v>
      </c>
      <c r="Z348" s="751">
        <f>$G$21*$M$8*'Traffic Data'!BB42*annualizationFactor</f>
        <v>2.5479445971596588E-2</v>
      </c>
      <c r="AA348" s="751">
        <f>$G$21*$M$8*'Traffic Data'!BC42*annualizationFactor</f>
        <v>2.5909919891426134E-2</v>
      </c>
      <c r="AB348" s="751">
        <f>$G$21*$M$8*'Traffic Data'!BD42*annualizationFactor</f>
        <v>2.6340174283526516E-2</v>
      </c>
      <c r="AC348" s="751">
        <f>$G$21*$M$8*'Traffic Data'!BE42*annualizationFactor</f>
        <v>2.6770648203356062E-2</v>
      </c>
      <c r="AD348" s="751">
        <f>$G$21*$M$8*'Traffic Data'!BF42*annualizationFactor</f>
        <v>2.7201122123185609E-2</v>
      </c>
      <c r="AE348" s="751">
        <f>$G$21*$M$8*'Traffic Data'!BG42*annualizationFactor</f>
        <v>2.7631376515285983E-2</v>
      </c>
      <c r="AF348" s="751">
        <f>$G$21*$M$8*'Traffic Data'!BH42*annualizationFactor</f>
        <v>2.806185043511553E-2</v>
      </c>
      <c r="AG348" s="751">
        <f>$G$21*$M$8*'Traffic Data'!BI42*annualizationFactor</f>
        <v>2.8492324354945069E-2</v>
      </c>
      <c r="AH348" s="752">
        <f>$G$21*$M$8*'Traffic Data'!BJ42*annualizationFactor</f>
        <v>2.8922578747045451E-2</v>
      </c>
      <c r="AI348" s="40"/>
      <c r="AJ348" s="40"/>
      <c r="AK348" s="40"/>
      <c r="AL348" s="40"/>
      <c r="AM348" s="40"/>
    </row>
    <row r="349" spans="2:39" ht="21.9" customHeight="1" x14ac:dyDescent="0.25">
      <c r="B349" s="469"/>
      <c r="C349" s="114" t="s">
        <v>323</v>
      </c>
      <c r="D349" s="114" t="s">
        <v>322</v>
      </c>
      <c r="E349" s="114" t="s">
        <v>19</v>
      </c>
      <c r="F349" s="114" t="s">
        <v>41</v>
      </c>
      <c r="G349" s="941"/>
      <c r="H349" s="941"/>
      <c r="I349" s="751">
        <f>$G$21*$M$8*'Traffic Data'!AK43*annualizationFactor</f>
        <v>3.7512045454545459E-3</v>
      </c>
      <c r="J349" s="751">
        <f>$G$21*$M$8*'Traffic Data'!AL43*annualizationFactor</f>
        <v>3.8576696534090909E-3</v>
      </c>
      <c r="K349" s="751">
        <f>$G$21*$M$8*'Traffic Data'!AM43*annualizationFactor</f>
        <v>3.9758177892045459E-3</v>
      </c>
      <c r="L349" s="751">
        <f>$G$21*$M$8*'Traffic Data'!AN43*annualizationFactor</f>
        <v>4.1416506448863633E-3</v>
      </c>
      <c r="M349" s="751">
        <f>$G$21*$M$8*'Traffic Data'!AO43*annualizationFactor</f>
        <v>4.3075131153409094E-3</v>
      </c>
      <c r="N349" s="751">
        <f>$G$21*$M$8*'Traffic Data'!AP43*annualizationFactor</f>
        <v>4.4734101363636354E-3</v>
      </c>
      <c r="O349" s="751">
        <f>$G$21*$M$8*'Traffic Data'!AQ43*annualizationFactor</f>
        <v>4.6392429920454545E-3</v>
      </c>
      <c r="P349" s="751">
        <f>$G$21*$M$8*'Traffic Data'!AR43*annualizationFactor</f>
        <v>4.8050857193181829E-3</v>
      </c>
      <c r="Q349" s="751">
        <f>$G$21*$M$8*'Traffic Data'!AS43*annualizationFactor</f>
        <v>4.9914860346590914E-3</v>
      </c>
      <c r="R349" s="751">
        <f>$G$21*$M$8*'Traffic Data'!AT43*annualizationFactor</f>
        <v>5.1778221846590896E-3</v>
      </c>
      <c r="S349" s="751">
        <f>$G$21*$M$8*'Traffic Data'!AU43*annualizationFactor</f>
        <v>5.3642224999999998E-3</v>
      </c>
      <c r="T349" s="751">
        <f>$G$21*$M$8*'Traffic Data'!AV43*annualizationFactor</f>
        <v>5.5506228153409084E-3</v>
      </c>
      <c r="U349" s="751">
        <f>$G$21*$M$8*'Traffic Data'!AW43*annualizationFactor</f>
        <v>5.7370527454545456E-3</v>
      </c>
      <c r="V349" s="751">
        <f>$G$21*$M$8*'Traffic Data'!AX43*annualizationFactor</f>
        <v>5.8757880840909077E-3</v>
      </c>
      <c r="W349" s="751">
        <f>$G$21*$M$8*'Traffic Data'!AY43*annualizationFactor</f>
        <v>5.9822531920454549E-3</v>
      </c>
      <c r="X349" s="751">
        <f>$G$21*$M$8*'Traffic Data'!AZ43*annualizationFactor</f>
        <v>6.0887183000000004E-3</v>
      </c>
      <c r="Y349" s="751">
        <f>$G$21*$M$8*'Traffic Data'!BA43*annualizationFactor</f>
        <v>6.1951834079545442E-3</v>
      </c>
      <c r="Z349" s="751">
        <f>$G$21*$M$8*'Traffic Data'!BB43*annualizationFactor</f>
        <v>6.3015942221590895E-3</v>
      </c>
      <c r="AA349" s="751">
        <f>$G$21*$M$8*'Traffic Data'!BC43*annualizationFactor</f>
        <v>6.4080593301136359E-3</v>
      </c>
      <c r="AB349" s="751">
        <f>$G$21*$M$8*'Traffic Data'!BD43*annualizationFactor</f>
        <v>6.514470144318182E-3</v>
      </c>
      <c r="AC349" s="751">
        <f>$G$21*$M$8*'Traffic Data'!BE43*annualizationFactor</f>
        <v>6.6209352522727267E-3</v>
      </c>
      <c r="AD349" s="751">
        <f>$G$21*$M$8*'Traffic Data'!BF43*annualizationFactor</f>
        <v>6.7274003602272739E-3</v>
      </c>
      <c r="AE349" s="751">
        <f>$G$21*$M$8*'Traffic Data'!BG43*annualizationFactor</f>
        <v>6.8338111744318175E-3</v>
      </c>
      <c r="AF349" s="751">
        <f>$G$21*$M$8*'Traffic Data'!BH43*annualizationFactor</f>
        <v>6.940276282386363E-3</v>
      </c>
      <c r="AG349" s="751">
        <f>$G$21*$M$8*'Traffic Data'!BI43*annualizationFactor</f>
        <v>7.0467413903409076E-3</v>
      </c>
      <c r="AH349" s="752">
        <f>$G$21*$M$8*'Traffic Data'!BJ43*annualizationFactor</f>
        <v>7.1531522045454529E-3</v>
      </c>
      <c r="AI349" s="40"/>
      <c r="AJ349" s="40"/>
      <c r="AK349" s="40"/>
      <c r="AL349" s="40"/>
      <c r="AM349" s="40"/>
    </row>
    <row r="350" spans="2:39" ht="21.9" customHeight="1" x14ac:dyDescent="0.25">
      <c r="B350" s="469"/>
      <c r="C350" s="114" t="s">
        <v>322</v>
      </c>
      <c r="D350" s="114" t="s">
        <v>326</v>
      </c>
      <c r="E350" s="114" t="s">
        <v>19</v>
      </c>
      <c r="F350" s="114" t="s">
        <v>41</v>
      </c>
      <c r="G350" s="941"/>
      <c r="H350" s="941"/>
      <c r="I350" s="751">
        <f>$G$21*$M$8*'Traffic Data'!AK44*annualizationFactor</f>
        <v>9.6248011363636379E-3</v>
      </c>
      <c r="J350" s="751">
        <f>$G$21*$M$8*'Traffic Data'!AL44*annualizationFactor</f>
        <v>9.8977284139204549E-3</v>
      </c>
      <c r="K350" s="751">
        <f>$G$21*$M$8*'Traffic Data'!AM44*annualizationFactor</f>
        <v>1.0208721779971591E-2</v>
      </c>
      <c r="L350" s="751">
        <f>$G$21*$M$8*'Traffic Data'!AN44*annualizationFactor</f>
        <v>1.0606097736221592E-2</v>
      </c>
      <c r="M350" s="751">
        <f>$G$21*$M$8*'Traffic Data'!AO44*annualizationFactor</f>
        <v>1.1003602023153409E-2</v>
      </c>
      <c r="N350" s="751">
        <f>$G$21*$M$8*'Traffic Data'!AP44*annualizationFactor</f>
        <v>1.1401042144744323E-2</v>
      </c>
      <c r="O350" s="751">
        <f>$G$21*$M$8*'Traffic Data'!AQ44*annualizationFactor</f>
        <v>1.1798418100994322E-2</v>
      </c>
      <c r="P350" s="751">
        <f>$G$21*$M$8*'Traffic Data'!AR44*annualizationFactor</f>
        <v>1.2195874263920456E-2</v>
      </c>
      <c r="Q350" s="751">
        <f>$G$21*$M$8*'Traffic Data'!AS44*annualizationFactor</f>
        <v>1.2645095815624998E-2</v>
      </c>
      <c r="R350" s="751">
        <f>$G$21*$M$8*'Traffic Data'!AT44*annualizationFactor</f>
        <v>1.3094301325994318E-2</v>
      </c>
      <c r="S350" s="751">
        <f>$G$21*$M$8*'Traffic Data'!AU44*annualizationFactor</f>
        <v>1.3543458712357955E-2</v>
      </c>
      <c r="T350" s="751">
        <f>$G$21*$M$8*'Traffic Data'!AV44*annualizationFactor</f>
        <v>1.3992680264062503E-2</v>
      </c>
      <c r="U350" s="751">
        <f>$G$21*$M$8*'Traffic Data'!AW44*annualizationFactor</f>
        <v>1.444198202244318E-2</v>
      </c>
      <c r="V350" s="751">
        <f>$G$21*$M$8*'Traffic Data'!AX44*annualizationFactor</f>
        <v>1.4804804942613638E-2</v>
      </c>
      <c r="W350" s="751">
        <f>$G$21*$M$8*'Traffic Data'!AY44*annualizationFactor</f>
        <v>1.5077732220170456E-2</v>
      </c>
      <c r="X350" s="751">
        <f>$G$21*$M$8*'Traffic Data'!AZ44*annualizationFactor</f>
        <v>1.5350659497727277E-2</v>
      </c>
      <c r="Y350" s="751">
        <f>$G$21*$M$8*'Traffic Data'!BA44*annualizationFactor</f>
        <v>1.5623586775284094E-2</v>
      </c>
      <c r="Z350" s="751">
        <f>$G$21*$M$8*'Traffic Data'!BB44*annualizationFactor</f>
        <v>1.5896433846164779E-2</v>
      </c>
      <c r="AA350" s="751">
        <f>$G$21*$M$8*'Traffic Data'!BC44*annualizationFactor</f>
        <v>1.6169361123721589E-2</v>
      </c>
      <c r="AB350" s="751">
        <f>$G$21*$M$8*'Traffic Data'!BD44*annualizationFactor</f>
        <v>1.6442208194602272E-2</v>
      </c>
      <c r="AC350" s="751">
        <f>$G$21*$M$8*'Traffic Data'!BE44*annualizationFactor</f>
        <v>1.6715135472159089E-2</v>
      </c>
      <c r="AD350" s="751">
        <f>$G$21*$M$8*'Traffic Data'!BF44*annualizationFactor</f>
        <v>1.6988062749715909E-2</v>
      </c>
      <c r="AE350" s="751">
        <f>$G$21*$M$8*'Traffic Data'!BG44*annualizationFactor</f>
        <v>1.7260909820596589E-2</v>
      </c>
      <c r="AF350" s="751">
        <f>$G$21*$M$8*'Traffic Data'!BH44*annualizationFactor</f>
        <v>1.7533837098153409E-2</v>
      </c>
      <c r="AG350" s="751">
        <f>$G$21*$M$8*'Traffic Data'!BI44*annualizationFactor</f>
        <v>1.7806764375710223E-2</v>
      </c>
      <c r="AH350" s="752">
        <f>$G$21*$M$8*'Traffic Data'!BJ44*annualizationFactor</f>
        <v>1.8079611446590906E-2</v>
      </c>
      <c r="AI350" s="40"/>
      <c r="AJ350" s="40"/>
      <c r="AK350" s="40"/>
      <c r="AL350" s="40"/>
      <c r="AM350" s="40"/>
    </row>
    <row r="351" spans="2:39" ht="21.9" customHeight="1" x14ac:dyDescent="0.25">
      <c r="B351" s="469"/>
      <c r="C351" s="114" t="s">
        <v>326</v>
      </c>
      <c r="D351" s="114" t="s">
        <v>274</v>
      </c>
      <c r="E351" s="114" t="s">
        <v>19</v>
      </c>
      <c r="F351" s="114" t="s">
        <v>41</v>
      </c>
      <c r="G351" s="941"/>
      <c r="H351" s="941"/>
      <c r="I351" s="751">
        <f>$G$21*$M$8*'Traffic Data'!AK45*annualizationFactor</f>
        <v>7.9910528409090908E-2</v>
      </c>
      <c r="J351" s="751">
        <f>$G$21*$M$8*'Traffic Data'!AL45*annualizationFactor</f>
        <v>8.2176524626344713E-2</v>
      </c>
      <c r="K351" s="751">
        <f>$G$21*$M$8*'Traffic Data'!AM45*annualizationFactor</f>
        <v>8.4758566983456435E-2</v>
      </c>
      <c r="L351" s="751">
        <f>$G$21*$M$8*'Traffic Data'!AN45*annualizationFactor</f>
        <v>8.8057806333039793E-2</v>
      </c>
      <c r="M351" s="751">
        <f>$G$21*$M$8*'Traffic Data'!AO45*annualizationFactor</f>
        <v>9.1358111156335228E-2</v>
      </c>
      <c r="N351" s="751">
        <f>$G$21*$M$8*'Traffic Data'!AP45*annualizationFactor</f>
        <v>9.465788324277466E-2</v>
      </c>
      <c r="O351" s="751">
        <f>$G$21*$M$8*'Traffic Data'!AQ45*annualizationFactor</f>
        <v>9.7957122592357976E-2</v>
      </c>
      <c r="P351" s="751">
        <f>$G$21*$M$8*'Traffic Data'!AR45*annualizationFactor</f>
        <v>0.1012570278630114</v>
      </c>
      <c r="Q351" s="751">
        <f>$G$21*$M$8*'Traffic Data'!AS45*annualizationFactor</f>
        <v>0.10498671859229167</v>
      </c>
      <c r="R351" s="751">
        <f>$G$21*$M$8*'Traffic Data'!AT45*annualizationFactor</f>
        <v>0.10871627613735797</v>
      </c>
      <c r="S351" s="751">
        <f>$G$21*$M$8*'Traffic Data'!AU45*annualizationFactor</f>
        <v>0.11244543412978221</v>
      </c>
      <c r="T351" s="751">
        <f>$G$21*$M$8*'Traffic Data'!AV45*annualizationFactor</f>
        <v>0.11617512485906253</v>
      </c>
      <c r="U351" s="751">
        <f>$G$21*$M$8*'Traffic Data'!AW45*annualizationFactor</f>
        <v>0.11990548150941288</v>
      </c>
      <c r="V351" s="751">
        <f>$G$21*$M$8*'Traffic Data'!AX45*annualizationFactor</f>
        <v>0.12291784206200758</v>
      </c>
      <c r="W351" s="751">
        <f>$G$21*$M$8*'Traffic Data'!AY45*annualizationFactor</f>
        <v>0.12518383827926138</v>
      </c>
      <c r="X351" s="751">
        <f>$G$21*$M$8*'Traffic Data'!AZ45*annualizationFactor</f>
        <v>0.12744983449651517</v>
      </c>
      <c r="Y351" s="751">
        <f>$G$21*$M$8*'Traffic Data'!BA45*annualizationFactor</f>
        <v>0.12971583071376896</v>
      </c>
      <c r="Z351" s="751">
        <f>$G$21*$M$8*'Traffic Data'!BB45*annualizationFactor</f>
        <v>0.13198116100995269</v>
      </c>
      <c r="AA351" s="751">
        <f>$G$21*$M$8*'Traffic Data'!BC45*annualizationFactor</f>
        <v>0.13424715722720643</v>
      </c>
      <c r="AB351" s="751">
        <f>$G$21*$M$8*'Traffic Data'!BD45*annualizationFactor</f>
        <v>0.13651248752339012</v>
      </c>
      <c r="AC351" s="751">
        <f>$G$21*$M$8*'Traffic Data'!BE45*annualizationFactor</f>
        <v>0.13877848374064394</v>
      </c>
      <c r="AD351" s="751">
        <f>$G$21*$M$8*'Traffic Data'!BF45*annualizationFactor</f>
        <v>0.14104447995789773</v>
      </c>
      <c r="AE351" s="751">
        <f>$G$21*$M$8*'Traffic Data'!BG45*annualizationFactor</f>
        <v>0.1433098102540814</v>
      </c>
      <c r="AF351" s="751">
        <f>$G$21*$M$8*'Traffic Data'!BH45*annualizationFactor</f>
        <v>0.14557580647133522</v>
      </c>
      <c r="AG351" s="751">
        <f>$G$21*$M$8*'Traffic Data'!BI45*annualizationFactor</f>
        <v>0.14784180268858899</v>
      </c>
      <c r="AH351" s="752">
        <f>$G$21*$M$8*'Traffic Data'!BJ45*annualizationFactor</f>
        <v>0.15010713298477268</v>
      </c>
      <c r="AI351" s="40"/>
      <c r="AJ351" s="40"/>
      <c r="AK351" s="40"/>
      <c r="AL351" s="40"/>
      <c r="AM351" s="40"/>
    </row>
    <row r="352" spans="2:39" ht="21.9" customHeight="1" x14ac:dyDescent="0.25">
      <c r="B352" s="470"/>
      <c r="C352" s="250" t="s">
        <v>274</v>
      </c>
      <c r="D352" s="250" t="s">
        <v>317</v>
      </c>
      <c r="E352" s="250" t="s">
        <v>19</v>
      </c>
      <c r="F352" s="250" t="s">
        <v>41</v>
      </c>
      <c r="G352" s="753"/>
      <c r="H352" s="753"/>
      <c r="I352" s="753">
        <f>$G$21*$M$8*'Traffic Data'!AK46*annualizationFactor</f>
        <v>1.9743181818181821E-3</v>
      </c>
      <c r="J352" s="753">
        <f>$G$21*$M$8*'Traffic Data'!AL46*annualizationFactor</f>
        <v>2.0303032643939401E-3</v>
      </c>
      <c r="K352" s="753">
        <f>$G$21*$M$8*'Traffic Data'!AM46*annualizationFactor</f>
        <v>2.0940967753787878E-3</v>
      </c>
      <c r="L352" s="753">
        <f>$G$21*$M$8*'Traffic Data'!AN46*annualizationFactor</f>
        <v>2.1756097920454551E-3</v>
      </c>
      <c r="M352" s="753">
        <f>$G$21*$M$8*'Traffic Data'!AO46*annualizationFactor</f>
        <v>2.2571491329545453E-3</v>
      </c>
      <c r="N352" s="753">
        <f>$G$21*$M$8*'Traffic Data'!AP46*annualizationFactor</f>
        <v>2.338675311742425E-3</v>
      </c>
      <c r="O352" s="753">
        <f>$G$21*$M$8*'Traffic Data'!AQ46*annualizationFactor</f>
        <v>2.4201883284090918E-3</v>
      </c>
      <c r="P352" s="753">
        <f>$G$21*$M$8*'Traffic Data'!AR46*annualizationFactor</f>
        <v>2.5017177977272737E-3</v>
      </c>
      <c r="Q352" s="753">
        <f>$G$21*$M$8*'Traffic Data'!AS46*annualizationFactor</f>
        <v>2.5938658083333337E-3</v>
      </c>
      <c r="R352" s="753">
        <f>$G$21*$M$8*'Traffic Data'!AT46*annualizationFactor</f>
        <v>2.6860105284090916E-3</v>
      </c>
      <c r="S352" s="753">
        <f>$G$21*$M$8*'Traffic Data'!AU46*annualizationFactor</f>
        <v>2.7781453768939398E-3</v>
      </c>
      <c r="T352" s="753">
        <f>$G$21*$M$8*'Traffic Data'!AV46*annualizationFactor</f>
        <v>2.8702933875000007E-3</v>
      </c>
      <c r="U352" s="753">
        <f>$G$21*$M$8*'Traffic Data'!AW46*annualizationFactor</f>
        <v>2.9624578507575759E-3</v>
      </c>
      <c r="V352" s="753">
        <f>$G$21*$M$8*'Traffic Data'!AX46*annualizationFactor</f>
        <v>3.0368830651515155E-3</v>
      </c>
      <c r="W352" s="753">
        <f>$G$21*$M$8*'Traffic Data'!AY46*annualizationFactor</f>
        <v>3.0928681477272739E-3</v>
      </c>
      <c r="X352" s="753">
        <f>$G$21*$M$8*'Traffic Data'!AZ46*annualizationFactor</f>
        <v>3.1488532303030315E-3</v>
      </c>
      <c r="Y352" s="753">
        <f>$G$21*$M$8*'Traffic Data'!BA46*annualizationFactor</f>
        <v>3.2048383128787886E-3</v>
      </c>
      <c r="Z352" s="753">
        <f>$G$21*$M$8*'Traffic Data'!BB46*annualizationFactor</f>
        <v>3.2608069428030307E-3</v>
      </c>
      <c r="AA352" s="753">
        <f>$G$21*$M$8*'Traffic Data'!BC46*annualizationFactor</f>
        <v>3.3167920253787874E-3</v>
      </c>
      <c r="AB352" s="753">
        <f>$G$21*$M$8*'Traffic Data'!BD46*annualizationFactor</f>
        <v>3.37276065530303E-3</v>
      </c>
      <c r="AC352" s="753">
        <f>$G$21*$M$8*'Traffic Data'!BE46*annualizationFactor</f>
        <v>3.4287457378787871E-3</v>
      </c>
      <c r="AD352" s="753">
        <f>$G$21*$M$8*'Traffic Data'!BF46*annualizationFactor</f>
        <v>3.4847308204545447E-3</v>
      </c>
      <c r="AE352" s="753">
        <f>$G$21*$M$8*'Traffic Data'!BG46*annualizationFactor</f>
        <v>3.5406994503787872E-3</v>
      </c>
      <c r="AF352" s="753">
        <f>$G$21*$M$8*'Traffic Data'!BH46*annualizationFactor</f>
        <v>3.5966845329545452E-3</v>
      </c>
      <c r="AG352" s="753">
        <f>$G$21*$M$8*'Traffic Data'!BI46*annualizationFactor</f>
        <v>3.6526696155303024E-3</v>
      </c>
      <c r="AH352" s="757">
        <f>$G$21*$M$8*'Traffic Data'!BJ46*annualizationFactor</f>
        <v>3.7086382454545454E-3</v>
      </c>
      <c r="AI352" s="40"/>
      <c r="AJ352" s="40"/>
      <c r="AK352" s="40"/>
      <c r="AL352" s="40"/>
      <c r="AM352" s="40"/>
    </row>
    <row r="353" spans="2:39" ht="21.9" customHeight="1" thickBot="1" x14ac:dyDescent="0.3">
      <c r="B353" s="1073" t="s">
        <v>461</v>
      </c>
      <c r="C353" s="237"/>
      <c r="D353" s="237"/>
      <c r="E353" s="237"/>
      <c r="F353" s="237"/>
      <c r="G353" s="940">
        <f t="shared" ref="G353:AH353" si="36">SUM(G333:G352)</f>
        <v>0</v>
      </c>
      <c r="H353" s="940">
        <f t="shared" si="36"/>
        <v>0</v>
      </c>
      <c r="I353" s="759">
        <f t="shared" si="36"/>
        <v>0.9960988694469699</v>
      </c>
      <c r="J353" s="759">
        <f t="shared" si="36"/>
        <v>1.0518047480191313</v>
      </c>
      <c r="K353" s="759">
        <f t="shared" si="36"/>
        <v>1.1567689500225919</v>
      </c>
      <c r="L353" s="759">
        <f t="shared" si="36"/>
        <v>1.3346650273921339</v>
      </c>
      <c r="M353" s="759">
        <f t="shared" si="36"/>
        <v>1.5126502964216562</v>
      </c>
      <c r="N353" s="759">
        <f t="shared" si="36"/>
        <v>1.6906380384196125</v>
      </c>
      <c r="O353" s="759">
        <f t="shared" si="36"/>
        <v>1.8685341157891546</v>
      </c>
      <c r="P353" s="759">
        <f t="shared" si="36"/>
        <v>2.046610717027848</v>
      </c>
      <c r="Q353" s="759">
        <f t="shared" si="36"/>
        <v>2.2170283107753481</v>
      </c>
      <c r="R353" s="759">
        <f t="shared" si="36"/>
        <v>2.3874911710418867</v>
      </c>
      <c r="S353" s="759">
        <f t="shared" si="36"/>
        <v>2.5579055802931321</v>
      </c>
      <c r="T353" s="759">
        <f t="shared" si="36"/>
        <v>2.7283231740406326</v>
      </c>
      <c r="U353" s="759">
        <f t="shared" si="36"/>
        <v>2.8989248961370833</v>
      </c>
      <c r="V353" s="759">
        <f t="shared" si="36"/>
        <v>2.9972439345655761</v>
      </c>
      <c r="W353" s="759">
        <f t="shared" si="36"/>
        <v>3.0511445893852378</v>
      </c>
      <c r="X353" s="759">
        <f t="shared" si="36"/>
        <v>3.1050452442048995</v>
      </c>
      <c r="Y353" s="759">
        <f t="shared" si="36"/>
        <v>3.1589458990245607</v>
      </c>
      <c r="Z353" s="759">
        <f t="shared" si="36"/>
        <v>3.2128935133937491</v>
      </c>
      <c r="AA353" s="759">
        <f t="shared" si="36"/>
        <v>3.2667941682134107</v>
      </c>
      <c r="AB353" s="759">
        <f t="shared" si="36"/>
        <v>3.3207418773498718</v>
      </c>
      <c r="AC353" s="759">
        <f t="shared" si="36"/>
        <v>3.3746425321695335</v>
      </c>
      <c r="AD353" s="759">
        <f t="shared" si="36"/>
        <v>3.4285431869891956</v>
      </c>
      <c r="AE353" s="759">
        <f t="shared" si="36"/>
        <v>3.4824908013583835</v>
      </c>
      <c r="AF353" s="759">
        <f t="shared" si="36"/>
        <v>3.5363914561780452</v>
      </c>
      <c r="AG353" s="759">
        <f t="shared" si="36"/>
        <v>3.5902921109977064</v>
      </c>
      <c r="AH353" s="760">
        <f t="shared" si="36"/>
        <v>3.6442398201341684</v>
      </c>
      <c r="AI353" s="40"/>
      <c r="AJ353" s="40"/>
      <c r="AK353" s="40"/>
      <c r="AL353" s="40"/>
      <c r="AM353" s="40"/>
    </row>
    <row r="354" spans="2:39" ht="21.9" customHeight="1" x14ac:dyDescent="0.25">
      <c r="B354" s="548" t="s">
        <v>312</v>
      </c>
      <c r="C354" s="1331" t="s">
        <v>18</v>
      </c>
      <c r="D354" s="1331"/>
      <c r="E354" s="197" t="s">
        <v>24</v>
      </c>
      <c r="F354" s="197" t="s">
        <v>42</v>
      </c>
      <c r="G354" s="459">
        <v>2021</v>
      </c>
      <c r="H354" s="459">
        <v>2022</v>
      </c>
      <c r="I354" s="459">
        <v>2023</v>
      </c>
      <c r="J354" s="459">
        <v>2024</v>
      </c>
      <c r="K354" s="459">
        <v>2025</v>
      </c>
      <c r="L354" s="459">
        <v>2026</v>
      </c>
      <c r="M354" s="459">
        <v>2027</v>
      </c>
      <c r="N354" s="459">
        <v>2028</v>
      </c>
      <c r="O354" s="459">
        <v>2029</v>
      </c>
      <c r="P354" s="459">
        <v>2030</v>
      </c>
      <c r="Q354" s="459">
        <v>2031</v>
      </c>
      <c r="R354" s="459">
        <v>2032</v>
      </c>
      <c r="S354" s="459">
        <v>2033</v>
      </c>
      <c r="T354" s="459">
        <v>2034</v>
      </c>
      <c r="U354" s="459">
        <v>2035</v>
      </c>
      <c r="V354" s="459">
        <v>2036</v>
      </c>
      <c r="W354" s="459">
        <v>2037</v>
      </c>
      <c r="X354" s="459">
        <v>2038</v>
      </c>
      <c r="Y354" s="459">
        <v>2039</v>
      </c>
      <c r="Z354" s="459">
        <v>2040</v>
      </c>
      <c r="AA354" s="459">
        <v>2041</v>
      </c>
      <c r="AB354" s="459">
        <v>2042</v>
      </c>
      <c r="AC354" s="459">
        <v>2043</v>
      </c>
      <c r="AD354" s="459">
        <v>2044</v>
      </c>
      <c r="AE354" s="459">
        <v>2045</v>
      </c>
      <c r="AF354" s="459">
        <v>2046</v>
      </c>
      <c r="AG354" s="459">
        <v>2047</v>
      </c>
      <c r="AH354" s="459">
        <v>2048</v>
      </c>
      <c r="AI354" s="247"/>
      <c r="AJ354" s="247"/>
      <c r="AK354" s="247"/>
      <c r="AL354" s="247"/>
      <c r="AM354" s="247"/>
    </row>
    <row r="355" spans="2:39" ht="21.9" customHeight="1" x14ac:dyDescent="0.25">
      <c r="B355" s="1332" t="s">
        <v>315</v>
      </c>
      <c r="C355" s="217" t="s">
        <v>316</v>
      </c>
      <c r="D355" s="217" t="s">
        <v>276</v>
      </c>
      <c r="E355" s="217" t="s">
        <v>434</v>
      </c>
      <c r="F355" s="217" t="s">
        <v>41</v>
      </c>
      <c r="G355" s="749"/>
      <c r="H355" s="749"/>
      <c r="I355" s="749">
        <f>$G$22*$E$9*'Traffic Data'!AK27*annualizationFactor</f>
        <v>4.3274400000000001E-3</v>
      </c>
      <c r="J355" s="749">
        <f>$G$22*$E$9*'Traffic Data'!AL27*annualizationFactor</f>
        <v>4.5242168107500003E-3</v>
      </c>
      <c r="K355" s="749">
        <f>$G$22*$E$9*'Traffic Data'!AM27*annualizationFactor</f>
        <v>4.8014569590000018E-3</v>
      </c>
      <c r="L355" s="749">
        <f>$G$22*$E$9*'Traffic Data'!AN27*annualizationFactor</f>
        <v>5.2092640860000004E-3</v>
      </c>
      <c r="M355" s="749">
        <f>$G$22*$E$9*'Traffic Data'!AO27*annualizationFactor</f>
        <v>5.61721996875E-3</v>
      </c>
      <c r="N355" s="749">
        <f>$G$22*$E$9*'Traffic Data'!AP27*annualizationFactor</f>
        <v>6.0251758514999997E-3</v>
      </c>
      <c r="O355" s="749">
        <f>$G$22*$E$9*'Traffic Data'!AQ27*annualizationFactor</f>
        <v>6.4329829785000001E-3</v>
      </c>
      <c r="P355" s="749">
        <f>$G$22*$E$9*'Traffic Data'!AR27*annualizationFactor</f>
        <v>6.8410876169999997E-3</v>
      </c>
      <c r="Q355" s="749">
        <f>$G$22*$E$9*'Traffic Data'!AS27*annualizationFactor</f>
        <v>7.2443644552500006E-3</v>
      </c>
      <c r="R355" s="749">
        <f>$G$22*$E$9*'Traffic Data'!AT27*annualizationFactor</f>
        <v>7.6477224330000005E-3</v>
      </c>
      <c r="S355" s="749">
        <f>$G$22*$E$9*'Traffic Data'!AU27*annualizationFactor</f>
        <v>8.050999271250003E-3</v>
      </c>
      <c r="T355" s="749">
        <f>$G$22*$E$9*'Traffic Data'!AV27*annualizationFactor</f>
        <v>8.4542761095000012E-3</v>
      </c>
      <c r="U355" s="749">
        <f>$G$22*$E$9*'Traffic Data'!AW27*annualizationFactor</f>
        <v>8.8578504592500013E-3</v>
      </c>
      <c r="V355" s="749">
        <f>$G$22*$E$9*'Traffic Data'!AX27*annualizationFactor</f>
        <v>9.1304115630000023E-3</v>
      </c>
      <c r="W355" s="749">
        <f>$G$22*$E$9*'Traffic Data'!AY27*annualizationFactor</f>
        <v>9.3271883737500016E-3</v>
      </c>
      <c r="X355" s="749">
        <f>$G$22*$E$9*'Traffic Data'!AZ27*annualizationFactor</f>
        <v>9.5239651844999992E-3</v>
      </c>
      <c r="Y355" s="749">
        <f>$G$22*$E$9*'Traffic Data'!BA27*annualizationFactor</f>
        <v>9.7207419952500002E-3</v>
      </c>
      <c r="Z355" s="749">
        <f>$G$22*$E$9*'Traffic Data'!BB27*annualizationFactor</f>
        <v>9.9175864222500014E-3</v>
      </c>
      <c r="AA355" s="749">
        <f>$G$22*$E$9*'Traffic Data'!BC27*annualizationFactor</f>
        <v>1.0114363233000002E-2</v>
      </c>
      <c r="AB355" s="749">
        <f>$G$22*$E$9*'Traffic Data'!BD27*annualizationFactor</f>
        <v>1.0311207659999998E-2</v>
      </c>
      <c r="AC355" s="749">
        <f>$G$22*$E$9*'Traffic Data'!BE27*annualizationFactor</f>
        <v>1.0507984470750001E-2</v>
      </c>
      <c r="AD355" s="749">
        <f>$G$22*$E$9*'Traffic Data'!BF27*annualizationFactor</f>
        <v>1.0704761281499999E-2</v>
      </c>
      <c r="AE355" s="749">
        <f>$G$22*$E$9*'Traffic Data'!BG27*annualizationFactor</f>
        <v>1.0901605708499998E-2</v>
      </c>
      <c r="AF355" s="749">
        <f>$G$22*$E$9*'Traffic Data'!BH27*annualizationFactor</f>
        <v>1.1098382519249999E-2</v>
      </c>
      <c r="AG355" s="749">
        <f>$G$22*$E$9*'Traffic Data'!BI27*annualizationFactor</f>
        <v>1.129515933E-2</v>
      </c>
      <c r="AH355" s="750">
        <f>$G$22*$E$9*'Traffic Data'!BJ27*annualizationFactor</f>
        <v>1.1492003757E-2</v>
      </c>
      <c r="AI355" s="40"/>
      <c r="AJ355" s="40"/>
      <c r="AK355" s="40"/>
      <c r="AL355" s="40"/>
      <c r="AM355" s="40"/>
    </row>
    <row r="356" spans="2:39" ht="21.9" customHeight="1" x14ac:dyDescent="0.25">
      <c r="B356" s="1332"/>
      <c r="C356" s="114" t="s">
        <v>276</v>
      </c>
      <c r="D356" s="114" t="s">
        <v>274</v>
      </c>
      <c r="E356" s="114" t="s">
        <v>434</v>
      </c>
      <c r="F356" s="114" t="s">
        <v>41</v>
      </c>
      <c r="G356" s="941"/>
      <c r="H356" s="941"/>
      <c r="I356" s="751">
        <f>$G$22*$E$9*'Traffic Data'!AK28*annualizationFactor</f>
        <v>0.13915036022727273</v>
      </c>
      <c r="J356" s="751">
        <f>$G$22*$E$9*'Traffic Data'!AL28*annualizationFactor</f>
        <v>0.14649543776045454</v>
      </c>
      <c r="K356" s="751">
        <f>$G$22*$E$9*'Traffic Data'!AM28*annualizationFactor</f>
        <v>0.15752130000750003</v>
      </c>
      <c r="L356" s="751">
        <f>$G$22*$E$9*'Traffic Data'!AN28*annualizationFactor</f>
        <v>0.17573762827636366</v>
      </c>
      <c r="M356" s="751">
        <f>$G$22*$E$9*'Traffic Data'!AO28*annualizationFactor</f>
        <v>0.19396220249250004</v>
      </c>
      <c r="N356" s="751">
        <f>$G$22*$E$9*'Traffic Data'!AP28*annualizationFactor</f>
        <v>0.21218574596522727</v>
      </c>
      <c r="O356" s="751">
        <f>$G$22*$E$9*'Traffic Data'!AQ28*annualizationFactor</f>
        <v>0.23040207423409095</v>
      </c>
      <c r="P356" s="751">
        <f>$G$22*$E$9*'Traffic Data'!AR28*annualizationFactor</f>
        <v>0.24863489439749997</v>
      </c>
      <c r="Q356" s="751">
        <f>$G$22*$E$9*'Traffic Data'!AS28*annualizationFactor</f>
        <v>0.26702954127613637</v>
      </c>
      <c r="R356" s="751">
        <f>$G$22*$E$9*'Traffic Data'!AT28*annualizationFactor</f>
        <v>0.28543037261522725</v>
      </c>
      <c r="S356" s="751">
        <f>$G$22*$E$9*'Traffic Data'!AU28*annualizationFactor</f>
        <v>0.30382501949386365</v>
      </c>
      <c r="T356" s="751">
        <f>$G$22*$E$9*'Traffic Data'!AV28*annualizationFactor</f>
        <v>0.32221966637250005</v>
      </c>
      <c r="U356" s="751">
        <f>$G$22*$E$9*'Traffic Data'!AW28*annualizationFactor</f>
        <v>0.34063080514568184</v>
      </c>
      <c r="V356" s="751">
        <f>$G$22*$E$9*'Traffic Data'!AX28*annualizationFactor</f>
        <v>0.35182674005522735</v>
      </c>
      <c r="W356" s="751">
        <f>$G$22*$E$9*'Traffic Data'!AY28*annualizationFactor</f>
        <v>0.35917181758840905</v>
      </c>
      <c r="X356" s="751">
        <f>$G$22*$E$9*'Traffic Data'!AZ28*annualizationFactor</f>
        <v>0.36651689512159091</v>
      </c>
      <c r="Y356" s="751">
        <f>$G$22*$E$9*'Traffic Data'!BA28*annualizationFactor</f>
        <v>0.37386197265477283</v>
      </c>
      <c r="Z356" s="751">
        <f>$G$22*$E$9*'Traffic Data'!BB28*annualizationFactor</f>
        <v>0.38121117316159098</v>
      </c>
      <c r="AA356" s="751">
        <f>$G$22*$E$9*'Traffic Data'!BC28*annualizationFactor</f>
        <v>0.38855625069477268</v>
      </c>
      <c r="AB356" s="751">
        <f>$G$22*$E$9*'Traffic Data'!BD28*annualizationFactor</f>
        <v>0.39590545120159093</v>
      </c>
      <c r="AC356" s="751">
        <f>$G$22*$E$9*'Traffic Data'!BE28*annualizationFactor</f>
        <v>0.4032505287347728</v>
      </c>
      <c r="AD356" s="751">
        <f>$G$22*$E$9*'Traffic Data'!BF28*annualizationFactor</f>
        <v>0.41059560626795466</v>
      </c>
      <c r="AE356" s="751">
        <f>$G$22*$E$9*'Traffic Data'!BG28*annualizationFactor</f>
        <v>0.41794480677477275</v>
      </c>
      <c r="AF356" s="751">
        <f>$G$22*$E$9*'Traffic Data'!BH28*annualizationFactor</f>
        <v>0.42528988430795456</v>
      </c>
      <c r="AG356" s="751">
        <f>$G$22*$E$9*'Traffic Data'!BI28*annualizationFactor</f>
        <v>0.43263496184113637</v>
      </c>
      <c r="AH356" s="752">
        <f>$G$22*$E$9*'Traffic Data'!BJ28*annualizationFactor</f>
        <v>0.43998416234795462</v>
      </c>
      <c r="AI356" s="40"/>
      <c r="AJ356" s="40"/>
      <c r="AK356" s="40"/>
      <c r="AL356" s="40"/>
      <c r="AM356" s="40"/>
    </row>
    <row r="357" spans="2:39" ht="21.9" customHeight="1" x14ac:dyDescent="0.25">
      <c r="B357" s="1332"/>
      <c r="C357" s="114" t="s">
        <v>274</v>
      </c>
      <c r="D357" s="114" t="s">
        <v>317</v>
      </c>
      <c r="E357" s="250" t="s">
        <v>434</v>
      </c>
      <c r="F357" s="250" t="s">
        <v>41</v>
      </c>
      <c r="G357" s="753"/>
      <c r="H357" s="753"/>
      <c r="I357" s="751">
        <f>$G$22*$E$9*'Traffic Data'!AK29*annualizationFactor</f>
        <v>3.2455800000000001E-3</v>
      </c>
      <c r="J357" s="751">
        <f>$G$22*$E$9*'Traffic Data'!AL29*annualizationFactor</f>
        <v>3.3811100114999998E-3</v>
      </c>
      <c r="K357" s="751">
        <f>$G$22*$E$9*'Traffic Data'!AM29*annualizationFactor</f>
        <v>3.5488524044999994E-3</v>
      </c>
      <c r="L357" s="751">
        <f>$G$22*$E$9*'Traffic Data'!AN29*annualizationFactor</f>
        <v>3.7746906794999999E-3</v>
      </c>
      <c r="M357" s="751">
        <f>$G$22*$E$9*'Traffic Data'!AO29*annualizationFactor</f>
        <v>4.0006100940000013E-3</v>
      </c>
      <c r="N357" s="751">
        <f>$G$22*$E$9*'Traffic Data'!AP29*annualizationFactor</f>
        <v>4.2265024620000008E-3</v>
      </c>
      <c r="O357" s="751">
        <f>$G$22*$E$9*'Traffic Data'!AQ29*annualizationFactor</f>
        <v>4.4523407370000009E-3</v>
      </c>
      <c r="P357" s="751">
        <f>$G$22*$E$9*'Traffic Data'!AR29*annualizationFactor</f>
        <v>4.6783412910000018E-3</v>
      </c>
      <c r="Q357" s="751">
        <f>$G$22*$E$9*'Traffic Data'!AS29*annualizationFactor</f>
        <v>4.8973097549999999E-3</v>
      </c>
      <c r="R357" s="751">
        <f>$G$22*$E$9*'Traffic Data'!AT29*annualizationFactor</f>
        <v>5.1163593584999988E-3</v>
      </c>
      <c r="S357" s="751">
        <f>$G$22*$E$9*'Traffic Data'!AU29*annualizationFactor</f>
        <v>5.3353278224999995E-3</v>
      </c>
      <c r="T357" s="751">
        <f>$G$22*$E$9*'Traffic Data'!AV29*annualizationFactor</f>
        <v>5.5542962865000002E-3</v>
      </c>
      <c r="U357" s="751">
        <f>$G$22*$E$9*'Traffic Data'!AW29*annualizationFactor</f>
        <v>5.7734270295000008E-3</v>
      </c>
      <c r="V357" s="751">
        <f>$G$22*$E$9*'Traffic Data'!AX29*annualizationFactor</f>
        <v>5.9342184719999996E-3</v>
      </c>
      <c r="W357" s="751">
        <f>$G$22*$E$9*'Traffic Data'!AY29*annualizationFactor</f>
        <v>6.0697484835000003E-3</v>
      </c>
      <c r="X357" s="751">
        <f>$G$22*$E$9*'Traffic Data'!AZ29*annualizationFactor</f>
        <v>6.2052784949999992E-3</v>
      </c>
      <c r="Y357" s="751">
        <f>$G$22*$E$9*'Traffic Data'!BA29*annualizationFactor</f>
        <v>6.3408085065000007E-3</v>
      </c>
      <c r="Z357" s="751">
        <f>$G$22*$E$9*'Traffic Data'!BB29*annualizationFactor</f>
        <v>6.4763926110000007E-3</v>
      </c>
      <c r="AA357" s="751">
        <f>$G$22*$E$9*'Traffic Data'!BC29*annualizationFactor</f>
        <v>6.6119226224999996E-3</v>
      </c>
      <c r="AB357" s="751">
        <f>$G$22*$E$9*'Traffic Data'!BD29*annualizationFactor</f>
        <v>6.7475067270000005E-3</v>
      </c>
      <c r="AC357" s="751">
        <f>$G$22*$E$9*'Traffic Data'!BE29*annualizationFactor</f>
        <v>6.883036738500002E-3</v>
      </c>
      <c r="AD357" s="751">
        <f>$G$22*$E$9*'Traffic Data'!BF29*annualizationFactor</f>
        <v>7.0185667499999991E-3</v>
      </c>
      <c r="AE357" s="751">
        <f>$G$22*$E$9*'Traffic Data'!BG29*annualizationFactor</f>
        <v>7.1541508545000009E-3</v>
      </c>
      <c r="AF357" s="751">
        <f>$G$22*$E$9*'Traffic Data'!BH29*annualizationFactor</f>
        <v>7.2896808659999998E-3</v>
      </c>
      <c r="AG357" s="751">
        <f>$G$22*$E$9*'Traffic Data'!BI29*annualizationFactor</f>
        <v>7.4252108774999987E-3</v>
      </c>
      <c r="AH357" s="752">
        <f>$G$22*$E$9*'Traffic Data'!BJ29*annualizationFactor</f>
        <v>7.5607949820000004E-3</v>
      </c>
      <c r="AI357" s="40"/>
      <c r="AJ357" s="40"/>
      <c r="AK357" s="40"/>
      <c r="AL357" s="40"/>
      <c r="AM357" s="40"/>
    </row>
    <row r="358" spans="2:39" ht="21.9" customHeight="1" x14ac:dyDescent="0.25">
      <c r="B358" s="1332" t="s">
        <v>274</v>
      </c>
      <c r="C358" s="217" t="s">
        <v>275</v>
      </c>
      <c r="D358" s="217" t="s">
        <v>318</v>
      </c>
      <c r="E358" s="114" t="s">
        <v>434</v>
      </c>
      <c r="F358" s="114" t="s">
        <v>41</v>
      </c>
      <c r="G358" s="941"/>
      <c r="H358" s="941"/>
      <c r="I358" s="749">
        <f>$G$22*$F$9*'Traffic Data'!AK30*annualizationFactor</f>
        <v>3.0251200000000002E-2</v>
      </c>
      <c r="J358" s="749">
        <f>$G$22*$F$9*'Traffic Data'!AL30*annualizationFactor</f>
        <v>3.3311260135999998E-2</v>
      </c>
      <c r="K358" s="749">
        <f>$G$22*$F$9*'Traffic Data'!AM30*annualizationFactor</f>
        <v>4.0152720271999995E-2</v>
      </c>
      <c r="L358" s="749">
        <f>$G$22*$F$9*'Traffic Data'!AN30*annualizationFactor</f>
        <v>5.3894327872000006E-2</v>
      </c>
      <c r="M358" s="749">
        <f>$G$22*$F$9*'Traffic Data'!AO30*annualizationFactor</f>
        <v>6.7644405807999991E-2</v>
      </c>
      <c r="N358" s="749">
        <f>$G$22*$F$9*'Traffic Data'!AP30*annualizationFactor</f>
        <v>8.139297118399999E-2</v>
      </c>
      <c r="O358" s="749">
        <f>$G$22*$F$9*'Traffic Data'!AQ30*annualizationFactor</f>
        <v>9.5134578783999987E-2</v>
      </c>
      <c r="P358" s="749">
        <f>$G$22*$F$9*'Traffic Data'!AR30*annualizationFactor</f>
        <v>0.108893127056</v>
      </c>
      <c r="Q358" s="749">
        <f>$G$22*$F$9*'Traffic Data'!AS30*annualizationFactor</f>
        <v>0.12239363259199998</v>
      </c>
      <c r="R358" s="749">
        <f>$G$22*$F$9*'Traffic Data'!AT30*annualizationFactor</f>
        <v>0.13590094464799995</v>
      </c>
      <c r="S358" s="749">
        <f>$G$22*$F$9*'Traffic Data'!AU30*annualizationFactor</f>
        <v>0.149401450184</v>
      </c>
      <c r="T358" s="749">
        <f>$G$22*$F$9*'Traffic Data'!AV30*annualizationFactor</f>
        <v>0.16290195571999999</v>
      </c>
      <c r="U358" s="749">
        <f>$G$22*$F$9*'Traffic Data'!AW30*annualizationFactor</f>
        <v>0.17641940192800001</v>
      </c>
      <c r="V358" s="749">
        <f>$G$22*$F$9*'Traffic Data'!AX30*annualizationFactor</f>
        <v>0.18301128966399999</v>
      </c>
      <c r="W358" s="749">
        <f>$G$22*$F$9*'Traffic Data'!AY30*annualizationFactor</f>
        <v>0.18607134979999998</v>
      </c>
      <c r="X358" s="749">
        <f>$G$22*$F$9*'Traffic Data'!AZ30*annualizationFactor</f>
        <v>0.18913140993599997</v>
      </c>
      <c r="Y358" s="749">
        <f>$G$22*$F$9*'Traffic Data'!BA30*annualizationFactor</f>
        <v>0.19219147007199999</v>
      </c>
      <c r="Z358" s="749">
        <f>$G$22*$F$9*'Traffic Data'!BB30*annualizationFactor</f>
        <v>0.19525621914400001</v>
      </c>
      <c r="AA358" s="749">
        <f>$G$22*$F$9*'Traffic Data'!BC30*annualizationFactor</f>
        <v>0.19831627928000001</v>
      </c>
      <c r="AB358" s="749">
        <f>$G$22*$F$9*'Traffic Data'!BD30*annualizationFactor</f>
        <v>0.20138102835199995</v>
      </c>
      <c r="AC358" s="749">
        <f>$G$22*$F$9*'Traffic Data'!BE30*annualizationFactor</f>
        <v>0.20444108848799997</v>
      </c>
      <c r="AD358" s="749">
        <f>$G$22*$F$9*'Traffic Data'!BF30*annualizationFactor</f>
        <v>0.20750114862400001</v>
      </c>
      <c r="AE358" s="749">
        <f>$G$22*$F$9*'Traffic Data'!BG30*annualizationFactor</f>
        <v>0.21056589769600004</v>
      </c>
      <c r="AF358" s="749">
        <f>$G$22*$F$9*'Traffic Data'!BH30*annualizationFactor</f>
        <v>0.21362595783199997</v>
      </c>
      <c r="AG358" s="749">
        <f>$G$22*$F$9*'Traffic Data'!BI30*annualizationFactor</f>
        <v>0.21668601796799997</v>
      </c>
      <c r="AH358" s="750">
        <f>$G$22*$F$9*'Traffic Data'!BJ30*annualizationFactor</f>
        <v>0.21975076703999996</v>
      </c>
      <c r="AI358" s="40"/>
      <c r="AJ358" s="40"/>
      <c r="AK358" s="40"/>
      <c r="AL358" s="40"/>
      <c r="AM358" s="40"/>
    </row>
    <row r="359" spans="2:39" ht="21.9" customHeight="1" x14ac:dyDescent="0.25">
      <c r="B359" s="1332"/>
      <c r="C359" s="114" t="s">
        <v>318</v>
      </c>
      <c r="D359" s="114" t="s">
        <v>308</v>
      </c>
      <c r="E359" s="114" t="s">
        <v>434</v>
      </c>
      <c r="F359" s="114" t="s">
        <v>41</v>
      </c>
      <c r="G359" s="941"/>
      <c r="H359" s="941"/>
      <c r="I359" s="751">
        <f>$G$22*$F$9*'Traffic Data'!AK31*annualizationFactor</f>
        <v>3.5040000000000006E-3</v>
      </c>
      <c r="J359" s="751">
        <f>$G$22*$F$9*'Traffic Data'!AL31*annualizationFactor</f>
        <v>3.8697008000000009E-3</v>
      </c>
      <c r="K359" s="751">
        <f>$G$22*$F$9*'Traffic Data'!AM31*annualizationFactor</f>
        <v>4.3745395999999995E-3</v>
      </c>
      <c r="L359" s="751">
        <f>$G$22*$F$9*'Traffic Data'!AN31*annualizationFactor</f>
        <v>5.3016395999999997E-3</v>
      </c>
      <c r="M359" s="751">
        <f>$G$22*$F$9*'Traffic Data'!AO31*annualizationFactor</f>
        <v>6.229002400000001E-3</v>
      </c>
      <c r="N359" s="751">
        <f>$G$22*$F$9*'Traffic Data'!AP31*annualizationFactor</f>
        <v>7.1565404000000013E-3</v>
      </c>
      <c r="O359" s="751">
        <f>$G$22*$F$9*'Traffic Data'!AQ31*annualizationFactor</f>
        <v>8.0836403999999997E-3</v>
      </c>
      <c r="P359" s="751">
        <f>$G$22*$F$9*'Traffic Data'!AR31*annualizationFactor</f>
        <v>9.0115872000000007E-3</v>
      </c>
      <c r="Q359" s="751">
        <f>$G$22*$F$9*'Traffic Data'!AS31*annualizationFactor</f>
        <v>1.0345852000000001E-2</v>
      </c>
      <c r="R359" s="751">
        <f>$G$22*$F$9*'Traffic Data'!AT31*annualizationFactor</f>
        <v>1.16804088E-2</v>
      </c>
      <c r="S359" s="751">
        <f>$G$22*$F$9*'Traffic Data'!AU31*annualizationFactor</f>
        <v>1.3014410800000001E-2</v>
      </c>
      <c r="T359" s="751">
        <f>$G$22*$F$9*'Traffic Data'!AV31*annualizationFactor</f>
        <v>1.4348675600000003E-2</v>
      </c>
      <c r="U359" s="751">
        <f>$G$22*$F$9*'Traffic Data'!AW31*annualizationFactor</f>
        <v>1.5683787200000004E-2</v>
      </c>
      <c r="V359" s="751">
        <f>$G$22*$F$9*'Traffic Data'!AX31*annualizationFactor</f>
        <v>1.6594944E-2</v>
      </c>
      <c r="W359" s="751">
        <f>$G$22*$F$9*'Traffic Data'!AY31*annualizationFactor</f>
        <v>1.6960644800000004E-2</v>
      </c>
      <c r="X359" s="751">
        <f>$G$22*$F$9*'Traffic Data'!AZ31*annualizationFactor</f>
        <v>1.7326345600000001E-2</v>
      </c>
      <c r="Y359" s="751">
        <f>$G$22*$F$9*'Traffic Data'!BA31*annualizationFactor</f>
        <v>1.7692046400000001E-2</v>
      </c>
      <c r="Z359" s="751">
        <f>$G$22*$F$9*'Traffic Data'!BB31*annualizationFactor</f>
        <v>1.8058010000000003E-2</v>
      </c>
      <c r="AA359" s="751">
        <f>$G$22*$F$9*'Traffic Data'!BC31*annualizationFactor</f>
        <v>1.84237108E-2</v>
      </c>
      <c r="AB359" s="751">
        <f>$G$22*$F$9*'Traffic Data'!BD31*annualizationFactor</f>
        <v>1.8789674400000005E-2</v>
      </c>
      <c r="AC359" s="751">
        <f>$G$22*$F$9*'Traffic Data'!BE31*annualizationFactor</f>
        <v>1.9155375200000001E-2</v>
      </c>
      <c r="AD359" s="751">
        <f>$G$22*$F$9*'Traffic Data'!BF31*annualizationFactor</f>
        <v>1.9521076000000002E-2</v>
      </c>
      <c r="AE359" s="751">
        <f>$G$22*$F$9*'Traffic Data'!BG31*annualizationFactor</f>
        <v>1.9887039600000003E-2</v>
      </c>
      <c r="AF359" s="751">
        <f>$G$22*$F$9*'Traffic Data'!BH31*annualizationFactor</f>
        <v>2.02527404E-2</v>
      </c>
      <c r="AG359" s="751">
        <f>$G$22*$F$9*'Traffic Data'!BI31*annualizationFactor</f>
        <v>2.06184412E-2</v>
      </c>
      <c r="AH359" s="752">
        <f>$G$22*$F$9*'Traffic Data'!BJ31*annualizationFactor</f>
        <v>2.0984404799999998E-2</v>
      </c>
      <c r="AI359" s="40"/>
      <c r="AJ359" s="40"/>
      <c r="AK359" s="40"/>
      <c r="AL359" s="40"/>
      <c r="AM359" s="40"/>
    </row>
    <row r="360" spans="2:39" ht="21.9" customHeight="1" x14ac:dyDescent="0.25">
      <c r="B360" s="1332"/>
      <c r="C360" s="250" t="s">
        <v>308</v>
      </c>
      <c r="D360" s="250" t="s">
        <v>319</v>
      </c>
      <c r="E360" s="114" t="s">
        <v>434</v>
      </c>
      <c r="F360" s="114" t="s">
        <v>41</v>
      </c>
      <c r="G360" s="941"/>
      <c r="H360" s="941"/>
      <c r="I360" s="751">
        <f>$G$22*$F$9*'Traffic Data'!AK32*annualizationFactor</f>
        <v>4.6953600000000005E-2</v>
      </c>
      <c r="J360" s="751">
        <f>$G$22*$F$9*'Traffic Data'!AL32*annualizationFactor</f>
        <v>4.8268457312000003E-2</v>
      </c>
      <c r="K360" s="751">
        <f>$G$22*$F$9*'Traffic Data'!AM32*annualizationFactor</f>
        <v>5.0142218976000005E-2</v>
      </c>
      <c r="L360" s="751">
        <f>$G$22*$F$9*'Traffic Data'!AN32*annualizationFactor</f>
        <v>5.2772090112000014E-2</v>
      </c>
      <c r="M360" s="751">
        <f>$G$22*$F$9*'Traffic Data'!AO32*annualizationFactor</f>
        <v>5.5403056831999996E-2</v>
      </c>
      <c r="N360" s="751">
        <f>$G$22*$F$9*'Traffic Data'!AP32*annualizationFactor</f>
        <v>5.8033788784000027E-2</v>
      </c>
      <c r="O360" s="751">
        <f>$G$22*$F$9*'Traffic Data'!AQ32*annualizationFactor</f>
        <v>6.0663659920000022E-2</v>
      </c>
      <c r="P360" s="751">
        <f>$G$22*$F$9*'Traffic Data'!AR32*annualizationFactor</f>
        <v>6.3295643968000012E-2</v>
      </c>
      <c r="Q360" s="751">
        <f>$G$22*$F$9*'Traffic Data'!AS32*annualizationFactor</f>
        <v>6.5952591680000006E-2</v>
      </c>
      <c r="R360" s="751">
        <f>$G$22*$F$9*'Traffic Data'!AT32*annualizationFactor</f>
        <v>6.8610321952000008E-2</v>
      </c>
      <c r="S360" s="751">
        <f>$G$22*$F$9*'Traffic Data'!AU32*annualizationFactor</f>
        <v>7.1267034896000003E-2</v>
      </c>
      <c r="T360" s="751">
        <f>$G$22*$F$9*'Traffic Data'!AV32*annualizationFactor</f>
        <v>7.3923982608000011E-2</v>
      </c>
      <c r="U360" s="751">
        <f>$G$22*$F$9*'Traffic Data'!AW32*annualizationFactor</f>
        <v>7.658304323200002E-2</v>
      </c>
      <c r="V360" s="751">
        <f>$G$22*$F$9*'Traffic Data'!AX32*annualizationFactor</f>
        <v>7.8482629376000007E-2</v>
      </c>
      <c r="W360" s="751">
        <f>$G$22*$F$9*'Traffic Data'!AY32*annualizationFactor</f>
        <v>7.9797486688000005E-2</v>
      </c>
      <c r="X360" s="751">
        <f>$G$22*$F$9*'Traffic Data'!AZ32*annualizationFactor</f>
        <v>8.1112344000000003E-2</v>
      </c>
      <c r="Y360" s="751">
        <f>$G$22*$F$9*'Traffic Data'!BA32*annualizationFactor</f>
        <v>8.2427201312000001E-2</v>
      </c>
      <c r="Z360" s="751">
        <f>$G$22*$F$9*'Traffic Data'!BB32*annualizationFactor</f>
        <v>8.3742684671999995E-2</v>
      </c>
      <c r="AA360" s="751">
        <f>$G$22*$F$9*'Traffic Data'!BC32*annualizationFactor</f>
        <v>8.5057541984000021E-2</v>
      </c>
      <c r="AB360" s="751">
        <f>$G$22*$F$9*'Traffic Data'!BD32*annualizationFactor</f>
        <v>8.6373025344000029E-2</v>
      </c>
      <c r="AC360" s="751">
        <f>$G$22*$F$9*'Traffic Data'!BE32*annualizationFactor</f>
        <v>8.7687882656000013E-2</v>
      </c>
      <c r="AD360" s="751">
        <f>$G$22*$F$9*'Traffic Data'!BF32*annualizationFactor</f>
        <v>8.9002739968000025E-2</v>
      </c>
      <c r="AE360" s="751">
        <f>$G$22*$F$9*'Traffic Data'!BG32*annualizationFactor</f>
        <v>9.0318223328000005E-2</v>
      </c>
      <c r="AF360" s="751">
        <f>$G$22*$F$9*'Traffic Data'!BH32*annualizationFactor</f>
        <v>9.1633080639999989E-2</v>
      </c>
      <c r="AG360" s="751">
        <f>$G$22*$F$9*'Traffic Data'!BI32*annualizationFactor</f>
        <v>9.2947937951999987E-2</v>
      </c>
      <c r="AH360" s="752">
        <f>$G$22*$F$9*'Traffic Data'!BJ32*annualizationFactor</f>
        <v>9.4263421311999995E-2</v>
      </c>
      <c r="AI360" s="40"/>
      <c r="AJ360" s="40"/>
      <c r="AK360" s="40"/>
      <c r="AL360" s="40"/>
      <c r="AM360" s="40"/>
    </row>
    <row r="361" spans="2:39" ht="21.9" customHeight="1" x14ac:dyDescent="0.25">
      <c r="B361" s="469" t="s">
        <v>320</v>
      </c>
      <c r="C361" s="114" t="s">
        <v>318</v>
      </c>
      <c r="D361" s="114" t="s">
        <v>308</v>
      </c>
      <c r="E361" s="273" t="s">
        <v>434</v>
      </c>
      <c r="F361" s="273" t="s">
        <v>41</v>
      </c>
      <c r="G361" s="754"/>
      <c r="H361" s="754"/>
      <c r="I361" s="749">
        <f>$G$22*$G$9*'Traffic Data'!AK33*annualizationFactor</f>
        <v>1.3724000000000001E-4</v>
      </c>
      <c r="J361" s="749">
        <f>$G$22*$G$9*'Traffic Data'!AL33*annualizationFactor</f>
        <v>1.0401419600000001E-3</v>
      </c>
      <c r="K361" s="749">
        <f>$G$22*$G$9*'Traffic Data'!AM33*annualizationFactor</f>
        <v>6.0260711600000011E-3</v>
      </c>
      <c r="L361" s="749">
        <f>$G$22*$G$9*'Traffic Data'!AN33*annualizationFactor</f>
        <v>1.3879492920000002E-2</v>
      </c>
      <c r="M361" s="749">
        <f>$G$22*$G$9*'Traffic Data'!AO33*annualizationFactor</f>
        <v>2.1737855320000003E-2</v>
      </c>
      <c r="N361" s="749">
        <f>$G$22*$G$9*'Traffic Data'!AP33*annualizationFactor</f>
        <v>2.9596629440000008E-2</v>
      </c>
      <c r="O361" s="749">
        <f>$G$22*$G$9*'Traffic Data'!AQ33*annualizationFactor</f>
        <v>3.7450051200000008E-2</v>
      </c>
      <c r="P361" s="749">
        <f>$G$22*$G$9*'Traffic Data'!AR33*annualizationFactor</f>
        <v>4.5313903200000005E-2</v>
      </c>
      <c r="Q361" s="749">
        <f>$G$22*$G$9*'Traffic Data'!AS33*annualizationFactor</f>
        <v>4.9729462959999998E-2</v>
      </c>
      <c r="R361" s="749">
        <f>$G$22*$G$9*'Traffic Data'!AT33*annualizationFactor</f>
        <v>5.4146669600000003E-2</v>
      </c>
      <c r="S361" s="749">
        <f>$G$22*$G$9*'Traffic Data'!AU33*annualizationFactor</f>
        <v>5.8563464520000004E-2</v>
      </c>
      <c r="T361" s="749">
        <f>$G$22*$G$9*'Traffic Data'!AV33*annualizationFactor</f>
        <v>6.297902427999999E-2</v>
      </c>
      <c r="U361" s="749">
        <f>$G$22*$G$9*'Traffic Data'!AW33*annualizationFactor</f>
        <v>6.7405014280000022E-2</v>
      </c>
      <c r="V361" s="749">
        <f>$G$22*$G$9*'Traffic Data'!AX33*annualizationFactor</f>
        <v>6.8948827040000035E-2</v>
      </c>
      <c r="W361" s="749">
        <f>$G$22*$G$9*'Traffic Data'!AY33*annualizationFactor</f>
        <v>6.9851729000000015E-2</v>
      </c>
      <c r="X361" s="749">
        <f>$G$22*$G$9*'Traffic Data'!AZ33*annualizationFactor</f>
        <v>7.0754630960000023E-2</v>
      </c>
      <c r="Y361" s="749">
        <f>$G$22*$G$9*'Traffic Data'!BA33*annualizationFactor</f>
        <v>7.1657532920000017E-2</v>
      </c>
      <c r="Z361" s="749">
        <f>$G$22*$G$9*'Traffic Data'!BB33*annualizationFactor</f>
        <v>7.2564003120000012E-2</v>
      </c>
      <c r="AA361" s="749">
        <f>$G$22*$G$9*'Traffic Data'!BC33*annualizationFactor</f>
        <v>7.346690508000002E-2</v>
      </c>
      <c r="AB361" s="749">
        <f>$G$22*$G$9*'Traffic Data'!BD33*annualizationFactor</f>
        <v>7.4373375280000042E-2</v>
      </c>
      <c r="AC361" s="749">
        <f>$G$22*$G$9*'Traffic Data'!BE33*annualizationFactor</f>
        <v>7.5276277240000009E-2</v>
      </c>
      <c r="AD361" s="749">
        <f>$G$22*$G$9*'Traffic Data'!BF33*annualizationFactor</f>
        <v>7.6179179200000016E-2</v>
      </c>
      <c r="AE361" s="749">
        <f>$G$22*$G$9*'Traffic Data'!BG33*annualizationFactor</f>
        <v>7.7085649400000039E-2</v>
      </c>
      <c r="AF361" s="749">
        <f>$G$22*$G$9*'Traffic Data'!BH33*annualizationFactor</f>
        <v>7.7988551360000019E-2</v>
      </c>
      <c r="AG361" s="749">
        <f>$G$22*$G$9*'Traffic Data'!BI33*annualizationFactor</f>
        <v>7.8891453320000013E-2</v>
      </c>
      <c r="AH361" s="750">
        <f>$G$22*$G$9*'Traffic Data'!BJ33*annualizationFactor</f>
        <v>7.9797923520000036E-2</v>
      </c>
      <c r="AI361" s="40"/>
      <c r="AJ361" s="40"/>
      <c r="AK361" s="40"/>
      <c r="AL361" s="40"/>
      <c r="AM361" s="40"/>
    </row>
    <row r="362" spans="2:39" ht="21.9" customHeight="1" x14ac:dyDescent="0.25">
      <c r="B362" s="1332" t="s">
        <v>308</v>
      </c>
      <c r="C362" s="217" t="s">
        <v>276</v>
      </c>
      <c r="D362" s="217" t="s">
        <v>320</v>
      </c>
      <c r="E362" s="114" t="s">
        <v>434</v>
      </c>
      <c r="F362" s="114" t="s">
        <v>41</v>
      </c>
      <c r="G362" s="941"/>
      <c r="H362" s="941"/>
      <c r="I362" s="749">
        <f>$G$22*$H$9*'Traffic Data'!AK34*annualizationFactor</f>
        <v>3.9419999999999999E-4</v>
      </c>
      <c r="J362" s="749">
        <f>$G$22*$H$9*'Traffic Data'!AL34*annualizationFactor</f>
        <v>8.7610949999999987E-4</v>
      </c>
      <c r="K362" s="749">
        <f>$G$22*$H$9*'Traffic Data'!AM34*annualizationFactor</f>
        <v>3.7029177000000007E-3</v>
      </c>
      <c r="L362" s="749">
        <f>$G$22*$H$9*'Traffic Data'!AN34*annualizationFactor</f>
        <v>8.3239271999999993E-3</v>
      </c>
      <c r="M362" s="749">
        <f>$G$22*$H$9*'Traffic Data'!AO34*annualizationFactor</f>
        <v>1.2947499000000003E-2</v>
      </c>
      <c r="N362" s="749">
        <f>$G$22*$H$9*'Traffic Data'!AP34*annualizationFactor</f>
        <v>1.75712679E-2</v>
      </c>
      <c r="O362" s="749">
        <f>$G$22*$H$9*'Traffic Data'!AQ34*annualizationFactor</f>
        <v>2.2192277400000002E-2</v>
      </c>
      <c r="P362" s="749">
        <f>$G$22*$H$9*'Traffic Data'!AR34*annualizationFactor</f>
        <v>2.6818608600000005E-2</v>
      </c>
      <c r="Q362" s="749">
        <f>$G$22*$H$9*'Traffic Data'!AS34*annualizationFactor</f>
        <v>3.0386118600000008E-2</v>
      </c>
      <c r="R362" s="749">
        <f>$G$22*$H$9*'Traffic Data'!AT34*annualizationFactor</f>
        <v>3.3954219900000006E-2</v>
      </c>
      <c r="S362" s="749">
        <f>$G$22*$H$9*'Traffic Data'!AU34*annualizationFactor</f>
        <v>3.7521729900000002E-2</v>
      </c>
      <c r="T362" s="749">
        <f>$G$22*$H$9*'Traffic Data'!AV34*annualizationFactor</f>
        <v>4.1089239899999998E-2</v>
      </c>
      <c r="U362" s="749">
        <f>$G$22*$H$9*'Traffic Data'!AW34*annualizationFactor</f>
        <v>4.46614803E-2</v>
      </c>
      <c r="V362" s="749">
        <f>$G$22*$H$9*'Traffic Data'!AX34*annualizationFactor</f>
        <v>4.6432029599999994E-2</v>
      </c>
      <c r="W362" s="749">
        <f>$G$22*$H$9*'Traffic Data'!AY34*annualizationFactor</f>
        <v>4.691393910000001E-2</v>
      </c>
      <c r="X362" s="749">
        <f>$G$22*$H$9*'Traffic Data'!AZ34*annualizationFactor</f>
        <v>4.7395848600000005E-2</v>
      </c>
      <c r="Y362" s="749">
        <f>$G$22*$H$9*'Traffic Data'!BA34*annualizationFactor</f>
        <v>4.7877758100000015E-2</v>
      </c>
      <c r="Z362" s="749">
        <f>$G$22*$H$9*'Traffic Data'!BB34*annualizationFactor</f>
        <v>4.8361047300000008E-2</v>
      </c>
      <c r="AA362" s="749">
        <f>$G$22*$H$9*'Traffic Data'!BC34*annualizationFactor</f>
        <v>4.8842956800000004E-2</v>
      </c>
      <c r="AB362" s="749">
        <f>$G$22*$H$9*'Traffic Data'!BD34*annualizationFactor</f>
        <v>4.9326245999999997E-2</v>
      </c>
      <c r="AC362" s="749">
        <f>$G$22*$H$9*'Traffic Data'!BE34*annualizationFactor</f>
        <v>4.98081555E-2</v>
      </c>
      <c r="AD362" s="749">
        <f>$G$22*$H$9*'Traffic Data'!BF34*annualizationFactor</f>
        <v>5.0290065000000009E-2</v>
      </c>
      <c r="AE362" s="749">
        <f>$G$22*$H$9*'Traffic Data'!BG34*annualizationFactor</f>
        <v>5.0773354199999995E-2</v>
      </c>
      <c r="AF362" s="749">
        <f>$G$22*$H$9*'Traffic Data'!BH34*annualizationFactor</f>
        <v>5.1255263700000005E-2</v>
      </c>
      <c r="AG362" s="749">
        <f>$G$22*$H$9*'Traffic Data'!BI34*annualizationFactor</f>
        <v>5.17371732E-2</v>
      </c>
      <c r="AH362" s="750">
        <f>$G$22*$H$9*'Traffic Data'!BJ34*annualizationFactor</f>
        <v>5.2220462400000001E-2</v>
      </c>
      <c r="AI362" s="40"/>
      <c r="AJ362" s="40"/>
      <c r="AK362" s="40"/>
      <c r="AL362" s="40"/>
      <c r="AM362" s="40"/>
    </row>
    <row r="363" spans="2:39" ht="21.9" customHeight="1" x14ac:dyDescent="0.25">
      <c r="B363" s="1332"/>
      <c r="C363" s="114" t="s">
        <v>320</v>
      </c>
      <c r="D363" s="114" t="s">
        <v>282</v>
      </c>
      <c r="E363" s="114" t="s">
        <v>434</v>
      </c>
      <c r="F363" s="114" t="s">
        <v>41</v>
      </c>
      <c r="G363" s="941"/>
      <c r="H363" s="941"/>
      <c r="I363" s="751">
        <f>$G$22*$H$9*'Traffic Data'!AK35*annualizationFactor</f>
        <v>0</v>
      </c>
      <c r="J363" s="751">
        <f>$G$22*$H$9*'Traffic Data'!AL35*annualizationFactor</f>
        <v>2.6817280000000001E-4</v>
      </c>
      <c r="K363" s="751">
        <f>$G$22*$H$9*'Traffic Data'!AM35*annualizationFactor</f>
        <v>7.6801256000000014E-4</v>
      </c>
      <c r="L363" s="751">
        <f>$G$22*$H$9*'Traffic Data'!AN35*annualizationFactor</f>
        <v>1.7264441600000004E-3</v>
      </c>
      <c r="M363" s="751">
        <f>$G$22*$H$9*'Traffic Data'!AO35*annualizationFactor</f>
        <v>2.6854072000000008E-3</v>
      </c>
      <c r="N363" s="751">
        <f>$G$22*$H$9*'Traffic Data'!AP35*annualizationFactor</f>
        <v>3.6444111199999993E-3</v>
      </c>
      <c r="O363" s="751">
        <f>$G$22*$H$9*'Traffic Data'!AQ35*annualizationFactor</f>
        <v>4.6028427199999999E-3</v>
      </c>
      <c r="P363" s="751">
        <f>$G$22*$H$9*'Traffic Data'!AR35*annualizationFactor</f>
        <v>5.5623780800000012E-3</v>
      </c>
      <c r="Q363" s="751">
        <f>$G$22*$H$9*'Traffic Data'!AS35*annualizationFactor</f>
        <v>6.302306080000002E-3</v>
      </c>
      <c r="R363" s="751">
        <f>$G$22*$H$9*'Traffic Data'!AT35*annualizationFactor</f>
        <v>7.0423567200000019E-3</v>
      </c>
      <c r="S363" s="751">
        <f>$G$22*$H$9*'Traffic Data'!AU35*annualizationFactor</f>
        <v>7.782284720000001E-3</v>
      </c>
      <c r="T363" s="751">
        <f>$G$22*$H$9*'Traffic Data'!AV35*annualizationFactor</f>
        <v>8.5222127200000001E-3</v>
      </c>
      <c r="U363" s="751">
        <f>$G$22*$H$9*'Traffic Data'!AW35*annualizationFactor</f>
        <v>9.263121840000001E-3</v>
      </c>
      <c r="V363" s="751">
        <f>$G$22*$H$9*'Traffic Data'!AX35*annualizationFactor</f>
        <v>9.6303468800000014E-3</v>
      </c>
      <c r="W363" s="751">
        <f>$G$22*$H$9*'Traffic Data'!AY35*annualizationFactor</f>
        <v>9.7302984800000034E-3</v>
      </c>
      <c r="X363" s="751">
        <f>$G$22*$H$9*'Traffic Data'!AZ35*annualizationFactor</f>
        <v>9.8302500800000019E-3</v>
      </c>
      <c r="Y363" s="751">
        <f>$G$22*$H$9*'Traffic Data'!BA35*annualizationFactor</f>
        <v>9.9302016800000021E-3</v>
      </c>
      <c r="Z363" s="751">
        <f>$G$22*$H$9*'Traffic Data'!BB35*annualizationFactor</f>
        <v>1.0030439440000004E-2</v>
      </c>
      <c r="AA363" s="751">
        <f>$G$22*$H$9*'Traffic Data'!BC35*annualizationFactor</f>
        <v>1.0130391040000002E-2</v>
      </c>
      <c r="AB363" s="751">
        <f>$G$22*$H$9*'Traffic Data'!BD35*annualizationFactor</f>
        <v>1.0230628799999999E-2</v>
      </c>
      <c r="AC363" s="751">
        <f>$G$22*$H$9*'Traffic Data'!BE35*annualizationFactor</f>
        <v>1.0330580400000001E-2</v>
      </c>
      <c r="AD363" s="751">
        <f>$G$22*$H$9*'Traffic Data'!BF35*annualizationFactor</f>
        <v>1.0430532000000001E-2</v>
      </c>
      <c r="AE363" s="751">
        <f>$G$22*$H$9*'Traffic Data'!BG35*annualizationFactor</f>
        <v>1.0530769760000001E-2</v>
      </c>
      <c r="AF363" s="751">
        <f>$G$22*$H$9*'Traffic Data'!BH35*annualizationFactor</f>
        <v>1.0630721360000001E-2</v>
      </c>
      <c r="AG363" s="751">
        <f>$G$22*$H$9*'Traffic Data'!BI35*annualizationFactor</f>
        <v>1.0730672960000001E-2</v>
      </c>
      <c r="AH363" s="752">
        <f>$G$22*$H$9*'Traffic Data'!BJ35*annualizationFactor</f>
        <v>1.083091072E-2</v>
      </c>
      <c r="AI363" s="40"/>
      <c r="AJ363" s="40"/>
      <c r="AK363" s="40"/>
      <c r="AL363" s="40"/>
      <c r="AM363" s="40"/>
    </row>
    <row r="364" spans="2:39" ht="21.9" customHeight="1" x14ac:dyDescent="0.25">
      <c r="B364" s="1332"/>
      <c r="C364" s="114" t="s">
        <v>282</v>
      </c>
      <c r="D364" s="114" t="s">
        <v>321</v>
      </c>
      <c r="E364" s="114" t="s">
        <v>434</v>
      </c>
      <c r="F364" s="114" t="s">
        <v>41</v>
      </c>
      <c r="G364" s="941"/>
      <c r="H364" s="941"/>
      <c r="I364" s="751">
        <f>$G$22*$H$9*'Traffic Data'!AK36*annualizationFactor</f>
        <v>0</v>
      </c>
      <c r="J364" s="751">
        <f>$G$22*$H$9*'Traffic Data'!AL36*annualizationFactor</f>
        <v>6.9916480000000011E-4</v>
      </c>
      <c r="K364" s="751">
        <f>$G$22*$H$9*'Traffic Data'!AM36*annualizationFactor</f>
        <v>2.0023184600000002E-3</v>
      </c>
      <c r="L364" s="751">
        <f>$G$22*$H$9*'Traffic Data'!AN36*annualizationFactor</f>
        <v>4.50108656E-3</v>
      </c>
      <c r="M364" s="751">
        <f>$G$22*$H$9*'Traffic Data'!AO36*annualizationFactor</f>
        <v>7.0012402000000015E-3</v>
      </c>
      <c r="N364" s="751">
        <f>$G$22*$H$9*'Traffic Data'!AP36*annualizationFactor</f>
        <v>9.5015004199999979E-3</v>
      </c>
      <c r="O364" s="751">
        <f>$G$22*$H$9*'Traffic Data'!AQ36*annualizationFactor</f>
        <v>1.2000268519999999E-2</v>
      </c>
      <c r="P364" s="751">
        <f>$G$22*$H$9*'Traffic Data'!AR36*annualizationFactor</f>
        <v>1.450191428E-2</v>
      </c>
      <c r="Q364" s="751">
        <f>$G$22*$H$9*'Traffic Data'!AS36*annualizationFactor</f>
        <v>1.6431012280000004E-2</v>
      </c>
      <c r="R364" s="751">
        <f>$G$22*$H$9*'Traffic Data'!AT36*annualizationFactor</f>
        <v>1.8360430020000002E-2</v>
      </c>
      <c r="S364" s="751">
        <f>$G$22*$H$9*'Traffic Data'!AU36*annualizationFactor</f>
        <v>2.0289528019999999E-2</v>
      </c>
      <c r="T364" s="751">
        <f>$G$22*$H$9*'Traffic Data'!AV36*annualizationFactor</f>
        <v>2.221862602E-2</v>
      </c>
      <c r="U364" s="751">
        <f>$G$22*$H$9*'Traffic Data'!AW36*annualizationFactor</f>
        <v>2.4150281940000001E-2</v>
      </c>
      <c r="V364" s="751">
        <f>$G$22*$H$9*'Traffic Data'!AX36*annualizationFactor</f>
        <v>2.5107690079999998E-2</v>
      </c>
      <c r="W364" s="751">
        <f>$G$22*$H$9*'Traffic Data'!AY36*annualizationFactor</f>
        <v>2.5368278179999999E-2</v>
      </c>
      <c r="X364" s="751">
        <f>$G$22*$H$9*'Traffic Data'!AZ36*annualizationFactor</f>
        <v>2.5628866280000002E-2</v>
      </c>
      <c r="Y364" s="751">
        <f>$G$22*$H$9*'Traffic Data'!BA36*annualizationFactor</f>
        <v>2.5889454380000003E-2</v>
      </c>
      <c r="Z364" s="751">
        <f>$G$22*$H$9*'Traffic Data'!BB36*annualizationFactor</f>
        <v>2.6150788540000004E-2</v>
      </c>
      <c r="AA364" s="751">
        <f>$G$22*$H$9*'Traffic Data'!BC36*annualizationFactor</f>
        <v>2.6411376640000001E-2</v>
      </c>
      <c r="AB364" s="751">
        <f>$G$22*$H$9*'Traffic Data'!BD36*annualizationFactor</f>
        <v>2.6672710799999996E-2</v>
      </c>
      <c r="AC364" s="751">
        <f>$G$22*$H$9*'Traffic Data'!BE36*annualizationFactor</f>
        <v>2.6933298899999996E-2</v>
      </c>
      <c r="AD364" s="751">
        <f>$G$22*$H$9*'Traffic Data'!BF36*annualizationFactor</f>
        <v>2.7193886999999996E-2</v>
      </c>
      <c r="AE364" s="751">
        <f>$G$22*$H$9*'Traffic Data'!BG36*annualizationFactor</f>
        <v>2.7455221159999994E-2</v>
      </c>
      <c r="AF364" s="751">
        <f>$G$22*$H$9*'Traffic Data'!BH36*annualizationFactor</f>
        <v>2.7715809259999995E-2</v>
      </c>
      <c r="AG364" s="751">
        <f>$G$22*$H$9*'Traffic Data'!BI36*annualizationFactor</f>
        <v>2.7976397359999995E-2</v>
      </c>
      <c r="AH364" s="752">
        <f>$G$22*$H$9*'Traffic Data'!BJ36*annualizationFactor</f>
        <v>2.823773152E-2</v>
      </c>
      <c r="AI364" s="40"/>
      <c r="AJ364" s="40"/>
      <c r="AK364" s="40"/>
      <c r="AL364" s="40"/>
      <c r="AM364" s="40"/>
    </row>
    <row r="365" spans="2:39" ht="21.9" customHeight="1" x14ac:dyDescent="0.25">
      <c r="B365" s="1332"/>
      <c r="C365" s="250" t="s">
        <v>321</v>
      </c>
      <c r="D365" s="250" t="s">
        <v>274</v>
      </c>
      <c r="E365" s="114" t="s">
        <v>434</v>
      </c>
      <c r="F365" s="114" t="s">
        <v>41</v>
      </c>
      <c r="G365" s="941"/>
      <c r="H365" s="941"/>
      <c r="I365" s="751">
        <f>$G$22*$H$9*'Traffic Data'!AK37*annualizationFactor</f>
        <v>9.1980000000000002E-4</v>
      </c>
      <c r="J365" s="751">
        <f>$G$22*$H$9*'Traffic Data'!AL37*annualizationFactor</f>
        <v>1.3711458600000001E-3</v>
      </c>
      <c r="K365" s="751">
        <f>$G$22*$H$9*'Traffic Data'!AM37*annualizationFactor</f>
        <v>1.9304762399999999E-3</v>
      </c>
      <c r="L365" s="751">
        <f>$G$22*$H$9*'Traffic Data'!AN37*annualizationFactor</f>
        <v>3.3444541199999997E-3</v>
      </c>
      <c r="M365" s="751">
        <f>$G$22*$H$9*'Traffic Data'!AO37*annualizationFactor</f>
        <v>4.7585853000000006E-3</v>
      </c>
      <c r="N365" s="751">
        <f>$G$22*$H$9*'Traffic Data'!AP37*annualizationFactor</f>
        <v>6.1734216600000027E-3</v>
      </c>
      <c r="O365" s="751">
        <f>$G$22*$H$9*'Traffic Data'!AQ37*annualizationFactor</f>
        <v>7.5873995400000012E-3</v>
      </c>
      <c r="P365" s="751">
        <f>$G$22*$H$9*'Traffic Data'!AR37*annualizationFactor</f>
        <v>9.0009175200000003E-3</v>
      </c>
      <c r="Q365" s="751">
        <f>$G$22*$H$9*'Traffic Data'!AS37*annualizationFactor</f>
        <v>1.2598899180000001E-2</v>
      </c>
      <c r="R365" s="751">
        <f>$G$22*$H$9*'Traffic Data'!AT37*annualizationFactor</f>
        <v>1.6195470480000002E-2</v>
      </c>
      <c r="S365" s="751">
        <f>$G$22*$H$9*'Traffic Data'!AU37*annualizationFactor</f>
        <v>1.9791765840000003E-2</v>
      </c>
      <c r="T365" s="751">
        <f>$G$22*$H$9*'Traffic Data'!AV37*annualizationFactor</f>
        <v>2.3389747500000002E-2</v>
      </c>
      <c r="U365" s="751">
        <f>$G$22*$H$9*'Traffic Data'!AW37*annualizationFactor</f>
        <v>2.6987269260000002E-2</v>
      </c>
      <c r="V365" s="751">
        <f>$G$22*$H$9*'Traffic Data'!AX37*annualizationFactor</f>
        <v>2.972953032000001E-2</v>
      </c>
      <c r="W365" s="751">
        <f>$G$22*$H$9*'Traffic Data'!AY37*annualizationFactor</f>
        <v>3.0180876180000003E-2</v>
      </c>
      <c r="X365" s="751">
        <f>$G$22*$H$9*'Traffic Data'!AZ37*annualizationFactor</f>
        <v>3.0632222040000004E-2</v>
      </c>
      <c r="Y365" s="751">
        <f>$G$22*$H$9*'Traffic Data'!BA37*annualizationFactor</f>
        <v>3.1083567900000005E-2</v>
      </c>
      <c r="Z365" s="751">
        <f>$G$22*$H$9*'Traffic Data'!BB37*annualizationFactor</f>
        <v>3.1533534060000007E-2</v>
      </c>
      <c r="AA365" s="751">
        <f>$G$22*$H$9*'Traffic Data'!BC37*annualizationFactor</f>
        <v>3.1984879920000001E-2</v>
      </c>
      <c r="AB365" s="751">
        <f>$G$22*$H$9*'Traffic Data'!BD37*annualizationFactor</f>
        <v>3.243484608000001E-2</v>
      </c>
      <c r="AC365" s="751">
        <f>$G$22*$H$9*'Traffic Data'!BE37*annualizationFactor</f>
        <v>3.2886191940000004E-2</v>
      </c>
      <c r="AD365" s="751">
        <f>$G$22*$H$9*'Traffic Data'!BF37*annualizationFactor</f>
        <v>3.3337537800000004E-2</v>
      </c>
      <c r="AE365" s="751">
        <f>$G$22*$H$9*'Traffic Data'!BG37*annualizationFactor</f>
        <v>3.378750396E-2</v>
      </c>
      <c r="AF365" s="751">
        <f>$G$22*$H$9*'Traffic Data'!BH37*annualizationFactor</f>
        <v>3.4238849820000007E-2</v>
      </c>
      <c r="AG365" s="751">
        <f>$G$22*$H$9*'Traffic Data'!BI37*annualizationFactor</f>
        <v>3.4690195680000001E-2</v>
      </c>
      <c r="AH365" s="752">
        <f>$G$22*$H$9*'Traffic Data'!BJ37*annualizationFactor</f>
        <v>3.5140161839999996E-2</v>
      </c>
      <c r="AI365" s="40"/>
      <c r="AJ365" s="40"/>
      <c r="AK365" s="40"/>
      <c r="AL365" s="40"/>
      <c r="AM365" s="40"/>
    </row>
    <row r="366" spans="2:39" ht="21.9" customHeight="1" x14ac:dyDescent="0.25">
      <c r="B366" s="469" t="s">
        <v>282</v>
      </c>
      <c r="C366" s="114" t="s">
        <v>308</v>
      </c>
      <c r="D366" s="114" t="s">
        <v>324</v>
      </c>
      <c r="E366" s="114" t="s">
        <v>434</v>
      </c>
      <c r="F366" s="114" t="s">
        <v>41</v>
      </c>
      <c r="G366" s="941"/>
      <c r="H366" s="941"/>
      <c r="I366" s="749">
        <f>$G$22*$J$9*'Traffic Data'!AK38*annualizationFactor</f>
        <v>5.2560000000000003E-3</v>
      </c>
      <c r="J366" s="749">
        <f>$G$22*$J$9*'Traffic Data'!AL38*annualizationFactor</f>
        <v>5.5791856000000006E-3</v>
      </c>
      <c r="K366" s="749">
        <f>$G$22*$J$9*'Traffic Data'!AM38*annualizationFactor</f>
        <v>6.0068780000000011E-3</v>
      </c>
      <c r="L366" s="749">
        <f>$G$22*$J$9*'Traffic Data'!AN38*annualizationFactor</f>
        <v>6.5752559999999989E-3</v>
      </c>
      <c r="M366" s="749">
        <f>$G$22*$J$9*'Traffic Data'!AO38*annualizationFactor</f>
        <v>7.1438092000000002E-3</v>
      </c>
      <c r="N366" s="749">
        <f>$G$22*$J$9*'Traffic Data'!AP38*annualizationFactor</f>
        <v>7.7135888000000015E-3</v>
      </c>
      <c r="O366" s="749">
        <f>$G$22*$J$9*'Traffic Data'!AQ38*annualizationFactor</f>
        <v>8.2819667999999985E-3</v>
      </c>
      <c r="P366" s="749">
        <f>$G$22*$J$9*'Traffic Data'!AR38*annualizationFactor</f>
        <v>8.850957999999999E-3</v>
      </c>
      <c r="Q366" s="749">
        <f>$G$22*$J$9*'Traffic Data'!AS38*annualizationFactor</f>
        <v>9.3697836000000007E-3</v>
      </c>
      <c r="R366" s="749">
        <f>$G$22*$J$9*'Traffic Data'!AT38*annualizationFactor</f>
        <v>9.8881712000000021E-3</v>
      </c>
      <c r="S366" s="749">
        <f>$G$22*$J$9*'Traffic Data'!AU38*annualizationFactor</f>
        <v>1.0407026E-2</v>
      </c>
      <c r="T366" s="749">
        <f>$G$22*$J$9*'Traffic Data'!AV38*annualizationFactor</f>
        <v>1.09258516E-2</v>
      </c>
      <c r="U366" s="749">
        <f>$G$22*$J$9*'Traffic Data'!AW38*annualizationFactor</f>
        <v>1.1446516800000001E-2</v>
      </c>
      <c r="V366" s="749">
        <f>$G$22*$J$9*'Traffic Data'!AX38*annualizationFactor</f>
        <v>1.1824248000000002E-2</v>
      </c>
      <c r="W366" s="749">
        <f>$G$22*$J$9*'Traffic Data'!AY38*annualizationFactor</f>
        <v>1.2147433600000002E-2</v>
      </c>
      <c r="X366" s="749">
        <f>$G$22*$J$9*'Traffic Data'!AZ38*annualizationFactor</f>
        <v>1.2470619199999998E-2</v>
      </c>
      <c r="Y366" s="749">
        <f>$G$22*$J$9*'Traffic Data'!BA38*annualizationFactor</f>
        <v>1.2793804799999999E-2</v>
      </c>
      <c r="Z366" s="749">
        <f>$G$22*$J$9*'Traffic Data'!BB38*annualizationFactor</f>
        <v>1.31173408E-2</v>
      </c>
      <c r="AA366" s="749">
        <f>$G$22*$J$9*'Traffic Data'!BC38*annualizationFactor</f>
        <v>1.3440526399999998E-2</v>
      </c>
      <c r="AB366" s="749">
        <f>$G$22*$J$9*'Traffic Data'!BD38*annualizationFactor</f>
        <v>1.3764500400000001E-2</v>
      </c>
      <c r="AC366" s="749">
        <f>$G$22*$J$9*'Traffic Data'!BE38*annualizationFactor</f>
        <v>1.4087685999999999E-2</v>
      </c>
      <c r="AD366" s="749">
        <f>$G$22*$J$9*'Traffic Data'!BF38*annualizationFactor</f>
        <v>1.44108716E-2</v>
      </c>
      <c r="AE366" s="749">
        <f>$G$22*$J$9*'Traffic Data'!BG38*annualizationFactor</f>
        <v>1.4734407599999997E-2</v>
      </c>
      <c r="AF366" s="749">
        <f>$G$22*$J$9*'Traffic Data'!BH38*annualizationFactor</f>
        <v>1.50575932E-2</v>
      </c>
      <c r="AG366" s="749">
        <f>$G$22*$J$9*'Traffic Data'!BI38*annualizationFactor</f>
        <v>1.53807788E-2</v>
      </c>
      <c r="AH366" s="750">
        <f>$G$22*$J$9*'Traffic Data'!BJ38*annualizationFactor</f>
        <v>1.5704752799999999E-2</v>
      </c>
      <c r="AI366" s="40"/>
      <c r="AJ366" s="40"/>
      <c r="AK366" s="40"/>
      <c r="AL366" s="40"/>
      <c r="AM366" s="40"/>
    </row>
    <row r="367" spans="2:39" ht="21.9" customHeight="1" x14ac:dyDescent="0.25">
      <c r="B367" s="756" t="s">
        <v>321</v>
      </c>
      <c r="C367" s="273" t="s">
        <v>318</v>
      </c>
      <c r="D367" s="273" t="s">
        <v>308</v>
      </c>
      <c r="E367" s="273" t="s">
        <v>434</v>
      </c>
      <c r="F367" s="273" t="s">
        <v>41</v>
      </c>
      <c r="G367" s="754"/>
      <c r="H367" s="754"/>
      <c r="I367" s="749">
        <f>$G$22*$K$9*'Traffic Data'!AK39*annualizationFactor</f>
        <v>0</v>
      </c>
      <c r="J367" s="749">
        <f>$G$22*$K$9*'Traffic Data'!AL39*annualizationFactor</f>
        <v>0</v>
      </c>
      <c r="K367" s="749">
        <f>$G$22*$K$9*'Traffic Data'!AM39*annualizationFactor</f>
        <v>0</v>
      </c>
      <c r="L367" s="749">
        <f>$G$22*$K$9*'Traffic Data'!AN39*annualizationFactor</f>
        <v>0</v>
      </c>
      <c r="M367" s="749">
        <f>$G$22*$K$9*'Traffic Data'!AO39*annualizationFactor</f>
        <v>0</v>
      </c>
      <c r="N367" s="749">
        <f>$G$22*$K$9*'Traffic Data'!AP39*annualizationFactor</f>
        <v>0</v>
      </c>
      <c r="O367" s="749">
        <f>$G$22*$K$9*'Traffic Data'!AQ39*annualizationFactor</f>
        <v>0</v>
      </c>
      <c r="P367" s="749">
        <f>$G$22*$K$9*'Traffic Data'!AR39*annualizationFactor</f>
        <v>0</v>
      </c>
      <c r="Q367" s="749">
        <f>$G$22*$K$9*'Traffic Data'!AS39*annualizationFactor</f>
        <v>0</v>
      </c>
      <c r="R367" s="749">
        <f>$G$22*$K$9*'Traffic Data'!AT39*annualizationFactor</f>
        <v>0</v>
      </c>
      <c r="S367" s="749">
        <f>$G$22*$K$9*'Traffic Data'!AU39*annualizationFactor</f>
        <v>0</v>
      </c>
      <c r="T367" s="749">
        <f>$G$22*$K$9*'Traffic Data'!AV39*annualizationFactor</f>
        <v>0</v>
      </c>
      <c r="U367" s="749">
        <f>$G$22*$K$9*'Traffic Data'!AW39*annualizationFactor</f>
        <v>0</v>
      </c>
      <c r="V367" s="749">
        <f>$G$22*$K$9*'Traffic Data'!AX39*annualizationFactor</f>
        <v>0</v>
      </c>
      <c r="W367" s="749">
        <f>$G$22*$K$9*'Traffic Data'!AY39*annualizationFactor</f>
        <v>0</v>
      </c>
      <c r="X367" s="749">
        <f>$G$22*$K$9*'Traffic Data'!AZ39*annualizationFactor</f>
        <v>0</v>
      </c>
      <c r="Y367" s="749">
        <f>$G$22*$K$9*'Traffic Data'!BA39*annualizationFactor</f>
        <v>0</v>
      </c>
      <c r="Z367" s="749">
        <f>$G$22*$K$9*'Traffic Data'!BB39*annualizationFactor</f>
        <v>0</v>
      </c>
      <c r="AA367" s="749">
        <f>$G$22*$K$9*'Traffic Data'!BC39*annualizationFactor</f>
        <v>0</v>
      </c>
      <c r="AB367" s="749">
        <f>$G$22*$K$9*'Traffic Data'!BD39*annualizationFactor</f>
        <v>0</v>
      </c>
      <c r="AC367" s="749">
        <f>$G$22*$K$9*'Traffic Data'!BE39*annualizationFactor</f>
        <v>0</v>
      </c>
      <c r="AD367" s="749">
        <f>$G$22*$K$9*'Traffic Data'!BF39*annualizationFactor</f>
        <v>0</v>
      </c>
      <c r="AE367" s="749">
        <f>$G$22*$K$9*'Traffic Data'!BG39*annualizationFactor</f>
        <v>0</v>
      </c>
      <c r="AF367" s="749">
        <f>$G$22*$K$9*'Traffic Data'!BH39*annualizationFactor</f>
        <v>0</v>
      </c>
      <c r="AG367" s="749">
        <f>$G$22*$K$9*'Traffic Data'!BI39*annualizationFactor</f>
        <v>0</v>
      </c>
      <c r="AH367" s="750">
        <f>$G$22*$K$9*'Traffic Data'!BJ39*annualizationFactor</f>
        <v>0</v>
      </c>
      <c r="AI367" s="40"/>
      <c r="AJ367" s="40"/>
      <c r="AK367" s="40"/>
      <c r="AL367" s="40"/>
      <c r="AM367" s="40"/>
    </row>
    <row r="368" spans="2:39" ht="21.9" customHeight="1" x14ac:dyDescent="0.25">
      <c r="B368" s="756" t="s">
        <v>333</v>
      </c>
      <c r="C368" s="273" t="s">
        <v>319</v>
      </c>
      <c r="D368" s="273" t="s">
        <v>308</v>
      </c>
      <c r="E368" s="114" t="s">
        <v>434</v>
      </c>
      <c r="F368" s="114" t="s">
        <v>41</v>
      </c>
      <c r="G368" s="941"/>
      <c r="H368" s="941"/>
      <c r="I368" s="749">
        <f>$G$22*$L$9*'Traffic Data'!AK40*annualizationFactor</f>
        <v>9.7474909090909095E-3</v>
      </c>
      <c r="J368" s="749">
        <f>$G$22*$L$9*'Traffic Data'!AL40*annualizationFactor</f>
        <v>9.8813293745454549E-3</v>
      </c>
      <c r="K368" s="749">
        <f>$G$22*$L$9*'Traffic Data'!AM40*annualizationFactor</f>
        <v>1.0112669825454546E-2</v>
      </c>
      <c r="L368" s="749">
        <f>$G$22*$L$9*'Traffic Data'!AN40*annualizationFactor</f>
        <v>1.0430275570909094E-2</v>
      </c>
      <c r="M368" s="749">
        <f>$G$22*$L$9*'Traffic Data'!AO40*annualizationFactor</f>
        <v>1.0748016698181819E-2</v>
      </c>
      <c r="N368" s="749">
        <f>$G$22*$L$9*'Traffic Data'!AP40*annualizationFactor</f>
        <v>1.1066218123636362E-2</v>
      </c>
      <c r="O368" s="749">
        <f>$G$22*$L$9*'Traffic Data'!AQ40*annualizationFactor</f>
        <v>1.1383823869090912E-2</v>
      </c>
      <c r="P368" s="749">
        <f>$G$22*$L$9*'Traffic Data'!AR40*annualizationFactor</f>
        <v>1.1702539745454545E-2</v>
      </c>
      <c r="Q368" s="749">
        <f>$G$22*$L$9*'Traffic Data'!AS40*annualizationFactor</f>
        <v>1.1923564101818182E-2</v>
      </c>
      <c r="R368" s="749">
        <f>$G$22*$L$9*'Traffic Data'!AT40*annualizationFactor</f>
        <v>1.2144615534545454E-2</v>
      </c>
      <c r="S368" s="749">
        <f>$G$22*$L$9*'Traffic Data'!AU40*annualizationFactor</f>
        <v>1.2365694043636364E-2</v>
      </c>
      <c r="T368" s="749">
        <f>$G$22*$L$9*'Traffic Data'!AV40*annualizationFactor</f>
        <v>1.2586718400000004E-2</v>
      </c>
      <c r="U368" s="749">
        <f>$G$22*$L$9*'Traffic Data'!AW40*annualizationFactor</f>
        <v>1.2809313185454547E-2</v>
      </c>
      <c r="V368" s="749">
        <f>$G$22*$L$9*'Traffic Data'!AX40*annualizationFactor</f>
        <v>1.294315165090909E-2</v>
      </c>
      <c r="W368" s="749">
        <f>$G$22*$L$9*'Traffic Data'!AY40*annualizationFactor</f>
        <v>1.3076990116363634E-2</v>
      </c>
      <c r="X368" s="749">
        <f>$G$22*$L$9*'Traffic Data'!AZ40*annualizationFactor</f>
        <v>1.3210828581818183E-2</v>
      </c>
      <c r="Y368" s="749">
        <f>$G$22*$L$9*'Traffic Data'!BA40*annualizationFactor</f>
        <v>1.3344667047272725E-2</v>
      </c>
      <c r="Z368" s="749">
        <f>$G$22*$L$9*'Traffic Data'!BB40*annualizationFactor</f>
        <v>1.3479426109090911E-2</v>
      </c>
      <c r="AA368" s="749">
        <f>$G$22*$L$9*'Traffic Data'!BC40*annualizationFactor</f>
        <v>1.3613264574545455E-2</v>
      </c>
      <c r="AB368" s="749">
        <f>$G$22*$L$9*'Traffic Data'!BD40*annualizationFactor</f>
        <v>1.3747617490909095E-2</v>
      </c>
      <c r="AC368" s="749">
        <f>$G$22*$L$9*'Traffic Data'!BE40*annualizationFactor</f>
        <v>1.3881455956363633E-2</v>
      </c>
      <c r="AD368" s="749">
        <f>$G$22*$L$9*'Traffic Data'!BF40*annualizationFactor</f>
        <v>1.4015294421818186E-2</v>
      </c>
      <c r="AE368" s="749">
        <f>$G$22*$L$9*'Traffic Data'!BG40*annualizationFactor</f>
        <v>1.4150053483636366E-2</v>
      </c>
      <c r="AF368" s="749">
        <f>$G$22*$L$9*'Traffic Data'!BH40*annualizationFactor</f>
        <v>1.4283891949090913E-2</v>
      </c>
      <c r="AG368" s="749">
        <f>$G$22*$L$9*'Traffic Data'!BI40*annualizationFactor</f>
        <v>1.4417730414545457E-2</v>
      </c>
      <c r="AH368" s="750">
        <f>$G$22*$L$9*'Traffic Data'!BJ40*annualizationFactor</f>
        <v>1.4552083330909092E-2</v>
      </c>
      <c r="AI368" s="40"/>
      <c r="AJ368" s="40"/>
      <c r="AK368" s="40"/>
      <c r="AL368" s="40"/>
      <c r="AM368" s="40"/>
    </row>
    <row r="369" spans="2:39" ht="21.9" customHeight="1" x14ac:dyDescent="0.25">
      <c r="B369" s="469" t="s">
        <v>319</v>
      </c>
      <c r="C369" s="114" t="s">
        <v>276</v>
      </c>
      <c r="D369" s="114" t="s">
        <v>333</v>
      </c>
      <c r="E369" s="217" t="s">
        <v>434</v>
      </c>
      <c r="F369" s="217" t="s">
        <v>41</v>
      </c>
      <c r="G369" s="749"/>
      <c r="H369" s="749"/>
      <c r="I369" s="749">
        <f>$G$22*$M$9*'Traffic Data'!AK41*annualizationFactor</f>
        <v>3.5006818181818188E-2</v>
      </c>
      <c r="J369" s="749">
        <f>$G$22*$M$9*'Traffic Data'!AL41*annualizationFactor</f>
        <v>3.6015959729545466E-2</v>
      </c>
      <c r="K369" s="749">
        <f>$G$22*$M$9*'Traffic Data'!AM41*annualizationFactor</f>
        <v>3.710824247045455E-2</v>
      </c>
      <c r="L369" s="749">
        <f>$G$22*$M$9*'Traffic Data'!AN41*annualizationFactor</f>
        <v>3.8557349709090916E-2</v>
      </c>
      <c r="M369" s="749">
        <f>$G$22*$M$9*'Traffic Data'!AO41*annualizationFactor</f>
        <v>4.0006701995454551E-2</v>
      </c>
      <c r="N369" s="749">
        <f>$G$22*$M$9*'Traffic Data'!AP41*annualizationFactor</f>
        <v>4.1456649397727273E-2</v>
      </c>
      <c r="O369" s="749">
        <f>$G$22*$M$9*'Traffic Data'!AQ41*annualizationFactor</f>
        <v>4.2905756636363646E-2</v>
      </c>
      <c r="P369" s="749">
        <f>$G$22*$M$9*'Traffic Data'!AR41*annualizationFactor</f>
        <v>4.4355248950000009E-2</v>
      </c>
      <c r="Q369" s="749">
        <f>$G$22*$M$9*'Traffic Data'!AS41*annualizationFactor</f>
        <v>4.595022960000001E-2</v>
      </c>
      <c r="R369" s="749">
        <f>$G$22*$M$9*'Traffic Data'!AT41*annualizationFactor</f>
        <v>4.7544685147727278E-2</v>
      </c>
      <c r="S369" s="749">
        <f>$G$22*$M$9*'Traffic Data'!AU41*annualizationFactor</f>
        <v>4.9139665797727286E-2</v>
      </c>
      <c r="T369" s="749">
        <f>$G$22*$M$9*'Traffic Data'!AV41*annualizationFactor</f>
        <v>5.073464644772728E-2</v>
      </c>
      <c r="U369" s="749">
        <f>$G$22*$M$9*'Traffic Data'!AW41*annualizationFactor</f>
        <v>5.2330537275000012E-2</v>
      </c>
      <c r="V369" s="749">
        <f>$G$22*$M$9*'Traffic Data'!AX41*annualizationFactor</f>
        <v>5.3568553400000003E-2</v>
      </c>
      <c r="W369" s="749">
        <f>$G$22*$M$9*'Traffic Data'!AY41*annualizationFactor</f>
        <v>5.4577694947727282E-2</v>
      </c>
      <c r="X369" s="749">
        <f>$G$22*$M$9*'Traffic Data'!AZ41*annualizationFactor</f>
        <v>5.558683649545456E-2</v>
      </c>
      <c r="Y369" s="749">
        <f>$G$22*$M$9*'Traffic Data'!BA41*annualizationFactor</f>
        <v>5.6595978043181838E-2</v>
      </c>
      <c r="Z369" s="749">
        <f>$G$22*$M$9*'Traffic Data'!BB41*annualizationFactor</f>
        <v>5.7605014570454555E-2</v>
      </c>
      <c r="AA369" s="749">
        <f>$G$22*$M$9*'Traffic Data'!BC41*annualizationFactor</f>
        <v>5.8614156118181819E-2</v>
      </c>
      <c r="AB369" s="749">
        <f>$G$22*$M$9*'Traffic Data'!BD41*annualizationFactor</f>
        <v>5.9623192645454536E-2</v>
      </c>
      <c r="AC369" s="749">
        <f>$G$22*$M$9*'Traffic Data'!BE41*annualizationFactor</f>
        <v>6.0632334193181842E-2</v>
      </c>
      <c r="AD369" s="749">
        <f>$G$22*$M$9*'Traffic Data'!BF41*annualizationFactor</f>
        <v>6.1641475740909113E-2</v>
      </c>
      <c r="AE369" s="749">
        <f>$G$22*$M$9*'Traffic Data'!BG41*annualizationFactor</f>
        <v>6.2650512268181829E-2</v>
      </c>
      <c r="AF369" s="749">
        <f>$G$22*$M$9*'Traffic Data'!BH41*annualizationFactor</f>
        <v>6.3659653815909101E-2</v>
      </c>
      <c r="AG369" s="749">
        <f>$G$22*$M$9*'Traffic Data'!BI41*annualizationFactor</f>
        <v>6.4668795363636372E-2</v>
      </c>
      <c r="AH369" s="750">
        <f>$G$22*$M$9*'Traffic Data'!BJ41*annualizationFactor</f>
        <v>6.5677831890909116E-2</v>
      </c>
      <c r="AI369" s="40"/>
      <c r="AJ369" s="40"/>
      <c r="AK369" s="40"/>
      <c r="AL369" s="40"/>
      <c r="AM369" s="40"/>
    </row>
    <row r="370" spans="2:39" ht="21.9" customHeight="1" x14ac:dyDescent="0.25">
      <c r="B370" s="469"/>
      <c r="C370" s="114" t="s">
        <v>333</v>
      </c>
      <c r="D370" s="114" t="s">
        <v>323</v>
      </c>
      <c r="E370" s="114" t="s">
        <v>434</v>
      </c>
      <c r="F370" s="114" t="s">
        <v>41</v>
      </c>
      <c r="G370" s="941"/>
      <c r="H370" s="941"/>
      <c r="I370" s="751">
        <f>$G$22*$M$9*'Traffic Data'!AK42*annualizationFactor</f>
        <v>5.0982757575757584E-3</v>
      </c>
      <c r="J370" s="751">
        <f>$G$22*$M$9*'Traffic Data'!AL42*annualizationFactor</f>
        <v>5.2429728734848489E-3</v>
      </c>
      <c r="K370" s="751">
        <f>$G$22*$M$9*'Traffic Data'!AM42*annualizationFactor</f>
        <v>5.4035484350757577E-3</v>
      </c>
      <c r="L370" s="751">
        <f>$G$22*$M$9*'Traffic Data'!AN42*annualizationFactor</f>
        <v>5.628932473106061E-3</v>
      </c>
      <c r="M370" s="751">
        <f>$G$22*$M$9*'Traffic Data'!AO42*annualizationFactor</f>
        <v>5.8543567606818185E-3</v>
      </c>
      <c r="N370" s="751">
        <f>$G$22*$M$9*'Traffic Data'!AP42*annualizationFactor</f>
        <v>6.0798280060606049E-3</v>
      </c>
      <c r="O370" s="751">
        <f>$G$22*$M$9*'Traffic Data'!AQ42*annualizationFactor</f>
        <v>6.3052120440909099E-3</v>
      </c>
      <c r="P370" s="751">
        <f>$G$22*$M$9*'Traffic Data'!AR42*annualizationFactor</f>
        <v>6.5306094986363637E-3</v>
      </c>
      <c r="Q370" s="751">
        <f>$G$22*$M$9*'Traffic Data'!AS42*annualizationFactor</f>
        <v>6.7839468459848506E-3</v>
      </c>
      <c r="R370" s="751">
        <f>$G$22*$M$9*'Traffic Data'!AT42*annualizationFactor</f>
        <v>7.0371969859848484E-3</v>
      </c>
      <c r="S370" s="751">
        <f>$G$22*$M$9*'Traffic Data'!AU42*annualizationFactor</f>
        <v>7.2905343333333318E-3</v>
      </c>
      <c r="T370" s="751">
        <f>$G$22*$M$9*'Traffic Data'!AV42*annualizationFactor</f>
        <v>7.5438716806818171E-3</v>
      </c>
      <c r="U370" s="751">
        <f>$G$22*$M$9*'Traffic Data'!AW42*annualizationFactor</f>
        <v>7.7972492775757584E-3</v>
      </c>
      <c r="V370" s="751">
        <f>$G$22*$M$9*'Traffic Data'!AX42*annualizationFactor</f>
        <v>7.985804981515153E-3</v>
      </c>
      <c r="W370" s="751">
        <f>$G$22*$M$9*'Traffic Data'!AY42*annualizationFactor</f>
        <v>8.1305020974242418E-3</v>
      </c>
      <c r="X370" s="751">
        <f>$G$22*$M$9*'Traffic Data'!AZ42*annualizationFactor</f>
        <v>8.2751992133333358E-3</v>
      </c>
      <c r="Y370" s="751">
        <f>$G$22*$M$9*'Traffic Data'!BA42*annualizationFactor</f>
        <v>8.4198963292424246E-3</v>
      </c>
      <c r="Z370" s="751">
        <f>$G$22*$M$9*'Traffic Data'!BB42*annualizationFactor</f>
        <v>8.5645196543181808E-3</v>
      </c>
      <c r="AA370" s="751">
        <f>$G$22*$M$9*'Traffic Data'!BC42*annualizationFactor</f>
        <v>8.7092167702272714E-3</v>
      </c>
      <c r="AB370" s="751">
        <f>$G$22*$M$9*'Traffic Data'!BD42*annualizationFactor</f>
        <v>8.8538400953030293E-3</v>
      </c>
      <c r="AC370" s="751">
        <f>$G$22*$M$9*'Traffic Data'!BE42*annualizationFactor</f>
        <v>8.9985372112121216E-3</v>
      </c>
      <c r="AD370" s="751">
        <f>$G$22*$M$9*'Traffic Data'!BF42*annualizationFactor</f>
        <v>9.1432343271212121E-3</v>
      </c>
      <c r="AE370" s="751">
        <f>$G$22*$M$9*'Traffic Data'!BG42*annualizationFactor</f>
        <v>9.2878576521969684E-3</v>
      </c>
      <c r="AF370" s="751">
        <f>$G$22*$M$9*'Traffic Data'!BH42*annualizationFactor</f>
        <v>9.4325547681060606E-3</v>
      </c>
      <c r="AG370" s="751">
        <f>$G$22*$M$9*'Traffic Data'!BI42*annualizationFactor</f>
        <v>9.5772518840151494E-3</v>
      </c>
      <c r="AH370" s="752">
        <f>$G$22*$M$9*'Traffic Data'!BJ42*annualizationFactor</f>
        <v>9.7218752090909074E-3</v>
      </c>
      <c r="AI370" s="40"/>
      <c r="AJ370" s="40"/>
      <c r="AK370" s="40"/>
      <c r="AL370" s="40"/>
      <c r="AM370" s="40"/>
    </row>
    <row r="371" spans="2:39" ht="21.9" customHeight="1" x14ac:dyDescent="0.25">
      <c r="B371" s="469"/>
      <c r="C371" s="114" t="s">
        <v>323</v>
      </c>
      <c r="D371" s="114" t="s">
        <v>322</v>
      </c>
      <c r="E371" s="114" t="s">
        <v>434</v>
      </c>
      <c r="F371" s="114" t="s">
        <v>41</v>
      </c>
      <c r="G371" s="941"/>
      <c r="H371" s="941"/>
      <c r="I371" s="751">
        <f>$G$22*$M$9*'Traffic Data'!AK43*annualizationFactor</f>
        <v>1.260909090909091E-3</v>
      </c>
      <c r="J371" s="751">
        <f>$G$22*$M$9*'Traffic Data'!AL43*annualizationFactor</f>
        <v>1.2966956818181818E-3</v>
      </c>
      <c r="K371" s="751">
        <f>$G$22*$M$9*'Traffic Data'!AM43*annualizationFactor</f>
        <v>1.3364093409090909E-3</v>
      </c>
      <c r="L371" s="751">
        <f>$G$22*$M$9*'Traffic Data'!AN43*annualizationFactor</f>
        <v>1.3921514772727273E-3</v>
      </c>
      <c r="M371" s="751">
        <f>$G$22*$M$9*'Traffic Data'!AO43*annualizationFactor</f>
        <v>1.4479035681818184E-3</v>
      </c>
      <c r="N371" s="751">
        <f>$G$22*$M$9*'Traffic Data'!AP43*annualizationFactor</f>
        <v>1.5036672727272726E-3</v>
      </c>
      <c r="O371" s="751">
        <f>$G$22*$M$9*'Traffic Data'!AQ43*annualizationFactor</f>
        <v>1.559409409090909E-3</v>
      </c>
      <c r="P371" s="751">
        <f>$G$22*$M$9*'Traffic Data'!AR43*annualizationFactor</f>
        <v>1.615154863636364E-3</v>
      </c>
      <c r="Q371" s="751">
        <f>$G$22*$M$9*'Traffic Data'!AS43*annualizationFactor</f>
        <v>1.6778104318181822E-3</v>
      </c>
      <c r="R371" s="751">
        <f>$G$22*$M$9*'Traffic Data'!AT43*annualizationFactor</f>
        <v>1.7404444318181815E-3</v>
      </c>
      <c r="S371" s="751">
        <f>$G$22*$M$9*'Traffic Data'!AU43*annualizationFactor</f>
        <v>1.8030999999999998E-3</v>
      </c>
      <c r="T371" s="751">
        <f>$G$22*$M$9*'Traffic Data'!AV43*annualizationFactor</f>
        <v>1.865755568181818E-3</v>
      </c>
      <c r="U371" s="751">
        <f>$G$22*$M$9*'Traffic Data'!AW43*annualizationFactor</f>
        <v>1.9284210909090908E-3</v>
      </c>
      <c r="V371" s="751">
        <f>$G$22*$M$9*'Traffic Data'!AX43*annualizationFactor</f>
        <v>1.9750548181818178E-3</v>
      </c>
      <c r="W371" s="751">
        <f>$G$22*$M$9*'Traffic Data'!AY43*annualizationFactor</f>
        <v>2.0108414090909089E-3</v>
      </c>
      <c r="X371" s="751">
        <f>$G$22*$M$9*'Traffic Data'!AZ43*annualizationFactor</f>
        <v>2.046628E-3</v>
      </c>
      <c r="Y371" s="751">
        <f>$G$22*$M$9*'Traffic Data'!BA43*annualizationFactor</f>
        <v>2.0824145909090911E-3</v>
      </c>
      <c r="Z371" s="751">
        <f>$G$22*$M$9*'Traffic Data'!BB43*annualizationFactor</f>
        <v>2.1181829318181818E-3</v>
      </c>
      <c r="AA371" s="751">
        <f>$G$22*$M$9*'Traffic Data'!BC43*annualizationFactor</f>
        <v>2.1539695227272724E-3</v>
      </c>
      <c r="AB371" s="751">
        <f>$G$22*$M$9*'Traffic Data'!BD43*annualizationFactor</f>
        <v>2.1897378636363636E-3</v>
      </c>
      <c r="AC371" s="751">
        <f>$G$22*$M$9*'Traffic Data'!BE43*annualizationFactor</f>
        <v>2.2255244545454547E-3</v>
      </c>
      <c r="AD371" s="751">
        <f>$G$22*$M$9*'Traffic Data'!BF43*annualizationFactor</f>
        <v>2.2613110454545457E-3</v>
      </c>
      <c r="AE371" s="751">
        <f>$G$22*$M$9*'Traffic Data'!BG43*annualizationFactor</f>
        <v>2.297079386363636E-3</v>
      </c>
      <c r="AF371" s="751">
        <f>$G$22*$M$9*'Traffic Data'!BH43*annualizationFactor</f>
        <v>2.3328659772727271E-3</v>
      </c>
      <c r="AG371" s="751">
        <f>$G$22*$M$9*'Traffic Data'!BI43*annualizationFactor</f>
        <v>2.3686525681818177E-3</v>
      </c>
      <c r="AH371" s="752">
        <f>$G$22*$M$9*'Traffic Data'!BJ43*annualizationFactor</f>
        <v>2.4044209090909089E-3</v>
      </c>
      <c r="AI371" s="40"/>
      <c r="AJ371" s="40"/>
      <c r="AK371" s="40"/>
      <c r="AL371" s="40"/>
      <c r="AM371" s="40"/>
    </row>
    <row r="372" spans="2:39" ht="21.9" customHeight="1" x14ac:dyDescent="0.25">
      <c r="B372" s="469"/>
      <c r="C372" s="114" t="s">
        <v>322</v>
      </c>
      <c r="D372" s="114" t="s">
        <v>326</v>
      </c>
      <c r="E372" s="114" t="s">
        <v>434</v>
      </c>
      <c r="F372" s="114" t="s">
        <v>41</v>
      </c>
      <c r="G372" s="941"/>
      <c r="H372" s="941"/>
      <c r="I372" s="751">
        <f>$G$22*$M$9*'Traffic Data'!AK44*annualizationFactor</f>
        <v>3.2352272727272733E-3</v>
      </c>
      <c r="J372" s="751">
        <f>$G$22*$M$9*'Traffic Data'!AL44*annualizationFactor</f>
        <v>3.3269675340909096E-3</v>
      </c>
      <c r="K372" s="751">
        <f>$G$22*$M$9*'Traffic Data'!AM44*annualizationFactor</f>
        <v>3.4315031193181819E-3</v>
      </c>
      <c r="L372" s="751">
        <f>$G$22*$M$9*'Traffic Data'!AN44*annualizationFactor</f>
        <v>3.5650748693181822E-3</v>
      </c>
      <c r="M372" s="751">
        <f>$G$22*$M$9*'Traffic Data'!AO44*annualizationFactor</f>
        <v>3.6986897556818186E-3</v>
      </c>
      <c r="N372" s="751">
        <f>$G$22*$M$9*'Traffic Data'!AP44*annualizationFactor</f>
        <v>3.8322830738636376E-3</v>
      </c>
      <c r="O372" s="751">
        <f>$G$22*$M$9*'Traffic Data'!AQ44*annualizationFactor</f>
        <v>3.9658548238636375E-3</v>
      </c>
      <c r="P372" s="751">
        <f>$G$22*$M$9*'Traffic Data'!AR44*annualizationFactor</f>
        <v>4.0994535340909098E-3</v>
      </c>
      <c r="Q372" s="751">
        <f>$G$22*$M$9*'Traffic Data'!AS44*annualizationFactor</f>
        <v>4.2504523749999999E-3</v>
      </c>
      <c r="R372" s="751">
        <f>$G$22*$M$9*'Traffic Data'!AT44*annualizationFactor</f>
        <v>4.4014458238636365E-3</v>
      </c>
      <c r="S372" s="751">
        <f>$G$22*$M$9*'Traffic Data'!AU44*annualizationFactor</f>
        <v>4.5524230965909096E-3</v>
      </c>
      <c r="T372" s="751">
        <f>$G$22*$M$9*'Traffic Data'!AV44*annualizationFactor</f>
        <v>4.7034219375000014E-3</v>
      </c>
      <c r="U372" s="751">
        <f>$G$22*$M$9*'Traffic Data'!AW44*annualizationFactor</f>
        <v>4.8544477386363635E-3</v>
      </c>
      <c r="V372" s="751">
        <f>$G$22*$M$9*'Traffic Data'!AX44*annualizationFactor</f>
        <v>4.9764050227272738E-3</v>
      </c>
      <c r="W372" s="751">
        <f>$G$22*$M$9*'Traffic Data'!AY44*annualizationFactor</f>
        <v>5.0681452840909101E-3</v>
      </c>
      <c r="X372" s="751">
        <f>$G$22*$M$9*'Traffic Data'!AZ44*annualizationFactor</f>
        <v>5.1598855454545473E-3</v>
      </c>
      <c r="Y372" s="751">
        <f>$G$22*$M$9*'Traffic Data'!BA44*annualizationFactor</f>
        <v>5.2516258068181828E-3</v>
      </c>
      <c r="Z372" s="751">
        <f>$G$22*$M$9*'Traffic Data'!BB44*annualizationFactor</f>
        <v>5.3433391079545471E-3</v>
      </c>
      <c r="AA372" s="751">
        <f>$G$22*$M$9*'Traffic Data'!BC44*annualizationFactor</f>
        <v>5.4350793693181809E-3</v>
      </c>
      <c r="AB372" s="751">
        <f>$G$22*$M$9*'Traffic Data'!BD44*annualizationFactor</f>
        <v>5.5267926704545452E-3</v>
      </c>
      <c r="AC372" s="751">
        <f>$G$22*$M$9*'Traffic Data'!BE44*annualizationFactor</f>
        <v>5.6185329318181815E-3</v>
      </c>
      <c r="AD372" s="751">
        <f>$G$22*$M$9*'Traffic Data'!BF44*annualizationFactor</f>
        <v>5.7102731931818178E-3</v>
      </c>
      <c r="AE372" s="751">
        <f>$G$22*$M$9*'Traffic Data'!BG44*annualizationFactor</f>
        <v>5.8019864943181804E-3</v>
      </c>
      <c r="AF372" s="751">
        <f>$G$22*$M$9*'Traffic Data'!BH44*annualizationFactor</f>
        <v>5.8937267556818176E-3</v>
      </c>
      <c r="AG372" s="751">
        <f>$G$22*$M$9*'Traffic Data'!BI44*annualizationFactor</f>
        <v>5.9854670170454531E-3</v>
      </c>
      <c r="AH372" s="752">
        <f>$G$22*$M$9*'Traffic Data'!BJ44*annualizationFactor</f>
        <v>6.0771803181818166E-3</v>
      </c>
      <c r="AI372" s="40"/>
      <c r="AJ372" s="40"/>
      <c r="AK372" s="40"/>
      <c r="AL372" s="40"/>
      <c r="AM372" s="40"/>
    </row>
    <row r="373" spans="2:39" ht="21.9" customHeight="1" x14ac:dyDescent="0.25">
      <c r="B373" s="469"/>
      <c r="C373" s="114" t="s">
        <v>326</v>
      </c>
      <c r="D373" s="114" t="s">
        <v>274</v>
      </c>
      <c r="E373" s="114" t="s">
        <v>434</v>
      </c>
      <c r="F373" s="114" t="s">
        <v>41</v>
      </c>
      <c r="G373" s="941"/>
      <c r="H373" s="941"/>
      <c r="I373" s="751">
        <f>$G$22*$M$9*'Traffic Data'!AK45*annualizationFactor</f>
        <v>2.6860681818181822E-2</v>
      </c>
      <c r="J373" s="751">
        <f>$G$22*$M$9*'Traffic Data'!AL45*annualizationFactor</f>
        <v>2.7622361218939399E-2</v>
      </c>
      <c r="K373" s="751">
        <f>$G$22*$M$9*'Traffic Data'!AM45*annualizationFactor</f>
        <v>2.8490274616287878E-2</v>
      </c>
      <c r="L373" s="751">
        <f>$G$22*$M$9*'Traffic Data'!AN45*annualizationFactor</f>
        <v>2.9599262632954551E-2</v>
      </c>
      <c r="M373" s="751">
        <f>$G$22*$M$9*'Traffic Data'!AO45*annualizationFactor</f>
        <v>3.0708608792045459E-2</v>
      </c>
      <c r="N373" s="751">
        <f>$G$22*$M$9*'Traffic Data'!AP45*annualizationFactor</f>
        <v>3.1817775879924258E-2</v>
      </c>
      <c r="O373" s="751">
        <f>$G$22*$M$9*'Traffic Data'!AQ45*annualizationFactor</f>
        <v>3.292676389659091E-2</v>
      </c>
      <c r="P373" s="751">
        <f>$G$22*$M$9*'Traffic Data'!AR45*annualizationFactor</f>
        <v>3.4035975752272733E-2</v>
      </c>
      <c r="Q373" s="751">
        <f>$G$22*$M$9*'Traffic Data'!AS45*annualizationFactor</f>
        <v>3.5289653308333335E-2</v>
      </c>
      <c r="R373" s="751">
        <f>$G$22*$M$9*'Traffic Data'!AT45*annualizationFactor</f>
        <v>3.6543286096590917E-2</v>
      </c>
      <c r="S373" s="751">
        <f>$G$22*$M$9*'Traffic Data'!AU45*annualizationFactor</f>
        <v>3.7796784581439397E-2</v>
      </c>
      <c r="T373" s="751">
        <f>$G$22*$M$9*'Traffic Data'!AV45*annualizationFactor</f>
        <v>3.9050462137500005E-2</v>
      </c>
      <c r="U373" s="751">
        <f>$G$22*$M$9*'Traffic Data'!AW45*annualizationFactor</f>
        <v>4.0304363532575764E-2</v>
      </c>
      <c r="V373" s="751">
        <f>$G$22*$M$9*'Traffic Data'!AX45*annualizationFactor</f>
        <v>4.1316921701515158E-2</v>
      </c>
      <c r="W373" s="751">
        <f>$G$22*$M$9*'Traffic Data'!AY45*annualizationFactor</f>
        <v>4.2078601102272732E-2</v>
      </c>
      <c r="X373" s="751">
        <f>$G$22*$M$9*'Traffic Data'!AZ45*annualizationFactor</f>
        <v>4.284028050303032E-2</v>
      </c>
      <c r="Y373" s="751">
        <f>$G$22*$M$9*'Traffic Data'!BA45*annualizationFactor</f>
        <v>4.3601959903787894E-2</v>
      </c>
      <c r="Z373" s="751">
        <f>$G$22*$M$9*'Traffic Data'!BB45*annualizationFactor</f>
        <v>4.4363415465530319E-2</v>
      </c>
      <c r="AA373" s="751">
        <f>$G$22*$M$9*'Traffic Data'!BC45*annualizationFactor</f>
        <v>4.5125094866287872E-2</v>
      </c>
      <c r="AB373" s="751">
        <f>$G$22*$M$9*'Traffic Data'!BD45*annualizationFactor</f>
        <v>4.5886550428030304E-2</v>
      </c>
      <c r="AC373" s="751">
        <f>$G$22*$M$9*'Traffic Data'!BE45*annualizationFactor</f>
        <v>4.6648229828787878E-2</v>
      </c>
      <c r="AD373" s="751">
        <f>$G$22*$M$9*'Traffic Data'!BF45*annualizationFactor</f>
        <v>4.7409909229545459E-2</v>
      </c>
      <c r="AE373" s="751">
        <f>$G$22*$M$9*'Traffic Data'!BG45*annualizationFactor</f>
        <v>4.8171364791287863E-2</v>
      </c>
      <c r="AF373" s="751">
        <f>$G$22*$M$9*'Traffic Data'!BH45*annualizationFactor</f>
        <v>4.8933044192045458E-2</v>
      </c>
      <c r="AG373" s="751">
        <f>$G$22*$M$9*'Traffic Data'!BI45*annualizationFactor</f>
        <v>4.9694723592803025E-2</v>
      </c>
      <c r="AH373" s="752">
        <f>$G$22*$M$9*'Traffic Data'!BJ45*annualizationFactor</f>
        <v>5.0456179154545443E-2</v>
      </c>
      <c r="AI373" s="40"/>
      <c r="AJ373" s="40"/>
      <c r="AK373" s="40"/>
      <c r="AL373" s="40"/>
      <c r="AM373" s="40"/>
    </row>
    <row r="374" spans="2:39" ht="21.9" customHeight="1" x14ac:dyDescent="0.25">
      <c r="B374" s="470"/>
      <c r="C374" s="250" t="s">
        <v>274</v>
      </c>
      <c r="D374" s="250" t="s">
        <v>317</v>
      </c>
      <c r="E374" s="250" t="s">
        <v>434</v>
      </c>
      <c r="F374" s="250" t="s">
        <v>41</v>
      </c>
      <c r="G374" s="753"/>
      <c r="H374" s="753"/>
      <c r="I374" s="753">
        <f>$G$22*$M$9*'Traffic Data'!AK46*annualizationFactor</f>
        <v>6.6363636363636364E-4</v>
      </c>
      <c r="J374" s="753">
        <f>$G$22*$M$9*'Traffic Data'!AL46*annualizationFactor</f>
        <v>6.8245487878787904E-4</v>
      </c>
      <c r="K374" s="753">
        <f>$G$22*$M$9*'Traffic Data'!AM46*annualizationFactor</f>
        <v>7.0389807575757578E-4</v>
      </c>
      <c r="L374" s="753">
        <f>$G$22*$M$9*'Traffic Data'!AN46*annualizationFactor</f>
        <v>7.3129740909090937E-4</v>
      </c>
      <c r="M374" s="753">
        <f>$G$22*$M$9*'Traffic Data'!AO46*annualizationFactor</f>
        <v>7.5870559090909101E-4</v>
      </c>
      <c r="N374" s="753">
        <f>$G$22*$M$9*'Traffic Data'!AP46*annualizationFactor</f>
        <v>7.8610934848484873E-4</v>
      </c>
      <c r="O374" s="753">
        <f>$G$22*$M$9*'Traffic Data'!AQ46*annualizationFactor</f>
        <v>8.1350868181818221E-4</v>
      </c>
      <c r="P374" s="753">
        <f>$G$22*$M$9*'Traffic Data'!AR46*annualizationFactor</f>
        <v>8.4091354545454578E-4</v>
      </c>
      <c r="Q374" s="753">
        <f>$G$22*$M$9*'Traffic Data'!AS46*annualizationFactor</f>
        <v>8.7188766666666687E-4</v>
      </c>
      <c r="R374" s="753">
        <f>$G$22*$M$9*'Traffic Data'!AT46*annualizationFactor</f>
        <v>9.0286068181818211E-4</v>
      </c>
      <c r="S374" s="753">
        <f>$G$22*$M$9*'Traffic Data'!AU46*annualizationFactor</f>
        <v>9.3383037878787896E-4</v>
      </c>
      <c r="T374" s="753">
        <f>$G$22*$M$9*'Traffic Data'!AV46*annualizationFactor</f>
        <v>9.6480450000000027E-4</v>
      </c>
      <c r="U374" s="753">
        <f>$G$22*$M$9*'Traffic Data'!AW46*annualizationFactor</f>
        <v>9.9578415151515155E-4</v>
      </c>
      <c r="V374" s="753">
        <f>$G$22*$M$9*'Traffic Data'!AX46*annualizationFactor</f>
        <v>1.0208010303030305E-3</v>
      </c>
      <c r="W374" s="753">
        <f>$G$22*$M$9*'Traffic Data'!AY46*annualizationFactor</f>
        <v>1.0396195454545458E-3</v>
      </c>
      <c r="X374" s="753">
        <f>$G$22*$M$9*'Traffic Data'!AZ46*annualizationFactor</f>
        <v>1.0584380606060611E-3</v>
      </c>
      <c r="Y374" s="753">
        <f>$G$22*$M$9*'Traffic Data'!BA46*annualizationFactor</f>
        <v>1.0772565757575761E-3</v>
      </c>
      <c r="Z374" s="753">
        <f>$G$22*$M$9*'Traffic Data'!BB46*annualizationFactor</f>
        <v>1.096069560606061E-3</v>
      </c>
      <c r="AA374" s="753">
        <f>$G$22*$M$9*'Traffic Data'!BC46*annualizationFactor</f>
        <v>1.1148880757575754E-3</v>
      </c>
      <c r="AB374" s="753">
        <f>$G$22*$M$9*'Traffic Data'!BD46*annualizationFactor</f>
        <v>1.1337010606060605E-3</v>
      </c>
      <c r="AC374" s="753">
        <f>$G$22*$M$9*'Traffic Data'!BE46*annualizationFactor</f>
        <v>1.1525195757575756E-3</v>
      </c>
      <c r="AD374" s="753">
        <f>$G$22*$M$9*'Traffic Data'!BF46*annualizationFactor</f>
        <v>1.1713380909090909E-3</v>
      </c>
      <c r="AE374" s="753">
        <f>$G$22*$M$9*'Traffic Data'!BG46*annualizationFactor</f>
        <v>1.1901510757575757E-3</v>
      </c>
      <c r="AF374" s="753">
        <f>$G$22*$M$9*'Traffic Data'!BH46*annualizationFactor</f>
        <v>1.208969590909091E-3</v>
      </c>
      <c r="AG374" s="753">
        <f>$G$22*$M$9*'Traffic Data'!BI46*annualizationFactor</f>
        <v>1.2277881060606059E-3</v>
      </c>
      <c r="AH374" s="757">
        <f>$G$22*$M$9*'Traffic Data'!BJ46*annualizationFactor</f>
        <v>1.246601090909091E-3</v>
      </c>
      <c r="AI374" s="40"/>
      <c r="AJ374" s="40"/>
      <c r="AK374" s="40"/>
      <c r="AL374" s="40"/>
      <c r="AM374" s="40"/>
    </row>
    <row r="375" spans="2:39" ht="21.9" customHeight="1" thickBot="1" x14ac:dyDescent="0.3">
      <c r="B375" s="1073" t="s">
        <v>462</v>
      </c>
      <c r="C375" s="237"/>
      <c r="D375" s="237"/>
      <c r="E375" s="237"/>
      <c r="F375" s="237"/>
      <c r="G375" s="940">
        <f t="shared" ref="G375:AH375" si="37">SUM(G355:G374)</f>
        <v>0</v>
      </c>
      <c r="H375" s="940">
        <f t="shared" si="37"/>
        <v>0</v>
      </c>
      <c r="I375" s="759">
        <f t="shared" si="37"/>
        <v>0.31601245962121216</v>
      </c>
      <c r="J375" s="759">
        <f t="shared" si="37"/>
        <v>0.33375284464191668</v>
      </c>
      <c r="K375" s="759">
        <f t="shared" si="37"/>
        <v>0.36756430822225755</v>
      </c>
      <c r="L375" s="759">
        <f t="shared" si="37"/>
        <v>0.4249446457276061</v>
      </c>
      <c r="M375" s="759">
        <f t="shared" si="37"/>
        <v>0.48235387697638638</v>
      </c>
      <c r="N375" s="759">
        <f t="shared" si="37"/>
        <v>0.5397640750891517</v>
      </c>
      <c r="O375" s="759">
        <f t="shared" si="37"/>
        <v>0.59714441259450013</v>
      </c>
      <c r="P375" s="759">
        <f t="shared" si="37"/>
        <v>0.65458325709904552</v>
      </c>
      <c r="Q375" s="759">
        <f t="shared" si="37"/>
        <v>0.70942841878800755</v>
      </c>
      <c r="R375" s="759">
        <f t="shared" si="37"/>
        <v>0.7642879824290757</v>
      </c>
      <c r="S375" s="759">
        <f t="shared" si="37"/>
        <v>0.81913207369912899</v>
      </c>
      <c r="T375" s="759">
        <f t="shared" si="37"/>
        <v>0.87397723538809102</v>
      </c>
      <c r="U375" s="759">
        <f t="shared" si="37"/>
        <v>0.92888211566609846</v>
      </c>
      <c r="V375" s="759">
        <f t="shared" si="37"/>
        <v>0.9604395976553789</v>
      </c>
      <c r="W375" s="759">
        <f t="shared" si="37"/>
        <v>0.97757318477608324</v>
      </c>
      <c r="X375" s="759">
        <f t="shared" si="37"/>
        <v>0.99470677189678813</v>
      </c>
      <c r="Y375" s="759">
        <f t="shared" si="37"/>
        <v>1.0118403590174925</v>
      </c>
      <c r="Z375" s="759">
        <f t="shared" si="37"/>
        <v>1.0289891866706138</v>
      </c>
      <c r="AA375" s="759">
        <f t="shared" si="37"/>
        <v>1.0461227737913186</v>
      </c>
      <c r="AB375" s="759">
        <f t="shared" si="37"/>
        <v>1.0632716332989851</v>
      </c>
      <c r="AC375" s="759">
        <f t="shared" si="37"/>
        <v>1.080405220419689</v>
      </c>
      <c r="AD375" s="759">
        <f t="shared" si="37"/>
        <v>1.097538807540394</v>
      </c>
      <c r="AE375" s="759">
        <f t="shared" si="37"/>
        <v>1.1146876351935151</v>
      </c>
      <c r="AF375" s="759">
        <f t="shared" si="37"/>
        <v>1.1318212223142197</v>
      </c>
      <c r="AG375" s="759">
        <f t="shared" si="37"/>
        <v>1.1489548094349242</v>
      </c>
      <c r="AH375" s="760">
        <f t="shared" si="37"/>
        <v>1.166103668942591</v>
      </c>
      <c r="AI375" s="40"/>
      <c r="AJ375" s="40"/>
      <c r="AK375" s="40"/>
      <c r="AL375" s="40"/>
      <c r="AM375" s="40"/>
    </row>
    <row r="376" spans="2:39" ht="21.9" customHeight="1" x14ac:dyDescent="0.25">
      <c r="B376" s="548" t="s">
        <v>312</v>
      </c>
      <c r="C376" s="1331" t="s">
        <v>18</v>
      </c>
      <c r="D376" s="1331"/>
      <c r="E376" s="197" t="s">
        <v>24</v>
      </c>
      <c r="F376" s="197" t="s">
        <v>42</v>
      </c>
      <c r="G376" s="459">
        <v>2021</v>
      </c>
      <c r="H376" s="459">
        <v>2022</v>
      </c>
      <c r="I376" s="459">
        <v>2023</v>
      </c>
      <c r="J376" s="459">
        <v>2024</v>
      </c>
      <c r="K376" s="459">
        <v>2025</v>
      </c>
      <c r="L376" s="459">
        <v>2026</v>
      </c>
      <c r="M376" s="459">
        <v>2027</v>
      </c>
      <c r="N376" s="459">
        <v>2028</v>
      </c>
      <c r="O376" s="459">
        <v>2029</v>
      </c>
      <c r="P376" s="459">
        <v>2030</v>
      </c>
      <c r="Q376" s="459">
        <v>2031</v>
      </c>
      <c r="R376" s="459">
        <v>2032</v>
      </c>
      <c r="S376" s="459">
        <v>2033</v>
      </c>
      <c r="T376" s="459">
        <v>2034</v>
      </c>
      <c r="U376" s="459">
        <v>2035</v>
      </c>
      <c r="V376" s="459">
        <v>2036</v>
      </c>
      <c r="W376" s="459">
        <v>2037</v>
      </c>
      <c r="X376" s="459">
        <v>2038</v>
      </c>
      <c r="Y376" s="459">
        <v>2039</v>
      </c>
      <c r="Z376" s="459">
        <v>2040</v>
      </c>
      <c r="AA376" s="459">
        <v>2041</v>
      </c>
      <c r="AB376" s="459">
        <v>2042</v>
      </c>
      <c r="AC376" s="459">
        <v>2043</v>
      </c>
      <c r="AD376" s="459">
        <v>2044</v>
      </c>
      <c r="AE376" s="459">
        <v>2045</v>
      </c>
      <c r="AF376" s="459">
        <v>2046</v>
      </c>
      <c r="AG376" s="459">
        <v>2047</v>
      </c>
      <c r="AH376" s="459">
        <v>2048</v>
      </c>
      <c r="AI376" s="247"/>
      <c r="AJ376" s="247"/>
      <c r="AK376" s="247"/>
      <c r="AL376" s="247"/>
      <c r="AM376" s="247"/>
    </row>
    <row r="377" spans="2:39" ht="21.9" customHeight="1" x14ac:dyDescent="0.25">
      <c r="B377" s="1332" t="s">
        <v>315</v>
      </c>
      <c r="C377" s="217" t="s">
        <v>316</v>
      </c>
      <c r="D377" s="217" t="s">
        <v>276</v>
      </c>
      <c r="E377" s="217" t="s">
        <v>19</v>
      </c>
      <c r="F377" s="217" t="s">
        <v>40</v>
      </c>
      <c r="G377" s="749"/>
      <c r="H377" s="749"/>
      <c r="I377" s="749">
        <f>$H$21*$E$8*'Traffic Data'!AK27*annualizationFactor</f>
        <v>1242.53008</v>
      </c>
      <c r="J377" s="749">
        <f>$H$21*$E$8*'Traffic Data'!AL27*annualizationFactor</f>
        <v>1299.0302524814999</v>
      </c>
      <c r="K377" s="749">
        <f>$H$21*$E$8*'Traffic Data'!AM27*annualizationFactor</f>
        <v>1378.6337186380003</v>
      </c>
      <c r="L377" s="749">
        <f>$H$21*$E$8*'Traffic Data'!AN27*annualizationFactor</f>
        <v>1495.7266470520001</v>
      </c>
      <c r="M377" s="749">
        <f>$H$21*$E$8*'Traffic Data'!AO27*annualizationFactor</f>
        <v>1612.8622874375001</v>
      </c>
      <c r="N377" s="749">
        <f>$H$21*$E$8*'Traffic Data'!AP27*annualizationFactor</f>
        <v>1729.9979278229998</v>
      </c>
      <c r="O377" s="749">
        <f>$H$21*$E$8*'Traffic Data'!AQ27*annualizationFactor</f>
        <v>1847.0908562369996</v>
      </c>
      <c r="P377" s="749">
        <f>$H$21*$E$8*'Traffic Data'!AR27*annualizationFactor</f>
        <v>1964.2692085939996</v>
      </c>
      <c r="Q377" s="749">
        <f>$H$21*$E$8*'Traffic Data'!AS27*annualizationFactor</f>
        <v>2080.0613633305002</v>
      </c>
      <c r="R377" s="749">
        <f>$H$21*$E$8*'Traffic Data'!AT27*annualizationFactor</f>
        <v>2195.8768155060002</v>
      </c>
      <c r="S377" s="749">
        <f>$H$21*$E$8*'Traffic Data'!AU27*annualizationFactor</f>
        <v>2311.6689702425006</v>
      </c>
      <c r="T377" s="749">
        <f>$H$21*$E$8*'Traffic Data'!AV27*annualizationFactor</f>
        <v>2427.461124979</v>
      </c>
      <c r="U377" s="749">
        <f>$H$21*$E$8*'Traffic Data'!AW27*annualizationFactor</f>
        <v>2543.3387036585</v>
      </c>
      <c r="V377" s="749">
        <f>$H$21*$E$8*'Traffic Data'!AX27*annualizationFactor</f>
        <v>2621.5986841660001</v>
      </c>
      <c r="W377" s="749">
        <f>$H$21*$E$8*'Traffic Data'!AY27*annualizationFactor</f>
        <v>2678.0988566475003</v>
      </c>
      <c r="X377" s="749">
        <f>$H$21*$E$8*'Traffic Data'!AZ27*annualizationFactor</f>
        <v>2734.5990291289995</v>
      </c>
      <c r="Y377" s="749">
        <f>$H$21*$E$8*'Traffic Data'!BA27*annualizationFactor</f>
        <v>2791.0992016104997</v>
      </c>
      <c r="Z377" s="749">
        <f>$H$21*$E$8*'Traffic Data'!BB27*annualizationFactor</f>
        <v>2847.6187886245002</v>
      </c>
      <c r="AA377" s="749">
        <f>$H$21*$E$8*'Traffic Data'!BC27*annualizationFactor</f>
        <v>2904.1189611060008</v>
      </c>
      <c r="AB377" s="749">
        <f>$H$21*$E$8*'Traffic Data'!BD27*annualizationFactor</f>
        <v>2960.6385481199991</v>
      </c>
      <c r="AC377" s="749">
        <f>$H$21*$E$8*'Traffic Data'!BE27*annualizationFactor</f>
        <v>3017.1387206015002</v>
      </c>
      <c r="AD377" s="749">
        <f>$H$21*$E$8*'Traffic Data'!BF27*annualizationFactor</f>
        <v>3073.6388930829999</v>
      </c>
      <c r="AE377" s="749">
        <f>$H$21*$E$8*'Traffic Data'!BG27*annualizationFactor</f>
        <v>3130.1584800969995</v>
      </c>
      <c r="AF377" s="749">
        <f>$H$21*$E$8*'Traffic Data'!BH27*annualizationFactor</f>
        <v>3186.6586525785001</v>
      </c>
      <c r="AG377" s="749">
        <f>$H$21*$E$8*'Traffic Data'!BI27*annualizationFactor</f>
        <v>3243.1588250599998</v>
      </c>
      <c r="AH377" s="750">
        <f>$H$21*$E$8*'Traffic Data'!BJ27*annualizationFactor</f>
        <v>3299.6784120739994</v>
      </c>
      <c r="AI377" s="40"/>
      <c r="AJ377" s="40"/>
      <c r="AK377" s="40"/>
      <c r="AL377" s="40"/>
      <c r="AM377" s="40"/>
    </row>
    <row r="378" spans="2:39" ht="21.9" customHeight="1" x14ac:dyDescent="0.25">
      <c r="B378" s="1332"/>
      <c r="C378" s="114" t="s">
        <v>276</v>
      </c>
      <c r="D378" s="114" t="s">
        <v>274</v>
      </c>
      <c r="E378" s="114" t="s">
        <v>19</v>
      </c>
      <c r="F378" s="114" t="s">
        <v>40</v>
      </c>
      <c r="G378" s="941"/>
      <c r="H378" s="941"/>
      <c r="I378" s="751">
        <f>$H$21*$E$8*'Traffic Data'!AK28*annualizationFactor</f>
        <v>39953.993175000003</v>
      </c>
      <c r="J378" s="751">
        <f>$H$21*$E$8*'Traffic Data'!AL28*annualizationFactor</f>
        <v>42062.972103629996</v>
      </c>
      <c r="K378" s="751">
        <f>$H$21*$E$8*'Traffic Data'!AM28*annualizationFactor</f>
        <v>45228.808140615001</v>
      </c>
      <c r="L378" s="751">
        <f>$H$21*$E$8*'Traffic Data'!AN28*annualizationFactor</f>
        <v>50459.229780480004</v>
      </c>
      <c r="M378" s="751">
        <f>$H$21*$E$8*'Traffic Data'!AO28*annualizationFactor</f>
        <v>55692.019064385007</v>
      </c>
      <c r="N378" s="751">
        <f>$H$21*$E$8*'Traffic Data'!AP28*annualizationFactor</f>
        <v>60924.512392784993</v>
      </c>
      <c r="O378" s="751">
        <f>$H$21*$E$8*'Traffic Data'!AQ28*annualizationFactor</f>
        <v>66154.93403265001</v>
      </c>
      <c r="P378" s="751">
        <f>$H$21*$E$8*'Traffic Data'!AR28*annualizationFactor</f>
        <v>71390.090960595</v>
      </c>
      <c r="Q378" s="751">
        <f>$H$21*$E$8*'Traffic Data'!AS28*annualizationFactor</f>
        <v>76671.712902825006</v>
      </c>
      <c r="R378" s="751">
        <f>$H$21*$E$8*'Traffic Data'!AT28*annualizationFactor</f>
        <v>81955.11057808499</v>
      </c>
      <c r="S378" s="751">
        <f>$H$21*$E$8*'Traffic Data'!AU28*annualizationFactor</f>
        <v>87236.732520314996</v>
      </c>
      <c r="T378" s="751">
        <f>$H$21*$E$8*'Traffic Data'!AV28*annualizationFactor</f>
        <v>92518.354462545001</v>
      </c>
      <c r="U378" s="751">
        <f>$H$21*$E$8*'Traffic Data'!AW28*annualizationFactor</f>
        <v>97804.711692855009</v>
      </c>
      <c r="V378" s="751">
        <f>$H$21*$E$8*'Traffic Data'!AX28*annualizationFactor</f>
        <v>101019.38038816501</v>
      </c>
      <c r="W378" s="751">
        <f>$H$21*$E$8*'Traffic Data'!AY28*annualizationFactor</f>
        <v>103128.35931679499</v>
      </c>
      <c r="X378" s="751">
        <f>$H$21*$E$8*'Traffic Data'!AZ28*annualizationFactor</f>
        <v>105237.33824542501</v>
      </c>
      <c r="Y378" s="751">
        <f>$H$21*$E$8*'Traffic Data'!BA28*annualizationFactor</f>
        <v>107346.31717405503</v>
      </c>
      <c r="Z378" s="751">
        <f>$H$21*$E$8*'Traffic Data'!BB28*annualizationFactor</f>
        <v>109456.47992470501</v>
      </c>
      <c r="AA378" s="751">
        <f>$H$21*$E$8*'Traffic Data'!BC28*annualizationFactor</f>
        <v>111565.45885333499</v>
      </c>
      <c r="AB378" s="751">
        <f>$H$21*$E$8*'Traffic Data'!BD28*annualizationFactor</f>
        <v>113675.621603985</v>
      </c>
      <c r="AC378" s="751">
        <f>$H$21*$E$8*'Traffic Data'!BE28*annualizationFactor</f>
        <v>115784.600532615</v>
      </c>
      <c r="AD378" s="751">
        <f>$H$21*$E$8*'Traffic Data'!BF28*annualizationFactor</f>
        <v>117893.57946124501</v>
      </c>
      <c r="AE378" s="751">
        <f>$H$21*$E$8*'Traffic Data'!BG28*annualizationFactor</f>
        <v>120003.74221189503</v>
      </c>
      <c r="AF378" s="751">
        <f>$H$21*$E$8*'Traffic Data'!BH28*annualizationFactor</f>
        <v>122112.721140525</v>
      </c>
      <c r="AG378" s="751">
        <f>$H$21*$E$8*'Traffic Data'!BI28*annualizationFactor</f>
        <v>124221.70006915501</v>
      </c>
      <c r="AH378" s="752">
        <f>$H$21*$E$8*'Traffic Data'!BJ28*annualizationFactor</f>
        <v>126331.86281980501</v>
      </c>
      <c r="AI378" s="40"/>
      <c r="AJ378" s="40"/>
      <c r="AK378" s="40"/>
      <c r="AL378" s="40"/>
      <c r="AM378" s="40"/>
    </row>
    <row r="379" spans="2:39" ht="21.9" customHeight="1" x14ac:dyDescent="0.25">
      <c r="B379" s="1332"/>
      <c r="C379" s="114" t="s">
        <v>274</v>
      </c>
      <c r="D379" s="114" t="s">
        <v>317</v>
      </c>
      <c r="E379" s="250" t="s">
        <v>19</v>
      </c>
      <c r="F379" s="114" t="s">
        <v>40</v>
      </c>
      <c r="G379" s="753"/>
      <c r="H379" s="753"/>
      <c r="I379" s="751">
        <f>$H$21*$E$8*'Traffic Data'!AK29*annualizationFactor</f>
        <v>931.89756</v>
      </c>
      <c r="J379" s="751">
        <f>$H$21*$E$8*'Traffic Data'!AL29*annualizationFactor</f>
        <v>970.81204894299992</v>
      </c>
      <c r="K379" s="751">
        <f>$H$21*$E$8*'Traffic Data'!AM29*annualizationFactor</f>
        <v>1018.9756211689999</v>
      </c>
      <c r="L379" s="751">
        <f>$H$21*$E$8*'Traffic Data'!AN29*annualizationFactor</f>
        <v>1083.820159719</v>
      </c>
      <c r="M379" s="751">
        <f>$H$21*$E$8*'Traffic Data'!AO29*annualizationFactor</f>
        <v>1148.6879957080002</v>
      </c>
      <c r="N379" s="751">
        <f>$H$21*$E$8*'Traffic Data'!AP29*annualizationFactor</f>
        <v>1213.5480658840002</v>
      </c>
      <c r="O379" s="751">
        <f>$H$21*$E$8*'Traffic Data'!AQ29*annualizationFactor</f>
        <v>1278.3926044340003</v>
      </c>
      <c r="P379" s="751">
        <f>$H$21*$E$8*'Traffic Data'!AR29*annualizationFactor</f>
        <v>1343.2837378620006</v>
      </c>
      <c r="Q379" s="751">
        <f>$H$21*$E$8*'Traffic Data'!AS29*annualizationFactor</f>
        <v>1406.1557599099999</v>
      </c>
      <c r="R379" s="751">
        <f>$H$21*$E$8*'Traffic Data'!AT29*annualizationFactor</f>
        <v>1469.0510793969997</v>
      </c>
      <c r="S379" s="751">
        <f>$H$21*$E$8*'Traffic Data'!AU29*annualizationFactor</f>
        <v>1531.9231014449999</v>
      </c>
      <c r="T379" s="751">
        <f>$H$21*$E$8*'Traffic Data'!AV29*annualizationFactor</f>
        <v>1594.7951234930001</v>
      </c>
      <c r="U379" s="751">
        <f>$H$21*$E$8*'Traffic Data'!AW29*annualizationFactor</f>
        <v>1657.713740419</v>
      </c>
      <c r="V379" s="751">
        <f>$H$21*$E$8*'Traffic Data'!AX29*annualizationFactor</f>
        <v>1703.8814987039998</v>
      </c>
      <c r="W379" s="751">
        <f>$H$21*$E$8*'Traffic Data'!AY29*annualizationFactor</f>
        <v>1742.7959876470002</v>
      </c>
      <c r="X379" s="751">
        <f>$H$21*$E$8*'Traffic Data'!AZ29*annualizationFactor</f>
        <v>1781.7104765899996</v>
      </c>
      <c r="Y379" s="751">
        <f>$H$21*$E$8*'Traffic Data'!BA29*annualizationFactor</f>
        <v>1820.624965533</v>
      </c>
      <c r="Z379" s="751">
        <f>$H$21*$E$8*'Traffic Data'!BB29*annualizationFactor</f>
        <v>1859.5549861019999</v>
      </c>
      <c r="AA379" s="751">
        <f>$H$21*$E$8*'Traffic Data'!BC29*annualizationFactor</f>
        <v>1898.4694750450001</v>
      </c>
      <c r="AB379" s="751">
        <f>$H$21*$E$8*'Traffic Data'!BD29*annualizationFactor</f>
        <v>1937.3994956140002</v>
      </c>
      <c r="AC379" s="751">
        <f>$H$21*$E$8*'Traffic Data'!BE29*annualizationFactor</f>
        <v>1976.3139845570006</v>
      </c>
      <c r="AD379" s="751">
        <f>$H$21*$E$8*'Traffic Data'!BF29*annualizationFactor</f>
        <v>2015.2284734999996</v>
      </c>
      <c r="AE379" s="751">
        <f>$H$21*$E$8*'Traffic Data'!BG29*annualizationFactor</f>
        <v>2054.158494069</v>
      </c>
      <c r="AF379" s="751">
        <f>$H$21*$E$8*'Traffic Data'!BH29*annualizationFactor</f>
        <v>2093.0729830120003</v>
      </c>
      <c r="AG379" s="751">
        <f>$H$21*$E$8*'Traffic Data'!BI29*annualizationFactor</f>
        <v>2131.9874719549994</v>
      </c>
      <c r="AH379" s="752">
        <f>$H$21*$E$8*'Traffic Data'!BJ29*annualizationFactor</f>
        <v>2170.917492524</v>
      </c>
      <c r="AI379" s="40"/>
      <c r="AJ379" s="40"/>
      <c r="AK379" s="40"/>
      <c r="AL379" s="40"/>
      <c r="AM379" s="40"/>
    </row>
    <row r="380" spans="2:39" ht="21.9" customHeight="1" x14ac:dyDescent="0.25">
      <c r="B380" s="1332" t="s">
        <v>274</v>
      </c>
      <c r="C380" s="217" t="s">
        <v>275</v>
      </c>
      <c r="D380" s="217" t="s">
        <v>318</v>
      </c>
      <c r="E380" s="114" t="s">
        <v>19</v>
      </c>
      <c r="F380" s="217" t="s">
        <v>40</v>
      </c>
      <c r="G380" s="941"/>
      <c r="H380" s="941"/>
      <c r="I380" s="749">
        <f>$H$21*$F$8*'Traffic Data'!AK30*annualizationFactor</f>
        <v>7698.9304000000002</v>
      </c>
      <c r="J380" s="749">
        <f>$H$21*$F$8*'Traffic Data'!AL30*annualizationFactor</f>
        <v>8477.715704612001</v>
      </c>
      <c r="K380" s="749">
        <f>$H$21*$F$8*'Traffic Data'!AM30*annualizationFactor</f>
        <v>10218.867309223999</v>
      </c>
      <c r="L380" s="749">
        <f>$H$21*$F$8*'Traffic Data'!AN30*annualizationFactor</f>
        <v>13716.106443424002</v>
      </c>
      <c r="M380" s="749">
        <f>$H$21*$F$8*'Traffic Data'!AO30*annualizationFactor</f>
        <v>17215.501278135998</v>
      </c>
      <c r="N380" s="749">
        <f>$H$21*$F$8*'Traffic Data'!AP30*annualizationFactor</f>
        <v>20714.511166327997</v>
      </c>
      <c r="O380" s="749">
        <f>$H$21*$F$8*'Traffic Data'!AQ30*annualizationFactor</f>
        <v>24211.750300527998</v>
      </c>
      <c r="P380" s="749">
        <f>$H$21*$F$8*'Traffic Data'!AR30*annualizationFactor</f>
        <v>27713.300835752001</v>
      </c>
      <c r="Q380" s="749">
        <f>$H$21*$F$8*'Traffic Data'!AS30*annualizationFactor</f>
        <v>31149.179494663997</v>
      </c>
      <c r="R380" s="749">
        <f>$H$21*$F$8*'Traffic Data'!AT30*annualizationFactor</f>
        <v>34586.790412915987</v>
      </c>
      <c r="S380" s="749">
        <f>$H$21*$F$8*'Traffic Data'!AU30*annualizationFactor</f>
        <v>38022.669071827993</v>
      </c>
      <c r="T380" s="749">
        <f>$H$21*$F$8*'Traffic Data'!AV30*annualizationFactor</f>
        <v>41458.54773074</v>
      </c>
      <c r="U380" s="749">
        <f>$H$21*$F$8*'Traffic Data'!AW30*annualizationFactor</f>
        <v>44898.737790676001</v>
      </c>
      <c r="V380" s="749">
        <f>$H$21*$F$8*'Traffic Data'!AX30*annualizationFactor</f>
        <v>46576.373219487992</v>
      </c>
      <c r="W380" s="749">
        <f>$H$21*$F$8*'Traffic Data'!AY30*annualizationFactor</f>
        <v>47355.158524099999</v>
      </c>
      <c r="X380" s="749">
        <f>$H$21*$F$8*'Traffic Data'!AZ30*annualizationFactor</f>
        <v>48133.943828711999</v>
      </c>
      <c r="Y380" s="749">
        <f>$H$21*$F$8*'Traffic Data'!BA30*annualizationFactor</f>
        <v>48912.729133323985</v>
      </c>
      <c r="Z380" s="749">
        <f>$H$21*$F$8*'Traffic Data'!BB30*annualizationFactor</f>
        <v>49692.707772147995</v>
      </c>
      <c r="AA380" s="749">
        <f>$H$21*$F$8*'Traffic Data'!BC30*annualizationFactor</f>
        <v>50471.493076759994</v>
      </c>
      <c r="AB380" s="749">
        <f>$H$21*$F$8*'Traffic Data'!BD30*annualizationFactor</f>
        <v>51251.471715583983</v>
      </c>
      <c r="AC380" s="749">
        <f>$H$21*$F$8*'Traffic Data'!BE30*annualizationFactor</f>
        <v>52030.25702019599</v>
      </c>
      <c r="AD380" s="749">
        <f>$H$21*$F$8*'Traffic Data'!BF30*annualizationFactor</f>
        <v>52809.042324807997</v>
      </c>
      <c r="AE380" s="749">
        <f>$H$21*$F$8*'Traffic Data'!BG30*annualizationFactor</f>
        <v>53589.020963632</v>
      </c>
      <c r="AF380" s="749">
        <f>$H$21*$F$8*'Traffic Data'!BH30*annualizationFactor</f>
        <v>54367.806268244</v>
      </c>
      <c r="AG380" s="749">
        <f>$H$21*$F$8*'Traffic Data'!BI30*annualizationFactor</f>
        <v>55146.591572855992</v>
      </c>
      <c r="AH380" s="750">
        <f>$H$21*$F$8*'Traffic Data'!BJ30*annualizationFactor</f>
        <v>55926.570211679988</v>
      </c>
      <c r="AI380" s="40"/>
      <c r="AJ380" s="40"/>
      <c r="AK380" s="40"/>
      <c r="AL380" s="40"/>
      <c r="AM380" s="40"/>
    </row>
    <row r="381" spans="2:39" ht="21.9" customHeight="1" x14ac:dyDescent="0.25">
      <c r="B381" s="1332"/>
      <c r="C381" s="114" t="s">
        <v>318</v>
      </c>
      <c r="D381" s="114" t="s">
        <v>308</v>
      </c>
      <c r="E381" s="114" t="s">
        <v>19</v>
      </c>
      <c r="F381" s="114" t="s">
        <v>40</v>
      </c>
      <c r="G381" s="941"/>
      <c r="H381" s="941"/>
      <c r="I381" s="751">
        <f>$H$21*$F$8*'Traffic Data'!AK31*annualizationFactor</f>
        <v>891.76800000000003</v>
      </c>
      <c r="J381" s="751">
        <f>$H$21*$F$8*'Traffic Data'!AL31*annualizationFactor</f>
        <v>984.83885360000022</v>
      </c>
      <c r="K381" s="751">
        <f>$H$21*$F$8*'Traffic Data'!AM31*annualizationFactor</f>
        <v>1113.3203281999999</v>
      </c>
      <c r="L381" s="751">
        <f>$H$21*$F$8*'Traffic Data'!AN31*annualizationFactor</f>
        <v>1349.2672782</v>
      </c>
      <c r="M381" s="751">
        <f>$H$21*$F$8*'Traffic Data'!AO31*annualizationFactor</f>
        <v>1585.2811108000003</v>
      </c>
      <c r="N381" s="751">
        <f>$H$21*$F$8*'Traffic Data'!AP31*annualizationFactor</f>
        <v>1821.3395318000003</v>
      </c>
      <c r="O381" s="751">
        <f>$H$21*$F$8*'Traffic Data'!AQ31*annualizationFactor</f>
        <v>2057.2864817999998</v>
      </c>
      <c r="P381" s="751">
        <f>$H$21*$F$8*'Traffic Data'!AR31*annualizationFactor</f>
        <v>2293.4489424000003</v>
      </c>
      <c r="Q381" s="751">
        <f>$H$21*$F$8*'Traffic Data'!AS31*annualizationFactor</f>
        <v>2633.0193340000001</v>
      </c>
      <c r="R381" s="751">
        <f>$H$21*$F$8*'Traffic Data'!AT31*annualizationFactor</f>
        <v>2972.6640395999998</v>
      </c>
      <c r="S381" s="751">
        <f>$H$21*$F$8*'Traffic Data'!AU31*annualizationFactor</f>
        <v>3312.1675485999999</v>
      </c>
      <c r="T381" s="751">
        <f>$H$21*$F$8*'Traffic Data'!AV31*annualizationFactor</f>
        <v>3651.7379402000001</v>
      </c>
      <c r="U381" s="751">
        <f>$H$21*$F$8*'Traffic Data'!AW31*annualizationFactor</f>
        <v>3991.5238424000004</v>
      </c>
      <c r="V381" s="751">
        <f>$H$21*$F$8*'Traffic Data'!AX31*annualizationFactor</f>
        <v>4223.4132479999998</v>
      </c>
      <c r="W381" s="751">
        <f>$H$21*$F$8*'Traffic Data'!AY31*annualizationFactor</f>
        <v>4316.4841016</v>
      </c>
      <c r="X381" s="751">
        <f>$H$21*$F$8*'Traffic Data'!AZ31*annualizationFactor</f>
        <v>4409.5549552000002</v>
      </c>
      <c r="Y381" s="751">
        <f>$H$21*$F$8*'Traffic Data'!BA31*annualizationFactor</f>
        <v>4502.6258088000004</v>
      </c>
      <c r="Z381" s="751">
        <f>$H$21*$F$8*'Traffic Data'!BB31*annualizationFactor</f>
        <v>4595.7635450000007</v>
      </c>
      <c r="AA381" s="751">
        <f>$H$21*$F$8*'Traffic Data'!BC31*annualizationFactor</f>
        <v>4688.8343986</v>
      </c>
      <c r="AB381" s="751">
        <f>$H$21*$F$8*'Traffic Data'!BD31*annualizationFactor</f>
        <v>4781.9721348000012</v>
      </c>
      <c r="AC381" s="751">
        <f>$H$21*$F$8*'Traffic Data'!BE31*annualizationFactor</f>
        <v>4875.0429884000005</v>
      </c>
      <c r="AD381" s="751">
        <f>$H$21*$F$8*'Traffic Data'!BF31*annualizationFactor</f>
        <v>4968.1138420000007</v>
      </c>
      <c r="AE381" s="751">
        <f>$H$21*$F$8*'Traffic Data'!BG31*annualizationFactor</f>
        <v>5061.2515782</v>
      </c>
      <c r="AF381" s="751">
        <f>$H$21*$F$8*'Traffic Data'!BH31*annualizationFactor</f>
        <v>5154.3224317999993</v>
      </c>
      <c r="AG381" s="751">
        <f>$H$21*$F$8*'Traffic Data'!BI31*annualizationFactor</f>
        <v>5247.3932854000004</v>
      </c>
      <c r="AH381" s="752">
        <f>$H$21*$F$8*'Traffic Data'!BJ31*annualizationFactor</f>
        <v>5340.5310215999998</v>
      </c>
      <c r="AI381" s="40"/>
      <c r="AJ381" s="40"/>
      <c r="AK381" s="40"/>
      <c r="AL381" s="40"/>
      <c r="AM381" s="40"/>
    </row>
    <row r="382" spans="2:39" ht="21.9" customHeight="1" x14ac:dyDescent="0.25">
      <c r="B382" s="1332"/>
      <c r="C382" s="250" t="s">
        <v>308</v>
      </c>
      <c r="D382" s="250" t="s">
        <v>319</v>
      </c>
      <c r="E382" s="114" t="s">
        <v>19</v>
      </c>
      <c r="F382" s="114" t="s">
        <v>40</v>
      </c>
      <c r="G382" s="941"/>
      <c r="H382" s="941"/>
      <c r="I382" s="751">
        <f>$H$21*$F$8*'Traffic Data'!AK32*annualizationFactor</f>
        <v>11949.691200000001</v>
      </c>
      <c r="J382" s="751">
        <f>$H$21*$F$8*'Traffic Data'!AL32*annualizationFactor</f>
        <v>12284.322385904001</v>
      </c>
      <c r="K382" s="751">
        <f>$H$21*$F$8*'Traffic Data'!AM32*annualizationFactor</f>
        <v>12761.194729392002</v>
      </c>
      <c r="L382" s="751">
        <f>$H$21*$F$8*'Traffic Data'!AN32*annualizationFactor</f>
        <v>13430.496933504</v>
      </c>
      <c r="M382" s="751">
        <f>$H$21*$F$8*'Traffic Data'!AO32*annualizationFactor</f>
        <v>14100.077963743997</v>
      </c>
      <c r="N382" s="751">
        <f>$H$21*$F$8*'Traffic Data'!AP32*annualizationFactor</f>
        <v>14769.599245528007</v>
      </c>
      <c r="O382" s="751">
        <f>$H$21*$F$8*'Traffic Data'!AQ32*annualizationFactor</f>
        <v>15438.901449640005</v>
      </c>
      <c r="P382" s="751">
        <f>$H$21*$F$8*'Traffic Data'!AR32*annualizationFactor</f>
        <v>16108.741389856004</v>
      </c>
      <c r="Q382" s="751">
        <f>$H$21*$F$8*'Traffic Data'!AS32*annualizationFactor</f>
        <v>16784.934582559999</v>
      </c>
      <c r="R382" s="751">
        <f>$H$21*$F$8*'Traffic Data'!AT32*annualizationFactor</f>
        <v>17461.326936784</v>
      </c>
      <c r="S382" s="751">
        <f>$H$21*$F$8*'Traffic Data'!AU32*annualizationFactor</f>
        <v>18137.460381032</v>
      </c>
      <c r="T382" s="751">
        <f>$H$21*$F$8*'Traffic Data'!AV32*annualizationFactor</f>
        <v>18813.653573736003</v>
      </c>
      <c r="U382" s="751">
        <f>$H$21*$F$8*'Traffic Data'!AW32*annualizationFactor</f>
        <v>19490.384502544002</v>
      </c>
      <c r="V382" s="751">
        <f>$H$21*$F$8*'Traffic Data'!AX32*annualizationFactor</f>
        <v>19973.829176192001</v>
      </c>
      <c r="W382" s="751">
        <f>$H$21*$F$8*'Traffic Data'!AY32*annualizationFactor</f>
        <v>20308.460362096001</v>
      </c>
      <c r="X382" s="751">
        <f>$H$21*$F$8*'Traffic Data'!AZ32*annualizationFactor</f>
        <v>20643.091548</v>
      </c>
      <c r="Y382" s="751">
        <f>$H$21*$F$8*'Traffic Data'!BA32*annualizationFactor</f>
        <v>20977.722733904</v>
      </c>
      <c r="Z382" s="751">
        <f>$H$21*$F$8*'Traffic Data'!BB32*annualizationFactor</f>
        <v>21312.513249023999</v>
      </c>
      <c r="AA382" s="751">
        <f>$H$21*$F$8*'Traffic Data'!BC32*annualizationFactor</f>
        <v>21647.144434928003</v>
      </c>
      <c r="AB382" s="751">
        <f>$H$21*$F$8*'Traffic Data'!BD32*annualizationFactor</f>
        <v>21981.934950048006</v>
      </c>
      <c r="AC382" s="751">
        <f>$H$21*$F$8*'Traffic Data'!BE32*annualizationFactor</f>
        <v>22316.566135952002</v>
      </c>
      <c r="AD382" s="751">
        <f>$H$21*$F$8*'Traffic Data'!BF32*annualizationFactor</f>
        <v>22651.197321856005</v>
      </c>
      <c r="AE382" s="751">
        <f>$H$21*$F$8*'Traffic Data'!BG32*annualizationFactor</f>
        <v>22985.987836976001</v>
      </c>
      <c r="AF382" s="751">
        <f>$H$21*$F$8*'Traffic Data'!BH32*annualizationFactor</f>
        <v>23320.619022879997</v>
      </c>
      <c r="AG382" s="751">
        <f>$H$21*$F$8*'Traffic Data'!BI32*annualizationFactor</f>
        <v>23655.250208784</v>
      </c>
      <c r="AH382" s="752">
        <f>$H$21*$F$8*'Traffic Data'!BJ32*annualizationFactor</f>
        <v>23990.040723904</v>
      </c>
      <c r="AI382" s="40"/>
      <c r="AJ382" s="40"/>
      <c r="AK382" s="40"/>
      <c r="AL382" s="40"/>
      <c r="AM382" s="40"/>
    </row>
    <row r="383" spans="2:39" ht="21.9" customHeight="1" x14ac:dyDescent="0.25">
      <c r="B383" s="469" t="s">
        <v>320</v>
      </c>
      <c r="C383" s="114" t="s">
        <v>318</v>
      </c>
      <c r="D383" s="114" t="s">
        <v>308</v>
      </c>
      <c r="E383" s="273" t="s">
        <v>19</v>
      </c>
      <c r="F383" s="217" t="s">
        <v>40</v>
      </c>
      <c r="G383" s="754"/>
      <c r="H383" s="754"/>
      <c r="I383" s="749">
        <f>$H$21*$G$8*'Traffic Data'!AK33*annualizationFactor</f>
        <v>34.927579999999999</v>
      </c>
      <c r="J383" s="749">
        <f>$H$21*$G$8*'Traffic Data'!AL33*annualizationFactor</f>
        <v>264.71612881999999</v>
      </c>
      <c r="K383" s="749">
        <f>$H$21*$G$8*'Traffic Data'!AM33*annualizationFactor</f>
        <v>1533.6351102199999</v>
      </c>
      <c r="L383" s="749">
        <f>$H$21*$G$8*'Traffic Data'!AN33*annualizationFactor</f>
        <v>3532.3309481400006</v>
      </c>
      <c r="M383" s="749">
        <f>$H$21*$G$8*'Traffic Data'!AO33*annualizationFactor</f>
        <v>5532.2841789399999</v>
      </c>
      <c r="N383" s="749">
        <f>$H$21*$G$8*'Traffic Data'!AP33*annualizationFactor</f>
        <v>7532.3421924800014</v>
      </c>
      <c r="O383" s="749">
        <f>$H$21*$G$8*'Traffic Data'!AQ33*annualizationFactor</f>
        <v>9531.0380304000009</v>
      </c>
      <c r="P383" s="749">
        <f>$H$21*$G$8*'Traffic Data'!AR33*annualizationFactor</f>
        <v>11532.388364400002</v>
      </c>
      <c r="Q383" s="749">
        <f>$H$21*$G$8*'Traffic Data'!AS33*annualizationFactor</f>
        <v>12656.14832332</v>
      </c>
      <c r="R383" s="749">
        <f>$H$21*$G$8*'Traffic Data'!AT33*annualizationFactor</f>
        <v>13780.327413200001</v>
      </c>
      <c r="S383" s="749">
        <f>$H$21*$G$8*'Traffic Data'!AU33*annualizationFactor</f>
        <v>14904.40172034</v>
      </c>
      <c r="T383" s="749">
        <f>$H$21*$G$8*'Traffic Data'!AV33*annualizationFactor</f>
        <v>16028.161679259998</v>
      </c>
      <c r="U383" s="749">
        <f>$H$21*$G$8*'Traffic Data'!AW33*annualizationFactor</f>
        <v>17154.576134260005</v>
      </c>
      <c r="V383" s="749">
        <f>$H$21*$G$8*'Traffic Data'!AX33*annualizationFactor</f>
        <v>17547.476481680009</v>
      </c>
      <c r="W383" s="749">
        <f>$H$21*$G$8*'Traffic Data'!AY33*annualizationFactor</f>
        <v>17777.265030500002</v>
      </c>
      <c r="X383" s="749">
        <f>$H$21*$G$8*'Traffic Data'!AZ33*annualizationFactor</f>
        <v>18007.053579320003</v>
      </c>
      <c r="Y383" s="749">
        <f>$H$21*$G$8*'Traffic Data'!BA33*annualizationFactor</f>
        <v>18236.842128140004</v>
      </c>
      <c r="Z383" s="749">
        <f>$H$21*$G$8*'Traffic Data'!BB33*annualizationFactor</f>
        <v>18467.538794040003</v>
      </c>
      <c r="AA383" s="749">
        <f>$H$21*$G$8*'Traffic Data'!BC33*annualizationFactor</f>
        <v>18697.327342860004</v>
      </c>
      <c r="AB383" s="749">
        <f>$H$21*$G$8*'Traffic Data'!BD33*annualizationFactor</f>
        <v>18928.024008760007</v>
      </c>
      <c r="AC383" s="749">
        <f>$H$21*$G$8*'Traffic Data'!BE33*annualizationFactor</f>
        <v>19157.81255758</v>
      </c>
      <c r="AD383" s="749">
        <f>$H$21*$G$8*'Traffic Data'!BF33*annualizationFactor</f>
        <v>19387.601106400005</v>
      </c>
      <c r="AE383" s="749">
        <f>$H$21*$G$8*'Traffic Data'!BG33*annualizationFactor</f>
        <v>19618.297772300008</v>
      </c>
      <c r="AF383" s="749">
        <f>$H$21*$G$8*'Traffic Data'!BH33*annualizationFactor</f>
        <v>19848.086321120001</v>
      </c>
      <c r="AG383" s="749">
        <f>$H$21*$G$8*'Traffic Data'!BI33*annualizationFactor</f>
        <v>20077.874869940002</v>
      </c>
      <c r="AH383" s="750">
        <f>$H$21*$G$8*'Traffic Data'!BJ33*annualizationFactor</f>
        <v>20308.571535840005</v>
      </c>
      <c r="AI383" s="40"/>
      <c r="AJ383" s="40"/>
      <c r="AK383" s="40"/>
      <c r="AL383" s="40"/>
      <c r="AM383" s="40"/>
    </row>
    <row r="384" spans="2:39" ht="21.9" customHeight="1" x14ac:dyDescent="0.25">
      <c r="B384" s="1332" t="s">
        <v>308</v>
      </c>
      <c r="C384" s="217" t="s">
        <v>276</v>
      </c>
      <c r="D384" s="217" t="s">
        <v>320</v>
      </c>
      <c r="E384" s="114" t="s">
        <v>19</v>
      </c>
      <c r="F384" s="217" t="s">
        <v>40</v>
      </c>
      <c r="G384" s="941"/>
      <c r="H384" s="941"/>
      <c r="I384" s="749">
        <f>$H$21*$H$8*'Traffic Data'!AK34*annualizationFactor</f>
        <v>100.32389999999999</v>
      </c>
      <c r="J384" s="749">
        <f>$H$21*$H$8*'Traffic Data'!AL34*annualizationFactor</f>
        <v>222.96986774999999</v>
      </c>
      <c r="K384" s="749">
        <f>$H$21*$H$8*'Traffic Data'!AM34*annualizationFactor</f>
        <v>942.39255465000008</v>
      </c>
      <c r="L384" s="749">
        <f>$H$21*$H$8*'Traffic Data'!AN34*annualizationFactor</f>
        <v>2118.4394723999999</v>
      </c>
      <c r="M384" s="749">
        <f>$H$21*$H$8*'Traffic Data'!AO34*annualizationFactor</f>
        <v>3295.1384955000008</v>
      </c>
      <c r="N384" s="749">
        <f>$H$21*$H$8*'Traffic Data'!AP34*annualizationFactor</f>
        <v>4471.8876805499995</v>
      </c>
      <c r="O384" s="749">
        <f>$H$21*$H$8*'Traffic Data'!AQ34*annualizationFactor</f>
        <v>5647.9345983000003</v>
      </c>
      <c r="P384" s="749">
        <f>$H$21*$H$8*'Traffic Data'!AR34*annualizationFactor</f>
        <v>6825.3358887000022</v>
      </c>
      <c r="Q384" s="749">
        <f>$H$21*$H$8*'Traffic Data'!AS34*annualizationFactor</f>
        <v>7733.2671837000007</v>
      </c>
      <c r="R384" s="749">
        <f>$H$21*$H$8*'Traffic Data'!AT34*annualizationFactor</f>
        <v>8641.3489645500013</v>
      </c>
      <c r="S384" s="749">
        <f>$H$21*$H$8*'Traffic Data'!AU34*annualizationFactor</f>
        <v>9549.2802595499998</v>
      </c>
      <c r="T384" s="749">
        <f>$H$21*$H$8*'Traffic Data'!AV34*annualizationFactor</f>
        <v>10457.21155455</v>
      </c>
      <c r="U384" s="749">
        <f>$H$21*$H$8*'Traffic Data'!AW34*annualizationFactor</f>
        <v>11366.34673635</v>
      </c>
      <c r="V384" s="749">
        <f>$H$21*$H$8*'Traffic Data'!AX34*annualizationFactor</f>
        <v>11816.951533199999</v>
      </c>
      <c r="W384" s="749">
        <f>$H$21*$H$8*'Traffic Data'!AY34*annualizationFactor</f>
        <v>11939.597500950002</v>
      </c>
      <c r="X384" s="749">
        <f>$H$21*$H$8*'Traffic Data'!AZ34*annualizationFactor</f>
        <v>12062.2434687</v>
      </c>
      <c r="Y384" s="749">
        <f>$H$21*$H$8*'Traffic Data'!BA34*annualizationFactor</f>
        <v>12184.889436450003</v>
      </c>
      <c r="Z384" s="749">
        <f>$H$21*$H$8*'Traffic Data'!BB34*annualizationFactor</f>
        <v>12307.886537850001</v>
      </c>
      <c r="AA384" s="749">
        <f>$H$21*$H$8*'Traffic Data'!BC34*annualizationFactor</f>
        <v>12430.532505600002</v>
      </c>
      <c r="AB384" s="749">
        <f>$H$21*$H$8*'Traffic Data'!BD34*annualizationFactor</f>
        <v>12553.529606999999</v>
      </c>
      <c r="AC384" s="749">
        <f>$H$21*$H$8*'Traffic Data'!BE34*annualizationFactor</f>
        <v>12676.175574749999</v>
      </c>
      <c r="AD384" s="749">
        <f>$H$21*$H$8*'Traffic Data'!BF34*annualizationFactor</f>
        <v>12798.8215425</v>
      </c>
      <c r="AE384" s="749">
        <f>$H$21*$H$8*'Traffic Data'!BG34*annualizationFactor</f>
        <v>12921.818643899998</v>
      </c>
      <c r="AF384" s="749">
        <f>$H$21*$H$8*'Traffic Data'!BH34*annualizationFactor</f>
        <v>13044.464611650001</v>
      </c>
      <c r="AG384" s="749">
        <f>$H$21*$H$8*'Traffic Data'!BI34*annualizationFactor</f>
        <v>13167.1105794</v>
      </c>
      <c r="AH384" s="750">
        <f>$H$21*$H$8*'Traffic Data'!BJ34*annualizationFactor</f>
        <v>13290.1076808</v>
      </c>
      <c r="AI384" s="40"/>
      <c r="AJ384" s="40"/>
      <c r="AK384" s="40"/>
      <c r="AL384" s="40"/>
      <c r="AM384" s="40"/>
    </row>
    <row r="385" spans="2:39" ht="21.9" customHeight="1" x14ac:dyDescent="0.25">
      <c r="B385" s="1332"/>
      <c r="C385" s="114" t="s">
        <v>320</v>
      </c>
      <c r="D385" s="114" t="s">
        <v>282</v>
      </c>
      <c r="E385" s="114" t="s">
        <v>19</v>
      </c>
      <c r="F385" s="114" t="s">
        <v>40</v>
      </c>
      <c r="G385" s="941"/>
      <c r="H385" s="941"/>
      <c r="I385" s="751">
        <f>$H$21*$H$8*'Traffic Data'!AK35*annualizationFactor</f>
        <v>0</v>
      </c>
      <c r="J385" s="751">
        <f>$H$21*$H$8*'Traffic Data'!AL35*annualizationFactor</f>
        <v>68.249977599999994</v>
      </c>
      <c r="K385" s="751">
        <f>$H$21*$H$8*'Traffic Data'!AM35*annualizationFactor</f>
        <v>195.45919652000003</v>
      </c>
      <c r="L385" s="751">
        <f>$H$21*$H$8*'Traffic Data'!AN35*annualizationFactor</f>
        <v>439.38003872000002</v>
      </c>
      <c r="M385" s="751">
        <f>$H$21*$H$8*'Traffic Data'!AO35*annualizationFactor</f>
        <v>683.43613240000025</v>
      </c>
      <c r="N385" s="751">
        <f>$H$21*$H$8*'Traffic Data'!AP35*annualizationFactor</f>
        <v>927.50263003999987</v>
      </c>
      <c r="O385" s="751">
        <f>$H$21*$H$8*'Traffic Data'!AQ35*annualizationFactor</f>
        <v>1171.4234722400001</v>
      </c>
      <c r="P385" s="751">
        <f>$H$21*$H$8*'Traffic Data'!AR35*annualizationFactor</f>
        <v>1415.6252213600003</v>
      </c>
      <c r="Q385" s="751">
        <f>$H$21*$H$8*'Traffic Data'!AS35*annualizationFactor</f>
        <v>1603.9368973600006</v>
      </c>
      <c r="R385" s="751">
        <f>$H$21*$H$8*'Traffic Data'!AT35*annualizationFactor</f>
        <v>1792.2797852400006</v>
      </c>
      <c r="S385" s="751">
        <f>$H$21*$H$8*'Traffic Data'!AU35*annualizationFactor</f>
        <v>1980.5914612400002</v>
      </c>
      <c r="T385" s="751">
        <f>$H$21*$H$8*'Traffic Data'!AV35*annualizationFactor</f>
        <v>2168.90313724</v>
      </c>
      <c r="U385" s="751">
        <f>$H$21*$H$8*'Traffic Data'!AW35*annualizationFactor</f>
        <v>2357.4645082800002</v>
      </c>
      <c r="V385" s="751">
        <f>$H$21*$H$8*'Traffic Data'!AX35*annualizationFactor</f>
        <v>2450.9232809600003</v>
      </c>
      <c r="W385" s="751">
        <f>$H$21*$H$8*'Traffic Data'!AY35*annualizationFactor</f>
        <v>2476.3609631600007</v>
      </c>
      <c r="X385" s="751">
        <f>$H$21*$H$8*'Traffic Data'!AZ35*annualizationFactor</f>
        <v>2501.7986453600001</v>
      </c>
      <c r="Y385" s="751">
        <f>$H$21*$H$8*'Traffic Data'!BA35*annualizationFactor</f>
        <v>2527.2363275600005</v>
      </c>
      <c r="Z385" s="751">
        <f>$H$21*$H$8*'Traffic Data'!BB35*annualizationFactor</f>
        <v>2552.7468374800005</v>
      </c>
      <c r="AA385" s="751">
        <f>$H$21*$H$8*'Traffic Data'!BC35*annualizationFactor</f>
        <v>2578.1845196800004</v>
      </c>
      <c r="AB385" s="751">
        <f>$H$21*$H$8*'Traffic Data'!BD35*annualizationFactor</f>
        <v>2603.6950295999995</v>
      </c>
      <c r="AC385" s="751">
        <f>$H$21*$H$8*'Traffic Data'!BE35*annualizationFactor</f>
        <v>2629.1327117999999</v>
      </c>
      <c r="AD385" s="751">
        <f>$H$21*$H$8*'Traffic Data'!BF35*annualizationFactor</f>
        <v>2654.5703940000003</v>
      </c>
      <c r="AE385" s="751">
        <f>$H$21*$H$8*'Traffic Data'!BG35*annualizationFactor</f>
        <v>2680.0809039199999</v>
      </c>
      <c r="AF385" s="751">
        <f>$H$21*$H$8*'Traffic Data'!BH35*annualizationFactor</f>
        <v>2705.5185861199998</v>
      </c>
      <c r="AG385" s="751">
        <f>$H$21*$H$8*'Traffic Data'!BI35*annualizationFactor</f>
        <v>2730.9562683199997</v>
      </c>
      <c r="AH385" s="752">
        <f>$H$21*$H$8*'Traffic Data'!BJ35*annualizationFactor</f>
        <v>2756.4667782400002</v>
      </c>
      <c r="AI385" s="40"/>
      <c r="AJ385" s="40"/>
      <c r="AK385" s="40"/>
      <c r="AL385" s="40"/>
      <c r="AM385" s="40"/>
    </row>
    <row r="386" spans="2:39" ht="21.9" customHeight="1" x14ac:dyDescent="0.25">
      <c r="B386" s="1332"/>
      <c r="C386" s="114" t="s">
        <v>282</v>
      </c>
      <c r="D386" s="114" t="s">
        <v>321</v>
      </c>
      <c r="E386" s="114" t="s">
        <v>19</v>
      </c>
      <c r="F386" s="114" t="s">
        <v>40</v>
      </c>
      <c r="G386" s="941"/>
      <c r="H386" s="941"/>
      <c r="I386" s="751">
        <f>$H$21*$H$8*'Traffic Data'!AK36*annualizationFactor</f>
        <v>0</v>
      </c>
      <c r="J386" s="751">
        <f>$H$21*$H$8*'Traffic Data'!AL36*annualizationFactor</f>
        <v>177.9374416</v>
      </c>
      <c r="K386" s="751">
        <f>$H$21*$H$8*'Traffic Data'!AM36*annualizationFactor</f>
        <v>509.59004806999997</v>
      </c>
      <c r="L386" s="751">
        <f>$H$21*$H$8*'Traffic Data'!AN36*annualizationFactor</f>
        <v>1145.5265295199999</v>
      </c>
      <c r="M386" s="751">
        <f>$H$21*$H$8*'Traffic Data'!AO36*annualizationFactor</f>
        <v>1781.8156309000003</v>
      </c>
      <c r="N386" s="751">
        <f>$H$21*$H$8*'Traffic Data'!AP36*annualizationFactor</f>
        <v>2418.1318568899997</v>
      </c>
      <c r="O386" s="751">
        <f>$H$21*$H$8*'Traffic Data'!AQ36*annualizationFactor</f>
        <v>3054.0683383400001</v>
      </c>
      <c r="P386" s="751">
        <f>$H$21*$H$8*'Traffic Data'!AR36*annualizationFactor</f>
        <v>3690.73718426</v>
      </c>
      <c r="Q386" s="751">
        <f>$H$21*$H$8*'Traffic Data'!AS36*annualizationFactor</f>
        <v>4181.6926252600006</v>
      </c>
      <c r="R386" s="751">
        <f>$H$21*$H$8*'Traffic Data'!AT36*annualizationFactor</f>
        <v>4672.72944009</v>
      </c>
      <c r="S386" s="751">
        <f>$H$21*$H$8*'Traffic Data'!AU36*annualizationFactor</f>
        <v>5163.6848810899992</v>
      </c>
      <c r="T386" s="751">
        <f>$H$21*$H$8*'Traffic Data'!AV36*annualizationFactor</f>
        <v>5654.6403220899992</v>
      </c>
      <c r="U386" s="751">
        <f>$H$21*$H$8*'Traffic Data'!AW36*annualizationFactor</f>
        <v>6146.2467537300008</v>
      </c>
      <c r="V386" s="751">
        <f>$H$21*$H$8*'Traffic Data'!AX36*annualizationFactor</f>
        <v>6389.9071253600005</v>
      </c>
      <c r="W386" s="751">
        <f>$H$21*$H$8*'Traffic Data'!AY36*annualizationFactor</f>
        <v>6456.2267968099995</v>
      </c>
      <c r="X386" s="751">
        <f>$H$21*$H$8*'Traffic Data'!AZ36*annualizationFactor</f>
        <v>6522.5464682599995</v>
      </c>
      <c r="Y386" s="751">
        <f>$H$21*$H$8*'Traffic Data'!BA36*annualizationFactor</f>
        <v>6588.8661397099995</v>
      </c>
      <c r="Z386" s="751">
        <f>$H$21*$H$8*'Traffic Data'!BB36*annualizationFactor</f>
        <v>6655.3756834300011</v>
      </c>
      <c r="AA386" s="751">
        <f>$H$21*$H$8*'Traffic Data'!BC36*annualizationFactor</f>
        <v>6721.6953548800002</v>
      </c>
      <c r="AB386" s="751">
        <f>$H$21*$H$8*'Traffic Data'!BD36*annualizationFactor</f>
        <v>6788.2048985999982</v>
      </c>
      <c r="AC386" s="751">
        <f>$H$21*$H$8*'Traffic Data'!BE36*annualizationFactor</f>
        <v>6854.5245700499981</v>
      </c>
      <c r="AD386" s="751">
        <f>$H$21*$H$8*'Traffic Data'!BF36*annualizationFactor</f>
        <v>6920.8442415</v>
      </c>
      <c r="AE386" s="751">
        <f>$H$21*$H$8*'Traffic Data'!BG36*annualizationFactor</f>
        <v>6987.3537852199979</v>
      </c>
      <c r="AF386" s="751">
        <f>$H$21*$H$8*'Traffic Data'!BH36*annualizationFactor</f>
        <v>7053.6734566699997</v>
      </c>
      <c r="AG386" s="751">
        <f>$H$21*$H$8*'Traffic Data'!BI36*annualizationFactor</f>
        <v>7119.9931281199997</v>
      </c>
      <c r="AH386" s="752">
        <f>$H$21*$H$8*'Traffic Data'!BJ36*annualizationFactor</f>
        <v>7186.5026718399995</v>
      </c>
      <c r="AI386" s="40"/>
      <c r="AJ386" s="40"/>
      <c r="AK386" s="40"/>
      <c r="AL386" s="40"/>
      <c r="AM386" s="40"/>
    </row>
    <row r="387" spans="2:39" ht="21.9" customHeight="1" x14ac:dyDescent="0.25">
      <c r="B387" s="1332"/>
      <c r="C387" s="250" t="s">
        <v>321</v>
      </c>
      <c r="D387" s="250" t="s">
        <v>274</v>
      </c>
      <c r="E387" s="114" t="s">
        <v>19</v>
      </c>
      <c r="F387" s="114" t="s">
        <v>40</v>
      </c>
      <c r="G387" s="941"/>
      <c r="H387" s="941"/>
      <c r="I387" s="751">
        <f>$H$21*$H$8*'Traffic Data'!AK37*annualizationFactor</f>
        <v>234.0891</v>
      </c>
      <c r="J387" s="751">
        <f>$H$21*$H$8*'Traffic Data'!AL37*annualizationFactor</f>
        <v>348.95662136999999</v>
      </c>
      <c r="K387" s="751">
        <f>$H$21*$H$8*'Traffic Data'!AM37*annualizationFactor</f>
        <v>491.30620307999999</v>
      </c>
      <c r="L387" s="751">
        <f>$H$21*$H$8*'Traffic Data'!AN37*annualizationFactor</f>
        <v>851.16357354000002</v>
      </c>
      <c r="M387" s="751">
        <f>$H$21*$H$8*'Traffic Data'!AO37*annualizationFactor</f>
        <v>1211.0599588499999</v>
      </c>
      <c r="N387" s="751">
        <f>$H$21*$H$8*'Traffic Data'!AP37*annualizationFactor</f>
        <v>1571.1358124700005</v>
      </c>
      <c r="O387" s="751">
        <f>$H$21*$H$8*'Traffic Data'!AQ37*annualizationFactor</f>
        <v>1930.9931829300001</v>
      </c>
      <c r="P387" s="751">
        <f>$H$21*$H$8*'Traffic Data'!AR37*annualizationFactor</f>
        <v>2290.73350884</v>
      </c>
      <c r="Q387" s="751">
        <f>$H$21*$H$8*'Traffic Data'!AS37*annualizationFactor</f>
        <v>3206.4198413100003</v>
      </c>
      <c r="R387" s="751">
        <f>$H$21*$H$8*'Traffic Data'!AT37*annualizationFactor</f>
        <v>4121.7472371600006</v>
      </c>
      <c r="S387" s="751">
        <f>$H$21*$H$8*'Traffic Data'!AU37*annualizationFactor</f>
        <v>5037.0044062800007</v>
      </c>
      <c r="T387" s="751">
        <f>$H$21*$H$8*'Traffic Data'!AV37*annualizationFactor</f>
        <v>5952.6907387499996</v>
      </c>
      <c r="U387" s="751">
        <f>$H$21*$H$8*'Traffic Data'!AW37*annualizationFactor</f>
        <v>6868.2600266700001</v>
      </c>
      <c r="V387" s="751">
        <f>$H$21*$H$8*'Traffic Data'!AX37*annualizationFactor</f>
        <v>7566.1654664400012</v>
      </c>
      <c r="W387" s="751">
        <f>$H$21*$H$8*'Traffic Data'!AY37*annualizationFactor</f>
        <v>7681.0329878099992</v>
      </c>
      <c r="X387" s="751">
        <f>$H$21*$H$8*'Traffic Data'!AZ37*annualizationFactor</f>
        <v>7795.9005091800018</v>
      </c>
      <c r="Y387" s="751">
        <f>$H$21*$H$8*'Traffic Data'!BA37*annualizationFactor</f>
        <v>7910.7680305500007</v>
      </c>
      <c r="Z387" s="751">
        <f>$H$21*$H$8*'Traffic Data'!BB37*annualizationFactor</f>
        <v>8025.284418270001</v>
      </c>
      <c r="AA387" s="751">
        <f>$H$21*$H$8*'Traffic Data'!BC37*annualizationFactor</f>
        <v>8140.1519396399999</v>
      </c>
      <c r="AB387" s="751">
        <f>$H$21*$H$8*'Traffic Data'!BD37*annualizationFactor</f>
        <v>8254.6683273600011</v>
      </c>
      <c r="AC387" s="751">
        <f>$H$21*$H$8*'Traffic Data'!BE37*annualizationFactor</f>
        <v>8369.53584873</v>
      </c>
      <c r="AD387" s="751">
        <f>$H$21*$H$8*'Traffic Data'!BF37*annualizationFactor</f>
        <v>8484.4033701000008</v>
      </c>
      <c r="AE387" s="751">
        <f>$H$21*$H$8*'Traffic Data'!BG37*annualizationFactor</f>
        <v>8598.9197578200001</v>
      </c>
      <c r="AF387" s="751">
        <f>$H$21*$H$8*'Traffic Data'!BH37*annualizationFactor</f>
        <v>8713.7872791900027</v>
      </c>
      <c r="AG387" s="751">
        <f>$H$21*$H$8*'Traffic Data'!BI37*annualizationFactor</f>
        <v>8828.6548005599998</v>
      </c>
      <c r="AH387" s="752">
        <f>$H$21*$H$8*'Traffic Data'!BJ37*annualizationFactor</f>
        <v>8943.1711882800009</v>
      </c>
      <c r="AI387" s="40"/>
      <c r="AJ387" s="40"/>
      <c r="AK387" s="40"/>
      <c r="AL387" s="40"/>
      <c r="AM387" s="40"/>
    </row>
    <row r="388" spans="2:39" ht="21.9" customHeight="1" x14ac:dyDescent="0.25">
      <c r="B388" s="469" t="s">
        <v>282</v>
      </c>
      <c r="C388" s="114" t="s">
        <v>308</v>
      </c>
      <c r="D388" s="114" t="s">
        <v>324</v>
      </c>
      <c r="E388" s="114" t="s">
        <v>19</v>
      </c>
      <c r="F388" s="217" t="s">
        <v>40</v>
      </c>
      <c r="G388" s="941"/>
      <c r="H388" s="941"/>
      <c r="I388" s="749">
        <f>$H$21*$J$8*'Traffic Data'!AK38*annualizationFactor</f>
        <v>1337.652</v>
      </c>
      <c r="J388" s="749">
        <f>$H$21*$J$8*'Traffic Data'!AL38*annualizationFactor</f>
        <v>1419.9027352000001</v>
      </c>
      <c r="K388" s="749">
        <f>$H$21*$J$8*'Traffic Data'!AM38*annualizationFactor</f>
        <v>1528.7504510000001</v>
      </c>
      <c r="L388" s="749">
        <f>$H$21*$J$8*'Traffic Data'!AN38*annualizationFactor</f>
        <v>1673.4026519999998</v>
      </c>
      <c r="M388" s="749">
        <f>$H$21*$J$8*'Traffic Data'!AO38*annualizationFactor</f>
        <v>1818.0994413999997</v>
      </c>
      <c r="N388" s="749">
        <f>$H$21*$J$8*'Traffic Data'!AP38*annualizationFactor</f>
        <v>1963.1083496000001</v>
      </c>
      <c r="O388" s="749">
        <f>$H$21*$J$8*'Traffic Data'!AQ38*annualizationFactor</f>
        <v>2107.7605505999995</v>
      </c>
      <c r="P388" s="749">
        <f>$H$21*$J$8*'Traffic Data'!AR38*annualizationFactor</f>
        <v>2252.5688110000001</v>
      </c>
      <c r="Q388" s="749">
        <f>$H$21*$J$8*'Traffic Data'!AS38*annualizationFactor</f>
        <v>2384.6099262000002</v>
      </c>
      <c r="R388" s="749">
        <f>$H$21*$J$8*'Traffic Data'!AT38*annualizationFactor</f>
        <v>2516.5395704000002</v>
      </c>
      <c r="S388" s="749">
        <f>$H$21*$J$8*'Traffic Data'!AU38*annualizationFactor</f>
        <v>2648.5881169999998</v>
      </c>
      <c r="T388" s="749">
        <f>$H$21*$J$8*'Traffic Data'!AV38*annualizationFactor</f>
        <v>2780.6292321999999</v>
      </c>
      <c r="U388" s="749">
        <f>$H$21*$J$8*'Traffic Data'!AW38*annualizationFactor</f>
        <v>2913.1385256000003</v>
      </c>
      <c r="V388" s="749">
        <f>$H$21*$J$8*'Traffic Data'!AX38*annualizationFactor</f>
        <v>3009.2711159999999</v>
      </c>
      <c r="W388" s="749">
        <f>$H$21*$J$8*'Traffic Data'!AY38*annualizationFactor</f>
        <v>3091.5218512000001</v>
      </c>
      <c r="X388" s="749">
        <f>$H$21*$J$8*'Traffic Data'!AZ38*annualizationFactor</f>
        <v>3173.7725863999995</v>
      </c>
      <c r="Y388" s="749">
        <f>$H$21*$J$8*'Traffic Data'!BA38*annualizationFactor</f>
        <v>3256.0233215999997</v>
      </c>
      <c r="Z388" s="749">
        <f>$H$21*$J$8*'Traffic Data'!BB38*annualizationFactor</f>
        <v>3338.3632336000001</v>
      </c>
      <c r="AA388" s="749">
        <f>$H$21*$J$8*'Traffic Data'!BC38*annualizationFactor</f>
        <v>3420.6139687999994</v>
      </c>
      <c r="AB388" s="749">
        <f>$H$21*$J$8*'Traffic Data'!BD38*annualizationFactor</f>
        <v>3503.0653517999999</v>
      </c>
      <c r="AC388" s="749">
        <f>$H$21*$J$8*'Traffic Data'!BE38*annualizationFactor</f>
        <v>3585.3160869999992</v>
      </c>
      <c r="AD388" s="749">
        <f>$H$21*$J$8*'Traffic Data'!BF38*annualizationFactor</f>
        <v>3667.5668221999995</v>
      </c>
      <c r="AE388" s="749">
        <f>$H$21*$J$8*'Traffic Data'!BG38*annualizationFactor</f>
        <v>3749.9067341999989</v>
      </c>
      <c r="AF388" s="749">
        <f>$H$21*$J$8*'Traffic Data'!BH38*annualizationFactor</f>
        <v>3832.1574693999996</v>
      </c>
      <c r="AG388" s="749">
        <f>$H$21*$J$8*'Traffic Data'!BI38*annualizationFactor</f>
        <v>3914.4082045999999</v>
      </c>
      <c r="AH388" s="750">
        <f>$H$21*$J$8*'Traffic Data'!BJ38*annualizationFactor</f>
        <v>3996.8595875999995</v>
      </c>
      <c r="AI388" s="40"/>
      <c r="AJ388" s="40"/>
      <c r="AK388" s="40"/>
      <c r="AL388" s="40"/>
      <c r="AM388" s="40"/>
    </row>
    <row r="389" spans="2:39" ht="21.9" customHeight="1" x14ac:dyDescent="0.25">
      <c r="B389" s="756" t="s">
        <v>321</v>
      </c>
      <c r="C389" s="273" t="s">
        <v>318</v>
      </c>
      <c r="D389" s="273" t="s">
        <v>308</v>
      </c>
      <c r="E389" s="273" t="s">
        <v>19</v>
      </c>
      <c r="F389" s="217" t="s">
        <v>40</v>
      </c>
      <c r="G389" s="754"/>
      <c r="H389" s="754"/>
      <c r="I389" s="749">
        <f>$H$21*$K$8*'Traffic Data'!AK39*annualizationFactor</f>
        <v>0</v>
      </c>
      <c r="J389" s="749">
        <f>$H$21*$K$8*'Traffic Data'!AL39*annualizationFactor</f>
        <v>0</v>
      </c>
      <c r="K389" s="749">
        <f>$H$21*$K$8*'Traffic Data'!AM39*annualizationFactor</f>
        <v>0</v>
      </c>
      <c r="L389" s="749">
        <f>$H$21*$K$8*'Traffic Data'!AN39*annualizationFactor</f>
        <v>0</v>
      </c>
      <c r="M389" s="749">
        <f>$H$21*$K$8*'Traffic Data'!AO39*annualizationFactor</f>
        <v>0</v>
      </c>
      <c r="N389" s="749">
        <f>$H$21*$K$8*'Traffic Data'!AP39*annualizationFactor</f>
        <v>0</v>
      </c>
      <c r="O389" s="749">
        <f>$H$21*$K$8*'Traffic Data'!AQ39*annualizationFactor</f>
        <v>0</v>
      </c>
      <c r="P389" s="749">
        <f>$H$21*$K$8*'Traffic Data'!AR39*annualizationFactor</f>
        <v>0</v>
      </c>
      <c r="Q389" s="749">
        <f>$H$21*$K$8*'Traffic Data'!AS39*annualizationFactor</f>
        <v>0</v>
      </c>
      <c r="R389" s="749">
        <f>$H$21*$K$8*'Traffic Data'!AT39*annualizationFactor</f>
        <v>0</v>
      </c>
      <c r="S389" s="749">
        <f>$H$21*$K$8*'Traffic Data'!AU39*annualizationFactor</f>
        <v>0</v>
      </c>
      <c r="T389" s="749">
        <f>$H$21*$K$8*'Traffic Data'!AV39*annualizationFactor</f>
        <v>0</v>
      </c>
      <c r="U389" s="749">
        <f>$H$21*$K$8*'Traffic Data'!AW39*annualizationFactor</f>
        <v>0</v>
      </c>
      <c r="V389" s="749">
        <f>$H$21*$K$8*'Traffic Data'!AX39*annualizationFactor</f>
        <v>0</v>
      </c>
      <c r="W389" s="749">
        <f>$H$21*$K$8*'Traffic Data'!AY39*annualizationFactor</f>
        <v>0</v>
      </c>
      <c r="X389" s="749">
        <f>$H$21*$K$8*'Traffic Data'!AZ39*annualizationFactor</f>
        <v>0</v>
      </c>
      <c r="Y389" s="749">
        <f>$H$21*$K$8*'Traffic Data'!BA39*annualizationFactor</f>
        <v>0</v>
      </c>
      <c r="Z389" s="749">
        <f>$H$21*$K$8*'Traffic Data'!BB39*annualizationFactor</f>
        <v>0</v>
      </c>
      <c r="AA389" s="749">
        <f>$H$21*$K$8*'Traffic Data'!BC39*annualizationFactor</f>
        <v>0</v>
      </c>
      <c r="AB389" s="749">
        <f>$H$21*$K$8*'Traffic Data'!BD39*annualizationFactor</f>
        <v>0</v>
      </c>
      <c r="AC389" s="749">
        <f>$H$21*$K$8*'Traffic Data'!BE39*annualizationFactor</f>
        <v>0</v>
      </c>
      <c r="AD389" s="749">
        <f>$H$21*$K$8*'Traffic Data'!BF39*annualizationFactor</f>
        <v>0</v>
      </c>
      <c r="AE389" s="749">
        <f>$H$21*$K$8*'Traffic Data'!BG39*annualizationFactor</f>
        <v>0</v>
      </c>
      <c r="AF389" s="749">
        <f>$H$21*$K$8*'Traffic Data'!BH39*annualizationFactor</f>
        <v>0</v>
      </c>
      <c r="AG389" s="749">
        <f>$H$21*$K$8*'Traffic Data'!BI39*annualizationFactor</f>
        <v>0</v>
      </c>
      <c r="AH389" s="750">
        <f>$H$21*$K$8*'Traffic Data'!BJ39*annualizationFactor</f>
        <v>0</v>
      </c>
      <c r="AI389" s="40"/>
      <c r="AJ389" s="40"/>
      <c r="AK389" s="40"/>
      <c r="AL389" s="40"/>
      <c r="AM389" s="40"/>
    </row>
    <row r="390" spans="2:39" ht="21.9" customHeight="1" x14ac:dyDescent="0.25">
      <c r="B390" s="756" t="s">
        <v>333</v>
      </c>
      <c r="C390" s="273" t="s">
        <v>319</v>
      </c>
      <c r="D390" s="273" t="s">
        <v>308</v>
      </c>
      <c r="E390" s="114" t="s">
        <v>19</v>
      </c>
      <c r="F390" s="217" t="s">
        <v>40</v>
      </c>
      <c r="G390" s="941"/>
      <c r="H390" s="941"/>
      <c r="I390" s="749">
        <f>$H$21*$L$8*'Traffic Data'!AK40*annualizationFactor</f>
        <v>2480.7364363636366</v>
      </c>
      <c r="J390" s="749">
        <f>$H$21*$L$8*'Traffic Data'!AL40*annualizationFactor</f>
        <v>2514.7983258218183</v>
      </c>
      <c r="K390" s="749">
        <f>$H$21*$L$8*'Traffic Data'!AM40*annualizationFactor</f>
        <v>2573.6744705781816</v>
      </c>
      <c r="L390" s="749">
        <f>$H$21*$L$8*'Traffic Data'!AN40*annualizationFactor</f>
        <v>2654.5051327963643</v>
      </c>
      <c r="M390" s="749">
        <f>$H$21*$L$8*'Traffic Data'!AO40*annualizationFactor</f>
        <v>2735.3702496872729</v>
      </c>
      <c r="N390" s="749">
        <f>$H$21*$L$8*'Traffic Data'!AP40*annualizationFactor</f>
        <v>2816.3525124654543</v>
      </c>
      <c r="O390" s="749">
        <f>$H$21*$L$8*'Traffic Data'!AQ40*annualizationFactor</f>
        <v>2897.1831746836369</v>
      </c>
      <c r="P390" s="749">
        <f>$H$21*$L$8*'Traffic Data'!AR40*annualizationFactor</f>
        <v>2978.2963652181816</v>
      </c>
      <c r="Q390" s="749">
        <f>$H$21*$L$8*'Traffic Data'!AS40*annualizationFactor</f>
        <v>3034.5470639127275</v>
      </c>
      <c r="R390" s="749">
        <f>$H$21*$L$8*'Traffic Data'!AT40*annualizationFactor</f>
        <v>3090.804653541818</v>
      </c>
      <c r="S390" s="749">
        <f>$H$21*$L$8*'Traffic Data'!AU40*annualizationFactor</f>
        <v>3147.0691341054544</v>
      </c>
      <c r="T390" s="749">
        <f>$H$21*$L$8*'Traffic Data'!AV40*annualizationFactor</f>
        <v>3203.3198328000003</v>
      </c>
      <c r="U390" s="749">
        <f>$H$21*$L$8*'Traffic Data'!AW40*annualizationFactor</f>
        <v>3259.9702056981814</v>
      </c>
      <c r="V390" s="749">
        <f>$H$21*$L$8*'Traffic Data'!AX40*annualizationFactor</f>
        <v>3294.0320951563635</v>
      </c>
      <c r="W390" s="749">
        <f>$H$21*$L$8*'Traffic Data'!AY40*annualizationFactor</f>
        <v>3328.0939846145448</v>
      </c>
      <c r="X390" s="749">
        <f>$H$21*$L$8*'Traffic Data'!AZ40*annualizationFactor</f>
        <v>3362.1558740727273</v>
      </c>
      <c r="Y390" s="749">
        <f>$H$21*$L$8*'Traffic Data'!BA40*annualizationFactor</f>
        <v>3396.2177635309081</v>
      </c>
      <c r="Z390" s="749">
        <f>$H$21*$L$8*'Traffic Data'!BB40*annualizationFactor</f>
        <v>3430.513944763637</v>
      </c>
      <c r="AA390" s="749">
        <f>$H$21*$L$8*'Traffic Data'!BC40*annualizationFactor</f>
        <v>3464.5758342218182</v>
      </c>
      <c r="AB390" s="749">
        <f>$H$21*$L$8*'Traffic Data'!BD40*annualizationFactor</f>
        <v>3498.7686514363641</v>
      </c>
      <c r="AC390" s="749">
        <f>$H$21*$L$8*'Traffic Data'!BE40*annualizationFactor</f>
        <v>3532.8305408945448</v>
      </c>
      <c r="AD390" s="749">
        <f>$H$21*$L$8*'Traffic Data'!BF40*annualizationFactor</f>
        <v>3566.8924303527278</v>
      </c>
      <c r="AE390" s="749">
        <f>$H$21*$L$8*'Traffic Data'!BG40*annualizationFactor</f>
        <v>3601.188611585455</v>
      </c>
      <c r="AF390" s="749">
        <f>$H$21*$L$8*'Traffic Data'!BH40*annualizationFactor</f>
        <v>3635.2505010436371</v>
      </c>
      <c r="AG390" s="749">
        <f>$H$21*$L$8*'Traffic Data'!BI40*annualizationFactor</f>
        <v>3669.3123905018183</v>
      </c>
      <c r="AH390" s="750">
        <f>$H$21*$L$8*'Traffic Data'!BJ40*annualizationFactor</f>
        <v>3703.5052077163637</v>
      </c>
      <c r="AI390" s="40"/>
      <c r="AJ390" s="40"/>
      <c r="AK390" s="40"/>
      <c r="AL390" s="40"/>
      <c r="AM390" s="40"/>
    </row>
    <row r="391" spans="2:39" ht="21.9" customHeight="1" x14ac:dyDescent="0.25">
      <c r="B391" s="469" t="s">
        <v>319</v>
      </c>
      <c r="C391" s="114" t="s">
        <v>276</v>
      </c>
      <c r="D391" s="114" t="s">
        <v>333</v>
      </c>
      <c r="E391" s="217" t="s">
        <v>19</v>
      </c>
      <c r="F391" s="217" t="s">
        <v>40</v>
      </c>
      <c r="G391" s="749"/>
      <c r="H391" s="749"/>
      <c r="I391" s="749">
        <f>$H$21*$M$8*'Traffic Data'!AK41*annualizationFactor</f>
        <v>8909.2352272727276</v>
      </c>
      <c r="J391" s="749">
        <f>$H$21*$M$8*'Traffic Data'!AL41*annualizationFactor</f>
        <v>9166.0617511693217</v>
      </c>
      <c r="K391" s="749">
        <f>$H$21*$M$8*'Traffic Data'!AM41*annualizationFactor</f>
        <v>9444.0477087306826</v>
      </c>
      <c r="L391" s="749">
        <f>$H$21*$M$8*'Traffic Data'!AN41*annualizationFactor</f>
        <v>9812.8455009636364</v>
      </c>
      <c r="M391" s="749">
        <f>$H$21*$M$8*'Traffic Data'!AO41*annualizationFactor</f>
        <v>10181.705657843182</v>
      </c>
      <c r="N391" s="749">
        <f>$H$21*$M$8*'Traffic Data'!AP41*annualizationFactor</f>
        <v>10550.717271721591</v>
      </c>
      <c r="O391" s="749">
        <f>$H$21*$M$8*'Traffic Data'!AQ41*annualizationFactor</f>
        <v>10919.515063954548</v>
      </c>
      <c r="P391" s="749">
        <f>$H$21*$M$8*'Traffic Data'!AR41*annualizationFactor</f>
        <v>11288.410857775003</v>
      </c>
      <c r="Q391" s="749">
        <f>$H$21*$M$8*'Traffic Data'!AS41*annualizationFactor</f>
        <v>11694.333433200001</v>
      </c>
      <c r="R391" s="749">
        <f>$H$21*$M$8*'Traffic Data'!AT41*annualizationFactor</f>
        <v>12100.122370096593</v>
      </c>
      <c r="S391" s="749">
        <f>$H$21*$M$8*'Traffic Data'!AU41*annualizationFactor</f>
        <v>12506.044945521593</v>
      </c>
      <c r="T391" s="749">
        <f>$H$21*$M$8*'Traffic Data'!AV41*annualizationFactor</f>
        <v>12911.967520946593</v>
      </c>
      <c r="U391" s="749">
        <f>$H$21*$M$8*'Traffic Data'!AW41*annualizationFactor</f>
        <v>13318.121736487503</v>
      </c>
      <c r="V391" s="749">
        <f>$H$21*$M$8*'Traffic Data'!AX41*annualizationFactor</f>
        <v>13633.196840299999</v>
      </c>
      <c r="W391" s="749">
        <f>$H$21*$M$8*'Traffic Data'!AY41*annualizationFactor</f>
        <v>13890.023364196592</v>
      </c>
      <c r="X391" s="749">
        <f>$H$21*$M$8*'Traffic Data'!AZ41*annualizationFactor</f>
        <v>14146.849888093184</v>
      </c>
      <c r="Y391" s="749">
        <f>$H$21*$M$8*'Traffic Data'!BA41*annualizationFactor</f>
        <v>14403.676411989774</v>
      </c>
      <c r="Z391" s="749">
        <f>$H$21*$M$8*'Traffic Data'!BB41*annualizationFactor</f>
        <v>14660.476208180684</v>
      </c>
      <c r="AA391" s="749">
        <f>$H$21*$M$8*'Traffic Data'!BC41*annualizationFactor</f>
        <v>14917.302732077271</v>
      </c>
      <c r="AB391" s="749">
        <f>$H$21*$M$8*'Traffic Data'!BD41*annualizationFactor</f>
        <v>15174.102528268177</v>
      </c>
      <c r="AC391" s="749">
        <f>$H$21*$M$8*'Traffic Data'!BE41*annualizationFactor</f>
        <v>15430.929052164778</v>
      </c>
      <c r="AD391" s="749">
        <f>$H$21*$M$8*'Traffic Data'!BF41*annualizationFactor</f>
        <v>15687.755576061367</v>
      </c>
      <c r="AE391" s="749">
        <f>$H$21*$M$8*'Traffic Data'!BG41*annualizationFactor</f>
        <v>15944.555372252275</v>
      </c>
      <c r="AF391" s="749">
        <f>$H$21*$M$8*'Traffic Data'!BH41*annualizationFactor</f>
        <v>16201.381896148867</v>
      </c>
      <c r="AG391" s="749">
        <f>$H$21*$M$8*'Traffic Data'!BI41*annualizationFactor</f>
        <v>16458.208420045456</v>
      </c>
      <c r="AH391" s="750">
        <f>$H$21*$M$8*'Traffic Data'!BJ41*annualizationFactor</f>
        <v>16715.008216236369</v>
      </c>
      <c r="AI391" s="40"/>
      <c r="AJ391" s="40"/>
      <c r="AK391" s="40"/>
      <c r="AL391" s="40"/>
      <c r="AM391" s="40"/>
    </row>
    <row r="392" spans="2:39" ht="21.9" customHeight="1" x14ac:dyDescent="0.25">
      <c r="B392" s="469"/>
      <c r="C392" s="114" t="s">
        <v>333</v>
      </c>
      <c r="D392" s="114" t="s">
        <v>323</v>
      </c>
      <c r="E392" s="114" t="s">
        <v>19</v>
      </c>
      <c r="F392" s="114" t="s">
        <v>40</v>
      </c>
      <c r="G392" s="941"/>
      <c r="H392" s="941"/>
      <c r="I392" s="751">
        <f>$H$21*$M$8*'Traffic Data'!AK42*annualizationFactor</f>
        <v>1297.5111803030304</v>
      </c>
      <c r="J392" s="751">
        <f>$H$21*$M$8*'Traffic Data'!AL42*annualizationFactor</f>
        <v>1334.3365963018939</v>
      </c>
      <c r="K392" s="751">
        <f>$H$21*$M$8*'Traffic Data'!AM42*annualizationFactor</f>
        <v>1375.2030767267802</v>
      </c>
      <c r="L392" s="751">
        <f>$H$21*$M$8*'Traffic Data'!AN42*annualizationFactor</f>
        <v>1432.5633144054923</v>
      </c>
      <c r="M392" s="751">
        <f>$H$21*$M$8*'Traffic Data'!AO42*annualizationFactor</f>
        <v>1489.9337955935227</v>
      </c>
      <c r="N392" s="751">
        <f>$H$21*$M$8*'Traffic Data'!AP42*annualizationFactor</f>
        <v>1547.3162275424238</v>
      </c>
      <c r="O392" s="751">
        <f>$H$21*$M$8*'Traffic Data'!AQ42*annualizationFactor</f>
        <v>1604.6764652211366</v>
      </c>
      <c r="P392" s="751">
        <f>$H$21*$M$8*'Traffic Data'!AR42*annualizationFactor</f>
        <v>1662.0401174029544</v>
      </c>
      <c r="Q392" s="751">
        <f>$H$21*$M$8*'Traffic Data'!AS42*annualizationFactor</f>
        <v>1726.5144723031444</v>
      </c>
      <c r="R392" s="751">
        <f>$H$21*$M$8*'Traffic Data'!AT42*annualizationFactor</f>
        <v>1790.9666329331437</v>
      </c>
      <c r="S392" s="751">
        <f>$H$21*$M$8*'Traffic Data'!AU42*annualizationFactor</f>
        <v>1855.4409878333331</v>
      </c>
      <c r="T392" s="751">
        <f>$H$21*$M$8*'Traffic Data'!AV42*annualizationFactor</f>
        <v>1919.9153427335223</v>
      </c>
      <c r="U392" s="751">
        <f>$H$21*$M$8*'Traffic Data'!AW42*annualizationFactor</f>
        <v>1984.3999411430304</v>
      </c>
      <c r="V392" s="751">
        <f>$H$21*$M$8*'Traffic Data'!AX42*annualizationFactor</f>
        <v>2032.387367795606</v>
      </c>
      <c r="W392" s="751">
        <f>$H$21*$M$8*'Traffic Data'!AY42*annualizationFactor</f>
        <v>2069.2127837944695</v>
      </c>
      <c r="X392" s="751">
        <f>$H$21*$M$8*'Traffic Data'!AZ42*annualizationFactor</f>
        <v>2106.0381997933337</v>
      </c>
      <c r="Y392" s="751">
        <f>$H$21*$M$8*'Traffic Data'!BA42*annualizationFactor</f>
        <v>2142.8636157921969</v>
      </c>
      <c r="Z392" s="751">
        <f>$H$21*$M$8*'Traffic Data'!BB42*annualizationFactor</f>
        <v>2179.6702520239769</v>
      </c>
      <c r="AA392" s="751">
        <f>$H$21*$M$8*'Traffic Data'!BC42*annualizationFactor</f>
        <v>2216.4956680228411</v>
      </c>
      <c r="AB392" s="751">
        <f>$H$21*$M$8*'Traffic Data'!BD42*annualizationFactor</f>
        <v>2253.302304254621</v>
      </c>
      <c r="AC392" s="751">
        <f>$H$21*$M$8*'Traffic Data'!BE42*annualizationFactor</f>
        <v>2290.1277202534848</v>
      </c>
      <c r="AD392" s="751">
        <f>$H$21*$M$8*'Traffic Data'!BF42*annualizationFactor</f>
        <v>2326.9531362523485</v>
      </c>
      <c r="AE392" s="751">
        <f>$H$21*$M$8*'Traffic Data'!BG42*annualizationFactor</f>
        <v>2363.7597724841285</v>
      </c>
      <c r="AF392" s="751">
        <f>$H$21*$M$8*'Traffic Data'!BH42*annualizationFactor</f>
        <v>2400.5851884829922</v>
      </c>
      <c r="AG392" s="751">
        <f>$H$21*$M$8*'Traffic Data'!BI42*annualizationFactor</f>
        <v>2437.4106044818559</v>
      </c>
      <c r="AH392" s="752">
        <f>$H$21*$M$8*'Traffic Data'!BJ42*annualizationFactor</f>
        <v>2474.2172407136359</v>
      </c>
      <c r="AI392" s="40"/>
      <c r="AJ392" s="40"/>
      <c r="AK392" s="40"/>
      <c r="AL392" s="40"/>
      <c r="AM392" s="40"/>
    </row>
    <row r="393" spans="2:39" ht="21.9" customHeight="1" x14ac:dyDescent="0.25">
      <c r="B393" s="469"/>
      <c r="C393" s="114" t="s">
        <v>323</v>
      </c>
      <c r="D393" s="114" t="s">
        <v>322</v>
      </c>
      <c r="E393" s="114" t="s">
        <v>19</v>
      </c>
      <c r="F393" s="114" t="s">
        <v>40</v>
      </c>
      <c r="G393" s="941"/>
      <c r="H393" s="941"/>
      <c r="I393" s="751">
        <f>$H$21*$M$8*'Traffic Data'!AK43*annualizationFactor</f>
        <v>320.90136363636361</v>
      </c>
      <c r="J393" s="751">
        <f>$H$21*$M$8*'Traffic Data'!AL43*annualizationFactor</f>
        <v>330.00905102272731</v>
      </c>
      <c r="K393" s="751">
        <f>$H$21*$M$8*'Traffic Data'!AM43*annualizationFactor</f>
        <v>340.11617726136365</v>
      </c>
      <c r="L393" s="751">
        <f>$H$21*$M$8*'Traffic Data'!AN43*annualizationFactor</f>
        <v>354.30255096590906</v>
      </c>
      <c r="M393" s="751">
        <f>$H$21*$M$8*'Traffic Data'!AO43*annualizationFactor</f>
        <v>368.4914581022727</v>
      </c>
      <c r="N393" s="751">
        <f>$H$21*$M$8*'Traffic Data'!AP43*annualizationFactor</f>
        <v>382.68332090909092</v>
      </c>
      <c r="O393" s="751">
        <f>$H$21*$M$8*'Traffic Data'!AQ43*annualizationFactor</f>
        <v>396.8696946136364</v>
      </c>
      <c r="P393" s="751">
        <f>$H$21*$M$8*'Traffic Data'!AR43*annualizationFactor</f>
        <v>411.05691279545459</v>
      </c>
      <c r="Q393" s="751">
        <f>$H$21*$M$8*'Traffic Data'!AS43*annualizationFactor</f>
        <v>427.0027548977273</v>
      </c>
      <c r="R393" s="751">
        <f>$H$21*$M$8*'Traffic Data'!AT43*annualizationFactor</f>
        <v>442.94310789772715</v>
      </c>
      <c r="S393" s="751">
        <f>$H$21*$M$8*'Traffic Data'!AU43*annualizationFactor</f>
        <v>458.88894999999997</v>
      </c>
      <c r="T393" s="751">
        <f>$H$21*$M$8*'Traffic Data'!AV43*annualizationFactor</f>
        <v>474.83479210227267</v>
      </c>
      <c r="U393" s="751">
        <f>$H$21*$M$8*'Traffic Data'!AW43*annualizationFactor</f>
        <v>490.7831676363636</v>
      </c>
      <c r="V393" s="751">
        <f>$H$21*$M$8*'Traffic Data'!AX43*annualizationFactor</f>
        <v>502.65145122727262</v>
      </c>
      <c r="W393" s="751">
        <f>$H$21*$M$8*'Traffic Data'!AY43*annualizationFactor</f>
        <v>511.75913861363631</v>
      </c>
      <c r="X393" s="751">
        <f>$H$21*$M$8*'Traffic Data'!AZ43*annualizationFactor</f>
        <v>520.86682600000006</v>
      </c>
      <c r="Y393" s="751">
        <f>$H$21*$M$8*'Traffic Data'!BA43*annualizationFactor</f>
        <v>529.97451338636358</v>
      </c>
      <c r="Z393" s="751">
        <f>$H$21*$M$8*'Traffic Data'!BB43*annualizationFactor</f>
        <v>539.07755614772714</v>
      </c>
      <c r="AA393" s="751">
        <f>$H$21*$M$8*'Traffic Data'!BC43*annualizationFactor</f>
        <v>548.18524353409077</v>
      </c>
      <c r="AB393" s="751">
        <f>$H$21*$M$8*'Traffic Data'!BD43*annualizationFactor</f>
        <v>557.28828629545455</v>
      </c>
      <c r="AC393" s="751">
        <f>$H$21*$M$8*'Traffic Data'!BE43*annualizationFactor</f>
        <v>566.39597368181819</v>
      </c>
      <c r="AD393" s="751">
        <f>$H$21*$M$8*'Traffic Data'!BF43*annualizationFactor</f>
        <v>575.50366106818183</v>
      </c>
      <c r="AE393" s="751">
        <f>$H$21*$M$8*'Traffic Data'!BG43*annualizationFactor</f>
        <v>584.60670382954538</v>
      </c>
      <c r="AF393" s="751">
        <f>$H$21*$M$8*'Traffic Data'!BH43*annualizationFactor</f>
        <v>593.71439121590902</v>
      </c>
      <c r="AG393" s="751">
        <f>$H$21*$M$8*'Traffic Data'!BI43*annualizationFactor</f>
        <v>602.82207860227254</v>
      </c>
      <c r="AH393" s="752">
        <f>$H$21*$M$8*'Traffic Data'!BJ43*annualizationFactor</f>
        <v>611.92512136363632</v>
      </c>
      <c r="AI393" s="40"/>
      <c r="AJ393" s="40"/>
      <c r="AK393" s="40"/>
      <c r="AL393" s="40"/>
      <c r="AM393" s="40"/>
    </row>
    <row r="394" spans="2:39" ht="21.9" customHeight="1" x14ac:dyDescent="0.25">
      <c r="B394" s="469"/>
      <c r="C394" s="114" t="s">
        <v>322</v>
      </c>
      <c r="D394" s="114" t="s">
        <v>326</v>
      </c>
      <c r="E394" s="114" t="s">
        <v>19</v>
      </c>
      <c r="F394" s="114" t="s">
        <v>40</v>
      </c>
      <c r="G394" s="941"/>
      <c r="H394" s="941"/>
      <c r="I394" s="751">
        <f>$H$21*$M$8*'Traffic Data'!AK44*annualizationFactor</f>
        <v>823.36534090909095</v>
      </c>
      <c r="J394" s="751">
        <f>$H$21*$M$8*'Traffic Data'!AL44*annualizationFactor</f>
        <v>846.71323742613629</v>
      </c>
      <c r="K394" s="751">
        <f>$H$21*$M$8*'Traffic Data'!AM44*annualizationFactor</f>
        <v>873.31754386647731</v>
      </c>
      <c r="L394" s="751">
        <f>$H$21*$M$8*'Traffic Data'!AN44*annualizationFactor</f>
        <v>907.31155424147732</v>
      </c>
      <c r="M394" s="751">
        <f>$H$21*$M$8*'Traffic Data'!AO44*annualizationFactor</f>
        <v>941.31654282102272</v>
      </c>
      <c r="N394" s="751">
        <f>$H$21*$M$8*'Traffic Data'!AP44*annualizationFactor</f>
        <v>975.31604229829577</v>
      </c>
      <c r="O394" s="751">
        <f>$H$21*$M$8*'Traffic Data'!AQ44*annualizationFactor</f>
        <v>1009.3100526732957</v>
      </c>
      <c r="P394" s="751">
        <f>$H$21*$M$8*'Traffic Data'!AR44*annualizationFactor</f>
        <v>1043.3109244261366</v>
      </c>
      <c r="Q394" s="751">
        <f>$H$21*$M$8*'Traffic Data'!AS44*annualizationFactor</f>
        <v>1081.7401294374999</v>
      </c>
      <c r="R394" s="751">
        <f>$H$21*$M$8*'Traffic Data'!AT44*annualizationFactor</f>
        <v>1120.1679621732956</v>
      </c>
      <c r="S394" s="751">
        <f>$H$21*$M$8*'Traffic Data'!AU44*annualizationFactor</f>
        <v>1158.5916780823866</v>
      </c>
      <c r="T394" s="751">
        <f>$H$21*$M$8*'Traffic Data'!AV44*annualizationFactor</f>
        <v>1197.0208830937502</v>
      </c>
      <c r="U394" s="751">
        <f>$H$21*$M$8*'Traffic Data'!AW44*annualizationFactor</f>
        <v>1235.4569494829545</v>
      </c>
      <c r="V394" s="751">
        <f>$H$21*$M$8*'Traffic Data'!AX44*annualizationFactor</f>
        <v>1266.4950782840911</v>
      </c>
      <c r="W394" s="751">
        <f>$H$21*$M$8*'Traffic Data'!AY44*annualizationFactor</f>
        <v>1289.8429748011367</v>
      </c>
      <c r="X394" s="751">
        <f>$H$21*$M$8*'Traffic Data'!AZ44*annualizationFactor</f>
        <v>1313.1908713181822</v>
      </c>
      <c r="Y394" s="751">
        <f>$H$21*$M$8*'Traffic Data'!BA44*annualizationFactor</f>
        <v>1336.5387678352274</v>
      </c>
      <c r="Z394" s="751">
        <f>$H$21*$M$8*'Traffic Data'!BB44*annualizationFactor</f>
        <v>1359.8798029744321</v>
      </c>
      <c r="AA394" s="751">
        <f>$H$21*$M$8*'Traffic Data'!BC44*annualizationFactor</f>
        <v>1383.2276994914771</v>
      </c>
      <c r="AB394" s="751">
        <f>$H$21*$M$8*'Traffic Data'!BD44*annualizationFactor</f>
        <v>1406.5687346306815</v>
      </c>
      <c r="AC394" s="751">
        <f>$H$21*$M$8*'Traffic Data'!BE44*annualizationFactor</f>
        <v>1429.916631147727</v>
      </c>
      <c r="AD394" s="751">
        <f>$H$21*$M$8*'Traffic Data'!BF44*annualizationFactor</f>
        <v>1453.2645276647727</v>
      </c>
      <c r="AE394" s="751">
        <f>$H$21*$M$8*'Traffic Data'!BG44*annualizationFactor</f>
        <v>1476.6055628039769</v>
      </c>
      <c r="AF394" s="751">
        <f>$H$21*$M$8*'Traffic Data'!BH44*annualizationFactor</f>
        <v>1499.9534593210226</v>
      </c>
      <c r="AG394" s="751">
        <f>$H$21*$M$8*'Traffic Data'!BI44*annualizationFactor</f>
        <v>1523.3013558380678</v>
      </c>
      <c r="AH394" s="752">
        <f>$H$21*$M$8*'Traffic Data'!BJ44*annualizationFactor</f>
        <v>1546.6423909772725</v>
      </c>
      <c r="AI394" s="40"/>
      <c r="AJ394" s="40"/>
      <c r="AK394" s="40"/>
      <c r="AL394" s="40"/>
      <c r="AM394" s="40"/>
    </row>
    <row r="395" spans="2:39" ht="21.9" customHeight="1" x14ac:dyDescent="0.25">
      <c r="B395" s="469"/>
      <c r="C395" s="114" t="s">
        <v>326</v>
      </c>
      <c r="D395" s="114" t="s">
        <v>274</v>
      </c>
      <c r="E395" s="114" t="s">
        <v>19</v>
      </c>
      <c r="F395" s="114" t="s">
        <v>40</v>
      </c>
      <c r="G395" s="941"/>
      <c r="H395" s="941"/>
      <c r="I395" s="751">
        <f>$H$21*$M$8*'Traffic Data'!AK45*annualizationFactor</f>
        <v>6836.0435227272728</v>
      </c>
      <c r="J395" s="751">
        <f>$H$21*$M$8*'Traffic Data'!AL45*annualizationFactor</f>
        <v>7029.8909302200773</v>
      </c>
      <c r="K395" s="751">
        <f>$H$21*$M$8*'Traffic Data'!AM45*annualizationFactor</f>
        <v>7250.7748898452655</v>
      </c>
      <c r="L395" s="751">
        <f>$H$21*$M$8*'Traffic Data'!AN45*annualizationFactor</f>
        <v>7533.0123400869325</v>
      </c>
      <c r="M395" s="751">
        <f>$H$21*$M$8*'Traffic Data'!AO45*annualizationFactor</f>
        <v>7815.3409375755691</v>
      </c>
      <c r="N395" s="751">
        <f>$H$21*$M$8*'Traffic Data'!AP45*annualizationFactor</f>
        <v>8097.6239614407241</v>
      </c>
      <c r="O395" s="751">
        <f>$H$21*$M$8*'Traffic Data'!AQ45*annualizationFactor</f>
        <v>8379.8614116823883</v>
      </c>
      <c r="P395" s="751">
        <f>$H$21*$M$8*'Traffic Data'!AR45*annualizationFactor</f>
        <v>8662.1558289534114</v>
      </c>
      <c r="Q395" s="751">
        <f>$H$21*$M$8*'Traffic Data'!AS45*annualizationFactor</f>
        <v>8981.2167669708324</v>
      </c>
      <c r="R395" s="751">
        <f>$H$21*$M$8*'Traffic Data'!AT45*annualizationFactor</f>
        <v>9300.2663115823889</v>
      </c>
      <c r="S395" s="751">
        <f>$H$21*$M$8*'Traffic Data'!AU45*annualizationFactor</f>
        <v>9619.2816759763264</v>
      </c>
      <c r="T395" s="751">
        <f>$H$21*$M$8*'Traffic Data'!AV45*annualizationFactor</f>
        <v>9938.3426139937528</v>
      </c>
      <c r="U395" s="751">
        <f>$H$21*$M$8*'Traffic Data'!AW45*annualizationFactor</f>
        <v>10257.460519040531</v>
      </c>
      <c r="V395" s="751">
        <f>$H$21*$M$8*'Traffic Data'!AX45*annualizationFactor</f>
        <v>10515.156573035607</v>
      </c>
      <c r="W395" s="751">
        <f>$H$21*$M$8*'Traffic Data'!AY45*annualizationFactor</f>
        <v>10709.00398052841</v>
      </c>
      <c r="X395" s="751">
        <f>$H$21*$M$8*'Traffic Data'!AZ45*annualizationFactor</f>
        <v>10902.851388021214</v>
      </c>
      <c r="Y395" s="751">
        <f>$H$21*$M$8*'Traffic Data'!BA45*annualizationFactor</f>
        <v>11096.698795514018</v>
      </c>
      <c r="Z395" s="751">
        <f>$H$21*$M$8*'Traffic Data'!BB45*annualizationFactor</f>
        <v>11290.489235977466</v>
      </c>
      <c r="AA395" s="751">
        <f>$H$21*$M$8*'Traffic Data'!BC45*annualizationFactor</f>
        <v>11484.336643470264</v>
      </c>
      <c r="AB395" s="751">
        <f>$H$21*$M$8*'Traffic Data'!BD45*annualizationFactor</f>
        <v>11678.12708393371</v>
      </c>
      <c r="AC395" s="751">
        <f>$H$21*$M$8*'Traffic Data'!BE45*annualizationFactor</f>
        <v>11871.974491426514</v>
      </c>
      <c r="AD395" s="751">
        <f>$H$21*$M$8*'Traffic Data'!BF45*annualizationFactor</f>
        <v>12065.821898919317</v>
      </c>
      <c r="AE395" s="751">
        <f>$H$21*$M$8*'Traffic Data'!BG45*annualizationFactor</f>
        <v>12259.612339382762</v>
      </c>
      <c r="AF395" s="751">
        <f>$H$21*$M$8*'Traffic Data'!BH45*annualizationFactor</f>
        <v>12453.459746875569</v>
      </c>
      <c r="AG395" s="751">
        <f>$H$21*$M$8*'Traffic Data'!BI45*annualizationFactor</f>
        <v>12647.307154368367</v>
      </c>
      <c r="AH395" s="752">
        <f>$H$21*$M$8*'Traffic Data'!BJ45*annualizationFactor</f>
        <v>12841.097594831817</v>
      </c>
      <c r="AI395" s="40"/>
      <c r="AJ395" s="40"/>
      <c r="AK395" s="40"/>
      <c r="AL395" s="40"/>
      <c r="AM395" s="40"/>
    </row>
    <row r="396" spans="2:39" ht="21.9" customHeight="1" x14ac:dyDescent="0.25">
      <c r="B396" s="470"/>
      <c r="C396" s="250" t="s">
        <v>274</v>
      </c>
      <c r="D396" s="250" t="s">
        <v>317</v>
      </c>
      <c r="E396" s="250" t="s">
        <v>19</v>
      </c>
      <c r="F396" s="250" t="s">
        <v>40</v>
      </c>
      <c r="G396" s="753"/>
      <c r="H396" s="753"/>
      <c r="I396" s="753">
        <f>$H$21*$M$8*'Traffic Data'!AK46*annualizationFactor</f>
        <v>168.89545454545456</v>
      </c>
      <c r="J396" s="753">
        <f>$H$21*$M$8*'Traffic Data'!AL46*annualizationFactor</f>
        <v>173.68476665151519</v>
      </c>
      <c r="K396" s="753">
        <f>$H$21*$M$8*'Traffic Data'!AM46*annualizationFactor</f>
        <v>179.14206028030301</v>
      </c>
      <c r="L396" s="753">
        <f>$H$21*$M$8*'Traffic Data'!AN46*annualizationFactor</f>
        <v>186.1151906136364</v>
      </c>
      <c r="M396" s="753">
        <f>$H$21*$M$8*'Traffic Data'!AO46*annualizationFactor</f>
        <v>193.09057288636365</v>
      </c>
      <c r="N396" s="753">
        <f>$H$21*$M$8*'Traffic Data'!AP46*annualizationFactor</f>
        <v>200.064829189394</v>
      </c>
      <c r="O396" s="753">
        <f>$H$21*$M$8*'Traffic Data'!AQ46*annualizationFactor</f>
        <v>207.03795952272733</v>
      </c>
      <c r="P396" s="753">
        <f>$H$21*$M$8*'Traffic Data'!AR46*annualizationFactor</f>
        <v>214.01249731818186</v>
      </c>
      <c r="Q396" s="753">
        <f>$H$21*$M$8*'Traffic Data'!AS46*annualizationFactor</f>
        <v>221.89541116666669</v>
      </c>
      <c r="R396" s="753">
        <f>$H$21*$M$8*'Traffic Data'!AT46*annualizationFactor</f>
        <v>229.7780435227273</v>
      </c>
      <c r="S396" s="753">
        <f>$H$21*$M$8*'Traffic Data'!AU46*annualizationFactor</f>
        <v>237.65983140151513</v>
      </c>
      <c r="T396" s="753">
        <f>$H$21*$M$8*'Traffic Data'!AV46*annualizationFactor</f>
        <v>245.54274525000008</v>
      </c>
      <c r="U396" s="753">
        <f>$H$21*$M$8*'Traffic Data'!AW46*annualizationFactor</f>
        <v>253.42706656060608</v>
      </c>
      <c r="V396" s="753">
        <f>$H$21*$M$8*'Traffic Data'!AX46*annualizationFactor</f>
        <v>259.79386221212127</v>
      </c>
      <c r="W396" s="753">
        <f>$H$21*$M$8*'Traffic Data'!AY46*annualizationFactor</f>
        <v>264.58317431818188</v>
      </c>
      <c r="X396" s="753">
        <f>$H$21*$M$8*'Traffic Data'!AZ46*annualizationFactor</f>
        <v>269.37248642424254</v>
      </c>
      <c r="Y396" s="753">
        <f>$H$21*$M$8*'Traffic Data'!BA46*annualizationFactor</f>
        <v>274.16179853030309</v>
      </c>
      <c r="Z396" s="753">
        <f>$H$21*$M$8*'Traffic Data'!BB46*annualizationFactor</f>
        <v>278.94970317424247</v>
      </c>
      <c r="AA396" s="753">
        <f>$H$21*$M$8*'Traffic Data'!BC46*annualizationFactor</f>
        <v>283.73901528030297</v>
      </c>
      <c r="AB396" s="753">
        <f>$H$21*$M$8*'Traffic Data'!BD46*annualizationFactor</f>
        <v>288.52691992424235</v>
      </c>
      <c r="AC396" s="753">
        <f>$H$21*$M$8*'Traffic Data'!BE46*annualizationFactor</f>
        <v>293.31623203030296</v>
      </c>
      <c r="AD396" s="753">
        <f>$H$21*$M$8*'Traffic Data'!BF46*annualizationFactor</f>
        <v>298.10554413636362</v>
      </c>
      <c r="AE396" s="753">
        <f>$H$21*$M$8*'Traffic Data'!BG46*annualizationFactor</f>
        <v>302.893448780303</v>
      </c>
      <c r="AF396" s="753">
        <f>$H$21*$M$8*'Traffic Data'!BH46*annualizationFactor</f>
        <v>307.68276088636367</v>
      </c>
      <c r="AG396" s="753">
        <f>$H$21*$M$8*'Traffic Data'!BI46*annualizationFactor</f>
        <v>312.47207299242416</v>
      </c>
      <c r="AH396" s="757">
        <f>$H$21*$M$8*'Traffic Data'!BJ46*annualizationFactor</f>
        <v>317.2599776363636</v>
      </c>
      <c r="AI396" s="40"/>
      <c r="AJ396" s="40"/>
      <c r="AK396" s="40"/>
      <c r="AL396" s="40"/>
      <c r="AM396" s="40"/>
    </row>
    <row r="397" spans="2:39" ht="21.9" customHeight="1" thickBot="1" x14ac:dyDescent="0.3">
      <c r="B397" s="1073" t="s">
        <v>463</v>
      </c>
      <c r="C397" s="237"/>
      <c r="D397" s="237"/>
      <c r="E397" s="237"/>
      <c r="F397" s="237"/>
      <c r="G397" s="940">
        <f t="shared" ref="G397:AH397" si="38">SUM(G377:G396)</f>
        <v>0</v>
      </c>
      <c r="H397" s="940">
        <f t="shared" si="38"/>
        <v>0</v>
      </c>
      <c r="I397" s="759">
        <f t="shared" si="38"/>
        <v>85212.491520757583</v>
      </c>
      <c r="J397" s="759">
        <f t="shared" si="38"/>
        <v>89977.91878012399</v>
      </c>
      <c r="K397" s="759">
        <f t="shared" si="38"/>
        <v>98957.209338067041</v>
      </c>
      <c r="L397" s="759">
        <f t="shared" si="38"/>
        <v>114175.54604077245</v>
      </c>
      <c r="M397" s="759">
        <f t="shared" si="38"/>
        <v>129401.51275270971</v>
      </c>
      <c r="N397" s="759">
        <f t="shared" si="38"/>
        <v>144627.691017745</v>
      </c>
      <c r="O397" s="759">
        <f t="shared" si="38"/>
        <v>159846.02772045037</v>
      </c>
      <c r="P397" s="759">
        <f t="shared" si="38"/>
        <v>175079.80755750838</v>
      </c>
      <c r="Q397" s="759">
        <f t="shared" si="38"/>
        <v>189658.38826632814</v>
      </c>
      <c r="R397" s="759">
        <f t="shared" si="38"/>
        <v>204240.84135467571</v>
      </c>
      <c r="S397" s="759">
        <f t="shared" si="38"/>
        <v>218819.14964188312</v>
      </c>
      <c r="T397" s="759">
        <f t="shared" si="38"/>
        <v>233397.73035070294</v>
      </c>
      <c r="U397" s="759">
        <f t="shared" si="38"/>
        <v>247992.06254349172</v>
      </c>
      <c r="V397" s="759">
        <f t="shared" si="38"/>
        <v>256402.88448636606</v>
      </c>
      <c r="W397" s="759">
        <f t="shared" si="38"/>
        <v>261013.8816801825</v>
      </c>
      <c r="X397" s="759">
        <f t="shared" si="38"/>
        <v>265624.87887399888</v>
      </c>
      <c r="Y397" s="759">
        <f t="shared" si="38"/>
        <v>270235.87606781535</v>
      </c>
      <c r="Z397" s="759">
        <f t="shared" si="38"/>
        <v>274850.89047351561</v>
      </c>
      <c r="AA397" s="759">
        <f t="shared" si="38"/>
        <v>279461.88766733214</v>
      </c>
      <c r="AB397" s="759">
        <f t="shared" si="38"/>
        <v>284076.91018001427</v>
      </c>
      <c r="AC397" s="759">
        <f t="shared" si="38"/>
        <v>288687.90737383062</v>
      </c>
      <c r="AD397" s="759">
        <f t="shared" si="38"/>
        <v>293298.90456764703</v>
      </c>
      <c r="AE397" s="759">
        <f t="shared" si="38"/>
        <v>297913.91897334746</v>
      </c>
      <c r="AF397" s="759">
        <f t="shared" si="38"/>
        <v>302524.91616716381</v>
      </c>
      <c r="AG397" s="759">
        <f t="shared" si="38"/>
        <v>307135.91336098028</v>
      </c>
      <c r="AH397" s="760">
        <f t="shared" si="38"/>
        <v>311750.93587366253</v>
      </c>
      <c r="AI397" s="40"/>
      <c r="AJ397" s="40"/>
      <c r="AK397" s="40"/>
      <c r="AL397" s="40"/>
      <c r="AM397" s="40"/>
    </row>
    <row r="398" spans="2:39" ht="21.9" customHeight="1" x14ac:dyDescent="0.25">
      <c r="B398" s="548" t="s">
        <v>312</v>
      </c>
      <c r="C398" s="1331" t="s">
        <v>18</v>
      </c>
      <c r="D398" s="1331"/>
      <c r="E398" s="197" t="s">
        <v>24</v>
      </c>
      <c r="F398" s="197" t="s">
        <v>42</v>
      </c>
      <c r="G398" s="459">
        <v>2021</v>
      </c>
      <c r="H398" s="459">
        <v>2022</v>
      </c>
      <c r="I398" s="459">
        <v>2023</v>
      </c>
      <c r="J398" s="459">
        <v>2024</v>
      </c>
      <c r="K398" s="459">
        <v>2025</v>
      </c>
      <c r="L398" s="459">
        <v>2026</v>
      </c>
      <c r="M398" s="459">
        <v>2027</v>
      </c>
      <c r="N398" s="459">
        <v>2028</v>
      </c>
      <c r="O398" s="459">
        <v>2029</v>
      </c>
      <c r="P398" s="459">
        <v>2030</v>
      </c>
      <c r="Q398" s="459">
        <v>2031</v>
      </c>
      <c r="R398" s="459">
        <v>2032</v>
      </c>
      <c r="S398" s="459">
        <v>2033</v>
      </c>
      <c r="T398" s="459">
        <v>2034</v>
      </c>
      <c r="U398" s="459">
        <v>2035</v>
      </c>
      <c r="V398" s="459">
        <v>2036</v>
      </c>
      <c r="W398" s="459">
        <v>2037</v>
      </c>
      <c r="X398" s="459">
        <v>2038</v>
      </c>
      <c r="Y398" s="459">
        <v>2039</v>
      </c>
      <c r="Z398" s="459">
        <v>2040</v>
      </c>
      <c r="AA398" s="459">
        <v>2041</v>
      </c>
      <c r="AB398" s="459">
        <v>2042</v>
      </c>
      <c r="AC398" s="459">
        <v>2043</v>
      </c>
      <c r="AD398" s="459">
        <v>2044</v>
      </c>
      <c r="AE398" s="459">
        <v>2045</v>
      </c>
      <c r="AF398" s="459">
        <v>2046</v>
      </c>
      <c r="AG398" s="459">
        <v>2047</v>
      </c>
      <c r="AH398" s="459">
        <v>2048</v>
      </c>
      <c r="AI398" s="247"/>
      <c r="AJ398" s="247"/>
      <c r="AK398" s="247"/>
      <c r="AL398" s="247"/>
      <c r="AM398" s="247"/>
    </row>
    <row r="399" spans="2:39" ht="21.9" customHeight="1" x14ac:dyDescent="0.25">
      <c r="B399" s="1332" t="s">
        <v>315</v>
      </c>
      <c r="C399" s="217" t="s">
        <v>316</v>
      </c>
      <c r="D399" s="217" t="s">
        <v>276</v>
      </c>
      <c r="E399" s="217" t="s">
        <v>434</v>
      </c>
      <c r="F399" s="217" t="s">
        <v>40</v>
      </c>
      <c r="G399" s="749"/>
      <c r="H399" s="749"/>
      <c r="I399" s="749">
        <f>$H$22*$E$9*'Traffic Data'!AK27*annualizationFactor</f>
        <v>3845.795928</v>
      </c>
      <c r="J399" s="749">
        <f>$H$22*$E$9*'Traffic Data'!AL27*annualizationFactor</f>
        <v>4020.6714797135251</v>
      </c>
      <c r="K399" s="749">
        <f>$H$22*$E$9*'Traffic Data'!AM27*annualizationFactor</f>
        <v>4267.0547994633007</v>
      </c>
      <c r="L399" s="749">
        <f>$H$22*$E$9*'Traffic Data'!AN27*annualizationFactor</f>
        <v>4629.4729932281998</v>
      </c>
      <c r="M399" s="749">
        <f>$H$22*$E$9*'Traffic Data'!AO27*annualizationFactor</f>
        <v>4992.0233862281248</v>
      </c>
      <c r="N399" s="749">
        <f>$H$22*$E$9*'Traffic Data'!AP27*annualizationFactor</f>
        <v>5354.5737792280497</v>
      </c>
      <c r="O399" s="749">
        <f>$H$22*$E$9*'Traffic Data'!AQ27*annualizationFactor</f>
        <v>5716.9919729929488</v>
      </c>
      <c r="P399" s="749">
        <f>$H$22*$E$9*'Traffic Data'!AR27*annualizationFactor</f>
        <v>6079.6745652278987</v>
      </c>
      <c r="Q399" s="749">
        <f>$H$22*$E$9*'Traffic Data'!AS27*annualizationFactor</f>
        <v>6438.0666913806745</v>
      </c>
      <c r="R399" s="749">
        <f>$H$22*$E$9*'Traffic Data'!AT27*annualizationFactor</f>
        <v>6796.5309262071005</v>
      </c>
      <c r="S399" s="749">
        <f>$H$22*$E$9*'Traffic Data'!AU27*annualizationFactor</f>
        <v>7154.9230523598762</v>
      </c>
      <c r="T399" s="749">
        <f>$H$22*$E$9*'Traffic Data'!AV27*annualizationFactor</f>
        <v>7513.3151785126493</v>
      </c>
      <c r="U399" s="749">
        <f>$H$22*$E$9*'Traffic Data'!AW27*annualizationFactor</f>
        <v>7871.9717031354749</v>
      </c>
      <c r="V399" s="749">
        <f>$H$22*$E$9*'Traffic Data'!AX27*annualizationFactor</f>
        <v>8114.1967560380999</v>
      </c>
      <c r="W399" s="749">
        <f>$H$22*$E$9*'Traffic Data'!AY27*annualizationFactor</f>
        <v>8289.072307751625</v>
      </c>
      <c r="X399" s="749">
        <f>$H$22*$E$9*'Traffic Data'!AZ27*annualizationFactor</f>
        <v>8463.9478594651482</v>
      </c>
      <c r="Y399" s="749">
        <f>$H$22*$E$9*'Traffic Data'!BA27*annualizationFactor</f>
        <v>8638.8234111786733</v>
      </c>
      <c r="Z399" s="749">
        <f>$H$22*$E$9*'Traffic Data'!BB27*annualizationFactor</f>
        <v>8813.7590534535757</v>
      </c>
      <c r="AA399" s="749">
        <f>$H$22*$E$9*'Traffic Data'!BC27*annualizationFactor</f>
        <v>8988.6346051671007</v>
      </c>
      <c r="AB399" s="749">
        <f>$H$22*$E$9*'Traffic Data'!BD27*annualizationFactor</f>
        <v>9163.5702474419977</v>
      </c>
      <c r="AC399" s="749">
        <f>$H$22*$E$9*'Traffic Data'!BE27*annualizationFactor</f>
        <v>9338.4457991555264</v>
      </c>
      <c r="AD399" s="749">
        <f>$H$22*$E$9*'Traffic Data'!BF27*annualizationFactor</f>
        <v>9513.3213508690496</v>
      </c>
      <c r="AE399" s="749">
        <f>$H$22*$E$9*'Traffic Data'!BG27*annualizationFactor</f>
        <v>9688.2569931439484</v>
      </c>
      <c r="AF399" s="749">
        <f>$H$22*$E$9*'Traffic Data'!BH27*annualizationFactor</f>
        <v>9863.1325448574735</v>
      </c>
      <c r="AG399" s="749">
        <f>$H$22*$E$9*'Traffic Data'!BI27*annualizationFactor</f>
        <v>10038.008096571</v>
      </c>
      <c r="AH399" s="750">
        <f>$H$22*$E$9*'Traffic Data'!BJ27*annualizationFactor</f>
        <v>10212.943738845899</v>
      </c>
      <c r="AI399" s="40"/>
      <c r="AJ399" s="40"/>
      <c r="AK399" s="40"/>
      <c r="AL399" s="40"/>
      <c r="AM399" s="40"/>
    </row>
    <row r="400" spans="2:39" ht="21.9" customHeight="1" x14ac:dyDescent="0.25">
      <c r="B400" s="1332"/>
      <c r="C400" s="114" t="s">
        <v>276</v>
      </c>
      <c r="D400" s="114" t="s">
        <v>274</v>
      </c>
      <c r="E400" s="114" t="s">
        <v>434</v>
      </c>
      <c r="F400" s="114" t="s">
        <v>40</v>
      </c>
      <c r="G400" s="941"/>
      <c r="H400" s="941"/>
      <c r="I400" s="751">
        <f>$H$22*$E$9*'Traffic Data'!AK28*annualizationFactor</f>
        <v>123662.92513397729</v>
      </c>
      <c r="J400" s="751">
        <f>$H$22*$E$9*'Traffic Data'!AL28*annualizationFactor</f>
        <v>130190.49553771593</v>
      </c>
      <c r="K400" s="751">
        <f>$H$22*$E$9*'Traffic Data'!AM28*annualizationFactor</f>
        <v>139989.17931666528</v>
      </c>
      <c r="L400" s="751">
        <f>$H$22*$E$9*'Traffic Data'!AN28*annualizationFactor</f>
        <v>156178.03024920434</v>
      </c>
      <c r="M400" s="751">
        <f>$H$22*$E$9*'Traffic Data'!AO28*annualizationFactor</f>
        <v>172374.20935508475</v>
      </c>
      <c r="N400" s="751">
        <f>$H$22*$E$9*'Traffic Data'!AP28*annualizationFactor</f>
        <v>188569.47243929745</v>
      </c>
      <c r="O400" s="751">
        <f>$H$22*$E$9*'Traffic Data'!AQ28*annualizationFactor</f>
        <v>204758.32337183662</v>
      </c>
      <c r="P400" s="751">
        <f>$H$22*$E$9*'Traffic Data'!AR28*annualizationFactor</f>
        <v>220961.83065105823</v>
      </c>
      <c r="Q400" s="751">
        <f>$H$22*$E$9*'Traffic Data'!AS28*annualizationFactor</f>
        <v>237309.15333210235</v>
      </c>
      <c r="R400" s="751">
        <f>$H$22*$E$9*'Traffic Data'!AT28*annualizationFactor</f>
        <v>253661.97214315244</v>
      </c>
      <c r="S400" s="751">
        <f>$H$22*$E$9*'Traffic Data'!AU28*annualizationFactor</f>
        <v>270009.29482419655</v>
      </c>
      <c r="T400" s="751">
        <f>$H$22*$E$9*'Traffic Data'!AV28*annualizationFactor</f>
        <v>286356.61750524072</v>
      </c>
      <c r="U400" s="751">
        <f>$H$22*$E$9*'Traffic Data'!AW28*annualizationFactor</f>
        <v>302718.59653296741</v>
      </c>
      <c r="V400" s="751">
        <f>$H$22*$E$9*'Traffic Data'!AX28*annualizationFactor</f>
        <v>312668.42388708051</v>
      </c>
      <c r="W400" s="751">
        <f>$H$22*$E$9*'Traffic Data'!AY28*annualizationFactor</f>
        <v>319195.9942908191</v>
      </c>
      <c r="X400" s="751">
        <f>$H$22*$E$9*'Traffic Data'!AZ28*annualizationFactor</f>
        <v>325723.5646945578</v>
      </c>
      <c r="Y400" s="751">
        <f>$H$22*$E$9*'Traffic Data'!BA28*annualizationFactor</f>
        <v>332251.13509829663</v>
      </c>
      <c r="Z400" s="751">
        <f>$H$22*$E$9*'Traffic Data'!BB28*annualizationFactor</f>
        <v>338782.36958870583</v>
      </c>
      <c r="AA400" s="751">
        <f>$H$22*$E$9*'Traffic Data'!BC28*annualizationFactor</f>
        <v>345309.93999244442</v>
      </c>
      <c r="AB400" s="751">
        <f>$H$22*$E$9*'Traffic Data'!BD28*annualizationFactor</f>
        <v>351841.17448285385</v>
      </c>
      <c r="AC400" s="751">
        <f>$H$22*$E$9*'Traffic Data'!BE28*annualizationFactor</f>
        <v>358368.74488659255</v>
      </c>
      <c r="AD400" s="751">
        <f>$H$22*$E$9*'Traffic Data'!BF28*annualizationFactor</f>
        <v>364896.3152903312</v>
      </c>
      <c r="AE400" s="751">
        <f>$H$22*$E$9*'Traffic Data'!BG28*annualizationFactor</f>
        <v>371427.54978074058</v>
      </c>
      <c r="AF400" s="751">
        <f>$H$22*$E$9*'Traffic Data'!BH28*annualizationFactor</f>
        <v>377955.12018447916</v>
      </c>
      <c r="AG400" s="751">
        <f>$H$22*$E$9*'Traffic Data'!BI28*annualizationFactor</f>
        <v>384482.69058821787</v>
      </c>
      <c r="AH400" s="752">
        <f>$H$22*$E$9*'Traffic Data'!BJ28*annualizationFactor</f>
        <v>391013.92507862719</v>
      </c>
      <c r="AI400" s="40"/>
      <c r="AJ400" s="40"/>
      <c r="AK400" s="40"/>
      <c r="AL400" s="40"/>
      <c r="AM400" s="40"/>
    </row>
    <row r="401" spans="2:39" ht="21.9" customHeight="1" x14ac:dyDescent="0.25">
      <c r="B401" s="1332"/>
      <c r="C401" s="114" t="s">
        <v>274</v>
      </c>
      <c r="D401" s="114" t="s">
        <v>317</v>
      </c>
      <c r="E401" s="250" t="s">
        <v>434</v>
      </c>
      <c r="F401" s="114" t="s">
        <v>40</v>
      </c>
      <c r="G401" s="753"/>
      <c r="H401" s="753"/>
      <c r="I401" s="751">
        <f>$H$22*$E$9*'Traffic Data'!AK29*annualizationFactor</f>
        <v>2884.3469460000001</v>
      </c>
      <c r="J401" s="751">
        <f>$H$22*$E$9*'Traffic Data'!AL29*annualizationFactor</f>
        <v>3004.7924672200497</v>
      </c>
      <c r="K401" s="751">
        <f>$H$22*$E$9*'Traffic Data'!AM29*annualizationFactor</f>
        <v>3153.8651318791494</v>
      </c>
      <c r="L401" s="751">
        <f>$H$22*$E$9*'Traffic Data'!AN29*annualizationFactor</f>
        <v>3354.5676068716498</v>
      </c>
      <c r="M401" s="751">
        <f>$H$22*$E$9*'Traffic Data'!AO29*annualizationFactor</f>
        <v>3555.3421905378004</v>
      </c>
      <c r="N401" s="751">
        <f>$H$22*$E$9*'Traffic Data'!AP29*annualizationFactor</f>
        <v>3756.0927379794007</v>
      </c>
      <c r="O401" s="751">
        <f>$H$22*$E$9*'Traffic Data'!AQ29*annualizationFactor</f>
        <v>3956.7952129719006</v>
      </c>
      <c r="P401" s="751">
        <f>$H$22*$E$9*'Traffic Data'!AR29*annualizationFactor</f>
        <v>4157.6419053117015</v>
      </c>
      <c r="Q401" s="751">
        <f>$H$22*$E$9*'Traffic Data'!AS29*annualizationFactor</f>
        <v>4352.2391792685003</v>
      </c>
      <c r="R401" s="751">
        <f>$H$22*$E$9*'Traffic Data'!AT29*annualizationFactor</f>
        <v>4546.9085618989484</v>
      </c>
      <c r="S401" s="751">
        <f>$H$22*$E$9*'Traffic Data'!AU29*annualizationFactor</f>
        <v>4741.5058358557499</v>
      </c>
      <c r="T401" s="751">
        <f>$H$22*$E$9*'Traffic Data'!AV29*annualizationFactor</f>
        <v>4936.1031098125495</v>
      </c>
      <c r="U401" s="751">
        <f>$H$22*$E$9*'Traffic Data'!AW29*annualizationFactor</f>
        <v>5130.8446011166507</v>
      </c>
      <c r="V401" s="751">
        <f>$H$22*$E$9*'Traffic Data'!AX29*annualizationFactor</f>
        <v>5273.7399560663989</v>
      </c>
      <c r="W401" s="751">
        <f>$H$22*$E$9*'Traffic Data'!AY29*annualizationFactor</f>
        <v>5394.1854772864499</v>
      </c>
      <c r="X401" s="751">
        <f>$H$22*$E$9*'Traffic Data'!AZ29*annualizationFactor</f>
        <v>5514.6309985064991</v>
      </c>
      <c r="Y401" s="751">
        <f>$H$22*$E$9*'Traffic Data'!BA29*annualizationFactor</f>
        <v>5635.07651972655</v>
      </c>
      <c r="Z401" s="751">
        <f>$H$22*$E$9*'Traffic Data'!BB29*annualizationFactor</f>
        <v>5755.5701133957</v>
      </c>
      <c r="AA401" s="751">
        <f>$H$22*$E$9*'Traffic Data'!BC29*annualizationFactor</f>
        <v>5876.0156346157491</v>
      </c>
      <c r="AB401" s="751">
        <f>$H$22*$E$9*'Traffic Data'!BD29*annualizationFactor</f>
        <v>5996.5092282849</v>
      </c>
      <c r="AC401" s="751">
        <f>$H$22*$E$9*'Traffic Data'!BE29*annualizationFactor</f>
        <v>6116.9547495049519</v>
      </c>
      <c r="AD401" s="751">
        <f>$H$22*$E$9*'Traffic Data'!BF29*annualizationFactor</f>
        <v>6237.4002707249992</v>
      </c>
      <c r="AE401" s="751">
        <f>$H$22*$E$9*'Traffic Data'!BG29*annualizationFactor</f>
        <v>6357.8938643941501</v>
      </c>
      <c r="AF401" s="751">
        <f>$H$22*$E$9*'Traffic Data'!BH29*annualizationFactor</f>
        <v>6478.3393856142002</v>
      </c>
      <c r="AG401" s="751">
        <f>$H$22*$E$9*'Traffic Data'!BI29*annualizationFactor</f>
        <v>6598.7849068342493</v>
      </c>
      <c r="AH401" s="752">
        <f>$H$22*$E$9*'Traffic Data'!BJ29*annualizationFactor</f>
        <v>6719.2785005034002</v>
      </c>
      <c r="AI401" s="40"/>
      <c r="AJ401" s="40"/>
      <c r="AK401" s="40"/>
      <c r="AL401" s="40"/>
      <c r="AM401" s="40"/>
    </row>
    <row r="402" spans="2:39" ht="21.9" customHeight="1" x14ac:dyDescent="0.25">
      <c r="B402" s="1332" t="s">
        <v>274</v>
      </c>
      <c r="C402" s="217" t="s">
        <v>275</v>
      </c>
      <c r="D402" s="217" t="s">
        <v>318</v>
      </c>
      <c r="E402" s="114" t="s">
        <v>434</v>
      </c>
      <c r="F402" s="217" t="s">
        <v>40</v>
      </c>
      <c r="G402" s="941"/>
      <c r="H402" s="941"/>
      <c r="I402" s="749">
        <f>$H$22*$F$9*'Traffic Data'!AK30*annualizationFactor</f>
        <v>26884.241440000002</v>
      </c>
      <c r="J402" s="749">
        <f>$H$22*$F$9*'Traffic Data'!AL30*annualizationFactor</f>
        <v>29603.716882863198</v>
      </c>
      <c r="K402" s="749">
        <f>$H$22*$F$9*'Traffic Data'!AM30*annualizationFactor</f>
        <v>35683.722505726393</v>
      </c>
      <c r="L402" s="749">
        <f>$H$22*$F$9*'Traffic Data'!AN30*annualizationFactor</f>
        <v>47895.889179846403</v>
      </c>
      <c r="M402" s="749">
        <f>$H$22*$F$9*'Traffic Data'!AO30*annualizationFactor</f>
        <v>60115.583441569594</v>
      </c>
      <c r="N402" s="749">
        <f>$H$22*$F$9*'Traffic Data'!AP30*annualizationFactor</f>
        <v>72333.933491220785</v>
      </c>
      <c r="O402" s="749">
        <f>$H$22*$F$9*'Traffic Data'!AQ30*annualizationFactor</f>
        <v>84546.100165340787</v>
      </c>
      <c r="P402" s="749">
        <f>$H$22*$F$9*'Traffic Data'!AR30*annualizationFactor</f>
        <v>96773.322014667196</v>
      </c>
      <c r="Q402" s="749">
        <f>$H$22*$F$9*'Traffic Data'!AS30*annualizationFactor</f>
        <v>108771.22128451038</v>
      </c>
      <c r="R402" s="749">
        <f>$H$22*$F$9*'Traffic Data'!AT30*annualizationFactor</f>
        <v>120775.16950867756</v>
      </c>
      <c r="S402" s="749">
        <f>$H$22*$F$9*'Traffic Data'!AU30*annualizationFactor</f>
        <v>132773.06877852077</v>
      </c>
      <c r="T402" s="749">
        <f>$H$22*$F$9*'Traffic Data'!AV30*annualizationFactor</f>
        <v>144770.96804836398</v>
      </c>
      <c r="U402" s="749">
        <f>$H$22*$F$9*'Traffic Data'!AW30*annualizationFactor</f>
        <v>156783.92249341361</v>
      </c>
      <c r="V402" s="749">
        <f>$H$22*$F$9*'Traffic Data'!AX30*annualizationFactor</f>
        <v>162642.13312439676</v>
      </c>
      <c r="W402" s="749">
        <f>$H$22*$F$9*'Traffic Data'!AY30*annualizationFactor</f>
        <v>165361.60856725997</v>
      </c>
      <c r="X402" s="749">
        <f>$H$22*$F$9*'Traffic Data'!AZ30*annualizationFactor</f>
        <v>168081.08401012316</v>
      </c>
      <c r="Y402" s="749">
        <f>$H$22*$F$9*'Traffic Data'!BA30*annualizationFactor</f>
        <v>170800.55945298634</v>
      </c>
      <c r="Z402" s="749">
        <f>$H$22*$F$9*'Traffic Data'!BB30*annualizationFactor</f>
        <v>173524.2019532728</v>
      </c>
      <c r="AA402" s="749">
        <f>$H$22*$F$9*'Traffic Data'!BC30*annualizationFactor</f>
        <v>176243.67739613599</v>
      </c>
      <c r="AB402" s="749">
        <f>$H$22*$F$9*'Traffic Data'!BD30*annualizationFactor</f>
        <v>178967.31989642236</v>
      </c>
      <c r="AC402" s="749">
        <f>$H$22*$F$9*'Traffic Data'!BE30*annualizationFactor</f>
        <v>181686.79533928554</v>
      </c>
      <c r="AD402" s="749">
        <f>$H$22*$F$9*'Traffic Data'!BF30*annualizationFactor</f>
        <v>184406.27078214876</v>
      </c>
      <c r="AE402" s="749">
        <f>$H$22*$F$9*'Traffic Data'!BG30*annualizationFactor</f>
        <v>187129.91328243521</v>
      </c>
      <c r="AF402" s="749">
        <f>$H$22*$F$9*'Traffic Data'!BH30*annualizationFactor</f>
        <v>189849.38872529837</v>
      </c>
      <c r="AG402" s="749">
        <f>$H$22*$F$9*'Traffic Data'!BI30*annualizationFactor</f>
        <v>192568.86416816156</v>
      </c>
      <c r="AH402" s="750">
        <f>$H$22*$F$9*'Traffic Data'!BJ30*annualizationFactor</f>
        <v>195292.50666844792</v>
      </c>
      <c r="AI402" s="40"/>
      <c r="AJ402" s="40"/>
      <c r="AK402" s="40"/>
      <c r="AL402" s="40"/>
      <c r="AM402" s="40"/>
    </row>
    <row r="403" spans="2:39" ht="21.9" customHeight="1" x14ac:dyDescent="0.25">
      <c r="B403" s="1332"/>
      <c r="C403" s="114" t="s">
        <v>318</v>
      </c>
      <c r="D403" s="114" t="s">
        <v>308</v>
      </c>
      <c r="E403" s="114" t="s">
        <v>434</v>
      </c>
      <c r="F403" s="114" t="s">
        <v>40</v>
      </c>
      <c r="G403" s="941"/>
      <c r="H403" s="941"/>
      <c r="I403" s="751">
        <f>$H$22*$F$9*'Traffic Data'!AK31*annualizationFactor</f>
        <v>3114.0048000000002</v>
      </c>
      <c r="J403" s="751">
        <f>$H$22*$F$9*'Traffic Data'!AL31*annualizationFactor</f>
        <v>3439.0031009600002</v>
      </c>
      <c r="K403" s="751">
        <f>$H$22*$F$9*'Traffic Data'!AM31*annualizationFactor</f>
        <v>3887.6533425199991</v>
      </c>
      <c r="L403" s="751">
        <f>$H$22*$F$9*'Traffic Data'!AN31*annualizationFactor</f>
        <v>4711.5671125199997</v>
      </c>
      <c r="M403" s="751">
        <f>$H$22*$F$9*'Traffic Data'!AO31*annualizationFactor</f>
        <v>5535.7144328800005</v>
      </c>
      <c r="N403" s="751">
        <f>$H$22*$F$9*'Traffic Data'!AP31*annualizationFactor</f>
        <v>6360.0174534799999</v>
      </c>
      <c r="O403" s="751">
        <f>$H$22*$F$9*'Traffic Data'!AQ31*annualizationFactor</f>
        <v>7183.93122348</v>
      </c>
      <c r="P403" s="751">
        <f>$H$22*$F$9*'Traffic Data'!AR31*annualizationFactor</f>
        <v>8008.5975446400016</v>
      </c>
      <c r="Q403" s="751">
        <f>$H$22*$F$9*'Traffic Data'!AS31*annualizationFactor</f>
        <v>9194.3586723999997</v>
      </c>
      <c r="R403" s="751">
        <f>$H$22*$F$9*'Traffic Data'!AT31*annualizationFactor</f>
        <v>10380.379300559998</v>
      </c>
      <c r="S403" s="751">
        <f>$H$22*$F$9*'Traffic Data'!AU31*annualizationFactor</f>
        <v>11565.906877959998</v>
      </c>
      <c r="T403" s="751">
        <f>$H$22*$F$9*'Traffic Data'!AV31*annualizationFactor</f>
        <v>12751.668005720001</v>
      </c>
      <c r="U403" s="751">
        <f>$H$22*$F$9*'Traffic Data'!AW31*annualizationFactor</f>
        <v>13938.181684640002</v>
      </c>
      <c r="V403" s="751">
        <f>$H$22*$F$9*'Traffic Data'!AX31*annualizationFactor</f>
        <v>14747.926732799999</v>
      </c>
      <c r="W403" s="751">
        <f>$H$22*$F$9*'Traffic Data'!AY31*annualizationFactor</f>
        <v>15072.925033760001</v>
      </c>
      <c r="X403" s="751">
        <f>$H$22*$F$9*'Traffic Data'!AZ31*annualizationFactor</f>
        <v>15397.923334720001</v>
      </c>
      <c r="Y403" s="751">
        <f>$H$22*$F$9*'Traffic Data'!BA31*annualizationFactor</f>
        <v>15722.921635679999</v>
      </c>
      <c r="Z403" s="751">
        <f>$H$22*$F$9*'Traffic Data'!BB31*annualizationFactor</f>
        <v>16048.153487000003</v>
      </c>
      <c r="AA403" s="751">
        <f>$H$22*$F$9*'Traffic Data'!BC31*annualizationFactor</f>
        <v>16373.15178796</v>
      </c>
      <c r="AB403" s="751">
        <f>$H$22*$F$9*'Traffic Data'!BD31*annualizationFactor</f>
        <v>16698.38363928</v>
      </c>
      <c r="AC403" s="751">
        <f>$H$22*$F$9*'Traffic Data'!BE31*annualizationFactor</f>
        <v>17023.38194024</v>
      </c>
      <c r="AD403" s="751">
        <f>$H$22*$F$9*'Traffic Data'!BF31*annualizationFactor</f>
        <v>17348.3802412</v>
      </c>
      <c r="AE403" s="751">
        <f>$H$22*$F$9*'Traffic Data'!BG31*annualizationFactor</f>
        <v>17673.612092520001</v>
      </c>
      <c r="AF403" s="751">
        <f>$H$22*$F$9*'Traffic Data'!BH31*annualizationFactor</f>
        <v>17998.610393479998</v>
      </c>
      <c r="AG403" s="751">
        <f>$H$22*$F$9*'Traffic Data'!BI31*annualizationFactor</f>
        <v>18323.608694440001</v>
      </c>
      <c r="AH403" s="752">
        <f>$H$22*$F$9*'Traffic Data'!BJ31*annualizationFactor</f>
        <v>18648.840545759998</v>
      </c>
      <c r="AI403" s="26"/>
      <c r="AJ403" s="26"/>
      <c r="AK403" s="26"/>
      <c r="AL403" s="26"/>
      <c r="AM403" s="26"/>
    </row>
    <row r="404" spans="2:39" ht="21.9" customHeight="1" x14ac:dyDescent="0.25">
      <c r="B404" s="1332"/>
      <c r="C404" s="250" t="s">
        <v>308</v>
      </c>
      <c r="D404" s="250" t="s">
        <v>319</v>
      </c>
      <c r="E404" s="114" t="s">
        <v>434</v>
      </c>
      <c r="F404" s="114" t="s">
        <v>40</v>
      </c>
      <c r="G404" s="941"/>
      <c r="H404" s="941"/>
      <c r="I404" s="751">
        <f>$H$22*$F$9*'Traffic Data'!AK32*annualizationFactor</f>
        <v>41727.664320000003</v>
      </c>
      <c r="J404" s="751">
        <f>$H$22*$F$9*'Traffic Data'!AL32*annualizationFactor</f>
        <v>42896.178013174402</v>
      </c>
      <c r="K404" s="751">
        <f>$H$22*$F$9*'Traffic Data'!AM32*annualizationFactor</f>
        <v>44561.390003971203</v>
      </c>
      <c r="L404" s="751">
        <f>$H$22*$F$9*'Traffic Data'!AN32*annualizationFactor</f>
        <v>46898.556482534404</v>
      </c>
      <c r="M404" s="751">
        <f>$H$22*$F$9*'Traffic Data'!AO32*annualizationFactor</f>
        <v>49236.696606598387</v>
      </c>
      <c r="N404" s="751">
        <f>$H$22*$F$9*'Traffic Data'!AP32*annualizationFactor</f>
        <v>51574.628092340819</v>
      </c>
      <c r="O404" s="751">
        <f>$H$22*$F$9*'Traffic Data'!AQ32*annualizationFactor</f>
        <v>53911.794570904007</v>
      </c>
      <c r="P404" s="751">
        <f>$H$22*$F$9*'Traffic Data'!AR32*annualizationFactor</f>
        <v>56250.838794361611</v>
      </c>
      <c r="Q404" s="751">
        <f>$H$22*$F$9*'Traffic Data'!AS32*annualizationFactor</f>
        <v>58612.068226016003</v>
      </c>
      <c r="R404" s="751">
        <f>$H$22*$F$9*'Traffic Data'!AT32*annualizationFactor</f>
        <v>60973.993118742401</v>
      </c>
      <c r="S404" s="751">
        <f>$H$22*$F$9*'Traffic Data'!AU32*annualizationFactor</f>
        <v>63335.013912075192</v>
      </c>
      <c r="T404" s="751">
        <f>$H$22*$F$9*'Traffic Data'!AV32*annualizationFactor</f>
        <v>65696.243343729613</v>
      </c>
      <c r="U404" s="751">
        <f>$H$22*$F$9*'Traffic Data'!AW32*annualizationFactor</f>
        <v>68059.350520278414</v>
      </c>
      <c r="V404" s="751">
        <f>$H$22*$F$9*'Traffic Data'!AX32*annualizationFactor</f>
        <v>69747.512726451198</v>
      </c>
      <c r="W404" s="751">
        <f>$H$22*$F$9*'Traffic Data'!AY32*annualizationFactor</f>
        <v>70916.026419625603</v>
      </c>
      <c r="X404" s="751">
        <f>$H$22*$F$9*'Traffic Data'!AZ32*annualizationFactor</f>
        <v>72084.540112799994</v>
      </c>
      <c r="Y404" s="751">
        <f>$H$22*$F$9*'Traffic Data'!BA32*annualizationFactor</f>
        <v>73253.053805974385</v>
      </c>
      <c r="Z404" s="751">
        <f>$H$22*$F$9*'Traffic Data'!BB32*annualizationFactor</f>
        <v>74422.123868006398</v>
      </c>
      <c r="AA404" s="751">
        <f>$H$22*$F$9*'Traffic Data'!BC32*annualizationFactor</f>
        <v>75590.637561180818</v>
      </c>
      <c r="AB404" s="751">
        <f>$H$22*$F$9*'Traffic Data'!BD32*annualizationFactor</f>
        <v>76759.707623212817</v>
      </c>
      <c r="AC404" s="751">
        <f>$H$22*$F$9*'Traffic Data'!BE32*annualizationFactor</f>
        <v>77928.221316387207</v>
      </c>
      <c r="AD404" s="751">
        <f>$H$22*$F$9*'Traffic Data'!BF32*annualizationFactor</f>
        <v>79096.735009561613</v>
      </c>
      <c r="AE404" s="751">
        <f>$H$22*$F$9*'Traffic Data'!BG32*annualizationFactor</f>
        <v>80265.805071593582</v>
      </c>
      <c r="AF404" s="751">
        <f>$H$22*$F$9*'Traffic Data'!BH32*annualizationFactor</f>
        <v>81434.318764767988</v>
      </c>
      <c r="AG404" s="751">
        <f>$H$22*$F$9*'Traffic Data'!BI32*annualizationFactor</f>
        <v>82602.832457942379</v>
      </c>
      <c r="AH404" s="752">
        <f>$H$22*$F$9*'Traffic Data'!BJ32*annualizationFactor</f>
        <v>83771.902519974392</v>
      </c>
      <c r="AI404" s="26"/>
      <c r="AJ404" s="26"/>
      <c r="AK404" s="26"/>
      <c r="AL404" s="26"/>
      <c r="AM404" s="26"/>
    </row>
    <row r="405" spans="2:39" ht="21.9" customHeight="1" x14ac:dyDescent="0.25">
      <c r="B405" s="469" t="s">
        <v>320</v>
      </c>
      <c r="C405" s="114" t="s">
        <v>318</v>
      </c>
      <c r="D405" s="114" t="s">
        <v>308</v>
      </c>
      <c r="E405" s="273" t="s">
        <v>434</v>
      </c>
      <c r="F405" s="217" t="s">
        <v>40</v>
      </c>
      <c r="G405" s="754"/>
      <c r="H405" s="754"/>
      <c r="I405" s="749">
        <f>$H$22*$G$9*'Traffic Data'!AK33*annualizationFactor</f>
        <v>121.965188</v>
      </c>
      <c r="J405" s="749">
        <f>$H$22*$G$9*'Traffic Data'!AL33*annualizationFactor</f>
        <v>924.37415985200005</v>
      </c>
      <c r="K405" s="749">
        <f>$H$22*$G$9*'Traffic Data'!AM33*annualizationFactor</f>
        <v>5355.3694398919997</v>
      </c>
      <c r="L405" s="749">
        <f>$H$22*$G$9*'Traffic Data'!AN33*annualizationFactor</f>
        <v>12334.705358004001</v>
      </c>
      <c r="M405" s="749">
        <f>$H$22*$G$9*'Traffic Data'!AO33*annualizationFactor</f>
        <v>19318.432022883997</v>
      </c>
      <c r="N405" s="749">
        <f>$H$22*$G$9*'Traffic Data'!AP33*annualizationFactor</f>
        <v>26302.524583328006</v>
      </c>
      <c r="O405" s="749">
        <f>$H$22*$G$9*'Traffic Data'!AQ33*annualizationFactor</f>
        <v>33281.860501440002</v>
      </c>
      <c r="P405" s="749">
        <f>$H$22*$G$9*'Traffic Data'!AR33*annualizationFactor</f>
        <v>40270.465773840006</v>
      </c>
      <c r="Q405" s="749">
        <f>$H$22*$G$9*'Traffic Data'!AS33*annualizationFactor</f>
        <v>44194.573732551995</v>
      </c>
      <c r="R405" s="749">
        <f>$H$22*$G$9*'Traffic Data'!AT33*annualizationFactor</f>
        <v>48120.145273520007</v>
      </c>
      <c r="S405" s="749">
        <f>$H$22*$G$9*'Traffic Data'!AU33*annualizationFactor</f>
        <v>52045.350918923999</v>
      </c>
      <c r="T405" s="749">
        <f>$H$22*$G$9*'Traffic Data'!AV33*annualizationFactor</f>
        <v>55969.458877635989</v>
      </c>
      <c r="U405" s="749">
        <f>$H$22*$G$9*'Traffic Data'!AW33*annualizationFactor</f>
        <v>59902.836190636015</v>
      </c>
      <c r="V405" s="749">
        <f>$H$22*$G$9*'Traffic Data'!AX33*annualizationFactor</f>
        <v>61274.82259044802</v>
      </c>
      <c r="W405" s="749">
        <f>$H$22*$G$9*'Traffic Data'!AY33*annualizationFactor</f>
        <v>62077.231562300003</v>
      </c>
      <c r="X405" s="749">
        <f>$H$22*$G$9*'Traffic Data'!AZ33*annualizationFactor</f>
        <v>62879.640534152015</v>
      </c>
      <c r="Y405" s="749">
        <f>$H$22*$G$9*'Traffic Data'!BA33*annualizationFactor</f>
        <v>63682.049506004005</v>
      </c>
      <c r="Z405" s="749">
        <f>$H$22*$G$9*'Traffic Data'!BB33*annualizationFactor</f>
        <v>64487.629572744008</v>
      </c>
      <c r="AA405" s="749">
        <f>$H$22*$G$9*'Traffic Data'!BC33*annualizationFactor</f>
        <v>65290.038544596006</v>
      </c>
      <c r="AB405" s="749">
        <f>$H$22*$G$9*'Traffic Data'!BD33*annualizationFactor</f>
        <v>66095.618611336016</v>
      </c>
      <c r="AC405" s="749">
        <f>$H$22*$G$9*'Traffic Data'!BE33*annualizationFactor</f>
        <v>66898.027583187999</v>
      </c>
      <c r="AD405" s="749">
        <f>$H$22*$G$9*'Traffic Data'!BF33*annualizationFactor</f>
        <v>67700.436555040011</v>
      </c>
      <c r="AE405" s="749">
        <f>$H$22*$G$9*'Traffic Data'!BG33*annualizationFactor</f>
        <v>68506.016621780029</v>
      </c>
      <c r="AF405" s="749">
        <f>$H$22*$G$9*'Traffic Data'!BH33*annualizationFactor</f>
        <v>69308.425593632011</v>
      </c>
      <c r="AG405" s="749">
        <f>$H$22*$G$9*'Traffic Data'!BI33*annualizationFactor</f>
        <v>70110.834565484009</v>
      </c>
      <c r="AH405" s="750">
        <f>$H$22*$G$9*'Traffic Data'!BJ33*annualizationFactor</f>
        <v>70916.414632224027</v>
      </c>
      <c r="AI405" s="26"/>
      <c r="AJ405" s="26"/>
      <c r="AK405" s="26"/>
      <c r="AL405" s="26"/>
      <c r="AM405" s="26"/>
    </row>
    <row r="406" spans="2:39" ht="21.9" customHeight="1" x14ac:dyDescent="0.25">
      <c r="B406" s="1332" t="s">
        <v>308</v>
      </c>
      <c r="C406" s="217" t="s">
        <v>276</v>
      </c>
      <c r="D406" s="217" t="s">
        <v>320</v>
      </c>
      <c r="E406" s="114" t="s">
        <v>434</v>
      </c>
      <c r="F406" s="217" t="s">
        <v>40</v>
      </c>
      <c r="G406" s="941"/>
      <c r="H406" s="941"/>
      <c r="I406" s="749">
        <f>$H$22*$H$9*'Traffic Data'!AK34*annualizationFactor</f>
        <v>350.32553999999999</v>
      </c>
      <c r="J406" s="749">
        <f>$H$22*$H$9*'Traffic Data'!AL34*annualizationFactor</f>
        <v>778.59851264999998</v>
      </c>
      <c r="K406" s="749">
        <f>$H$22*$H$9*'Traffic Data'!AM34*annualizationFactor</f>
        <v>3290.7829599900006</v>
      </c>
      <c r="L406" s="749">
        <f>$H$22*$H$9*'Traffic Data'!AN34*annualizationFactor</f>
        <v>7397.4741026399997</v>
      </c>
      <c r="M406" s="749">
        <f>$H$22*$H$9*'Traffic Data'!AO34*annualizationFactor</f>
        <v>11506.442361300002</v>
      </c>
      <c r="N406" s="749">
        <f>$H$22*$H$9*'Traffic Data'!AP34*annualizationFactor</f>
        <v>15615.585782729997</v>
      </c>
      <c r="O406" s="749">
        <f>$H$22*$H$9*'Traffic Data'!AQ34*annualizationFactor</f>
        <v>19722.27692538</v>
      </c>
      <c r="P406" s="749">
        <f>$H$22*$H$9*'Traffic Data'!AR34*annualizationFactor</f>
        <v>23833.697462820004</v>
      </c>
      <c r="Q406" s="749">
        <f>$H$22*$H$9*'Traffic Data'!AS34*annualizationFactor</f>
        <v>27004.143599820007</v>
      </c>
      <c r="R406" s="749">
        <f>$H$22*$H$9*'Traffic Data'!AT34*annualizationFactor</f>
        <v>30175.115225130005</v>
      </c>
      <c r="S406" s="749">
        <f>$H$22*$H$9*'Traffic Data'!AU34*annualizationFactor</f>
        <v>33345.56136213</v>
      </c>
      <c r="T406" s="749">
        <f>$H$22*$H$9*'Traffic Data'!AV34*annualizationFactor</f>
        <v>36516.007499129999</v>
      </c>
      <c r="U406" s="749">
        <f>$H$22*$H$9*'Traffic Data'!AW34*annualizationFactor</f>
        <v>39690.657542610003</v>
      </c>
      <c r="V406" s="749">
        <f>$H$22*$H$9*'Traffic Data'!AX34*annualizationFactor</f>
        <v>41264.144705519997</v>
      </c>
      <c r="W406" s="749">
        <f>$H$22*$H$9*'Traffic Data'!AY34*annualizationFactor</f>
        <v>41692.417678170008</v>
      </c>
      <c r="X406" s="749">
        <f>$H$22*$H$9*'Traffic Data'!AZ34*annualizationFactor</f>
        <v>42120.690650819997</v>
      </c>
      <c r="Y406" s="749">
        <f>$H$22*$H$9*'Traffic Data'!BA34*annualizationFactor</f>
        <v>42548.963623470008</v>
      </c>
      <c r="Z406" s="749">
        <f>$H$22*$H$9*'Traffic Data'!BB34*annualizationFactor</f>
        <v>42978.462735510009</v>
      </c>
      <c r="AA406" s="749">
        <f>$H$22*$H$9*'Traffic Data'!BC34*annualizationFactor</f>
        <v>43406.735708159998</v>
      </c>
      <c r="AB406" s="749">
        <f>$H$22*$H$9*'Traffic Data'!BD34*annualizationFactor</f>
        <v>43836.234820199985</v>
      </c>
      <c r="AC406" s="749">
        <f>$H$22*$H$9*'Traffic Data'!BE34*annualizationFactor</f>
        <v>44264.507792849996</v>
      </c>
      <c r="AD406" s="749">
        <f>$H$22*$H$9*'Traffic Data'!BF34*annualizationFactor</f>
        <v>44692.7807655</v>
      </c>
      <c r="AE406" s="749">
        <f>$H$22*$H$9*'Traffic Data'!BG34*annualizationFactor</f>
        <v>45122.279877539993</v>
      </c>
      <c r="AF406" s="749">
        <f>$H$22*$H$9*'Traffic Data'!BH34*annualizationFactor</f>
        <v>45550.552850189997</v>
      </c>
      <c r="AG406" s="749">
        <f>$H$22*$H$9*'Traffic Data'!BI34*annualizationFactor</f>
        <v>45978.825822839994</v>
      </c>
      <c r="AH406" s="750">
        <f>$H$22*$H$9*'Traffic Data'!BJ34*annualizationFactor</f>
        <v>46408.324934880002</v>
      </c>
      <c r="AI406" s="26"/>
      <c r="AJ406" s="26"/>
      <c r="AK406" s="26"/>
      <c r="AL406" s="26"/>
      <c r="AM406" s="26"/>
    </row>
    <row r="407" spans="2:39" s="1" customFormat="1" ht="21.9" customHeight="1" x14ac:dyDescent="0.25">
      <c r="B407" s="1332"/>
      <c r="C407" s="114" t="s">
        <v>320</v>
      </c>
      <c r="D407" s="114" t="s">
        <v>282</v>
      </c>
      <c r="E407" s="114" t="s">
        <v>434</v>
      </c>
      <c r="F407" s="114" t="s">
        <v>40</v>
      </c>
      <c r="G407" s="941"/>
      <c r="H407" s="941"/>
      <c r="I407" s="751">
        <f>$H$22*$H$9*'Traffic Data'!AK35*annualizationFactor</f>
        <v>0</v>
      </c>
      <c r="J407" s="751">
        <f>$H$22*$H$9*'Traffic Data'!AL35*annualizationFactor</f>
        <v>238.32516735999999</v>
      </c>
      <c r="K407" s="751">
        <f>$H$22*$H$9*'Traffic Data'!AM35*annualizationFactor</f>
        <v>682.53276207199997</v>
      </c>
      <c r="L407" s="751">
        <f>$H$22*$H$9*'Traffic Data'!AN35*annualizationFactor</f>
        <v>1534.2909249920001</v>
      </c>
      <c r="M407" s="751">
        <f>$H$22*$H$9*'Traffic Data'!AO35*annualizationFactor</f>
        <v>2386.5213786400004</v>
      </c>
      <c r="N407" s="751">
        <f>$H$22*$H$9*'Traffic Data'!AP35*annualizationFactor</f>
        <v>3238.7881623439994</v>
      </c>
      <c r="O407" s="751">
        <f>$H$22*$H$9*'Traffic Data'!AQ35*annualizationFactor</f>
        <v>4090.5463252640002</v>
      </c>
      <c r="P407" s="751">
        <f>$H$22*$H$9*'Traffic Data'!AR35*annualizationFactor</f>
        <v>4943.2853996960002</v>
      </c>
      <c r="Q407" s="751">
        <f>$H$22*$H$9*'Traffic Data'!AS35*annualizationFactor</f>
        <v>5600.8594132960006</v>
      </c>
      <c r="R407" s="751">
        <f>$H$22*$H$9*'Traffic Data'!AT35*annualizationFactor</f>
        <v>6258.5424170640017</v>
      </c>
      <c r="S407" s="751">
        <f>$H$22*$H$9*'Traffic Data'!AU35*annualizationFactor</f>
        <v>6916.1164306640003</v>
      </c>
      <c r="T407" s="751">
        <f>$H$22*$H$9*'Traffic Data'!AV35*annualizationFactor</f>
        <v>7573.6904442639989</v>
      </c>
      <c r="U407" s="751">
        <f>$H$22*$H$9*'Traffic Data'!AW35*annualizationFactor</f>
        <v>8232.136379208001</v>
      </c>
      <c r="V407" s="751">
        <f>$H$22*$H$9*'Traffic Data'!AX35*annualizationFactor</f>
        <v>8558.4892722559998</v>
      </c>
      <c r="W407" s="751">
        <f>$H$22*$H$9*'Traffic Data'!AY35*annualizationFactor</f>
        <v>8647.3162591760029</v>
      </c>
      <c r="X407" s="751">
        <f>$H$22*$H$9*'Traffic Data'!AZ35*annualizationFactor</f>
        <v>8736.1432460960004</v>
      </c>
      <c r="Y407" s="751">
        <f>$H$22*$H$9*'Traffic Data'!BA35*annualizationFactor</f>
        <v>8824.9702330160017</v>
      </c>
      <c r="Z407" s="751">
        <f>$H$22*$H$9*'Traffic Data'!BB35*annualizationFactor</f>
        <v>8914.0515303280008</v>
      </c>
      <c r="AA407" s="751">
        <f>$H$22*$H$9*'Traffic Data'!BC35*annualizationFactor</f>
        <v>9002.8785172480002</v>
      </c>
      <c r="AB407" s="751">
        <f>$H$22*$H$9*'Traffic Data'!BD35*annualizationFactor</f>
        <v>9091.9598145599994</v>
      </c>
      <c r="AC407" s="751">
        <f>$H$22*$H$9*'Traffic Data'!BE35*annualizationFactor</f>
        <v>9180.7868014799988</v>
      </c>
      <c r="AD407" s="751">
        <f>$H$22*$H$9*'Traffic Data'!BF35*annualizationFactor</f>
        <v>9269.6137884</v>
      </c>
      <c r="AE407" s="751">
        <f>$H$22*$H$9*'Traffic Data'!BG35*annualizationFactor</f>
        <v>9358.6950857119991</v>
      </c>
      <c r="AF407" s="751">
        <f>$H$22*$H$9*'Traffic Data'!BH35*annualizationFactor</f>
        <v>9447.5220726319985</v>
      </c>
      <c r="AG407" s="751">
        <f>$H$22*$H$9*'Traffic Data'!BI35*annualizationFactor</f>
        <v>9536.3490595519997</v>
      </c>
      <c r="AH407" s="752">
        <f>$H$22*$H$9*'Traffic Data'!BJ35*annualizationFactor</f>
        <v>9625.4303568639989</v>
      </c>
      <c r="AI407" s="25"/>
      <c r="AJ407" s="25"/>
      <c r="AK407" s="25"/>
      <c r="AL407" s="25"/>
      <c r="AM407" s="25"/>
    </row>
    <row r="408" spans="2:39" s="1" customFormat="1" ht="21.9" customHeight="1" x14ac:dyDescent="0.25">
      <c r="B408" s="1332"/>
      <c r="C408" s="114" t="s">
        <v>282</v>
      </c>
      <c r="D408" s="114" t="s">
        <v>321</v>
      </c>
      <c r="E408" s="114" t="s">
        <v>434</v>
      </c>
      <c r="F408" s="114" t="s">
        <v>40</v>
      </c>
      <c r="G408" s="941"/>
      <c r="H408" s="941"/>
      <c r="I408" s="751">
        <f>$H$22*$H$9*'Traffic Data'!AK36*annualizationFactor</f>
        <v>0</v>
      </c>
      <c r="J408" s="751">
        <f>$H$22*$H$9*'Traffic Data'!AL36*annualizationFactor</f>
        <v>621.34775776000004</v>
      </c>
      <c r="K408" s="751">
        <f>$H$22*$H$9*'Traffic Data'!AM36*annualizationFactor</f>
        <v>1779.4604154020001</v>
      </c>
      <c r="L408" s="751">
        <f>$H$22*$H$9*'Traffic Data'!AN36*annualizationFactor</f>
        <v>4000.1156258719998</v>
      </c>
      <c r="M408" s="751">
        <f>$H$22*$H$9*'Traffic Data'!AO36*annualizationFactor</f>
        <v>6222.0021657400002</v>
      </c>
      <c r="N408" s="751">
        <f>$H$22*$H$9*'Traffic Data'!AP36*annualizationFactor</f>
        <v>8443.9834232539979</v>
      </c>
      <c r="O408" s="751">
        <f>$H$22*$H$9*'Traffic Data'!AQ36*annualizationFactor</f>
        <v>10664.638633723998</v>
      </c>
      <c r="P408" s="751">
        <f>$H$22*$H$9*'Traffic Data'!AR36*annualizationFactor</f>
        <v>12887.851220635997</v>
      </c>
      <c r="Q408" s="751">
        <f>$H$22*$H$9*'Traffic Data'!AS36*annualizationFactor</f>
        <v>14602.240613236001</v>
      </c>
      <c r="R408" s="751">
        <f>$H$22*$H$9*'Traffic Data'!AT36*annualizationFactor</f>
        <v>16316.914158774001</v>
      </c>
      <c r="S408" s="751">
        <f>$H$22*$H$9*'Traffic Data'!AU36*annualizationFactor</f>
        <v>18031.303551373996</v>
      </c>
      <c r="T408" s="751">
        <f>$H$22*$H$9*'Traffic Data'!AV36*annualizationFactor</f>
        <v>19745.692943973998</v>
      </c>
      <c r="U408" s="751">
        <f>$H$22*$H$9*'Traffic Data'!AW36*annualizationFactor</f>
        <v>21462.355560078002</v>
      </c>
      <c r="V408" s="751">
        <f>$H$22*$H$9*'Traffic Data'!AX36*annualizationFactor</f>
        <v>22313.204174095998</v>
      </c>
      <c r="W408" s="751">
        <f>$H$22*$H$9*'Traffic Data'!AY36*annualizationFactor</f>
        <v>22544.788818565998</v>
      </c>
      <c r="X408" s="751">
        <f>$H$22*$H$9*'Traffic Data'!AZ36*annualizationFactor</f>
        <v>22776.373463035998</v>
      </c>
      <c r="Y408" s="751">
        <f>$H$22*$H$9*'Traffic Data'!BA36*annualizationFactor</f>
        <v>23007.958107506001</v>
      </c>
      <c r="Z408" s="751">
        <f>$H$22*$H$9*'Traffic Data'!BB36*annualizationFactor</f>
        <v>23240.205775498005</v>
      </c>
      <c r="AA408" s="751">
        <f>$H$22*$H$9*'Traffic Data'!BC36*annualizationFactor</f>
        <v>23471.790419967998</v>
      </c>
      <c r="AB408" s="751">
        <f>$H$22*$H$9*'Traffic Data'!BD36*annualizationFactor</f>
        <v>23704.038087959994</v>
      </c>
      <c r="AC408" s="751">
        <f>$H$22*$H$9*'Traffic Data'!BE36*annualizationFactor</f>
        <v>23935.622732429994</v>
      </c>
      <c r="AD408" s="751">
        <f>$H$22*$H$9*'Traffic Data'!BF36*annualizationFactor</f>
        <v>24167.207376899998</v>
      </c>
      <c r="AE408" s="751">
        <f>$H$22*$H$9*'Traffic Data'!BG36*annualizationFactor</f>
        <v>24399.455044891994</v>
      </c>
      <c r="AF408" s="751">
        <f>$H$22*$H$9*'Traffic Data'!BH36*annualizationFactor</f>
        <v>24631.039689361995</v>
      </c>
      <c r="AG408" s="751">
        <f>$H$22*$H$9*'Traffic Data'!BI36*annualizationFactor</f>
        <v>24862.624333831998</v>
      </c>
      <c r="AH408" s="752">
        <f>$H$22*$H$9*'Traffic Data'!BJ36*annualizationFactor</f>
        <v>25094.872001823995</v>
      </c>
      <c r="AI408" s="25"/>
      <c r="AJ408" s="25"/>
      <c r="AK408" s="25"/>
      <c r="AL408" s="25"/>
      <c r="AM408" s="25"/>
    </row>
    <row r="409" spans="2:39" ht="21.9" customHeight="1" x14ac:dyDescent="0.25">
      <c r="B409" s="1332"/>
      <c r="C409" s="250" t="s">
        <v>321</v>
      </c>
      <c r="D409" s="250" t="s">
        <v>274</v>
      </c>
      <c r="E409" s="114" t="s">
        <v>434</v>
      </c>
      <c r="F409" s="114" t="s">
        <v>40</v>
      </c>
      <c r="G409" s="941"/>
      <c r="H409" s="941"/>
      <c r="I409" s="751">
        <f>$H$22*$H$9*'Traffic Data'!AK37*annualizationFactor</f>
        <v>817.42625999999996</v>
      </c>
      <c r="J409" s="751">
        <f>$H$22*$H$9*'Traffic Data'!AL37*annualizationFactor</f>
        <v>1218.5373257819999</v>
      </c>
      <c r="K409" s="751">
        <f>$H$22*$H$9*'Traffic Data'!AM37*annualizationFactor</f>
        <v>1715.614234488</v>
      </c>
      <c r="L409" s="751">
        <f>$H$22*$H$9*'Traffic Data'!AN37*annualizationFactor</f>
        <v>2972.2163764439997</v>
      </c>
      <c r="M409" s="751">
        <f>$H$22*$H$9*'Traffic Data'!AO37*annualizationFactor</f>
        <v>4228.9547561099998</v>
      </c>
      <c r="N409" s="751">
        <f>$H$22*$H$9*'Traffic Data'!AP37*annualizationFactor</f>
        <v>5486.3198292420011</v>
      </c>
      <c r="O409" s="751">
        <f>$H$22*$H$9*'Traffic Data'!AQ37*annualizationFactor</f>
        <v>6742.9219711980004</v>
      </c>
      <c r="P409" s="751">
        <f>$H$22*$H$9*'Traffic Data'!AR37*annualizationFactor</f>
        <v>7999.1154000239985</v>
      </c>
      <c r="Q409" s="751">
        <f>$H$22*$H$9*'Traffic Data'!AS37*annualizationFactor</f>
        <v>11196.641701265999</v>
      </c>
      <c r="R409" s="751">
        <f>$H$22*$H$9*'Traffic Data'!AT37*annualizationFactor</f>
        <v>14392.914615576001</v>
      </c>
      <c r="S409" s="751">
        <f>$H$22*$H$9*'Traffic Data'!AU37*annualizationFactor</f>
        <v>17588.942302007999</v>
      </c>
      <c r="T409" s="751">
        <f>$H$22*$H$9*'Traffic Data'!AV37*annualizationFactor</f>
        <v>20786.468603249999</v>
      </c>
      <c r="U409" s="751">
        <f>$H$22*$H$9*'Traffic Data'!AW37*annualizationFactor</f>
        <v>23983.586191362003</v>
      </c>
      <c r="V409" s="751">
        <f>$H$22*$H$9*'Traffic Data'!AX37*annualizationFactor</f>
        <v>26420.633595384003</v>
      </c>
      <c r="W409" s="751">
        <f>$H$22*$H$9*'Traffic Data'!AY37*annualizationFactor</f>
        <v>26821.744661165998</v>
      </c>
      <c r="X409" s="751">
        <f>$H$22*$H$9*'Traffic Data'!AZ37*annualizationFactor</f>
        <v>27222.855726948004</v>
      </c>
      <c r="Y409" s="751">
        <f>$H$22*$H$9*'Traffic Data'!BA37*annualizationFactor</f>
        <v>27623.966792730003</v>
      </c>
      <c r="Z409" s="751">
        <f>$H$22*$H$9*'Traffic Data'!BB37*annualizationFactor</f>
        <v>28023.851719122002</v>
      </c>
      <c r="AA409" s="751">
        <f>$H$22*$H$9*'Traffic Data'!BC37*annualizationFactor</f>
        <v>28424.962784904001</v>
      </c>
      <c r="AB409" s="751">
        <f>$H$22*$H$9*'Traffic Data'!BD37*annualizationFactor</f>
        <v>28824.847711296003</v>
      </c>
      <c r="AC409" s="751">
        <f>$H$22*$H$9*'Traffic Data'!BE37*annualizationFactor</f>
        <v>29225.958777077998</v>
      </c>
      <c r="AD409" s="751">
        <f>$H$22*$H$9*'Traffic Data'!BF37*annualizationFactor</f>
        <v>29627.069842860004</v>
      </c>
      <c r="AE409" s="751">
        <f>$H$22*$H$9*'Traffic Data'!BG37*annualizationFactor</f>
        <v>30026.954769252003</v>
      </c>
      <c r="AF409" s="751">
        <f>$H$22*$H$9*'Traffic Data'!BH37*annualizationFactor</f>
        <v>30428.065835034002</v>
      </c>
      <c r="AG409" s="751">
        <f>$H$22*$H$9*'Traffic Data'!BI37*annualizationFactor</f>
        <v>30829.176900815997</v>
      </c>
      <c r="AH409" s="752">
        <f>$H$22*$H$9*'Traffic Data'!BJ37*annualizationFactor</f>
        <v>31229.061827207999</v>
      </c>
      <c r="AI409" s="26"/>
      <c r="AJ409" s="26"/>
      <c r="AK409" s="26"/>
      <c r="AL409" s="26"/>
      <c r="AM409" s="26"/>
    </row>
    <row r="410" spans="2:39" s="1" customFormat="1" ht="21.9" customHeight="1" x14ac:dyDescent="0.25">
      <c r="B410" s="469" t="s">
        <v>282</v>
      </c>
      <c r="C410" s="114" t="s">
        <v>308</v>
      </c>
      <c r="D410" s="114" t="s">
        <v>324</v>
      </c>
      <c r="E410" s="114" t="s">
        <v>434</v>
      </c>
      <c r="F410" s="217" t="s">
        <v>40</v>
      </c>
      <c r="G410" s="941"/>
      <c r="H410" s="941"/>
      <c r="I410" s="749">
        <f>$H$22*$J$9*'Traffic Data'!AK38*annualizationFactor</f>
        <v>4671.0072</v>
      </c>
      <c r="J410" s="749">
        <f>$H$22*$J$9*'Traffic Data'!AL38*annualizationFactor</f>
        <v>4958.2222427199995</v>
      </c>
      <c r="K410" s="749">
        <f>$H$22*$J$9*'Traffic Data'!AM38*annualizationFactor</f>
        <v>5338.3124785999998</v>
      </c>
      <c r="L410" s="749">
        <f>$H$22*$J$9*'Traffic Data'!AN38*annualizationFactor</f>
        <v>5843.4300071999996</v>
      </c>
      <c r="M410" s="749">
        <f>$H$22*$J$9*'Traffic Data'!AO38*annualizationFactor</f>
        <v>6348.703236039999</v>
      </c>
      <c r="N410" s="749">
        <f>$H$22*$J$9*'Traffic Data'!AP38*annualizationFactor</f>
        <v>6855.0663665600014</v>
      </c>
      <c r="O410" s="749">
        <f>$H$22*$J$9*'Traffic Data'!AQ38*annualizationFactor</f>
        <v>7360.1838951599984</v>
      </c>
      <c r="P410" s="749">
        <f>$H$22*$J$9*'Traffic Data'!AR38*annualizationFactor</f>
        <v>7865.8463745999998</v>
      </c>
      <c r="Q410" s="749">
        <f>$H$22*$J$9*'Traffic Data'!AS38*annualizationFactor</f>
        <v>8326.9266853199988</v>
      </c>
      <c r="R410" s="749">
        <f>$H$22*$J$9*'Traffic Data'!AT38*annualizationFactor</f>
        <v>8787.6177454400004</v>
      </c>
      <c r="S410" s="749">
        <f>$H$22*$J$9*'Traffic Data'!AU38*annualizationFactor</f>
        <v>9248.7240061999983</v>
      </c>
      <c r="T410" s="749">
        <f>$H$22*$J$9*'Traffic Data'!AV38*annualizationFactor</f>
        <v>9709.8043169199991</v>
      </c>
      <c r="U410" s="749">
        <f>$H$22*$J$9*'Traffic Data'!AW38*annualizationFactor</f>
        <v>10172.519480159999</v>
      </c>
      <c r="V410" s="749">
        <f>$H$22*$J$9*'Traffic Data'!AX38*annualizationFactor</f>
        <v>10508.209197599999</v>
      </c>
      <c r="W410" s="749">
        <f>$H$22*$J$9*'Traffic Data'!AY38*annualizationFactor</f>
        <v>10795.424240320001</v>
      </c>
      <c r="X410" s="749">
        <f>$H$22*$J$9*'Traffic Data'!AZ38*annualizationFactor</f>
        <v>11082.639283039998</v>
      </c>
      <c r="Y410" s="749">
        <f>$H$22*$J$9*'Traffic Data'!BA38*annualizationFactor</f>
        <v>11369.854325759999</v>
      </c>
      <c r="Z410" s="749">
        <f>$H$22*$J$9*'Traffic Data'!BB38*annualizationFactor</f>
        <v>11657.380768959998</v>
      </c>
      <c r="AA410" s="749">
        <f>$H$22*$J$9*'Traffic Data'!BC38*annualizationFactor</f>
        <v>11944.595811679997</v>
      </c>
      <c r="AB410" s="749">
        <f>$H$22*$J$9*'Traffic Data'!BD38*annualizationFactor</f>
        <v>12232.511505480001</v>
      </c>
      <c r="AC410" s="749">
        <f>$H$22*$J$9*'Traffic Data'!BE38*annualizationFactor</f>
        <v>12519.726548199998</v>
      </c>
      <c r="AD410" s="749">
        <f>$H$22*$J$9*'Traffic Data'!BF38*annualizationFactor</f>
        <v>12806.941590919998</v>
      </c>
      <c r="AE410" s="749">
        <f>$H$22*$J$9*'Traffic Data'!BG38*annualizationFactor</f>
        <v>13094.468034119998</v>
      </c>
      <c r="AF410" s="749">
        <f>$H$22*$J$9*'Traffic Data'!BH38*annualizationFactor</f>
        <v>13381.683076840001</v>
      </c>
      <c r="AG410" s="749">
        <f>$H$22*$J$9*'Traffic Data'!BI38*annualizationFactor</f>
        <v>13668.898119559999</v>
      </c>
      <c r="AH410" s="750">
        <f>$H$22*$J$9*'Traffic Data'!BJ38*annualizationFactor</f>
        <v>13956.813813359999</v>
      </c>
      <c r="AI410" s="25"/>
      <c r="AJ410" s="25"/>
      <c r="AK410" s="25"/>
      <c r="AL410" s="25"/>
      <c r="AM410" s="25"/>
    </row>
    <row r="411" spans="2:39" s="1" customFormat="1" ht="21.9" customHeight="1" x14ac:dyDescent="0.25">
      <c r="B411" s="756" t="s">
        <v>321</v>
      </c>
      <c r="C411" s="273" t="s">
        <v>318</v>
      </c>
      <c r="D411" s="273" t="s">
        <v>308</v>
      </c>
      <c r="E411" s="273" t="s">
        <v>434</v>
      </c>
      <c r="F411" s="217" t="s">
        <v>40</v>
      </c>
      <c r="G411" s="754"/>
      <c r="H411" s="754"/>
      <c r="I411" s="749">
        <f>$H$22*$K$9*'Traffic Data'!AK39*annualizationFactor</f>
        <v>0</v>
      </c>
      <c r="J411" s="749">
        <f>$H$22*$K$9*'Traffic Data'!AL39*annualizationFactor</f>
        <v>0</v>
      </c>
      <c r="K411" s="749">
        <f>$H$22*$K$9*'Traffic Data'!AM39*annualizationFactor</f>
        <v>0</v>
      </c>
      <c r="L411" s="749">
        <f>$H$22*$K$9*'Traffic Data'!AN39*annualizationFactor</f>
        <v>0</v>
      </c>
      <c r="M411" s="749">
        <f>$H$22*$K$9*'Traffic Data'!AO39*annualizationFactor</f>
        <v>0</v>
      </c>
      <c r="N411" s="749">
        <f>$H$22*$K$9*'Traffic Data'!AP39*annualizationFactor</f>
        <v>0</v>
      </c>
      <c r="O411" s="749">
        <f>$H$22*$K$9*'Traffic Data'!AQ39*annualizationFactor</f>
        <v>0</v>
      </c>
      <c r="P411" s="749">
        <f>$H$22*$K$9*'Traffic Data'!AR39*annualizationFactor</f>
        <v>0</v>
      </c>
      <c r="Q411" s="749">
        <f>$H$22*$K$9*'Traffic Data'!AS39*annualizationFactor</f>
        <v>0</v>
      </c>
      <c r="R411" s="749">
        <f>$H$22*$K$9*'Traffic Data'!AT39*annualizationFactor</f>
        <v>0</v>
      </c>
      <c r="S411" s="749">
        <f>$H$22*$K$9*'Traffic Data'!AU39*annualizationFactor</f>
        <v>0</v>
      </c>
      <c r="T411" s="749">
        <f>$H$22*$K$9*'Traffic Data'!AV39*annualizationFactor</f>
        <v>0</v>
      </c>
      <c r="U411" s="749">
        <f>$H$22*$K$9*'Traffic Data'!AW39*annualizationFactor</f>
        <v>0</v>
      </c>
      <c r="V411" s="749">
        <f>$H$22*$K$9*'Traffic Data'!AX39*annualizationFactor</f>
        <v>0</v>
      </c>
      <c r="W411" s="749">
        <f>$H$22*$K$9*'Traffic Data'!AY39*annualizationFactor</f>
        <v>0</v>
      </c>
      <c r="X411" s="749">
        <f>$H$22*$K$9*'Traffic Data'!AZ39*annualizationFactor</f>
        <v>0</v>
      </c>
      <c r="Y411" s="749">
        <f>$H$22*$K$9*'Traffic Data'!BA39*annualizationFactor</f>
        <v>0</v>
      </c>
      <c r="Z411" s="749">
        <f>$H$22*$K$9*'Traffic Data'!BB39*annualizationFactor</f>
        <v>0</v>
      </c>
      <c r="AA411" s="749">
        <f>$H$22*$K$9*'Traffic Data'!BC39*annualizationFactor</f>
        <v>0</v>
      </c>
      <c r="AB411" s="749">
        <f>$H$22*$K$9*'Traffic Data'!BD39*annualizationFactor</f>
        <v>0</v>
      </c>
      <c r="AC411" s="749">
        <f>$H$22*$K$9*'Traffic Data'!BE39*annualizationFactor</f>
        <v>0</v>
      </c>
      <c r="AD411" s="749">
        <f>$H$22*$K$9*'Traffic Data'!BF39*annualizationFactor</f>
        <v>0</v>
      </c>
      <c r="AE411" s="749">
        <f>$H$22*$K$9*'Traffic Data'!BG39*annualizationFactor</f>
        <v>0</v>
      </c>
      <c r="AF411" s="749">
        <f>$H$22*$K$9*'Traffic Data'!BH39*annualizationFactor</f>
        <v>0</v>
      </c>
      <c r="AG411" s="749">
        <f>$H$22*$K$9*'Traffic Data'!BI39*annualizationFactor</f>
        <v>0</v>
      </c>
      <c r="AH411" s="750">
        <f>$H$22*$K$9*'Traffic Data'!BJ39*annualizationFactor</f>
        <v>0</v>
      </c>
      <c r="AI411" s="25"/>
      <c r="AJ411" s="25"/>
      <c r="AK411" s="25"/>
      <c r="AL411" s="25"/>
      <c r="AM411" s="25"/>
    </row>
    <row r="412" spans="2:39" ht="21.9" customHeight="1" x14ac:dyDescent="0.25">
      <c r="B412" s="756" t="s">
        <v>333</v>
      </c>
      <c r="C412" s="273" t="s">
        <v>319</v>
      </c>
      <c r="D412" s="273" t="s">
        <v>308</v>
      </c>
      <c r="E412" s="114" t="s">
        <v>434</v>
      </c>
      <c r="F412" s="217" t="s">
        <v>40</v>
      </c>
      <c r="G412" s="941"/>
      <c r="H412" s="941"/>
      <c r="I412" s="749">
        <f>$H$22*$L$9*'Traffic Data'!AK40*annualizationFactor</f>
        <v>8662.5951709090896</v>
      </c>
      <c r="J412" s="749">
        <f>$H$22*$L$9*'Traffic Data'!AL40*annualizationFactor</f>
        <v>8781.5374151585456</v>
      </c>
      <c r="K412" s="749">
        <f>$H$22*$L$9*'Traffic Data'!AM40*annualizationFactor</f>
        <v>8987.1296738814544</v>
      </c>
      <c r="L412" s="749">
        <f>$H$22*$L$9*'Traffic Data'!AN40*annualizationFactor</f>
        <v>9269.3858998669093</v>
      </c>
      <c r="M412" s="749">
        <f>$H$22*$L$9*'Traffic Data'!AO40*annualizationFactor</f>
        <v>9551.7624396741812</v>
      </c>
      <c r="N412" s="749">
        <f>$H$22*$L$9*'Traffic Data'!AP40*annualizationFactor</f>
        <v>9834.5480464756347</v>
      </c>
      <c r="O412" s="749">
        <f>$H$22*$L$9*'Traffic Data'!AQ40*annualizationFactor</f>
        <v>10116.804272461091</v>
      </c>
      <c r="P412" s="749">
        <f>$H$22*$L$9*'Traffic Data'!AR40*annualizationFactor</f>
        <v>10400.047071785453</v>
      </c>
      <c r="Q412" s="749">
        <f>$H$22*$L$9*'Traffic Data'!AS40*annualizationFactor</f>
        <v>10596.471417285818</v>
      </c>
      <c r="R412" s="749">
        <f>$H$22*$L$9*'Traffic Data'!AT40*annualizationFactor</f>
        <v>10792.919825550543</v>
      </c>
      <c r="S412" s="749">
        <f>$H$22*$L$9*'Traffic Data'!AU40*annualizationFactor</f>
        <v>10989.392296579636</v>
      </c>
      <c r="T412" s="749">
        <f>$H$22*$L$9*'Traffic Data'!AV40*annualizationFactor</f>
        <v>11185.816642080001</v>
      </c>
      <c r="U412" s="749">
        <f>$H$22*$L$9*'Traffic Data'!AW40*annualizationFactor</f>
        <v>11383.636627913455</v>
      </c>
      <c r="V412" s="749">
        <f>$H$22*$L$9*'Traffic Data'!AX40*annualizationFactor</f>
        <v>11502.578872162907</v>
      </c>
      <c r="W412" s="749">
        <f>$H$22*$L$9*'Traffic Data'!AY40*annualizationFactor</f>
        <v>11621.521116412361</v>
      </c>
      <c r="X412" s="749">
        <f>$H$22*$L$9*'Traffic Data'!AZ40*annualizationFactor</f>
        <v>11740.463360661819</v>
      </c>
      <c r="Y412" s="749">
        <f>$H$22*$L$9*'Traffic Data'!BA40*annualizationFactor</f>
        <v>11859.40560491127</v>
      </c>
      <c r="Z412" s="749">
        <f>$H$22*$L$9*'Traffic Data'!BB40*annualizationFactor</f>
        <v>11979.165983149092</v>
      </c>
      <c r="AA412" s="749">
        <f>$H$22*$L$9*'Traffic Data'!BC40*annualizationFactor</f>
        <v>12098.108227398545</v>
      </c>
      <c r="AB412" s="749">
        <f>$H$22*$L$9*'Traffic Data'!BD40*annualizationFactor</f>
        <v>12217.507664170909</v>
      </c>
      <c r="AC412" s="749">
        <f>$H$22*$L$9*'Traffic Data'!BE40*annualizationFactor</f>
        <v>12336.449908420362</v>
      </c>
      <c r="AD412" s="749">
        <f>$H$22*$L$9*'Traffic Data'!BF40*annualizationFactor</f>
        <v>12455.39215266982</v>
      </c>
      <c r="AE412" s="749">
        <f>$H$22*$L$9*'Traffic Data'!BG40*annualizationFactor</f>
        <v>12575.152530907635</v>
      </c>
      <c r="AF412" s="749">
        <f>$H$22*$L$9*'Traffic Data'!BH40*annualizationFactor</f>
        <v>12694.094775157093</v>
      </c>
      <c r="AG412" s="749">
        <f>$H$22*$L$9*'Traffic Data'!BI40*annualizationFactor</f>
        <v>12813.037019406544</v>
      </c>
      <c r="AH412" s="750">
        <f>$H$22*$L$9*'Traffic Data'!BJ40*annualizationFactor</f>
        <v>12932.43645617891</v>
      </c>
      <c r="AI412" s="26"/>
      <c r="AJ412" s="26"/>
      <c r="AK412" s="26"/>
      <c r="AL412" s="26"/>
      <c r="AM412" s="26"/>
    </row>
    <row r="413" spans="2:39" ht="21.9" customHeight="1" x14ac:dyDescent="0.25">
      <c r="B413" s="469" t="s">
        <v>319</v>
      </c>
      <c r="C413" s="114" t="s">
        <v>276</v>
      </c>
      <c r="D413" s="114" t="s">
        <v>333</v>
      </c>
      <c r="E413" s="217" t="s">
        <v>434</v>
      </c>
      <c r="F413" s="217" t="s">
        <v>40</v>
      </c>
      <c r="G413" s="749"/>
      <c r="H413" s="749"/>
      <c r="I413" s="749">
        <f>$H$22*$M$9*'Traffic Data'!AK41*annualizationFactor</f>
        <v>31110.559318181819</v>
      </c>
      <c r="J413" s="749">
        <f>$H$22*$M$9*'Traffic Data'!AL41*annualizationFactor</f>
        <v>32007.383411647057</v>
      </c>
      <c r="K413" s="749">
        <f>$H$22*$M$9*'Traffic Data'!AM41*annualizationFactor</f>
        <v>32978.095083492961</v>
      </c>
      <c r="L413" s="749">
        <f>$H$22*$M$9*'Traffic Data'!AN41*annualizationFactor</f>
        <v>34265.916686469092</v>
      </c>
      <c r="M413" s="749">
        <f>$H$22*$M$9*'Traffic Data'!AO41*annualizationFactor</f>
        <v>35553.956063360456</v>
      </c>
      <c r="N413" s="749">
        <f>$H$22*$M$9*'Traffic Data'!AP41*annualizationFactor</f>
        <v>36842.524319760225</v>
      </c>
      <c r="O413" s="749">
        <f>$H$22*$M$9*'Traffic Data'!AQ41*annualizationFactor</f>
        <v>38130.345922736371</v>
      </c>
      <c r="P413" s="749">
        <f>$H$22*$M$9*'Traffic Data'!AR41*annualizationFactor</f>
        <v>39418.509741865004</v>
      </c>
      <c r="Q413" s="749">
        <f>$H$22*$M$9*'Traffic Data'!AS41*annualizationFactor</f>
        <v>40835.969045520011</v>
      </c>
      <c r="R413" s="749">
        <f>$H$22*$M$9*'Traffic Data'!AT41*annualizationFactor</f>
        <v>42252.961690785225</v>
      </c>
      <c r="S413" s="749">
        <f>$H$22*$M$9*'Traffic Data'!AU41*annualizationFactor</f>
        <v>43670.420994440225</v>
      </c>
      <c r="T413" s="749">
        <f>$H$22*$M$9*'Traffic Data'!AV41*annualizationFactor</f>
        <v>45087.880298095231</v>
      </c>
      <c r="U413" s="749">
        <f>$H$22*$M$9*'Traffic Data'!AW41*annualizationFactor</f>
        <v>46506.148476292503</v>
      </c>
      <c r="V413" s="749">
        <f>$H$22*$M$9*'Traffic Data'!AX41*annualizationFactor</f>
        <v>47606.373406580002</v>
      </c>
      <c r="W413" s="749">
        <f>$H$22*$M$9*'Traffic Data'!AY41*annualizationFactor</f>
        <v>48503.197500045229</v>
      </c>
      <c r="X413" s="749">
        <f>$H$22*$M$9*'Traffic Data'!AZ41*annualizationFactor</f>
        <v>49400.021593510457</v>
      </c>
      <c r="Y413" s="749">
        <f>$H$22*$M$9*'Traffic Data'!BA41*annualizationFactor</f>
        <v>50296.845686975692</v>
      </c>
      <c r="Z413" s="749">
        <f>$H$22*$M$9*'Traffic Data'!BB41*annualizationFactor</f>
        <v>51193.576448762949</v>
      </c>
      <c r="AA413" s="749">
        <f>$H$22*$M$9*'Traffic Data'!BC41*annualizationFactor</f>
        <v>52090.40054222817</v>
      </c>
      <c r="AB413" s="749">
        <f>$H$22*$M$9*'Traffic Data'!BD41*annualizationFactor</f>
        <v>52987.131304015435</v>
      </c>
      <c r="AC413" s="749">
        <f>$H$22*$M$9*'Traffic Data'!BE41*annualizationFactor</f>
        <v>53883.955397480699</v>
      </c>
      <c r="AD413" s="749">
        <f>$H$22*$M$9*'Traffic Data'!BF41*annualizationFactor</f>
        <v>54780.779490945919</v>
      </c>
      <c r="AE413" s="749">
        <f>$H$22*$M$9*'Traffic Data'!BG41*annualizationFactor</f>
        <v>55677.510252733191</v>
      </c>
      <c r="AF413" s="749">
        <f>$H$22*$M$9*'Traffic Data'!BH41*annualizationFactor</f>
        <v>56574.334346198411</v>
      </c>
      <c r="AG413" s="749">
        <f>$H$22*$M$9*'Traffic Data'!BI41*annualizationFactor</f>
        <v>57471.158439663639</v>
      </c>
      <c r="AH413" s="750">
        <f>$H$22*$M$9*'Traffic Data'!BJ41*annualizationFactor</f>
        <v>58367.889201450926</v>
      </c>
      <c r="AI413" s="26"/>
      <c r="AJ413" s="26"/>
      <c r="AK413" s="26"/>
      <c r="AL413" s="26"/>
      <c r="AM413" s="26"/>
    </row>
    <row r="414" spans="2:39" ht="21.9" customHeight="1" x14ac:dyDescent="0.25">
      <c r="B414" s="469"/>
      <c r="C414" s="114" t="s">
        <v>333</v>
      </c>
      <c r="D414" s="114" t="s">
        <v>323</v>
      </c>
      <c r="E414" s="114" t="s">
        <v>434</v>
      </c>
      <c r="F414" s="114" t="s">
        <v>40</v>
      </c>
      <c r="G414" s="941"/>
      <c r="H414" s="941"/>
      <c r="I414" s="751">
        <f>$H$22*$M$9*'Traffic Data'!AK42*annualizationFactor</f>
        <v>4530.8376657575755</v>
      </c>
      <c r="J414" s="751">
        <f>$H$22*$M$9*'Traffic Data'!AL42*annualizationFactor</f>
        <v>4659.4299926659842</v>
      </c>
      <c r="K414" s="751">
        <f>$H$22*$M$9*'Traffic Data'!AM42*annualizationFactor</f>
        <v>4802.1334942518261</v>
      </c>
      <c r="L414" s="751">
        <f>$H$22*$M$9*'Traffic Data'!AN42*annualizationFactor</f>
        <v>5002.4322888493552</v>
      </c>
      <c r="M414" s="751">
        <f>$H$22*$M$9*'Traffic Data'!AO42*annualizationFactor</f>
        <v>5202.7668532179323</v>
      </c>
      <c r="N414" s="751">
        <f>$H$22*$M$9*'Traffic Data'!AP42*annualizationFactor</f>
        <v>5403.1431489860588</v>
      </c>
      <c r="O414" s="751">
        <f>$H$22*$M$9*'Traffic Data'!AQ42*annualizationFactor</f>
        <v>5603.4419435835907</v>
      </c>
      <c r="P414" s="751">
        <f>$H$22*$M$9*'Traffic Data'!AR42*annualizationFactor</f>
        <v>5803.7526614381359</v>
      </c>
      <c r="Q414" s="751">
        <f>$H$22*$M$9*'Traffic Data'!AS42*annualizationFactor</f>
        <v>6028.8935620267348</v>
      </c>
      <c r="R414" s="751">
        <f>$H$22*$M$9*'Traffic Data'!AT42*annualizationFactor</f>
        <v>6253.9569614447337</v>
      </c>
      <c r="S414" s="751">
        <f>$H$22*$M$9*'Traffic Data'!AU42*annualizationFactor</f>
        <v>6479.0978620333317</v>
      </c>
      <c r="T414" s="751">
        <f>$H$22*$M$9*'Traffic Data'!AV42*annualizationFactor</f>
        <v>6704.2387626219297</v>
      </c>
      <c r="U414" s="751">
        <f>$H$22*$M$9*'Traffic Data'!AW42*annualizationFactor</f>
        <v>6929.4154329815756</v>
      </c>
      <c r="V414" s="751">
        <f>$H$22*$M$9*'Traffic Data'!AX42*annualizationFactor</f>
        <v>7096.9848870725145</v>
      </c>
      <c r="W414" s="751">
        <f>$H$22*$M$9*'Traffic Data'!AY42*annualizationFactor</f>
        <v>7225.5772139809242</v>
      </c>
      <c r="X414" s="751">
        <f>$H$22*$M$9*'Traffic Data'!AZ42*annualizationFactor</f>
        <v>7354.1695408893338</v>
      </c>
      <c r="Y414" s="751">
        <f>$H$22*$M$9*'Traffic Data'!BA42*annualizationFactor</f>
        <v>7482.7618677977416</v>
      </c>
      <c r="Z414" s="751">
        <f>$H$22*$M$9*'Traffic Data'!BB42*annualizationFactor</f>
        <v>7611.2886167925662</v>
      </c>
      <c r="AA414" s="751">
        <f>$H$22*$M$9*'Traffic Data'!BC42*annualizationFactor</f>
        <v>7739.8809437009768</v>
      </c>
      <c r="AB414" s="751">
        <f>$H$22*$M$9*'Traffic Data'!BD42*annualizationFactor</f>
        <v>7868.4076926958032</v>
      </c>
      <c r="AC414" s="751">
        <f>$H$22*$M$9*'Traffic Data'!BE42*annualizationFactor</f>
        <v>7997.000019604211</v>
      </c>
      <c r="AD414" s="751">
        <f>$H$22*$M$9*'Traffic Data'!BF42*annualizationFactor</f>
        <v>8125.5923465126198</v>
      </c>
      <c r="AE414" s="751">
        <f>$H$22*$M$9*'Traffic Data'!BG42*annualizationFactor</f>
        <v>8254.1190955074453</v>
      </c>
      <c r="AF414" s="751">
        <f>$H$22*$M$9*'Traffic Data'!BH42*annualizationFactor</f>
        <v>8382.7114224158558</v>
      </c>
      <c r="AG414" s="751">
        <f>$H$22*$M$9*'Traffic Data'!BI42*annualizationFactor</f>
        <v>8511.3037493242628</v>
      </c>
      <c r="AH414" s="752">
        <f>$H$22*$M$9*'Traffic Data'!BJ42*annualizationFactor</f>
        <v>8639.8304983190883</v>
      </c>
      <c r="AI414" s="26"/>
      <c r="AJ414" s="26"/>
      <c r="AK414" s="26"/>
      <c r="AL414" s="26"/>
      <c r="AM414" s="26"/>
    </row>
    <row r="415" spans="2:39" ht="21.9" customHeight="1" x14ac:dyDescent="0.25">
      <c r="B415" s="469"/>
      <c r="C415" s="114" t="s">
        <v>323</v>
      </c>
      <c r="D415" s="114" t="s">
        <v>322</v>
      </c>
      <c r="E415" s="114" t="s">
        <v>434</v>
      </c>
      <c r="F415" s="114" t="s">
        <v>40</v>
      </c>
      <c r="G415" s="941"/>
      <c r="H415" s="941"/>
      <c r="I415" s="751">
        <f>$H$22*$M$9*'Traffic Data'!AK43*annualizationFactor</f>
        <v>1120.5699090909091</v>
      </c>
      <c r="J415" s="751">
        <f>$H$22*$M$9*'Traffic Data'!AL43*annualizationFactor</f>
        <v>1152.3734524318181</v>
      </c>
      <c r="K415" s="751">
        <f>$H$22*$M$9*'Traffic Data'!AM43*annualizationFactor</f>
        <v>1187.666981265909</v>
      </c>
      <c r="L415" s="751">
        <f>$H$22*$M$9*'Traffic Data'!AN43*annualizationFactor</f>
        <v>1237.2050178522727</v>
      </c>
      <c r="M415" s="751">
        <f>$H$22*$M$9*'Traffic Data'!AO43*annualizationFactor</f>
        <v>1286.7519010431818</v>
      </c>
      <c r="N415" s="751">
        <f>$H$22*$M$9*'Traffic Data'!AP43*annualizationFactor</f>
        <v>1336.309105272727</v>
      </c>
      <c r="O415" s="751">
        <f>$H$22*$M$9*'Traffic Data'!AQ43*annualizationFactor</f>
        <v>1385.8471418590909</v>
      </c>
      <c r="P415" s="751">
        <f>$H$22*$M$9*'Traffic Data'!AR43*annualizationFactor</f>
        <v>1435.3881273136365</v>
      </c>
      <c r="Q415" s="751">
        <f>$H$22*$M$9*'Traffic Data'!AS43*annualizationFactor</f>
        <v>1491.0701307568181</v>
      </c>
      <c r="R415" s="751">
        <f>$H$22*$M$9*'Traffic Data'!AT43*annualizationFactor</f>
        <v>1546.7329665568177</v>
      </c>
      <c r="S415" s="751">
        <f>$H$22*$M$9*'Traffic Data'!AU43*annualizationFactor</f>
        <v>1602.4149699999996</v>
      </c>
      <c r="T415" s="751">
        <f>$H$22*$M$9*'Traffic Data'!AV43*annualizationFactor</f>
        <v>1658.0969734431815</v>
      </c>
      <c r="U415" s="751">
        <f>$H$22*$M$9*'Traffic Data'!AW43*annualizationFactor</f>
        <v>1713.7878234909087</v>
      </c>
      <c r="V415" s="751">
        <f>$H$22*$M$9*'Traffic Data'!AX43*annualizationFactor</f>
        <v>1755.2312169181814</v>
      </c>
      <c r="W415" s="751">
        <f>$H$22*$M$9*'Traffic Data'!AY43*annualizationFactor</f>
        <v>1787.0347602590907</v>
      </c>
      <c r="X415" s="751">
        <f>$H$22*$M$9*'Traffic Data'!AZ43*annualizationFactor</f>
        <v>1818.8383036</v>
      </c>
      <c r="Y415" s="751">
        <f>$H$22*$M$9*'Traffic Data'!BA43*annualizationFactor</f>
        <v>1850.6418469409089</v>
      </c>
      <c r="Z415" s="751">
        <f>$H$22*$M$9*'Traffic Data'!BB43*annualizationFactor</f>
        <v>1882.4291715068177</v>
      </c>
      <c r="AA415" s="751">
        <f>$H$22*$M$9*'Traffic Data'!BC43*annualizationFactor</f>
        <v>1914.2327148477268</v>
      </c>
      <c r="AB415" s="751">
        <f>$H$22*$M$9*'Traffic Data'!BD43*annualizationFactor</f>
        <v>1946.0200394136364</v>
      </c>
      <c r="AC415" s="751">
        <f>$H$22*$M$9*'Traffic Data'!BE43*annualizationFactor</f>
        <v>1977.8235827545452</v>
      </c>
      <c r="AD415" s="751">
        <f>$H$22*$M$9*'Traffic Data'!BF43*annualizationFactor</f>
        <v>2009.6271260954545</v>
      </c>
      <c r="AE415" s="751">
        <f>$H$22*$M$9*'Traffic Data'!BG43*annualizationFactor</f>
        <v>2041.4144506613629</v>
      </c>
      <c r="AF415" s="751">
        <f>$H$22*$M$9*'Traffic Data'!BH43*annualizationFactor</f>
        <v>2073.217994002272</v>
      </c>
      <c r="AG415" s="751">
        <f>$H$22*$M$9*'Traffic Data'!BI43*annualizationFactor</f>
        <v>2105.0215373431811</v>
      </c>
      <c r="AH415" s="752">
        <f>$H$22*$M$9*'Traffic Data'!BJ43*annualizationFactor</f>
        <v>2136.8088619090904</v>
      </c>
      <c r="AI415" s="26"/>
      <c r="AJ415" s="26"/>
      <c r="AK415" s="26"/>
      <c r="AL415" s="26"/>
      <c r="AM415" s="26"/>
    </row>
    <row r="416" spans="2:39" s="1" customFormat="1" ht="21.9" customHeight="1" x14ac:dyDescent="0.25">
      <c r="B416" s="469"/>
      <c r="C416" s="114" t="s">
        <v>322</v>
      </c>
      <c r="D416" s="114" t="s">
        <v>326</v>
      </c>
      <c r="E416" s="114" t="s">
        <v>434</v>
      </c>
      <c r="F416" s="114" t="s">
        <v>40</v>
      </c>
      <c r="G416" s="941"/>
      <c r="H416" s="941"/>
      <c r="I416" s="751">
        <f>$H$22*$M$9*'Traffic Data'!AK44*annualizationFactor</f>
        <v>2875.1464772727272</v>
      </c>
      <c r="J416" s="751">
        <f>$H$22*$M$9*'Traffic Data'!AL44*annualizationFactor</f>
        <v>2956.6760475465908</v>
      </c>
      <c r="K416" s="751">
        <f>$H$22*$M$9*'Traffic Data'!AM44*annualizationFactor</f>
        <v>3049.5768221380681</v>
      </c>
      <c r="L416" s="751">
        <f>$H$22*$M$9*'Traffic Data'!AN44*annualizationFactor</f>
        <v>3168.2820363630681</v>
      </c>
      <c r="M416" s="751">
        <f>$H$22*$M$9*'Traffic Data'!AO44*annualizationFactor</f>
        <v>3287.0255858744317</v>
      </c>
      <c r="N416" s="751">
        <f>$H$22*$M$9*'Traffic Data'!AP44*annualizationFactor</f>
        <v>3405.7499677426149</v>
      </c>
      <c r="O416" s="751">
        <f>$H$22*$M$9*'Traffic Data'!AQ44*annualizationFactor</f>
        <v>3524.455181967614</v>
      </c>
      <c r="P416" s="751">
        <f>$H$22*$M$9*'Traffic Data'!AR44*annualizationFactor</f>
        <v>3643.1843557465913</v>
      </c>
      <c r="Q416" s="751">
        <f>$H$22*$M$9*'Traffic Data'!AS44*annualizationFactor</f>
        <v>3777.3770256624998</v>
      </c>
      <c r="R416" s="751">
        <f>$H$22*$M$9*'Traffic Data'!AT44*annualizationFactor</f>
        <v>3911.5649036676136</v>
      </c>
      <c r="S416" s="751">
        <f>$H$22*$M$9*'Traffic Data'!AU44*annualizationFactor</f>
        <v>4045.7384059403412</v>
      </c>
      <c r="T416" s="751">
        <f>$H$22*$M$9*'Traffic Data'!AV44*annualizationFactor</f>
        <v>4179.9310758562497</v>
      </c>
      <c r="U416" s="751">
        <f>$H$22*$M$9*'Traffic Data'!AW44*annualizationFactor</f>
        <v>4314.147705326136</v>
      </c>
      <c r="V416" s="751">
        <f>$H$22*$M$9*'Traffic Data'!AX44*annualizationFactor</f>
        <v>4422.5311436977272</v>
      </c>
      <c r="W416" s="751">
        <f>$H$22*$M$9*'Traffic Data'!AY44*annualizationFactor</f>
        <v>4504.0607139715912</v>
      </c>
      <c r="X416" s="751">
        <f>$H$22*$M$9*'Traffic Data'!AZ44*annualizationFactor</f>
        <v>4585.5902842454552</v>
      </c>
      <c r="Y416" s="751">
        <f>$H$22*$M$9*'Traffic Data'!BA44*annualizationFactor</f>
        <v>4667.1198545193183</v>
      </c>
      <c r="Z416" s="751">
        <f>$H$22*$M$9*'Traffic Data'!BB44*annualizationFactor</f>
        <v>4748.6254652392054</v>
      </c>
      <c r="AA416" s="751">
        <f>$H$22*$M$9*'Traffic Data'!BC44*annualizationFactor</f>
        <v>4830.1550355130676</v>
      </c>
      <c r="AB416" s="751">
        <f>$H$22*$M$9*'Traffic Data'!BD44*annualizationFactor</f>
        <v>4911.6606462329528</v>
      </c>
      <c r="AC416" s="751">
        <f>$H$22*$M$9*'Traffic Data'!BE44*annualizationFactor</f>
        <v>4993.1902165068177</v>
      </c>
      <c r="AD416" s="751">
        <f>$H$22*$M$9*'Traffic Data'!BF44*annualizationFactor</f>
        <v>5074.7197867806817</v>
      </c>
      <c r="AE416" s="751">
        <f>$H$22*$M$9*'Traffic Data'!BG44*annualizationFactor</f>
        <v>5156.2253975005669</v>
      </c>
      <c r="AF416" s="751">
        <f>$H$22*$M$9*'Traffic Data'!BH44*annualizationFactor</f>
        <v>5237.754967774431</v>
      </c>
      <c r="AG416" s="751">
        <f>$H$22*$M$9*'Traffic Data'!BI44*annualizationFactor</f>
        <v>5319.2845380482941</v>
      </c>
      <c r="AH416" s="752">
        <f>$H$22*$M$9*'Traffic Data'!BJ44*annualizationFactor</f>
        <v>5400.7901487681802</v>
      </c>
      <c r="AI416" s="25"/>
      <c r="AJ416" s="25"/>
      <c r="AK416" s="25"/>
      <c r="AL416" s="25"/>
      <c r="AM416" s="25"/>
    </row>
    <row r="417" spans="2:39" s="1" customFormat="1" ht="21.9" customHeight="1" x14ac:dyDescent="0.25">
      <c r="B417" s="469"/>
      <c r="C417" s="114" t="s">
        <v>326</v>
      </c>
      <c r="D417" s="114" t="s">
        <v>274</v>
      </c>
      <c r="E417" s="114" t="s">
        <v>434</v>
      </c>
      <c r="F417" s="114" t="s">
        <v>40</v>
      </c>
      <c r="G417" s="941"/>
      <c r="H417" s="941"/>
      <c r="I417" s="751">
        <f>$H$22*$M$9*'Traffic Data'!AK45*annualizationFactor</f>
        <v>23871.087931818183</v>
      </c>
      <c r="J417" s="751">
        <f>$H$22*$M$9*'Traffic Data'!AL45*annualizationFactor</f>
        <v>24547.992415271441</v>
      </c>
      <c r="K417" s="751">
        <f>$H$22*$M$9*'Traffic Data'!AM45*annualizationFactor</f>
        <v>25319.307051495038</v>
      </c>
      <c r="L417" s="751">
        <f>$H$22*$M$9*'Traffic Data'!AN45*annualizationFactor</f>
        <v>26304.86470190671</v>
      </c>
      <c r="M417" s="751">
        <f>$H$22*$M$9*'Traffic Data'!AO45*annualizationFactor</f>
        <v>27290.740633490797</v>
      </c>
      <c r="N417" s="751">
        <f>$H$22*$M$9*'Traffic Data'!AP45*annualizationFactor</f>
        <v>28276.457424488686</v>
      </c>
      <c r="O417" s="751">
        <f>$H$22*$M$9*'Traffic Data'!AQ45*annualizationFactor</f>
        <v>29262.015074900344</v>
      </c>
      <c r="P417" s="751">
        <f>$H$22*$M$9*'Traffic Data'!AR45*annualizationFactor</f>
        <v>30247.771651044779</v>
      </c>
      <c r="Q417" s="751">
        <f>$H$22*$M$9*'Traffic Data'!AS45*annualizationFactor</f>
        <v>31361.914895115828</v>
      </c>
      <c r="R417" s="751">
        <f>$H$22*$M$9*'Traffic Data'!AT45*annualizationFactor</f>
        <v>32476.018354040345</v>
      </c>
      <c r="S417" s="751">
        <f>$H$22*$M$9*'Traffic Data'!AU45*annualizationFactor</f>
        <v>33590.002457525188</v>
      </c>
      <c r="T417" s="751">
        <f>$H$22*$M$9*'Traffic Data'!AV45*annualizationFactor</f>
        <v>34704.145701596251</v>
      </c>
      <c r="U417" s="751">
        <f>$H$22*$M$9*'Traffic Data'!AW45*annualizationFactor</f>
        <v>35818.487871400073</v>
      </c>
      <c r="V417" s="751">
        <f>$H$22*$M$9*'Traffic Data'!AX45*annualizationFactor</f>
        <v>36718.348316136515</v>
      </c>
      <c r="W417" s="751">
        <f>$H$22*$M$9*'Traffic Data'!AY45*annualizationFactor</f>
        <v>37395.252799589776</v>
      </c>
      <c r="X417" s="751">
        <f>$H$22*$M$9*'Traffic Data'!AZ45*annualizationFactor</f>
        <v>38072.157283043038</v>
      </c>
      <c r="Y417" s="751">
        <f>$H$22*$M$9*'Traffic Data'!BA45*annualizationFactor</f>
        <v>38749.061766496292</v>
      </c>
      <c r="Z417" s="751">
        <f>$H$22*$M$9*'Traffic Data'!BB45*annualizationFactor</f>
        <v>39425.767324216788</v>
      </c>
      <c r="AA417" s="751">
        <f>$H$22*$M$9*'Traffic Data'!BC45*annualizationFactor</f>
        <v>40102.671807670027</v>
      </c>
      <c r="AB417" s="751">
        <f>$H$22*$M$9*'Traffic Data'!BD45*annualizationFactor</f>
        <v>40779.377365390523</v>
      </c>
      <c r="AC417" s="751">
        <f>$H$22*$M$9*'Traffic Data'!BE45*annualizationFactor</f>
        <v>41456.281848843784</v>
      </c>
      <c r="AD417" s="751">
        <f>$H$22*$M$9*'Traffic Data'!BF45*annualizationFactor</f>
        <v>42133.186332297038</v>
      </c>
      <c r="AE417" s="751">
        <f>$H$22*$M$9*'Traffic Data'!BG45*annualizationFactor</f>
        <v>42809.891890017527</v>
      </c>
      <c r="AF417" s="751">
        <f>$H$22*$M$9*'Traffic Data'!BH45*annualizationFactor</f>
        <v>43486.796373470796</v>
      </c>
      <c r="AG417" s="751">
        <f>$H$22*$M$9*'Traffic Data'!BI45*annualizationFactor</f>
        <v>44163.700856924042</v>
      </c>
      <c r="AH417" s="752">
        <f>$H$22*$M$9*'Traffic Data'!BJ45*annualizationFactor</f>
        <v>44840.406414644531</v>
      </c>
      <c r="AI417" s="25"/>
      <c r="AJ417" s="25"/>
      <c r="AK417" s="25"/>
      <c r="AL417" s="25"/>
      <c r="AM417" s="25"/>
    </row>
    <row r="418" spans="2:39" ht="21.9" customHeight="1" x14ac:dyDescent="0.25">
      <c r="B418" s="470"/>
      <c r="C418" s="250" t="s">
        <v>274</v>
      </c>
      <c r="D418" s="250" t="s">
        <v>317</v>
      </c>
      <c r="E418" s="250" t="s">
        <v>434</v>
      </c>
      <c r="F418" s="250" t="s">
        <v>40</v>
      </c>
      <c r="G418" s="753"/>
      <c r="H418" s="753"/>
      <c r="I418" s="753">
        <f>$H$22*$M$9*'Traffic Data'!AK46*annualizationFactor</f>
        <v>589.77363636363634</v>
      </c>
      <c r="J418" s="753">
        <f>$H$22*$M$9*'Traffic Data'!AL46*annualizationFactor</f>
        <v>606.49765077878806</v>
      </c>
      <c r="K418" s="753">
        <f>$H$22*$M$9*'Traffic Data'!AM46*annualizationFactor</f>
        <v>625.55421992575748</v>
      </c>
      <c r="L418" s="753">
        <f>$H$22*$M$9*'Traffic Data'!AN46*annualizationFactor</f>
        <v>649.90400745909108</v>
      </c>
      <c r="M418" s="753">
        <f>$H$22*$M$9*'Traffic Data'!AO46*annualizationFactor</f>
        <v>674.26165864090899</v>
      </c>
      <c r="N418" s="753">
        <f>$H$22*$M$9*'Traffic Data'!AP46*annualizationFactor</f>
        <v>698.61537799848509</v>
      </c>
      <c r="O418" s="753">
        <f>$H$22*$M$9*'Traffic Data'!AQ46*annualizationFactor</f>
        <v>722.96516553181834</v>
      </c>
      <c r="P418" s="753">
        <f>$H$22*$M$9*'Traffic Data'!AR46*annualizationFactor</f>
        <v>747.31986784545461</v>
      </c>
      <c r="Q418" s="753">
        <f>$H$22*$M$9*'Traffic Data'!AS46*annualizationFactor</f>
        <v>774.8465693666667</v>
      </c>
      <c r="R418" s="753">
        <f>$H$22*$M$9*'Traffic Data'!AT46*annualizationFactor</f>
        <v>802.37228793181839</v>
      </c>
      <c r="S418" s="753">
        <f>$H$22*$M$9*'Traffic Data'!AU46*annualizationFactor</f>
        <v>829.89505762878787</v>
      </c>
      <c r="T418" s="753">
        <f>$H$22*$M$9*'Traffic Data'!AV46*annualizationFactor</f>
        <v>857.42175915000018</v>
      </c>
      <c r="U418" s="753">
        <f>$H$22*$M$9*'Traffic Data'!AW46*annualizationFactor</f>
        <v>884.95337545151506</v>
      </c>
      <c r="V418" s="753">
        <f>$H$22*$M$9*'Traffic Data'!AX46*annualizationFactor</f>
        <v>907.18587563030303</v>
      </c>
      <c r="W418" s="753">
        <f>$H$22*$M$9*'Traffic Data'!AY46*annualizationFactor</f>
        <v>923.90989004545474</v>
      </c>
      <c r="X418" s="753">
        <f>$H$22*$M$9*'Traffic Data'!AZ46*annualizationFactor</f>
        <v>940.63390446060635</v>
      </c>
      <c r="Y418" s="753">
        <f>$H$22*$M$9*'Traffic Data'!BA46*annualizationFactor</f>
        <v>957.35791887575772</v>
      </c>
      <c r="Z418" s="753">
        <f>$H$22*$M$9*'Traffic Data'!BB46*annualizationFactor</f>
        <v>974.07701851060619</v>
      </c>
      <c r="AA418" s="753">
        <f>$H$22*$M$9*'Traffic Data'!BC46*annualizationFactor</f>
        <v>990.80103292575734</v>
      </c>
      <c r="AB418" s="753">
        <f>$H$22*$M$9*'Traffic Data'!BD46*annualizationFactor</f>
        <v>1007.5201325606058</v>
      </c>
      <c r="AC418" s="753">
        <f>$H$22*$M$9*'Traffic Data'!BE46*annualizationFactor</f>
        <v>1024.2441469757573</v>
      </c>
      <c r="AD418" s="753">
        <f>$H$22*$M$9*'Traffic Data'!BF46*annualizationFactor</f>
        <v>1040.9681613909088</v>
      </c>
      <c r="AE418" s="753">
        <f>$H$22*$M$9*'Traffic Data'!BG46*annualizationFactor</f>
        <v>1057.6872610257574</v>
      </c>
      <c r="AF418" s="753">
        <f>$H$22*$M$9*'Traffic Data'!BH46*annualizationFactor</f>
        <v>1074.4112754409091</v>
      </c>
      <c r="AG418" s="753">
        <f>$H$22*$M$9*'Traffic Data'!BI46*annualizationFactor</f>
        <v>1091.1352898560604</v>
      </c>
      <c r="AH418" s="757">
        <f>$H$22*$M$9*'Traffic Data'!BJ46*annualizationFactor</f>
        <v>1107.8543894909089</v>
      </c>
    </row>
    <row r="419" spans="2:39" ht="21.9" customHeight="1" thickBot="1" x14ac:dyDescent="0.3">
      <c r="B419" s="761" t="s">
        <v>464</v>
      </c>
      <c r="C419" s="762"/>
      <c r="D419" s="762"/>
      <c r="E419" s="762"/>
      <c r="F419" s="762"/>
      <c r="G419" s="763">
        <f t="shared" ref="G419:AH419" si="39">SUM(G399:G418)</f>
        <v>0</v>
      </c>
      <c r="H419" s="763">
        <f t="shared" si="39"/>
        <v>0</v>
      </c>
      <c r="I419" s="763">
        <f t="shared" si="39"/>
        <v>280840.27286537125</v>
      </c>
      <c r="J419" s="763">
        <f t="shared" si="39"/>
        <v>296606.15303327143</v>
      </c>
      <c r="K419" s="763">
        <f t="shared" si="39"/>
        <v>326654.40071712027</v>
      </c>
      <c r="L419" s="763">
        <f t="shared" si="39"/>
        <v>377648.3066581235</v>
      </c>
      <c r="M419" s="763">
        <f t="shared" si="39"/>
        <v>428667.89046891453</v>
      </c>
      <c r="N419" s="763">
        <f t="shared" si="39"/>
        <v>479688.33353172895</v>
      </c>
      <c r="O419" s="763">
        <f t="shared" si="39"/>
        <v>530682.23947273218</v>
      </c>
      <c r="P419" s="763">
        <f t="shared" si="39"/>
        <v>581728.14058392181</v>
      </c>
      <c r="Q419" s="763">
        <f t="shared" si="39"/>
        <v>630469.03577690234</v>
      </c>
      <c r="R419" s="763">
        <f t="shared" si="39"/>
        <v>679222.72998471954</v>
      </c>
      <c r="S419" s="763">
        <f t="shared" si="39"/>
        <v>727962.67389641574</v>
      </c>
      <c r="T419" s="763">
        <f t="shared" si="39"/>
        <v>776703.56908939616</v>
      </c>
      <c r="U419" s="763">
        <f t="shared" si="39"/>
        <v>825497.53619246162</v>
      </c>
      <c r="V419" s="763">
        <f t="shared" si="39"/>
        <v>853542.67043633503</v>
      </c>
      <c r="W419" s="763">
        <f t="shared" si="39"/>
        <v>868769.28931050515</v>
      </c>
      <c r="X419" s="763">
        <f t="shared" si="39"/>
        <v>883995.90818467527</v>
      </c>
      <c r="Y419" s="763">
        <f t="shared" si="39"/>
        <v>899222.5270588455</v>
      </c>
      <c r="Z419" s="763">
        <f t="shared" si="39"/>
        <v>914462.69019417418</v>
      </c>
      <c r="AA419" s="763">
        <f t="shared" si="39"/>
        <v>929689.30906834442</v>
      </c>
      <c r="AB419" s="763">
        <f t="shared" si="39"/>
        <v>944929.50051280798</v>
      </c>
      <c r="AC419" s="763">
        <f t="shared" si="39"/>
        <v>960156.1193869781</v>
      </c>
      <c r="AD419" s="763">
        <f t="shared" si="39"/>
        <v>975382.7382611481</v>
      </c>
      <c r="AE419" s="763">
        <f t="shared" si="39"/>
        <v>990622.90139647713</v>
      </c>
      <c r="AF419" s="763">
        <f t="shared" si="39"/>
        <v>1005849.5202706469</v>
      </c>
      <c r="AG419" s="763">
        <f t="shared" si="39"/>
        <v>1021076.139144817</v>
      </c>
      <c r="AH419" s="764">
        <f t="shared" si="39"/>
        <v>1036316.3305892806</v>
      </c>
    </row>
    <row r="420" spans="2:39" ht="21.9" customHeight="1" x14ac:dyDescent="0.25">
      <c r="F420"/>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row>
    <row r="421" spans="2:39" ht="21.9" customHeight="1" x14ac:dyDescent="0.25">
      <c r="F42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row>
    <row r="422" spans="2:39" ht="21.9" customHeight="1" thickBot="1" x14ac:dyDescent="0.3">
      <c r="B422" s="769" t="s">
        <v>466</v>
      </c>
      <c r="F422"/>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row>
    <row r="423" spans="2:39" ht="21.9" customHeight="1" x14ac:dyDescent="0.25">
      <c r="B423" s="548" t="s">
        <v>312</v>
      </c>
      <c r="C423" s="1331" t="s">
        <v>18</v>
      </c>
      <c r="D423" s="1331"/>
      <c r="E423" s="197" t="s">
        <v>24</v>
      </c>
      <c r="F423" s="197" t="s">
        <v>42</v>
      </c>
      <c r="G423" s="459">
        <v>2021</v>
      </c>
      <c r="H423" s="459">
        <v>2022</v>
      </c>
      <c r="I423" s="459">
        <v>2023</v>
      </c>
      <c r="J423" s="459">
        <v>2024</v>
      </c>
      <c r="K423" s="459">
        <v>2025</v>
      </c>
      <c r="L423" s="459">
        <v>2026</v>
      </c>
      <c r="M423" s="459">
        <v>2027</v>
      </c>
      <c r="N423" s="459">
        <v>2028</v>
      </c>
      <c r="O423" s="459">
        <v>2029</v>
      </c>
      <c r="P423" s="459">
        <v>2030</v>
      </c>
      <c r="Q423" s="459">
        <v>2031</v>
      </c>
      <c r="R423" s="459">
        <v>2032</v>
      </c>
      <c r="S423" s="459">
        <v>2033</v>
      </c>
      <c r="T423" s="459">
        <v>2034</v>
      </c>
      <c r="U423" s="459">
        <v>2035</v>
      </c>
      <c r="V423" s="459">
        <v>2036</v>
      </c>
      <c r="W423" s="459">
        <v>2037</v>
      </c>
      <c r="X423" s="459">
        <v>2038</v>
      </c>
      <c r="Y423" s="459">
        <v>2039</v>
      </c>
      <c r="Z423" s="459">
        <v>2040</v>
      </c>
      <c r="AA423" s="459">
        <v>2041</v>
      </c>
      <c r="AB423" s="459">
        <v>2042</v>
      </c>
      <c r="AC423" s="459">
        <v>2043</v>
      </c>
      <c r="AD423" s="459">
        <v>2044</v>
      </c>
      <c r="AE423" s="459">
        <v>2045</v>
      </c>
      <c r="AF423" s="459">
        <v>2046</v>
      </c>
      <c r="AG423" s="459">
        <v>2047</v>
      </c>
      <c r="AH423" s="459">
        <v>2048</v>
      </c>
      <c r="AI423" s="247"/>
      <c r="AJ423" s="247"/>
      <c r="AK423" s="247"/>
      <c r="AL423" s="247"/>
      <c r="AM423" s="247"/>
    </row>
    <row r="424" spans="2:39" ht="21.9" customHeight="1" x14ac:dyDescent="0.25">
      <c r="B424" s="1332" t="s">
        <v>43</v>
      </c>
      <c r="C424" s="217"/>
      <c r="D424" s="217"/>
      <c r="E424" s="217" t="s">
        <v>19</v>
      </c>
      <c r="F424" s="217"/>
      <c r="G424" s="749">
        <f t="shared" ref="G424:AH424" si="40">G265</f>
        <v>0</v>
      </c>
      <c r="H424" s="749">
        <f t="shared" si="40"/>
        <v>0</v>
      </c>
      <c r="I424" s="749">
        <f t="shared" si="40"/>
        <v>34.896942745583331</v>
      </c>
      <c r="J424" s="749">
        <f t="shared" si="40"/>
        <v>36.848520962115607</v>
      </c>
      <c r="K424" s="749">
        <f t="shared" si="40"/>
        <v>40.525796240707415</v>
      </c>
      <c r="L424" s="749">
        <f t="shared" si="40"/>
        <v>46.758138648721044</v>
      </c>
      <c r="M424" s="749">
        <f t="shared" si="40"/>
        <v>52.993605762872967</v>
      </c>
      <c r="N424" s="749">
        <f t="shared" si="40"/>
        <v>59.229159514045051</v>
      </c>
      <c r="O424" s="749">
        <f t="shared" si="40"/>
        <v>65.461501922058702</v>
      </c>
      <c r="P424" s="749">
        <f t="shared" si="40"/>
        <v>71.700168733521807</v>
      </c>
      <c r="Q424" s="749">
        <f t="shared" si="40"/>
        <v>77.67051283716323</v>
      </c>
      <c r="R424" s="749">
        <f t="shared" si="40"/>
        <v>83.642442790534673</v>
      </c>
      <c r="S424" s="749">
        <f t="shared" si="40"/>
        <v>89.612675329765267</v>
      </c>
      <c r="T424" s="749">
        <f t="shared" si="40"/>
        <v>95.583019433406704</v>
      </c>
      <c r="U424" s="749">
        <f t="shared" si="40"/>
        <v>101.55981421844957</v>
      </c>
      <c r="V424" s="749">
        <f t="shared" si="40"/>
        <v>105.00428540507468</v>
      </c>
      <c r="W424" s="749">
        <f t="shared" si="40"/>
        <v>106.89262011047943</v>
      </c>
      <c r="X424" s="749">
        <f t="shared" si="40"/>
        <v>108.78095481588421</v>
      </c>
      <c r="Y424" s="749">
        <f t="shared" si="40"/>
        <v>110.669289521289</v>
      </c>
      <c r="Z424" s="749">
        <f t="shared" si="40"/>
        <v>112.55926938939946</v>
      </c>
      <c r="AA424" s="749">
        <f t="shared" si="40"/>
        <v>114.44760409480422</v>
      </c>
      <c r="AB424" s="749">
        <f t="shared" si="40"/>
        <v>116.33758728295477</v>
      </c>
      <c r="AC424" s="749">
        <f t="shared" si="40"/>
        <v>118.22592198835949</v>
      </c>
      <c r="AD424" s="749">
        <f t="shared" si="40"/>
        <v>120.11425669376432</v>
      </c>
      <c r="AE424" s="749">
        <f t="shared" si="40"/>
        <v>122.00423656187479</v>
      </c>
      <c r="AF424" s="749">
        <f t="shared" si="40"/>
        <v>123.89257126727958</v>
      </c>
      <c r="AG424" s="749">
        <f t="shared" si="40"/>
        <v>125.78090597268434</v>
      </c>
      <c r="AH424" s="750">
        <f t="shared" si="40"/>
        <v>127.67088916083483</v>
      </c>
    </row>
    <row r="425" spans="2:39" ht="21.9" customHeight="1" x14ac:dyDescent="0.25">
      <c r="B425" s="1332"/>
      <c r="C425" s="114"/>
      <c r="D425" s="114"/>
      <c r="E425" s="114" t="s">
        <v>434</v>
      </c>
      <c r="F425" s="114"/>
      <c r="G425" s="751">
        <f t="shared" ref="G425:AH425" si="41">G287</f>
        <v>0</v>
      </c>
      <c r="H425" s="751">
        <f t="shared" si="41"/>
        <v>0</v>
      </c>
      <c r="I425" s="751">
        <f t="shared" si="41"/>
        <v>6.0674392247272744</v>
      </c>
      <c r="J425" s="751">
        <f t="shared" si="41"/>
        <v>6.4080546171248018</v>
      </c>
      <c r="K425" s="751">
        <f t="shared" si="41"/>
        <v>7.0572347178673462</v>
      </c>
      <c r="L425" s="751">
        <f t="shared" si="41"/>
        <v>8.1589371979700385</v>
      </c>
      <c r="M425" s="751">
        <f t="shared" si="41"/>
        <v>9.2611944379466173</v>
      </c>
      <c r="N425" s="751">
        <f t="shared" si="41"/>
        <v>10.363470241711708</v>
      </c>
      <c r="O425" s="751">
        <f t="shared" si="41"/>
        <v>11.465172721814401</v>
      </c>
      <c r="P425" s="751">
        <f t="shared" si="41"/>
        <v>12.567998536301674</v>
      </c>
      <c r="Q425" s="751">
        <f t="shared" si="41"/>
        <v>13.621025640729743</v>
      </c>
      <c r="R425" s="751">
        <f t="shared" si="41"/>
        <v>14.674329262638254</v>
      </c>
      <c r="S425" s="751">
        <f t="shared" si="41"/>
        <v>15.72733581502327</v>
      </c>
      <c r="T425" s="751">
        <f t="shared" si="41"/>
        <v>16.780362919451342</v>
      </c>
      <c r="U425" s="751">
        <f t="shared" si="41"/>
        <v>17.834536620789091</v>
      </c>
      <c r="V425" s="751">
        <f t="shared" si="41"/>
        <v>18.440440274983281</v>
      </c>
      <c r="W425" s="751">
        <f t="shared" si="41"/>
        <v>18.769405147700802</v>
      </c>
      <c r="X425" s="751">
        <f t="shared" si="41"/>
        <v>19.098370020418326</v>
      </c>
      <c r="Y425" s="751">
        <f t="shared" si="41"/>
        <v>19.42733489313586</v>
      </c>
      <c r="Z425" s="751">
        <f t="shared" si="41"/>
        <v>19.756592384075784</v>
      </c>
      <c r="AA425" s="751">
        <f t="shared" si="41"/>
        <v>20.085557256793312</v>
      </c>
      <c r="AB425" s="751">
        <f t="shared" si="41"/>
        <v>20.414815359340508</v>
      </c>
      <c r="AC425" s="751">
        <f t="shared" si="41"/>
        <v>20.74378023205804</v>
      </c>
      <c r="AD425" s="751">
        <f t="shared" si="41"/>
        <v>21.072745104775567</v>
      </c>
      <c r="AE425" s="751">
        <f t="shared" si="41"/>
        <v>21.402002595715494</v>
      </c>
      <c r="AF425" s="751">
        <f t="shared" si="41"/>
        <v>21.730967468433029</v>
      </c>
      <c r="AG425" s="751">
        <f t="shared" si="41"/>
        <v>22.059932341150546</v>
      </c>
      <c r="AH425" s="752">
        <f t="shared" si="41"/>
        <v>22.389190443697739</v>
      </c>
    </row>
    <row r="426" spans="2:39" ht="21.9" customHeight="1" x14ac:dyDescent="0.25">
      <c r="B426" s="1332"/>
      <c r="C426" s="114"/>
      <c r="D426" s="114"/>
      <c r="E426" s="746" t="s">
        <v>25</v>
      </c>
      <c r="F426" s="237"/>
      <c r="G426" s="766">
        <f>G424+G425</f>
        <v>0</v>
      </c>
      <c r="H426" s="766">
        <f>H424+H425</f>
        <v>0</v>
      </c>
      <c r="I426" s="766">
        <f t="shared" ref="I426:AH426" si="42">I424+I425</f>
        <v>40.964381970310605</v>
      </c>
      <c r="J426" s="766">
        <f t="shared" si="42"/>
        <v>43.256575579240412</v>
      </c>
      <c r="K426" s="766">
        <f t="shared" si="42"/>
        <v>47.58303095857476</v>
      </c>
      <c r="L426" s="766">
        <f t="shared" si="42"/>
        <v>54.917075846691084</v>
      </c>
      <c r="M426" s="766">
        <f t="shared" si="42"/>
        <v>62.254800200819588</v>
      </c>
      <c r="N426" s="766">
        <f t="shared" si="42"/>
        <v>69.592629755756761</v>
      </c>
      <c r="O426" s="766">
        <f t="shared" si="42"/>
        <v>76.926674643873099</v>
      </c>
      <c r="P426" s="766">
        <f t="shared" si="42"/>
        <v>84.268167269823479</v>
      </c>
      <c r="Q426" s="766">
        <f t="shared" si="42"/>
        <v>91.291538477892971</v>
      </c>
      <c r="R426" s="766">
        <f t="shared" si="42"/>
        <v>98.316772053172926</v>
      </c>
      <c r="S426" s="766">
        <f t="shared" si="42"/>
        <v>105.34001114478853</v>
      </c>
      <c r="T426" s="766">
        <f t="shared" si="42"/>
        <v>112.36338235285805</v>
      </c>
      <c r="U426" s="766">
        <f t="shared" si="42"/>
        <v>119.39435083923867</v>
      </c>
      <c r="V426" s="766">
        <f t="shared" si="42"/>
        <v>123.44472568005796</v>
      </c>
      <c r="W426" s="766">
        <f t="shared" si="42"/>
        <v>125.66202525818022</v>
      </c>
      <c r="X426" s="766">
        <f t="shared" si="42"/>
        <v>127.87932483630254</v>
      </c>
      <c r="Y426" s="766">
        <f t="shared" si="42"/>
        <v>130.09662441442487</v>
      </c>
      <c r="Z426" s="766">
        <f t="shared" si="42"/>
        <v>132.31586177347523</v>
      </c>
      <c r="AA426" s="766">
        <f t="shared" si="42"/>
        <v>134.53316135159753</v>
      </c>
      <c r="AB426" s="766">
        <f t="shared" si="42"/>
        <v>136.75240264229529</v>
      </c>
      <c r="AC426" s="766">
        <f t="shared" si="42"/>
        <v>138.96970222041753</v>
      </c>
      <c r="AD426" s="766">
        <f t="shared" si="42"/>
        <v>141.18700179853988</v>
      </c>
      <c r="AE426" s="766">
        <f t="shared" si="42"/>
        <v>143.40623915759028</v>
      </c>
      <c r="AF426" s="766">
        <f t="shared" si="42"/>
        <v>145.6235387357126</v>
      </c>
      <c r="AG426" s="766">
        <f t="shared" si="42"/>
        <v>147.84083831383489</v>
      </c>
      <c r="AH426" s="767">
        <f t="shared" si="42"/>
        <v>150.06007960453258</v>
      </c>
    </row>
    <row r="427" spans="2:39" ht="21.9" customHeight="1" x14ac:dyDescent="0.25">
      <c r="B427" s="1332" t="s">
        <v>405</v>
      </c>
      <c r="C427" s="217"/>
      <c r="D427" s="217"/>
      <c r="E427" s="217" t="s">
        <v>19</v>
      </c>
      <c r="F427" s="217"/>
      <c r="G427" s="751">
        <f t="shared" ref="G427:AH427" si="43">G309</f>
        <v>0</v>
      </c>
      <c r="H427" s="751">
        <f t="shared" si="43"/>
        <v>0</v>
      </c>
      <c r="I427" s="751">
        <f t="shared" si="43"/>
        <v>7.4715727193206448E-3</v>
      </c>
      <c r="J427" s="751">
        <f t="shared" si="43"/>
        <v>7.8894132925928818E-3</v>
      </c>
      <c r="K427" s="751">
        <f t="shared" si="43"/>
        <v>8.676732395394118E-3</v>
      </c>
      <c r="L427" s="751">
        <f t="shared" si="43"/>
        <v>1.0011101421720162E-2</v>
      </c>
      <c r="M427" s="751">
        <f t="shared" si="43"/>
        <v>1.1346139459922376E-2</v>
      </c>
      <c r="N427" s="751">
        <f t="shared" si="43"/>
        <v>1.268119604745142E-2</v>
      </c>
      <c r="O427" s="751">
        <f t="shared" si="43"/>
        <v>1.4015565073777464E-2</v>
      </c>
      <c r="P427" s="751">
        <f t="shared" si="43"/>
        <v>1.5351288179760969E-2</v>
      </c>
      <c r="Q427" s="751">
        <f t="shared" si="43"/>
        <v>1.6629562338472754E-2</v>
      </c>
      <c r="R427" s="751">
        <f t="shared" si="43"/>
        <v>1.790817603385016E-2</v>
      </c>
      <c r="S427" s="751">
        <f t="shared" si="43"/>
        <v>1.9186426306182721E-2</v>
      </c>
      <c r="T427" s="751">
        <f t="shared" si="43"/>
        <v>2.0464700464894511E-2</v>
      </c>
      <c r="U427" s="751">
        <f t="shared" si="43"/>
        <v>2.1744355739870033E-2</v>
      </c>
      <c r="V427" s="751">
        <f t="shared" si="43"/>
        <v>2.2481830570777135E-2</v>
      </c>
      <c r="W427" s="751">
        <f t="shared" si="43"/>
        <v>2.2886130459529828E-2</v>
      </c>
      <c r="X427" s="751">
        <f t="shared" si="43"/>
        <v>2.3290430348282539E-2</v>
      </c>
      <c r="Y427" s="751">
        <f t="shared" si="43"/>
        <v>2.3694730237035239E-2</v>
      </c>
      <c r="Z427" s="751">
        <f t="shared" si="43"/>
        <v>2.4099382361594965E-2</v>
      </c>
      <c r="AA427" s="751">
        <f t="shared" si="43"/>
        <v>2.4503682250347665E-2</v>
      </c>
      <c r="AB427" s="751">
        <f t="shared" si="43"/>
        <v>2.4908335085741022E-2</v>
      </c>
      <c r="AC427" s="751">
        <f t="shared" si="43"/>
        <v>2.5312634974493726E-2</v>
      </c>
      <c r="AD427" s="751">
        <f t="shared" si="43"/>
        <v>2.571693486324643E-2</v>
      </c>
      <c r="AE427" s="751">
        <f t="shared" si="43"/>
        <v>2.6121586987806155E-2</v>
      </c>
      <c r="AF427" s="751">
        <f t="shared" si="43"/>
        <v>2.6525886876558859E-2</v>
      </c>
      <c r="AG427" s="751">
        <f t="shared" si="43"/>
        <v>2.6930186765311566E-2</v>
      </c>
      <c r="AH427" s="752">
        <f t="shared" si="43"/>
        <v>2.7334839600704909E-2</v>
      </c>
    </row>
    <row r="428" spans="2:39" ht="21.9" customHeight="1" x14ac:dyDescent="0.25">
      <c r="B428" s="1332"/>
      <c r="C428" s="114"/>
      <c r="D428" s="114"/>
      <c r="E428" s="114" t="s">
        <v>434</v>
      </c>
      <c r="F428" s="114"/>
      <c r="G428" s="751">
        <f t="shared" ref="G428:AH428" si="44">G331</f>
        <v>0</v>
      </c>
      <c r="H428" s="751">
        <f t="shared" si="44"/>
        <v>0</v>
      </c>
      <c r="I428" s="751">
        <f t="shared" si="44"/>
        <v>6.9891297283961568E-2</v>
      </c>
      <c r="J428" s="751">
        <f t="shared" si="44"/>
        <v>7.3814872085095032E-2</v>
      </c>
      <c r="K428" s="751">
        <f t="shared" si="44"/>
        <v>8.1292827402211346E-2</v>
      </c>
      <c r="L428" s="751">
        <f t="shared" si="44"/>
        <v>9.3983422676990711E-2</v>
      </c>
      <c r="M428" s="751">
        <f t="shared" si="44"/>
        <v>0.10668040827326013</v>
      </c>
      <c r="N428" s="751">
        <f t="shared" si="44"/>
        <v>0.11937760770723164</v>
      </c>
      <c r="O428" s="751">
        <f t="shared" si="44"/>
        <v>0.132068202982011</v>
      </c>
      <c r="P428" s="751">
        <f t="shared" si="44"/>
        <v>0.14477173803163018</v>
      </c>
      <c r="Q428" s="751">
        <f t="shared" si="44"/>
        <v>0.15690163792477005</v>
      </c>
      <c r="R428" s="751">
        <f t="shared" si="44"/>
        <v>0.16903472304395223</v>
      </c>
      <c r="S428" s="751">
        <f t="shared" si="44"/>
        <v>0.18116438619653349</v>
      </c>
      <c r="T428" s="751">
        <f t="shared" si="44"/>
        <v>0.19329428608967331</v>
      </c>
      <c r="U428" s="751">
        <f t="shared" si="44"/>
        <v>0.20543739372046169</v>
      </c>
      <c r="V428" s="751">
        <f t="shared" si="44"/>
        <v>0.21241684433418054</v>
      </c>
      <c r="W428" s="751">
        <f t="shared" si="44"/>
        <v>0.21620621590652028</v>
      </c>
      <c r="X428" s="751">
        <f t="shared" si="44"/>
        <v>0.21999558747886017</v>
      </c>
      <c r="Y428" s="751">
        <f t="shared" si="44"/>
        <v>0.22378495905120008</v>
      </c>
      <c r="Z428" s="751">
        <f t="shared" si="44"/>
        <v>0.22757770131526261</v>
      </c>
      <c r="AA428" s="751">
        <f t="shared" si="44"/>
        <v>0.23136707288760239</v>
      </c>
      <c r="AB428" s="751">
        <f t="shared" si="44"/>
        <v>0.23515982219681592</v>
      </c>
      <c r="AC428" s="751">
        <f t="shared" si="44"/>
        <v>0.23894919376915577</v>
      </c>
      <c r="AD428" s="751">
        <f t="shared" si="44"/>
        <v>0.24273856534149563</v>
      </c>
      <c r="AE428" s="751">
        <f t="shared" si="44"/>
        <v>0.24653130760555816</v>
      </c>
      <c r="AF428" s="751">
        <f t="shared" si="44"/>
        <v>0.25032067917789802</v>
      </c>
      <c r="AG428" s="751">
        <f t="shared" si="44"/>
        <v>0.25411005075023785</v>
      </c>
      <c r="AH428" s="752">
        <f t="shared" si="44"/>
        <v>0.25790280005945138</v>
      </c>
    </row>
    <row r="429" spans="2:39" ht="21.9" customHeight="1" x14ac:dyDescent="0.25">
      <c r="B429" s="1332"/>
      <c r="C429" s="114"/>
      <c r="D429" s="114"/>
      <c r="E429" s="746" t="s">
        <v>25</v>
      </c>
      <c r="F429" s="237"/>
      <c r="G429" s="759">
        <f>G427+G428</f>
        <v>0</v>
      </c>
      <c r="H429" s="759">
        <f>H427+H428</f>
        <v>0</v>
      </c>
      <c r="I429" s="759">
        <f t="shared" ref="I429:AH429" si="45">I427+I428</f>
        <v>7.7362870003282208E-2</v>
      </c>
      <c r="J429" s="759">
        <f t="shared" si="45"/>
        <v>8.170428537768791E-2</v>
      </c>
      <c r="K429" s="759">
        <f t="shared" si="45"/>
        <v>8.9969559797605458E-2</v>
      </c>
      <c r="L429" s="759">
        <f t="shared" si="45"/>
        <v>0.10399452409871088</v>
      </c>
      <c r="M429" s="759">
        <f t="shared" si="45"/>
        <v>0.1180265477331825</v>
      </c>
      <c r="N429" s="759">
        <f t="shared" si="45"/>
        <v>0.13205880375468307</v>
      </c>
      <c r="O429" s="759">
        <f t="shared" si="45"/>
        <v>0.14608376805578846</v>
      </c>
      <c r="P429" s="759">
        <f t="shared" si="45"/>
        <v>0.16012302621139116</v>
      </c>
      <c r="Q429" s="759">
        <f t="shared" si="45"/>
        <v>0.17353120026324281</v>
      </c>
      <c r="R429" s="759">
        <f t="shared" si="45"/>
        <v>0.1869428990778024</v>
      </c>
      <c r="S429" s="759">
        <f t="shared" si="45"/>
        <v>0.20035081250271622</v>
      </c>
      <c r="T429" s="759">
        <f t="shared" si="45"/>
        <v>0.21375898655456782</v>
      </c>
      <c r="U429" s="759">
        <f t="shared" si="45"/>
        <v>0.22718174946033171</v>
      </c>
      <c r="V429" s="759">
        <f t="shared" si="45"/>
        <v>0.23489867490495767</v>
      </c>
      <c r="W429" s="759">
        <f t="shared" si="45"/>
        <v>0.23909234636605012</v>
      </c>
      <c r="X429" s="759">
        <f t="shared" si="45"/>
        <v>0.24328601782714271</v>
      </c>
      <c r="Y429" s="759">
        <f t="shared" si="45"/>
        <v>0.24747968928823533</v>
      </c>
      <c r="Z429" s="759">
        <f t="shared" si="45"/>
        <v>0.25167708367685759</v>
      </c>
      <c r="AA429" s="759">
        <f t="shared" si="45"/>
        <v>0.25587075513795005</v>
      </c>
      <c r="AB429" s="759">
        <f t="shared" si="45"/>
        <v>0.26006815728255694</v>
      </c>
      <c r="AC429" s="759">
        <f t="shared" si="45"/>
        <v>0.26426182874364951</v>
      </c>
      <c r="AD429" s="759">
        <f t="shared" si="45"/>
        <v>0.26845550020474207</v>
      </c>
      <c r="AE429" s="759">
        <f t="shared" si="45"/>
        <v>0.27265289459336434</v>
      </c>
      <c r="AF429" s="759">
        <f t="shared" si="45"/>
        <v>0.2768465660544569</v>
      </c>
      <c r="AG429" s="759">
        <f t="shared" si="45"/>
        <v>0.28104023751554941</v>
      </c>
      <c r="AH429" s="760">
        <f t="shared" si="45"/>
        <v>0.28523763966015631</v>
      </c>
    </row>
    <row r="430" spans="2:39" ht="21.9" customHeight="1" x14ac:dyDescent="0.25">
      <c r="B430" s="1332" t="s">
        <v>41</v>
      </c>
      <c r="C430" s="217"/>
      <c r="D430" s="217"/>
      <c r="E430" s="217" t="s">
        <v>19</v>
      </c>
      <c r="F430" s="217"/>
      <c r="G430" s="749">
        <f t="shared" ref="G430:AH430" si="46">G353</f>
        <v>0</v>
      </c>
      <c r="H430" s="749">
        <f t="shared" si="46"/>
        <v>0</v>
      </c>
      <c r="I430" s="749">
        <f t="shared" si="46"/>
        <v>0.9960988694469699</v>
      </c>
      <c r="J430" s="749">
        <f t="shared" si="46"/>
        <v>1.0518047480191313</v>
      </c>
      <c r="K430" s="749">
        <f t="shared" si="46"/>
        <v>1.1567689500225919</v>
      </c>
      <c r="L430" s="749">
        <f t="shared" si="46"/>
        <v>1.3346650273921339</v>
      </c>
      <c r="M430" s="749">
        <f t="shared" si="46"/>
        <v>1.5126502964216562</v>
      </c>
      <c r="N430" s="749">
        <f t="shared" si="46"/>
        <v>1.6906380384196125</v>
      </c>
      <c r="O430" s="749">
        <f t="shared" si="46"/>
        <v>1.8685341157891546</v>
      </c>
      <c r="P430" s="749">
        <f t="shared" si="46"/>
        <v>2.046610717027848</v>
      </c>
      <c r="Q430" s="749">
        <f t="shared" si="46"/>
        <v>2.2170283107753481</v>
      </c>
      <c r="R430" s="749">
        <f t="shared" si="46"/>
        <v>2.3874911710418867</v>
      </c>
      <c r="S430" s="749">
        <f t="shared" si="46"/>
        <v>2.5579055802931321</v>
      </c>
      <c r="T430" s="749">
        <f t="shared" si="46"/>
        <v>2.7283231740406326</v>
      </c>
      <c r="U430" s="749">
        <f t="shared" si="46"/>
        <v>2.8989248961370833</v>
      </c>
      <c r="V430" s="749">
        <f t="shared" si="46"/>
        <v>2.9972439345655761</v>
      </c>
      <c r="W430" s="749">
        <f t="shared" si="46"/>
        <v>3.0511445893852378</v>
      </c>
      <c r="X430" s="749">
        <f t="shared" si="46"/>
        <v>3.1050452442048995</v>
      </c>
      <c r="Y430" s="749">
        <f t="shared" si="46"/>
        <v>3.1589458990245607</v>
      </c>
      <c r="Z430" s="749">
        <f t="shared" si="46"/>
        <v>3.2128935133937491</v>
      </c>
      <c r="AA430" s="749">
        <f t="shared" si="46"/>
        <v>3.2667941682134107</v>
      </c>
      <c r="AB430" s="749">
        <f t="shared" si="46"/>
        <v>3.3207418773498718</v>
      </c>
      <c r="AC430" s="749">
        <f t="shared" si="46"/>
        <v>3.3746425321695335</v>
      </c>
      <c r="AD430" s="749">
        <f t="shared" si="46"/>
        <v>3.4285431869891956</v>
      </c>
      <c r="AE430" s="749">
        <f t="shared" si="46"/>
        <v>3.4824908013583835</v>
      </c>
      <c r="AF430" s="749">
        <f t="shared" si="46"/>
        <v>3.5363914561780452</v>
      </c>
      <c r="AG430" s="749">
        <f t="shared" si="46"/>
        <v>3.5902921109977064</v>
      </c>
      <c r="AH430" s="750">
        <f t="shared" si="46"/>
        <v>3.6442398201341684</v>
      </c>
    </row>
    <row r="431" spans="2:39" ht="21.9" customHeight="1" x14ac:dyDescent="0.25">
      <c r="B431" s="1332"/>
      <c r="C431" s="114"/>
      <c r="D431" s="114"/>
      <c r="E431" s="114" t="s">
        <v>434</v>
      </c>
      <c r="F431" s="114"/>
      <c r="G431" s="751">
        <f t="shared" ref="G431:AH431" si="47">G375</f>
        <v>0</v>
      </c>
      <c r="H431" s="751">
        <f t="shared" si="47"/>
        <v>0</v>
      </c>
      <c r="I431" s="751">
        <f t="shared" si="47"/>
        <v>0.31601245962121216</v>
      </c>
      <c r="J431" s="751">
        <f t="shared" si="47"/>
        <v>0.33375284464191668</v>
      </c>
      <c r="K431" s="751">
        <f t="shared" si="47"/>
        <v>0.36756430822225755</v>
      </c>
      <c r="L431" s="751">
        <f t="shared" si="47"/>
        <v>0.4249446457276061</v>
      </c>
      <c r="M431" s="751">
        <f t="shared" si="47"/>
        <v>0.48235387697638638</v>
      </c>
      <c r="N431" s="751">
        <f t="shared" si="47"/>
        <v>0.5397640750891517</v>
      </c>
      <c r="O431" s="751">
        <f t="shared" si="47"/>
        <v>0.59714441259450013</v>
      </c>
      <c r="P431" s="751">
        <f t="shared" si="47"/>
        <v>0.65458325709904552</v>
      </c>
      <c r="Q431" s="751">
        <f t="shared" si="47"/>
        <v>0.70942841878800755</v>
      </c>
      <c r="R431" s="751">
        <f t="shared" si="47"/>
        <v>0.7642879824290757</v>
      </c>
      <c r="S431" s="751">
        <f t="shared" si="47"/>
        <v>0.81913207369912899</v>
      </c>
      <c r="T431" s="751">
        <f t="shared" si="47"/>
        <v>0.87397723538809102</v>
      </c>
      <c r="U431" s="751">
        <f t="shared" si="47"/>
        <v>0.92888211566609846</v>
      </c>
      <c r="V431" s="751">
        <f t="shared" si="47"/>
        <v>0.9604395976553789</v>
      </c>
      <c r="W431" s="751">
        <f t="shared" si="47"/>
        <v>0.97757318477608324</v>
      </c>
      <c r="X431" s="751">
        <f t="shared" si="47"/>
        <v>0.99470677189678813</v>
      </c>
      <c r="Y431" s="751">
        <f t="shared" si="47"/>
        <v>1.0118403590174925</v>
      </c>
      <c r="Z431" s="751">
        <f t="shared" si="47"/>
        <v>1.0289891866706138</v>
      </c>
      <c r="AA431" s="751">
        <f t="shared" si="47"/>
        <v>1.0461227737913186</v>
      </c>
      <c r="AB431" s="751">
        <f t="shared" si="47"/>
        <v>1.0632716332989851</v>
      </c>
      <c r="AC431" s="751">
        <f t="shared" si="47"/>
        <v>1.080405220419689</v>
      </c>
      <c r="AD431" s="751">
        <f t="shared" si="47"/>
        <v>1.097538807540394</v>
      </c>
      <c r="AE431" s="751">
        <f t="shared" si="47"/>
        <v>1.1146876351935151</v>
      </c>
      <c r="AF431" s="751">
        <f t="shared" si="47"/>
        <v>1.1318212223142197</v>
      </c>
      <c r="AG431" s="751">
        <f t="shared" si="47"/>
        <v>1.1489548094349242</v>
      </c>
      <c r="AH431" s="752">
        <f t="shared" si="47"/>
        <v>1.166103668942591</v>
      </c>
    </row>
    <row r="432" spans="2:39" ht="21.9" customHeight="1" x14ac:dyDescent="0.25">
      <c r="B432" s="1332"/>
      <c r="C432" s="114"/>
      <c r="D432" s="114"/>
      <c r="E432" s="746" t="s">
        <v>25</v>
      </c>
      <c r="F432" s="237"/>
      <c r="G432" s="766">
        <f>G430+G431</f>
        <v>0</v>
      </c>
      <c r="H432" s="766">
        <f>H430+H431</f>
        <v>0</v>
      </c>
      <c r="I432" s="766">
        <f t="shared" ref="I432:AH432" si="48">I430+I431</f>
        <v>1.3121113290681821</v>
      </c>
      <c r="J432" s="766">
        <f t="shared" si="48"/>
        <v>1.3855575926610479</v>
      </c>
      <c r="K432" s="766">
        <f t="shared" si="48"/>
        <v>1.5243332582448494</v>
      </c>
      <c r="L432" s="766">
        <f t="shared" si="48"/>
        <v>1.7596096731197399</v>
      </c>
      <c r="M432" s="766">
        <f t="shared" si="48"/>
        <v>1.9950041733980426</v>
      </c>
      <c r="N432" s="766">
        <f t="shared" si="48"/>
        <v>2.2304021135087639</v>
      </c>
      <c r="O432" s="766">
        <f t="shared" si="48"/>
        <v>2.4656785283836546</v>
      </c>
      <c r="P432" s="766">
        <f t="shared" si="48"/>
        <v>2.7011939741268938</v>
      </c>
      <c r="Q432" s="766">
        <f t="shared" si="48"/>
        <v>2.9264567295633555</v>
      </c>
      <c r="R432" s="766">
        <f t="shared" si="48"/>
        <v>3.1517791534709625</v>
      </c>
      <c r="S432" s="766">
        <f t="shared" si="48"/>
        <v>3.3770376539922609</v>
      </c>
      <c r="T432" s="766">
        <f t="shared" si="48"/>
        <v>3.6023004094287234</v>
      </c>
      <c r="U432" s="766">
        <f t="shared" si="48"/>
        <v>3.8278070118031815</v>
      </c>
      <c r="V432" s="766">
        <f t="shared" si="48"/>
        <v>3.9576835322209551</v>
      </c>
      <c r="W432" s="766">
        <f t="shared" si="48"/>
        <v>4.0287177741613212</v>
      </c>
      <c r="X432" s="766">
        <f t="shared" si="48"/>
        <v>4.0997520161016876</v>
      </c>
      <c r="Y432" s="766">
        <f t="shared" si="48"/>
        <v>4.1707862580420532</v>
      </c>
      <c r="Z432" s="766">
        <f t="shared" si="48"/>
        <v>4.2418827000643624</v>
      </c>
      <c r="AA432" s="766">
        <f t="shared" si="48"/>
        <v>4.3129169420047297</v>
      </c>
      <c r="AB432" s="766">
        <f t="shared" si="48"/>
        <v>4.3840135106488569</v>
      </c>
      <c r="AC432" s="766">
        <f t="shared" si="48"/>
        <v>4.4550477525892225</v>
      </c>
      <c r="AD432" s="766">
        <f t="shared" si="48"/>
        <v>4.5260819945295898</v>
      </c>
      <c r="AE432" s="766">
        <f t="shared" si="48"/>
        <v>4.5971784365518982</v>
      </c>
      <c r="AF432" s="766">
        <f t="shared" si="48"/>
        <v>4.6682126784922646</v>
      </c>
      <c r="AG432" s="766">
        <f t="shared" si="48"/>
        <v>4.7392469204326311</v>
      </c>
      <c r="AH432" s="767">
        <f t="shared" si="48"/>
        <v>4.8103434890767591</v>
      </c>
    </row>
    <row r="433" spans="2:39" ht="21.9" customHeight="1" x14ac:dyDescent="0.25">
      <c r="B433" s="1332" t="s">
        <v>40</v>
      </c>
      <c r="C433" s="217"/>
      <c r="D433" s="217"/>
      <c r="E433" s="217" t="s">
        <v>19</v>
      </c>
      <c r="F433" s="217"/>
      <c r="G433" s="751">
        <f t="shared" ref="G433:AH433" si="49">G397</f>
        <v>0</v>
      </c>
      <c r="H433" s="751">
        <f t="shared" si="49"/>
        <v>0</v>
      </c>
      <c r="I433" s="751">
        <f t="shared" si="49"/>
        <v>85212.491520757583</v>
      </c>
      <c r="J433" s="751">
        <f t="shared" si="49"/>
        <v>89977.91878012399</v>
      </c>
      <c r="K433" s="751">
        <f t="shared" si="49"/>
        <v>98957.209338067041</v>
      </c>
      <c r="L433" s="751">
        <f t="shared" si="49"/>
        <v>114175.54604077245</v>
      </c>
      <c r="M433" s="751">
        <f t="shared" si="49"/>
        <v>129401.51275270971</v>
      </c>
      <c r="N433" s="751">
        <f t="shared" si="49"/>
        <v>144627.691017745</v>
      </c>
      <c r="O433" s="751">
        <f t="shared" si="49"/>
        <v>159846.02772045037</v>
      </c>
      <c r="P433" s="751">
        <f t="shared" si="49"/>
        <v>175079.80755750838</v>
      </c>
      <c r="Q433" s="751">
        <f t="shared" si="49"/>
        <v>189658.38826632814</v>
      </c>
      <c r="R433" s="751">
        <f t="shared" si="49"/>
        <v>204240.84135467571</v>
      </c>
      <c r="S433" s="751">
        <f t="shared" si="49"/>
        <v>218819.14964188312</v>
      </c>
      <c r="T433" s="751">
        <f t="shared" si="49"/>
        <v>233397.73035070294</v>
      </c>
      <c r="U433" s="751">
        <f t="shared" si="49"/>
        <v>247992.06254349172</v>
      </c>
      <c r="V433" s="751">
        <f t="shared" si="49"/>
        <v>256402.88448636606</v>
      </c>
      <c r="W433" s="751">
        <f t="shared" si="49"/>
        <v>261013.8816801825</v>
      </c>
      <c r="X433" s="751">
        <f t="shared" si="49"/>
        <v>265624.87887399888</v>
      </c>
      <c r="Y433" s="751">
        <f t="shared" si="49"/>
        <v>270235.87606781535</v>
      </c>
      <c r="Z433" s="751">
        <f t="shared" si="49"/>
        <v>274850.89047351561</v>
      </c>
      <c r="AA433" s="751">
        <f t="shared" si="49"/>
        <v>279461.88766733214</v>
      </c>
      <c r="AB433" s="751">
        <f t="shared" si="49"/>
        <v>284076.91018001427</v>
      </c>
      <c r="AC433" s="751">
        <f t="shared" si="49"/>
        <v>288687.90737383062</v>
      </c>
      <c r="AD433" s="751">
        <f t="shared" si="49"/>
        <v>293298.90456764703</v>
      </c>
      <c r="AE433" s="751">
        <f t="shared" si="49"/>
        <v>297913.91897334746</v>
      </c>
      <c r="AF433" s="751">
        <f t="shared" si="49"/>
        <v>302524.91616716381</v>
      </c>
      <c r="AG433" s="751">
        <f t="shared" si="49"/>
        <v>307135.91336098028</v>
      </c>
      <c r="AH433" s="752">
        <f t="shared" si="49"/>
        <v>311750.93587366253</v>
      </c>
    </row>
    <row r="434" spans="2:39" ht="21.9" customHeight="1" x14ac:dyDescent="0.25">
      <c r="B434" s="1332"/>
      <c r="C434" s="114"/>
      <c r="D434" s="114"/>
      <c r="E434" s="114" t="s">
        <v>434</v>
      </c>
      <c r="F434" s="114"/>
      <c r="G434" s="751">
        <f>G419</f>
        <v>0</v>
      </c>
      <c r="H434" s="751">
        <f>H419</f>
        <v>0</v>
      </c>
      <c r="I434" s="751">
        <f t="shared" ref="I434:AH434" si="50">I419</f>
        <v>280840.27286537125</v>
      </c>
      <c r="J434" s="751">
        <f t="shared" si="50"/>
        <v>296606.15303327143</v>
      </c>
      <c r="K434" s="751">
        <f t="shared" si="50"/>
        <v>326654.40071712027</v>
      </c>
      <c r="L434" s="751">
        <f t="shared" si="50"/>
        <v>377648.3066581235</v>
      </c>
      <c r="M434" s="751">
        <f t="shared" si="50"/>
        <v>428667.89046891453</v>
      </c>
      <c r="N434" s="751">
        <f t="shared" si="50"/>
        <v>479688.33353172895</v>
      </c>
      <c r="O434" s="751">
        <f t="shared" si="50"/>
        <v>530682.23947273218</v>
      </c>
      <c r="P434" s="751">
        <f t="shared" si="50"/>
        <v>581728.14058392181</v>
      </c>
      <c r="Q434" s="751">
        <f t="shared" si="50"/>
        <v>630469.03577690234</v>
      </c>
      <c r="R434" s="751">
        <f t="shared" si="50"/>
        <v>679222.72998471954</v>
      </c>
      <c r="S434" s="751">
        <f t="shared" si="50"/>
        <v>727962.67389641574</v>
      </c>
      <c r="T434" s="751">
        <f t="shared" si="50"/>
        <v>776703.56908939616</v>
      </c>
      <c r="U434" s="751">
        <f t="shared" si="50"/>
        <v>825497.53619246162</v>
      </c>
      <c r="V434" s="751">
        <f t="shared" si="50"/>
        <v>853542.67043633503</v>
      </c>
      <c r="W434" s="751">
        <f t="shared" si="50"/>
        <v>868769.28931050515</v>
      </c>
      <c r="X434" s="751">
        <f t="shared" si="50"/>
        <v>883995.90818467527</v>
      </c>
      <c r="Y434" s="751">
        <f t="shared" si="50"/>
        <v>899222.5270588455</v>
      </c>
      <c r="Z434" s="751">
        <f t="shared" si="50"/>
        <v>914462.69019417418</v>
      </c>
      <c r="AA434" s="751">
        <f t="shared" si="50"/>
        <v>929689.30906834442</v>
      </c>
      <c r="AB434" s="751">
        <f t="shared" si="50"/>
        <v>944929.50051280798</v>
      </c>
      <c r="AC434" s="751">
        <f t="shared" si="50"/>
        <v>960156.1193869781</v>
      </c>
      <c r="AD434" s="751">
        <f t="shared" si="50"/>
        <v>975382.7382611481</v>
      </c>
      <c r="AE434" s="751">
        <f t="shared" si="50"/>
        <v>990622.90139647713</v>
      </c>
      <c r="AF434" s="751">
        <f t="shared" si="50"/>
        <v>1005849.5202706469</v>
      </c>
      <c r="AG434" s="751">
        <f t="shared" si="50"/>
        <v>1021076.139144817</v>
      </c>
      <c r="AH434" s="752">
        <f t="shared" si="50"/>
        <v>1036316.3305892806</v>
      </c>
    </row>
    <row r="435" spans="2:39" ht="21.9" customHeight="1" thickBot="1" x14ac:dyDescent="0.3">
      <c r="B435" s="1333"/>
      <c r="C435" s="274"/>
      <c r="D435" s="274"/>
      <c r="E435" s="762" t="s">
        <v>25</v>
      </c>
      <c r="F435" s="762"/>
      <c r="G435" s="763">
        <f>G433+G434</f>
        <v>0</v>
      </c>
      <c r="H435" s="763">
        <f>H433+H434</f>
        <v>0</v>
      </c>
      <c r="I435" s="763">
        <f t="shared" ref="I435:AH435" si="51">I433+I434</f>
        <v>366052.76438612887</v>
      </c>
      <c r="J435" s="763">
        <f t="shared" si="51"/>
        <v>386584.07181339542</v>
      </c>
      <c r="K435" s="763">
        <f t="shared" si="51"/>
        <v>425611.61005518731</v>
      </c>
      <c r="L435" s="763">
        <f t="shared" si="51"/>
        <v>491823.85269889596</v>
      </c>
      <c r="M435" s="763">
        <f t="shared" si="51"/>
        <v>558069.4032216242</v>
      </c>
      <c r="N435" s="763">
        <f t="shared" si="51"/>
        <v>624316.02454947401</v>
      </c>
      <c r="O435" s="763">
        <f t="shared" si="51"/>
        <v>690528.2671931826</v>
      </c>
      <c r="P435" s="763">
        <f t="shared" si="51"/>
        <v>756807.94814143016</v>
      </c>
      <c r="Q435" s="763">
        <f t="shared" si="51"/>
        <v>820127.42404323048</v>
      </c>
      <c r="R435" s="763">
        <f t="shared" si="51"/>
        <v>883463.57133939525</v>
      </c>
      <c r="S435" s="763">
        <f t="shared" si="51"/>
        <v>946781.82353829884</v>
      </c>
      <c r="T435" s="763">
        <f t="shared" si="51"/>
        <v>1010101.2994400992</v>
      </c>
      <c r="U435" s="763">
        <f t="shared" si="51"/>
        <v>1073489.5987359532</v>
      </c>
      <c r="V435" s="763">
        <f t="shared" si="51"/>
        <v>1109945.5549227011</v>
      </c>
      <c r="W435" s="763">
        <f t="shared" si="51"/>
        <v>1129783.1709906876</v>
      </c>
      <c r="X435" s="763">
        <f t="shared" si="51"/>
        <v>1149620.7870586743</v>
      </c>
      <c r="Y435" s="763">
        <f t="shared" si="51"/>
        <v>1169458.4031266607</v>
      </c>
      <c r="Z435" s="763">
        <f t="shared" si="51"/>
        <v>1189313.5806676899</v>
      </c>
      <c r="AA435" s="763">
        <f t="shared" si="51"/>
        <v>1209151.1967356766</v>
      </c>
      <c r="AB435" s="763">
        <f t="shared" si="51"/>
        <v>1229006.4106928222</v>
      </c>
      <c r="AC435" s="763">
        <f t="shared" si="51"/>
        <v>1248844.0267608087</v>
      </c>
      <c r="AD435" s="763">
        <f t="shared" si="51"/>
        <v>1268681.6428287951</v>
      </c>
      <c r="AE435" s="763">
        <f t="shared" si="51"/>
        <v>1288536.8203698245</v>
      </c>
      <c r="AF435" s="763">
        <f t="shared" si="51"/>
        <v>1308374.4364378108</v>
      </c>
      <c r="AG435" s="763">
        <f t="shared" si="51"/>
        <v>1328212.0525057972</v>
      </c>
      <c r="AH435" s="764">
        <f t="shared" si="51"/>
        <v>1348067.2664629431</v>
      </c>
    </row>
    <row r="436" spans="2:39" ht="21.9" customHeight="1" x14ac:dyDescent="0.25">
      <c r="F436"/>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row>
    <row r="437" spans="2:39" ht="21.9" customHeight="1" x14ac:dyDescent="0.25">
      <c r="F437"/>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row>
    <row r="438" spans="2:39" ht="21.9" customHeight="1" thickBot="1" x14ac:dyDescent="0.3">
      <c r="B438" s="769" t="s">
        <v>467</v>
      </c>
      <c r="F438"/>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row>
    <row r="439" spans="2:39" ht="21.9" customHeight="1" x14ac:dyDescent="0.25">
      <c r="B439" s="548" t="s">
        <v>312</v>
      </c>
      <c r="C439" s="1331" t="s">
        <v>18</v>
      </c>
      <c r="D439" s="1331"/>
      <c r="E439" s="197" t="s">
        <v>24</v>
      </c>
      <c r="F439" s="197" t="s">
        <v>42</v>
      </c>
      <c r="G439" s="459">
        <v>2021</v>
      </c>
      <c r="H439" s="459">
        <v>2022</v>
      </c>
      <c r="I439" s="459">
        <v>2023</v>
      </c>
      <c r="J439" s="459">
        <v>2024</v>
      </c>
      <c r="K439" s="459">
        <v>2025</v>
      </c>
      <c r="L439" s="459">
        <v>2026</v>
      </c>
      <c r="M439" s="459">
        <v>2027</v>
      </c>
      <c r="N439" s="459">
        <v>2028</v>
      </c>
      <c r="O439" s="459">
        <v>2029</v>
      </c>
      <c r="P439" s="459">
        <v>2030</v>
      </c>
      <c r="Q439" s="459">
        <v>2031</v>
      </c>
      <c r="R439" s="459">
        <v>2032</v>
      </c>
      <c r="S439" s="459">
        <v>2033</v>
      </c>
      <c r="T439" s="459">
        <v>2034</v>
      </c>
      <c r="U439" s="459">
        <v>2035</v>
      </c>
      <c r="V439" s="459">
        <v>2036</v>
      </c>
      <c r="W439" s="459">
        <v>2037</v>
      </c>
      <c r="X439" s="459">
        <v>2038</v>
      </c>
      <c r="Y439" s="459">
        <v>2039</v>
      </c>
      <c r="Z439" s="459">
        <v>2040</v>
      </c>
      <c r="AA439" s="459">
        <v>2041</v>
      </c>
      <c r="AB439" s="459">
        <v>2042</v>
      </c>
      <c r="AC439" s="459">
        <v>2043</v>
      </c>
      <c r="AD439" s="459">
        <v>2044</v>
      </c>
      <c r="AE439" s="459">
        <v>2045</v>
      </c>
      <c r="AF439" s="459">
        <v>2046</v>
      </c>
      <c r="AG439" s="459">
        <v>2047</v>
      </c>
      <c r="AH439" s="459">
        <v>2048</v>
      </c>
      <c r="AI439" s="247"/>
      <c r="AJ439" s="247"/>
      <c r="AK439" s="247"/>
      <c r="AL439" s="247"/>
      <c r="AM439" s="247"/>
    </row>
    <row r="440" spans="2:39" ht="21.9" customHeight="1" x14ac:dyDescent="0.25">
      <c r="B440" s="1332" t="s">
        <v>43</v>
      </c>
      <c r="C440" s="217"/>
      <c r="D440" s="217"/>
      <c r="E440" s="217" t="s">
        <v>19</v>
      </c>
      <c r="F440" s="217"/>
      <c r="G440" s="772">
        <f t="shared" ref="G440:AH440" si="52">G424*G13</f>
        <v>0</v>
      </c>
      <c r="H440" s="772">
        <f t="shared" si="52"/>
        <v>0</v>
      </c>
      <c r="I440" s="772">
        <f t="shared" si="52"/>
        <v>690959.46636254992</v>
      </c>
      <c r="J440" s="772">
        <f t="shared" si="52"/>
        <v>740655.27133852371</v>
      </c>
      <c r="K440" s="772">
        <f t="shared" si="52"/>
        <v>822673.66368636047</v>
      </c>
      <c r="L440" s="772">
        <f t="shared" si="52"/>
        <v>963217.65616365348</v>
      </c>
      <c r="M440" s="772">
        <f t="shared" si="52"/>
        <v>1112865.7210203323</v>
      </c>
      <c r="N440" s="772">
        <f t="shared" si="52"/>
        <v>1261581.0976491596</v>
      </c>
      <c r="O440" s="772">
        <f t="shared" si="52"/>
        <v>1420514.5917086739</v>
      </c>
      <c r="P440" s="772">
        <f t="shared" si="52"/>
        <v>1577403.7121374798</v>
      </c>
      <c r="Q440" s="772">
        <f t="shared" si="52"/>
        <v>1708751.282417591</v>
      </c>
      <c r="R440" s="772">
        <f t="shared" si="52"/>
        <v>1840133.7413917629</v>
      </c>
      <c r="S440" s="772">
        <f t="shared" si="52"/>
        <v>1971478.8572548358</v>
      </c>
      <c r="T440" s="772">
        <f t="shared" si="52"/>
        <v>2102826.4275349476</v>
      </c>
      <c r="U440" s="772">
        <f t="shared" si="52"/>
        <v>2234315.9128058907</v>
      </c>
      <c r="V440" s="772">
        <f t="shared" si="52"/>
        <v>2310094.2789116432</v>
      </c>
      <c r="W440" s="772">
        <f t="shared" si="52"/>
        <v>2351637.6424305476</v>
      </c>
      <c r="X440" s="772">
        <f t="shared" si="52"/>
        <v>2393181.0059494525</v>
      </c>
      <c r="Y440" s="772">
        <f t="shared" si="52"/>
        <v>2434724.3694683579</v>
      </c>
      <c r="Z440" s="772">
        <f t="shared" si="52"/>
        <v>2476303.926566788</v>
      </c>
      <c r="AA440" s="772">
        <f t="shared" si="52"/>
        <v>2517847.2900856929</v>
      </c>
      <c r="AB440" s="772">
        <f t="shared" si="52"/>
        <v>2559426.9202250051</v>
      </c>
      <c r="AC440" s="772">
        <f t="shared" si="52"/>
        <v>2600970.2837439086</v>
      </c>
      <c r="AD440" s="772">
        <f t="shared" si="52"/>
        <v>2642513.6472628149</v>
      </c>
      <c r="AE440" s="772">
        <f t="shared" si="52"/>
        <v>2684093.2043612455</v>
      </c>
      <c r="AF440" s="772">
        <f t="shared" si="52"/>
        <v>2725636.5678801509</v>
      </c>
      <c r="AG440" s="772">
        <f t="shared" si="52"/>
        <v>2767179.9313990553</v>
      </c>
      <c r="AH440" s="773">
        <f t="shared" si="52"/>
        <v>2808759.5615383661</v>
      </c>
    </row>
    <row r="441" spans="2:39" ht="21.9" customHeight="1" x14ac:dyDescent="0.25">
      <c r="B441" s="1332"/>
      <c r="C441" s="114"/>
      <c r="D441" s="114"/>
      <c r="E441" s="114" t="s">
        <v>434</v>
      </c>
      <c r="F441" s="114"/>
      <c r="G441" s="783">
        <f t="shared" ref="G441:AH441" si="53">G425*G13</f>
        <v>0</v>
      </c>
      <c r="H441" s="783">
        <f t="shared" si="53"/>
        <v>0</v>
      </c>
      <c r="I441" s="783">
        <f t="shared" si="53"/>
        <v>120135.29664960003</v>
      </c>
      <c r="J441" s="783">
        <f t="shared" si="53"/>
        <v>128801.89780420852</v>
      </c>
      <c r="K441" s="783">
        <f t="shared" si="53"/>
        <v>143261.86477270714</v>
      </c>
      <c r="L441" s="783">
        <f t="shared" si="53"/>
        <v>168074.10627818279</v>
      </c>
      <c r="M441" s="783">
        <f t="shared" si="53"/>
        <v>194485.08319687896</v>
      </c>
      <c r="N441" s="783">
        <f t="shared" si="53"/>
        <v>220741.91614845939</v>
      </c>
      <c r="O441" s="783">
        <f t="shared" si="53"/>
        <v>248794.24806337251</v>
      </c>
      <c r="P441" s="783">
        <f t="shared" si="53"/>
        <v>276495.96779863682</v>
      </c>
      <c r="Q441" s="783">
        <f t="shared" si="53"/>
        <v>299662.56409605435</v>
      </c>
      <c r="R441" s="783">
        <f t="shared" si="53"/>
        <v>322835.24377804162</v>
      </c>
      <c r="S441" s="783">
        <f t="shared" si="53"/>
        <v>346001.38793051196</v>
      </c>
      <c r="T441" s="783">
        <f t="shared" si="53"/>
        <v>369167.9842279295</v>
      </c>
      <c r="U441" s="783">
        <f t="shared" si="53"/>
        <v>392359.80565736</v>
      </c>
      <c r="V441" s="783">
        <f t="shared" si="53"/>
        <v>405689.6860496322</v>
      </c>
      <c r="W441" s="783">
        <f t="shared" si="53"/>
        <v>412926.91324941762</v>
      </c>
      <c r="X441" s="783">
        <f t="shared" si="53"/>
        <v>420164.14044920314</v>
      </c>
      <c r="Y441" s="783">
        <f t="shared" si="53"/>
        <v>427401.3676489889</v>
      </c>
      <c r="Z441" s="783">
        <f t="shared" si="53"/>
        <v>434645.03244966723</v>
      </c>
      <c r="AA441" s="783">
        <f t="shared" si="53"/>
        <v>441882.25964945287</v>
      </c>
      <c r="AB441" s="783">
        <f t="shared" si="53"/>
        <v>449125.93790549121</v>
      </c>
      <c r="AC441" s="783">
        <f t="shared" si="53"/>
        <v>456363.16510527686</v>
      </c>
      <c r="AD441" s="783">
        <f t="shared" si="53"/>
        <v>463600.3923050625</v>
      </c>
      <c r="AE441" s="783">
        <f t="shared" si="53"/>
        <v>470844.05710574088</v>
      </c>
      <c r="AF441" s="783">
        <f t="shared" si="53"/>
        <v>478081.28430552664</v>
      </c>
      <c r="AG441" s="783">
        <f t="shared" si="53"/>
        <v>485318.511505312</v>
      </c>
      <c r="AH441" s="775">
        <f t="shared" si="53"/>
        <v>492562.18976135028</v>
      </c>
    </row>
    <row r="442" spans="2:39" ht="21.9" customHeight="1" x14ac:dyDescent="0.25">
      <c r="B442" s="1332"/>
      <c r="C442" s="114"/>
      <c r="D442" s="114"/>
      <c r="E442" s="746" t="s">
        <v>25</v>
      </c>
      <c r="F442" s="237"/>
      <c r="G442" s="776">
        <f>G440+G441</f>
        <v>0</v>
      </c>
      <c r="H442" s="776">
        <f>H440+H441</f>
        <v>0</v>
      </c>
      <c r="I442" s="776">
        <f t="shared" ref="I442:AH442" si="54">I440+I441</f>
        <v>811094.76301214995</v>
      </c>
      <c r="J442" s="776">
        <f t="shared" si="54"/>
        <v>869457.16914273228</v>
      </c>
      <c r="K442" s="776">
        <f t="shared" si="54"/>
        <v>965935.52845906757</v>
      </c>
      <c r="L442" s="776">
        <f t="shared" si="54"/>
        <v>1131291.7624418363</v>
      </c>
      <c r="M442" s="776">
        <f t="shared" si="54"/>
        <v>1307350.8042172112</v>
      </c>
      <c r="N442" s="776">
        <f t="shared" si="54"/>
        <v>1482323.0137976189</v>
      </c>
      <c r="O442" s="776">
        <f t="shared" si="54"/>
        <v>1669308.8397720463</v>
      </c>
      <c r="P442" s="776">
        <f t="shared" si="54"/>
        <v>1853899.6799361166</v>
      </c>
      <c r="Q442" s="776">
        <f t="shared" si="54"/>
        <v>2008413.8465136453</v>
      </c>
      <c r="R442" s="776">
        <f t="shared" si="54"/>
        <v>2162968.9851698047</v>
      </c>
      <c r="S442" s="776">
        <f t="shared" si="54"/>
        <v>2317480.2451853477</v>
      </c>
      <c r="T442" s="776">
        <f t="shared" si="54"/>
        <v>2471994.4117628774</v>
      </c>
      <c r="U442" s="776">
        <f t="shared" si="54"/>
        <v>2626675.7184632504</v>
      </c>
      <c r="V442" s="776">
        <f t="shared" si="54"/>
        <v>2715783.9649612755</v>
      </c>
      <c r="W442" s="776">
        <f t="shared" si="54"/>
        <v>2764564.5556799653</v>
      </c>
      <c r="X442" s="776">
        <f t="shared" si="54"/>
        <v>2813345.1463986556</v>
      </c>
      <c r="Y442" s="776">
        <f t="shared" si="54"/>
        <v>2862125.7371173468</v>
      </c>
      <c r="Z442" s="776">
        <f t="shared" si="54"/>
        <v>2910948.9590164553</v>
      </c>
      <c r="AA442" s="776">
        <f t="shared" si="54"/>
        <v>2959729.5497351456</v>
      </c>
      <c r="AB442" s="776">
        <f t="shared" si="54"/>
        <v>3008552.8581304965</v>
      </c>
      <c r="AC442" s="776">
        <f t="shared" si="54"/>
        <v>3057333.4488491854</v>
      </c>
      <c r="AD442" s="776">
        <f t="shared" si="54"/>
        <v>3106114.0395678775</v>
      </c>
      <c r="AE442" s="776">
        <f t="shared" si="54"/>
        <v>3154937.2614669865</v>
      </c>
      <c r="AF442" s="776">
        <f t="shared" si="54"/>
        <v>3203717.8521856777</v>
      </c>
      <c r="AG442" s="776">
        <f t="shared" si="54"/>
        <v>3252498.4429043671</v>
      </c>
      <c r="AH442" s="777">
        <f t="shared" si="54"/>
        <v>3301321.7512997165</v>
      </c>
    </row>
    <row r="443" spans="2:39" ht="21.9" customHeight="1" x14ac:dyDescent="0.25">
      <c r="B443" s="1332" t="s">
        <v>405</v>
      </c>
      <c r="C443" s="217"/>
      <c r="D443" s="217"/>
      <c r="E443" s="217" t="s">
        <v>19</v>
      </c>
      <c r="F443" s="217"/>
      <c r="G443" s="783">
        <f t="shared" ref="G443:AH443" si="55">G427*G14</f>
        <v>0</v>
      </c>
      <c r="H443" s="783">
        <f t="shared" si="55"/>
        <v>0</v>
      </c>
      <c r="I443" s="783">
        <f t="shared" si="55"/>
        <v>395.2461968520621</v>
      </c>
      <c r="J443" s="783">
        <f t="shared" si="55"/>
        <v>424.45043514149705</v>
      </c>
      <c r="K443" s="783">
        <f t="shared" si="55"/>
        <v>475.48493526759768</v>
      </c>
      <c r="L443" s="783">
        <f t="shared" si="55"/>
        <v>561.62278975850109</v>
      </c>
      <c r="M443" s="783">
        <f t="shared" si="55"/>
        <v>651.26840499954437</v>
      </c>
      <c r="N443" s="783">
        <f t="shared" si="55"/>
        <v>744.3862079853983</v>
      </c>
      <c r="O443" s="783">
        <f t="shared" si="55"/>
        <v>842.3354609340256</v>
      </c>
      <c r="P443" s="783">
        <f t="shared" si="55"/>
        <v>944.1042230552996</v>
      </c>
      <c r="Q443" s="783">
        <f t="shared" si="55"/>
        <v>1022.7180838160743</v>
      </c>
      <c r="R443" s="783">
        <f t="shared" si="55"/>
        <v>1101.3528260817848</v>
      </c>
      <c r="S443" s="783">
        <f t="shared" si="55"/>
        <v>1179.9652178302374</v>
      </c>
      <c r="T443" s="783">
        <f t="shared" si="55"/>
        <v>1258.5790785910124</v>
      </c>
      <c r="U443" s="783">
        <f t="shared" si="55"/>
        <v>1337.2778780020071</v>
      </c>
      <c r="V443" s="783">
        <f t="shared" si="55"/>
        <v>1382.6325801027938</v>
      </c>
      <c r="W443" s="783">
        <f t="shared" si="55"/>
        <v>1407.4970232610845</v>
      </c>
      <c r="X443" s="783">
        <f t="shared" si="55"/>
        <v>1432.3614664193763</v>
      </c>
      <c r="Y443" s="783">
        <f t="shared" si="55"/>
        <v>1457.2259095776672</v>
      </c>
      <c r="Z443" s="783">
        <f t="shared" si="55"/>
        <v>1482.1120152380904</v>
      </c>
      <c r="AA443" s="783">
        <f t="shared" si="55"/>
        <v>1506.9764583963813</v>
      </c>
      <c r="AB443" s="783">
        <f t="shared" si="55"/>
        <v>1531.8626077730728</v>
      </c>
      <c r="AC443" s="783">
        <f t="shared" si="55"/>
        <v>1556.7270509313641</v>
      </c>
      <c r="AD443" s="783">
        <f t="shared" si="55"/>
        <v>1581.5914940896555</v>
      </c>
      <c r="AE443" s="783">
        <f t="shared" si="55"/>
        <v>1606.4775997500785</v>
      </c>
      <c r="AF443" s="783">
        <f t="shared" si="55"/>
        <v>1631.3420429083699</v>
      </c>
      <c r="AG443" s="783">
        <f t="shared" si="55"/>
        <v>1656.2064860666612</v>
      </c>
      <c r="AH443" s="775">
        <f t="shared" si="55"/>
        <v>1681.0926354433518</v>
      </c>
    </row>
    <row r="444" spans="2:39" ht="21.9" customHeight="1" x14ac:dyDescent="0.25">
      <c r="B444" s="1332"/>
      <c r="C444" s="114"/>
      <c r="D444" s="114"/>
      <c r="E444" s="114" t="s">
        <v>434</v>
      </c>
      <c r="F444" s="114"/>
      <c r="G444" s="783">
        <f t="shared" ref="G444:AH444" si="56">G428*G242</f>
        <v>0</v>
      </c>
      <c r="H444" s="783">
        <f t="shared" si="56"/>
        <v>0</v>
      </c>
      <c r="I444" s="783">
        <f t="shared" si="56"/>
        <v>0</v>
      </c>
      <c r="J444" s="783">
        <f t="shared" si="56"/>
        <v>0</v>
      </c>
      <c r="K444" s="783">
        <f t="shared" si="56"/>
        <v>0</v>
      </c>
      <c r="L444" s="783">
        <f t="shared" si="56"/>
        <v>0</v>
      </c>
      <c r="M444" s="783">
        <f t="shared" si="56"/>
        <v>0</v>
      </c>
      <c r="N444" s="783">
        <f t="shared" si="56"/>
        <v>0</v>
      </c>
      <c r="O444" s="783">
        <f t="shared" si="56"/>
        <v>0</v>
      </c>
      <c r="P444" s="783">
        <f t="shared" si="56"/>
        <v>0</v>
      </c>
      <c r="Q444" s="783">
        <f t="shared" si="56"/>
        <v>0</v>
      </c>
      <c r="R444" s="783">
        <f t="shared" si="56"/>
        <v>0</v>
      </c>
      <c r="S444" s="783">
        <f t="shared" si="56"/>
        <v>0</v>
      </c>
      <c r="T444" s="783">
        <f t="shared" si="56"/>
        <v>0</v>
      </c>
      <c r="U444" s="783">
        <f t="shared" si="56"/>
        <v>0</v>
      </c>
      <c r="V444" s="783">
        <f t="shared" si="56"/>
        <v>0</v>
      </c>
      <c r="W444" s="783">
        <f t="shared" si="56"/>
        <v>0</v>
      </c>
      <c r="X444" s="783">
        <f t="shared" si="56"/>
        <v>0</v>
      </c>
      <c r="Y444" s="783">
        <f t="shared" si="56"/>
        <v>0</v>
      </c>
      <c r="Z444" s="783">
        <f t="shared" si="56"/>
        <v>0</v>
      </c>
      <c r="AA444" s="783">
        <f t="shared" si="56"/>
        <v>0</v>
      </c>
      <c r="AB444" s="783">
        <f t="shared" si="56"/>
        <v>0</v>
      </c>
      <c r="AC444" s="783">
        <f t="shared" si="56"/>
        <v>0</v>
      </c>
      <c r="AD444" s="783">
        <f t="shared" si="56"/>
        <v>0</v>
      </c>
      <c r="AE444" s="783">
        <f t="shared" si="56"/>
        <v>0</v>
      </c>
      <c r="AF444" s="783">
        <f t="shared" si="56"/>
        <v>0</v>
      </c>
      <c r="AG444" s="783">
        <f t="shared" si="56"/>
        <v>0</v>
      </c>
      <c r="AH444" s="775">
        <f t="shared" si="56"/>
        <v>0</v>
      </c>
    </row>
    <row r="445" spans="2:39" ht="21.9" customHeight="1" x14ac:dyDescent="0.25">
      <c r="B445" s="1332"/>
      <c r="C445" s="114"/>
      <c r="D445" s="114"/>
      <c r="E445" s="746" t="s">
        <v>25</v>
      </c>
      <c r="F445" s="237"/>
      <c r="G445" s="784">
        <f>G443+G444</f>
        <v>0</v>
      </c>
      <c r="H445" s="784">
        <f>H443+H444</f>
        <v>0</v>
      </c>
      <c r="I445" s="784">
        <f t="shared" ref="I445:AH445" si="57">I443+I444</f>
        <v>395.2461968520621</v>
      </c>
      <c r="J445" s="784">
        <f t="shared" si="57"/>
        <v>424.45043514149705</v>
      </c>
      <c r="K445" s="784">
        <f t="shared" si="57"/>
        <v>475.48493526759768</v>
      </c>
      <c r="L445" s="784">
        <f t="shared" si="57"/>
        <v>561.62278975850109</v>
      </c>
      <c r="M445" s="784">
        <f t="shared" si="57"/>
        <v>651.26840499954437</v>
      </c>
      <c r="N445" s="784">
        <f t="shared" si="57"/>
        <v>744.3862079853983</v>
      </c>
      <c r="O445" s="784">
        <f t="shared" si="57"/>
        <v>842.3354609340256</v>
      </c>
      <c r="P445" s="784">
        <f t="shared" si="57"/>
        <v>944.1042230552996</v>
      </c>
      <c r="Q445" s="784">
        <f t="shared" si="57"/>
        <v>1022.7180838160743</v>
      </c>
      <c r="R445" s="784">
        <f t="shared" si="57"/>
        <v>1101.3528260817848</v>
      </c>
      <c r="S445" s="784">
        <f t="shared" si="57"/>
        <v>1179.9652178302374</v>
      </c>
      <c r="T445" s="784">
        <f t="shared" si="57"/>
        <v>1258.5790785910124</v>
      </c>
      <c r="U445" s="784">
        <f t="shared" si="57"/>
        <v>1337.2778780020071</v>
      </c>
      <c r="V445" s="784">
        <f t="shared" si="57"/>
        <v>1382.6325801027938</v>
      </c>
      <c r="W445" s="784">
        <f t="shared" si="57"/>
        <v>1407.4970232610845</v>
      </c>
      <c r="X445" s="784">
        <f t="shared" si="57"/>
        <v>1432.3614664193763</v>
      </c>
      <c r="Y445" s="784">
        <f t="shared" si="57"/>
        <v>1457.2259095776672</v>
      </c>
      <c r="Z445" s="784">
        <f t="shared" si="57"/>
        <v>1482.1120152380904</v>
      </c>
      <c r="AA445" s="784">
        <f t="shared" si="57"/>
        <v>1506.9764583963813</v>
      </c>
      <c r="AB445" s="784">
        <f t="shared" si="57"/>
        <v>1531.8626077730728</v>
      </c>
      <c r="AC445" s="784">
        <f t="shared" si="57"/>
        <v>1556.7270509313641</v>
      </c>
      <c r="AD445" s="784">
        <f t="shared" si="57"/>
        <v>1581.5914940896555</v>
      </c>
      <c r="AE445" s="784">
        <f t="shared" si="57"/>
        <v>1606.4775997500785</v>
      </c>
      <c r="AF445" s="784">
        <f t="shared" si="57"/>
        <v>1631.3420429083699</v>
      </c>
      <c r="AG445" s="784">
        <f t="shared" si="57"/>
        <v>1656.2064860666612</v>
      </c>
      <c r="AH445" s="778">
        <f t="shared" si="57"/>
        <v>1681.0926354433518</v>
      </c>
    </row>
    <row r="446" spans="2:39" ht="21.9" customHeight="1" x14ac:dyDescent="0.25">
      <c r="B446" s="1332" t="s">
        <v>41</v>
      </c>
      <c r="C446" s="217"/>
      <c r="D446" s="217"/>
      <c r="E446" s="217" t="s">
        <v>19</v>
      </c>
      <c r="F446" s="217"/>
      <c r="G446" s="772">
        <f t="shared" ref="G446:AH446" si="58">G430*G15</f>
        <v>0</v>
      </c>
      <c r="H446" s="772">
        <f t="shared" si="58"/>
        <v>0</v>
      </c>
      <c r="I446" s="772">
        <f t="shared" si="58"/>
        <v>947290.02484406834</v>
      </c>
      <c r="J446" s="772">
        <f t="shared" si="58"/>
        <v>1013098.3332920272</v>
      </c>
      <c r="K446" s="772">
        <f t="shared" si="58"/>
        <v>1128428.1107470384</v>
      </c>
      <c r="L446" s="772">
        <f t="shared" si="58"/>
        <v>1325989.704714085</v>
      </c>
      <c r="M446" s="772">
        <f t="shared" si="58"/>
        <v>1530650.8349490738</v>
      </c>
      <c r="N446" s="772">
        <f t="shared" si="58"/>
        <v>1742371.5623952525</v>
      </c>
      <c r="O446" s="772">
        <f t="shared" si="58"/>
        <v>1961213.4079322966</v>
      </c>
      <c r="P446" s="772">
        <f t="shared" si="58"/>
        <v>2187826.8565027695</v>
      </c>
      <c r="Q446" s="772">
        <f t="shared" si="58"/>
        <v>2370003.2642188473</v>
      </c>
      <c r="R446" s="772">
        <f t="shared" si="58"/>
        <v>2552228.0618437771</v>
      </c>
      <c r="S446" s="772">
        <f t="shared" si="58"/>
        <v>2734401.065333358</v>
      </c>
      <c r="T446" s="772">
        <f t="shared" si="58"/>
        <v>2916577.4730494362</v>
      </c>
      <c r="U446" s="772">
        <f t="shared" si="58"/>
        <v>3098950.713970542</v>
      </c>
      <c r="V446" s="772">
        <f t="shared" si="58"/>
        <v>3204053.7660506009</v>
      </c>
      <c r="W446" s="772">
        <f t="shared" si="58"/>
        <v>3261673.5660528191</v>
      </c>
      <c r="X446" s="772">
        <f t="shared" si="58"/>
        <v>3319293.3660550374</v>
      </c>
      <c r="Y446" s="772">
        <f t="shared" si="58"/>
        <v>3376913.1660572556</v>
      </c>
      <c r="Z446" s="772">
        <f t="shared" si="58"/>
        <v>3434583.1658179178</v>
      </c>
      <c r="AA446" s="772">
        <f t="shared" si="58"/>
        <v>3492202.965820136</v>
      </c>
      <c r="AB446" s="772">
        <f t="shared" si="58"/>
        <v>3549873.0668870131</v>
      </c>
      <c r="AC446" s="772">
        <f t="shared" si="58"/>
        <v>3607492.8668892314</v>
      </c>
      <c r="AD446" s="772">
        <f t="shared" si="58"/>
        <v>3665112.6668914501</v>
      </c>
      <c r="AE446" s="772">
        <f t="shared" si="58"/>
        <v>3722782.6666521118</v>
      </c>
      <c r="AF446" s="772">
        <f t="shared" si="58"/>
        <v>3780402.4666543305</v>
      </c>
      <c r="AG446" s="772">
        <f t="shared" si="58"/>
        <v>3838022.2666565483</v>
      </c>
      <c r="AH446" s="773">
        <f t="shared" si="58"/>
        <v>3895692.3677234259</v>
      </c>
    </row>
    <row r="447" spans="2:39" ht="21.9" customHeight="1" x14ac:dyDescent="0.25">
      <c r="B447" s="1332"/>
      <c r="C447" s="114"/>
      <c r="D447" s="114"/>
      <c r="E447" s="114" t="s">
        <v>434</v>
      </c>
      <c r="F447" s="114"/>
      <c r="G447" s="783">
        <f t="shared" ref="G447:AH447" si="59">G431*G15</f>
        <v>0</v>
      </c>
      <c r="H447" s="783">
        <f t="shared" si="59"/>
        <v>0</v>
      </c>
      <c r="I447" s="783">
        <f t="shared" si="59"/>
        <v>300527.84909977275</v>
      </c>
      <c r="J447" s="783">
        <f t="shared" si="59"/>
        <v>321470.73995909415</v>
      </c>
      <c r="K447" s="783">
        <f t="shared" si="59"/>
        <v>358558.98267081223</v>
      </c>
      <c r="L447" s="783">
        <f t="shared" si="59"/>
        <v>422182.50553037663</v>
      </c>
      <c r="M447" s="783">
        <f t="shared" si="59"/>
        <v>488093.88811240537</v>
      </c>
      <c r="N447" s="783">
        <f t="shared" si="59"/>
        <v>556280.85578687978</v>
      </c>
      <c r="O447" s="783">
        <f t="shared" si="59"/>
        <v>626762.77545918734</v>
      </c>
      <c r="P447" s="783">
        <f t="shared" si="59"/>
        <v>699749.50183887966</v>
      </c>
      <c r="Q447" s="783">
        <f t="shared" si="59"/>
        <v>758378.97968438012</v>
      </c>
      <c r="R447" s="783">
        <f t="shared" si="59"/>
        <v>817023.85321668186</v>
      </c>
      <c r="S447" s="783">
        <f t="shared" si="59"/>
        <v>875652.18678436894</v>
      </c>
      <c r="T447" s="783">
        <f t="shared" si="59"/>
        <v>934281.66462986928</v>
      </c>
      <c r="U447" s="783">
        <f t="shared" si="59"/>
        <v>992974.9816470592</v>
      </c>
      <c r="V447" s="783">
        <f t="shared" si="59"/>
        <v>1026709.9298936001</v>
      </c>
      <c r="W447" s="783">
        <f t="shared" si="59"/>
        <v>1045025.7345256329</v>
      </c>
      <c r="X447" s="783">
        <f t="shared" si="59"/>
        <v>1063341.5391576665</v>
      </c>
      <c r="Y447" s="783">
        <f t="shared" si="59"/>
        <v>1081657.3437896995</v>
      </c>
      <c r="Z447" s="783">
        <f t="shared" si="59"/>
        <v>1099989.4405508861</v>
      </c>
      <c r="AA447" s="783">
        <f t="shared" si="59"/>
        <v>1118305.2451829195</v>
      </c>
      <c r="AB447" s="783">
        <f t="shared" si="59"/>
        <v>1136637.375996615</v>
      </c>
      <c r="AC447" s="783">
        <f t="shared" si="59"/>
        <v>1154953.1806286476</v>
      </c>
      <c r="AD447" s="783">
        <f t="shared" si="59"/>
        <v>1173268.9852606812</v>
      </c>
      <c r="AE447" s="783">
        <f t="shared" si="59"/>
        <v>1191601.0820218676</v>
      </c>
      <c r="AF447" s="783">
        <f t="shared" si="59"/>
        <v>1209916.8866539008</v>
      </c>
      <c r="AG447" s="783">
        <f t="shared" si="59"/>
        <v>1228232.6912859341</v>
      </c>
      <c r="AH447" s="775">
        <f t="shared" si="59"/>
        <v>1246564.8220996298</v>
      </c>
    </row>
    <row r="448" spans="2:39" ht="21.9" customHeight="1" x14ac:dyDescent="0.25">
      <c r="B448" s="1332"/>
      <c r="C448" s="114"/>
      <c r="D448" s="114"/>
      <c r="E448" s="746" t="s">
        <v>25</v>
      </c>
      <c r="F448" s="237"/>
      <c r="G448" s="776">
        <f>G446+G447</f>
        <v>0</v>
      </c>
      <c r="H448" s="776">
        <f>H446+H447</f>
        <v>0</v>
      </c>
      <c r="I448" s="776">
        <f t="shared" ref="I448:AH448" si="60">I446+I447</f>
        <v>1247817.8739438411</v>
      </c>
      <c r="J448" s="776">
        <f t="shared" si="60"/>
        <v>1334569.0732511214</v>
      </c>
      <c r="K448" s="776">
        <f t="shared" si="60"/>
        <v>1486987.0934178506</v>
      </c>
      <c r="L448" s="776">
        <f t="shared" si="60"/>
        <v>1748172.2102444617</v>
      </c>
      <c r="M448" s="776">
        <f t="shared" si="60"/>
        <v>2018744.7230614792</v>
      </c>
      <c r="N448" s="776">
        <f t="shared" si="60"/>
        <v>2298652.4181821323</v>
      </c>
      <c r="O448" s="776">
        <f t="shared" si="60"/>
        <v>2587976.183391484</v>
      </c>
      <c r="P448" s="776">
        <f t="shared" si="60"/>
        <v>2887576.3583416492</v>
      </c>
      <c r="Q448" s="776">
        <f t="shared" si="60"/>
        <v>3128382.2439032272</v>
      </c>
      <c r="R448" s="776">
        <f t="shared" si="60"/>
        <v>3369251.9150604587</v>
      </c>
      <c r="S448" s="776">
        <f t="shared" si="60"/>
        <v>3610053.252117727</v>
      </c>
      <c r="T448" s="776">
        <f t="shared" si="60"/>
        <v>3850859.1376793054</v>
      </c>
      <c r="U448" s="776">
        <f t="shared" si="60"/>
        <v>4091925.6956176013</v>
      </c>
      <c r="V448" s="776">
        <f t="shared" si="60"/>
        <v>4230763.6959442012</v>
      </c>
      <c r="W448" s="776">
        <f t="shared" si="60"/>
        <v>4306699.3005784517</v>
      </c>
      <c r="X448" s="776">
        <f t="shared" si="60"/>
        <v>4382634.9052127041</v>
      </c>
      <c r="Y448" s="776">
        <f t="shared" si="60"/>
        <v>4458570.5098469555</v>
      </c>
      <c r="Z448" s="776">
        <f t="shared" si="60"/>
        <v>4534572.6063688044</v>
      </c>
      <c r="AA448" s="776">
        <f t="shared" si="60"/>
        <v>4610508.2110030558</v>
      </c>
      <c r="AB448" s="776">
        <f t="shared" si="60"/>
        <v>4686510.4428836284</v>
      </c>
      <c r="AC448" s="776">
        <f t="shared" si="60"/>
        <v>4762446.0475178789</v>
      </c>
      <c r="AD448" s="776">
        <f t="shared" si="60"/>
        <v>4838381.6521521313</v>
      </c>
      <c r="AE448" s="776">
        <f t="shared" si="60"/>
        <v>4914383.7486739792</v>
      </c>
      <c r="AF448" s="776">
        <f t="shared" si="60"/>
        <v>4990319.3533082316</v>
      </c>
      <c r="AG448" s="776">
        <f t="shared" si="60"/>
        <v>5066254.9579424821</v>
      </c>
      <c r="AH448" s="777">
        <f t="shared" si="60"/>
        <v>5142257.1898230556</v>
      </c>
    </row>
    <row r="449" spans="1:39" ht="21.9" customHeight="1" x14ac:dyDescent="0.25">
      <c r="B449" s="1332" t="s">
        <v>40</v>
      </c>
      <c r="C449" s="217"/>
      <c r="D449" s="217"/>
      <c r="E449" s="217" t="s">
        <v>19</v>
      </c>
      <c r="F449" s="217"/>
      <c r="G449" s="783">
        <f t="shared" ref="G449:AH449" si="61">G433*G16</f>
        <v>0</v>
      </c>
      <c r="H449" s="783">
        <f t="shared" si="61"/>
        <v>0</v>
      </c>
      <c r="I449" s="783">
        <f t="shared" si="61"/>
        <v>19428448.066732731</v>
      </c>
      <c r="J449" s="783">
        <f t="shared" si="61"/>
        <v>20964855.075768888</v>
      </c>
      <c r="K449" s="783">
        <f t="shared" si="61"/>
        <v>23452858.61312189</v>
      </c>
      <c r="L449" s="783">
        <f t="shared" si="61"/>
        <v>27516306.59582616</v>
      </c>
      <c r="M449" s="783">
        <f t="shared" si="61"/>
        <v>31703370.624413878</v>
      </c>
      <c r="N449" s="783">
        <f t="shared" si="61"/>
        <v>36156922.754436255</v>
      </c>
      <c r="O449" s="783">
        <f t="shared" si="61"/>
        <v>40441045.013273939</v>
      </c>
      <c r="P449" s="783">
        <f t="shared" si="61"/>
        <v>44995510.542279653</v>
      </c>
      <c r="Q449" s="783">
        <f t="shared" si="61"/>
        <v>49690497.725777976</v>
      </c>
      <c r="R449" s="783">
        <f t="shared" si="61"/>
        <v>54123822.958989061</v>
      </c>
      <c r="S449" s="783">
        <f t="shared" si="61"/>
        <v>59081170.403308444</v>
      </c>
      <c r="T449" s="783">
        <f t="shared" si="61"/>
        <v>63950978.116092607</v>
      </c>
      <c r="U449" s="783">
        <f t="shared" si="61"/>
        <v>68941793.387090698</v>
      </c>
      <c r="V449" s="783">
        <f t="shared" si="61"/>
        <v>72305613.425155222</v>
      </c>
      <c r="W449" s="783">
        <f t="shared" si="61"/>
        <v>74910984.042212382</v>
      </c>
      <c r="X449" s="783">
        <f t="shared" si="61"/>
        <v>77031214.873459682</v>
      </c>
      <c r="Y449" s="783">
        <f t="shared" si="61"/>
        <v>79449347.563937709</v>
      </c>
      <c r="Z449" s="783">
        <f t="shared" si="61"/>
        <v>82180416.251581162</v>
      </c>
      <c r="AA449" s="783">
        <f t="shared" si="61"/>
        <v>84676951.963201642</v>
      </c>
      <c r="AB449" s="783">
        <f t="shared" si="61"/>
        <v>87495688.335444391</v>
      </c>
      <c r="AC449" s="783">
        <f t="shared" si="61"/>
        <v>90070627.100635156</v>
      </c>
      <c r="AD449" s="783">
        <f t="shared" si="61"/>
        <v>92975752.747944102</v>
      </c>
      <c r="AE449" s="783">
        <f t="shared" si="61"/>
        <v>95630367.990444541</v>
      </c>
      <c r="AF449" s="783">
        <f t="shared" si="61"/>
        <v>98623122.670495406</v>
      </c>
      <c r="AG449" s="783">
        <f t="shared" si="61"/>
        <v>101661987.32248448</v>
      </c>
      <c r="AH449" s="775">
        <f t="shared" si="61"/>
        <v>104748314.45355061</v>
      </c>
    </row>
    <row r="450" spans="1:39" ht="21.9" customHeight="1" x14ac:dyDescent="0.25">
      <c r="B450" s="1332"/>
      <c r="C450" s="114"/>
      <c r="D450" s="114"/>
      <c r="E450" s="114" t="s">
        <v>434</v>
      </c>
      <c r="F450" s="114"/>
      <c r="G450" s="783">
        <f t="shared" ref="G450:AH450" si="62">G434*G16</f>
        <v>0</v>
      </c>
      <c r="H450" s="783">
        <f t="shared" si="62"/>
        <v>0</v>
      </c>
      <c r="I450" s="783">
        <f t="shared" si="62"/>
        <v>64031582.213304646</v>
      </c>
      <c r="J450" s="783">
        <f t="shared" si="62"/>
        <v>69109233.656752244</v>
      </c>
      <c r="K450" s="783">
        <f t="shared" si="62"/>
        <v>77417092.969957501</v>
      </c>
      <c r="L450" s="783">
        <f t="shared" si="62"/>
        <v>91013241.904607758</v>
      </c>
      <c r="M450" s="783">
        <f t="shared" si="62"/>
        <v>105023633.16488406</v>
      </c>
      <c r="N450" s="783">
        <f t="shared" si="62"/>
        <v>119922083.38293223</v>
      </c>
      <c r="O450" s="783">
        <f t="shared" si="62"/>
        <v>134262606.58660123</v>
      </c>
      <c r="P450" s="783">
        <f t="shared" si="62"/>
        <v>149504132.13006791</v>
      </c>
      <c r="Q450" s="783">
        <f t="shared" si="62"/>
        <v>165182887.37354842</v>
      </c>
      <c r="R450" s="783">
        <f t="shared" si="62"/>
        <v>179994023.44595069</v>
      </c>
      <c r="S450" s="783">
        <f t="shared" si="62"/>
        <v>196549921.95203224</v>
      </c>
      <c r="T450" s="783">
        <f t="shared" si="62"/>
        <v>212816777.93049455</v>
      </c>
      <c r="U450" s="783">
        <f t="shared" si="62"/>
        <v>229488315.06150433</v>
      </c>
      <c r="V450" s="783">
        <f t="shared" si="62"/>
        <v>240699033.06304649</v>
      </c>
      <c r="W450" s="783">
        <f t="shared" si="62"/>
        <v>249336786.03211498</v>
      </c>
      <c r="X450" s="783">
        <f t="shared" si="62"/>
        <v>256358813.37355584</v>
      </c>
      <c r="Y450" s="783">
        <f t="shared" si="62"/>
        <v>264371422.95530057</v>
      </c>
      <c r="Z450" s="783">
        <f t="shared" si="62"/>
        <v>273424344.36805809</v>
      </c>
      <c r="AA450" s="783">
        <f t="shared" si="62"/>
        <v>281695860.64770836</v>
      </c>
      <c r="AB450" s="783">
        <f t="shared" si="62"/>
        <v>291038286.15794486</v>
      </c>
      <c r="AC450" s="783">
        <f t="shared" si="62"/>
        <v>299568709.24873716</v>
      </c>
      <c r="AD450" s="783">
        <f t="shared" si="62"/>
        <v>309196328.02878398</v>
      </c>
      <c r="AE450" s="783">
        <f t="shared" si="62"/>
        <v>317989951.34826916</v>
      </c>
      <c r="AF450" s="783">
        <f t="shared" si="62"/>
        <v>327906943.60823089</v>
      </c>
      <c r="AG450" s="783">
        <f t="shared" si="62"/>
        <v>337976202.05693442</v>
      </c>
      <c r="AH450" s="775">
        <f t="shared" si="62"/>
        <v>348202287.07799828</v>
      </c>
    </row>
    <row r="451" spans="1:39" ht="21.9" customHeight="1" thickBot="1" x14ac:dyDescent="0.3">
      <c r="B451" s="1333"/>
      <c r="C451" s="274"/>
      <c r="D451" s="274"/>
      <c r="E451" s="762" t="s">
        <v>25</v>
      </c>
      <c r="F451" s="762"/>
      <c r="G451" s="779">
        <f>G449+G450</f>
        <v>0</v>
      </c>
      <c r="H451" s="779">
        <f>H449+H450</f>
        <v>0</v>
      </c>
      <c r="I451" s="779">
        <f t="shared" ref="I451:AH451" si="63">I449+I450</f>
        <v>83460030.280037373</v>
      </c>
      <c r="J451" s="779">
        <f t="shared" si="63"/>
        <v>90074088.732521132</v>
      </c>
      <c r="K451" s="779">
        <f t="shared" si="63"/>
        <v>100869951.5830794</v>
      </c>
      <c r="L451" s="779">
        <f t="shared" si="63"/>
        <v>118529548.50043392</v>
      </c>
      <c r="M451" s="779">
        <f t="shared" si="63"/>
        <v>136727003.78929794</v>
      </c>
      <c r="N451" s="779">
        <f t="shared" si="63"/>
        <v>156079006.1373685</v>
      </c>
      <c r="O451" s="779">
        <f t="shared" si="63"/>
        <v>174703651.59987515</v>
      </c>
      <c r="P451" s="779">
        <f t="shared" si="63"/>
        <v>194499642.67234758</v>
      </c>
      <c r="Q451" s="779">
        <f t="shared" si="63"/>
        <v>214873385.0993264</v>
      </c>
      <c r="R451" s="779">
        <f t="shared" si="63"/>
        <v>234117846.40493974</v>
      </c>
      <c r="S451" s="779">
        <f t="shared" si="63"/>
        <v>255631092.35534069</v>
      </c>
      <c r="T451" s="779">
        <f t="shared" si="63"/>
        <v>276767756.04658717</v>
      </c>
      <c r="U451" s="779">
        <f t="shared" si="63"/>
        <v>298430108.44859505</v>
      </c>
      <c r="V451" s="779">
        <f t="shared" si="63"/>
        <v>313004646.48820174</v>
      </c>
      <c r="W451" s="779">
        <f t="shared" si="63"/>
        <v>324247770.07432735</v>
      </c>
      <c r="X451" s="779">
        <f t="shared" si="63"/>
        <v>333390028.24701554</v>
      </c>
      <c r="Y451" s="779">
        <f t="shared" si="63"/>
        <v>343820770.51923829</v>
      </c>
      <c r="Z451" s="779">
        <f t="shared" si="63"/>
        <v>355604760.61963928</v>
      </c>
      <c r="AA451" s="779">
        <f t="shared" si="63"/>
        <v>366372812.61091</v>
      </c>
      <c r="AB451" s="779">
        <f t="shared" si="63"/>
        <v>378533974.49338925</v>
      </c>
      <c r="AC451" s="779">
        <f t="shared" si="63"/>
        <v>389639336.34937233</v>
      </c>
      <c r="AD451" s="779">
        <f t="shared" si="63"/>
        <v>402172080.77672809</v>
      </c>
      <c r="AE451" s="779">
        <f t="shared" si="63"/>
        <v>413620319.33871371</v>
      </c>
      <c r="AF451" s="779">
        <f t="shared" si="63"/>
        <v>426530066.27872628</v>
      </c>
      <c r="AG451" s="779">
        <f t="shared" si="63"/>
        <v>439638189.37941891</v>
      </c>
      <c r="AH451" s="780">
        <f t="shared" si="63"/>
        <v>452950601.53154886</v>
      </c>
    </row>
    <row r="452" spans="1:39" ht="21.9" customHeight="1" x14ac:dyDescent="0.25">
      <c r="B452" s="9"/>
      <c r="F452"/>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row>
    <row r="453" spans="1:39" ht="21.9" customHeight="1" x14ac:dyDescent="0.25">
      <c r="K453" s="2"/>
      <c r="L453" s="2"/>
      <c r="M453" s="2"/>
      <c r="N453" s="2"/>
      <c r="O453" s="2"/>
    </row>
    <row r="454" spans="1:39" ht="21.9" customHeight="1" x14ac:dyDescent="0.25">
      <c r="A454" s="224" t="s">
        <v>87</v>
      </c>
      <c r="B454" s="224" t="s">
        <v>453</v>
      </c>
      <c r="K454" s="2"/>
      <c r="L454" s="2"/>
      <c r="M454" s="2"/>
      <c r="N454" s="2"/>
      <c r="O454" s="2"/>
    </row>
    <row r="455" spans="1:39" ht="21.9" customHeight="1" x14ac:dyDescent="0.25">
      <c r="B455" s="1"/>
      <c r="C455" s="1"/>
      <c r="D455" s="1"/>
      <c r="E455" s="1"/>
      <c r="F455" s="1"/>
      <c r="G455" s="938"/>
      <c r="H455" s="93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448"/>
      <c r="AE455" s="448"/>
      <c r="AF455" s="448"/>
      <c r="AG455" s="448"/>
      <c r="AH455" s="448"/>
    </row>
    <row r="456" spans="1:39" ht="21.9" customHeight="1" x14ac:dyDescent="0.25">
      <c r="B456" s="1"/>
      <c r="C456" s="1"/>
      <c r="D456" s="1"/>
      <c r="E456" s="1"/>
      <c r="F456" s="1"/>
      <c r="G456" s="938"/>
      <c r="H456" s="93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row>
    <row r="457" spans="1:39" ht="21.9" customHeight="1" thickBot="1" x14ac:dyDescent="0.3">
      <c r="B457" s="785" t="s">
        <v>465</v>
      </c>
      <c r="C457" s="199"/>
      <c r="D457" s="199"/>
      <c r="K457" s="2"/>
      <c r="L457" s="2"/>
      <c r="M457" s="2"/>
      <c r="N457" s="2"/>
      <c r="O457" s="2"/>
      <c r="AI457" s="24"/>
      <c r="AJ457" s="24"/>
      <c r="AK457" s="24"/>
      <c r="AL457" s="24"/>
      <c r="AM457" s="24"/>
    </row>
    <row r="458" spans="1:39" ht="21.9" customHeight="1" x14ac:dyDescent="0.25">
      <c r="B458" s="548" t="s">
        <v>312</v>
      </c>
      <c r="C458" s="1331" t="s">
        <v>18</v>
      </c>
      <c r="D458" s="1331"/>
      <c r="E458" s="197" t="s">
        <v>24</v>
      </c>
      <c r="F458" s="197" t="s">
        <v>42</v>
      </c>
      <c r="G458" s="459">
        <v>2021</v>
      </c>
      <c r="H458" s="459">
        <v>2022</v>
      </c>
      <c r="I458" s="459">
        <v>2023</v>
      </c>
      <c r="J458" s="459">
        <v>2024</v>
      </c>
      <c r="K458" s="459">
        <v>2025</v>
      </c>
      <c r="L458" s="459">
        <v>2026</v>
      </c>
      <c r="M458" s="459">
        <v>2027</v>
      </c>
      <c r="N458" s="459">
        <v>2028</v>
      </c>
      <c r="O458" s="459">
        <v>2029</v>
      </c>
      <c r="P458" s="459">
        <v>2030</v>
      </c>
      <c r="Q458" s="459">
        <v>2031</v>
      </c>
      <c r="R458" s="459">
        <v>2032</v>
      </c>
      <c r="S458" s="459">
        <v>2033</v>
      </c>
      <c r="T458" s="459">
        <v>2034</v>
      </c>
      <c r="U458" s="459">
        <v>2035</v>
      </c>
      <c r="V458" s="459">
        <v>2036</v>
      </c>
      <c r="W458" s="459">
        <v>2037</v>
      </c>
      <c r="X458" s="459">
        <v>2038</v>
      </c>
      <c r="Y458" s="459">
        <v>2039</v>
      </c>
      <c r="Z458" s="459">
        <v>2040</v>
      </c>
      <c r="AA458" s="459">
        <v>2041</v>
      </c>
      <c r="AB458" s="459">
        <v>2042</v>
      </c>
      <c r="AC458" s="459">
        <v>2043</v>
      </c>
      <c r="AD458" s="459">
        <v>2044</v>
      </c>
      <c r="AE458" s="459">
        <v>2045</v>
      </c>
      <c r="AF458" s="459">
        <v>2046</v>
      </c>
      <c r="AG458" s="459">
        <v>2047</v>
      </c>
      <c r="AH458" s="459">
        <v>2048</v>
      </c>
      <c r="AI458" s="247"/>
      <c r="AJ458" s="247"/>
      <c r="AK458" s="247"/>
      <c r="AL458" s="247"/>
      <c r="AM458" s="247"/>
    </row>
    <row r="459" spans="1:39" ht="21.9" customHeight="1" x14ac:dyDescent="0.25">
      <c r="B459" s="1332" t="s">
        <v>315</v>
      </c>
      <c r="C459" s="217" t="s">
        <v>316</v>
      </c>
      <c r="D459" s="217" t="s">
        <v>276</v>
      </c>
      <c r="E459" s="217" t="s">
        <v>19</v>
      </c>
      <c r="F459" s="217" t="s">
        <v>43</v>
      </c>
      <c r="G459" s="749"/>
      <c r="H459" s="749"/>
      <c r="I459" s="749">
        <f>$E$21*$E$8*'Traffic Data'!AK47*annualizationFactor</f>
        <v>0.50885146399999992</v>
      </c>
      <c r="J459" s="749">
        <f>$E$21*$E$8*'Traffic Data'!AL47*annualizationFactor</f>
        <v>0.53198989416457487</v>
      </c>
      <c r="K459" s="749">
        <f>$E$21*$E$8*'Traffic Data'!AM47*annualizationFactor</f>
        <v>0.56458978123790005</v>
      </c>
      <c r="L459" s="749">
        <f>$E$21*$E$8*'Traffic Data'!AN47*annualizationFactor</f>
        <v>0.61254267107659988</v>
      </c>
      <c r="M459" s="749">
        <f>$E$21*$E$8*'Traffic Data'!AO47*annualizationFactor</f>
        <v>0.66051305268437488</v>
      </c>
      <c r="N459" s="749">
        <f>$E$21*$E$8*'Traffic Data'!AP47*annualizationFactor</f>
        <v>0.70848343429214977</v>
      </c>
      <c r="O459" s="749">
        <f>$E$21*$E$8*'Traffic Data'!AQ47*annualizationFactor</f>
        <v>0.75643632413084982</v>
      </c>
      <c r="P459" s="749">
        <f>$E$21*$E$8*'Traffic Data'!AR47*annualizationFactor</f>
        <v>0.80442419750769967</v>
      </c>
      <c r="Q459" s="749">
        <f>$E$21*$E$8*'Traffic Data'!AS47*annualizationFactor</f>
        <v>0.85184438347002489</v>
      </c>
      <c r="R459" s="749">
        <f>$E$21*$E$8*'Traffic Data'!AT47*annualizationFactor</f>
        <v>0.89927411039729988</v>
      </c>
      <c r="S459" s="749">
        <f>$E$21*$E$8*'Traffic Data'!AU47*annualizationFactor</f>
        <v>0.9466942963596251</v>
      </c>
      <c r="T459" s="749">
        <f>$E$21*$E$8*'Traffic Data'!AV47*annualizationFactor</f>
        <v>0.99411448232194988</v>
      </c>
      <c r="U459" s="749">
        <f>$E$21*$E$8*'Traffic Data'!AW47*annualizationFactor</f>
        <v>1.0415696518224249</v>
      </c>
      <c r="V459" s="749">
        <f>$E$21*$E$8*'Traffic Data'!AX47*annualizationFactor</f>
        <v>1.0736193432502998</v>
      </c>
      <c r="W459" s="749">
        <f>$E$21*$E$8*'Traffic Data'!AY47*annualizationFactor</f>
        <v>1.0967577734148748</v>
      </c>
      <c r="X459" s="749">
        <f>$E$21*$E$8*'Traffic Data'!AZ47*annualizationFactor</f>
        <v>1.1198962035794497</v>
      </c>
      <c r="Y459" s="749">
        <f>$E$21*$E$8*'Traffic Data'!BA47*annualizationFactor</f>
        <v>1.1430346337440247</v>
      </c>
      <c r="Z459" s="749">
        <f>$E$21*$E$8*'Traffic Data'!BB47*annualizationFactor</f>
        <v>1.166181014712725</v>
      </c>
      <c r="AA459" s="749">
        <f>$E$21*$E$8*'Traffic Data'!BC47*annualizationFactor</f>
        <v>1.1893194448772999</v>
      </c>
      <c r="AB459" s="749">
        <f>$E$21*$E$8*'Traffic Data'!BD47*annualizationFactor</f>
        <v>1.2124658258459995</v>
      </c>
      <c r="AC459" s="749">
        <f>$E$21*$E$8*'Traffic Data'!BE47*annualizationFactor</f>
        <v>1.2356042560105749</v>
      </c>
      <c r="AD459" s="749">
        <f>$E$21*$E$8*'Traffic Data'!BF47*annualizationFactor</f>
        <v>1.2587426861751496</v>
      </c>
      <c r="AE459" s="749">
        <f>$E$21*$E$8*'Traffic Data'!BG47*annualizationFactor</f>
        <v>1.2818890671438496</v>
      </c>
      <c r="AF459" s="749">
        <f>$E$21*$E$8*'Traffic Data'!BH47*annualizationFactor</f>
        <v>1.3050274973084248</v>
      </c>
      <c r="AG459" s="749">
        <f>$E$21*$E$8*'Traffic Data'!BI47*annualizationFactor</f>
        <v>1.3281659274729998</v>
      </c>
      <c r="AH459" s="750">
        <f>$E$21*$E$8*'Traffic Data'!BJ47*annualizationFactor</f>
        <v>1.3513123084416996</v>
      </c>
      <c r="AI459" s="24"/>
      <c r="AJ459" s="24"/>
      <c r="AK459" s="24"/>
      <c r="AL459" s="24"/>
      <c r="AM459" s="24"/>
    </row>
    <row r="460" spans="1:39" ht="21.9" customHeight="1" x14ac:dyDescent="0.25">
      <c r="B460" s="1332"/>
      <c r="C460" s="114" t="s">
        <v>276</v>
      </c>
      <c r="D460" s="114" t="s">
        <v>274</v>
      </c>
      <c r="E460" s="114" t="s">
        <v>19</v>
      </c>
      <c r="F460" s="114" t="s">
        <v>43</v>
      </c>
      <c r="G460" s="941"/>
      <c r="H460" s="941"/>
      <c r="I460" s="751">
        <f>$E$21*$E$8*'Traffic Data'!AK48*annualizationFactor</f>
        <v>16.362298383749998</v>
      </c>
      <c r="J460" s="751">
        <f>$E$21*$E$8*'Traffic Data'!AL48*annualizationFactor</f>
        <v>17.225985333991495</v>
      </c>
      <c r="K460" s="751">
        <f>$E$21*$E$8*'Traffic Data'!AM48*annualizationFactor</f>
        <v>18.52248537703575</v>
      </c>
      <c r="L460" s="751">
        <f>$E$21*$E$8*'Traffic Data'!AN48*annualizationFactor</f>
        <v>20.664492038783997</v>
      </c>
      <c r="M460" s="751">
        <f>$E$21*$E$8*'Traffic Data'!AO48*annualizationFactor</f>
        <v>22.807468318214248</v>
      </c>
      <c r="N460" s="751">
        <f>$E$21*$E$8*'Traffic Data'!AP48*annualizationFactor</f>
        <v>24.950323395434243</v>
      </c>
      <c r="O460" s="751">
        <f>$E$21*$E$8*'Traffic Data'!AQ48*annualizationFactor</f>
        <v>27.092330057182497</v>
      </c>
      <c r="P460" s="751">
        <f>$E$21*$E$8*'Traffic Data'!AR48*annualizationFactor</f>
        <v>29.236275954294744</v>
      </c>
      <c r="Q460" s="751">
        <f>$E$21*$E$8*'Traffic Data'!AS48*annualizationFactor</f>
        <v>31.399250598416241</v>
      </c>
      <c r="R460" s="751">
        <f>$E$21*$E$8*'Traffic Data'!AT48*annualizationFactor</f>
        <v>33.562952455799241</v>
      </c>
      <c r="S460" s="751">
        <f>$E$21*$E$8*'Traffic Data'!AU48*annualizationFactor</f>
        <v>35.725927099920739</v>
      </c>
      <c r="T460" s="751">
        <f>$E$21*$E$8*'Traffic Data'!AV48*annualizationFactor</f>
        <v>37.888901744042244</v>
      </c>
      <c r="U460" s="751">
        <f>$E$21*$E$8*'Traffic Data'!AW48*annualizationFactor</f>
        <v>40.05381562352774</v>
      </c>
      <c r="V460" s="751">
        <f>$E$21*$E$8*'Traffic Data'!AX48*annualizationFactor</f>
        <v>41.370314031263248</v>
      </c>
      <c r="W460" s="751">
        <f>$E$21*$E$8*'Traffic Data'!AY48*annualizationFactor</f>
        <v>42.234000981504735</v>
      </c>
      <c r="X460" s="751">
        <f>$E$21*$E$8*'Traffic Data'!AZ48*annualizationFactor</f>
        <v>43.097687931746243</v>
      </c>
      <c r="Y460" s="751">
        <f>$E$21*$E$8*'Traffic Data'!BA48*annualizationFactor</f>
        <v>43.961374881987759</v>
      </c>
      <c r="Z460" s="751">
        <f>$E$21*$E$8*'Traffic Data'!BB48*annualizationFactor</f>
        <v>44.82554664107024</v>
      </c>
      <c r="AA460" s="751">
        <f>$E$21*$E$8*'Traffic Data'!BC48*annualizationFactor</f>
        <v>45.689233591311741</v>
      </c>
      <c r="AB460" s="751">
        <f>$E$21*$E$8*'Traffic Data'!BD48*annualizationFactor</f>
        <v>46.55340535039425</v>
      </c>
      <c r="AC460" s="751">
        <f>$E$21*$E$8*'Traffic Data'!BE48*annualizationFactor</f>
        <v>47.417092300635744</v>
      </c>
      <c r="AD460" s="751">
        <f>$E$21*$E$8*'Traffic Data'!BF48*annualizationFactor</f>
        <v>48.280779250877252</v>
      </c>
      <c r="AE460" s="751">
        <f>$E$21*$E$8*'Traffic Data'!BG48*annualizationFactor</f>
        <v>49.144951009959755</v>
      </c>
      <c r="AF460" s="751">
        <f>$E$21*$E$8*'Traffic Data'!BH48*annualizationFactor</f>
        <v>50.008637960201241</v>
      </c>
      <c r="AG460" s="751">
        <f>$E$21*$E$8*'Traffic Data'!BI48*annualizationFactor</f>
        <v>50.872324910442742</v>
      </c>
      <c r="AH460" s="752">
        <f>$E$21*$E$8*'Traffic Data'!BJ48*annualizationFactor</f>
        <v>51.736496669525245</v>
      </c>
      <c r="AI460" s="24"/>
      <c r="AJ460" s="24"/>
      <c r="AK460" s="24"/>
      <c r="AL460" s="24"/>
      <c r="AM460" s="24"/>
    </row>
    <row r="461" spans="1:39" ht="21.9" customHeight="1" x14ac:dyDescent="0.25">
      <c r="B461" s="1332"/>
      <c r="C461" s="114" t="s">
        <v>274</v>
      </c>
      <c r="D461" s="114" t="s">
        <v>317</v>
      </c>
      <c r="E461" s="250" t="s">
        <v>19</v>
      </c>
      <c r="F461" s="250" t="s">
        <v>43</v>
      </c>
      <c r="G461" s="753"/>
      <c r="H461" s="753"/>
      <c r="I461" s="751">
        <f>$E$21*$E$8*'Traffic Data'!AK49*annualizationFactor</f>
        <v>0.38163859799999994</v>
      </c>
      <c r="J461" s="751">
        <f>$E$21*$E$8*'Traffic Data'!AL49*annualizationFactor</f>
        <v>0.39757518978814987</v>
      </c>
      <c r="K461" s="751">
        <f>$E$21*$E$8*'Traffic Data'!AM49*annualizationFactor</f>
        <v>0.41729954466144981</v>
      </c>
      <c r="L461" s="751">
        <f>$E$21*$E$8*'Traffic Data'!AN49*annualizationFactor</f>
        <v>0.44385523043894998</v>
      </c>
      <c r="M461" s="751">
        <f>$E$21*$E$8*'Traffic Data'!AO49*annualizationFactor</f>
        <v>0.47042045718139996</v>
      </c>
      <c r="N461" s="751">
        <f>$E$21*$E$8*'Traffic Data'!AP49*annualizationFactor</f>
        <v>0.49698250360220003</v>
      </c>
      <c r="O461" s="751">
        <f>$E$21*$E$8*'Traffic Data'!AQ49*annualizationFactor</f>
        <v>0.52353818937969998</v>
      </c>
      <c r="P461" s="751">
        <f>$E$21*$E$8*'Traffic Data'!AR49*annualizationFactor</f>
        <v>0.55011295708710006</v>
      </c>
      <c r="Q461" s="751">
        <f>$E$21*$E$8*'Traffic Data'!AS49*annualizationFactor</f>
        <v>0.57586084116549985</v>
      </c>
      <c r="R461" s="751">
        <f>$E$21*$E$8*'Traffic Data'!AT49*annualizationFactor</f>
        <v>0.60161826620884973</v>
      </c>
      <c r="S461" s="751">
        <f>$E$21*$E$8*'Traffic Data'!AU49*annualizationFactor</f>
        <v>0.62736615028724985</v>
      </c>
      <c r="T461" s="751">
        <f>$E$21*$E$8*'Traffic Data'!AV49*annualizationFactor</f>
        <v>0.65311403436564996</v>
      </c>
      <c r="U461" s="751">
        <f>$E$21*$E$8*'Traffic Data'!AW49*annualizationFactor</f>
        <v>0.67888100037395005</v>
      </c>
      <c r="V461" s="751">
        <f>$E$21*$E$8*'Traffic Data'!AX49*annualizationFactor</f>
        <v>0.69778801258319989</v>
      </c>
      <c r="W461" s="751">
        <f>$E$21*$E$8*'Traffic Data'!AY49*annualizationFactor</f>
        <v>0.71372460437134988</v>
      </c>
      <c r="X461" s="751">
        <f>$E$21*$E$8*'Traffic Data'!AZ49*annualizationFactor</f>
        <v>0.72966119615949976</v>
      </c>
      <c r="Y461" s="751">
        <f>$E$21*$E$8*'Traffic Data'!BA49*annualizationFactor</f>
        <v>0.74559778794764986</v>
      </c>
      <c r="Z461" s="751">
        <f>$E$21*$E$8*'Traffic Data'!BB49*annualizationFactor</f>
        <v>0.76154074037909991</v>
      </c>
      <c r="AA461" s="751">
        <f>$E$21*$E$8*'Traffic Data'!BC49*annualizationFactor</f>
        <v>0.77747733216724979</v>
      </c>
      <c r="AB461" s="751">
        <f>$E$21*$E$8*'Traffic Data'!BD49*annualizationFactor</f>
        <v>0.79342028459869995</v>
      </c>
      <c r="AC461" s="751">
        <f>$E$21*$E$8*'Traffic Data'!BE49*annualizationFactor</f>
        <v>0.80935687638685005</v>
      </c>
      <c r="AD461" s="751">
        <f>$E$21*$E$8*'Traffic Data'!BF49*annualizationFactor</f>
        <v>0.82529346817499971</v>
      </c>
      <c r="AE461" s="751">
        <f>$E$21*$E$8*'Traffic Data'!BG49*annualizationFactor</f>
        <v>0.84123642060644988</v>
      </c>
      <c r="AF461" s="751">
        <f>$E$21*$E$8*'Traffic Data'!BH49*annualizationFactor</f>
        <v>0.85717301239459986</v>
      </c>
      <c r="AG461" s="751">
        <f>$E$21*$E$8*'Traffic Data'!BI49*annualizationFactor</f>
        <v>0.87310960418274963</v>
      </c>
      <c r="AH461" s="752">
        <f>$E$21*$E$8*'Traffic Data'!BJ49*annualizationFactor</f>
        <v>0.88905255661419991</v>
      </c>
      <c r="AI461" s="24"/>
      <c r="AJ461" s="24"/>
      <c r="AK461" s="24"/>
      <c r="AL461" s="24"/>
      <c r="AM461" s="24"/>
    </row>
    <row r="462" spans="1:39" ht="21.9" customHeight="1" x14ac:dyDescent="0.25">
      <c r="B462" s="1332" t="s">
        <v>274</v>
      </c>
      <c r="C462" s="217" t="s">
        <v>275</v>
      </c>
      <c r="D462" s="217" t="s">
        <v>318</v>
      </c>
      <c r="E462" s="114" t="s">
        <v>19</v>
      </c>
      <c r="F462" s="114" t="s">
        <v>43</v>
      </c>
      <c r="G462" s="941"/>
      <c r="H462" s="941"/>
      <c r="I462" s="749">
        <f>$E$21*$F$8*'Traffic Data'!AK50*annualizationFactor</f>
        <v>3.15293132</v>
      </c>
      <c r="J462" s="749">
        <f>$E$21*$F$8*'Traffic Data'!AL50*annualizationFactor</f>
        <v>3.4718660876745999</v>
      </c>
      <c r="K462" s="749">
        <f>$E$21*$F$8*'Traffic Data'!AM50*annualizationFactor</f>
        <v>4.1849172703491995</v>
      </c>
      <c r="L462" s="749">
        <f>$E$21*$F$8*'Traffic Data'!AN50*annualizationFactor</f>
        <v>5.6171363224592001</v>
      </c>
      <c r="M462" s="749">
        <f>$E$21*$F$8*'Traffic Data'!AO50*annualizationFactor</f>
        <v>7.0502381953387996</v>
      </c>
      <c r="N462" s="749">
        <f>$E$21*$F$8*'Traffic Data'!AP50*annualizationFactor</f>
        <v>8.4831824216523977</v>
      </c>
      <c r="O462" s="749">
        <f>$E$21*$F$8*'Traffic Data'!AQ50*annualizationFactor</f>
        <v>9.9154014737623974</v>
      </c>
      <c r="P462" s="749">
        <f>$E$21*$F$8*'Traffic Data'!AR50*annualizationFactor</f>
        <v>11.349386167411598</v>
      </c>
      <c r="Q462" s="749">
        <f>$E$21*$F$8*'Traffic Data'!AS50*annualizationFactor</f>
        <v>12.756476356901198</v>
      </c>
      <c r="R462" s="749">
        <f>$E$21*$F$8*'Traffic Data'!AT50*annualizationFactor</f>
        <v>14.164275955937795</v>
      </c>
      <c r="S462" s="749">
        <f>$E$21*$F$8*'Traffic Data'!AU50*annualizationFactor</f>
        <v>15.571366145427396</v>
      </c>
      <c r="T462" s="749">
        <f>$E$21*$F$8*'Traffic Data'!AV50*annualizationFactor</f>
        <v>16.978456334916999</v>
      </c>
      <c r="U462" s="749">
        <f>$E$21*$F$8*'Traffic Data'!AW50*annualizationFactor</f>
        <v>18.387312165945797</v>
      </c>
      <c r="V462" s="749">
        <f>$E$21*$F$8*'Traffic Data'!AX50*annualizationFactor</f>
        <v>19.074351665230395</v>
      </c>
      <c r="W462" s="749">
        <f>$E$21*$F$8*'Traffic Data'!AY50*annualizationFactor</f>
        <v>19.393286432904997</v>
      </c>
      <c r="X462" s="749">
        <f>$E$21*$F$8*'Traffic Data'!AZ50*annualizationFactor</f>
        <v>19.712221200579599</v>
      </c>
      <c r="Y462" s="749">
        <f>$E$21*$F$8*'Traffic Data'!BA50*annualizationFactor</f>
        <v>20.031155968254197</v>
      </c>
      <c r="Z462" s="749">
        <f>$E$21*$F$8*'Traffic Data'!BB50*annualizationFactor</f>
        <v>20.350579440283397</v>
      </c>
      <c r="AA462" s="749">
        <f>$E$21*$F$8*'Traffic Data'!BC50*annualizationFactor</f>
        <v>20.669514207957999</v>
      </c>
      <c r="AB462" s="749">
        <f>$E$21*$F$8*'Traffic Data'!BD50*annualizationFactor</f>
        <v>20.988937679987195</v>
      </c>
      <c r="AC462" s="749">
        <f>$E$21*$F$8*'Traffic Data'!BE50*annualizationFactor</f>
        <v>21.307872447661794</v>
      </c>
      <c r="AD462" s="749">
        <f>$E$21*$F$8*'Traffic Data'!BF50*annualizationFactor</f>
        <v>21.626807215336395</v>
      </c>
      <c r="AE462" s="749">
        <f>$E$21*$F$8*'Traffic Data'!BG50*annualizationFactor</f>
        <v>21.946230687365599</v>
      </c>
      <c r="AF462" s="749">
        <f>$E$21*$F$8*'Traffic Data'!BH50*annualizationFactor</f>
        <v>22.265165455040197</v>
      </c>
      <c r="AG462" s="749">
        <f>$E$21*$F$8*'Traffic Data'!BI50*annualizationFactor</f>
        <v>22.584100222714792</v>
      </c>
      <c r="AH462" s="750">
        <f>$E$21*$F$8*'Traffic Data'!BJ50*annualizationFactor</f>
        <v>22.903523694743996</v>
      </c>
      <c r="AI462" s="24"/>
      <c r="AJ462" s="24"/>
      <c r="AK462" s="24"/>
      <c r="AL462" s="24"/>
      <c r="AM462" s="24"/>
    </row>
    <row r="463" spans="1:39" ht="21.9" customHeight="1" x14ac:dyDescent="0.25">
      <c r="B463" s="1332"/>
      <c r="C463" s="114" t="s">
        <v>318</v>
      </c>
      <c r="D463" s="114" t="s">
        <v>308</v>
      </c>
      <c r="E463" s="114" t="s">
        <v>19</v>
      </c>
      <c r="F463" s="114" t="s">
        <v>43</v>
      </c>
      <c r="G463" s="941"/>
      <c r="H463" s="941"/>
      <c r="I463" s="751">
        <f>$E$21*$F$8*'Traffic Data'!AK51*annualizationFactor</f>
        <v>0.36520439999999998</v>
      </c>
      <c r="J463" s="751">
        <f>$E$21*$F$8*'Traffic Data'!AL51*annualizationFactor</f>
        <v>0.39987751440999991</v>
      </c>
      <c r="K463" s="751">
        <f>$E$21*$F$8*'Traffic Data'!AM51*annualizationFactor</f>
        <v>0.44906446034999992</v>
      </c>
      <c r="L463" s="751">
        <f>$E$21*$F$8*'Traffic Data'!AN51*annualizationFactor</f>
        <v>0.52920856592999999</v>
      </c>
      <c r="M463" s="751">
        <f>$E$21*$F$8*'Traffic Data'!AO51*annualizationFactor</f>
        <v>0.60937701846999992</v>
      </c>
      <c r="N463" s="751">
        <f>$E$21*$F$8*'Traffic Data'!AP51*annualizationFactor</f>
        <v>0.68955307943499999</v>
      </c>
      <c r="O463" s="751">
        <f>$E$21*$F$8*'Traffic Data'!AQ51*annualizationFactor</f>
        <v>0.76969718501500006</v>
      </c>
      <c r="P463" s="751">
        <f>$E$21*$F$8*'Traffic Data'!AR51*annualizationFactor</f>
        <v>0.84992802664</v>
      </c>
      <c r="Q463" s="751">
        <f>$E$21*$F$8*'Traffic Data'!AS51*annualizationFactor</f>
        <v>0.94120782304999984</v>
      </c>
      <c r="R463" s="751">
        <f>$E$21*$F$8*'Traffic Data'!AT51*annualizationFactor</f>
        <v>1.0325302266400003</v>
      </c>
      <c r="S463" s="751">
        <f>$E$21*$F$8*'Traffic Data'!AU51*annualizationFactor</f>
        <v>1.1238054579950001</v>
      </c>
      <c r="T463" s="751">
        <f>$E$21*$F$8*'Traffic Data'!AV51*annualizationFactor</f>
        <v>1.2150852544049999</v>
      </c>
      <c r="U463" s="751">
        <f>$E$21*$F$8*'Traffic Data'!AW51*annualizationFactor</f>
        <v>1.3064487434899998</v>
      </c>
      <c r="V463" s="751">
        <f>$E$21*$F$8*'Traffic Data'!AX51*annualizationFactor</f>
        <v>1.3667044261200001</v>
      </c>
      <c r="W463" s="751">
        <f>$E$21*$F$8*'Traffic Data'!AY51*annualizationFactor</f>
        <v>1.4013775405299997</v>
      </c>
      <c r="X463" s="751">
        <f>$E$21*$F$8*'Traffic Data'!AZ51*annualizationFactor</f>
        <v>1.4360506549399996</v>
      </c>
      <c r="Y463" s="751">
        <f>$E$21*$F$8*'Traffic Data'!BA51*annualizationFactor</f>
        <v>1.4707237693499997</v>
      </c>
      <c r="Z463" s="751">
        <f>$E$21*$F$8*'Traffic Data'!BB51*annualizationFactor</f>
        <v>1.5054364475699997</v>
      </c>
      <c r="AA463" s="751">
        <f>$E$21*$F$8*'Traffic Data'!BC51*annualizationFactor</f>
        <v>1.5401095619799994</v>
      </c>
      <c r="AB463" s="751">
        <f>$E$21*$F$8*'Traffic Data'!BD51*annualizationFactor</f>
        <v>1.5748222401999998</v>
      </c>
      <c r="AC463" s="751">
        <f>$E$21*$F$8*'Traffic Data'!BE51*annualizationFactor</f>
        <v>1.6094953546099999</v>
      </c>
      <c r="AD463" s="751">
        <f>$E$21*$F$8*'Traffic Data'!BF51*annualizationFactor</f>
        <v>1.64416846902</v>
      </c>
      <c r="AE463" s="751">
        <f>$E$21*$F$8*'Traffic Data'!BG51*annualizationFactor</f>
        <v>1.6788811472399996</v>
      </c>
      <c r="AF463" s="751">
        <f>$E$21*$F$8*'Traffic Data'!BH51*annualizationFactor</f>
        <v>1.7135542616499995</v>
      </c>
      <c r="AG463" s="751">
        <f>$E$21*$F$8*'Traffic Data'!BI51*annualizationFactor</f>
        <v>1.7482273760599996</v>
      </c>
      <c r="AH463" s="752">
        <f>$E$21*$F$8*'Traffic Data'!BJ51*annualizationFactor</f>
        <v>1.7829400542799998</v>
      </c>
      <c r="AI463" s="24"/>
      <c r="AJ463" s="24"/>
      <c r="AK463" s="24"/>
      <c r="AL463" s="24"/>
      <c r="AM463" s="24"/>
    </row>
    <row r="464" spans="1:39" ht="21.9" customHeight="1" x14ac:dyDescent="0.25">
      <c r="B464" s="1332"/>
      <c r="C464" s="250" t="s">
        <v>308</v>
      </c>
      <c r="D464" s="250" t="s">
        <v>319</v>
      </c>
      <c r="E464" s="114" t="s">
        <v>19</v>
      </c>
      <c r="F464" s="114" t="s">
        <v>43</v>
      </c>
      <c r="G464" s="941"/>
      <c r="H464" s="941"/>
      <c r="I464" s="751">
        <f>$E$21*$F$8*'Traffic Data'!AK52*annualizationFactor</f>
        <v>4.8937389600000003</v>
      </c>
      <c r="J464" s="751">
        <f>$E$21*$F$8*'Traffic Data'!AL52*annualizationFactor</f>
        <v>5.0307799633432007</v>
      </c>
      <c r="K464" s="751">
        <f>$E$21*$F$8*'Traffic Data'!AM52*annualizationFactor</f>
        <v>5.2260727727735992</v>
      </c>
      <c r="L464" s="751">
        <f>$E$21*$F$8*'Traffic Data'!AN52*annualizationFactor</f>
        <v>5.5001710919231996</v>
      </c>
      <c r="M464" s="751">
        <f>$E$21*$F$8*'Traffic Data'!AO52*annualizationFactor</f>
        <v>5.7743835983151994</v>
      </c>
      <c r="N464" s="751">
        <f>$E$21*$F$8*'Traffic Data'!AP52*annualizationFactor</f>
        <v>6.0485716360124027</v>
      </c>
      <c r="O464" s="751">
        <f>$E$21*$F$8*'Traffic Data'!AQ52*annualizationFactor</f>
        <v>6.3226699551620014</v>
      </c>
      <c r="P464" s="751">
        <f>$E$21*$F$8*'Traffic Data'!AR52*annualizationFactor</f>
        <v>6.596988492564801</v>
      </c>
      <c r="Q464" s="751">
        <f>$E$21*$F$8*'Traffic Data'!AS52*annualizationFactor</f>
        <v>6.8739088678479998</v>
      </c>
      <c r="R464" s="751">
        <f>$E$21*$F$8*'Traffic Data'!AT52*annualizationFactor</f>
        <v>7.1509108054472001</v>
      </c>
      <c r="S464" s="751">
        <f>$E$21*$F$8*'Traffic Data'!AU52*annualizationFactor</f>
        <v>7.4278067120355988</v>
      </c>
      <c r="T464" s="751">
        <f>$E$21*$F$8*'Traffic Data'!AV52*annualizationFactor</f>
        <v>7.7047270873188003</v>
      </c>
      <c r="U464" s="751">
        <f>$E$21*$F$8*'Traffic Data'!AW52*annualizationFactor</f>
        <v>7.9818676808552018</v>
      </c>
      <c r="V464" s="751">
        <f>$E$21*$F$8*'Traffic Data'!AX52*annualizationFactor</f>
        <v>8.1798520467136004</v>
      </c>
      <c r="W464" s="751">
        <f>$E$21*$F$8*'Traffic Data'!AY52*annualizationFactor</f>
        <v>8.3168930500567999</v>
      </c>
      <c r="X464" s="751">
        <f>$E$21*$F$8*'Traffic Data'!AZ52*annualizationFactor</f>
        <v>8.4539340533999994</v>
      </c>
      <c r="Y464" s="751">
        <f>$E$21*$F$8*'Traffic Data'!BA52*annualizationFactor</f>
        <v>8.5909750567431988</v>
      </c>
      <c r="Z464" s="751">
        <f>$E$21*$F$8*'Traffic Data'!BB52*annualizationFactor</f>
        <v>8.7280813099391992</v>
      </c>
      <c r="AA464" s="751">
        <f>$E$21*$F$8*'Traffic Data'!BC52*annualizationFactor</f>
        <v>8.8651223132824004</v>
      </c>
      <c r="AB464" s="751">
        <f>$E$21*$F$8*'Traffic Data'!BD52*annualizationFactor</f>
        <v>9.0022285664784008</v>
      </c>
      <c r="AC464" s="751">
        <f>$E$21*$F$8*'Traffic Data'!BE52*annualizationFactor</f>
        <v>9.1392695698216002</v>
      </c>
      <c r="AD464" s="751">
        <f>$E$21*$F$8*'Traffic Data'!BF52*annualizationFactor</f>
        <v>9.2763105731648015</v>
      </c>
      <c r="AE464" s="751">
        <f>$E$21*$F$8*'Traffic Data'!BG52*annualizationFactor</f>
        <v>9.4134168263608</v>
      </c>
      <c r="AF464" s="751">
        <f>$E$21*$F$8*'Traffic Data'!BH52*annualizationFactor</f>
        <v>9.5504578297039995</v>
      </c>
      <c r="AG464" s="751">
        <f>$E$21*$F$8*'Traffic Data'!BI52*annualizationFactor</f>
        <v>9.6874988330471989</v>
      </c>
      <c r="AH464" s="752">
        <f>$E$21*$F$8*'Traffic Data'!BJ52*annualizationFactor</f>
        <v>9.8246050862431993</v>
      </c>
      <c r="AI464" s="24"/>
      <c r="AJ464" s="24"/>
      <c r="AK464" s="24"/>
      <c r="AL464" s="24"/>
      <c r="AM464" s="24"/>
    </row>
    <row r="465" spans="2:39" ht="21.9" customHeight="1" x14ac:dyDescent="0.25">
      <c r="B465" s="469" t="s">
        <v>320</v>
      </c>
      <c r="C465" s="114" t="s">
        <v>318</v>
      </c>
      <c r="D465" s="114" t="s">
        <v>308</v>
      </c>
      <c r="E465" s="273" t="s">
        <v>19</v>
      </c>
      <c r="F465" s="273" t="s">
        <v>43</v>
      </c>
      <c r="G465" s="754"/>
      <c r="H465" s="754"/>
      <c r="I465" s="749">
        <f>$E$21*$G$8*'Traffic Data'!AK53*annualizationFactor</f>
        <v>1.4303839E-2</v>
      </c>
      <c r="J465" s="749">
        <f>$E$21*$G$8*'Traffic Data'!AL53*annualizationFactor</f>
        <v>5.9410995286499992E-2</v>
      </c>
      <c r="K465" s="749">
        <f>$E$21*$G$8*'Traffic Data'!AM53*annualizationFactor</f>
        <v>0.53002160222549999</v>
      </c>
      <c r="L465" s="749">
        <f>$E$21*$G$8*'Traffic Data'!AN53*annualizationFactor</f>
        <v>1.2536313614770001</v>
      </c>
      <c r="M465" s="749">
        <f>$E$21*$G$8*'Traffic Data'!AO53*annualizationFactor</f>
        <v>1.9777560589325003</v>
      </c>
      <c r="N465" s="749">
        <f>$E$21*$G$8*'Traffic Data'!AP53*annualizationFactor</f>
        <v>2.7015946796079993</v>
      </c>
      <c r="O465" s="749">
        <f>$E$21*$G$8*'Traffic Data'!AQ53*annualizationFactor</f>
        <v>3.4252044388594998</v>
      </c>
      <c r="P465" s="749">
        <f>$E$21*$G$8*'Traffic Data'!AR53*annualizationFactor</f>
        <v>4.1498083149215006</v>
      </c>
      <c r="Q465" s="749">
        <f>$E$21*$G$8*'Traffic Data'!AS53*annualizationFactor</f>
        <v>4.4482364598980002</v>
      </c>
      <c r="R465" s="749">
        <f>$E$21*$G$8*'Traffic Data'!AT53*annualizationFactor</f>
        <v>4.7468934662985003</v>
      </c>
      <c r="S465" s="749">
        <f>$E$21*$G$8*'Traffic Data'!AU53*annualizationFactor</f>
        <v>5.0454789535040003</v>
      </c>
      <c r="T465" s="749">
        <f>$E$21*$G$8*'Traffic Data'!AV53*annualizationFactor</f>
        <v>5.3439070984804999</v>
      </c>
      <c r="U465" s="749">
        <f>$E$21*$G$8*'Traffic Data'!AW53*annualizationFactor</f>
        <v>5.6430432834875006</v>
      </c>
      <c r="V465" s="749">
        <f>$E$21*$G$8*'Traffic Data'!AX53*annualizationFactor</f>
        <v>5.6881504397740006</v>
      </c>
      <c r="W465" s="749">
        <f>$E$21*$G$8*'Traffic Data'!AY53*annualizationFactor</f>
        <v>5.7332575960604997</v>
      </c>
      <c r="X465" s="749">
        <f>$E$21*$G$8*'Traffic Data'!AZ53*annualizationFactor</f>
        <v>5.7783647523470014</v>
      </c>
      <c r="Y465" s="749">
        <f>$E$21*$G$8*'Traffic Data'!BA53*annualizationFactor</f>
        <v>5.8234719086335005</v>
      </c>
      <c r="Z465" s="749">
        <f>$E$21*$G$8*'Traffic Data'!BB53*annualizationFactor</f>
        <v>5.8689009012974998</v>
      </c>
      <c r="AA465" s="749">
        <f>$E$21*$G$8*'Traffic Data'!BC53*annualizationFactor</f>
        <v>5.9140080575840006</v>
      </c>
      <c r="AB465" s="749">
        <f>$E$21*$G$8*'Traffic Data'!BD53*annualizationFactor</f>
        <v>5.9592582522605015</v>
      </c>
      <c r="AC465" s="749">
        <f>$E$21*$G$8*'Traffic Data'!BE53*annualizationFactor</f>
        <v>6.0043654085470006</v>
      </c>
      <c r="AD465" s="749">
        <f>$E$21*$G$8*'Traffic Data'!BF53*annualizationFactor</f>
        <v>6.0494725648335006</v>
      </c>
      <c r="AE465" s="749">
        <f>$E$21*$G$8*'Traffic Data'!BG53*annualizationFactor</f>
        <v>6.0949015574975016</v>
      </c>
      <c r="AF465" s="749">
        <f>$E$21*$G$8*'Traffic Data'!BH53*annualizationFactor</f>
        <v>6.1400087137840007</v>
      </c>
      <c r="AG465" s="749">
        <f>$E$21*$G$8*'Traffic Data'!BI53*annualizationFactor</f>
        <v>6.1851158700704998</v>
      </c>
      <c r="AH465" s="750">
        <f>$E$21*$G$8*'Traffic Data'!BJ53*annualizationFactor</f>
        <v>6.2303660647469989</v>
      </c>
      <c r="AI465" s="24"/>
      <c r="AJ465" s="24"/>
      <c r="AK465" s="24"/>
      <c r="AL465" s="24"/>
      <c r="AM465" s="24"/>
    </row>
    <row r="466" spans="2:39" ht="21.9" customHeight="1" x14ac:dyDescent="0.25">
      <c r="B466" s="1332" t="s">
        <v>308</v>
      </c>
      <c r="C466" s="217" t="s">
        <v>276</v>
      </c>
      <c r="D466" s="217" t="s">
        <v>320</v>
      </c>
      <c r="E466" s="114" t="s">
        <v>19</v>
      </c>
      <c r="F466" s="114" t="s">
        <v>43</v>
      </c>
      <c r="G466" s="941"/>
      <c r="H466" s="941"/>
      <c r="I466" s="749">
        <f>$E$21*$H$8*'Traffic Data'!AK54*annualizationFactor</f>
        <v>4.1085495E-2</v>
      </c>
      <c r="J466" s="749">
        <f>$E$21*$H$8*'Traffic Data'!AL54*annualizationFactor</f>
        <v>9.1312512637499982E-2</v>
      </c>
      <c r="K466" s="749">
        <f>$E$21*$H$8*'Traffic Data'!AM54*annualizationFactor</f>
        <v>0.38593659728250002</v>
      </c>
      <c r="L466" s="749">
        <f>$E$21*$H$8*'Traffic Data'!AN54*annualizationFactor</f>
        <v>0.8675613124199999</v>
      </c>
      <c r="M466" s="749">
        <f>$E$21*$H$8*'Traffic Data'!AO54*annualizationFactor</f>
        <v>1.349453083275</v>
      </c>
      <c r="N466" s="749">
        <f>$E$21*$H$8*'Traffic Data'!AP54*annualizationFactor</f>
        <v>1.8313653968774997</v>
      </c>
      <c r="O466" s="749">
        <f>$E$21*$H$8*'Traffic Data'!AQ54*annualizationFactor</f>
        <v>2.312990112015</v>
      </c>
      <c r="P466" s="749">
        <f>$E$21*$H$8*'Traffic Data'!AR54*annualizationFactor</f>
        <v>2.7951694813350003</v>
      </c>
      <c r="Q466" s="749">
        <f>$E$21*$H$8*'Traffic Data'!AS54*annualizationFactor</f>
        <v>3.1669932110849999</v>
      </c>
      <c r="R466" s="749">
        <f>$E$21*$H$8*'Traffic Data'!AT54*annualizationFactor</f>
        <v>3.5388785690775002</v>
      </c>
      <c r="S466" s="749">
        <f>$E$21*$H$8*'Traffic Data'!AU54*annualizationFactor</f>
        <v>3.9107022988274993</v>
      </c>
      <c r="T466" s="749">
        <f>$E$21*$H$8*'Traffic Data'!AV54*annualizationFactor</f>
        <v>4.2825260285774993</v>
      </c>
      <c r="U466" s="749">
        <f>$E$21*$H$8*'Traffic Data'!AW54*annualizationFactor</f>
        <v>4.6548427842675002</v>
      </c>
      <c r="V466" s="749">
        <f>$E$21*$H$8*'Traffic Data'!AX54*annualizationFactor</f>
        <v>4.8393782850599996</v>
      </c>
      <c r="W466" s="749">
        <f>$E$21*$H$8*'Traffic Data'!AY54*annualizationFactor</f>
        <v>4.8896053026975004</v>
      </c>
      <c r="X466" s="749">
        <f>$E$21*$H$8*'Traffic Data'!AZ54*annualizationFactor</f>
        <v>4.9398323203349994</v>
      </c>
      <c r="Y466" s="749">
        <f>$E$21*$H$8*'Traffic Data'!BA54*annualizationFactor</f>
        <v>4.9900593379725011</v>
      </c>
      <c r="Z466" s="749">
        <f>$E$21*$H$8*'Traffic Data'!BB54*annualizationFactor</f>
        <v>5.0404301548425003</v>
      </c>
      <c r="AA466" s="749">
        <f>$E$21*$H$8*'Traffic Data'!BC54*annualizationFactor</f>
        <v>5.0906571724800003</v>
      </c>
      <c r="AB466" s="749">
        <f>$E$21*$H$8*'Traffic Data'!BD54*annualizationFactor</f>
        <v>5.1410279893499986</v>
      </c>
      <c r="AC466" s="749">
        <f>$E$21*$H$8*'Traffic Data'!BE54*annualizationFactor</f>
        <v>5.1912550069874994</v>
      </c>
      <c r="AD466" s="749">
        <f>$E$21*$H$8*'Traffic Data'!BF54*annualizationFactor</f>
        <v>5.2414820246249993</v>
      </c>
      <c r="AE466" s="749">
        <f>$E$21*$H$8*'Traffic Data'!BG54*annualizationFactor</f>
        <v>5.2918528414949995</v>
      </c>
      <c r="AF466" s="749">
        <f>$E$21*$H$8*'Traffic Data'!BH54*annualizationFactor</f>
        <v>5.3420798591324994</v>
      </c>
      <c r="AG466" s="749">
        <f>$E$21*$H$8*'Traffic Data'!BI54*annualizationFactor</f>
        <v>5.3923068767699993</v>
      </c>
      <c r="AH466" s="750">
        <f>$E$21*$H$8*'Traffic Data'!BJ54*annualizationFactor</f>
        <v>5.4426776936400003</v>
      </c>
      <c r="AI466" s="24"/>
      <c r="AJ466" s="24"/>
      <c r="AK466" s="24"/>
      <c r="AL466" s="24"/>
      <c r="AM466" s="24"/>
    </row>
    <row r="467" spans="2:39" ht="21.9" customHeight="1" x14ac:dyDescent="0.25">
      <c r="B467" s="1332"/>
      <c r="C467" s="114" t="s">
        <v>320</v>
      </c>
      <c r="D467" s="114" t="s">
        <v>282</v>
      </c>
      <c r="E467" s="114" t="s">
        <v>19</v>
      </c>
      <c r="F467" s="114" t="s">
        <v>43</v>
      </c>
      <c r="G467" s="941"/>
      <c r="H467" s="941"/>
      <c r="I467" s="751">
        <f>$E$21*$H$8*'Traffic Data'!AK55*annualizationFactor</f>
        <v>0</v>
      </c>
      <c r="J467" s="751">
        <f>$E$21*$H$8*'Traffic Data'!AL55*annualizationFactor</f>
        <v>2.7694667000000003E-2</v>
      </c>
      <c r="K467" s="751">
        <f>$E$21*$H$8*'Traffic Data'!AM55*annualizationFactor</f>
        <v>8.0046109066000001E-2</v>
      </c>
      <c r="L467" s="751">
        <f>$E$21*$H$8*'Traffic Data'!AN55*annualizationFactor</f>
        <v>0.17993864257600004</v>
      </c>
      <c r="M467" s="751">
        <f>$E$21*$H$8*'Traffic Data'!AO55*annualizationFactor</f>
        <v>0.27988656542000001</v>
      </c>
      <c r="N467" s="751">
        <f>$E$21*$H$8*'Traffic Data'!AP55*annualizationFactor</f>
        <v>0.37983874898199993</v>
      </c>
      <c r="O467" s="751">
        <f>$E$21*$H$8*'Traffic Data'!AQ55*annualizationFactor</f>
        <v>0.47973128249199998</v>
      </c>
      <c r="P467" s="751">
        <f>$E$21*$H$8*'Traffic Data'!AR55*annualizationFactor</f>
        <v>0.57973885538800007</v>
      </c>
      <c r="Q467" s="751">
        <f>$E$21*$H$8*'Traffic Data'!AS55*annualizationFactor</f>
        <v>0.65685785118800022</v>
      </c>
      <c r="R467" s="751">
        <f>$E$21*$H$8*'Traffic Data'!AT55*annualizationFactor</f>
        <v>0.73398962914200006</v>
      </c>
      <c r="S467" s="751">
        <f>$E$21*$H$8*'Traffic Data'!AU55*annualizationFactor</f>
        <v>0.81110862494199998</v>
      </c>
      <c r="T467" s="751">
        <f>$E$21*$H$8*'Traffic Data'!AV55*annualizationFactor</f>
        <v>0.8882276207419999</v>
      </c>
      <c r="U467" s="751">
        <f>$E$21*$H$8*'Traffic Data'!AW55*annualizationFactor</f>
        <v>0.96544887377400002</v>
      </c>
      <c r="V467" s="751">
        <f>$E$21*$H$8*'Traffic Data'!AX55*annualizationFactor</f>
        <v>1.003722903568</v>
      </c>
      <c r="W467" s="751">
        <f>$E$21*$H$8*'Traffic Data'!AY55*annualizationFactor</f>
        <v>1.0141403590780003</v>
      </c>
      <c r="X467" s="751">
        <f>$E$21*$H$8*'Traffic Data'!AZ55*annualizationFactor</f>
        <v>1.0245578145880001</v>
      </c>
      <c r="Y467" s="751">
        <f>$E$21*$H$8*'Traffic Data'!BA55*annualizationFactor</f>
        <v>1.0349752700980002</v>
      </c>
      <c r="Z467" s="751">
        <f>$E$21*$H$8*'Traffic Data'!BB55*annualizationFactor</f>
        <v>1.045422550634</v>
      </c>
      <c r="AA467" s="751">
        <f>$E$21*$H$8*'Traffic Data'!BC55*annualizationFactor</f>
        <v>1.0558400061440001</v>
      </c>
      <c r="AB467" s="751">
        <f>$E$21*$H$8*'Traffic Data'!BD55*annualizationFactor</f>
        <v>1.0662872866799997</v>
      </c>
      <c r="AC467" s="751">
        <f>$E$21*$H$8*'Traffic Data'!BE55*annualizationFactor</f>
        <v>1.0767047421899998</v>
      </c>
      <c r="AD467" s="751">
        <f>$E$21*$H$8*'Traffic Data'!BF55*annualizationFactor</f>
        <v>1.0871221976999998</v>
      </c>
      <c r="AE467" s="751">
        <f>$E$21*$H$8*'Traffic Data'!BG55*annualizationFactor</f>
        <v>1.0975694782359999</v>
      </c>
      <c r="AF467" s="751">
        <f>$E$21*$H$8*'Traffic Data'!BH55*annualizationFactor</f>
        <v>1.107986933746</v>
      </c>
      <c r="AG467" s="751">
        <f>$E$21*$H$8*'Traffic Data'!BI55*annualizationFactor</f>
        <v>1.1184043892560001</v>
      </c>
      <c r="AH467" s="752">
        <f>$E$21*$H$8*'Traffic Data'!BJ55*annualizationFactor</f>
        <v>1.1288516697919999</v>
      </c>
      <c r="AI467" s="24"/>
      <c r="AJ467" s="24"/>
      <c r="AK467" s="24"/>
      <c r="AL467" s="24"/>
      <c r="AM467" s="24"/>
    </row>
    <row r="468" spans="2:39" ht="21.9" customHeight="1" x14ac:dyDescent="0.25">
      <c r="B468" s="1332"/>
      <c r="C468" s="114" t="s">
        <v>282</v>
      </c>
      <c r="D468" s="114" t="s">
        <v>321</v>
      </c>
      <c r="E468" s="114" t="s">
        <v>19</v>
      </c>
      <c r="F468" s="114" t="s">
        <v>43</v>
      </c>
      <c r="G468" s="941"/>
      <c r="H468" s="941"/>
      <c r="I468" s="751">
        <f>$E$21*$H$8*'Traffic Data'!AK56*annualizationFactor</f>
        <v>0</v>
      </c>
      <c r="J468" s="751">
        <f>$E$21*$H$8*'Traffic Data'!AL56*annualizationFactor</f>
        <v>7.2203953249999994E-2</v>
      </c>
      <c r="K468" s="751">
        <f>$E$21*$H$8*'Traffic Data'!AM56*annualizationFactor</f>
        <v>0.2086916414935</v>
      </c>
      <c r="L468" s="751">
        <f>$E$21*$H$8*'Traffic Data'!AN56*annualizationFactor</f>
        <v>0.46912574671599994</v>
      </c>
      <c r="M468" s="751">
        <f>$E$21*$H$8*'Traffic Data'!AO56*annualizationFactor</f>
        <v>0.72970425984500009</v>
      </c>
      <c r="N468" s="751">
        <f>$E$21*$H$8*'Traffic Data'!AP56*annualizationFactor</f>
        <v>0.9902938812744998</v>
      </c>
      <c r="O468" s="751">
        <f>$E$21*$H$8*'Traffic Data'!AQ56*annualizationFactor</f>
        <v>1.2507279864969998</v>
      </c>
      <c r="P468" s="751">
        <f>$E$21*$H$8*'Traffic Data'!AR56*annualizationFactor</f>
        <v>1.5114620158329997</v>
      </c>
      <c r="Q468" s="751">
        <f>$E$21*$H$8*'Traffic Data'!AS56*annualizationFactor</f>
        <v>1.7125222548830001</v>
      </c>
      <c r="R468" s="751">
        <f>$E$21*$H$8*'Traffic Data'!AT56*annualizationFactor</f>
        <v>1.9136158188344998</v>
      </c>
      <c r="S468" s="751">
        <f>$E$21*$H$8*'Traffic Data'!AU56*annualizationFactor</f>
        <v>2.1146760578844996</v>
      </c>
      <c r="T468" s="751">
        <f>$E$21*$H$8*'Traffic Data'!AV56*annualizationFactor</f>
        <v>2.3157362969344994</v>
      </c>
      <c r="U468" s="751">
        <f>$E$21*$H$8*'Traffic Data'!AW56*annualizationFactor</f>
        <v>2.5170631351965</v>
      </c>
      <c r="V468" s="751">
        <f>$E$21*$H$8*'Traffic Data'!AX56*annualizationFactor</f>
        <v>2.6168489985879999</v>
      </c>
      <c r="W468" s="751">
        <f>$E$21*$H$8*'Traffic Data'!AY56*annualizationFactor</f>
        <v>2.6440087933104999</v>
      </c>
      <c r="X468" s="751">
        <f>$E$21*$H$8*'Traffic Data'!AZ56*annualizationFactor</f>
        <v>2.6711685880329998</v>
      </c>
      <c r="Y468" s="751">
        <f>$E$21*$H$8*'Traffic Data'!BA56*annualizationFactor</f>
        <v>2.6983283827555002</v>
      </c>
      <c r="Z468" s="751">
        <f>$E$21*$H$8*'Traffic Data'!BB56*annualizationFactor</f>
        <v>2.7255659355815003</v>
      </c>
      <c r="AA468" s="751">
        <f>$E$21*$H$8*'Traffic Data'!BC56*annualizationFactor</f>
        <v>2.7527257303039998</v>
      </c>
      <c r="AB468" s="751">
        <f>$E$21*$H$8*'Traffic Data'!BD56*annualizationFactor</f>
        <v>2.779963283129999</v>
      </c>
      <c r="AC468" s="751">
        <f>$E$21*$H$8*'Traffic Data'!BE56*annualizationFactor</f>
        <v>2.8071230778524994</v>
      </c>
      <c r="AD468" s="751">
        <f>$E$21*$H$8*'Traffic Data'!BF56*annualizationFactor</f>
        <v>2.8342828725749993</v>
      </c>
      <c r="AE468" s="751">
        <f>$E$21*$H$8*'Traffic Data'!BG56*annualizationFactor</f>
        <v>2.8615204254009989</v>
      </c>
      <c r="AF468" s="751">
        <f>$E$21*$H$8*'Traffic Data'!BH56*annualizationFactor</f>
        <v>2.8886802201234998</v>
      </c>
      <c r="AG468" s="751">
        <f>$E$21*$H$8*'Traffic Data'!BI56*annualizationFactor</f>
        <v>2.9158400148459998</v>
      </c>
      <c r="AH468" s="752">
        <f>$E$21*$H$8*'Traffic Data'!BJ56*annualizationFactor</f>
        <v>2.9430775676719994</v>
      </c>
      <c r="AI468" s="24"/>
      <c r="AJ468" s="24"/>
      <c r="AK468" s="24"/>
      <c r="AL468" s="24"/>
      <c r="AM468" s="24"/>
    </row>
    <row r="469" spans="2:39" ht="21.9" customHeight="1" x14ac:dyDescent="0.25">
      <c r="B469" s="1332"/>
      <c r="C469" s="250" t="s">
        <v>321</v>
      </c>
      <c r="D469" s="250" t="s">
        <v>274</v>
      </c>
      <c r="E469" s="114" t="s">
        <v>19</v>
      </c>
      <c r="F469" s="114" t="s">
        <v>43</v>
      </c>
      <c r="G469" s="941"/>
      <c r="H469" s="941"/>
      <c r="I469" s="751">
        <f>$E$21*$H$8*'Traffic Data'!AK57*annualizationFactor</f>
        <v>9.5866154999999995E-2</v>
      </c>
      <c r="J469" s="751">
        <f>$E$21*$H$8*'Traffic Data'!AL57*annualizationFactor</f>
        <v>0.14168059047449999</v>
      </c>
      <c r="K469" s="751">
        <f>$E$21*$H$8*'Traffic Data'!AM57*annualizationFactor</f>
        <v>0.19875610362300003</v>
      </c>
      <c r="L469" s="751">
        <f>$E$21*$H$8*'Traffic Data'!AN57*annualizationFactor</f>
        <v>0.32096627801700001</v>
      </c>
      <c r="M469" s="751">
        <f>$E$21*$H$8*'Traffic Data'!AO57*annualizationFactor</f>
        <v>0.44319243010350001</v>
      </c>
      <c r="N469" s="751">
        <f>$E$21*$H$8*'Traffic Data'!AP57*annualizationFactor</f>
        <v>0.56546971080599995</v>
      </c>
      <c r="O469" s="751">
        <f>$E$21*$H$8*'Traffic Data'!AQ57*annualizationFactor</f>
        <v>0.6876798851999999</v>
      </c>
      <c r="P469" s="751">
        <f>$E$21*$H$8*'Traffic Data'!AR57*annualizationFactor</f>
        <v>0.80982614882400006</v>
      </c>
      <c r="Q469" s="751">
        <f>$E$21*$H$8*'Traffic Data'!AS57*annualizationFactor</f>
        <v>1.0550901197760001</v>
      </c>
      <c r="R469" s="751">
        <f>$E$21*$H$8*'Traffic Data'!AT57*annualizationFactor</f>
        <v>1.3002134870340001</v>
      </c>
      <c r="S469" s="751">
        <f>$E$21*$H$8*'Traffic Data'!AU57*annualizationFactor</f>
        <v>1.5453911784465002</v>
      </c>
      <c r="T469" s="751">
        <f>$E$21*$H$8*'Traffic Data'!AV57*annualizationFactor</f>
        <v>1.7906551493985001</v>
      </c>
      <c r="U469" s="751">
        <f>$E$21*$H$8*'Traffic Data'!AW57*annualizationFactor</f>
        <v>2.0358552095805003</v>
      </c>
      <c r="V469" s="751">
        <f>$E$21*$H$8*'Traffic Data'!AX57*annualizationFactor</f>
        <v>2.2159781282099997</v>
      </c>
      <c r="W469" s="751">
        <f>$E$21*$H$8*'Traffic Data'!AY57*annualizationFactor</f>
        <v>2.2617925636845002</v>
      </c>
      <c r="X469" s="751">
        <f>$E$21*$H$8*'Traffic Data'!AZ57*annualizationFactor</f>
        <v>2.3076069991589998</v>
      </c>
      <c r="Y469" s="751">
        <f>$E$21*$H$8*'Traffic Data'!BA57*annualizationFactor</f>
        <v>2.3534214346334998</v>
      </c>
      <c r="Z469" s="751">
        <f>$E$21*$H$8*'Traffic Data'!BB57*annualizationFactor</f>
        <v>2.3990984619524998</v>
      </c>
      <c r="AA469" s="751">
        <f>$E$21*$H$8*'Traffic Data'!BC57*annualizationFactor</f>
        <v>2.4449128974269998</v>
      </c>
      <c r="AB469" s="751">
        <f>$E$21*$H$8*'Traffic Data'!BD57*annualizationFactor</f>
        <v>2.4905899247459997</v>
      </c>
      <c r="AC469" s="751">
        <f>$E$21*$H$8*'Traffic Data'!BE57*annualizationFactor</f>
        <v>2.5364043602204998</v>
      </c>
      <c r="AD469" s="751">
        <f>$E$21*$H$8*'Traffic Data'!BF57*annualizationFactor</f>
        <v>2.5822187956950002</v>
      </c>
      <c r="AE469" s="751">
        <f>$E$21*$H$8*'Traffic Data'!BG57*annualizationFactor</f>
        <v>2.6278958230139997</v>
      </c>
      <c r="AF469" s="751">
        <f>$E$21*$H$8*'Traffic Data'!BH57*annualizationFactor</f>
        <v>2.6737102584884993</v>
      </c>
      <c r="AG469" s="751">
        <f>$E$21*$H$8*'Traffic Data'!BI57*annualizationFactor</f>
        <v>2.7195246939629998</v>
      </c>
      <c r="AH469" s="752">
        <f>$E$21*$H$8*'Traffic Data'!BJ57*annualizationFactor</f>
        <v>2.7652017212819993</v>
      </c>
      <c r="AI469" s="24"/>
      <c r="AJ469" s="24"/>
      <c r="AK469" s="24"/>
      <c r="AL469" s="24"/>
      <c r="AM469" s="24"/>
    </row>
    <row r="470" spans="2:39" ht="21.9" customHeight="1" x14ac:dyDescent="0.25">
      <c r="B470" s="469" t="s">
        <v>282</v>
      </c>
      <c r="C470" s="114" t="s">
        <v>308</v>
      </c>
      <c r="D470" s="114" t="s">
        <v>324</v>
      </c>
      <c r="E470" s="114" t="s">
        <v>19</v>
      </c>
      <c r="F470" s="114" t="s">
        <v>43</v>
      </c>
      <c r="G470" s="941"/>
      <c r="H470" s="941"/>
      <c r="I470" s="749">
        <f>$E$21*$J$8*'Traffic Data'!AK58*annualizationFactor</f>
        <v>0.54780660000000003</v>
      </c>
      <c r="J470" s="749">
        <f>$E$21*$J$8*'Traffic Data'!AL58*annualizationFactor</f>
        <v>0.58149061916</v>
      </c>
      <c r="K470" s="749">
        <f>$E$21*$J$8*'Traffic Data'!AM58*annualizationFactor</f>
        <v>0.62606685954999997</v>
      </c>
      <c r="L470" s="749">
        <f>$E$21*$J$8*'Traffic Data'!AN58*annualizationFactor</f>
        <v>0.68530605659999988</v>
      </c>
      <c r="M470" s="749">
        <f>$E$21*$J$8*'Traffic Data'!AO58*annualizationFactor</f>
        <v>0.74456351386999986</v>
      </c>
      <c r="N470" s="749">
        <f>$E$21*$J$8*'Traffic Data'!AP58*annualizationFactor</f>
        <v>0.80394879267999997</v>
      </c>
      <c r="O470" s="749">
        <f>$E$21*$J$8*'Traffic Data'!AQ58*annualizationFactor</f>
        <v>0.86318798972999988</v>
      </c>
      <c r="P470" s="749">
        <f>$E$21*$J$8*'Traffic Data'!AR58*annualizationFactor</f>
        <v>0.92249109754999981</v>
      </c>
      <c r="Q470" s="749">
        <f>$E$21*$J$8*'Traffic Data'!AS58*annualizationFactor</f>
        <v>0.97656569570999996</v>
      </c>
      <c r="R470" s="749">
        <f>$E$21*$J$8*'Traffic Data'!AT58*annualizationFactor</f>
        <v>1.0305946433200002</v>
      </c>
      <c r="S470" s="749">
        <f>$E$21*$J$8*'Traffic Data'!AU58*annualizationFactor</f>
        <v>1.0846722848499999</v>
      </c>
      <c r="T470" s="749">
        <f>$E$21*$J$8*'Traffic Data'!AV58*annualizationFactor</f>
        <v>1.13874688301</v>
      </c>
      <c r="U470" s="749">
        <f>$E$21*$J$8*'Traffic Data'!AW58*annualizationFactor</f>
        <v>1.19301321348</v>
      </c>
      <c r="V470" s="749">
        <f>$E$21*$J$8*'Traffic Data'!AX58*annualizationFactor</f>
        <v>1.2323822477999999</v>
      </c>
      <c r="W470" s="749">
        <f>$E$21*$J$8*'Traffic Data'!AY58*annualizationFactor</f>
        <v>1.26606626696</v>
      </c>
      <c r="X470" s="749">
        <f>$E$21*$J$8*'Traffic Data'!AZ58*annualizationFactor</f>
        <v>1.2997502861199997</v>
      </c>
      <c r="Y470" s="749">
        <f>$E$21*$J$8*'Traffic Data'!BA58*annualizationFactor</f>
        <v>1.3334343052799997</v>
      </c>
      <c r="Z470" s="749">
        <f>$E$21*$J$8*'Traffic Data'!BB58*annualizationFactor</f>
        <v>1.3671548448799999</v>
      </c>
      <c r="AA470" s="749">
        <f>$E$21*$J$8*'Traffic Data'!BC58*annualizationFactor</f>
        <v>1.4008388640399996</v>
      </c>
      <c r="AB470" s="749">
        <f>$E$21*$J$8*'Traffic Data'!BD58*annualizationFactor</f>
        <v>1.4346050541899997</v>
      </c>
      <c r="AC470" s="749">
        <f>$E$21*$J$8*'Traffic Data'!BE58*annualizationFactor</f>
        <v>1.4682890733499998</v>
      </c>
      <c r="AD470" s="749">
        <f>$E$21*$J$8*'Traffic Data'!BF58*annualizationFactor</f>
        <v>1.5019730925099999</v>
      </c>
      <c r="AE470" s="749">
        <f>$E$21*$J$8*'Traffic Data'!BG58*annualizationFactor</f>
        <v>1.5356936321099997</v>
      </c>
      <c r="AF470" s="749">
        <f>$E$21*$J$8*'Traffic Data'!BH58*annualizationFactor</f>
        <v>1.5693776512700002</v>
      </c>
      <c r="AG470" s="749">
        <f>$E$21*$J$8*'Traffic Data'!BI58*annualizationFactor</f>
        <v>1.6030616704299998</v>
      </c>
      <c r="AH470" s="750">
        <f>$E$21*$J$8*'Traffic Data'!BJ58*annualizationFactor</f>
        <v>1.6368278605799997</v>
      </c>
      <c r="AI470" s="24"/>
      <c r="AJ470" s="24"/>
      <c r="AK470" s="24"/>
      <c r="AL470" s="24"/>
      <c r="AM470" s="24"/>
    </row>
    <row r="471" spans="2:39" ht="21.9" customHeight="1" x14ac:dyDescent="0.25">
      <c r="B471" s="756" t="s">
        <v>321</v>
      </c>
      <c r="C471" s="273" t="s">
        <v>318</v>
      </c>
      <c r="D471" s="273" t="s">
        <v>308</v>
      </c>
      <c r="E471" s="273" t="s">
        <v>19</v>
      </c>
      <c r="F471" s="273" t="s">
        <v>43</v>
      </c>
      <c r="G471" s="754"/>
      <c r="H471" s="754"/>
      <c r="I471" s="749">
        <f>$E$21*$K$8*'Traffic Data'!AK59*annualizationFactor</f>
        <v>0</v>
      </c>
      <c r="J471" s="749">
        <f>$E$21*$K$8*'Traffic Data'!AL59*annualizationFactor</f>
        <v>0.91875517827279995</v>
      </c>
      <c r="K471" s="749">
        <f>$E$21*$K$8*'Traffic Data'!AM59*annualizationFactor</f>
        <v>0.98918563808900017</v>
      </c>
      <c r="L471" s="749">
        <f>$E$21*$K$8*'Traffic Data'!AN59*annualizationFactor</f>
        <v>1.0827835694279999</v>
      </c>
      <c r="M471" s="749">
        <f>$E$21*$K$8*'Traffic Data'!AO59*annualizationFactor</f>
        <v>1.1764103519145999</v>
      </c>
      <c r="N471" s="749">
        <f>$E$21*$K$8*'Traffic Data'!AP59*annualizationFactor</f>
        <v>1.2702390924344003</v>
      </c>
      <c r="O471" s="749">
        <f>$E$21*$K$8*'Traffic Data'!AQ59*annualizationFactor</f>
        <v>1.3638370237733997</v>
      </c>
      <c r="P471" s="749">
        <f>$E$21*$K$8*'Traffic Data'!AR59*annualizationFactor</f>
        <v>1.4575359341289997</v>
      </c>
      <c r="Q471" s="749">
        <f>$E$21*$K$8*'Traffic Data'!AS59*annualizationFactor</f>
        <v>1.5429737992218</v>
      </c>
      <c r="R471" s="749">
        <f>$E$21*$K$8*'Traffic Data'!AT59*annualizationFactor</f>
        <v>1.6283395364455999</v>
      </c>
      <c r="S471" s="749">
        <f>$E$21*$K$8*'Traffic Data'!AU59*annualizationFactor</f>
        <v>1.7137822100629996</v>
      </c>
      <c r="T471" s="749">
        <f>$E$21*$K$8*'Traffic Data'!AV59*annualizationFactor</f>
        <v>1.7992200751557998</v>
      </c>
      <c r="U471" s="749">
        <f>$E$21*$K$8*'Traffic Data'!AW59*annualizationFactor</f>
        <v>1.8849608772983999</v>
      </c>
      <c r="V471" s="749">
        <f>$E$21*$K$8*'Traffic Data'!AX59*annualizationFactor</f>
        <v>1.9471639515240002</v>
      </c>
      <c r="W471" s="749">
        <f>$E$21*$K$8*'Traffic Data'!AY59*annualizationFactor</f>
        <v>2.0003847017968002</v>
      </c>
      <c r="X471" s="749">
        <f>$E$21*$K$8*'Traffic Data'!AZ59*annualizationFactor</f>
        <v>2.0536054520695997</v>
      </c>
      <c r="Y471" s="749">
        <f>$E$21*$K$8*'Traffic Data'!BA59*annualizationFactor</f>
        <v>2.1068262023423996</v>
      </c>
      <c r="Z471" s="749">
        <f>$E$21*$K$8*'Traffic Data'!BB59*annualizationFactor</f>
        <v>2.1601046549103997</v>
      </c>
      <c r="AA471" s="749">
        <f>$E$21*$K$8*'Traffic Data'!BC59*annualizationFactor</f>
        <v>2.2133254051831996</v>
      </c>
      <c r="AB471" s="749">
        <f>$E$21*$K$8*'Traffic Data'!BD59*annualizationFactor</f>
        <v>2.2666759856201999</v>
      </c>
      <c r="AC471" s="749">
        <f>$E$21*$K$8*'Traffic Data'!BE59*annualizationFactor</f>
        <v>2.3198967358929994</v>
      </c>
      <c r="AD471" s="749">
        <f>$E$21*$K$8*'Traffic Data'!BF59*annualizationFactor</f>
        <v>2.3731174861657998</v>
      </c>
      <c r="AE471" s="749">
        <f>$E$21*$K$8*'Traffic Data'!BG59*annualizationFactor</f>
        <v>2.4263959387337994</v>
      </c>
      <c r="AF471" s="749">
        <f>$E$21*$K$8*'Traffic Data'!BH59*annualizationFactor</f>
        <v>2.4796166890066003</v>
      </c>
      <c r="AG471" s="749">
        <f>$E$21*$K$8*'Traffic Data'!BI59*annualizationFactor</f>
        <v>2.5328374392793993</v>
      </c>
      <c r="AH471" s="750">
        <f>$E$21*$K$8*'Traffic Data'!BJ59*annualizationFactor</f>
        <v>2.5861880197163996</v>
      </c>
      <c r="AI471" s="24"/>
      <c r="AJ471" s="24"/>
      <c r="AK471" s="24"/>
      <c r="AL471" s="24"/>
      <c r="AM471" s="24"/>
    </row>
    <row r="472" spans="2:39" ht="21.9" customHeight="1" x14ac:dyDescent="0.25">
      <c r="B472" s="756" t="s">
        <v>333</v>
      </c>
      <c r="C472" s="273" t="s">
        <v>319</v>
      </c>
      <c r="D472" s="273" t="s">
        <v>308</v>
      </c>
      <c r="E472" s="114" t="s">
        <v>19</v>
      </c>
      <c r="F472" s="114" t="s">
        <v>43</v>
      </c>
      <c r="G472" s="941"/>
      <c r="H472" s="941"/>
      <c r="I472" s="749">
        <f>$E$21*$L$8*'Traffic Data'!AK60*annualizationFactor</f>
        <v>1.0159322399999999</v>
      </c>
      <c r="J472" s="749">
        <f>$E$21*$L$8*'Traffic Data'!AL60*annualizationFactor</f>
        <v>1.0298815540619999</v>
      </c>
      <c r="K472" s="749">
        <f>$E$21*$L$8*'Traffic Data'!AM60*annualizationFactor</f>
        <v>1.0539930125579999</v>
      </c>
      <c r="L472" s="749">
        <f>$E$21*$L$8*'Traffic Data'!AN60*annualizationFactor</f>
        <v>1.0870954713780001</v>
      </c>
      <c r="M472" s="749">
        <f>$E$21*$L$8*'Traffic Data'!AO60*annualizationFactor</f>
        <v>1.120212040368</v>
      </c>
      <c r="N472" s="749">
        <f>$E$21*$L$8*'Traffic Data'!AP60*annualizationFactor</f>
        <v>1.1533765839359997</v>
      </c>
      <c r="O472" s="749">
        <f>$E$21*$L$8*'Traffic Data'!AQ60*annualizationFactor</f>
        <v>1.1864790427559999</v>
      </c>
      <c r="P472" s="749">
        <f>$E$21*$L$8*'Traffic Data'!AR60*annualizationFactor</f>
        <v>1.2196972049699999</v>
      </c>
      <c r="Q472" s="749">
        <f>$E$21*$L$8*'Traffic Data'!AS60*annualizationFactor</f>
        <v>1.242733468512</v>
      </c>
      <c r="R472" s="749">
        <f>$E$21*$L$8*'Traffic Data'!AT60*annualizationFactor</f>
        <v>1.2657725540879998</v>
      </c>
      <c r="S472" s="749">
        <f>$E$21*$L$8*'Traffic Data'!AU60*annualizationFactor</f>
        <v>1.288814461698</v>
      </c>
      <c r="T472" s="749">
        <f>$E$21*$L$8*'Traffic Data'!AV60*annualizationFactor</f>
        <v>1.3118507252400002</v>
      </c>
      <c r="U472" s="749">
        <f>$E$21*$L$8*'Traffic Data'!AW60*annualizationFactor</f>
        <v>1.3350506667539999</v>
      </c>
      <c r="V472" s="749">
        <f>$E$21*$L$8*'Traffic Data'!AX60*annualizationFactor</f>
        <v>1.3489999808159998</v>
      </c>
      <c r="W472" s="749">
        <f>$E$21*$L$8*'Traffic Data'!AY60*annualizationFactor</f>
        <v>1.3629492948779995</v>
      </c>
      <c r="X472" s="749">
        <f>$E$21*$L$8*'Traffic Data'!AZ60*annualizationFactor</f>
        <v>1.3768986089400002</v>
      </c>
      <c r="Y472" s="749">
        <f>$E$21*$L$8*'Traffic Data'!BA60*annualizationFactor</f>
        <v>1.3908479230019997</v>
      </c>
      <c r="Z472" s="749">
        <f>$E$21*$L$8*'Traffic Data'!BB60*annualizationFactor</f>
        <v>1.40489318622</v>
      </c>
      <c r="AA472" s="749">
        <f>$E$21*$L$8*'Traffic Data'!BC60*annualizationFactor</f>
        <v>1.418842500282</v>
      </c>
      <c r="AB472" s="749">
        <f>$E$21*$L$8*'Traffic Data'!BD60*annualizationFactor</f>
        <v>1.4328454329900002</v>
      </c>
      <c r="AC472" s="749">
        <f>$E$21*$L$8*'Traffic Data'!BE60*annualizationFactor</f>
        <v>1.4467947470519997</v>
      </c>
      <c r="AD472" s="749">
        <f>$E$21*$L$8*'Traffic Data'!BF60*annualizationFactor</f>
        <v>1.4607440611140001</v>
      </c>
      <c r="AE472" s="749">
        <f>$E$21*$L$8*'Traffic Data'!BG60*annualizationFactor</f>
        <v>1.4747893243319998</v>
      </c>
      <c r="AF472" s="749">
        <f>$E$21*$L$8*'Traffic Data'!BH60*annualizationFactor</f>
        <v>1.488738638394</v>
      </c>
      <c r="AG472" s="749">
        <f>$E$21*$L$8*'Traffic Data'!BI60*annualizationFactor</f>
        <v>1.502687952456</v>
      </c>
      <c r="AH472" s="750">
        <f>$E$21*$L$8*'Traffic Data'!BJ60*annualizationFactor</f>
        <v>1.516690885164</v>
      </c>
      <c r="AI472" s="24"/>
      <c r="AJ472" s="24"/>
      <c r="AK472" s="24"/>
      <c r="AL472" s="24"/>
      <c r="AM472" s="24"/>
    </row>
    <row r="473" spans="2:39" ht="21.9" customHeight="1" x14ac:dyDescent="0.25">
      <c r="B473" s="469" t="s">
        <v>319</v>
      </c>
      <c r="C473" s="114" t="s">
        <v>276</v>
      </c>
      <c r="D473" s="114" t="s">
        <v>333</v>
      </c>
      <c r="E473" s="217" t="s">
        <v>19</v>
      </c>
      <c r="F473" s="217" t="s">
        <v>43</v>
      </c>
      <c r="G473" s="749"/>
      <c r="H473" s="749"/>
      <c r="I473" s="749">
        <f>$E$21*$M$8*'Traffic Data'!AK61*annualizationFactor</f>
        <v>3.6485856249999999</v>
      </c>
      <c r="J473" s="749">
        <f>$E$21*$M$8*'Traffic Data'!AL61*annualizationFactor</f>
        <v>3.7537634028118756</v>
      </c>
      <c r="K473" s="749">
        <f>$E$21*$M$8*'Traffic Data'!AM61*annualizationFactor</f>
        <v>3.8676065714831251</v>
      </c>
      <c r="L473" s="749">
        <f>$E$21*$M$8*'Traffic Data'!AN61*annualizationFactor</f>
        <v>4.0186397734300003</v>
      </c>
      <c r="M473" s="749">
        <f>$E$21*$M$8*'Traffic Data'!AO61*annualizationFactor</f>
        <v>4.1696985154762496</v>
      </c>
      <c r="N473" s="749">
        <f>$E$21*$M$8*'Traffic Data'!AP61*annualizationFactor</f>
        <v>4.3208192834781247</v>
      </c>
      <c r="O473" s="749">
        <f>$E$21*$M$8*'Traffic Data'!AQ61*annualizationFactor</f>
        <v>4.4718524854250008</v>
      </c>
      <c r="P473" s="749">
        <f>$E$21*$M$8*'Traffic Data'!AR61*annualizationFactor</f>
        <v>4.6229258218137508</v>
      </c>
      <c r="Q473" s="749">
        <f>$E$21*$M$8*'Traffic Data'!AS61*annualizationFactor</f>
        <v>4.7891626800600005</v>
      </c>
      <c r="R473" s="749">
        <f>$E$21*$M$8*'Traffic Data'!AT61*annualizationFactor</f>
        <v>4.9553448095218746</v>
      </c>
      <c r="S473" s="749">
        <f>$E$21*$M$8*'Traffic Data'!AU61*annualizationFactor</f>
        <v>5.1215816677681252</v>
      </c>
      <c r="T473" s="749">
        <f>$E$21*$M$8*'Traffic Data'!AV61*annualizationFactor</f>
        <v>5.2878185260143749</v>
      </c>
      <c r="U473" s="749">
        <f>$E$21*$M$8*'Traffic Data'!AW61*annualizationFactor</f>
        <v>5.4541502474868757</v>
      </c>
      <c r="V473" s="749">
        <f>$E$21*$M$8*'Traffic Data'!AX61*annualizationFactor</f>
        <v>5.5831824781149999</v>
      </c>
      <c r="W473" s="749">
        <f>$E$21*$M$8*'Traffic Data'!AY61*annualizationFactor</f>
        <v>5.6883602559268747</v>
      </c>
      <c r="X473" s="749">
        <f>$E$21*$M$8*'Traffic Data'!AZ61*annualizationFactor</f>
        <v>5.7935380337387503</v>
      </c>
      <c r="Y473" s="749">
        <f>$E$21*$M$8*'Traffic Data'!BA61*annualizationFactor</f>
        <v>5.898715811550626</v>
      </c>
      <c r="Z473" s="749">
        <f>$E$21*$M$8*'Traffic Data'!BB61*annualizationFactor</f>
        <v>6.0038826436056256</v>
      </c>
      <c r="AA473" s="749">
        <f>$E$21*$M$8*'Traffic Data'!BC61*annualizationFactor</f>
        <v>6.1090604214174986</v>
      </c>
      <c r="AB473" s="749">
        <f>$E$21*$M$8*'Traffic Data'!BD61*annualizationFactor</f>
        <v>6.2142272534724974</v>
      </c>
      <c r="AC473" s="749">
        <f>$E$21*$M$8*'Traffic Data'!BE61*annualizationFactor</f>
        <v>6.3194050312843757</v>
      </c>
      <c r="AD473" s="749">
        <f>$E$21*$M$8*'Traffic Data'!BF61*annualizationFactor</f>
        <v>6.4245828090962513</v>
      </c>
      <c r="AE473" s="749">
        <f>$E$21*$M$8*'Traffic Data'!BG61*annualizationFactor</f>
        <v>6.529749641151251</v>
      </c>
      <c r="AF473" s="749">
        <f>$E$21*$M$8*'Traffic Data'!BH61*annualizationFactor</f>
        <v>6.6349274189631249</v>
      </c>
      <c r="AG473" s="749">
        <f>$E$21*$M$8*'Traffic Data'!BI61*annualizationFactor</f>
        <v>6.7401051967749996</v>
      </c>
      <c r="AH473" s="750">
        <f>$E$21*$M$8*'Traffic Data'!BJ61*annualizationFactor</f>
        <v>6.8452720288300011</v>
      </c>
      <c r="AI473" s="24"/>
      <c r="AJ473" s="24"/>
      <c r="AK473" s="24"/>
      <c r="AL473" s="24"/>
      <c r="AM473" s="24"/>
    </row>
    <row r="474" spans="2:39" ht="21.9" customHeight="1" x14ac:dyDescent="0.25">
      <c r="B474" s="469"/>
      <c r="C474" s="114" t="s">
        <v>333</v>
      </c>
      <c r="D474" s="114" t="s">
        <v>323</v>
      </c>
      <c r="E474" s="114" t="s">
        <v>19</v>
      </c>
      <c r="F474" s="114" t="s">
        <v>43</v>
      </c>
      <c r="G474" s="941"/>
      <c r="H474" s="941"/>
      <c r="I474" s="751">
        <f>$E$21*$M$8*'Traffic Data'!AK62*annualizationFactor</f>
        <v>0.5313677908333333</v>
      </c>
      <c r="J474" s="751">
        <f>$E$21*$M$8*'Traffic Data'!AL62*annualizationFactor</f>
        <v>0.5464488477389583</v>
      </c>
      <c r="K474" s="751">
        <f>$E$21*$M$8*'Traffic Data'!AM62*annualizationFactor</f>
        <v>0.56318483564577082</v>
      </c>
      <c r="L474" s="751">
        <f>$E$21*$M$8*'Traffic Data'!AN62*annualizationFactor</f>
        <v>0.58667548700947902</v>
      </c>
      <c r="M474" s="751">
        <f>$E$21*$M$8*'Traffic Data'!AO62*annualizationFactor</f>
        <v>0.6101703333820625</v>
      </c>
      <c r="N474" s="751">
        <f>$E$21*$M$8*'Traffic Data'!AP62*annualizationFactor</f>
        <v>0.63367007393166652</v>
      </c>
      <c r="O474" s="751">
        <f>$E$21*$M$8*'Traffic Data'!AQ62*annualizationFactor</f>
        <v>0.65716072529537495</v>
      </c>
      <c r="P474" s="751">
        <f>$E$21*$M$8*'Traffic Data'!AR62*annualizationFactor</f>
        <v>0.68065277499537491</v>
      </c>
      <c r="Q474" s="751">
        <f>$E$21*$M$8*'Traffic Data'!AS62*annualizationFactor</f>
        <v>0.70705686002277091</v>
      </c>
      <c r="R474" s="751">
        <f>$E$21*$M$8*'Traffic Data'!AT62*annualizationFactor</f>
        <v>0.73345185586427075</v>
      </c>
      <c r="S474" s="751">
        <f>$E$21*$M$8*'Traffic Data'!AU62*annualizationFactor</f>
        <v>0.75985594089166641</v>
      </c>
      <c r="T474" s="751">
        <f>$E$21*$M$8*'Traffic Data'!AV62*annualizationFactor</f>
        <v>0.7862600259190623</v>
      </c>
      <c r="U474" s="751">
        <f>$E$21*$M$8*'Traffic Data'!AW62*annualizationFactor</f>
        <v>0.81266830595533335</v>
      </c>
      <c r="V474" s="751">
        <f>$E$21*$M$8*'Traffic Data'!AX62*annualizationFactor</f>
        <v>0.83232052419841651</v>
      </c>
      <c r="W474" s="751">
        <f>$E$21*$M$8*'Traffic Data'!AY62*annualizationFactor</f>
        <v>0.84740158110404162</v>
      </c>
      <c r="X474" s="751">
        <f>$E$21*$M$8*'Traffic Data'!AZ62*annualizationFactor</f>
        <v>0.86248263800966674</v>
      </c>
      <c r="Y474" s="751">
        <f>$E$21*$M$8*'Traffic Data'!BA62*annualizationFactor</f>
        <v>0.87756369491529151</v>
      </c>
      <c r="Z474" s="751">
        <f>$E$21*$M$8*'Traffic Data'!BB62*annualizationFactor</f>
        <v>0.89263706097131224</v>
      </c>
      <c r="AA474" s="751">
        <f>$E$21*$M$8*'Traffic Data'!BC62*annualizationFactor</f>
        <v>0.90771811787693735</v>
      </c>
      <c r="AB474" s="751">
        <f>$E$21*$M$8*'Traffic Data'!BD62*annualizationFactor</f>
        <v>0.92279148393295829</v>
      </c>
      <c r="AC474" s="751">
        <f>$E$21*$M$8*'Traffic Data'!BE62*annualizationFactor</f>
        <v>0.93787254083858318</v>
      </c>
      <c r="AD474" s="751">
        <f>$E$21*$M$8*'Traffic Data'!BF62*annualizationFactor</f>
        <v>0.95295359774420829</v>
      </c>
      <c r="AE474" s="751">
        <f>$E$21*$M$8*'Traffic Data'!BG62*annualizationFactor</f>
        <v>0.96802696380022901</v>
      </c>
      <c r="AF474" s="751">
        <f>$E$21*$M$8*'Traffic Data'!BH62*annualizationFactor</f>
        <v>0.98310802070585412</v>
      </c>
      <c r="AG474" s="751">
        <f>$E$21*$M$8*'Traffic Data'!BI62*annualizationFactor</f>
        <v>0.9981890776114789</v>
      </c>
      <c r="AH474" s="752">
        <f>$E$21*$M$8*'Traffic Data'!BJ62*annualizationFactor</f>
        <v>1.0132624436674997</v>
      </c>
      <c r="AI474" s="24"/>
      <c r="AJ474" s="24"/>
      <c r="AK474" s="24"/>
      <c r="AL474" s="24"/>
      <c r="AM474" s="24"/>
    </row>
    <row r="475" spans="2:39" ht="21.9" customHeight="1" x14ac:dyDescent="0.25">
      <c r="B475" s="469"/>
      <c r="C475" s="114" t="s">
        <v>323</v>
      </c>
      <c r="D475" s="114" t="s">
        <v>322</v>
      </c>
      <c r="E475" s="114" t="s">
        <v>19</v>
      </c>
      <c r="F475" s="114" t="s">
        <v>43</v>
      </c>
      <c r="G475" s="941"/>
      <c r="H475" s="941"/>
      <c r="I475" s="751">
        <f>$E$21*$M$8*'Traffic Data'!AK63*annualizationFactor</f>
        <v>0.13141824999999999</v>
      </c>
      <c r="J475" s="751">
        <f>$E$21*$M$8*'Traffic Data'!AL63*annualizationFactor</f>
        <v>0.1351481074375</v>
      </c>
      <c r="K475" s="751">
        <f>$E$21*$M$8*'Traffic Data'!AM63*annualizationFactor</f>
        <v>0.13928726355624999</v>
      </c>
      <c r="L475" s="751">
        <f>$E$21*$M$8*'Traffic Data'!AN63*annualizationFactor</f>
        <v>0.14509698771874999</v>
      </c>
      <c r="M475" s="751">
        <f>$E$21*$M$8*'Traffic Data'!AO63*annualizationFactor</f>
        <v>0.15090774939374998</v>
      </c>
      <c r="N475" s="751">
        <f>$E$21*$M$8*'Traffic Data'!AP63*annualizationFactor</f>
        <v>0.15671972149999996</v>
      </c>
      <c r="O475" s="751">
        <f>$E$21*$M$8*'Traffic Data'!AQ63*annualizationFactor</f>
        <v>0.16252944566249999</v>
      </c>
      <c r="P475" s="751">
        <f>$E$21*$M$8*'Traffic Data'!AR63*annualizationFactor</f>
        <v>0.16833951566250002</v>
      </c>
      <c r="Q475" s="751">
        <f>$E$21*$M$8*'Traffic Data'!AS63*annualizationFactor</f>
        <v>0.17486979225625002</v>
      </c>
      <c r="R475" s="751">
        <f>$E$21*$M$8*'Traffic Data'!AT63*annualizationFactor</f>
        <v>0.18139782090624998</v>
      </c>
      <c r="S475" s="751">
        <f>$E$21*$M$8*'Traffic Data'!AU63*annualizationFactor</f>
        <v>0.18792809749999997</v>
      </c>
      <c r="T475" s="751">
        <f>$E$21*$M$8*'Traffic Data'!AV63*annualizationFactor</f>
        <v>0.19445837409374997</v>
      </c>
      <c r="U475" s="751">
        <f>$E$21*$M$8*'Traffic Data'!AW63*annualizationFactor</f>
        <v>0.20098968819999999</v>
      </c>
      <c r="V475" s="751">
        <f>$E$21*$M$8*'Traffic Data'!AX63*annualizationFactor</f>
        <v>0.20585008842499997</v>
      </c>
      <c r="W475" s="751">
        <f>$E$21*$M$8*'Traffic Data'!AY63*annualizationFactor</f>
        <v>0.20957994586249998</v>
      </c>
      <c r="X475" s="751">
        <f>$E$21*$M$8*'Traffic Data'!AZ63*annualizationFactor</f>
        <v>0.21330980329999999</v>
      </c>
      <c r="Y475" s="751">
        <f>$E$21*$M$8*'Traffic Data'!BA63*annualizationFactor</f>
        <v>0.21703966073749995</v>
      </c>
      <c r="Z475" s="751">
        <f>$E$21*$M$8*'Traffic Data'!BB63*annualizationFactor</f>
        <v>0.22076761606874995</v>
      </c>
      <c r="AA475" s="751">
        <f>$E$21*$M$8*'Traffic Data'!BC63*annualizationFactor</f>
        <v>0.22449747350624996</v>
      </c>
      <c r="AB475" s="751">
        <f>$E$21*$M$8*'Traffic Data'!BD63*annualizationFactor</f>
        <v>0.22822542883749999</v>
      </c>
      <c r="AC475" s="751">
        <f>$E$21*$M$8*'Traffic Data'!BE63*annualizationFactor</f>
        <v>0.23195528627499998</v>
      </c>
      <c r="AD475" s="751">
        <f>$E$21*$M$8*'Traffic Data'!BF63*annualizationFactor</f>
        <v>0.23568514371249996</v>
      </c>
      <c r="AE475" s="751">
        <f>$E$21*$M$8*'Traffic Data'!BG63*annualizationFactor</f>
        <v>0.23941309904374994</v>
      </c>
      <c r="AF475" s="751">
        <f>$E$21*$M$8*'Traffic Data'!BH63*annualizationFactor</f>
        <v>0.24314295648124998</v>
      </c>
      <c r="AG475" s="751">
        <f>$E$21*$M$8*'Traffic Data'!BI63*annualizationFactor</f>
        <v>0.24687281391874993</v>
      </c>
      <c r="AH475" s="752">
        <f>$E$21*$M$8*'Traffic Data'!BJ63*annualizationFactor</f>
        <v>0.25060076924999991</v>
      </c>
      <c r="AI475" s="24"/>
      <c r="AJ475" s="24"/>
      <c r="AK475" s="24"/>
      <c r="AL475" s="24"/>
      <c r="AM475" s="24"/>
    </row>
    <row r="476" spans="2:39" ht="21.9" customHeight="1" x14ac:dyDescent="0.25">
      <c r="B476" s="469"/>
      <c r="C476" s="114" t="s">
        <v>322</v>
      </c>
      <c r="D476" s="114" t="s">
        <v>326</v>
      </c>
      <c r="E476" s="114" t="s">
        <v>19</v>
      </c>
      <c r="F476" s="114" t="s">
        <v>43</v>
      </c>
      <c r="G476" s="941"/>
      <c r="H476" s="941"/>
      <c r="I476" s="751">
        <f>$E$21*$M$8*'Traffic Data'!AK64*annualizationFactor</f>
        <v>0.33719156250000004</v>
      </c>
      <c r="J476" s="751">
        <f>$E$21*$M$8*'Traffic Data'!AL64*annualizationFactor</f>
        <v>0.34675319124062498</v>
      </c>
      <c r="K476" s="751">
        <f>$E$21*$M$8*'Traffic Data'!AM64*annualizationFactor</f>
        <v>0.35764841261093744</v>
      </c>
      <c r="L476" s="751">
        <f>$E$21*$M$8*'Traffic Data'!AN64*annualizationFactor</f>
        <v>0.37156992825468749</v>
      </c>
      <c r="M476" s="751">
        <f>$E$21*$M$8*'Traffic Data'!AO64*annualizationFactor</f>
        <v>0.38549593978593749</v>
      </c>
      <c r="N476" s="751">
        <f>$E$21*$M$8*'Traffic Data'!AP64*annualizationFactor</f>
        <v>0.39941970337343757</v>
      </c>
      <c r="O476" s="751">
        <f>$E$21*$M$8*'Traffic Data'!AQ64*annualizationFactor</f>
        <v>0.41334121901718757</v>
      </c>
      <c r="P476" s="751">
        <f>$E$21*$M$8*'Traffic Data'!AR64*annualizationFactor</f>
        <v>0.42726554459062505</v>
      </c>
      <c r="Q476" s="751">
        <f>$E$21*$M$8*'Traffic Data'!AS64*annualizationFactor</f>
        <v>0.443003398784375</v>
      </c>
      <c r="R476" s="751">
        <f>$E$21*$M$8*'Traffic Data'!AT64*annualizationFactor</f>
        <v>0.45874069099218745</v>
      </c>
      <c r="S476" s="751">
        <f>$E$21*$M$8*'Traffic Data'!AU64*annualizationFactor</f>
        <v>0.47447629724218748</v>
      </c>
      <c r="T476" s="751">
        <f>$E$21*$M$8*'Traffic Data'!AV64*annualizationFactor</f>
        <v>0.4902141514359375</v>
      </c>
      <c r="U476" s="751">
        <f>$E$21*$M$8*'Traffic Data'!AW64*annualizationFactor</f>
        <v>0.50595481555937494</v>
      </c>
      <c r="V476" s="751">
        <f>$E$21*$M$8*'Traffic Data'!AX64*annualizationFactor</f>
        <v>0.51866581349375007</v>
      </c>
      <c r="W476" s="751">
        <f>$E$21*$M$8*'Traffic Data'!AY64*annualizationFactor</f>
        <v>0.52822744223437512</v>
      </c>
      <c r="X476" s="751">
        <f>$E$21*$M$8*'Traffic Data'!AZ64*annualizationFactor</f>
        <v>0.53778907097500017</v>
      </c>
      <c r="Y476" s="751">
        <f>$E$21*$M$8*'Traffic Data'!BA64*annualizationFactor</f>
        <v>0.54735069971562511</v>
      </c>
      <c r="Z476" s="751">
        <f>$E$21*$M$8*'Traffic Data'!BB64*annualizationFactor</f>
        <v>0.55690951852656256</v>
      </c>
      <c r="AA476" s="751">
        <f>$E$21*$M$8*'Traffic Data'!BC64*annualizationFactor</f>
        <v>0.56647114726718739</v>
      </c>
      <c r="AB476" s="751">
        <f>$E$21*$M$8*'Traffic Data'!BD64*annualizationFactor</f>
        <v>0.57602996607812484</v>
      </c>
      <c r="AC476" s="751">
        <f>$E$21*$M$8*'Traffic Data'!BE64*annualizationFactor</f>
        <v>0.58559159481874989</v>
      </c>
      <c r="AD476" s="751">
        <f>$E$21*$M$8*'Traffic Data'!BF64*annualizationFactor</f>
        <v>0.59515322355937483</v>
      </c>
      <c r="AE476" s="751">
        <f>$E$21*$M$8*'Traffic Data'!BG64*annualizationFactor</f>
        <v>0.60471204237031229</v>
      </c>
      <c r="AF476" s="751">
        <f>$E$21*$M$8*'Traffic Data'!BH64*annualizationFactor</f>
        <v>0.61427367111093745</v>
      </c>
      <c r="AG476" s="751">
        <f>$E$21*$M$8*'Traffic Data'!BI64*annualizationFactor</f>
        <v>0.62383529985156227</v>
      </c>
      <c r="AH476" s="752">
        <f>$E$21*$M$8*'Traffic Data'!BJ64*annualizationFactor</f>
        <v>0.63339411866249973</v>
      </c>
      <c r="AI476" s="24"/>
      <c r="AJ476" s="24"/>
      <c r="AK476" s="24"/>
      <c r="AL476" s="24"/>
      <c r="AM476" s="24"/>
    </row>
    <row r="477" spans="2:39" ht="21.9" customHeight="1" x14ac:dyDescent="0.25">
      <c r="B477" s="469"/>
      <c r="C477" s="114" t="s">
        <v>326</v>
      </c>
      <c r="D477" s="114" t="s">
        <v>274</v>
      </c>
      <c r="E477" s="114" t="s">
        <v>19</v>
      </c>
      <c r="F477" s="114" t="s">
        <v>43</v>
      </c>
      <c r="G477" s="941"/>
      <c r="H477" s="941"/>
      <c r="I477" s="751">
        <f>$E$21*$M$8*'Traffic Data'!AK65*annualizationFactor</f>
        <v>2.7995545624999996</v>
      </c>
      <c r="J477" s="751">
        <f>$E$21*$M$8*'Traffic Data'!AL65*annualizationFactor</f>
        <v>2.8789405980439589</v>
      </c>
      <c r="K477" s="751">
        <f>$E$21*$M$8*'Traffic Data'!AM65*annualizationFactor</f>
        <v>2.9693988718826039</v>
      </c>
      <c r="L477" s="751">
        <f>$E$21*$M$8*'Traffic Data'!AN65*annualizationFactor</f>
        <v>3.0849831479196879</v>
      </c>
      <c r="M477" s="751">
        <f>$E$21*$M$8*'Traffic Data'!AO65*annualizationFactor</f>
        <v>3.2006047513509377</v>
      </c>
      <c r="N477" s="751">
        <f>$E$21*$M$8*'Traffic Data'!AP65*annualizationFactor</f>
        <v>3.3162076910851059</v>
      </c>
      <c r="O477" s="751">
        <f>$E$21*$M$8*'Traffic Data'!AQ65*annualizationFactor</f>
        <v>3.4317919671221877</v>
      </c>
      <c r="P477" s="751">
        <f>$E$21*$M$8*'Traffic Data'!AR65*annualizationFactor</f>
        <v>3.5473995727806256</v>
      </c>
      <c r="Q477" s="751">
        <f>$E$21*$M$8*'Traffic Data'!AS65*annualizationFactor</f>
        <v>3.6780641160610417</v>
      </c>
      <c r="R477" s="751">
        <f>$E$21*$M$8*'Traffic Data'!AT65*annualizationFactor</f>
        <v>3.8087239934171877</v>
      </c>
      <c r="S477" s="751">
        <f>$E$21*$M$8*'Traffic Data'!AU65*annualizationFactor</f>
        <v>3.9393698730005209</v>
      </c>
      <c r="T477" s="751">
        <f>$E$21*$M$8*'Traffic Data'!AV65*annualizationFactor</f>
        <v>4.0700344162809383</v>
      </c>
      <c r="U477" s="751">
        <f>$E$21*$M$8*'Traffic Data'!AW65*annualizationFactor</f>
        <v>4.2007222891827078</v>
      </c>
      <c r="V477" s="751">
        <f>$E$21*$M$8*'Traffic Data'!AX65*annualizationFactor</f>
        <v>4.3062561643404171</v>
      </c>
      <c r="W477" s="751">
        <f>$E$21*$M$8*'Traffic Data'!AY65*annualizationFactor</f>
        <v>4.3856421998843755</v>
      </c>
      <c r="X477" s="751">
        <f>$E$21*$M$8*'Traffic Data'!AZ65*annualizationFactor</f>
        <v>4.4650282354283339</v>
      </c>
      <c r="Y477" s="751">
        <f>$E$21*$M$8*'Traffic Data'!BA65*annualizationFactor</f>
        <v>4.5444142709722923</v>
      </c>
      <c r="Z477" s="751">
        <f>$E$21*$M$8*'Traffic Data'!BB65*annualizationFactor</f>
        <v>4.6237769768948969</v>
      </c>
      <c r="AA477" s="751">
        <f>$E$21*$M$8*'Traffic Data'!BC65*annualizationFactor</f>
        <v>4.7031630124388526</v>
      </c>
      <c r="AB477" s="751">
        <f>$E$21*$M$8*'Traffic Data'!BD65*annualizationFactor</f>
        <v>4.7825257183614571</v>
      </c>
      <c r="AC477" s="751">
        <f>$E$21*$M$8*'Traffic Data'!BE65*annualizationFactor</f>
        <v>4.8619117539054155</v>
      </c>
      <c r="AD477" s="751">
        <f>$E$21*$M$8*'Traffic Data'!BF65*annualizationFactor</f>
        <v>4.9412977894493739</v>
      </c>
      <c r="AE477" s="751">
        <f>$E$21*$M$8*'Traffic Data'!BG65*annualizationFactor</f>
        <v>5.0206604953719776</v>
      </c>
      <c r="AF477" s="751">
        <f>$E$21*$M$8*'Traffic Data'!BH65*annualizationFactor</f>
        <v>5.1000465309159368</v>
      </c>
      <c r="AG477" s="751">
        <f>$E$21*$M$8*'Traffic Data'!BI65*annualizationFactor</f>
        <v>5.1794325664598944</v>
      </c>
      <c r="AH477" s="752">
        <f>$E$21*$M$8*'Traffic Data'!BJ65*annualizationFactor</f>
        <v>5.2587952723824989</v>
      </c>
      <c r="AI477" s="24"/>
      <c r="AJ477" s="24"/>
      <c r="AK477" s="24"/>
      <c r="AL477" s="24"/>
      <c r="AM477" s="24"/>
    </row>
    <row r="478" spans="2:39" ht="21.9" customHeight="1" x14ac:dyDescent="0.25">
      <c r="B478" s="470"/>
      <c r="C478" s="250" t="s">
        <v>274</v>
      </c>
      <c r="D478" s="250" t="s">
        <v>317</v>
      </c>
      <c r="E478" s="250" t="s">
        <v>19</v>
      </c>
      <c r="F478" s="250" t="s">
        <v>43</v>
      </c>
      <c r="G478" s="753"/>
      <c r="H478" s="753"/>
      <c r="I478" s="753">
        <f>$E$21*$M$8*'Traffic Data'!AK66*annualizationFactor</f>
        <v>6.9167499999999993E-2</v>
      </c>
      <c r="J478" s="753">
        <f>$E$21*$M$8*'Traffic Data'!AL66*annualizationFactor</f>
        <v>7.1128859741666675E-2</v>
      </c>
      <c r="K478" s="753">
        <f>$E$21*$M$8*'Traffic Data'!AM66*annualizationFactor</f>
        <v>7.336377694583332E-2</v>
      </c>
      <c r="L478" s="753">
        <f>$E$21*$M$8*'Traffic Data'!AN66*annualizationFactor</f>
        <v>7.6219472462500007E-2</v>
      </c>
      <c r="M478" s="753">
        <f>$E$21*$M$8*'Traffic Data'!AO66*annualizationFactor</f>
        <v>7.9076090212499991E-2</v>
      </c>
      <c r="N478" s="753">
        <f>$E$21*$M$8*'Traffic Data'!AP66*annualizationFactor</f>
        <v>8.1932246845833362E-2</v>
      </c>
      <c r="O478" s="753">
        <f>$E$21*$M$8*'Traffic Data'!AQ66*annualizationFactor</f>
        <v>8.4787942362500021E-2</v>
      </c>
      <c r="P478" s="753">
        <f>$E$21*$M$8*'Traffic Data'!AR66*annualizationFactor</f>
        <v>8.7644214275000021E-2</v>
      </c>
      <c r="Q478" s="753">
        <f>$E$21*$M$8*'Traffic Data'!AS66*annualizationFactor</f>
        <v>9.0872492058333337E-2</v>
      </c>
      <c r="R478" s="753">
        <f>$E$21*$M$8*'Traffic Data'!AT66*annualizationFactor</f>
        <v>9.4100654562500011E-2</v>
      </c>
      <c r="S478" s="753">
        <f>$E$21*$M$8*'Traffic Data'!AU66*annualizationFactor</f>
        <v>9.7328471229166658E-2</v>
      </c>
      <c r="T478" s="753">
        <f>$E$21*$M$8*'Traffic Data'!AV66*annualizationFactor</f>
        <v>0.10055674901250003</v>
      </c>
      <c r="U478" s="753">
        <f>$E$21*$M$8*'Traffic Data'!AW66*annualizationFactor</f>
        <v>0.10378560319166666</v>
      </c>
      <c r="V478" s="753">
        <f>$E$21*$M$8*'Traffic Data'!AX66*annualizationFactor</f>
        <v>0.10639298738333335</v>
      </c>
      <c r="W478" s="753">
        <f>$E$21*$M$8*'Traffic Data'!AY66*annualizationFactor</f>
        <v>0.10835434712500003</v>
      </c>
      <c r="X478" s="753">
        <f>$E$21*$M$8*'Traffic Data'!AZ66*annualizationFactor</f>
        <v>0.1103157068666667</v>
      </c>
      <c r="Y478" s="753">
        <f>$E$21*$M$8*'Traffic Data'!BA66*annualizationFactor</f>
        <v>0.11227706660833336</v>
      </c>
      <c r="Z478" s="753">
        <f>$E$21*$M$8*'Traffic Data'!BB66*annualizationFactor</f>
        <v>0.11423784995416668</v>
      </c>
      <c r="AA478" s="753">
        <f>$E$21*$M$8*'Traffic Data'!BC66*annualizationFactor</f>
        <v>0.11619920969583329</v>
      </c>
      <c r="AB478" s="753">
        <f>$E$21*$M$8*'Traffic Data'!BD66*annualizationFactor</f>
        <v>0.11815999304166663</v>
      </c>
      <c r="AC478" s="753">
        <f>$E$21*$M$8*'Traffic Data'!BE66*annualizationFactor</f>
        <v>0.12012135278333329</v>
      </c>
      <c r="AD478" s="753">
        <f>$E$21*$M$8*'Traffic Data'!BF66*annualizationFactor</f>
        <v>0.12208271252499997</v>
      </c>
      <c r="AE478" s="753">
        <f>$E$21*$M$8*'Traffic Data'!BG66*annualizationFactor</f>
        <v>0.12404349587083331</v>
      </c>
      <c r="AF478" s="753">
        <f>$E$21*$M$8*'Traffic Data'!BH66*annualizationFactor</f>
        <v>0.12600485561249999</v>
      </c>
      <c r="AG478" s="753">
        <f>$E$21*$M$8*'Traffic Data'!BI66*annualizationFactor</f>
        <v>0.12796621535416663</v>
      </c>
      <c r="AH478" s="757">
        <f>$E$21*$M$8*'Traffic Data'!BJ66*annualizationFactor</f>
        <v>0.12992699869999999</v>
      </c>
      <c r="AI478" s="24"/>
      <c r="AJ478" s="24"/>
      <c r="AK478" s="24"/>
      <c r="AL478" s="24"/>
      <c r="AM478" s="24"/>
    </row>
    <row r="479" spans="2:39" ht="21.9" customHeight="1" thickBot="1" x14ac:dyDescent="0.3">
      <c r="B479" s="1073" t="s">
        <v>457</v>
      </c>
      <c r="C479" s="237"/>
      <c r="D479" s="237"/>
      <c r="E479" s="237"/>
      <c r="F479" s="237"/>
      <c r="G479" s="940">
        <f t="shared" ref="G479:AH479" si="64">SUM(G459:G478)</f>
        <v>0</v>
      </c>
      <c r="H479" s="940">
        <f t="shared" si="64"/>
        <v>0</v>
      </c>
      <c r="I479" s="759">
        <f t="shared" si="64"/>
        <v>34.896942745583331</v>
      </c>
      <c r="J479" s="759">
        <f t="shared" si="64"/>
        <v>37.712687060529909</v>
      </c>
      <c r="K479" s="759">
        <f t="shared" si="64"/>
        <v>41.407616502419913</v>
      </c>
      <c r="L479" s="759">
        <f t="shared" si="64"/>
        <v>47.596999156019052</v>
      </c>
      <c r="M479" s="759">
        <f t="shared" si="64"/>
        <v>53.789532323534068</v>
      </c>
      <c r="N479" s="759">
        <f t="shared" si="64"/>
        <v>59.981992077240953</v>
      </c>
      <c r="O479" s="759">
        <f t="shared" si="64"/>
        <v>66.1713747308401</v>
      </c>
      <c r="P479" s="759">
        <f t="shared" si="64"/>
        <v>72.367072292574321</v>
      </c>
      <c r="Q479" s="759">
        <f t="shared" si="64"/>
        <v>78.08355107036752</v>
      </c>
      <c r="R479" s="759">
        <f t="shared" si="64"/>
        <v>83.801619349934768</v>
      </c>
      <c r="S479" s="759">
        <f t="shared" si="64"/>
        <v>89.518132279872759</v>
      </c>
      <c r="T479" s="759">
        <f t="shared" si="64"/>
        <v>95.234611057666001</v>
      </c>
      <c r="U479" s="759">
        <f t="shared" si="64"/>
        <v>100.95744385942946</v>
      </c>
      <c r="V479" s="759">
        <f t="shared" si="64"/>
        <v>104.20792251645668</v>
      </c>
      <c r="W479" s="759">
        <f t="shared" si="64"/>
        <v>106.09581103338573</v>
      </c>
      <c r="X479" s="759">
        <f t="shared" si="64"/>
        <v>107.98369955031482</v>
      </c>
      <c r="Y479" s="759">
        <f t="shared" si="64"/>
        <v>109.87158806724392</v>
      </c>
      <c r="Z479" s="759">
        <f t="shared" si="64"/>
        <v>111.76114795029437</v>
      </c>
      <c r="AA479" s="759">
        <f t="shared" si="64"/>
        <v>113.64903646722343</v>
      </c>
      <c r="AB479" s="759">
        <f t="shared" si="64"/>
        <v>115.53849300019547</v>
      </c>
      <c r="AC479" s="759">
        <f t="shared" si="64"/>
        <v>117.42638151712451</v>
      </c>
      <c r="AD479" s="759">
        <f t="shared" si="64"/>
        <v>119.31427003405362</v>
      </c>
      <c r="AE479" s="759">
        <f t="shared" si="64"/>
        <v>121.20382991710412</v>
      </c>
      <c r="AF479" s="759">
        <f t="shared" si="64"/>
        <v>123.09171843403318</v>
      </c>
      <c r="AG479" s="759">
        <f t="shared" si="64"/>
        <v>124.97960695096225</v>
      </c>
      <c r="AH479" s="760">
        <f t="shared" si="64"/>
        <v>126.86906348393424</v>
      </c>
      <c r="AI479" s="24"/>
      <c r="AJ479" s="24"/>
      <c r="AK479" s="24"/>
      <c r="AL479" s="24"/>
      <c r="AM479" s="24"/>
    </row>
    <row r="480" spans="2:39" ht="21.9" customHeight="1" x14ac:dyDescent="0.25">
      <c r="B480" s="548" t="s">
        <v>312</v>
      </c>
      <c r="C480" s="1331" t="s">
        <v>18</v>
      </c>
      <c r="D480" s="1331"/>
      <c r="E480" s="197" t="s">
        <v>24</v>
      </c>
      <c r="F480" s="197" t="s">
        <v>42</v>
      </c>
      <c r="G480" s="459">
        <v>2021</v>
      </c>
      <c r="H480" s="459">
        <v>2022</v>
      </c>
      <c r="I480" s="459">
        <v>2023</v>
      </c>
      <c r="J480" s="459">
        <v>2024</v>
      </c>
      <c r="K480" s="459">
        <v>2025</v>
      </c>
      <c r="L480" s="459">
        <v>2026</v>
      </c>
      <c r="M480" s="459">
        <v>2027</v>
      </c>
      <c r="N480" s="459">
        <v>2028</v>
      </c>
      <c r="O480" s="459">
        <v>2029</v>
      </c>
      <c r="P480" s="459">
        <v>2030</v>
      </c>
      <c r="Q480" s="459">
        <v>2031</v>
      </c>
      <c r="R480" s="459">
        <v>2032</v>
      </c>
      <c r="S480" s="459">
        <v>2033</v>
      </c>
      <c r="T480" s="459">
        <v>2034</v>
      </c>
      <c r="U480" s="459">
        <v>2035</v>
      </c>
      <c r="V480" s="459">
        <v>2036</v>
      </c>
      <c r="W480" s="459">
        <v>2037</v>
      </c>
      <c r="X480" s="459">
        <v>2038</v>
      </c>
      <c r="Y480" s="459">
        <v>2039</v>
      </c>
      <c r="Z480" s="459">
        <v>2040</v>
      </c>
      <c r="AA480" s="459">
        <v>2041</v>
      </c>
      <c r="AB480" s="459">
        <v>2042</v>
      </c>
      <c r="AC480" s="459">
        <v>2043</v>
      </c>
      <c r="AD480" s="459">
        <v>2044</v>
      </c>
      <c r="AE480" s="459">
        <v>2045</v>
      </c>
      <c r="AF480" s="459">
        <v>2046</v>
      </c>
      <c r="AG480" s="459">
        <v>2047</v>
      </c>
      <c r="AH480" s="459">
        <v>2048</v>
      </c>
      <c r="AI480" s="247"/>
      <c r="AJ480" s="247"/>
      <c r="AK480" s="247"/>
      <c r="AL480" s="247"/>
      <c r="AM480" s="247"/>
    </row>
    <row r="481" spans="2:39" ht="21.9" customHeight="1" x14ac:dyDescent="0.25">
      <c r="B481" s="1332" t="s">
        <v>315</v>
      </c>
      <c r="C481" s="217" t="s">
        <v>316</v>
      </c>
      <c r="D481" s="217" t="s">
        <v>276</v>
      </c>
      <c r="E481" s="217" t="s">
        <v>434</v>
      </c>
      <c r="F481" s="217" t="s">
        <v>43</v>
      </c>
      <c r="G481" s="749"/>
      <c r="H481" s="749"/>
      <c r="I481" s="749">
        <f>$E$22*$E$9*'Traffic Data'!AK47*annualizationFactor</f>
        <v>8.3086848000000005E-2</v>
      </c>
      <c r="J481" s="749">
        <f>$E$22*$E$9*'Traffic Data'!AL47*annualizationFactor</f>
        <v>8.6864962766400017E-2</v>
      </c>
      <c r="K481" s="749">
        <f>$E$22*$E$9*'Traffic Data'!AM47*annualizationFactor</f>
        <v>9.2187973612800025E-2</v>
      </c>
      <c r="L481" s="749">
        <f>$E$22*$E$9*'Traffic Data'!AN47*annualizationFactor</f>
        <v>0.10001787045120002</v>
      </c>
      <c r="M481" s="749">
        <f>$E$22*$E$9*'Traffic Data'!AO47*annualizationFactor</f>
        <v>0.1078506234</v>
      </c>
      <c r="N481" s="749">
        <f>$E$22*$E$9*'Traffic Data'!AP47*annualizationFactor</f>
        <v>0.11568337634879999</v>
      </c>
      <c r="O481" s="749">
        <f>$E$22*$E$9*'Traffic Data'!AQ47*annualizationFactor</f>
        <v>0.1235132731872</v>
      </c>
      <c r="P481" s="749">
        <f>$E$22*$E$9*'Traffic Data'!AR47*annualizationFactor</f>
        <v>0.13134888224639998</v>
      </c>
      <c r="Q481" s="749">
        <f>$E$22*$E$9*'Traffic Data'!AS47*annualizationFactor</f>
        <v>0.13909179754080001</v>
      </c>
      <c r="R481" s="749">
        <f>$E$22*$E$9*'Traffic Data'!AT47*annualizationFactor</f>
        <v>0.1468362707136</v>
      </c>
      <c r="S481" s="749">
        <f>$E$22*$E$9*'Traffic Data'!AU47*annualizationFactor</f>
        <v>0.15457918600800002</v>
      </c>
      <c r="T481" s="749">
        <f>$E$22*$E$9*'Traffic Data'!AV47*annualizationFactor</f>
        <v>0.16232210130240002</v>
      </c>
      <c r="U481" s="749">
        <f>$E$22*$E$9*'Traffic Data'!AW47*annualizationFactor</f>
        <v>0.17007072881760002</v>
      </c>
      <c r="V481" s="749">
        <f>$E$22*$E$9*'Traffic Data'!AX47*annualizationFactor</f>
        <v>0.17530390200960005</v>
      </c>
      <c r="W481" s="749">
        <f>$E$22*$E$9*'Traffic Data'!AY47*annualizationFactor</f>
        <v>0.17908201677600002</v>
      </c>
      <c r="X481" s="749">
        <f>$E$22*$E$9*'Traffic Data'!AZ47*annualizationFactor</f>
        <v>0.1828601315424</v>
      </c>
      <c r="Y481" s="749">
        <f>$E$22*$E$9*'Traffic Data'!BA47*annualizationFactor</f>
        <v>0.18663824630880002</v>
      </c>
      <c r="Z481" s="749">
        <f>$E$22*$E$9*'Traffic Data'!BB47*annualizationFactor</f>
        <v>0.19041765930720003</v>
      </c>
      <c r="AA481" s="749">
        <f>$E$22*$E$9*'Traffic Data'!BC47*annualizationFactor</f>
        <v>0.19419577407360006</v>
      </c>
      <c r="AB481" s="749">
        <f>$E$22*$E$9*'Traffic Data'!BD47*annualizationFactor</f>
        <v>0.19797518707199996</v>
      </c>
      <c r="AC481" s="749">
        <f>$E$22*$E$9*'Traffic Data'!BE47*annualizationFactor</f>
        <v>0.20175330183840007</v>
      </c>
      <c r="AD481" s="749">
        <f>$E$22*$E$9*'Traffic Data'!BF47*annualizationFactor</f>
        <v>0.20553141660479998</v>
      </c>
      <c r="AE481" s="749">
        <f>$E$22*$E$9*'Traffic Data'!BG47*annualizationFactor</f>
        <v>0.20931082960319997</v>
      </c>
      <c r="AF481" s="749">
        <f>$E$22*$E$9*'Traffic Data'!BH47*annualizationFactor</f>
        <v>0.21308894436959999</v>
      </c>
      <c r="AG481" s="749">
        <f>$E$22*$E$9*'Traffic Data'!BI47*annualizationFactor</f>
        <v>0.21686705913599999</v>
      </c>
      <c r="AH481" s="750">
        <f>$E$22*$E$9*'Traffic Data'!BJ47*annualizationFactor</f>
        <v>0.22064647213439997</v>
      </c>
      <c r="AI481" s="24"/>
      <c r="AJ481" s="24"/>
      <c r="AK481" s="24"/>
      <c r="AL481" s="24"/>
      <c r="AM481" s="24"/>
    </row>
    <row r="482" spans="2:39" ht="21.9" customHeight="1" x14ac:dyDescent="0.25">
      <c r="B482" s="1332"/>
      <c r="C482" s="114" t="s">
        <v>276</v>
      </c>
      <c r="D482" s="114" t="s">
        <v>274</v>
      </c>
      <c r="E482" s="114" t="s">
        <v>434</v>
      </c>
      <c r="F482" s="114" t="s">
        <v>43</v>
      </c>
      <c r="G482" s="941"/>
      <c r="H482" s="941"/>
      <c r="I482" s="751">
        <f>$E$22*$E$9*'Traffic Data'!AK48*annualizationFactor</f>
        <v>2.6716869163636368</v>
      </c>
      <c r="J482" s="751">
        <f>$E$22*$E$9*'Traffic Data'!AL48*annualizationFactor</f>
        <v>2.8127124050007271</v>
      </c>
      <c r="K482" s="751">
        <f>$E$22*$E$9*'Traffic Data'!AM48*annualizationFactor</f>
        <v>3.0244089601440005</v>
      </c>
      <c r="L482" s="751">
        <f>$E$22*$E$9*'Traffic Data'!AN48*annualizationFactor</f>
        <v>3.3741624629061824</v>
      </c>
      <c r="M482" s="751">
        <f>$E$22*$E$9*'Traffic Data'!AO48*annualizationFactor</f>
        <v>3.7240742878560007</v>
      </c>
      <c r="N482" s="751">
        <f>$E$22*$E$9*'Traffic Data'!AP48*annualizationFactor</f>
        <v>4.073966322532363</v>
      </c>
      <c r="O482" s="751">
        <f>$E$22*$E$9*'Traffic Data'!AQ48*annualizationFactor</f>
        <v>4.4237198252945467</v>
      </c>
      <c r="P482" s="751">
        <f>$E$22*$E$9*'Traffic Data'!AR48*annualizationFactor</f>
        <v>4.7737899724319997</v>
      </c>
      <c r="Q482" s="751">
        <f>$E$22*$E$9*'Traffic Data'!AS48*annualizationFactor</f>
        <v>5.1269671925018185</v>
      </c>
      <c r="R482" s="751">
        <f>$E$22*$E$9*'Traffic Data'!AT48*annualizationFactor</f>
        <v>5.4802631542123637</v>
      </c>
      <c r="S482" s="751">
        <f>$E$22*$E$9*'Traffic Data'!AU48*annualizationFactor</f>
        <v>5.8334403742821817</v>
      </c>
      <c r="T482" s="751">
        <f>$E$22*$E$9*'Traffic Data'!AV48*annualizationFactor</f>
        <v>6.1866175943519996</v>
      </c>
      <c r="U482" s="751">
        <f>$E$22*$E$9*'Traffic Data'!AW48*annualizationFactor</f>
        <v>6.5401114587970914</v>
      </c>
      <c r="V482" s="751">
        <f>$E$22*$E$9*'Traffic Data'!AX48*annualizationFactor</f>
        <v>6.7550734090603655</v>
      </c>
      <c r="W482" s="751">
        <f>$E$22*$E$9*'Traffic Data'!AY48*annualizationFactor</f>
        <v>6.8960988976974535</v>
      </c>
      <c r="X482" s="751">
        <f>$E$22*$E$9*'Traffic Data'!AZ48*annualizationFactor</f>
        <v>7.0371243863345461</v>
      </c>
      <c r="Y482" s="751">
        <f>$E$22*$E$9*'Traffic Data'!BA48*annualizationFactor</f>
        <v>7.1781498749716386</v>
      </c>
      <c r="Z482" s="751">
        <f>$E$22*$E$9*'Traffic Data'!BB48*annualizationFactor</f>
        <v>7.3192545247025462</v>
      </c>
      <c r="AA482" s="751">
        <f>$E$22*$E$9*'Traffic Data'!BC48*annualizationFactor</f>
        <v>7.4602800133396361</v>
      </c>
      <c r="AB482" s="751">
        <f>$E$22*$E$9*'Traffic Data'!BD48*annualizationFactor</f>
        <v>7.6013846630705473</v>
      </c>
      <c r="AC482" s="751">
        <f>$E$22*$E$9*'Traffic Data'!BE48*annualizationFactor</f>
        <v>7.742410151707638</v>
      </c>
      <c r="AD482" s="751">
        <f>$E$22*$E$9*'Traffic Data'!BF48*annualizationFactor</f>
        <v>7.8834356403447297</v>
      </c>
      <c r="AE482" s="751">
        <f>$E$22*$E$9*'Traffic Data'!BG48*annualizationFactor</f>
        <v>8.0245402900756382</v>
      </c>
      <c r="AF482" s="751">
        <f>$E$22*$E$9*'Traffic Data'!BH48*annualizationFactor</f>
        <v>8.1655657787127272</v>
      </c>
      <c r="AG482" s="751">
        <f>$E$22*$E$9*'Traffic Data'!BI48*annualizationFactor</f>
        <v>8.3065912673498197</v>
      </c>
      <c r="AH482" s="752">
        <f>$E$22*$E$9*'Traffic Data'!BJ48*annualizationFactor</f>
        <v>8.4476959170807291</v>
      </c>
      <c r="AI482" s="24"/>
      <c r="AJ482" s="24"/>
      <c r="AK482" s="24"/>
      <c r="AL482" s="24"/>
      <c r="AM482" s="24"/>
    </row>
    <row r="483" spans="2:39" ht="21.9" customHeight="1" x14ac:dyDescent="0.25">
      <c r="B483" s="1332"/>
      <c r="C483" s="114" t="s">
        <v>274</v>
      </c>
      <c r="D483" s="114" t="s">
        <v>317</v>
      </c>
      <c r="E483" s="250" t="s">
        <v>434</v>
      </c>
      <c r="F483" s="250" t="s">
        <v>43</v>
      </c>
      <c r="G483" s="753"/>
      <c r="H483" s="753"/>
      <c r="I483" s="751">
        <f>$E$22*$E$9*'Traffic Data'!AK49*annualizationFactor</f>
        <v>6.2315136E-2</v>
      </c>
      <c r="J483" s="751">
        <f>$E$22*$E$9*'Traffic Data'!AL49*annualizationFactor</f>
        <v>6.4917312220799994E-2</v>
      </c>
      <c r="K483" s="751">
        <f>$E$22*$E$9*'Traffic Data'!AM49*annualizationFactor</f>
        <v>6.8137966166399999E-2</v>
      </c>
      <c r="L483" s="751">
        <f>$E$22*$E$9*'Traffic Data'!AN49*annualizationFactor</f>
        <v>7.2474061046400015E-2</v>
      </c>
      <c r="M483" s="751">
        <f>$E$22*$E$9*'Traffic Data'!AO49*annualizationFactor</f>
        <v>7.6811713804800022E-2</v>
      </c>
      <c r="N483" s="751">
        <f>$E$22*$E$9*'Traffic Data'!AP49*annualizationFactor</f>
        <v>8.1148847270400032E-2</v>
      </c>
      <c r="O483" s="751">
        <f>$E$22*$E$9*'Traffic Data'!AQ49*annualizationFactor</f>
        <v>8.548494215040002E-2</v>
      </c>
      <c r="P483" s="751">
        <f>$E$22*$E$9*'Traffic Data'!AR49*annualizationFactor</f>
        <v>8.9824152787200046E-2</v>
      </c>
      <c r="Q483" s="751">
        <f>$E$22*$E$9*'Traffic Data'!AS49*annualizationFactor</f>
        <v>9.4028347296000001E-2</v>
      </c>
      <c r="R483" s="751">
        <f>$E$22*$E$9*'Traffic Data'!AT49*annualizationFactor</f>
        <v>9.8234099683199988E-2</v>
      </c>
      <c r="S483" s="751">
        <f>$E$22*$E$9*'Traffic Data'!AU49*annualizationFactor</f>
        <v>0.10243829419200001</v>
      </c>
      <c r="T483" s="751">
        <f>$E$22*$E$9*'Traffic Data'!AV49*annualizationFactor</f>
        <v>0.10664248870080001</v>
      </c>
      <c r="U483" s="751">
        <f>$E$22*$E$9*'Traffic Data'!AW49*annualizationFactor</f>
        <v>0.11084979896640001</v>
      </c>
      <c r="V483" s="751">
        <f>$E$22*$E$9*'Traffic Data'!AX49*annualizationFactor</f>
        <v>0.1139369946624</v>
      </c>
      <c r="W483" s="751">
        <f>$E$22*$E$9*'Traffic Data'!AY49*annualizationFactor</f>
        <v>0.11653917088320001</v>
      </c>
      <c r="X483" s="751">
        <f>$E$22*$E$9*'Traffic Data'!AZ49*annualizationFactor</f>
        <v>0.11914134710399998</v>
      </c>
      <c r="Y483" s="751">
        <f>$E$22*$E$9*'Traffic Data'!BA49*annualizationFactor</f>
        <v>0.12174352332480001</v>
      </c>
      <c r="Z483" s="751">
        <f>$E$22*$E$9*'Traffic Data'!BB49*annualizationFactor</f>
        <v>0.12434673813120001</v>
      </c>
      <c r="AA483" s="751">
        <f>$E$22*$E$9*'Traffic Data'!BC49*annualizationFactor</f>
        <v>0.12694891435200001</v>
      </c>
      <c r="AB483" s="751">
        <f>$E$22*$E$9*'Traffic Data'!BD49*annualizationFactor</f>
        <v>0.1295521291584</v>
      </c>
      <c r="AC483" s="751">
        <f>$E$22*$E$9*'Traffic Data'!BE49*annualizationFactor</f>
        <v>0.13215430537920006</v>
      </c>
      <c r="AD483" s="751">
        <f>$E$22*$E$9*'Traffic Data'!BF49*annualizationFactor</f>
        <v>0.13475648159999998</v>
      </c>
      <c r="AE483" s="751">
        <f>$E$22*$E$9*'Traffic Data'!BG49*annualizationFactor</f>
        <v>0.13735969640640003</v>
      </c>
      <c r="AF483" s="751">
        <f>$E$22*$E$9*'Traffic Data'!BH49*annualizationFactor</f>
        <v>0.1399618726272</v>
      </c>
      <c r="AG483" s="751">
        <f>$E$22*$E$9*'Traffic Data'!BI49*annualizationFactor</f>
        <v>0.14256404884799997</v>
      </c>
      <c r="AH483" s="752">
        <f>$E$22*$E$9*'Traffic Data'!BJ49*annualizationFactor</f>
        <v>0.14516726365440002</v>
      </c>
      <c r="AI483" s="24"/>
      <c r="AJ483" s="24"/>
      <c r="AK483" s="24"/>
      <c r="AL483" s="24"/>
      <c r="AM483" s="24"/>
    </row>
    <row r="484" spans="2:39" ht="21.9" customHeight="1" x14ac:dyDescent="0.25">
      <c r="B484" s="1332" t="s">
        <v>274</v>
      </c>
      <c r="C484" s="217" t="s">
        <v>275</v>
      </c>
      <c r="D484" s="217" t="s">
        <v>318</v>
      </c>
      <c r="E484" s="114" t="s">
        <v>434</v>
      </c>
      <c r="F484" s="114" t="s">
        <v>43</v>
      </c>
      <c r="G484" s="941"/>
      <c r="H484" s="941"/>
      <c r="I484" s="749">
        <f>$E$22*$F$9*'Traffic Data'!AK50*annualizationFactor</f>
        <v>0.58082304000000007</v>
      </c>
      <c r="J484" s="749">
        <f>$E$22*$F$9*'Traffic Data'!AL50*annualizationFactor</f>
        <v>0.63957619461119997</v>
      </c>
      <c r="K484" s="749">
        <f>$E$22*$F$9*'Traffic Data'!AM50*annualizationFactor</f>
        <v>0.7709322292223999</v>
      </c>
      <c r="L484" s="749">
        <f>$E$22*$F$9*'Traffic Data'!AN50*annualizationFactor</f>
        <v>1.0347710951424001</v>
      </c>
      <c r="M484" s="749">
        <f>$E$22*$F$9*'Traffic Data'!AO50*annualizationFactor</f>
        <v>1.2987725915135997</v>
      </c>
      <c r="N484" s="749">
        <f>$E$22*$F$9*'Traffic Data'!AP50*annualizationFactor</f>
        <v>1.5627450467327997</v>
      </c>
      <c r="O484" s="749">
        <f>$E$22*$F$9*'Traffic Data'!AQ50*annualizationFactor</f>
        <v>1.8265839126527998</v>
      </c>
      <c r="P484" s="749">
        <f>$E$22*$F$9*'Traffic Data'!AR50*annualizationFactor</f>
        <v>2.0907480394751996</v>
      </c>
      <c r="Q484" s="749">
        <f>$E$22*$F$9*'Traffic Data'!AS50*annualizationFactor</f>
        <v>2.3499577457663996</v>
      </c>
      <c r="R484" s="749">
        <f>$E$22*$F$9*'Traffic Data'!AT50*annualizationFactor</f>
        <v>2.6092981372415989</v>
      </c>
      <c r="S484" s="749">
        <f>$E$22*$F$9*'Traffic Data'!AU50*annualizationFactor</f>
        <v>2.8685078435327993</v>
      </c>
      <c r="T484" s="749">
        <f>$E$22*$F$9*'Traffic Data'!AV50*annualizationFactor</f>
        <v>3.1277175498239997</v>
      </c>
      <c r="U484" s="749">
        <f>$E$22*$F$9*'Traffic Data'!AW50*annualizationFactor</f>
        <v>3.3872525170175996</v>
      </c>
      <c r="V484" s="749">
        <f>$E$22*$F$9*'Traffic Data'!AX50*annualizationFactor</f>
        <v>3.5138167615487994</v>
      </c>
      <c r="W484" s="749">
        <f>$E$22*$F$9*'Traffic Data'!AY50*annualizationFactor</f>
        <v>3.5725699161599995</v>
      </c>
      <c r="X484" s="749">
        <f>$E$22*$F$9*'Traffic Data'!AZ50*annualizationFactor</f>
        <v>3.6313230707711996</v>
      </c>
      <c r="Y484" s="749">
        <f>$E$22*$F$9*'Traffic Data'!BA50*annualizationFactor</f>
        <v>3.6900762253823989</v>
      </c>
      <c r="Z484" s="749">
        <f>$E$22*$F$9*'Traffic Data'!BB50*annualizationFactor</f>
        <v>3.7489194075648</v>
      </c>
      <c r="AA484" s="749">
        <f>$E$22*$F$9*'Traffic Data'!BC50*annualizationFactor</f>
        <v>3.8076725621760001</v>
      </c>
      <c r="AB484" s="749">
        <f>$E$22*$F$9*'Traffic Data'!BD50*annualizationFactor</f>
        <v>3.8665157443583986</v>
      </c>
      <c r="AC484" s="749">
        <f>$E$22*$F$9*'Traffic Data'!BE50*annualizationFactor</f>
        <v>3.9252688989695992</v>
      </c>
      <c r="AD484" s="749">
        <f>$E$22*$F$9*'Traffic Data'!BF50*annualizationFactor</f>
        <v>3.9840220535807993</v>
      </c>
      <c r="AE484" s="749">
        <f>$E$22*$F$9*'Traffic Data'!BG50*annualizationFactor</f>
        <v>4.0428652357632</v>
      </c>
      <c r="AF484" s="749">
        <f>$E$22*$F$9*'Traffic Data'!BH50*annualizationFactor</f>
        <v>4.1016183903743997</v>
      </c>
      <c r="AG484" s="749">
        <f>$E$22*$F$9*'Traffic Data'!BI50*annualizationFactor</f>
        <v>4.1603715449855994</v>
      </c>
      <c r="AH484" s="750">
        <f>$E$22*$F$9*'Traffic Data'!BJ50*annualizationFactor</f>
        <v>4.2192147271679987</v>
      </c>
      <c r="AI484" s="24"/>
      <c r="AJ484" s="24"/>
      <c r="AK484" s="24"/>
      <c r="AL484" s="24"/>
      <c r="AM484" s="24"/>
    </row>
    <row r="485" spans="2:39" ht="21.9" customHeight="1" x14ac:dyDescent="0.25">
      <c r="B485" s="1332"/>
      <c r="C485" s="114" t="s">
        <v>318</v>
      </c>
      <c r="D485" s="114" t="s">
        <v>308</v>
      </c>
      <c r="E485" s="114" t="s">
        <v>434</v>
      </c>
      <c r="F485" s="114" t="s">
        <v>43</v>
      </c>
      <c r="G485" s="941"/>
      <c r="H485" s="941"/>
      <c r="I485" s="751">
        <f>$E$22*$F$9*'Traffic Data'!AK51*annualizationFactor</f>
        <v>6.7276799999999998E-2</v>
      </c>
      <c r="J485" s="751">
        <f>$E$22*$F$9*'Traffic Data'!AL51*annualizationFactor</f>
        <v>7.3664171519999988E-2</v>
      </c>
      <c r="K485" s="751">
        <f>$E$22*$F$9*'Traffic Data'!AM51*annualizationFactor</f>
        <v>8.2725235199999997E-2</v>
      </c>
      <c r="L485" s="751">
        <f>$E$22*$F$9*'Traffic Data'!AN51*annualizationFactor</f>
        <v>9.7489128959999991E-2</v>
      </c>
      <c r="M485" s="751">
        <f>$E$22*$F$9*'Traffic Data'!AO51*annualizationFactor</f>
        <v>0.11225750783999999</v>
      </c>
      <c r="N485" s="751">
        <f>$E$22*$F$9*'Traffic Data'!AP51*annualizationFactor</f>
        <v>0.12702728832000001</v>
      </c>
      <c r="O485" s="751">
        <f>$E$22*$F$9*'Traffic Data'!AQ51*annualizationFactor</f>
        <v>0.14179118208000002</v>
      </c>
      <c r="P485" s="751">
        <f>$E$22*$F$9*'Traffic Data'!AR51*annualizationFactor</f>
        <v>0.15657105408000002</v>
      </c>
      <c r="Q485" s="751">
        <f>$E$22*$F$9*'Traffic Data'!AS51*annualizationFactor</f>
        <v>0.17338632959999997</v>
      </c>
      <c r="R485" s="751">
        <f>$E$22*$F$9*'Traffic Data'!AT51*annualizationFactor</f>
        <v>0.19020945408000003</v>
      </c>
      <c r="S485" s="751">
        <f>$E$22*$F$9*'Traffic Data'!AU51*annualizationFactor</f>
        <v>0.20702388864000004</v>
      </c>
      <c r="T485" s="751">
        <f>$E$22*$F$9*'Traffic Data'!AV51*annualizationFactor</f>
        <v>0.22383916416000002</v>
      </c>
      <c r="U485" s="751">
        <f>$E$22*$F$9*'Traffic Data'!AW51*annualizationFactor</f>
        <v>0.24066985727999995</v>
      </c>
      <c r="V485" s="751">
        <f>$E$22*$F$9*'Traffic Data'!AX51*annualizationFactor</f>
        <v>0.25176996864000001</v>
      </c>
      <c r="W485" s="751">
        <f>$E$22*$F$9*'Traffic Data'!AY51*annualizationFactor</f>
        <v>0.25815734015999997</v>
      </c>
      <c r="X485" s="751">
        <f>$E$22*$F$9*'Traffic Data'!AZ51*annualizationFactor</f>
        <v>0.26454471167999993</v>
      </c>
      <c r="Y485" s="751">
        <f>$E$22*$F$9*'Traffic Data'!BA51*annualizationFactor</f>
        <v>0.27093208319999995</v>
      </c>
      <c r="Z485" s="751">
        <f>$E$22*$F$9*'Traffic Data'!BB51*annualizationFactor</f>
        <v>0.27732674303999993</v>
      </c>
      <c r="AA485" s="751">
        <f>$E$22*$F$9*'Traffic Data'!BC51*annualizationFactor</f>
        <v>0.28371411455999995</v>
      </c>
      <c r="AB485" s="751">
        <f>$E$22*$F$9*'Traffic Data'!BD51*annualizationFactor</f>
        <v>0.29010877439999999</v>
      </c>
      <c r="AC485" s="751">
        <f>$E$22*$F$9*'Traffic Data'!BE51*annualizationFactor</f>
        <v>0.29649614592000001</v>
      </c>
      <c r="AD485" s="751">
        <f>$E$22*$F$9*'Traffic Data'!BF51*annualizationFactor</f>
        <v>0.30288351743999997</v>
      </c>
      <c r="AE485" s="751">
        <f>$E$22*$F$9*'Traffic Data'!BG51*annualizationFactor</f>
        <v>0.30927817727999996</v>
      </c>
      <c r="AF485" s="751">
        <f>$E$22*$F$9*'Traffic Data'!BH51*annualizationFactor</f>
        <v>0.31566554879999997</v>
      </c>
      <c r="AG485" s="751">
        <f>$E$22*$F$9*'Traffic Data'!BI51*annualizationFactor</f>
        <v>0.32205292031999999</v>
      </c>
      <c r="AH485" s="752">
        <f>$E$22*$F$9*'Traffic Data'!BJ51*annualizationFactor</f>
        <v>0.32844758015999997</v>
      </c>
      <c r="AI485" s="24"/>
      <c r="AJ485" s="24"/>
      <c r="AK485" s="24"/>
      <c r="AL485" s="24"/>
      <c r="AM485" s="24"/>
    </row>
    <row r="486" spans="2:39" ht="21.9" customHeight="1" x14ac:dyDescent="0.25">
      <c r="B486" s="1332"/>
      <c r="C486" s="250" t="s">
        <v>308</v>
      </c>
      <c r="D486" s="250" t="s">
        <v>319</v>
      </c>
      <c r="E486" s="114" t="s">
        <v>434</v>
      </c>
      <c r="F486" s="114" t="s">
        <v>43</v>
      </c>
      <c r="G486" s="941"/>
      <c r="H486" s="941"/>
      <c r="I486" s="751">
        <f>$E$22*$F$9*'Traffic Data'!AK52*annualizationFactor</f>
        <v>0.90150912000000016</v>
      </c>
      <c r="J486" s="751">
        <f>$E$22*$F$9*'Traffic Data'!AL52*annualizationFactor</f>
        <v>0.92675438039040003</v>
      </c>
      <c r="K486" s="751">
        <f>$E$22*$F$9*'Traffic Data'!AM52*annualizationFactor</f>
        <v>0.96273060433919999</v>
      </c>
      <c r="L486" s="751">
        <f>$E$22*$F$9*'Traffic Data'!AN52*annualizationFactor</f>
        <v>1.0132241301503999</v>
      </c>
      <c r="M486" s="751">
        <f>$E$22*$F$9*'Traffic Data'!AO52*annualizationFactor</f>
        <v>1.0637386911743998</v>
      </c>
      <c r="N486" s="751">
        <f>$E$22*$F$9*'Traffic Data'!AP52*annualizationFactor</f>
        <v>1.1142487446528004</v>
      </c>
      <c r="O486" s="751">
        <f>$E$22*$F$9*'Traffic Data'!AQ52*annualizationFactor</f>
        <v>1.1647422704640005</v>
      </c>
      <c r="P486" s="751">
        <f>$E$22*$F$9*'Traffic Data'!AR52*annualizationFactor</f>
        <v>1.2152763641856001</v>
      </c>
      <c r="Q486" s="751">
        <f>$E$22*$F$9*'Traffic Data'!AS52*annualizationFactor</f>
        <v>1.2662897602559999</v>
      </c>
      <c r="R486" s="751">
        <f>$E$22*$F$9*'Traffic Data'!AT52*annualizationFactor</f>
        <v>1.3173181814784001</v>
      </c>
      <c r="S486" s="751">
        <f>$E$22*$F$9*'Traffic Data'!AU52*annualizationFactor</f>
        <v>1.3683270700032</v>
      </c>
      <c r="T486" s="751">
        <f>$E$22*$F$9*'Traffic Data'!AV52*annualizationFactor</f>
        <v>1.4193404660736</v>
      </c>
      <c r="U486" s="751">
        <f>$E$22*$F$9*'Traffic Data'!AW52*annualizationFactor</f>
        <v>1.4703944300544003</v>
      </c>
      <c r="V486" s="751">
        <f>$E$22*$F$9*'Traffic Data'!AX52*annualizationFactor</f>
        <v>1.5068664840192001</v>
      </c>
      <c r="W486" s="751">
        <f>$E$22*$F$9*'Traffic Data'!AY52*annualizationFactor</f>
        <v>1.5321117444095997</v>
      </c>
      <c r="X486" s="751">
        <f>$E$22*$F$9*'Traffic Data'!AZ52*annualizationFactor</f>
        <v>1.5573570047999998</v>
      </c>
      <c r="Y486" s="751">
        <f>$E$22*$F$9*'Traffic Data'!BA52*annualizationFactor</f>
        <v>1.5826022651903997</v>
      </c>
      <c r="Z486" s="751">
        <f>$E$22*$F$9*'Traffic Data'!BB52*annualizationFactor</f>
        <v>1.6078595457024001</v>
      </c>
      <c r="AA486" s="751">
        <f>$E$22*$F$9*'Traffic Data'!BC52*annualizationFactor</f>
        <v>1.6331048060928002</v>
      </c>
      <c r="AB486" s="751">
        <f>$E$22*$F$9*'Traffic Data'!BD52*annualizationFactor</f>
        <v>1.6583620866048001</v>
      </c>
      <c r="AC486" s="751">
        <f>$E$22*$F$9*'Traffic Data'!BE52*annualizationFactor</f>
        <v>1.6836073469952002</v>
      </c>
      <c r="AD486" s="751">
        <f>$E$22*$F$9*'Traffic Data'!BF52*annualizationFactor</f>
        <v>1.7088526073856001</v>
      </c>
      <c r="AE486" s="751">
        <f>$E$22*$F$9*'Traffic Data'!BG52*annualizationFactor</f>
        <v>1.7341098878975998</v>
      </c>
      <c r="AF486" s="751">
        <f>$E$22*$F$9*'Traffic Data'!BH52*annualizationFactor</f>
        <v>1.7593551482879997</v>
      </c>
      <c r="AG486" s="751">
        <f>$E$22*$F$9*'Traffic Data'!BI52*annualizationFactor</f>
        <v>1.7846004086783998</v>
      </c>
      <c r="AH486" s="752">
        <f>$E$22*$F$9*'Traffic Data'!BJ52*annualizationFactor</f>
        <v>1.8098576891903997</v>
      </c>
      <c r="AI486" s="24"/>
      <c r="AJ486" s="24"/>
      <c r="AK486" s="24"/>
      <c r="AL486" s="24"/>
      <c r="AM486" s="24"/>
    </row>
    <row r="487" spans="2:39" ht="21.9" customHeight="1" x14ac:dyDescent="0.25">
      <c r="B487" s="469" t="s">
        <v>320</v>
      </c>
      <c r="C487" s="114" t="s">
        <v>318</v>
      </c>
      <c r="D487" s="114" t="s">
        <v>308</v>
      </c>
      <c r="E487" s="273" t="s">
        <v>434</v>
      </c>
      <c r="F487" s="273" t="s">
        <v>43</v>
      </c>
      <c r="G487" s="754"/>
      <c r="H487" s="754"/>
      <c r="I487" s="749">
        <f>$E$22*$G$9*'Traffic Data'!AK53*annualizationFactor</f>
        <v>2.6350080000000003E-3</v>
      </c>
      <c r="J487" s="749">
        <f>$E$22*$G$9*'Traffic Data'!AL53*annualizationFactor</f>
        <v>1.0944505727999999E-2</v>
      </c>
      <c r="K487" s="749">
        <f>$E$22*$G$9*'Traffic Data'!AM53*annualizationFactor</f>
        <v>9.7638903935999999E-2</v>
      </c>
      <c r="L487" s="749">
        <f>$E$22*$G$9*'Traffic Data'!AN53*annualizationFactor</f>
        <v>0.23094000614400001</v>
      </c>
      <c r="M487" s="749">
        <f>$E$22*$G$9*'Traffic Data'!AO53*annualizationFactor</f>
        <v>0.36433596864000001</v>
      </c>
      <c r="N487" s="749">
        <f>$E$22*$G$9*'Traffic Data'!AP53*annualizationFactor</f>
        <v>0.49767923097599992</v>
      </c>
      <c r="O487" s="749">
        <f>$E$22*$G$9*'Traffic Data'!AQ53*annualizationFactor</f>
        <v>0.63098033318400004</v>
      </c>
      <c r="P487" s="749">
        <f>$E$22*$G$9*'Traffic Data'!AR53*annualizationFactor</f>
        <v>0.76446456844800026</v>
      </c>
      <c r="Q487" s="749">
        <f>$E$22*$G$9*'Traffic Data'!AS53*annualizationFactor</f>
        <v>0.81944005785599994</v>
      </c>
      <c r="R487" s="749">
        <f>$E$22*$G$9*'Traffic Data'!AT53*annualizationFactor</f>
        <v>0.87445770739200002</v>
      </c>
      <c r="S487" s="749">
        <f>$E$22*$G$9*'Traffic Data'!AU53*annualizationFactor</f>
        <v>0.92946218188800001</v>
      </c>
      <c r="T487" s="749">
        <f>$E$22*$G$9*'Traffic Data'!AV53*annualizationFactor</f>
        <v>0.98443767129600013</v>
      </c>
      <c r="U487" s="749">
        <f>$E$22*$G$9*'Traffic Data'!AW53*annualizationFactor</f>
        <v>1.0395435935999999</v>
      </c>
      <c r="V487" s="749">
        <f>$E$22*$G$9*'Traffic Data'!AX53*annualizationFactor</f>
        <v>1.0478530913280002</v>
      </c>
      <c r="W487" s="749">
        <f>$E$22*$G$9*'Traffic Data'!AY53*annualizationFactor</f>
        <v>1.056162589056</v>
      </c>
      <c r="X487" s="749">
        <f>$E$22*$G$9*'Traffic Data'!AZ53*annualizationFactor</f>
        <v>1.0644720867840003</v>
      </c>
      <c r="Y487" s="749">
        <f>$E$22*$G$9*'Traffic Data'!BA53*annualizationFactor</f>
        <v>1.0727815845120001</v>
      </c>
      <c r="Z487" s="749">
        <f>$E$22*$G$9*'Traffic Data'!BB53*annualizationFactor</f>
        <v>1.0811503699200002</v>
      </c>
      <c r="AA487" s="749">
        <f>$E$22*$G$9*'Traffic Data'!BC53*annualizationFactor</f>
        <v>1.0894598676480001</v>
      </c>
      <c r="AB487" s="749">
        <f>$E$22*$G$9*'Traffic Data'!BD53*annualizationFactor</f>
        <v>1.0977957154560003</v>
      </c>
      <c r="AC487" s="749">
        <f>$E$22*$G$9*'Traffic Data'!BE53*annualizationFactor</f>
        <v>1.1061052131840001</v>
      </c>
      <c r="AD487" s="749">
        <f>$E$22*$G$9*'Traffic Data'!BF53*annualizationFactor</f>
        <v>1.1144147109120002</v>
      </c>
      <c r="AE487" s="749">
        <f>$E$22*$G$9*'Traffic Data'!BG53*annualizationFactor</f>
        <v>1.1227834963200003</v>
      </c>
      <c r="AF487" s="749">
        <f>$E$22*$G$9*'Traffic Data'!BH53*annualizationFactor</f>
        <v>1.1310929940480001</v>
      </c>
      <c r="AG487" s="749">
        <f>$E$22*$G$9*'Traffic Data'!BI53*annualizationFactor</f>
        <v>1.1394024917759999</v>
      </c>
      <c r="AH487" s="750">
        <f>$E$22*$G$9*'Traffic Data'!BJ53*annualizationFactor</f>
        <v>1.1477383395840002</v>
      </c>
      <c r="AI487" s="24"/>
      <c r="AJ487" s="24"/>
      <c r="AK487" s="24"/>
      <c r="AL487" s="24"/>
      <c r="AM487" s="24"/>
    </row>
    <row r="488" spans="2:39" ht="21.9" customHeight="1" x14ac:dyDescent="0.25">
      <c r="B488" s="1332" t="s">
        <v>308</v>
      </c>
      <c r="C488" s="217" t="s">
        <v>276</v>
      </c>
      <c r="D488" s="217" t="s">
        <v>320</v>
      </c>
      <c r="E488" s="114" t="s">
        <v>434</v>
      </c>
      <c r="F488" s="114" t="s">
        <v>43</v>
      </c>
      <c r="G488" s="941"/>
      <c r="H488" s="941"/>
      <c r="I488" s="749">
        <f>$E$22*$H$9*'Traffic Data'!AK54*annualizationFactor</f>
        <v>7.5686399999999997E-3</v>
      </c>
      <c r="J488" s="749">
        <f>$E$22*$H$9*'Traffic Data'!AL54*annualizationFactor</f>
        <v>1.6821302399999998E-2</v>
      </c>
      <c r="K488" s="749">
        <f>$E$22*$H$9*'Traffic Data'!AM54*annualizationFactor</f>
        <v>7.109601984000001E-2</v>
      </c>
      <c r="L488" s="749">
        <f>$E$22*$H$9*'Traffic Data'!AN54*annualizationFactor</f>
        <v>0.15981940223999999</v>
      </c>
      <c r="M488" s="749">
        <f>$E$22*$H$9*'Traffic Data'!AO54*annualizationFactor</f>
        <v>0.24859198080000006</v>
      </c>
      <c r="N488" s="749">
        <f>$E$22*$H$9*'Traffic Data'!AP54*annualizationFactor</f>
        <v>0.33736834367999996</v>
      </c>
      <c r="O488" s="749">
        <f>$E$22*$H$9*'Traffic Data'!AQ54*annualizationFactor</f>
        <v>0.42609172608000007</v>
      </c>
      <c r="P488" s="749">
        <f>$E$22*$H$9*'Traffic Data'!AR54*annualizationFactor</f>
        <v>0.51491728512000012</v>
      </c>
      <c r="Q488" s="749">
        <f>$E$22*$H$9*'Traffic Data'!AS54*annualizationFactor</f>
        <v>0.58341347712000013</v>
      </c>
      <c r="R488" s="749">
        <f>$E$22*$H$9*'Traffic Data'!AT54*annualizationFactor</f>
        <v>0.65192102208000013</v>
      </c>
      <c r="S488" s="749">
        <f>$E$22*$H$9*'Traffic Data'!AU54*annualizationFactor</f>
        <v>0.72041721407999992</v>
      </c>
      <c r="T488" s="749">
        <f>$E$22*$H$9*'Traffic Data'!AV54*annualizationFactor</f>
        <v>0.78891340608000005</v>
      </c>
      <c r="U488" s="749">
        <f>$E$22*$H$9*'Traffic Data'!AW54*annualizationFactor</f>
        <v>0.85750042176000008</v>
      </c>
      <c r="V488" s="749">
        <f>$E$22*$H$9*'Traffic Data'!AX54*annualizationFactor</f>
        <v>0.89149496831999997</v>
      </c>
      <c r="W488" s="749">
        <f>$E$22*$H$9*'Traffic Data'!AY54*annualizationFactor</f>
        <v>0.90074763072000019</v>
      </c>
      <c r="X488" s="749">
        <f>$E$22*$H$9*'Traffic Data'!AZ54*annualizationFactor</f>
        <v>0.91000029312000008</v>
      </c>
      <c r="Y488" s="749">
        <f>$E$22*$H$9*'Traffic Data'!BA54*annualizationFactor</f>
        <v>0.91925295552000019</v>
      </c>
      <c r="Z488" s="749">
        <f>$E$22*$H$9*'Traffic Data'!BB54*annualizationFactor</f>
        <v>0.92853210816000009</v>
      </c>
      <c r="AA488" s="749">
        <f>$E$22*$H$9*'Traffic Data'!BC54*annualizationFactor</f>
        <v>0.93778477056000009</v>
      </c>
      <c r="AB488" s="749">
        <f>$E$22*$H$9*'Traffic Data'!BD54*annualizationFactor</f>
        <v>0.94706392319999966</v>
      </c>
      <c r="AC488" s="749">
        <f>$E$22*$H$9*'Traffic Data'!BE54*annualizationFactor</f>
        <v>0.95631658559999988</v>
      </c>
      <c r="AD488" s="749">
        <f>$E$22*$H$9*'Traffic Data'!BF54*annualizationFactor</f>
        <v>0.96556924799999999</v>
      </c>
      <c r="AE488" s="749">
        <f>$E$22*$H$9*'Traffic Data'!BG54*annualizationFactor</f>
        <v>0.97484840063999989</v>
      </c>
      <c r="AF488" s="749">
        <f>$E$22*$H$9*'Traffic Data'!BH54*annualizationFactor</f>
        <v>0.98410106304</v>
      </c>
      <c r="AG488" s="749">
        <f>$E$22*$H$9*'Traffic Data'!BI54*annualizationFactor</f>
        <v>0.99335372544</v>
      </c>
      <c r="AH488" s="750">
        <f>$E$22*$H$9*'Traffic Data'!BJ54*annualizationFactor</f>
        <v>1.00263287808</v>
      </c>
      <c r="AI488" s="24"/>
      <c r="AJ488" s="24"/>
      <c r="AK488" s="24"/>
      <c r="AL488" s="24"/>
      <c r="AM488" s="24"/>
    </row>
    <row r="489" spans="2:39" ht="21.9" customHeight="1" x14ac:dyDescent="0.25">
      <c r="B489" s="1332"/>
      <c r="C489" s="114" t="s">
        <v>320</v>
      </c>
      <c r="D489" s="114" t="s">
        <v>282</v>
      </c>
      <c r="E489" s="114" t="s">
        <v>434</v>
      </c>
      <c r="F489" s="114" t="s">
        <v>43</v>
      </c>
      <c r="G489" s="941"/>
      <c r="H489" s="941"/>
      <c r="I489" s="751">
        <f>$E$22*$H$9*'Traffic Data'!AK55*annualizationFactor</f>
        <v>0</v>
      </c>
      <c r="J489" s="751">
        <f>$E$22*$H$9*'Traffic Data'!AL55*annualizationFactor</f>
        <v>5.1018240000000005E-3</v>
      </c>
      <c r="K489" s="751">
        <f>$E$22*$H$9*'Traffic Data'!AM55*annualizationFactor</f>
        <v>1.4745841152000002E-2</v>
      </c>
      <c r="L489" s="751">
        <f>$E$22*$H$9*'Traffic Data'!AN55*annualizationFactor</f>
        <v>3.3147727872000002E-2</v>
      </c>
      <c r="M489" s="751">
        <f>$E$22*$H$9*'Traffic Data'!AO55*annualizationFactor</f>
        <v>5.1559818240000013E-2</v>
      </c>
      <c r="N489" s="751">
        <f>$E$22*$H$9*'Traffic Data'!AP55*annualizationFactor</f>
        <v>6.9972693503999997E-2</v>
      </c>
      <c r="O489" s="751">
        <f>$E$22*$H$9*'Traffic Data'!AQ55*annualizationFactor</f>
        <v>8.8374580223999993E-2</v>
      </c>
      <c r="P489" s="751">
        <f>$E$22*$H$9*'Traffic Data'!AR55*annualizationFactor</f>
        <v>0.10679765913600001</v>
      </c>
      <c r="Q489" s="751">
        <f>$E$22*$H$9*'Traffic Data'!AS55*annualizationFactor</f>
        <v>0.12100427673600003</v>
      </c>
      <c r="R489" s="751">
        <f>$E$22*$H$9*'Traffic Data'!AT55*annualizationFactor</f>
        <v>0.13521324902400003</v>
      </c>
      <c r="S489" s="751">
        <f>$E$22*$H$9*'Traffic Data'!AU55*annualizationFactor</f>
        <v>0.149419866624</v>
      </c>
      <c r="T489" s="751">
        <f>$E$22*$H$9*'Traffic Data'!AV55*annualizationFactor</f>
        <v>0.163626484224</v>
      </c>
      <c r="U489" s="751">
        <f>$E$22*$H$9*'Traffic Data'!AW55*annualizationFactor</f>
        <v>0.177851939328</v>
      </c>
      <c r="V489" s="751">
        <f>$E$22*$H$9*'Traffic Data'!AX55*annualizationFactor</f>
        <v>0.18490266009600001</v>
      </c>
      <c r="W489" s="751">
        <f>$E$22*$H$9*'Traffic Data'!AY55*annualizationFactor</f>
        <v>0.18682173081600006</v>
      </c>
      <c r="X489" s="751">
        <f>$E$22*$H$9*'Traffic Data'!AZ55*annualizationFactor</f>
        <v>0.18874080153600001</v>
      </c>
      <c r="Y489" s="751">
        <f>$E$22*$H$9*'Traffic Data'!BA55*annualizationFactor</f>
        <v>0.19065987225600003</v>
      </c>
      <c r="Z489" s="751">
        <f>$E$22*$H$9*'Traffic Data'!BB55*annualizationFactor</f>
        <v>0.19258443724800003</v>
      </c>
      <c r="AA489" s="751">
        <f>$E$22*$H$9*'Traffic Data'!BC55*annualizationFactor</f>
        <v>0.19450350796800003</v>
      </c>
      <c r="AB489" s="751">
        <f>$E$22*$H$9*'Traffic Data'!BD55*annualizationFactor</f>
        <v>0.19642807295999995</v>
      </c>
      <c r="AC489" s="751">
        <f>$E$22*$H$9*'Traffic Data'!BE55*annualizationFactor</f>
        <v>0.19834714367999998</v>
      </c>
      <c r="AD489" s="751">
        <f>$E$22*$H$9*'Traffic Data'!BF55*annualizationFactor</f>
        <v>0.2002662144</v>
      </c>
      <c r="AE489" s="751">
        <f>$E$22*$H$9*'Traffic Data'!BG55*annualizationFactor</f>
        <v>0.20219077939199998</v>
      </c>
      <c r="AF489" s="751">
        <f>$E$22*$H$9*'Traffic Data'!BH55*annualizationFactor</f>
        <v>0.204109850112</v>
      </c>
      <c r="AG489" s="751">
        <f>$E$22*$H$9*'Traffic Data'!BI55*annualizationFactor</f>
        <v>0.20602892083199997</v>
      </c>
      <c r="AH489" s="752">
        <f>$E$22*$H$9*'Traffic Data'!BJ55*annualizationFactor</f>
        <v>0.207953485824</v>
      </c>
      <c r="AI489" s="24"/>
      <c r="AJ489" s="24"/>
      <c r="AK489" s="24"/>
      <c r="AL489" s="24"/>
      <c r="AM489" s="24"/>
    </row>
    <row r="490" spans="2:39" ht="21.9" customHeight="1" x14ac:dyDescent="0.25">
      <c r="B490" s="1332"/>
      <c r="C490" s="114" t="s">
        <v>282</v>
      </c>
      <c r="D490" s="114" t="s">
        <v>321</v>
      </c>
      <c r="E490" s="114" t="s">
        <v>434</v>
      </c>
      <c r="F490" s="114" t="s">
        <v>43</v>
      </c>
      <c r="G490" s="941"/>
      <c r="H490" s="941"/>
      <c r="I490" s="751">
        <f>$E$22*$H$9*'Traffic Data'!AK56*annualizationFactor</f>
        <v>0</v>
      </c>
      <c r="J490" s="751">
        <f>$E$22*$H$9*'Traffic Data'!AL56*annualizationFactor</f>
        <v>1.3301184000000001E-2</v>
      </c>
      <c r="K490" s="751">
        <f>$E$22*$H$9*'Traffic Data'!AM56*annualizationFactor</f>
        <v>3.8444514431999997E-2</v>
      </c>
      <c r="L490" s="751">
        <f>$E$22*$H$9*'Traffic Data'!AN56*annualizationFactor</f>
        <v>8.6420861951999994E-2</v>
      </c>
      <c r="M490" s="751">
        <f>$E$22*$H$9*'Traffic Data'!AO56*annualizationFactor</f>
        <v>0.13442381184000002</v>
      </c>
      <c r="N490" s="751">
        <f>$E$22*$H$9*'Traffic Data'!AP56*annualizationFactor</f>
        <v>0.18242880806399997</v>
      </c>
      <c r="O490" s="751">
        <f>$E$22*$H$9*'Traffic Data'!AQ56*annualizationFactor</f>
        <v>0.23040515558399996</v>
      </c>
      <c r="P490" s="751">
        <f>$E$22*$H$9*'Traffic Data'!AR56*annualizationFactor</f>
        <v>0.278436754176</v>
      </c>
      <c r="Q490" s="751">
        <f>$E$22*$H$9*'Traffic Data'!AS56*annualizationFactor</f>
        <v>0.31547543577600007</v>
      </c>
      <c r="R490" s="751">
        <f>$E$22*$H$9*'Traffic Data'!AT56*annualizationFactor</f>
        <v>0.35252025638400003</v>
      </c>
      <c r="S490" s="751">
        <f>$E$22*$H$9*'Traffic Data'!AU56*annualizationFactor</f>
        <v>0.38955893798399993</v>
      </c>
      <c r="T490" s="751">
        <f>$E$22*$H$9*'Traffic Data'!AV56*annualizationFactor</f>
        <v>0.42659761958399994</v>
      </c>
      <c r="U490" s="751">
        <f>$E$22*$H$9*'Traffic Data'!AW56*annualizationFactor</f>
        <v>0.46368541324800006</v>
      </c>
      <c r="V490" s="751">
        <f>$E$22*$H$9*'Traffic Data'!AX56*annualizationFactor</f>
        <v>0.48206764953600001</v>
      </c>
      <c r="W490" s="751">
        <f>$E$22*$H$9*'Traffic Data'!AY56*annualizationFactor</f>
        <v>0.48707094105599996</v>
      </c>
      <c r="X490" s="751">
        <f>$E$22*$H$9*'Traffic Data'!AZ56*annualizationFactor</f>
        <v>0.49207423257599997</v>
      </c>
      <c r="Y490" s="751">
        <f>$E$22*$H$9*'Traffic Data'!BA56*annualizationFactor</f>
        <v>0.49707752409600003</v>
      </c>
      <c r="Z490" s="751">
        <f>$E$22*$H$9*'Traffic Data'!BB56*annualizationFactor</f>
        <v>0.50209513996800015</v>
      </c>
      <c r="AA490" s="751">
        <f>$E$22*$H$9*'Traffic Data'!BC56*annualizationFactor</f>
        <v>0.50709843148800005</v>
      </c>
      <c r="AB490" s="751">
        <f>$E$22*$H$9*'Traffic Data'!BD56*annualizationFactor</f>
        <v>0.51211604735999983</v>
      </c>
      <c r="AC490" s="751">
        <f>$E$22*$H$9*'Traffic Data'!BE56*annualizationFactor</f>
        <v>0.51711933887999995</v>
      </c>
      <c r="AD490" s="751">
        <f>$E$22*$H$9*'Traffic Data'!BF56*annualizationFactor</f>
        <v>0.52212263039999995</v>
      </c>
      <c r="AE490" s="751">
        <f>$E$22*$H$9*'Traffic Data'!BG56*annualizationFactor</f>
        <v>0.52714024627199985</v>
      </c>
      <c r="AF490" s="751">
        <f>$E$22*$H$9*'Traffic Data'!BH56*annualizationFactor</f>
        <v>0.53214353779199985</v>
      </c>
      <c r="AG490" s="751">
        <f>$E$22*$H$9*'Traffic Data'!BI56*annualizationFactor</f>
        <v>0.53714682931199997</v>
      </c>
      <c r="AH490" s="752">
        <f>$E$22*$H$9*'Traffic Data'!BJ56*annualizationFactor</f>
        <v>0.54216444518399987</v>
      </c>
      <c r="AI490" s="24"/>
      <c r="AJ490" s="24"/>
      <c r="AK490" s="24"/>
      <c r="AL490" s="24"/>
      <c r="AM490" s="24"/>
    </row>
    <row r="491" spans="2:39" ht="21.9" customHeight="1" x14ac:dyDescent="0.25">
      <c r="B491" s="1332"/>
      <c r="C491" s="250" t="s">
        <v>321</v>
      </c>
      <c r="D491" s="250" t="s">
        <v>274</v>
      </c>
      <c r="E491" s="114" t="s">
        <v>434</v>
      </c>
      <c r="F491" s="114" t="s">
        <v>43</v>
      </c>
      <c r="G491" s="941"/>
      <c r="H491" s="941"/>
      <c r="I491" s="751">
        <f>$E$22*$H$9*'Traffic Data'!AK57*annualizationFactor</f>
        <v>1.7660160000000001E-2</v>
      </c>
      <c r="J491" s="751">
        <f>$E$22*$H$9*'Traffic Data'!AL57*annualizationFactor</f>
        <v>2.6099950464000002E-2</v>
      </c>
      <c r="K491" s="751">
        <f>$E$22*$H$9*'Traffic Data'!AM57*annualizationFactor</f>
        <v>3.6614221056000006E-2</v>
      </c>
      <c r="L491" s="751">
        <f>$E$22*$H$9*'Traffic Data'!AN57*annualizationFactor</f>
        <v>5.9127393024000004E-2</v>
      </c>
      <c r="M491" s="751">
        <f>$E$22*$H$9*'Traffic Data'!AO57*annualizationFactor</f>
        <v>8.1643508352000016E-2</v>
      </c>
      <c r="N491" s="751">
        <f>$E$22*$H$9*'Traffic Data'!AP57*annualizationFactor</f>
        <v>0.10416904243200001</v>
      </c>
      <c r="O491" s="751">
        <f>$E$22*$H$9*'Traffic Data'!AQ57*annualizationFactor</f>
        <v>0.12668221439999999</v>
      </c>
      <c r="P491" s="751">
        <f>$E$22*$H$9*'Traffic Data'!AR57*annualizationFactor</f>
        <v>0.149183612928</v>
      </c>
      <c r="Q491" s="751">
        <f>$E$22*$H$9*'Traffic Data'!AS57*annualizationFactor</f>
        <v>0.19436536627199999</v>
      </c>
      <c r="R491" s="751">
        <f>$E$22*$H$9*'Traffic Data'!AT57*annualizationFactor</f>
        <v>0.239521218048</v>
      </c>
      <c r="S491" s="751">
        <f>$E$22*$H$9*'Traffic Data'!AU57*annualizationFactor</f>
        <v>0.28468707724800002</v>
      </c>
      <c r="T491" s="751">
        <f>$E$22*$H$9*'Traffic Data'!AV57*annualizationFactor</f>
        <v>0.32986883059200001</v>
      </c>
      <c r="U491" s="751">
        <f>$E$22*$H$9*'Traffic Data'!AW57*annualizationFactor</f>
        <v>0.37503881049600002</v>
      </c>
      <c r="V491" s="751">
        <f>$E$22*$H$9*'Traffic Data'!AX57*annualizationFactor</f>
        <v>0.40822048511999998</v>
      </c>
      <c r="W491" s="751">
        <f>$E$22*$H$9*'Traffic Data'!AY57*annualizationFactor</f>
        <v>0.41666027558399998</v>
      </c>
      <c r="X491" s="751">
        <f>$E$22*$H$9*'Traffic Data'!AZ57*annualizationFactor</f>
        <v>0.42510006604800005</v>
      </c>
      <c r="Y491" s="751">
        <f>$E$22*$H$9*'Traffic Data'!BA57*annualizationFactor</f>
        <v>0.43353985651199994</v>
      </c>
      <c r="Z491" s="751">
        <f>$E$22*$H$9*'Traffic Data'!BB57*annualizationFactor</f>
        <v>0.4419543340799999</v>
      </c>
      <c r="AA491" s="751">
        <f>$E$22*$H$9*'Traffic Data'!BC57*annualizationFactor</f>
        <v>0.45039412454400002</v>
      </c>
      <c r="AB491" s="751">
        <f>$E$22*$H$9*'Traffic Data'!BD57*annualizationFactor</f>
        <v>0.45880860211199997</v>
      </c>
      <c r="AC491" s="751">
        <f>$E$22*$H$9*'Traffic Data'!BE57*annualizationFactor</f>
        <v>0.46724839257599998</v>
      </c>
      <c r="AD491" s="751">
        <f>$E$22*$H$9*'Traffic Data'!BF57*annualizationFactor</f>
        <v>0.47568818303999999</v>
      </c>
      <c r="AE491" s="751">
        <f>$E$22*$H$9*'Traffic Data'!BG57*annualizationFactor</f>
        <v>0.48410266060799995</v>
      </c>
      <c r="AF491" s="751">
        <f>$E$22*$H$9*'Traffic Data'!BH57*annualizationFactor</f>
        <v>0.4925424510719999</v>
      </c>
      <c r="AG491" s="751">
        <f>$E$22*$H$9*'Traffic Data'!BI57*annualizationFactor</f>
        <v>0.50098224153600002</v>
      </c>
      <c r="AH491" s="752">
        <f>$E$22*$H$9*'Traffic Data'!BJ57*annualizationFactor</f>
        <v>0.50939671910399997</v>
      </c>
      <c r="AI491" s="24"/>
      <c r="AJ491" s="24"/>
      <c r="AK491" s="24"/>
      <c r="AL491" s="24"/>
      <c r="AM491" s="24"/>
    </row>
    <row r="492" spans="2:39" ht="21.9" customHeight="1" x14ac:dyDescent="0.25">
      <c r="B492" s="469" t="s">
        <v>282</v>
      </c>
      <c r="C492" s="114" t="s">
        <v>308</v>
      </c>
      <c r="D492" s="114" t="s">
        <v>324</v>
      </c>
      <c r="E492" s="114" t="s">
        <v>434</v>
      </c>
      <c r="F492" s="114" t="s">
        <v>43</v>
      </c>
      <c r="G492" s="941"/>
      <c r="H492" s="941"/>
      <c r="I492" s="749">
        <f>$E$22*$J$9*'Traffic Data'!AK58*annualizationFactor</f>
        <v>0.1009152</v>
      </c>
      <c r="J492" s="749">
        <f>$E$22*$J$9*'Traffic Data'!AL58*annualizationFactor</f>
        <v>0.10712036352</v>
      </c>
      <c r="K492" s="749">
        <f>$E$22*$J$9*'Traffic Data'!AM58*annualizationFactor</f>
        <v>0.11533205760000001</v>
      </c>
      <c r="L492" s="749">
        <f>$E$22*$J$9*'Traffic Data'!AN58*annualizationFactor</f>
        <v>0.12624491519999997</v>
      </c>
      <c r="M492" s="749">
        <f>$E$22*$J$9*'Traffic Data'!AO58*annualizationFactor</f>
        <v>0.13716113663999999</v>
      </c>
      <c r="N492" s="749">
        <f>$E$22*$J$9*'Traffic Data'!AP58*annualizationFactor</f>
        <v>0.14810090496000003</v>
      </c>
      <c r="O492" s="749">
        <f>$E$22*$J$9*'Traffic Data'!AQ58*annualizationFactor</f>
        <v>0.15901376255999997</v>
      </c>
      <c r="P492" s="749">
        <f>$E$22*$J$9*'Traffic Data'!AR58*annualizationFactor</f>
        <v>0.16993839359999999</v>
      </c>
      <c r="Q492" s="749">
        <f>$E$22*$J$9*'Traffic Data'!AS58*annualizationFactor</f>
        <v>0.17989984511999998</v>
      </c>
      <c r="R492" s="749">
        <f>$E$22*$J$9*'Traffic Data'!AT58*annualizationFactor</f>
        <v>0.18985288704000003</v>
      </c>
      <c r="S492" s="749">
        <f>$E$22*$J$9*'Traffic Data'!AU58*annualizationFactor</f>
        <v>0.19981489919999998</v>
      </c>
      <c r="T492" s="749">
        <f>$E$22*$J$9*'Traffic Data'!AV58*annualizationFactor</f>
        <v>0.20977635071999998</v>
      </c>
      <c r="U492" s="749">
        <f>$E$22*$J$9*'Traffic Data'!AW58*annualizationFactor</f>
        <v>0.21977312255999998</v>
      </c>
      <c r="V492" s="749">
        <f>$E$22*$J$9*'Traffic Data'!AX58*annualizationFactor</f>
        <v>0.22702556159999998</v>
      </c>
      <c r="W492" s="749">
        <f>$E$22*$J$9*'Traffic Data'!AY58*annualizationFactor</f>
        <v>0.23323072512000001</v>
      </c>
      <c r="X492" s="749">
        <f>$E$22*$J$9*'Traffic Data'!AZ58*annualizationFactor</f>
        <v>0.23943588863999996</v>
      </c>
      <c r="Y492" s="749">
        <f>$E$22*$J$9*'Traffic Data'!BA58*annualizationFactor</f>
        <v>0.24564105215999998</v>
      </c>
      <c r="Z492" s="749">
        <f>$E$22*$J$9*'Traffic Data'!BB58*annualizationFactor</f>
        <v>0.25185294335999997</v>
      </c>
      <c r="AA492" s="749">
        <f>$E$22*$J$9*'Traffic Data'!BC58*annualizationFactor</f>
        <v>0.25805810687999997</v>
      </c>
      <c r="AB492" s="749">
        <f>$E$22*$J$9*'Traffic Data'!BD58*annualizationFactor</f>
        <v>0.26427840767999999</v>
      </c>
      <c r="AC492" s="749">
        <f>$E$22*$J$9*'Traffic Data'!BE58*annualizationFactor</f>
        <v>0.27048357119999994</v>
      </c>
      <c r="AD492" s="749">
        <f>$E$22*$J$9*'Traffic Data'!BF58*annualizationFactor</f>
        <v>0.27668873472</v>
      </c>
      <c r="AE492" s="749">
        <f>$E$22*$J$9*'Traffic Data'!BG58*annualizationFactor</f>
        <v>0.28290062591999993</v>
      </c>
      <c r="AF492" s="749">
        <f>$E$22*$J$9*'Traffic Data'!BH58*annualizationFactor</f>
        <v>0.28910578943999998</v>
      </c>
      <c r="AG492" s="749">
        <f>$E$22*$J$9*'Traffic Data'!BI58*annualizationFactor</f>
        <v>0.29531095295999993</v>
      </c>
      <c r="AH492" s="750">
        <f>$E$22*$J$9*'Traffic Data'!BJ58*annualizationFactor</f>
        <v>0.30153125375999995</v>
      </c>
      <c r="AI492" s="24"/>
      <c r="AJ492" s="24"/>
      <c r="AK492" s="24"/>
      <c r="AL492" s="24"/>
      <c r="AM492" s="24"/>
    </row>
    <row r="493" spans="2:39" ht="21.9" customHeight="1" x14ac:dyDescent="0.25">
      <c r="B493" s="756" t="s">
        <v>321</v>
      </c>
      <c r="C493" s="273" t="s">
        <v>318</v>
      </c>
      <c r="D493" s="273" t="s">
        <v>308</v>
      </c>
      <c r="E493" s="273" t="s">
        <v>434</v>
      </c>
      <c r="F493" s="273" t="s">
        <v>43</v>
      </c>
      <c r="G493" s="754"/>
      <c r="H493" s="754"/>
      <c r="I493" s="749">
        <f>$E$22*$K$9*'Traffic Data'!AK59*annualizationFactor</f>
        <v>0</v>
      </c>
      <c r="J493" s="749">
        <f>$E$22*$K$9*'Traffic Data'!AL59*annualizationFactor</f>
        <v>0.1692501743616</v>
      </c>
      <c r="K493" s="749">
        <f>$E$22*$K$9*'Traffic Data'!AM59*annualizationFactor</f>
        <v>0.182224651008</v>
      </c>
      <c r="L493" s="749">
        <f>$E$22*$K$9*'Traffic Data'!AN59*annualizationFactor</f>
        <v>0.19946696601599995</v>
      </c>
      <c r="M493" s="749">
        <f>$E$22*$K$9*'Traffic Data'!AO59*annualizationFactor</f>
        <v>0.21671459589119998</v>
      </c>
      <c r="N493" s="749">
        <f>$E$22*$K$9*'Traffic Data'!AP59*annualizationFactor</f>
        <v>0.23399942983680005</v>
      </c>
      <c r="O493" s="749">
        <f>$E$22*$K$9*'Traffic Data'!AQ59*annualizationFactor</f>
        <v>0.25124174484479994</v>
      </c>
      <c r="P493" s="749">
        <f>$E$22*$K$9*'Traffic Data'!AR59*annualizationFactor</f>
        <v>0.26850266188799998</v>
      </c>
      <c r="Q493" s="749">
        <f>$E$22*$K$9*'Traffic Data'!AS59*annualizationFactor</f>
        <v>0.2842417552896</v>
      </c>
      <c r="R493" s="749">
        <f>$E$22*$K$9*'Traffic Data'!AT59*annualizationFactor</f>
        <v>0.29996756152319998</v>
      </c>
      <c r="S493" s="749">
        <f>$E$22*$K$9*'Traffic Data'!AU59*annualizationFactor</f>
        <v>0.31570754073599994</v>
      </c>
      <c r="T493" s="749">
        <f>$E$22*$K$9*'Traffic Data'!AV59*annualizationFactor</f>
        <v>0.3314466341376</v>
      </c>
      <c r="U493" s="749">
        <f>$E$22*$K$9*'Traffic Data'!AW59*annualizationFactor</f>
        <v>0.34724153364479998</v>
      </c>
      <c r="V493" s="749">
        <f>$E$22*$K$9*'Traffic Data'!AX59*annualizationFactor</f>
        <v>0.35870038732800003</v>
      </c>
      <c r="W493" s="749">
        <f>$E$22*$K$9*'Traffic Data'!AY59*annualizationFactor</f>
        <v>0.3685045456896</v>
      </c>
      <c r="X493" s="749">
        <f>$E$22*$K$9*'Traffic Data'!AZ59*annualizationFactor</f>
        <v>0.37830870405119993</v>
      </c>
      <c r="Y493" s="749">
        <f>$E$22*$K$9*'Traffic Data'!BA59*annualizationFactor</f>
        <v>0.38811286241279996</v>
      </c>
      <c r="Z493" s="749">
        <f>$E$22*$K$9*'Traffic Data'!BB59*annualizationFactor</f>
        <v>0.39792765050879997</v>
      </c>
      <c r="AA493" s="749">
        <f>$E$22*$K$9*'Traffic Data'!BC59*annualizationFactor</f>
        <v>0.40773180887039989</v>
      </c>
      <c r="AB493" s="749">
        <f>$E$22*$K$9*'Traffic Data'!BD59*annualizationFactor</f>
        <v>0.41755988413439998</v>
      </c>
      <c r="AC493" s="749">
        <f>$E$22*$K$9*'Traffic Data'!BE59*annualizationFactor</f>
        <v>0.42736404249599991</v>
      </c>
      <c r="AD493" s="749">
        <f>$E$22*$K$9*'Traffic Data'!BF59*annualizationFactor</f>
        <v>0.43716820085759994</v>
      </c>
      <c r="AE493" s="749">
        <f>$E$22*$K$9*'Traffic Data'!BG59*annualizationFactor</f>
        <v>0.44698298895359995</v>
      </c>
      <c r="AF493" s="749">
        <f>$E$22*$K$9*'Traffic Data'!BH59*annualizationFactor</f>
        <v>0.45678714731520004</v>
      </c>
      <c r="AG493" s="749">
        <f>$E$22*$K$9*'Traffic Data'!BI59*annualizationFactor</f>
        <v>0.46659130567679996</v>
      </c>
      <c r="AH493" s="750">
        <f>$E$22*$K$9*'Traffic Data'!BJ59*annualizationFactor</f>
        <v>0.47641938094079989</v>
      </c>
      <c r="AI493" s="24"/>
      <c r="AJ493" s="24"/>
      <c r="AK493" s="24"/>
      <c r="AL493" s="24"/>
      <c r="AM493" s="24"/>
    </row>
    <row r="494" spans="2:39" ht="21.9" customHeight="1" x14ac:dyDescent="0.25">
      <c r="B494" s="756" t="s">
        <v>333</v>
      </c>
      <c r="C494" s="273" t="s">
        <v>319</v>
      </c>
      <c r="D494" s="273" t="s">
        <v>308</v>
      </c>
      <c r="E494" s="114" t="s">
        <v>434</v>
      </c>
      <c r="F494" s="114" t="s">
        <v>43</v>
      </c>
      <c r="G494" s="941"/>
      <c r="H494" s="941"/>
      <c r="I494" s="749">
        <f>$E$22*$L$9*'Traffic Data'!AK60*annualizationFactor</f>
        <v>0.18715182545454545</v>
      </c>
      <c r="J494" s="749">
        <f>$E$22*$L$9*'Traffic Data'!AL60*annualizationFactor</f>
        <v>0.18972152399127271</v>
      </c>
      <c r="K494" s="749">
        <f>$E$22*$L$9*'Traffic Data'!AM60*annualizationFactor</f>
        <v>0.19416326064872727</v>
      </c>
      <c r="L494" s="749">
        <f>$E$22*$L$9*'Traffic Data'!AN60*annualizationFactor</f>
        <v>0.20026129096145456</v>
      </c>
      <c r="M494" s="749">
        <f>$E$22*$L$9*'Traffic Data'!AO60*annualizationFactor</f>
        <v>0.20636192060509093</v>
      </c>
      <c r="N494" s="749">
        <f>$E$22*$L$9*'Traffic Data'!AP60*annualizationFactor</f>
        <v>0.21247138797381815</v>
      </c>
      <c r="O494" s="749">
        <f>$E$22*$L$9*'Traffic Data'!AQ60*annualizationFactor</f>
        <v>0.21856941828654547</v>
      </c>
      <c r="P494" s="749">
        <f>$E$22*$L$9*'Traffic Data'!AR60*annualizationFactor</f>
        <v>0.22468876311272729</v>
      </c>
      <c r="Q494" s="749">
        <f>$E$22*$L$9*'Traffic Data'!AS60*annualizationFactor</f>
        <v>0.2289324307549091</v>
      </c>
      <c r="R494" s="749">
        <f>$E$22*$L$9*'Traffic Data'!AT60*annualizationFactor</f>
        <v>0.23317661826327268</v>
      </c>
      <c r="S494" s="749">
        <f>$E$22*$L$9*'Traffic Data'!AU60*annualizationFactor</f>
        <v>0.2374213256378182</v>
      </c>
      <c r="T494" s="749">
        <f>$E$22*$L$9*'Traffic Data'!AV60*annualizationFactor</f>
        <v>0.24166499328000005</v>
      </c>
      <c r="U494" s="749">
        <f>$E$22*$L$9*'Traffic Data'!AW60*annualizationFactor</f>
        <v>0.24593881316072724</v>
      </c>
      <c r="V494" s="749">
        <f>$E$22*$L$9*'Traffic Data'!AX60*annualizationFactor</f>
        <v>0.2485085116974545</v>
      </c>
      <c r="W494" s="749">
        <f>$E$22*$L$9*'Traffic Data'!AY60*annualizationFactor</f>
        <v>0.25107821023418175</v>
      </c>
      <c r="X494" s="749">
        <f>$E$22*$L$9*'Traffic Data'!AZ60*annualizationFactor</f>
        <v>0.25364790877090909</v>
      </c>
      <c r="Y494" s="749">
        <f>$E$22*$L$9*'Traffic Data'!BA60*annualizationFactor</f>
        <v>0.25621760730763632</v>
      </c>
      <c r="Z494" s="749">
        <f>$E$22*$L$9*'Traffic Data'!BB60*annualizationFactor</f>
        <v>0.25880498129454549</v>
      </c>
      <c r="AA494" s="749">
        <f>$E$22*$L$9*'Traffic Data'!BC60*annualizationFactor</f>
        <v>0.26137467983127272</v>
      </c>
      <c r="AB494" s="749">
        <f>$E$22*$L$9*'Traffic Data'!BD60*annualizationFactor</f>
        <v>0.26395425582545456</v>
      </c>
      <c r="AC494" s="749">
        <f>$E$22*$L$9*'Traffic Data'!BE60*annualizationFactor</f>
        <v>0.26652395436218179</v>
      </c>
      <c r="AD494" s="749">
        <f>$E$22*$L$9*'Traffic Data'!BF60*annualizationFactor</f>
        <v>0.26909365289890913</v>
      </c>
      <c r="AE494" s="749">
        <f>$E$22*$L$9*'Traffic Data'!BG60*annualizationFactor</f>
        <v>0.27168102688581819</v>
      </c>
      <c r="AF494" s="749">
        <f>$E$22*$L$9*'Traffic Data'!BH60*annualizationFactor</f>
        <v>0.27425072542254547</v>
      </c>
      <c r="AG494" s="749">
        <f>$E$22*$L$9*'Traffic Data'!BI60*annualizationFactor</f>
        <v>0.27682042395927275</v>
      </c>
      <c r="AH494" s="750">
        <f>$E$22*$L$9*'Traffic Data'!BJ60*annualizationFactor</f>
        <v>0.27939999995345455</v>
      </c>
      <c r="AI494" s="24"/>
      <c r="AJ494" s="24"/>
      <c r="AK494" s="24"/>
      <c r="AL494" s="24"/>
      <c r="AM494" s="24"/>
    </row>
    <row r="495" spans="2:39" ht="21.9" customHeight="1" x14ac:dyDescent="0.25">
      <c r="B495" s="469" t="s">
        <v>319</v>
      </c>
      <c r="C495" s="114" t="s">
        <v>276</v>
      </c>
      <c r="D495" s="114" t="s">
        <v>333</v>
      </c>
      <c r="E495" s="217" t="s">
        <v>434</v>
      </c>
      <c r="F495" s="217" t="s">
        <v>43</v>
      </c>
      <c r="G495" s="749"/>
      <c r="H495" s="749"/>
      <c r="I495" s="749">
        <f>$E$22*$M$9*'Traffic Data'!AK61*annualizationFactor</f>
        <v>0.67213090909090911</v>
      </c>
      <c r="J495" s="749">
        <f>$E$22*$M$9*'Traffic Data'!AL61*annualizationFactor</f>
        <v>0.69150642680727292</v>
      </c>
      <c r="K495" s="749">
        <f>$E$22*$M$9*'Traffic Data'!AM61*annualizationFactor</f>
        <v>0.71247825543272736</v>
      </c>
      <c r="L495" s="749">
        <f>$E$22*$M$9*'Traffic Data'!AN61*annualizationFactor</f>
        <v>0.7403011144145456</v>
      </c>
      <c r="M495" s="749">
        <f>$E$22*$M$9*'Traffic Data'!AO61*annualizationFactor</f>
        <v>0.76812867831272724</v>
      </c>
      <c r="N495" s="749">
        <f>$E$22*$M$9*'Traffic Data'!AP61*annualizationFactor</f>
        <v>0.79596766843636368</v>
      </c>
      <c r="O495" s="749">
        <f>$E$22*$M$9*'Traffic Data'!AQ61*annualizationFactor</f>
        <v>0.82379052741818193</v>
      </c>
      <c r="P495" s="749">
        <f>$E$22*$M$9*'Traffic Data'!AR61*annualizationFactor</f>
        <v>0.85162077984000017</v>
      </c>
      <c r="Q495" s="749">
        <f>$E$22*$M$9*'Traffic Data'!AS61*annualizationFactor</f>
        <v>0.88224440832000017</v>
      </c>
      <c r="R495" s="749">
        <f>$E$22*$M$9*'Traffic Data'!AT61*annualizationFactor</f>
        <v>0.91285795483636367</v>
      </c>
      <c r="S495" s="749">
        <f>$E$22*$M$9*'Traffic Data'!AU61*annualizationFactor</f>
        <v>0.94348158331636378</v>
      </c>
      <c r="T495" s="749">
        <f>$E$22*$M$9*'Traffic Data'!AV61*annualizationFactor</f>
        <v>0.97410521179636378</v>
      </c>
      <c r="U495" s="749">
        <f>$E$22*$M$9*'Traffic Data'!AW61*annualizationFactor</f>
        <v>1.0047463156800001</v>
      </c>
      <c r="V495" s="749">
        <f>$E$22*$M$9*'Traffic Data'!AX61*annualizationFactor</f>
        <v>1.02851622528</v>
      </c>
      <c r="W495" s="749">
        <f>$E$22*$M$9*'Traffic Data'!AY61*annualizationFactor</f>
        <v>1.0478917429963637</v>
      </c>
      <c r="X495" s="749">
        <f>$E$22*$M$9*'Traffic Data'!AZ61*annualizationFactor</f>
        <v>1.0672672607127274</v>
      </c>
      <c r="Y495" s="749">
        <f>$E$22*$M$9*'Traffic Data'!BA61*annualizationFactor</f>
        <v>1.0866427784290911</v>
      </c>
      <c r="Z495" s="749">
        <f>$E$22*$M$9*'Traffic Data'!BB61*annualizationFactor</f>
        <v>1.1060162797527273</v>
      </c>
      <c r="AA495" s="749">
        <f>$E$22*$M$9*'Traffic Data'!BC61*annualizationFactor</f>
        <v>1.1253917974690906</v>
      </c>
      <c r="AB495" s="749">
        <f>$E$22*$M$9*'Traffic Data'!BD61*annualizationFactor</f>
        <v>1.1447652987927268</v>
      </c>
      <c r="AC495" s="749">
        <f>$E$22*$M$9*'Traffic Data'!BE61*annualizationFactor</f>
        <v>1.1641408165090912</v>
      </c>
      <c r="AD495" s="749">
        <f>$E$22*$M$9*'Traffic Data'!BF61*annualizationFactor</f>
        <v>1.1835163342254549</v>
      </c>
      <c r="AE495" s="749">
        <f>$E$22*$M$9*'Traffic Data'!BG61*annualizationFactor</f>
        <v>1.2028898355490911</v>
      </c>
      <c r="AF495" s="749">
        <f>$E$22*$M$9*'Traffic Data'!BH61*annualizationFactor</f>
        <v>1.2222653532654546</v>
      </c>
      <c r="AG495" s="749">
        <f>$E$22*$M$9*'Traffic Data'!BI61*annualizationFactor</f>
        <v>1.2416408709818183</v>
      </c>
      <c r="AH495" s="750">
        <f>$E$22*$M$9*'Traffic Data'!BJ61*annualizationFactor</f>
        <v>1.2610143723054548</v>
      </c>
      <c r="AI495" s="24"/>
      <c r="AJ495" s="24"/>
      <c r="AK495" s="24"/>
      <c r="AL495" s="24"/>
      <c r="AM495" s="24"/>
    </row>
    <row r="496" spans="2:39" ht="21.9" customHeight="1" x14ac:dyDescent="0.25">
      <c r="B496" s="469"/>
      <c r="C496" s="114" t="s">
        <v>333</v>
      </c>
      <c r="D496" s="114" t="s">
        <v>323</v>
      </c>
      <c r="E496" s="114" t="s">
        <v>434</v>
      </c>
      <c r="F496" s="114" t="s">
        <v>43</v>
      </c>
      <c r="G496" s="941"/>
      <c r="H496" s="941"/>
      <c r="I496" s="751">
        <f>$E$22*$M$9*'Traffic Data'!AK62*annualizationFactor</f>
        <v>9.7886894545454559E-2</v>
      </c>
      <c r="J496" s="751">
        <f>$E$22*$M$9*'Traffic Data'!AL62*annualizationFactor</f>
        <v>0.10066507917090908</v>
      </c>
      <c r="K496" s="751">
        <f>$E$22*$M$9*'Traffic Data'!AM62*annualizationFactor</f>
        <v>0.10374812995345453</v>
      </c>
      <c r="L496" s="751">
        <f>$E$22*$M$9*'Traffic Data'!AN62*annualizationFactor</f>
        <v>0.10807550348363636</v>
      </c>
      <c r="M496" s="751">
        <f>$E$22*$M$9*'Traffic Data'!AO62*annualizationFactor</f>
        <v>0.1124036498050909</v>
      </c>
      <c r="N496" s="751">
        <f>$E$22*$M$9*'Traffic Data'!AP62*annualizationFactor</f>
        <v>0.1167326977163636</v>
      </c>
      <c r="O496" s="751">
        <f>$E$22*$M$9*'Traffic Data'!AQ62*annualizationFactor</f>
        <v>0.12106007124654546</v>
      </c>
      <c r="P496" s="751">
        <f>$E$22*$M$9*'Traffic Data'!AR62*annualizationFactor</f>
        <v>0.12538770237381816</v>
      </c>
      <c r="Q496" s="751">
        <f>$E$22*$M$9*'Traffic Data'!AS62*annualizationFactor</f>
        <v>0.13025177944290911</v>
      </c>
      <c r="R496" s="751">
        <f>$E$22*$M$9*'Traffic Data'!AT62*annualizationFactor</f>
        <v>0.13511418213090906</v>
      </c>
      <c r="S496" s="751">
        <f>$E$22*$M$9*'Traffic Data'!AU62*annualizationFactor</f>
        <v>0.13997825919999998</v>
      </c>
      <c r="T496" s="751">
        <f>$E$22*$M$9*'Traffic Data'!AV62*annualizationFactor</f>
        <v>0.14484233626909088</v>
      </c>
      <c r="U496" s="751">
        <f>$E$22*$M$9*'Traffic Data'!AW62*annualizationFactor</f>
        <v>0.14970718612945455</v>
      </c>
      <c r="V496" s="751">
        <f>$E$22*$M$9*'Traffic Data'!AX62*annualizationFactor</f>
        <v>0.1533274556450909</v>
      </c>
      <c r="W496" s="751">
        <f>$E$22*$M$9*'Traffic Data'!AY62*annualizationFactor</f>
        <v>0.15610564027054544</v>
      </c>
      <c r="X496" s="751">
        <f>$E$22*$M$9*'Traffic Data'!AZ62*annualizationFactor</f>
        <v>0.15888382489600003</v>
      </c>
      <c r="Y496" s="751">
        <f>$E$22*$M$9*'Traffic Data'!BA62*annualizationFactor</f>
        <v>0.16166200952145454</v>
      </c>
      <c r="Z496" s="751">
        <f>$E$22*$M$9*'Traffic Data'!BB62*annualizationFactor</f>
        <v>0.16443877736290907</v>
      </c>
      <c r="AA496" s="751">
        <f>$E$22*$M$9*'Traffic Data'!BC62*annualizationFactor</f>
        <v>0.16721696198836361</v>
      </c>
      <c r="AB496" s="751">
        <f>$E$22*$M$9*'Traffic Data'!BD62*annualizationFactor</f>
        <v>0.16999372982981817</v>
      </c>
      <c r="AC496" s="751">
        <f>$E$22*$M$9*'Traffic Data'!BE62*annualizationFactor</f>
        <v>0.17277191445527271</v>
      </c>
      <c r="AD496" s="751">
        <f>$E$22*$M$9*'Traffic Data'!BF62*annualizationFactor</f>
        <v>0.17555009908072725</v>
      </c>
      <c r="AE496" s="751">
        <f>$E$22*$M$9*'Traffic Data'!BG62*annualizationFactor</f>
        <v>0.17832686692218178</v>
      </c>
      <c r="AF496" s="751">
        <f>$E$22*$M$9*'Traffic Data'!BH62*annualizationFactor</f>
        <v>0.18110505154763634</v>
      </c>
      <c r="AG496" s="751">
        <f>$E$22*$M$9*'Traffic Data'!BI62*annualizationFactor</f>
        <v>0.18388323617309085</v>
      </c>
      <c r="AH496" s="752">
        <f>$E$22*$M$9*'Traffic Data'!BJ62*annualizationFactor</f>
        <v>0.18666000401454541</v>
      </c>
      <c r="AI496" s="24"/>
      <c r="AJ496" s="24"/>
      <c r="AK496" s="24"/>
      <c r="AL496" s="24"/>
      <c r="AM496" s="24"/>
    </row>
    <row r="497" spans="2:39" ht="21.9" customHeight="1" x14ac:dyDescent="0.25">
      <c r="B497" s="469"/>
      <c r="C497" s="114" t="s">
        <v>323</v>
      </c>
      <c r="D497" s="114" t="s">
        <v>322</v>
      </c>
      <c r="E497" s="114" t="s">
        <v>434</v>
      </c>
      <c r="F497" s="114" t="s">
        <v>43</v>
      </c>
      <c r="G497" s="941"/>
      <c r="H497" s="941"/>
      <c r="I497" s="751">
        <f>$E$22*$M$9*'Traffic Data'!AK63*annualizationFactor</f>
        <v>2.4209454545454544E-2</v>
      </c>
      <c r="J497" s="751">
        <f>$E$22*$M$9*'Traffic Data'!AL63*annualizationFactor</f>
        <v>2.4896557090909089E-2</v>
      </c>
      <c r="K497" s="751">
        <f>$E$22*$M$9*'Traffic Data'!AM63*annualizationFactor</f>
        <v>2.5659059345454545E-2</v>
      </c>
      <c r="L497" s="751">
        <f>$E$22*$M$9*'Traffic Data'!AN63*annualizationFactor</f>
        <v>2.6729308363636361E-2</v>
      </c>
      <c r="M497" s="751">
        <f>$E$22*$M$9*'Traffic Data'!AO63*annualizationFactor</f>
        <v>2.7799748509090907E-2</v>
      </c>
      <c r="N497" s="751">
        <f>$E$22*$M$9*'Traffic Data'!AP63*annualizationFactor</f>
        <v>2.8870411636363634E-2</v>
      </c>
      <c r="O497" s="751">
        <f>$E$22*$M$9*'Traffic Data'!AQ63*annualizationFactor</f>
        <v>2.9940660654545453E-2</v>
      </c>
      <c r="P497" s="751">
        <f>$E$22*$M$9*'Traffic Data'!AR63*annualizationFactor</f>
        <v>3.1010973381818185E-2</v>
      </c>
      <c r="Q497" s="751">
        <f>$E$22*$M$9*'Traffic Data'!AS63*annualizationFactor</f>
        <v>3.2213960290909095E-2</v>
      </c>
      <c r="R497" s="751">
        <f>$E$22*$M$9*'Traffic Data'!AT63*annualizationFactor</f>
        <v>3.3416533090909084E-2</v>
      </c>
      <c r="S497" s="751">
        <f>$E$22*$M$9*'Traffic Data'!AU63*annualizationFactor</f>
        <v>3.4619519999999994E-2</v>
      </c>
      <c r="T497" s="751">
        <f>$E$22*$M$9*'Traffic Data'!AV63*annualizationFactor</f>
        <v>3.5822506909090904E-2</v>
      </c>
      <c r="U497" s="751">
        <f>$E$22*$M$9*'Traffic Data'!AW63*annualizationFactor</f>
        <v>3.7025684945454544E-2</v>
      </c>
      <c r="V497" s="751">
        <f>$E$22*$M$9*'Traffic Data'!AX63*annualizationFactor</f>
        <v>3.7921052509090905E-2</v>
      </c>
      <c r="W497" s="751">
        <f>$E$22*$M$9*'Traffic Data'!AY63*annualizationFactor</f>
        <v>3.860815505454545E-2</v>
      </c>
      <c r="X497" s="751">
        <f>$E$22*$M$9*'Traffic Data'!AZ63*annualizationFactor</f>
        <v>3.9295257600000001E-2</v>
      </c>
      <c r="Y497" s="751">
        <f>$E$22*$M$9*'Traffic Data'!BA63*annualizationFactor</f>
        <v>3.9982360145454546E-2</v>
      </c>
      <c r="Z497" s="751">
        <f>$E$22*$M$9*'Traffic Data'!BB63*annualizationFactor</f>
        <v>4.0669112290909082E-2</v>
      </c>
      <c r="AA497" s="751">
        <f>$E$22*$M$9*'Traffic Data'!BC63*annualizationFactor</f>
        <v>4.1356214836363626E-2</v>
      </c>
      <c r="AB497" s="751">
        <f>$E$22*$M$9*'Traffic Data'!BD63*annualizationFactor</f>
        <v>4.2042966981818183E-2</v>
      </c>
      <c r="AC497" s="751">
        <f>$E$22*$M$9*'Traffic Data'!BE63*annualizationFactor</f>
        <v>4.2730069527272728E-2</v>
      </c>
      <c r="AD497" s="751">
        <f>$E$22*$M$9*'Traffic Data'!BF63*annualizationFactor</f>
        <v>4.3417172072727273E-2</v>
      </c>
      <c r="AE497" s="751">
        <f>$E$22*$M$9*'Traffic Data'!BG63*annualizationFactor</f>
        <v>4.4103924218181809E-2</v>
      </c>
      <c r="AF497" s="751">
        <f>$E$22*$M$9*'Traffic Data'!BH63*annualizationFactor</f>
        <v>4.4791026763636353E-2</v>
      </c>
      <c r="AG497" s="751">
        <f>$E$22*$M$9*'Traffic Data'!BI63*annualizationFactor</f>
        <v>4.5478129309090898E-2</v>
      </c>
      <c r="AH497" s="752">
        <f>$E$22*$M$9*'Traffic Data'!BJ63*annualizationFactor</f>
        <v>4.6164881454545448E-2</v>
      </c>
      <c r="AI497" s="24"/>
      <c r="AJ497" s="24"/>
      <c r="AK497" s="24"/>
      <c r="AL497" s="24"/>
      <c r="AM497" s="24"/>
    </row>
    <row r="498" spans="2:39" ht="21.9" customHeight="1" x14ac:dyDescent="0.25">
      <c r="B498" s="469"/>
      <c r="C498" s="114" t="s">
        <v>322</v>
      </c>
      <c r="D498" s="114" t="s">
        <v>326</v>
      </c>
      <c r="E498" s="114" t="s">
        <v>434</v>
      </c>
      <c r="F498" s="114" t="s">
        <v>43</v>
      </c>
      <c r="G498" s="941"/>
      <c r="H498" s="941"/>
      <c r="I498" s="751">
        <f>$E$22*$M$9*'Traffic Data'!AK64*annualizationFactor</f>
        <v>6.2116363636363636E-2</v>
      </c>
      <c r="J498" s="751">
        <f>$E$22*$M$9*'Traffic Data'!AL64*annualizationFactor</f>
        <v>6.3877776654545457E-2</v>
      </c>
      <c r="K498" s="751">
        <f>$E$22*$M$9*'Traffic Data'!AM64*annualizationFactor</f>
        <v>6.5884859890909087E-2</v>
      </c>
      <c r="L498" s="751">
        <f>$E$22*$M$9*'Traffic Data'!AN64*annualizationFactor</f>
        <v>6.8449437490909093E-2</v>
      </c>
      <c r="M498" s="751">
        <f>$E$22*$M$9*'Traffic Data'!AO64*annualizationFactor</f>
        <v>7.1014843309090914E-2</v>
      </c>
      <c r="N498" s="751">
        <f>$E$22*$M$9*'Traffic Data'!AP64*annualizationFactor</f>
        <v>7.3579835018181841E-2</v>
      </c>
      <c r="O498" s="751">
        <f>$E$22*$M$9*'Traffic Data'!AQ64*annualizationFactor</f>
        <v>7.6144412618181834E-2</v>
      </c>
      <c r="P498" s="751">
        <f>$E$22*$M$9*'Traffic Data'!AR64*annualizationFactor</f>
        <v>7.8709507854545474E-2</v>
      </c>
      <c r="Q498" s="751">
        <f>$E$22*$M$9*'Traffic Data'!AS64*annualizationFactor</f>
        <v>8.1608685599999994E-2</v>
      </c>
      <c r="R498" s="751">
        <f>$E$22*$M$9*'Traffic Data'!AT64*annualizationFactor</f>
        <v>8.4507759818181816E-2</v>
      </c>
      <c r="S498" s="751">
        <f>$E$22*$M$9*'Traffic Data'!AU64*annualizationFactor</f>
        <v>8.7406523454545457E-2</v>
      </c>
      <c r="T498" s="751">
        <f>$E$22*$M$9*'Traffic Data'!AV64*annualizationFactor</f>
        <v>9.0305701200000005E-2</v>
      </c>
      <c r="U498" s="751">
        <f>$E$22*$M$9*'Traffic Data'!AW64*annualizationFactor</f>
        <v>9.3205396581818173E-2</v>
      </c>
      <c r="V498" s="751">
        <f>$E$22*$M$9*'Traffic Data'!AX64*annualizationFactor</f>
        <v>9.5546976436363645E-2</v>
      </c>
      <c r="W498" s="751">
        <f>$E$22*$M$9*'Traffic Data'!AY64*annualizationFactor</f>
        <v>9.7308389454545466E-2</v>
      </c>
      <c r="X498" s="751">
        <f>$E$22*$M$9*'Traffic Data'!AZ64*annualizationFactor</f>
        <v>9.90698024727273E-2</v>
      </c>
      <c r="Y498" s="751">
        <f>$E$22*$M$9*'Traffic Data'!BA64*annualizationFactor</f>
        <v>0.10083121549090911</v>
      </c>
      <c r="Z498" s="751">
        <f>$E$22*$M$9*'Traffic Data'!BB64*annualizationFactor</f>
        <v>0.10259211087272729</v>
      </c>
      <c r="AA498" s="751">
        <f>$E$22*$M$9*'Traffic Data'!BC64*annualizationFactor</f>
        <v>0.10435352389090907</v>
      </c>
      <c r="AB498" s="751">
        <f>$E$22*$M$9*'Traffic Data'!BD64*annualizationFactor</f>
        <v>0.10611441927272726</v>
      </c>
      <c r="AC498" s="751">
        <f>$E$22*$M$9*'Traffic Data'!BE64*annualizationFactor</f>
        <v>0.10787583229090907</v>
      </c>
      <c r="AD498" s="751">
        <f>$E$22*$M$9*'Traffic Data'!BF64*annualizationFactor</f>
        <v>0.1096372453090909</v>
      </c>
      <c r="AE498" s="751">
        <f>$E$22*$M$9*'Traffic Data'!BG64*annualizationFactor</f>
        <v>0.11139814069090907</v>
      </c>
      <c r="AF498" s="751">
        <f>$E$22*$M$9*'Traffic Data'!BH64*annualizationFactor</f>
        <v>0.11315955370909089</v>
      </c>
      <c r="AG498" s="751">
        <f>$E$22*$M$9*'Traffic Data'!BI64*annualizationFactor</f>
        <v>0.1149209667272727</v>
      </c>
      <c r="AH498" s="752">
        <f>$E$22*$M$9*'Traffic Data'!BJ64*annualizationFactor</f>
        <v>0.11668186210909087</v>
      </c>
      <c r="AI498" s="24"/>
      <c r="AJ498" s="24"/>
      <c r="AK498" s="24"/>
      <c r="AL498" s="24"/>
      <c r="AM498" s="24"/>
    </row>
    <row r="499" spans="2:39" ht="21.9" customHeight="1" x14ac:dyDescent="0.25">
      <c r="B499" s="469"/>
      <c r="C499" s="114" t="s">
        <v>326</v>
      </c>
      <c r="D499" s="114" t="s">
        <v>274</v>
      </c>
      <c r="E499" s="114" t="s">
        <v>434</v>
      </c>
      <c r="F499" s="114" t="s">
        <v>43</v>
      </c>
      <c r="G499" s="941"/>
      <c r="H499" s="941"/>
      <c r="I499" s="751">
        <f>$E$22*$M$9*'Traffic Data'!AK65*annualizationFactor</f>
        <v>0.51572509090909091</v>
      </c>
      <c r="J499" s="751">
        <f>$E$22*$M$9*'Traffic Data'!AL65*annualizationFactor</f>
        <v>0.53034933540363638</v>
      </c>
      <c r="K499" s="751">
        <f>$E$22*$M$9*'Traffic Data'!AM65*annualizationFactor</f>
        <v>0.54701327263272725</v>
      </c>
      <c r="L499" s="751">
        <f>$E$22*$M$9*'Traffic Data'!AN65*annualizationFactor</f>
        <v>0.56830584255272731</v>
      </c>
      <c r="M499" s="751">
        <f>$E$22*$M$9*'Traffic Data'!AO65*annualizationFactor</f>
        <v>0.58960528880727281</v>
      </c>
      <c r="N499" s="751">
        <f>$E$22*$M$9*'Traffic Data'!AP65*annualizationFactor</f>
        <v>0.61090129689454575</v>
      </c>
      <c r="O499" s="751">
        <f>$E$22*$M$9*'Traffic Data'!AQ65*annualizationFactor</f>
        <v>0.63219386681454548</v>
      </c>
      <c r="P499" s="751">
        <f>$E$22*$M$9*'Traffic Data'!AR65*annualizationFactor</f>
        <v>0.65349073444363648</v>
      </c>
      <c r="Q499" s="751">
        <f>$E$22*$M$9*'Traffic Data'!AS65*annualizationFactor</f>
        <v>0.67756134351999986</v>
      </c>
      <c r="R499" s="751">
        <f>$E$22*$M$9*'Traffic Data'!AT65*annualizationFactor</f>
        <v>0.70163109305454552</v>
      </c>
      <c r="S499" s="751">
        <f>$E$22*$M$9*'Traffic Data'!AU65*annualizationFactor</f>
        <v>0.72569826396363635</v>
      </c>
      <c r="T499" s="751">
        <f>$E$22*$M$9*'Traffic Data'!AV65*annualizationFactor</f>
        <v>0.74976887304000006</v>
      </c>
      <c r="U499" s="751">
        <f>$E$22*$M$9*'Traffic Data'!AW65*annualizationFactor</f>
        <v>0.77384377982545449</v>
      </c>
      <c r="V499" s="751">
        <f>$E$22*$M$9*'Traffic Data'!AX65*annualizationFactor</f>
        <v>0.79328489666909097</v>
      </c>
      <c r="W499" s="751">
        <f>$E$22*$M$9*'Traffic Data'!AY65*annualizationFactor</f>
        <v>0.80790914116363655</v>
      </c>
      <c r="X499" s="751">
        <f>$E$22*$M$9*'Traffic Data'!AZ65*annualizationFactor</f>
        <v>0.82253338565818201</v>
      </c>
      <c r="Y499" s="751">
        <f>$E$22*$M$9*'Traffic Data'!BA65*annualizationFactor</f>
        <v>0.83715763015272748</v>
      </c>
      <c r="Z499" s="751">
        <f>$E$22*$M$9*'Traffic Data'!BB65*annualizationFactor</f>
        <v>0.85177757693818201</v>
      </c>
      <c r="AA499" s="751">
        <f>$E$22*$M$9*'Traffic Data'!BC65*annualizationFactor</f>
        <v>0.86640182143272715</v>
      </c>
      <c r="AB499" s="751">
        <f>$E$22*$M$9*'Traffic Data'!BD65*annualizationFactor</f>
        <v>0.88102176821818168</v>
      </c>
      <c r="AC499" s="751">
        <f>$E$22*$M$9*'Traffic Data'!BE65*annualizationFactor</f>
        <v>0.89564601271272715</v>
      </c>
      <c r="AD499" s="751">
        <f>$E$22*$M$9*'Traffic Data'!BF65*annualizationFactor</f>
        <v>0.91027025720727273</v>
      </c>
      <c r="AE499" s="751">
        <f>$E$22*$M$9*'Traffic Data'!BG65*annualizationFactor</f>
        <v>0.92489020399272714</v>
      </c>
      <c r="AF499" s="751">
        <f>$E$22*$M$9*'Traffic Data'!BH65*annualizationFactor</f>
        <v>0.93951444848727272</v>
      </c>
      <c r="AG499" s="751">
        <f>$E$22*$M$9*'Traffic Data'!BI65*annualizationFactor</f>
        <v>0.95413869298181797</v>
      </c>
      <c r="AH499" s="752">
        <f>$E$22*$M$9*'Traffic Data'!BJ65*annualizationFactor</f>
        <v>0.9687586397672725</v>
      </c>
      <c r="AI499" s="24"/>
      <c r="AJ499" s="24"/>
      <c r="AK499" s="24"/>
      <c r="AL499" s="24"/>
      <c r="AM499" s="24"/>
    </row>
    <row r="500" spans="2:39" ht="21.9" customHeight="1" x14ac:dyDescent="0.25">
      <c r="B500" s="470"/>
      <c r="C500" s="250" t="s">
        <v>274</v>
      </c>
      <c r="D500" s="250" t="s">
        <v>317</v>
      </c>
      <c r="E500" s="250" t="s">
        <v>434</v>
      </c>
      <c r="F500" s="250" t="s">
        <v>43</v>
      </c>
      <c r="G500" s="753"/>
      <c r="H500" s="753"/>
      <c r="I500" s="753">
        <f>$E$22*$M$9*'Traffic Data'!AK66*annualizationFactor</f>
        <v>1.2741818181818182E-2</v>
      </c>
      <c r="J500" s="753">
        <f>$E$22*$M$9*'Traffic Data'!AL66*annualizationFactor</f>
        <v>1.3103133672727276E-2</v>
      </c>
      <c r="K500" s="753">
        <f>$E$22*$M$9*'Traffic Data'!AM66*annualizationFactor</f>
        <v>1.3514843054545454E-2</v>
      </c>
      <c r="L500" s="753">
        <f>$E$22*$M$9*'Traffic Data'!AN66*annualizationFactor</f>
        <v>1.4040910254545458E-2</v>
      </c>
      <c r="M500" s="753">
        <f>$E$22*$M$9*'Traffic Data'!AO66*annualizationFactor</f>
        <v>1.4567147345454542E-2</v>
      </c>
      <c r="N500" s="753">
        <f>$E$22*$M$9*'Traffic Data'!AP66*annualizationFactor</f>
        <v>1.5093299490909094E-2</v>
      </c>
      <c r="O500" s="753">
        <f>$E$22*$M$9*'Traffic Data'!AQ66*annualizationFactor</f>
        <v>1.5619366690909095E-2</v>
      </c>
      <c r="P500" s="753">
        <f>$E$22*$M$9*'Traffic Data'!AR66*annualizationFactor</f>
        <v>1.6145540072727275E-2</v>
      </c>
      <c r="Q500" s="753">
        <f>$E$22*$M$9*'Traffic Data'!AS66*annualizationFactor</f>
        <v>1.6740243200000001E-2</v>
      </c>
      <c r="R500" s="753">
        <f>$E$22*$M$9*'Traffic Data'!AT66*annualizationFactor</f>
        <v>1.7334925090909094E-2</v>
      </c>
      <c r="S500" s="753">
        <f>$E$22*$M$9*'Traffic Data'!AU66*annualizationFactor</f>
        <v>1.7929543272727274E-2</v>
      </c>
      <c r="T500" s="753">
        <f>$E$22*$M$9*'Traffic Data'!AV66*annualizationFactor</f>
        <v>1.8524246400000006E-2</v>
      </c>
      <c r="U500" s="753">
        <f>$E$22*$M$9*'Traffic Data'!AW66*annualizationFactor</f>
        <v>1.911905570909091E-2</v>
      </c>
      <c r="V500" s="753">
        <f>$E$22*$M$9*'Traffic Data'!AX66*annualizationFactor</f>
        <v>1.9599379781818183E-2</v>
      </c>
      <c r="W500" s="753">
        <f>$E$22*$M$9*'Traffic Data'!AY66*annualizationFactor</f>
        <v>1.9960695272727279E-2</v>
      </c>
      <c r="X500" s="753">
        <f>$E$22*$M$9*'Traffic Data'!AZ66*annualizationFactor</f>
        <v>2.0322010763636371E-2</v>
      </c>
      <c r="Y500" s="753">
        <f>$E$22*$M$9*'Traffic Data'!BA66*annualizationFactor</f>
        <v>2.0683326254545456E-2</v>
      </c>
      <c r="Z500" s="753">
        <f>$E$22*$M$9*'Traffic Data'!BB66*annualizationFactor</f>
        <v>2.1044535563636366E-2</v>
      </c>
      <c r="AA500" s="753">
        <f>$E$22*$M$9*'Traffic Data'!BC66*annualizationFactor</f>
        <v>2.1405851054545448E-2</v>
      </c>
      <c r="AB500" s="753">
        <f>$E$22*$M$9*'Traffic Data'!BD66*annualizationFactor</f>
        <v>2.1767060363636362E-2</v>
      </c>
      <c r="AC500" s="753">
        <f>$E$22*$M$9*'Traffic Data'!BE66*annualizationFactor</f>
        <v>2.2128375854545447E-2</v>
      </c>
      <c r="AD500" s="753">
        <f>$E$22*$M$9*'Traffic Data'!BF66*annualizationFactor</f>
        <v>2.2489691345454539E-2</v>
      </c>
      <c r="AE500" s="753">
        <f>$E$22*$M$9*'Traffic Data'!BG66*annualizationFactor</f>
        <v>2.2850900654545449E-2</v>
      </c>
      <c r="AF500" s="753">
        <f>$E$22*$M$9*'Traffic Data'!BH66*annualizationFactor</f>
        <v>2.3212216145454545E-2</v>
      </c>
      <c r="AG500" s="753">
        <f>$E$22*$M$9*'Traffic Data'!BI66*annualizationFactor</f>
        <v>2.3573531636363634E-2</v>
      </c>
      <c r="AH500" s="757">
        <f>$E$22*$M$9*'Traffic Data'!BJ66*annualizationFactor</f>
        <v>2.3934740945454544E-2</v>
      </c>
      <c r="AI500" s="24"/>
      <c r="AJ500" s="24"/>
      <c r="AK500" s="24"/>
      <c r="AL500" s="24"/>
      <c r="AM500" s="24"/>
    </row>
    <row r="501" spans="2:39" ht="21.9" customHeight="1" thickBot="1" x14ac:dyDescent="0.3">
      <c r="B501" s="758" t="s">
        <v>458</v>
      </c>
      <c r="C501" s="237"/>
      <c r="D501" s="237"/>
      <c r="E501" s="237"/>
      <c r="F501" s="237"/>
      <c r="G501" s="940">
        <f t="shared" ref="G501:AH501" si="65">SUM(G481:G500)</f>
        <v>0</v>
      </c>
      <c r="H501" s="940">
        <f t="shared" si="65"/>
        <v>0</v>
      </c>
      <c r="I501" s="759">
        <f t="shared" si="65"/>
        <v>6.0674392247272744</v>
      </c>
      <c r="J501" s="759">
        <f t="shared" si="65"/>
        <v>6.5672485637744016</v>
      </c>
      <c r="K501" s="759">
        <f t="shared" si="65"/>
        <v>7.2196808586673464</v>
      </c>
      <c r="L501" s="759">
        <f t="shared" si="65"/>
        <v>8.3134694286260373</v>
      </c>
      <c r="M501" s="759">
        <f t="shared" si="65"/>
        <v>9.407817512685817</v>
      </c>
      <c r="N501" s="759">
        <f t="shared" si="65"/>
        <v>10.502154676476506</v>
      </c>
      <c r="O501" s="759">
        <f t="shared" si="65"/>
        <v>11.595943246435205</v>
      </c>
      <c r="P501" s="759">
        <f t="shared" si="65"/>
        <v>12.690853401581675</v>
      </c>
      <c r="Q501" s="759">
        <f t="shared" si="65"/>
        <v>13.697114238259344</v>
      </c>
      <c r="R501" s="759">
        <f t="shared" si="65"/>
        <v>14.703652265185456</v>
      </c>
      <c r="S501" s="759">
        <f t="shared" si="65"/>
        <v>15.709919393263272</v>
      </c>
      <c r="T501" s="759">
        <f t="shared" si="65"/>
        <v>16.716180229940942</v>
      </c>
      <c r="U501" s="759">
        <f t="shared" si="65"/>
        <v>17.723569857601888</v>
      </c>
      <c r="V501" s="759">
        <f t="shared" si="65"/>
        <v>18.293736821287276</v>
      </c>
      <c r="W501" s="759">
        <f t="shared" si="65"/>
        <v>18.622619498574402</v>
      </c>
      <c r="X501" s="759">
        <f t="shared" si="65"/>
        <v>18.951502175861528</v>
      </c>
      <c r="Y501" s="759">
        <f t="shared" si="65"/>
        <v>19.280384853148657</v>
      </c>
      <c r="Z501" s="759">
        <f t="shared" si="65"/>
        <v>19.609564975768585</v>
      </c>
      <c r="AA501" s="759">
        <f t="shared" si="65"/>
        <v>19.938447653055711</v>
      </c>
      <c r="AB501" s="759">
        <f t="shared" si="65"/>
        <v>20.26760873685091</v>
      </c>
      <c r="AC501" s="759">
        <f t="shared" si="65"/>
        <v>20.59649141413804</v>
      </c>
      <c r="AD501" s="759">
        <f t="shared" si="65"/>
        <v>20.925374091425162</v>
      </c>
      <c r="AE501" s="759">
        <f t="shared" si="65"/>
        <v>21.254554214045093</v>
      </c>
      <c r="AF501" s="759">
        <f t="shared" si="65"/>
        <v>21.583436891332227</v>
      </c>
      <c r="AG501" s="759">
        <f t="shared" si="65"/>
        <v>21.912319568619349</v>
      </c>
      <c r="AH501" s="760">
        <f t="shared" si="65"/>
        <v>22.241480652414541</v>
      </c>
      <c r="AI501" s="24"/>
      <c r="AJ501" s="24"/>
      <c r="AK501" s="24"/>
      <c r="AL501" s="24"/>
      <c r="AM501" s="24"/>
    </row>
    <row r="502" spans="2:39" ht="21.9" customHeight="1" x14ac:dyDescent="0.25">
      <c r="B502" s="548" t="s">
        <v>312</v>
      </c>
      <c r="C502" s="1331" t="s">
        <v>18</v>
      </c>
      <c r="D502" s="1331"/>
      <c r="E502" s="197" t="s">
        <v>24</v>
      </c>
      <c r="F502" s="197" t="s">
        <v>42</v>
      </c>
      <c r="G502" s="459">
        <v>2021</v>
      </c>
      <c r="H502" s="459">
        <v>2022</v>
      </c>
      <c r="I502" s="459">
        <v>2023</v>
      </c>
      <c r="J502" s="459">
        <v>2024</v>
      </c>
      <c r="K502" s="459">
        <v>2025</v>
      </c>
      <c r="L502" s="459">
        <v>2026</v>
      </c>
      <c r="M502" s="459">
        <v>2027</v>
      </c>
      <c r="N502" s="459">
        <v>2028</v>
      </c>
      <c r="O502" s="459">
        <v>2029</v>
      </c>
      <c r="P502" s="459">
        <v>2030</v>
      </c>
      <c r="Q502" s="459">
        <v>2031</v>
      </c>
      <c r="R502" s="459">
        <v>2032</v>
      </c>
      <c r="S502" s="459">
        <v>2033</v>
      </c>
      <c r="T502" s="459">
        <v>2034</v>
      </c>
      <c r="U502" s="459">
        <v>2035</v>
      </c>
      <c r="V502" s="459">
        <v>2036</v>
      </c>
      <c r="W502" s="459">
        <v>2037</v>
      </c>
      <c r="X502" s="459">
        <v>2038</v>
      </c>
      <c r="Y502" s="459">
        <v>2039</v>
      </c>
      <c r="Z502" s="459">
        <v>2040</v>
      </c>
      <c r="AA502" s="459">
        <v>2041</v>
      </c>
      <c r="AB502" s="459">
        <v>2042</v>
      </c>
      <c r="AC502" s="459">
        <v>2043</v>
      </c>
      <c r="AD502" s="459">
        <v>2044</v>
      </c>
      <c r="AE502" s="459">
        <v>2045</v>
      </c>
      <c r="AF502" s="459">
        <v>2046</v>
      </c>
      <c r="AG502" s="459">
        <v>2047</v>
      </c>
      <c r="AH502" s="459">
        <v>2048</v>
      </c>
      <c r="AI502" s="247"/>
      <c r="AJ502" s="247"/>
      <c r="AK502" s="247"/>
      <c r="AL502" s="247"/>
      <c r="AM502" s="247"/>
    </row>
    <row r="503" spans="2:39" ht="21.9" customHeight="1" x14ac:dyDescent="0.25">
      <c r="B503" s="1332" t="s">
        <v>315</v>
      </c>
      <c r="C503" s="217" t="s">
        <v>316</v>
      </c>
      <c r="D503" s="217" t="s">
        <v>276</v>
      </c>
      <c r="E503" s="217" t="s">
        <v>19</v>
      </c>
      <c r="F503" s="217" t="s">
        <v>405</v>
      </c>
      <c r="G503" s="749"/>
      <c r="H503" s="749"/>
      <c r="I503" s="749">
        <f>$F$21*$E$8*'Traffic Data'!AK47*annualizationFactor</f>
        <v>1.0894710016080001E-4</v>
      </c>
      <c r="J503" s="749">
        <f>$F$21*$E$8*'Traffic Data'!AL47*annualizationFactor</f>
        <v>1.1390112908092438E-4</v>
      </c>
      <c r="K503" s="749">
        <f>$F$21*$E$8*'Traffic Data'!AM47*annualizationFactor</f>
        <v>1.2088089314466365E-4</v>
      </c>
      <c r="L503" s="749">
        <f>$F$21*$E$8*'Traffic Data'!AN47*annualizationFactor</f>
        <v>1.3114779549606705E-4</v>
      </c>
      <c r="M503" s="749">
        <f>$F$21*$E$8*'Traffic Data'!AO47*annualizationFactor</f>
        <v>1.4141844290403843E-4</v>
      </c>
      <c r="N503" s="749">
        <f>$F$21*$E$8*'Traffic Data'!AP47*annualizationFactor</f>
        <v>1.5168909031200984E-4</v>
      </c>
      <c r="O503" s="749">
        <f>$F$21*$E$8*'Traffic Data'!AQ47*annualizationFactor</f>
        <v>1.6195599266341322E-4</v>
      </c>
      <c r="P503" s="749">
        <f>$F$21*$E$8*'Traffic Data'!AR47*annualizationFactor</f>
        <v>1.7223038512795266E-4</v>
      </c>
      <c r="Q503" s="749">
        <f>$F$21*$E$8*'Traffic Data'!AS47*annualizationFactor</f>
        <v>1.8238323348387526E-4</v>
      </c>
      <c r="R503" s="749">
        <f>$F$21*$E$8*'Traffic Data'!AT47*annualizationFactor</f>
        <v>1.9253812459792583E-4</v>
      </c>
      <c r="S503" s="749">
        <f>$F$21*$E$8*'Traffic Data'!AU47*annualizationFactor</f>
        <v>2.026909729538484E-4</v>
      </c>
      <c r="T503" s="749">
        <f>$F$21*$E$8*'Traffic Data'!AV47*annualizationFactor</f>
        <v>2.1284382130977092E-4</v>
      </c>
      <c r="U503" s="749">
        <f>$F$21*$E$8*'Traffic Data'!AW47*annualizationFactor</f>
        <v>2.2300415977882955E-4</v>
      </c>
      <c r="V503" s="749">
        <f>$F$21*$E$8*'Traffic Data'!AX47*annualizationFactor</f>
        <v>2.2986612479051997E-4</v>
      </c>
      <c r="W503" s="749">
        <f>$F$21*$E$8*'Traffic Data'!AY47*annualizationFactor</f>
        <v>2.3482015371064432E-4</v>
      </c>
      <c r="X503" s="749">
        <f>$F$21*$E$8*'Traffic Data'!AZ47*annualizationFactor</f>
        <v>2.3977418263076863E-4</v>
      </c>
      <c r="Y503" s="749">
        <f>$F$21*$E$8*'Traffic Data'!BA47*annualizationFactor</f>
        <v>2.4472821155089301E-4</v>
      </c>
      <c r="Z503" s="749">
        <f>$F$21*$E$8*'Traffic Data'!BB47*annualizationFactor</f>
        <v>2.4968394276945745E-4</v>
      </c>
      <c r="AA503" s="749">
        <f>$F$21*$E$8*'Traffic Data'!BC47*annualizationFactor</f>
        <v>2.5463797168958187E-4</v>
      </c>
      <c r="AB503" s="749">
        <f>$F$21*$E$8*'Traffic Data'!BD47*annualizationFactor</f>
        <v>2.5959370290814615E-4</v>
      </c>
      <c r="AC503" s="749">
        <f>$F$21*$E$8*'Traffic Data'!BE47*annualizationFactor</f>
        <v>2.6454773182827063E-4</v>
      </c>
      <c r="AD503" s="749">
        <f>$F$21*$E$8*'Traffic Data'!BF47*annualizationFactor</f>
        <v>2.6950176074839495E-4</v>
      </c>
      <c r="AE503" s="749">
        <f>$F$21*$E$8*'Traffic Data'!BG47*annualizationFactor</f>
        <v>2.7445749196695928E-4</v>
      </c>
      <c r="AF503" s="749">
        <f>$F$21*$E$8*'Traffic Data'!BH47*annualizationFactor</f>
        <v>2.7941152088708371E-4</v>
      </c>
      <c r="AG503" s="749">
        <f>$F$21*$E$8*'Traffic Data'!BI47*annualizationFactor</f>
        <v>2.8436554980720814E-4</v>
      </c>
      <c r="AH503" s="750">
        <f>$F$21*$E$8*'Traffic Data'!BJ47*annualizationFactor</f>
        <v>2.8932128102577247E-4</v>
      </c>
      <c r="AI503" s="24"/>
      <c r="AJ503" s="24"/>
      <c r="AK503" s="24"/>
      <c r="AL503" s="24"/>
      <c r="AM503" s="24"/>
    </row>
    <row r="504" spans="2:39" ht="21.9" customHeight="1" x14ac:dyDescent="0.25">
      <c r="B504" s="1332"/>
      <c r="C504" s="114" t="s">
        <v>276</v>
      </c>
      <c r="D504" s="114" t="s">
        <v>274</v>
      </c>
      <c r="E504" s="114" t="s">
        <v>19</v>
      </c>
      <c r="F504" s="114" t="s">
        <v>405</v>
      </c>
      <c r="G504" s="941"/>
      <c r="H504" s="941"/>
      <c r="I504" s="751">
        <f>$F$21*$E$8*'Traffic Data'!AK48*annualizationFactor</f>
        <v>3.5032324499223752E-3</v>
      </c>
      <c r="J504" s="751">
        <f>$F$21*$E$8*'Traffic Data'!AL48*annualizationFactor</f>
        <v>3.6881512235382775E-3</v>
      </c>
      <c r="K504" s="751">
        <f>$F$21*$E$8*'Traffic Data'!AM48*annualizationFactor</f>
        <v>3.9657369829221275E-3</v>
      </c>
      <c r="L504" s="751">
        <f>$F$21*$E$8*'Traffic Data'!AN48*annualizationFactor</f>
        <v>4.424349035421965E-3</v>
      </c>
      <c r="M504" s="751">
        <f>$F$21*$E$8*'Traffic Data'!AO48*annualizationFactor</f>
        <v>4.8831686868817982E-3</v>
      </c>
      <c r="N504" s="751">
        <f>$F$21*$E$8*'Traffic Data'!AP48*annualizationFactor</f>
        <v>5.341962388471632E-3</v>
      </c>
      <c r="O504" s="751">
        <f>$F$21*$E$8*'Traffic Data'!AQ48*annualizationFactor</f>
        <v>5.8005744409714713E-3</v>
      </c>
      <c r="P504" s="751">
        <f>$F$21*$E$8*'Traffic Data'!AR48*annualizationFactor</f>
        <v>6.2596016913912993E-3</v>
      </c>
      <c r="Q504" s="751">
        <f>$F$21*$E$8*'Traffic Data'!AS48*annualizationFactor</f>
        <v>6.722703071401037E-3</v>
      </c>
      <c r="R504" s="751">
        <f>$F$21*$E$8*'Traffic Data'!AT48*annualizationFactor</f>
        <v>7.1859601506307725E-3</v>
      </c>
      <c r="S504" s="751">
        <f>$F$21*$E$8*'Traffic Data'!AU48*annualizationFactor</f>
        <v>7.6490615306405102E-3</v>
      </c>
      <c r="T504" s="751">
        <f>$F$21*$E$8*'Traffic Data'!AV48*annualizationFactor</f>
        <v>8.1121629106502488E-3</v>
      </c>
      <c r="U504" s="751">
        <f>$F$21*$E$8*'Traffic Data'!AW48*annualizationFactor</f>
        <v>8.5756794885799795E-3</v>
      </c>
      <c r="V504" s="751">
        <f>$F$21*$E$8*'Traffic Data'!AX48*annualizationFactor</f>
        <v>8.8575469765137353E-3</v>
      </c>
      <c r="W504" s="751">
        <f>$F$21*$E$8*'Traffic Data'!AY48*annualizationFactor</f>
        <v>9.042465750129635E-3</v>
      </c>
      <c r="X504" s="751">
        <f>$F$21*$E$8*'Traffic Data'!AZ48*annualizationFactor</f>
        <v>9.2273845237455399E-3</v>
      </c>
      <c r="Y504" s="751">
        <f>$F$21*$E$8*'Traffic Data'!BA48*annualizationFactor</f>
        <v>9.4123032973614448E-3</v>
      </c>
      <c r="Z504" s="751">
        <f>$F$21*$E$8*'Traffic Data'!BB48*annualizationFactor</f>
        <v>9.5973258704573419E-3</v>
      </c>
      <c r="AA504" s="751">
        <f>$F$21*$E$8*'Traffic Data'!BC48*annualizationFactor</f>
        <v>9.7822446440732434E-3</v>
      </c>
      <c r="AB504" s="751">
        <f>$F$21*$E$8*'Traffic Data'!BD48*annualizationFactor</f>
        <v>9.9672672171691457E-3</v>
      </c>
      <c r="AC504" s="751">
        <f>$F$21*$E$8*'Traffic Data'!BE48*annualizationFactor</f>
        <v>1.0152185990785049E-2</v>
      </c>
      <c r="AD504" s="751">
        <f>$F$21*$E$8*'Traffic Data'!BF48*annualizationFactor</f>
        <v>1.033710476440095E-2</v>
      </c>
      <c r="AE504" s="751">
        <f>$F$21*$E$8*'Traffic Data'!BG48*annualizationFactor</f>
        <v>1.0522127337496853E-2</v>
      </c>
      <c r="AF504" s="751">
        <f>$F$21*$E$8*'Traffic Data'!BH48*annualizationFactor</f>
        <v>1.0707046111112752E-2</v>
      </c>
      <c r="AG504" s="751">
        <f>$F$21*$E$8*'Traffic Data'!BI48*annualizationFactor</f>
        <v>1.0891964884728655E-2</v>
      </c>
      <c r="AH504" s="752">
        <f>$F$21*$E$8*'Traffic Data'!BJ48*annualizationFactor</f>
        <v>1.1076987457824556E-2</v>
      </c>
      <c r="AI504" s="24"/>
      <c r="AJ504" s="24"/>
      <c r="AK504" s="24"/>
      <c r="AL504" s="24"/>
      <c r="AM504" s="24"/>
    </row>
    <row r="505" spans="2:39" ht="21.9" customHeight="1" x14ac:dyDescent="0.25">
      <c r="B505" s="1332"/>
      <c r="C505" s="114" t="s">
        <v>274</v>
      </c>
      <c r="D505" s="114" t="s">
        <v>317</v>
      </c>
      <c r="E505" s="250" t="s">
        <v>19</v>
      </c>
      <c r="F505" s="250" t="s">
        <v>405</v>
      </c>
      <c r="G505" s="753"/>
      <c r="H505" s="753"/>
      <c r="I505" s="751">
        <f>$F$21*$E$8*'Traffic Data'!AK49*annualizationFactor</f>
        <v>8.1710325120600013E-5</v>
      </c>
      <c r="J505" s="751">
        <f>$F$21*$E$8*'Traffic Data'!AL49*annualizationFactor</f>
        <v>8.5122412113761048E-5</v>
      </c>
      <c r="K505" s="751">
        <f>$F$21*$E$8*'Traffic Data'!AM49*annualizationFactor</f>
        <v>8.9345474083744056E-5</v>
      </c>
      <c r="L505" s="751">
        <f>$F$21*$E$8*'Traffic Data'!AN49*annualizationFactor</f>
        <v>9.5031150873385825E-5</v>
      </c>
      <c r="M505" s="751">
        <f>$F$21*$E$8*'Traffic Data'!AO49*annualizationFactor</f>
        <v>1.007188704211556E-4</v>
      </c>
      <c r="N505" s="751">
        <f>$F$21*$E$8*'Traffic Data'!AP49*annualizationFactor</f>
        <v>1.0640590904954938E-4</v>
      </c>
      <c r="O505" s="751">
        <f>$F$21*$E$8*'Traffic Data'!AQ49*annualizationFactor</f>
        <v>1.1209158583919112E-4</v>
      </c>
      <c r="P505" s="751">
        <f>$F$21*$E$8*'Traffic Data'!AR49*annualizationFactor</f>
        <v>1.1778134814508891E-4</v>
      </c>
      <c r="Q505" s="751">
        <f>$F$21*$E$8*'Traffic Data'!AS49*annualizationFactor</f>
        <v>1.2329407141322535E-4</v>
      </c>
      <c r="R505" s="751">
        <f>$F$21*$E$8*'Traffic Data'!AT49*annualizationFactor</f>
        <v>1.2880883743948983E-4</v>
      </c>
      <c r="S505" s="751">
        <f>$F$21*$E$8*'Traffic Data'!AU49*annualizationFactor</f>
        <v>1.3432156070762634E-4</v>
      </c>
      <c r="T505" s="751">
        <f>$F$21*$E$8*'Traffic Data'!AV49*annualizationFactor</f>
        <v>1.398342839757628E-4</v>
      </c>
      <c r="U505" s="751">
        <f>$F$21*$E$8*'Traffic Data'!AW49*annualizationFactor</f>
        <v>1.4535109276015532E-4</v>
      </c>
      <c r="V505" s="751">
        <f>$F$21*$E$8*'Traffic Data'!AX49*annualizationFactor</f>
        <v>1.4939915845050503E-4</v>
      </c>
      <c r="W505" s="751">
        <f>$F$21*$E$8*'Traffic Data'!AY49*annualizationFactor</f>
        <v>1.5281124544366611E-4</v>
      </c>
      <c r="X505" s="751">
        <f>$F$21*$E$8*'Traffic Data'!AZ49*annualizationFactor</f>
        <v>1.5622333243682713E-4</v>
      </c>
      <c r="Y505" s="751">
        <f>$F$21*$E$8*'Traffic Data'!BA49*annualizationFactor</f>
        <v>1.596354194299882E-4</v>
      </c>
      <c r="Z505" s="751">
        <f>$F$21*$E$8*'Traffic Data'!BB49*annualizationFactor</f>
        <v>1.6304886826190129E-4</v>
      </c>
      <c r="AA505" s="751">
        <f>$F$21*$E$8*'Traffic Data'!BC49*annualizationFactor</f>
        <v>1.6646095525506234E-4</v>
      </c>
      <c r="AB505" s="751">
        <f>$F$21*$E$8*'Traffic Data'!BD49*annualizationFactor</f>
        <v>1.6987440408697539E-4</v>
      </c>
      <c r="AC505" s="751">
        <f>$F$21*$E$8*'Traffic Data'!BE49*annualizationFactor</f>
        <v>1.732864910801365E-4</v>
      </c>
      <c r="AD505" s="751">
        <f>$F$21*$E$8*'Traffic Data'!BF49*annualizationFactor</f>
        <v>1.7669857807329746E-4</v>
      </c>
      <c r="AE505" s="751">
        <f>$F$21*$E$8*'Traffic Data'!BG49*annualizationFactor</f>
        <v>1.801120269052106E-4</v>
      </c>
      <c r="AF505" s="751">
        <f>$F$21*$E$8*'Traffic Data'!BH49*annualizationFactor</f>
        <v>1.8352411389837165E-4</v>
      </c>
      <c r="AG505" s="751">
        <f>$F$21*$E$8*'Traffic Data'!BI49*annualizationFactor</f>
        <v>1.8693620089153264E-4</v>
      </c>
      <c r="AH505" s="752">
        <f>$F$21*$E$8*'Traffic Data'!BJ49*annualizationFactor</f>
        <v>1.9034964972344576E-4</v>
      </c>
      <c r="AI505" s="24"/>
      <c r="AJ505" s="24"/>
      <c r="AK505" s="24"/>
      <c r="AL505" s="24"/>
      <c r="AM505" s="24"/>
    </row>
    <row r="506" spans="2:39" ht="21.9" customHeight="1" x14ac:dyDescent="0.25">
      <c r="B506" s="1332" t="s">
        <v>274</v>
      </c>
      <c r="C506" s="217" t="s">
        <v>275</v>
      </c>
      <c r="D506" s="217" t="s">
        <v>318</v>
      </c>
      <c r="E506" s="114" t="s">
        <v>19</v>
      </c>
      <c r="F506" s="217" t="s">
        <v>405</v>
      </c>
      <c r="G506" s="941"/>
      <c r="H506" s="941"/>
      <c r="I506" s="749">
        <f>$F$21*$F$8*'Traffic Data'!AK50*annualizationFactor</f>
        <v>6.7505499860400007E-4</v>
      </c>
      <c r="J506" s="749">
        <f>$F$21*$F$8*'Traffic Data'!AL50*annualizationFactor</f>
        <v>7.4334018698778766E-4</v>
      </c>
      <c r="K506" s="749">
        <f>$F$21*$F$8*'Traffic Data'!AM50*annualizationFactor</f>
        <v>8.9600725019707529E-4</v>
      </c>
      <c r="L506" s="749">
        <f>$F$21*$F$8*'Traffic Data'!AN50*annualizationFactor</f>
        <v>1.2026509833129426E-3</v>
      </c>
      <c r="M506" s="749">
        <f>$F$21*$F$8*'Traffic Data'!AO50*annualizationFactor</f>
        <v>1.5094837318284182E-3</v>
      </c>
      <c r="N506" s="749">
        <f>$F$21*$F$8*'Traffic Data'!AP50*annualizationFactor</f>
        <v>1.816282727593964E-3</v>
      </c>
      <c r="O506" s="749">
        <f>$F$21*$F$8*'Traffic Data'!AQ50*annualizationFactor</f>
        <v>2.1229264607098312E-3</v>
      </c>
      <c r="P506" s="749">
        <f>$F$21*$F$8*'Traffic Data'!AR50*annualizationFactor</f>
        <v>2.4299482246249167E-3</v>
      </c>
      <c r="Q506" s="749">
        <f>$F$21*$F$8*'Traffic Data'!AS50*annualizationFactor</f>
        <v>2.7312117694019097E-3</v>
      </c>
      <c r="R506" s="749">
        <f>$F$21*$F$8*'Traffic Data'!AT50*annualizationFactor</f>
        <v>3.032627201553588E-3</v>
      </c>
      <c r="S506" s="749">
        <f>$F$21*$F$8*'Traffic Data'!AU50*annualizationFactor</f>
        <v>3.3338907463305815E-3</v>
      </c>
      <c r="T506" s="749">
        <f>$F$21*$F$8*'Traffic Data'!AV50*annualizationFactor</f>
        <v>3.6351542911075754E-3</v>
      </c>
      <c r="U506" s="749">
        <f>$F$21*$F$8*'Traffic Data'!AW50*annualizationFactor</f>
        <v>3.9367958666837862E-3</v>
      </c>
      <c r="V506" s="749">
        <f>$F$21*$F$8*'Traffic Data'!AX50*annualizationFactor</f>
        <v>4.0838937261545903E-3</v>
      </c>
      <c r="W506" s="749">
        <f>$F$21*$F$8*'Traffic Data'!AY50*annualizationFactor</f>
        <v>4.1521789145383785E-3</v>
      </c>
      <c r="X506" s="749">
        <f>$F$21*$F$8*'Traffic Data'!AZ50*annualizationFactor</f>
        <v>4.2204641029221657E-3</v>
      </c>
      <c r="Y506" s="749">
        <f>$F$21*$F$8*'Traffic Data'!BA50*annualizationFactor</f>
        <v>4.288749291305953E-3</v>
      </c>
      <c r="Z506" s="749">
        <f>$F$21*$F$8*'Traffic Data'!BB50*annualizationFactor</f>
        <v>4.3571391132145249E-3</v>
      </c>
      <c r="AA506" s="749">
        <f>$F$21*$F$8*'Traffic Data'!BC50*annualizationFactor</f>
        <v>4.425424301598313E-3</v>
      </c>
      <c r="AB506" s="749">
        <f>$F$21*$F$8*'Traffic Data'!BD50*annualizationFactor</f>
        <v>4.4938141235068832E-3</v>
      </c>
      <c r="AC506" s="749">
        <f>$F$21*$F$8*'Traffic Data'!BE50*annualizationFactor</f>
        <v>4.5620993118906713E-3</v>
      </c>
      <c r="AD506" s="749">
        <f>$F$21*$F$8*'Traffic Data'!BF50*annualizationFactor</f>
        <v>4.6303845002744586E-3</v>
      </c>
      <c r="AE506" s="749">
        <f>$F$21*$F$8*'Traffic Data'!BG50*annualizationFactor</f>
        <v>4.6987743221830304E-3</v>
      </c>
      <c r="AF506" s="749">
        <f>$F$21*$F$8*'Traffic Data'!BH50*annualizationFactor</f>
        <v>4.7670595105668177E-3</v>
      </c>
      <c r="AG506" s="749">
        <f>$F$21*$F$8*'Traffic Data'!BI50*annualizationFactor</f>
        <v>4.835344698950605E-3</v>
      </c>
      <c r="AH506" s="750">
        <f>$F$21*$F$8*'Traffic Data'!BJ50*annualizationFactor</f>
        <v>4.903734520859176E-3</v>
      </c>
      <c r="AI506" s="24"/>
      <c r="AJ506" s="24"/>
      <c r="AK506" s="24"/>
      <c r="AL506" s="24"/>
      <c r="AM506" s="24"/>
    </row>
    <row r="507" spans="2:39" ht="21.9" customHeight="1" x14ac:dyDescent="0.25">
      <c r="B507" s="1332"/>
      <c r="C507" s="114" t="s">
        <v>318</v>
      </c>
      <c r="D507" s="114" t="s">
        <v>308</v>
      </c>
      <c r="E507" s="114" t="s">
        <v>19</v>
      </c>
      <c r="F507" s="114" t="s">
        <v>405</v>
      </c>
      <c r="G507" s="941"/>
      <c r="H507" s="941"/>
      <c r="I507" s="751">
        <f>$F$21*$F$8*'Traffic Data'!AK51*annualizationFactor</f>
        <v>7.8191698680000015E-5</v>
      </c>
      <c r="J507" s="751">
        <f>$F$21*$F$8*'Traffic Data'!AL51*annualizationFactor</f>
        <v>8.5615348872176996E-5</v>
      </c>
      <c r="K507" s="751">
        <f>$F$21*$F$8*'Traffic Data'!AM51*annualizationFactor</f>
        <v>9.6146467489394998E-5</v>
      </c>
      <c r="L507" s="751">
        <f>$F$21*$F$8*'Traffic Data'!AN51*annualizationFactor</f>
        <v>1.1330563576472101E-4</v>
      </c>
      <c r="M507" s="751">
        <f>$F$21*$F$8*'Traffic Data'!AO51*annualizationFactor</f>
        <v>1.3047001681995902E-4</v>
      </c>
      <c r="N507" s="751">
        <f>$F$21*$F$8*'Traffic Data'!AP51*annualizationFactor</f>
        <v>1.4763602686891953E-4</v>
      </c>
      <c r="O507" s="751">
        <f>$F$21*$F$8*'Traffic Data'!AQ51*annualizationFactor</f>
        <v>1.6479519514424554E-4</v>
      </c>
      <c r="P507" s="751">
        <f>$F$21*$F$8*'Traffic Data'!AR51*annualizationFactor</f>
        <v>1.8197293394800801E-4</v>
      </c>
      <c r="Q507" s="751">
        <f>$F$21*$F$8*'Traffic Data'!AS51*annualizationFactor</f>
        <v>2.0151629743558498E-4</v>
      </c>
      <c r="R507" s="751">
        <f>$F$21*$F$8*'Traffic Data'!AT51*annualizationFactor</f>
        <v>2.2106878328800807E-4</v>
      </c>
      <c r="S507" s="751">
        <f>$F$21*$F$8*'Traffic Data'!AU51*annualizationFactor</f>
        <v>2.4061116937935156E-4</v>
      </c>
      <c r="T507" s="751">
        <f>$F$21*$F$8*'Traffic Data'!AV51*annualizationFactor</f>
        <v>2.601545328669285E-4</v>
      </c>
      <c r="U507" s="751">
        <f>$F$21*$F$8*'Traffic Data'!AW51*annualizationFactor</f>
        <v>2.7971581528545301E-4</v>
      </c>
      <c r="V507" s="751">
        <f>$F$21*$F$8*'Traffic Data'!AX51*annualizationFactor</f>
        <v>2.9261679397016402E-4</v>
      </c>
      <c r="W507" s="751">
        <f>$F$21*$F$8*'Traffic Data'!AY51*annualizationFactor</f>
        <v>3.0004044416234097E-4</v>
      </c>
      <c r="X507" s="751">
        <f>$F$21*$F$8*'Traffic Data'!AZ51*annualizationFactor</f>
        <v>3.0746409435451798E-4</v>
      </c>
      <c r="Y507" s="751">
        <f>$F$21*$F$8*'Traffic Data'!BA51*annualizationFactor</f>
        <v>3.1488774454669499E-4</v>
      </c>
      <c r="Z507" s="751">
        <f>$F$21*$F$8*'Traffic Data'!BB51*annualizationFactor</f>
        <v>3.2231986550622897E-4</v>
      </c>
      <c r="AA507" s="751">
        <f>$F$21*$F$8*'Traffic Data'!BC51*annualizationFactor</f>
        <v>3.2974351569840598E-4</v>
      </c>
      <c r="AB507" s="751">
        <f>$F$21*$F$8*'Traffic Data'!BD51*annualizationFactor</f>
        <v>3.3717563665794001E-4</v>
      </c>
      <c r="AC507" s="751">
        <f>$F$21*$F$8*'Traffic Data'!BE51*annualizationFactor</f>
        <v>3.4459928685011702E-4</v>
      </c>
      <c r="AD507" s="751">
        <f>$F$21*$F$8*'Traffic Data'!BF51*annualizationFactor</f>
        <v>3.5202293704229403E-4</v>
      </c>
      <c r="AE507" s="751">
        <f>$F$21*$F$8*'Traffic Data'!BG51*annualizationFactor</f>
        <v>3.5945505800182796E-4</v>
      </c>
      <c r="AF507" s="751">
        <f>$F$21*$F$8*'Traffic Data'!BH51*annualizationFactor</f>
        <v>3.6687870819400496E-4</v>
      </c>
      <c r="AG507" s="751">
        <f>$F$21*$F$8*'Traffic Data'!BI51*annualizationFactor</f>
        <v>3.7430235838618197E-4</v>
      </c>
      <c r="AH507" s="752">
        <f>$F$21*$F$8*'Traffic Data'!BJ51*annualizationFactor</f>
        <v>3.8173447934571601E-4</v>
      </c>
      <c r="AI507" s="24"/>
      <c r="AJ507" s="24"/>
      <c r="AK507" s="24"/>
      <c r="AL507" s="24"/>
      <c r="AM507" s="24"/>
    </row>
    <row r="508" spans="2:39" ht="21.9" customHeight="1" x14ac:dyDescent="0.25">
      <c r="B508" s="1332"/>
      <c r="C508" s="250" t="s">
        <v>308</v>
      </c>
      <c r="D508" s="250" t="s">
        <v>319</v>
      </c>
      <c r="E508" s="114" t="s">
        <v>19</v>
      </c>
      <c r="F508" s="250" t="s">
        <v>405</v>
      </c>
      <c r="G508" s="941"/>
      <c r="H508" s="941"/>
      <c r="I508" s="751">
        <f>$F$21*$F$8*'Traffic Data'!AK52*annualizationFactor</f>
        <v>1.0477687623120001E-3</v>
      </c>
      <c r="J508" s="751">
        <f>$F$21*$F$8*'Traffic Data'!AL52*annualizationFactor</f>
        <v>1.0771097802192773E-3</v>
      </c>
      <c r="K508" s="751">
        <f>$F$21*$F$8*'Traffic Data'!AM52*annualizationFactor</f>
        <v>1.118922738960608E-3</v>
      </c>
      <c r="L508" s="751">
        <f>$F$21*$F$8*'Traffic Data'!AN52*annualizationFactor</f>
        <v>1.1776082673377031E-3</v>
      </c>
      <c r="M508" s="751">
        <f>$F$21*$F$8*'Traffic Data'!AO52*annualizationFactor</f>
        <v>1.2363182436525854E-3</v>
      </c>
      <c r="N508" s="751">
        <f>$F$21*$F$8*'Traffic Data'!AP52*annualizationFactor</f>
        <v>1.295022981123657E-3</v>
      </c>
      <c r="O508" s="751">
        <f>$F$21*$F$8*'Traffic Data'!AQ52*annualizationFactor</f>
        <v>1.3537085095007518E-3</v>
      </c>
      <c r="P508" s="751">
        <f>$F$21*$F$8*'Traffic Data'!AR52*annualizationFactor</f>
        <v>1.412441187472151E-3</v>
      </c>
      <c r="Q508" s="751">
        <f>$F$21*$F$8*'Traffic Data'!AS52*annualizationFactor</f>
        <v>1.4717309291688457E-3</v>
      </c>
      <c r="R508" s="751">
        <f>$F$21*$F$8*'Traffic Data'!AT52*annualizationFactor</f>
        <v>1.531038133678246E-3</v>
      </c>
      <c r="S508" s="751">
        <f>$F$21*$F$8*'Traffic Data'!AU52*annualizationFactor</f>
        <v>1.5903226365311294E-3</v>
      </c>
      <c r="T508" s="751">
        <f>$F$21*$F$8*'Traffic Data'!AV52*annualizationFactor</f>
        <v>1.6496123782278244E-3</v>
      </c>
      <c r="U508" s="751">
        <f>$F$21*$F$8*'Traffic Data'!AW52*annualizationFactor</f>
        <v>1.7089492695188241E-3</v>
      </c>
      <c r="V508" s="751">
        <f>$F$21*$F$8*'Traffic Data'!AX52*annualizationFactor</f>
        <v>1.7513385010794263E-3</v>
      </c>
      <c r="W508" s="751">
        <f>$F$21*$F$8*'Traffic Data'!AY52*annualizationFactor</f>
        <v>1.7806795189867033E-3</v>
      </c>
      <c r="X508" s="751">
        <f>$F$21*$F$8*'Traffic Data'!AZ52*annualizationFactor</f>
        <v>1.8100205368939801E-3</v>
      </c>
      <c r="Y508" s="751">
        <f>$F$21*$F$8*'Traffic Data'!BA52*annualizationFactor</f>
        <v>1.8393615548012571E-3</v>
      </c>
      <c r="Z508" s="751">
        <f>$F$21*$F$8*'Traffic Data'!BB52*annualizationFactor</f>
        <v>1.8687165429586983E-3</v>
      </c>
      <c r="AA508" s="751">
        <f>$F$21*$F$8*'Traffic Data'!BC52*annualizationFactor</f>
        <v>1.8980575608659759E-3</v>
      </c>
      <c r="AB508" s="751">
        <f>$F$21*$F$8*'Traffic Data'!BD52*annualizationFactor</f>
        <v>1.9274125490234171E-3</v>
      </c>
      <c r="AC508" s="751">
        <f>$F$21*$F$8*'Traffic Data'!BE52*annualizationFactor</f>
        <v>1.9567535669306941E-3</v>
      </c>
      <c r="AD508" s="751">
        <f>$F$21*$F$8*'Traffic Data'!BF52*annualizationFactor</f>
        <v>1.9860945848379709E-3</v>
      </c>
      <c r="AE508" s="751">
        <f>$F$21*$F$8*'Traffic Data'!BG52*annualizationFactor</f>
        <v>2.0154495729954119E-3</v>
      </c>
      <c r="AF508" s="751">
        <f>$F$21*$F$8*'Traffic Data'!BH52*annualizationFactor</f>
        <v>2.0447905909026886E-3</v>
      </c>
      <c r="AG508" s="751">
        <f>$F$21*$F$8*'Traffic Data'!BI52*annualizationFactor</f>
        <v>2.0741316088099659E-3</v>
      </c>
      <c r="AH508" s="752">
        <f>$F$21*$F$8*'Traffic Data'!BJ52*annualizationFactor</f>
        <v>2.1034865969674068E-3</v>
      </c>
      <c r="AI508" s="24"/>
      <c r="AJ508" s="24"/>
      <c r="AK508" s="24"/>
      <c r="AL508" s="24"/>
      <c r="AM508" s="24"/>
    </row>
    <row r="509" spans="2:39" ht="21.9" customHeight="1" x14ac:dyDescent="0.25">
      <c r="B509" s="469" t="s">
        <v>320</v>
      </c>
      <c r="C509" s="114" t="s">
        <v>318</v>
      </c>
      <c r="D509" s="114" t="s">
        <v>308</v>
      </c>
      <c r="E509" s="273" t="s">
        <v>19</v>
      </c>
      <c r="F509" s="273" t="s">
        <v>405</v>
      </c>
      <c r="G509" s="754"/>
      <c r="H509" s="754"/>
      <c r="I509" s="749">
        <f>$F$21*$G$8*'Traffic Data'!AK53*annualizationFactor</f>
        <v>3.0625081983000006E-6</v>
      </c>
      <c r="J509" s="749">
        <f>$F$21*$G$8*'Traffic Data'!AL53*annualizationFactor</f>
        <v>1.272012780163905E-5</v>
      </c>
      <c r="K509" s="749">
        <f>$F$21*$G$8*'Traffic Data'!AM53*annualizationFactor</f>
        <v>1.1347971003390734E-4</v>
      </c>
      <c r="L509" s="749">
        <f>$F$21*$G$8*'Traffic Data'!AN53*annualizationFactor</f>
        <v>2.6840740602360695E-4</v>
      </c>
      <c r="M509" s="749">
        <f>$F$21*$G$8*'Traffic Data'!AO53*annualizationFactor</f>
        <v>4.2344535230844538E-4</v>
      </c>
      <c r="N509" s="749">
        <f>$F$21*$G$8*'Traffic Data'!AP53*annualizationFactor</f>
        <v>5.7842204842931762E-4</v>
      </c>
      <c r="O509" s="749">
        <f>$F$21*$G$8*'Traffic Data'!AQ53*annualizationFactor</f>
        <v>7.3334974441901721E-4</v>
      </c>
      <c r="P509" s="749">
        <f>$F$21*$G$8*'Traffic Data'!AR53*annualizationFactor</f>
        <v>8.8849028472849894E-4</v>
      </c>
      <c r="Q509" s="749">
        <f>$F$21*$G$8*'Traffic Data'!AS53*annualizationFactor</f>
        <v>9.5238492452373071E-4</v>
      </c>
      <c r="R509" s="749">
        <f>$F$21*$G$8*'Traffic Data'!AT53*annualizationFactor</f>
        <v>1.0163285644501357E-3</v>
      </c>
      <c r="S509" s="749">
        <f>$F$21*$G$8*'Traffic Data'!AU53*annualizationFactor</f>
        <v>1.0802568918355489E-3</v>
      </c>
      <c r="T509" s="749">
        <f>$F$21*$G$8*'Traffic Data'!AV53*annualizationFactor</f>
        <v>1.144151531630781E-3</v>
      </c>
      <c r="U509" s="749">
        <f>$F$21*$G$8*'Traffic Data'!AW53*annualizationFactor</f>
        <v>1.2081977655818289E-3</v>
      </c>
      <c r="V509" s="749">
        <f>$F$21*$G$8*'Traffic Data'!AX53*annualizationFactor</f>
        <v>1.2178553851851682E-3</v>
      </c>
      <c r="W509" s="749">
        <f>$F$21*$G$8*'Traffic Data'!AY53*annualizationFactor</f>
        <v>1.227513004788507E-3</v>
      </c>
      <c r="X509" s="749">
        <f>$F$21*$G$8*'Traffic Data'!AZ53*annualizationFactor</f>
        <v>1.2371706243918463E-3</v>
      </c>
      <c r="Y509" s="749">
        <f>$F$21*$G$8*'Traffic Data'!BA53*annualizationFactor</f>
        <v>1.2468282439951851E-3</v>
      </c>
      <c r="Z509" s="749">
        <f>$F$21*$G$8*'Traffic Data'!BB53*annualizationFactor</f>
        <v>1.2565547700329859E-3</v>
      </c>
      <c r="AA509" s="749">
        <f>$F$21*$G$8*'Traffic Data'!BC53*annualizationFactor</f>
        <v>1.2662123896363252E-3</v>
      </c>
      <c r="AB509" s="749">
        <f>$F$21*$G$8*'Traffic Data'!BD53*annualizationFactor</f>
        <v>1.2759006343216472E-3</v>
      </c>
      <c r="AC509" s="749">
        <f>$F$21*$G$8*'Traffic Data'!BE53*annualizationFactor</f>
        <v>1.2855582539249863E-3</v>
      </c>
      <c r="AD509" s="749">
        <f>$F$21*$G$8*'Traffic Data'!BF53*annualizationFactor</f>
        <v>1.2952158735283254E-3</v>
      </c>
      <c r="AE509" s="749">
        <f>$F$21*$G$8*'Traffic Data'!BG53*annualizationFactor</f>
        <v>1.3049423995661262E-3</v>
      </c>
      <c r="AF509" s="749">
        <f>$F$21*$G$8*'Traffic Data'!BH53*annualizationFactor</f>
        <v>1.3146000191694652E-3</v>
      </c>
      <c r="AG509" s="749">
        <f>$F$21*$G$8*'Traffic Data'!BI53*annualizationFactor</f>
        <v>1.3242576387728041E-3</v>
      </c>
      <c r="AH509" s="750">
        <f>$F$21*$G$8*'Traffic Data'!BJ53*annualizationFactor</f>
        <v>1.3339458834581261E-3</v>
      </c>
      <c r="AI509" s="24"/>
      <c r="AJ509" s="24"/>
      <c r="AK509" s="24"/>
      <c r="AL509" s="24"/>
      <c r="AM509" s="24"/>
    </row>
    <row r="510" spans="2:39" ht="21.9" customHeight="1" x14ac:dyDescent="0.25">
      <c r="B510" s="1332" t="s">
        <v>308</v>
      </c>
      <c r="C510" s="217" t="s">
        <v>276</v>
      </c>
      <c r="D510" s="217" t="s">
        <v>320</v>
      </c>
      <c r="E510" s="114" t="s">
        <v>19</v>
      </c>
      <c r="F510" s="114" t="s">
        <v>405</v>
      </c>
      <c r="G510" s="941"/>
      <c r="H510" s="941"/>
      <c r="I510" s="749">
        <f>$F$21*$H$8*'Traffic Data'!AK54*annualizationFactor</f>
        <v>8.7965661015000022E-6</v>
      </c>
      <c r="J510" s="749">
        <f>$F$21*$H$8*'Traffic Data'!AL54*annualizationFactor</f>
        <v>1.9550368160583749E-5</v>
      </c>
      <c r="K510" s="749">
        <f>$F$21*$H$8*'Traffic Data'!AM54*annualizationFactor</f>
        <v>8.2630543674440266E-5</v>
      </c>
      <c r="L510" s="749">
        <f>$F$21*$H$8*'Traffic Data'!AN54*annualizationFactor</f>
        <v>1.85748289799274E-4</v>
      </c>
      <c r="M510" s="749">
        <f>$F$21*$H$8*'Traffic Data'!AO54*annualizationFactor</f>
        <v>2.8892321360376755E-4</v>
      </c>
      <c r="N510" s="749">
        <f>$F$21*$H$8*'Traffic Data'!AP54*annualizationFactor</f>
        <v>3.9210253569131175E-4</v>
      </c>
      <c r="O510" s="749">
        <f>$F$21*$H$8*'Traffic Data'!AQ54*annualizationFactor</f>
        <v>4.9522028181614561E-4</v>
      </c>
      <c r="P510" s="749">
        <f>$F$21*$H$8*'Traffic Data'!AR54*annualizationFactor</f>
        <v>5.9845678158334961E-4</v>
      </c>
      <c r="Q510" s="749">
        <f>$F$21*$H$8*'Traffic Data'!AS54*annualizationFactor</f>
        <v>6.7806570480192466E-4</v>
      </c>
      <c r="R510" s="749">
        <f>$F$21*$H$8*'Traffic Data'!AT54*annualizationFactor</f>
        <v>7.5768782286965192E-4</v>
      </c>
      <c r="S510" s="749">
        <f>$F$21*$H$8*'Traffic Data'!AU54*annualizationFactor</f>
        <v>8.3729674608822675E-4</v>
      </c>
      <c r="T510" s="749">
        <f>$F$21*$H$8*'Traffic Data'!AV54*annualizationFactor</f>
        <v>9.169056693068018E-4</v>
      </c>
      <c r="U510" s="749">
        <f>$F$21*$H$8*'Traffic Data'!AW54*annualizationFactor</f>
        <v>9.9662015131859495E-4</v>
      </c>
      <c r="V510" s="749">
        <f>$F$21*$H$8*'Traffic Data'!AX54*annualizationFactor</f>
        <v>1.0361299279634819E-3</v>
      </c>
      <c r="W510" s="749">
        <f>$F$21*$H$8*'Traffic Data'!AY54*annualizationFactor</f>
        <v>1.046883730022566E-3</v>
      </c>
      <c r="X510" s="749">
        <f>$F$21*$H$8*'Traffic Data'!AZ54*annualizationFactor</f>
        <v>1.0576375320816495E-3</v>
      </c>
      <c r="Y510" s="749">
        <f>$F$21*$H$8*'Traffic Data'!BA54*annualizationFactor</f>
        <v>1.0683913341407337E-3</v>
      </c>
      <c r="Z510" s="749">
        <f>$F$21*$H$8*'Traffic Data'!BB54*annualizationFactor</f>
        <v>1.0791759241811725E-3</v>
      </c>
      <c r="AA510" s="749">
        <f>$F$21*$H$8*'Traffic Data'!BC54*annualizationFactor</f>
        <v>1.0899297262402562E-3</v>
      </c>
      <c r="AB510" s="749">
        <f>$F$21*$H$8*'Traffic Data'!BD54*annualizationFactor</f>
        <v>1.1007143162806948E-3</v>
      </c>
      <c r="AC510" s="749">
        <f>$F$21*$H$8*'Traffic Data'!BE54*annualizationFactor</f>
        <v>1.1114681183397787E-3</v>
      </c>
      <c r="AD510" s="749">
        <f>$F$21*$H$8*'Traffic Data'!BF54*annualizationFactor</f>
        <v>1.1222219203988627E-3</v>
      </c>
      <c r="AE510" s="749">
        <f>$F$21*$H$8*'Traffic Data'!BG54*annualizationFactor</f>
        <v>1.1330065104393015E-3</v>
      </c>
      <c r="AF510" s="749">
        <f>$F$21*$H$8*'Traffic Data'!BH54*annualizationFactor</f>
        <v>1.1437603124983854E-3</v>
      </c>
      <c r="AG510" s="749">
        <f>$F$21*$H$8*'Traffic Data'!BI54*annualizationFactor</f>
        <v>1.1545141145574691E-3</v>
      </c>
      <c r="AH510" s="750">
        <f>$F$21*$H$8*'Traffic Data'!BJ54*annualizationFactor</f>
        <v>1.1652987045979082E-3</v>
      </c>
      <c r="AI510" s="24"/>
      <c r="AJ510" s="24"/>
      <c r="AK510" s="24"/>
      <c r="AL510" s="24"/>
      <c r="AM510" s="24"/>
    </row>
    <row r="511" spans="2:39" ht="21.9" customHeight="1" x14ac:dyDescent="0.25">
      <c r="B511" s="1332"/>
      <c r="C511" s="114" t="s">
        <v>320</v>
      </c>
      <c r="D511" s="114" t="s">
        <v>282</v>
      </c>
      <c r="E511" s="114" t="s">
        <v>19</v>
      </c>
      <c r="F511" s="114" t="s">
        <v>405</v>
      </c>
      <c r="G511" s="941"/>
      <c r="H511" s="941"/>
      <c r="I511" s="751">
        <f>$F$21*$H$8*'Traffic Data'!AK55*annualizationFactor</f>
        <v>0</v>
      </c>
      <c r="J511" s="751">
        <f>$F$21*$H$8*'Traffic Data'!AL55*annualizationFactor</f>
        <v>5.9295371499000019E-6</v>
      </c>
      <c r="K511" s="751">
        <f>$F$21*$H$8*'Traffic Data'!AM55*annualizationFactor</f>
        <v>1.7138186836180205E-5</v>
      </c>
      <c r="L511" s="751">
        <f>$F$21*$H$8*'Traffic Data'!AN55*annualizationFactor</f>
        <v>3.8525571217627209E-5</v>
      </c>
      <c r="M511" s="751">
        <f>$F$21*$H$8*'Traffic Data'!AO55*annualizationFactor</f>
        <v>5.992481467337402E-5</v>
      </c>
      <c r="N511" s="751">
        <f>$F$21*$H$8*'Traffic Data'!AP55*annualizationFactor</f>
        <v>8.1324970365605396E-5</v>
      </c>
      <c r="O511" s="751">
        <f>$F$21*$H$8*'Traffic Data'!AQ55*annualizationFactor</f>
        <v>1.0271235474705241E-4</v>
      </c>
      <c r="P511" s="751">
        <f>$F$21*$H$8*'Traffic Data'!AR55*annualizationFactor</f>
        <v>1.2412436951358361E-4</v>
      </c>
      <c r="Q511" s="751">
        <f>$F$21*$H$8*'Traffic Data'!AS55*annualizationFactor</f>
        <v>1.4063584988484364E-4</v>
      </c>
      <c r="R511" s="751">
        <f>$F$21*$H$8*'Traffic Data'!AT55*annualizationFactor</f>
        <v>1.5715006696555745E-4</v>
      </c>
      <c r="S511" s="751">
        <f>$F$21*$H$8*'Traffic Data'!AU55*annualizationFactor</f>
        <v>1.7366154733681742E-4</v>
      </c>
      <c r="T511" s="751">
        <f>$F$21*$H$8*'Traffic Data'!AV55*annualizationFactor</f>
        <v>1.9017302770807742E-4</v>
      </c>
      <c r="U511" s="751">
        <f>$F$21*$H$8*'Traffic Data'!AW55*annualizationFactor</f>
        <v>2.067064017549678E-4</v>
      </c>
      <c r="V511" s="751">
        <f>$F$21*$H$8*'Traffic Data'!AX55*annualizationFactor</f>
        <v>2.1490102209612962E-4</v>
      </c>
      <c r="W511" s="751">
        <f>$F$21*$H$8*'Traffic Data'!AY55*annualizationFactor</f>
        <v>2.1713144030097666E-4</v>
      </c>
      <c r="X511" s="751">
        <f>$F$21*$H$8*'Traffic Data'!AZ55*annualizationFactor</f>
        <v>2.1936185850582364E-4</v>
      </c>
      <c r="Y511" s="751">
        <f>$F$21*$H$8*'Traffic Data'!BA55*annualizationFactor</f>
        <v>2.2159227671067068E-4</v>
      </c>
      <c r="Z511" s="751">
        <f>$F$21*$H$8*'Traffic Data'!BB55*annualizationFactor</f>
        <v>2.2382908057090988E-4</v>
      </c>
      <c r="AA511" s="751">
        <f>$F$21*$H$8*'Traffic Data'!BC55*annualizationFactor</f>
        <v>2.2605949877575683E-4</v>
      </c>
      <c r="AB511" s="751">
        <f>$F$21*$H$8*'Traffic Data'!BD55*annualizationFactor</f>
        <v>2.2829630263599597E-4</v>
      </c>
      <c r="AC511" s="751">
        <f>$F$21*$H$8*'Traffic Data'!BE55*annualizationFactor</f>
        <v>2.3052672084084301E-4</v>
      </c>
      <c r="AD511" s="751">
        <f>$F$21*$H$8*'Traffic Data'!BF55*annualizationFactor</f>
        <v>2.3275713904569002E-4</v>
      </c>
      <c r="AE511" s="751">
        <f>$F$21*$H$8*'Traffic Data'!BG55*annualizationFactor</f>
        <v>2.3499394290592922E-4</v>
      </c>
      <c r="AF511" s="751">
        <f>$F$21*$H$8*'Traffic Data'!BH55*annualizationFactor</f>
        <v>2.372243611107762E-4</v>
      </c>
      <c r="AG511" s="751">
        <f>$F$21*$H$8*'Traffic Data'!BI55*annualizationFactor</f>
        <v>2.3945477931562324E-4</v>
      </c>
      <c r="AH511" s="752">
        <f>$F$21*$H$8*'Traffic Data'!BJ55*annualizationFactor</f>
        <v>2.4169158317586241E-4</v>
      </c>
      <c r="AI511" s="24"/>
      <c r="AJ511" s="24"/>
      <c r="AK511" s="24"/>
      <c r="AL511" s="24"/>
      <c r="AM511" s="24"/>
    </row>
    <row r="512" spans="2:39" ht="21.9" customHeight="1" x14ac:dyDescent="0.25">
      <c r="B512" s="1332"/>
      <c r="C512" s="114" t="s">
        <v>282</v>
      </c>
      <c r="D512" s="114" t="s">
        <v>321</v>
      </c>
      <c r="E512" s="114" t="s">
        <v>19</v>
      </c>
      <c r="F512" s="114" t="s">
        <v>405</v>
      </c>
      <c r="G512" s="941"/>
      <c r="H512" s="941"/>
      <c r="I512" s="751">
        <f>$F$21*$H$8*'Traffic Data'!AK56*annualizationFactor</f>
        <v>0</v>
      </c>
      <c r="J512" s="751">
        <f>$F$21*$H$8*'Traffic Data'!AL56*annualizationFactor</f>
        <v>1.5459150426525002E-5</v>
      </c>
      <c r="K512" s="751">
        <f>$F$21*$H$8*'Traffic Data'!AM56*annualizationFactor</f>
        <v>4.4681701394326958E-5</v>
      </c>
      <c r="L512" s="751">
        <f>$F$21*$H$8*'Traffic Data'!AN56*annualizationFactor</f>
        <v>1.004416678173852E-4</v>
      </c>
      <c r="M512" s="751">
        <f>$F$21*$H$8*'Traffic Data'!AO56*annualizationFactor</f>
        <v>1.5623255254129653E-4</v>
      </c>
      <c r="N512" s="751">
        <f>$F$21*$H$8*'Traffic Data'!AP56*annualizationFactor</f>
        <v>2.120258155960426E-4</v>
      </c>
      <c r="O512" s="751">
        <f>$F$21*$H$8*'Traffic Data'!AQ56*annualizationFactor</f>
        <v>2.6778578201910088E-4</v>
      </c>
      <c r="P512" s="751">
        <f>$F$21*$H$8*'Traffic Data'!AR56*annualizationFactor</f>
        <v>3.2360996337470009E-4</v>
      </c>
      <c r="Q512" s="751">
        <f>$F$21*$H$8*'Traffic Data'!AS56*annualizationFactor</f>
        <v>3.6665775148548516E-4</v>
      </c>
      <c r="R512" s="751">
        <f>$F$21*$H$8*'Traffic Data'!AT56*annualizationFactor</f>
        <v>4.0971267458877472E-4</v>
      </c>
      <c r="S512" s="751">
        <f>$F$21*$H$8*'Traffic Data'!AU56*annualizationFactor</f>
        <v>4.5276046269955962E-4</v>
      </c>
      <c r="T512" s="751">
        <f>$F$21*$H$8*'Traffic Data'!AV56*annualizationFactor</f>
        <v>4.9580825081034464E-4</v>
      </c>
      <c r="U512" s="751">
        <f>$F$21*$H$8*'Traffic Data'!AW56*annualizationFactor</f>
        <v>5.3891311886116616E-4</v>
      </c>
      <c r="V512" s="751">
        <f>$F$21*$H$8*'Traffic Data'!AX56*annualizationFactor</f>
        <v>5.6027766475062355E-4</v>
      </c>
      <c r="W512" s="751">
        <f>$F$21*$H$8*'Traffic Data'!AY56*annualizationFactor</f>
        <v>5.6609268364183197E-4</v>
      </c>
      <c r="X512" s="751">
        <f>$F$21*$H$8*'Traffic Data'!AZ56*annualizationFactor</f>
        <v>5.7190770253304018E-4</v>
      </c>
      <c r="Y512" s="751">
        <f>$F$21*$H$8*'Traffic Data'!BA56*annualizationFactor</f>
        <v>5.7772272142424838E-4</v>
      </c>
      <c r="Z512" s="751">
        <f>$F$21*$H$8*'Traffic Data'!BB56*annualizationFactor</f>
        <v>5.8355438863130066E-4</v>
      </c>
      <c r="AA512" s="751">
        <f>$F$21*$H$8*'Traffic Data'!BC56*annualizationFactor</f>
        <v>5.8936940752250886E-4</v>
      </c>
      <c r="AB512" s="751">
        <f>$F$21*$H$8*'Traffic Data'!BD56*annualizationFactor</f>
        <v>5.9520107472956093E-4</v>
      </c>
      <c r="AC512" s="751">
        <f>$F$21*$H$8*'Traffic Data'!BE56*annualizationFactor</f>
        <v>6.0101609362076924E-4</v>
      </c>
      <c r="AD512" s="751">
        <f>$F$21*$H$8*'Traffic Data'!BF56*annualizationFactor</f>
        <v>6.0683111251197744E-4</v>
      </c>
      <c r="AE512" s="751">
        <f>$F$21*$H$8*'Traffic Data'!BG56*annualizationFactor</f>
        <v>6.1266277971902961E-4</v>
      </c>
      <c r="AF512" s="751">
        <f>$F$21*$H$8*'Traffic Data'!BH56*annualizationFactor</f>
        <v>6.1847779861023792E-4</v>
      </c>
      <c r="AG512" s="751">
        <f>$F$21*$H$8*'Traffic Data'!BI56*annualizationFactor</f>
        <v>6.2429281750144613E-4</v>
      </c>
      <c r="AH512" s="752">
        <f>$F$21*$H$8*'Traffic Data'!BJ56*annualizationFactor</f>
        <v>6.301244847084983E-4</v>
      </c>
      <c r="AI512" s="24"/>
      <c r="AJ512" s="24"/>
      <c r="AK512" s="24"/>
      <c r="AL512" s="24"/>
      <c r="AM512" s="24"/>
    </row>
    <row r="513" spans="2:39" ht="21.9" customHeight="1" x14ac:dyDescent="0.25">
      <c r="B513" s="1332"/>
      <c r="C513" s="250" t="s">
        <v>321</v>
      </c>
      <c r="D513" s="250" t="s">
        <v>274</v>
      </c>
      <c r="E513" s="114" t="s">
        <v>19</v>
      </c>
      <c r="F513" s="250" t="s">
        <v>405</v>
      </c>
      <c r="G513" s="941"/>
      <c r="H513" s="941"/>
      <c r="I513" s="751">
        <f>$F$21*$H$8*'Traffic Data'!AK57*annualizationFactor</f>
        <v>2.0525320903500002E-5</v>
      </c>
      <c r="J513" s="751">
        <f>$F$21*$H$8*'Traffic Data'!AL57*annualizationFactor</f>
        <v>3.0334371763282652E-5</v>
      </c>
      <c r="K513" s="751">
        <f>$F$21*$H$8*'Traffic Data'!AM57*annualizationFactor</f>
        <v>4.2554463651863111E-5</v>
      </c>
      <c r="L513" s="751">
        <f>$F$21*$H$8*'Traffic Data'!AN57*annualizationFactor</f>
        <v>6.8720142739644912E-5</v>
      </c>
      <c r="M513" s="751">
        <f>$F$21*$H$8*'Traffic Data'!AO57*annualizationFactor</f>
        <v>9.4889242714243973E-5</v>
      </c>
      <c r="N513" s="751">
        <f>$F$21*$H$8*'Traffic Data'!AP57*annualizationFactor</f>
        <v>1.210692895266582E-4</v>
      </c>
      <c r="O513" s="751">
        <f>$F$21*$H$8*'Traffic Data'!AQ57*annualizationFactor</f>
        <v>1.4723496861444001E-4</v>
      </c>
      <c r="P513" s="751">
        <f>$F$21*$H$8*'Traffic Data'!AR57*annualizationFactor</f>
        <v>1.7338696415495283E-4</v>
      </c>
      <c r="Q513" s="751">
        <f>$F$21*$H$8*'Traffic Data'!AS57*annualizationFactor</f>
        <v>2.2589894515446724E-4</v>
      </c>
      <c r="R513" s="751">
        <f>$F$21*$H$8*'Traffic Data'!AT57*annualizationFactor</f>
        <v>2.7838082234998981E-4</v>
      </c>
      <c r="S513" s="751">
        <f>$F$21*$H$8*'Traffic Data'!AU57*annualizationFactor</f>
        <v>3.3087433056069111E-4</v>
      </c>
      <c r="T513" s="751">
        <f>$F$21*$H$8*'Traffic Data'!AV57*annualizationFactor</f>
        <v>3.8338631156020552E-4</v>
      </c>
      <c r="U513" s="751">
        <f>$F$21*$H$8*'Traffic Data'!AW57*annualizationFactor</f>
        <v>4.3588460901245092E-4</v>
      </c>
      <c r="V513" s="751">
        <f>$F$21*$H$8*'Traffic Data'!AX57*annualizationFactor</f>
        <v>4.7444963445803705E-4</v>
      </c>
      <c r="W513" s="751">
        <f>$F$21*$H$8*'Traffic Data'!AY57*annualizationFactor</f>
        <v>4.8425868531781974E-4</v>
      </c>
      <c r="X513" s="751">
        <f>$F$21*$H$8*'Traffic Data'!AZ57*annualizationFactor</f>
        <v>4.9406773617760233E-4</v>
      </c>
      <c r="Y513" s="751">
        <f>$F$21*$H$8*'Traffic Data'!BA57*annualizationFactor</f>
        <v>5.0387678703738502E-4</v>
      </c>
      <c r="Z513" s="751">
        <f>$F$21*$H$8*'Traffic Data'!BB57*annualizationFactor</f>
        <v>5.1365641827053922E-4</v>
      </c>
      <c r="AA513" s="751">
        <f>$F$21*$H$8*'Traffic Data'!BC57*annualizationFactor</f>
        <v>5.2346546913032191E-4</v>
      </c>
      <c r="AB513" s="751">
        <f>$F$21*$H$8*'Traffic Data'!BD57*annualizationFactor</f>
        <v>5.3324510036347622E-4</v>
      </c>
      <c r="AC513" s="751">
        <f>$F$21*$H$8*'Traffic Data'!BE57*annualizationFactor</f>
        <v>5.4305415122325891E-4</v>
      </c>
      <c r="AD513" s="751">
        <f>$F$21*$H$8*'Traffic Data'!BF57*annualizationFactor</f>
        <v>5.5286320208304161E-4</v>
      </c>
      <c r="AE513" s="751">
        <f>$F$21*$H$8*'Traffic Data'!BG57*annualizationFactor</f>
        <v>5.626428333161958E-4</v>
      </c>
      <c r="AF513" s="751">
        <f>$F$21*$H$8*'Traffic Data'!BH57*annualizationFactor</f>
        <v>5.7245188417597839E-4</v>
      </c>
      <c r="AG513" s="751">
        <f>$F$21*$H$8*'Traffic Data'!BI57*annualizationFactor</f>
        <v>5.8226093503576119E-4</v>
      </c>
      <c r="AH513" s="752">
        <f>$F$21*$H$8*'Traffic Data'!BJ57*annualizationFactor</f>
        <v>5.9204056626891539E-4</v>
      </c>
      <c r="AI513" s="24"/>
      <c r="AJ513" s="24"/>
      <c r="AK513" s="24"/>
      <c r="AL513" s="24"/>
      <c r="AM513" s="24"/>
    </row>
    <row r="514" spans="2:39" ht="21.9" customHeight="1" x14ac:dyDescent="0.25">
      <c r="B514" s="469" t="s">
        <v>282</v>
      </c>
      <c r="C514" s="114" t="s">
        <v>308</v>
      </c>
      <c r="D514" s="114" t="s">
        <v>324</v>
      </c>
      <c r="E514" s="114" t="s">
        <v>19</v>
      </c>
      <c r="F514" s="250" t="s">
        <v>405</v>
      </c>
      <c r="G514" s="941"/>
      <c r="H514" s="941"/>
      <c r="I514" s="749">
        <f>$F$21*$J$8*'Traffic Data'!AK58*annualizationFactor</f>
        <v>1.1728754802E-4</v>
      </c>
      <c r="J514" s="749">
        <f>$F$21*$J$8*'Traffic Data'!AL58*annualizationFactor</f>
        <v>1.2449942902825203E-4</v>
      </c>
      <c r="K514" s="749">
        <f>$F$21*$J$8*'Traffic Data'!AM58*annualizationFactor</f>
        <v>1.3404337744963503E-4</v>
      </c>
      <c r="L514" s="749">
        <f>$F$21*$J$8*'Traffic Data'!AN58*annualizationFactor</f>
        <v>1.4672672257301999E-4</v>
      </c>
      <c r="M514" s="749">
        <f>$F$21*$J$8*'Traffic Data'!AO58*annualizationFactor</f>
        <v>1.5941397728133901E-4</v>
      </c>
      <c r="N514" s="749">
        <f>$F$21*$J$8*'Traffic Data'!AP58*annualizationFactor</f>
        <v>1.7212859908419603E-4</v>
      </c>
      <c r="O514" s="749">
        <f>$F$21*$J$8*'Traffic Data'!AQ58*annualizationFactor</f>
        <v>1.8481194420758097E-4</v>
      </c>
      <c r="P514" s="749">
        <f>$F$21*$J$8*'Traffic Data'!AR58*annualizationFactor</f>
        <v>1.97508972878235E-4</v>
      </c>
      <c r="Q514" s="749">
        <f>$F$21*$J$8*'Traffic Data'!AS58*annualizationFactor</f>
        <v>2.09086557062787E-4</v>
      </c>
      <c r="R514" s="749">
        <f>$F$21*$J$8*'Traffic Data'!AT58*annualizationFactor</f>
        <v>2.2065436728500404E-4</v>
      </c>
      <c r="S514" s="749">
        <f>$F$21*$J$8*'Traffic Data'!AU58*annualizationFactor</f>
        <v>2.32232603067045E-4</v>
      </c>
      <c r="T514" s="749">
        <f>$F$21*$J$8*'Traffic Data'!AV58*annualizationFactor</f>
        <v>2.43810187251597E-4</v>
      </c>
      <c r="U514" s="749">
        <f>$F$21*$J$8*'Traffic Data'!AW58*annualizationFactor</f>
        <v>2.5542882207795598E-4</v>
      </c>
      <c r="V514" s="749">
        <f>$F$21*$J$8*'Traffic Data'!AX58*annualizationFactor</f>
        <v>2.6385788719566003E-4</v>
      </c>
      <c r="W514" s="749">
        <f>$F$21*$J$8*'Traffic Data'!AY58*annualizationFactor</f>
        <v>2.7106976820391203E-4</v>
      </c>
      <c r="X514" s="749">
        <f>$F$21*$J$8*'Traffic Data'!AZ58*annualizationFactor</f>
        <v>2.7828164921216397E-4</v>
      </c>
      <c r="Y514" s="749">
        <f>$F$21*$J$8*'Traffic Data'!BA58*annualizationFactor</f>
        <v>2.8549353022041602E-4</v>
      </c>
      <c r="Z514" s="749">
        <f>$F$21*$J$8*'Traffic Data'!BB58*annualizationFactor</f>
        <v>2.9271323039853603E-4</v>
      </c>
      <c r="AA514" s="749">
        <f>$F$21*$J$8*'Traffic Data'!BC58*annualizationFactor</f>
        <v>2.9992511140678797E-4</v>
      </c>
      <c r="AB514" s="749">
        <f>$F$21*$J$8*'Traffic Data'!BD58*annualizationFactor</f>
        <v>3.0715458554724304E-4</v>
      </c>
      <c r="AC514" s="749">
        <f>$F$21*$J$8*'Traffic Data'!BE58*annualizationFactor</f>
        <v>3.1436646655549498E-4</v>
      </c>
      <c r="AD514" s="749">
        <f>$F$21*$J$8*'Traffic Data'!BF58*annualizationFactor</f>
        <v>3.2157834756374703E-4</v>
      </c>
      <c r="AE514" s="749">
        <f>$F$21*$J$8*'Traffic Data'!BG58*annualizationFactor</f>
        <v>3.2879804774186693E-4</v>
      </c>
      <c r="AF514" s="749">
        <f>$F$21*$J$8*'Traffic Data'!BH58*annualizationFactor</f>
        <v>3.3600992875011904E-4</v>
      </c>
      <c r="AG514" s="749">
        <f>$F$21*$J$8*'Traffic Data'!BI58*annualizationFactor</f>
        <v>3.4322180975837103E-4</v>
      </c>
      <c r="AH514" s="750">
        <f>$F$21*$J$8*'Traffic Data'!BJ58*annualizationFactor</f>
        <v>3.5045128389882599E-4</v>
      </c>
      <c r="AI514" s="24"/>
      <c r="AJ514" s="24"/>
      <c r="AK514" s="24"/>
      <c r="AL514" s="24"/>
      <c r="AM514" s="24"/>
    </row>
    <row r="515" spans="2:39" ht="21.9" customHeight="1" x14ac:dyDescent="0.25">
      <c r="B515" s="756" t="s">
        <v>321</v>
      </c>
      <c r="C515" s="273" t="s">
        <v>318</v>
      </c>
      <c r="D515" s="273" t="s">
        <v>308</v>
      </c>
      <c r="E515" s="273" t="s">
        <v>19</v>
      </c>
      <c r="F515" s="273" t="s">
        <v>405</v>
      </c>
      <c r="G515" s="754"/>
      <c r="H515" s="754"/>
      <c r="I515" s="749">
        <f>$F$21*$K$8*'Traffic Data'!AK59*annualizationFactor</f>
        <v>0</v>
      </c>
      <c r="J515" s="749">
        <f>$F$21*$K$8*'Traffic Data'!AL59*annualizationFactor</f>
        <v>1.967090978646382E-4</v>
      </c>
      <c r="K515" s="749">
        <f>$F$21*$K$8*'Traffic Data'!AM59*annualizationFactor</f>
        <v>2.1178853637042336E-4</v>
      </c>
      <c r="L515" s="749">
        <f>$F$21*$K$8*'Traffic Data'!AN59*annualizationFactor</f>
        <v>2.3182822166537161E-4</v>
      </c>
      <c r="M515" s="749">
        <f>$F$21*$K$8*'Traffic Data'!AO59*annualizationFactor</f>
        <v>2.5187408410451564E-4</v>
      </c>
      <c r="N515" s="749">
        <f>$F$21*$K$8*'Traffic Data'!AP59*annualizationFactor</f>
        <v>2.7196318655302976E-4</v>
      </c>
      <c r="O515" s="749">
        <f>$F$21*$K$8*'Traffic Data'!AQ59*annualizationFactor</f>
        <v>2.9200287184797795E-4</v>
      </c>
      <c r="P515" s="749">
        <f>$F$21*$K$8*'Traffic Data'!AR59*annualizationFactor</f>
        <v>3.1206417714761133E-4</v>
      </c>
      <c r="Q515" s="749">
        <f>$F$21*$K$8*'Traffic Data'!AS59*annualizationFactor</f>
        <v>3.3035676015920351E-4</v>
      </c>
      <c r="R515" s="749">
        <f>$F$21*$K$8*'Traffic Data'!AT59*annualizationFactor</f>
        <v>3.4863390031030634E-4</v>
      </c>
      <c r="S515" s="749">
        <f>$F$21*$K$8*'Traffic Data'!AU59*annualizationFactor</f>
        <v>3.6692751284593111E-4</v>
      </c>
      <c r="T515" s="749">
        <f>$F$21*$K$8*'Traffic Data'!AV59*annualizationFactor</f>
        <v>3.8522009585752328E-4</v>
      </c>
      <c r="U515" s="749">
        <f>$F$21*$K$8*'Traffic Data'!AW59*annualizationFactor</f>
        <v>4.0357753888317052E-4</v>
      </c>
      <c r="V515" s="749">
        <f>$F$21*$K$8*'Traffic Data'!AX59*annualizationFactor</f>
        <v>4.1689546176914291E-4</v>
      </c>
      <c r="W515" s="749">
        <f>$F$21*$K$8*'Traffic Data'!AY59*annualizationFactor</f>
        <v>4.2829023376218101E-4</v>
      </c>
      <c r="X515" s="749">
        <f>$F$21*$K$8*'Traffic Data'!AZ59*annualizationFactor</f>
        <v>4.396850057552191E-4</v>
      </c>
      <c r="Y515" s="749">
        <f>$F$21*$K$8*'Traffic Data'!BA59*annualizationFactor</f>
        <v>4.5107977774825724E-4</v>
      </c>
      <c r="Z515" s="749">
        <f>$F$21*$K$8*'Traffic Data'!BB59*annualizationFactor</f>
        <v>4.6248690402968696E-4</v>
      </c>
      <c r="AA515" s="749">
        <f>$F$21*$K$8*'Traffic Data'!BC59*annualizationFactor</f>
        <v>4.7388167602272499E-4</v>
      </c>
      <c r="AB515" s="749">
        <f>$F$21*$K$8*'Traffic Data'!BD59*annualizationFactor</f>
        <v>4.85304245164644E-4</v>
      </c>
      <c r="AC515" s="749">
        <f>$F$21*$K$8*'Traffic Data'!BE59*annualizationFactor</f>
        <v>4.9669901715768214E-4</v>
      </c>
      <c r="AD515" s="749">
        <f>$F$21*$K$8*'Traffic Data'!BF59*annualizationFactor</f>
        <v>5.0809378915072029E-4</v>
      </c>
      <c r="AE515" s="749">
        <f>$F$21*$K$8*'Traffic Data'!BG59*annualizationFactor</f>
        <v>5.1950091543214979E-4</v>
      </c>
      <c r="AF515" s="749">
        <f>$F$21*$K$8*'Traffic Data'!BH59*annualizationFactor</f>
        <v>5.3089568742518815E-4</v>
      </c>
      <c r="AG515" s="749">
        <f>$F$21*$K$8*'Traffic Data'!BI59*annualizationFactor</f>
        <v>5.4229045941822619E-4</v>
      </c>
      <c r="AH515" s="750">
        <f>$F$21*$K$8*'Traffic Data'!BJ59*annualizationFactor</f>
        <v>5.5371302856014497E-4</v>
      </c>
      <c r="AI515" s="24"/>
      <c r="AJ515" s="24"/>
      <c r="AK515" s="24"/>
      <c r="AL515" s="24"/>
      <c r="AM515" s="24"/>
    </row>
    <row r="516" spans="2:39" ht="21.9" customHeight="1" x14ac:dyDescent="0.25">
      <c r="B516" s="756" t="s">
        <v>333</v>
      </c>
      <c r="C516" s="273" t="s">
        <v>319</v>
      </c>
      <c r="D516" s="273" t="s">
        <v>308</v>
      </c>
      <c r="E516" s="114" t="s">
        <v>19</v>
      </c>
      <c r="F516" s="273" t="s">
        <v>405</v>
      </c>
      <c r="G516" s="941"/>
      <c r="H516" s="941"/>
      <c r="I516" s="749">
        <f>$F$21*$L$8*'Traffic Data'!AK60*annualizationFactor</f>
        <v>2.1751508905527275E-4</v>
      </c>
      <c r="J516" s="749">
        <f>$F$21*$L$8*'Traffic Data'!AL60*annualizationFactor</f>
        <v>2.2050169206971776E-4</v>
      </c>
      <c r="K516" s="749">
        <f>$F$21*$L$8*'Traffic Data'!AM60*annualizationFactor</f>
        <v>2.2566405018329625E-4</v>
      </c>
      <c r="L516" s="749">
        <f>$F$21*$L$8*'Traffic Data'!AN60*annualizationFactor</f>
        <v>2.3275141683501392E-4</v>
      </c>
      <c r="M516" s="749">
        <f>$F$21*$L$8*'Traffic Data'!AO60*annualizationFactor</f>
        <v>2.3984180452963507E-4</v>
      </c>
      <c r="N516" s="749">
        <f>$F$21*$L$8*'Traffic Data'!AP60*annualizationFactor</f>
        <v>2.4694246377012831E-4</v>
      </c>
      <c r="O516" s="749">
        <f>$F$21*$L$8*'Traffic Data'!AQ60*annualizationFactor</f>
        <v>2.5402983042184594E-4</v>
      </c>
      <c r="P516" s="749">
        <f>$F$21*$L$8*'Traffic Data'!AR60*annualizationFactor</f>
        <v>2.6114196962537267E-4</v>
      </c>
      <c r="Q516" s="749">
        <f>$F$21*$L$8*'Traffic Data'!AS60*annualizationFactor</f>
        <v>2.6607412426970096E-4</v>
      </c>
      <c r="R516" s="749">
        <f>$F$21*$L$8*'Traffic Data'!AT60*annualizationFactor</f>
        <v>2.7100688312260994E-4</v>
      </c>
      <c r="S516" s="749">
        <f>$F$21*$L$8*'Traffic Data'!AU60*annualizationFactor</f>
        <v>2.7594024618409971E-4</v>
      </c>
      <c r="T516" s="749">
        <f>$F$21*$L$8*'Traffic Data'!AV60*annualizationFactor</f>
        <v>2.8087240082842806E-4</v>
      </c>
      <c r="U516" s="749">
        <f>$F$21*$L$8*'Traffic Data'!AW60*annualizationFactor</f>
        <v>2.8583959957043743E-4</v>
      </c>
      <c r="V516" s="749">
        <f>$F$21*$L$8*'Traffic Data'!AX60*annualizationFactor</f>
        <v>2.8882620258488247E-4</v>
      </c>
      <c r="W516" s="749">
        <f>$F$21*$L$8*'Traffic Data'!AY60*annualizationFactor</f>
        <v>2.9181280559932744E-4</v>
      </c>
      <c r="X516" s="749">
        <f>$F$21*$L$8*'Traffic Data'!AZ60*annualizationFactor</f>
        <v>2.9479940861377259E-4</v>
      </c>
      <c r="Y516" s="749">
        <f>$F$21*$L$8*'Traffic Data'!BA60*annualizationFactor</f>
        <v>2.9778601162821751E-4</v>
      </c>
      <c r="Z516" s="749">
        <f>$F$21*$L$8*'Traffic Data'!BB60*annualizationFactor</f>
        <v>3.007931577344068E-4</v>
      </c>
      <c r="AA516" s="749">
        <f>$F$21*$L$8*'Traffic Data'!BC60*annualizationFactor</f>
        <v>3.0377976074885178E-4</v>
      </c>
      <c r="AB516" s="749">
        <f>$F$21*$L$8*'Traffic Data'!BD60*annualizationFactor</f>
        <v>3.0677784372633033E-4</v>
      </c>
      <c r="AC516" s="749">
        <f>$F$21*$L$8*'Traffic Data'!BE60*annualizationFactor</f>
        <v>3.0976444674077531E-4</v>
      </c>
      <c r="AD516" s="749">
        <f>$F$21*$L$8*'Traffic Data'!BF60*annualizationFactor</f>
        <v>3.1275104975522045E-4</v>
      </c>
      <c r="AE516" s="749">
        <f>$F$21*$L$8*'Traffic Data'!BG60*annualizationFactor</f>
        <v>3.1575819586140952E-4</v>
      </c>
      <c r="AF516" s="749">
        <f>$F$21*$L$8*'Traffic Data'!BH60*annualizationFactor</f>
        <v>3.1874479887585461E-4</v>
      </c>
      <c r="AG516" s="749">
        <f>$F$21*$L$8*'Traffic Data'!BI60*annualizationFactor</f>
        <v>3.2173140189029959E-4</v>
      </c>
      <c r="AH516" s="750">
        <f>$F$21*$L$8*'Traffic Data'!BJ60*annualizationFactor</f>
        <v>3.2472948486777809E-4</v>
      </c>
      <c r="AI516" s="24"/>
      <c r="AJ516" s="24"/>
      <c r="AK516" s="24"/>
      <c r="AL516" s="24"/>
      <c r="AM516" s="24"/>
    </row>
    <row r="517" spans="2:39" ht="21.9" customHeight="1" x14ac:dyDescent="0.25">
      <c r="B517" s="469" t="s">
        <v>319</v>
      </c>
      <c r="C517" s="114" t="s">
        <v>276</v>
      </c>
      <c r="D517" s="114" t="s">
        <v>333</v>
      </c>
      <c r="E517" s="217" t="s">
        <v>19</v>
      </c>
      <c r="F517" s="114" t="s">
        <v>405</v>
      </c>
      <c r="G517" s="749"/>
      <c r="H517" s="749"/>
      <c r="I517" s="749">
        <f>$F$21*$M$8*'Traffic Data'!AK61*annualizationFactor</f>
        <v>7.8117653510795465E-4</v>
      </c>
      <c r="J517" s="749">
        <f>$F$21*$M$8*'Traffic Data'!AL61*annualizationFactor</f>
        <v>8.0369551108551191E-4</v>
      </c>
      <c r="K517" s="749">
        <f>$F$21*$M$8*'Traffic Data'!AM61*annualizationFactor</f>
        <v>8.2806978133395019E-4</v>
      </c>
      <c r="L517" s="749">
        <f>$F$21*$M$8*'Traffic Data'!AN61*annualizationFactor</f>
        <v>8.6040658400474395E-4</v>
      </c>
      <c r="M517" s="749">
        <f>$F$21*$M$8*'Traffic Data'!AO61*annualizationFactor</f>
        <v>8.9274885491128322E-4</v>
      </c>
      <c r="N517" s="749">
        <f>$F$21*$M$8*'Traffic Data'!AP61*annualizationFactor</f>
        <v>9.2510440581891965E-4</v>
      </c>
      <c r="O517" s="749">
        <f>$F$21*$M$8*'Traffic Data'!AQ61*annualizationFactor</f>
        <v>9.5744120848971373E-4</v>
      </c>
      <c r="P517" s="749">
        <f>$F$21*$M$8*'Traffic Data'!AR61*annualizationFactor</f>
        <v>9.8978660410239364E-4</v>
      </c>
      <c r="Q517" s="749">
        <f>$F$21*$M$8*'Traffic Data'!AS61*annualizationFactor</f>
        <v>1.0253785693949823E-3</v>
      </c>
      <c r="R517" s="749">
        <f>$F$21*$M$8*'Traffic Data'!AT61*annualizationFactor</f>
        <v>1.060958817039544E-3</v>
      </c>
      <c r="S517" s="749">
        <f>$F$21*$M$8*'Traffic Data'!AU61*annualizationFactor</f>
        <v>1.0965507823321328E-3</v>
      </c>
      <c r="T517" s="749">
        <f>$F$21*$M$8*'Traffic Data'!AV61*annualizationFactor</f>
        <v>1.1321427476247213E-3</v>
      </c>
      <c r="U517" s="749">
        <f>$F$21*$M$8*'Traffic Data'!AW61*annualizationFactor</f>
        <v>1.167755023507223E-3</v>
      </c>
      <c r="V517" s="749">
        <f>$F$21*$M$8*'Traffic Data'!AX61*annualizationFactor</f>
        <v>1.1953813316713155E-3</v>
      </c>
      <c r="W517" s="749">
        <f>$F$21*$M$8*'Traffic Data'!AY61*annualizationFactor</f>
        <v>1.2179003076488728E-3</v>
      </c>
      <c r="X517" s="749">
        <f>$F$21*$M$8*'Traffic Data'!AZ61*annualizationFactor</f>
        <v>1.2404192836264301E-3</v>
      </c>
      <c r="Y517" s="749">
        <f>$F$21*$M$8*'Traffic Data'!BA61*annualizationFactor</f>
        <v>1.2629382596039869E-3</v>
      </c>
      <c r="Z517" s="749">
        <f>$F$21*$M$8*'Traffic Data'!BB61*annualizationFactor</f>
        <v>1.2854548920519385E-3</v>
      </c>
      <c r="AA517" s="749">
        <f>$F$21*$M$8*'Traffic Data'!BC61*annualizationFactor</f>
        <v>1.3079738680294951E-3</v>
      </c>
      <c r="AB517" s="749">
        <f>$F$21*$M$8*'Traffic Data'!BD61*annualizationFactor</f>
        <v>1.3304905004774465E-3</v>
      </c>
      <c r="AC517" s="749">
        <f>$F$21*$M$8*'Traffic Data'!BE61*annualizationFactor</f>
        <v>1.3530094764550042E-3</v>
      </c>
      <c r="AD517" s="749">
        <f>$F$21*$M$8*'Traffic Data'!BF61*annualizationFactor</f>
        <v>1.3755284524325615E-3</v>
      </c>
      <c r="AE517" s="749">
        <f>$F$21*$M$8*'Traffic Data'!BG61*annualizationFactor</f>
        <v>1.3980450848805129E-3</v>
      </c>
      <c r="AF517" s="749">
        <f>$F$21*$M$8*'Traffic Data'!BH61*annualizationFactor</f>
        <v>1.4205640608580699E-3</v>
      </c>
      <c r="AG517" s="749">
        <f>$F$21*$M$8*'Traffic Data'!BI61*annualizationFactor</f>
        <v>1.4430830368356269E-3</v>
      </c>
      <c r="AH517" s="750">
        <f>$F$21*$M$8*'Traffic Data'!BJ61*annualizationFactor</f>
        <v>1.4655996692835786E-3</v>
      </c>
      <c r="AI517" s="24"/>
      <c r="AJ517" s="24"/>
      <c r="AK517" s="24"/>
      <c r="AL517" s="24"/>
      <c r="AM517" s="24"/>
    </row>
    <row r="518" spans="2:39" ht="21.9" customHeight="1" x14ac:dyDescent="0.25">
      <c r="B518" s="469"/>
      <c r="C518" s="114" t="s">
        <v>333</v>
      </c>
      <c r="D518" s="114" t="s">
        <v>323</v>
      </c>
      <c r="E518" s="114" t="s">
        <v>19</v>
      </c>
      <c r="F518" s="114" t="s">
        <v>405</v>
      </c>
      <c r="G518" s="941"/>
      <c r="H518" s="941"/>
      <c r="I518" s="751">
        <f>$F$21*$M$8*'Traffic Data'!AK62*annualizationFactor</f>
        <v>1.1376793431047729E-4</v>
      </c>
      <c r="J518" s="751">
        <f>$F$21*$M$8*'Traffic Data'!AL62*annualizationFactor</f>
        <v>1.1699684791978913E-4</v>
      </c>
      <c r="K518" s="751">
        <f>$F$21*$M$8*'Traffic Data'!AM62*annualizationFactor</f>
        <v>1.2058008876661793E-4</v>
      </c>
      <c r="L518" s="751">
        <f>$F$21*$M$8*'Traffic Data'!AN62*annualizationFactor</f>
        <v>1.2560952963104345E-4</v>
      </c>
      <c r="M518" s="751">
        <f>$F$21*$M$8*'Traffic Data'!AO62*annualizationFactor</f>
        <v>1.3063986866337148E-4</v>
      </c>
      <c r="N518" s="751">
        <f>$F$21*$M$8*'Traffic Data'!AP62*annualizationFactor</f>
        <v>1.3567125555825229E-4</v>
      </c>
      <c r="O518" s="751">
        <f>$F$21*$M$8*'Traffic Data'!AQ62*annualizationFactor</f>
        <v>1.4070069642267789E-4</v>
      </c>
      <c r="P518" s="751">
        <f>$F$21*$M$8*'Traffic Data'!AR62*annualizationFactor</f>
        <v>1.4573043667640424E-4</v>
      </c>
      <c r="Q518" s="751">
        <f>$F$21*$M$8*'Traffic Data'!AS62*annualizationFactor</f>
        <v>1.5138365514908214E-4</v>
      </c>
      <c r="R518" s="751">
        <f>$F$21*$M$8*'Traffic Data'!AT62*annualizationFactor</f>
        <v>1.5703492759130464E-4</v>
      </c>
      <c r="S518" s="751">
        <f>$F$21*$M$8*'Traffic Data'!AU62*annualizationFactor</f>
        <v>1.6268814606398249E-4</v>
      </c>
      <c r="T518" s="751">
        <f>$F$21*$M$8*'Traffic Data'!AV62*annualizationFactor</f>
        <v>1.6834136453666035E-4</v>
      </c>
      <c r="U518" s="751">
        <f>$F$21*$M$8*'Traffic Data'!AW62*annualizationFactor</f>
        <v>1.7399548117724069E-4</v>
      </c>
      <c r="V518" s="751">
        <f>$F$21*$M$8*'Traffic Data'!AX62*annualizationFactor</f>
        <v>1.7820309841092341E-4</v>
      </c>
      <c r="W518" s="751">
        <f>$F$21*$M$8*'Traffic Data'!AY62*annualizationFactor</f>
        <v>1.8143201202023526E-4</v>
      </c>
      <c r="X518" s="751">
        <f>$F$21*$M$8*'Traffic Data'!AZ62*annualizationFactor</f>
        <v>1.8466092562954712E-4</v>
      </c>
      <c r="Y518" s="751">
        <f>$F$21*$M$8*'Traffic Data'!BA62*annualizationFactor</f>
        <v>1.8788983923885894E-4</v>
      </c>
      <c r="Z518" s="751">
        <f>$F$21*$M$8*'Traffic Data'!BB62*annualizationFactor</f>
        <v>1.9111710620701625E-4</v>
      </c>
      <c r="AA518" s="751">
        <f>$F$21*$M$8*'Traffic Data'!BC62*annualizationFactor</f>
        <v>1.9434601981632813E-4</v>
      </c>
      <c r="AB518" s="751">
        <f>$F$21*$M$8*'Traffic Data'!BD62*annualizationFactor</f>
        <v>1.9757328678448547E-4</v>
      </c>
      <c r="AC518" s="751">
        <f>$F$21*$M$8*'Traffic Data'!BE62*annualizationFactor</f>
        <v>2.0080220039379729E-4</v>
      </c>
      <c r="AD518" s="751">
        <f>$F$21*$M$8*'Traffic Data'!BF62*annualizationFactor</f>
        <v>2.0403111400310914E-4</v>
      </c>
      <c r="AE518" s="751">
        <f>$F$21*$M$8*'Traffic Data'!BG62*annualizationFactor</f>
        <v>2.0725838097126643E-4</v>
      </c>
      <c r="AF518" s="751">
        <f>$F$21*$M$8*'Traffic Data'!BH62*annualizationFactor</f>
        <v>2.1048729458057828E-4</v>
      </c>
      <c r="AG518" s="751">
        <f>$F$21*$M$8*'Traffic Data'!BI62*annualizationFactor</f>
        <v>2.137162081898901E-4</v>
      </c>
      <c r="AH518" s="752">
        <f>$F$21*$M$8*'Traffic Data'!BJ62*annualizationFactor</f>
        <v>2.1694347515804744E-4</v>
      </c>
      <c r="AI518" s="24"/>
      <c r="AJ518" s="24"/>
      <c r="AK518" s="24"/>
      <c r="AL518" s="24"/>
      <c r="AM518" s="24"/>
    </row>
    <row r="519" spans="2:39" ht="21.9" customHeight="1" x14ac:dyDescent="0.25">
      <c r="B519" s="469"/>
      <c r="C519" s="114" t="s">
        <v>323</v>
      </c>
      <c r="D519" s="114" t="s">
        <v>322</v>
      </c>
      <c r="E519" s="114" t="s">
        <v>19</v>
      </c>
      <c r="F519" s="114" t="s">
        <v>405</v>
      </c>
      <c r="G519" s="941"/>
      <c r="H519" s="941"/>
      <c r="I519" s="751">
        <f>$F$21*$M$8*'Traffic Data'!AK63*annualizationFactor</f>
        <v>2.8137164297727277E-5</v>
      </c>
      <c r="J519" s="751">
        <f>$F$21*$M$8*'Traffic Data'!AL63*annualizationFactor</f>
        <v>2.8935741447598298E-5</v>
      </c>
      <c r="K519" s="751">
        <f>$F$21*$M$8*'Traffic Data'!AM63*annualizationFactor</f>
        <v>2.9821951055222899E-5</v>
      </c>
      <c r="L519" s="751">
        <f>$F$21*$M$8*'Traffic Data'!AN63*annualizationFactor</f>
        <v>3.1065835852690056E-5</v>
      </c>
      <c r="M519" s="751">
        <f>$F$21*$M$8*'Traffic Data'!AO63*annualizationFactor</f>
        <v>3.2309942785664829E-5</v>
      </c>
      <c r="N519" s="751">
        <f>$F$21*$M$8*'Traffic Data'!AP63*annualizationFactor</f>
        <v>3.3554308876731813E-5</v>
      </c>
      <c r="O519" s="751">
        <f>$F$21*$M$8*'Traffic Data'!AQ63*annualizationFactor</f>
        <v>3.479819367419898E-5</v>
      </c>
      <c r="P519" s="751">
        <f>$F$21*$M$8*'Traffic Data'!AR63*annualizationFactor</f>
        <v>3.6042152516835348E-5</v>
      </c>
      <c r="Q519" s="751">
        <f>$F$21*$M$8*'Traffic Data'!AS63*annualizationFactor</f>
        <v>3.7440310424340178E-5</v>
      </c>
      <c r="R519" s="751">
        <f>$F$21*$M$8*'Traffic Data'!AT63*annualizationFactor</f>
        <v>3.8837987038245165E-5</v>
      </c>
      <c r="S519" s="751">
        <f>$F$21*$M$8*'Traffic Data'!AU63*annualizationFactor</f>
        <v>4.0236144945749995E-5</v>
      </c>
      <c r="T519" s="751">
        <f>$F$21*$M$8*'Traffic Data'!AV63*annualizationFactor</f>
        <v>4.1634302853254825E-5</v>
      </c>
      <c r="U519" s="751">
        <f>$F$21*$M$8*'Traffic Data'!AW63*annualizationFactor</f>
        <v>4.3032682896267276E-5</v>
      </c>
      <c r="V519" s="751">
        <f>$F$21*$M$8*'Traffic Data'!AX63*annualizationFactor</f>
        <v>4.4073313704267949E-5</v>
      </c>
      <c r="W519" s="751">
        <f>$F$21*$M$8*'Traffic Data'!AY63*annualizationFactor</f>
        <v>4.487189085413897E-5</v>
      </c>
      <c r="X519" s="751">
        <f>$F$21*$M$8*'Traffic Data'!AZ63*annualizationFactor</f>
        <v>4.5670468004010005E-5</v>
      </c>
      <c r="Y519" s="751">
        <f>$F$21*$M$8*'Traffic Data'!BA63*annualizationFactor</f>
        <v>4.6469045153881019E-5</v>
      </c>
      <c r="Z519" s="751">
        <f>$F$21*$M$8*'Traffic Data'!BB63*annualizationFactor</f>
        <v>4.7267215055321417E-5</v>
      </c>
      <c r="AA519" s="751">
        <f>$F$21*$M$8*'Traffic Data'!BC63*annualizationFactor</f>
        <v>4.8065792205192438E-5</v>
      </c>
      <c r="AB519" s="751">
        <f>$F$21*$M$8*'Traffic Data'!BD63*annualizationFactor</f>
        <v>4.8863962106632843E-5</v>
      </c>
      <c r="AC519" s="751">
        <f>$F$21*$M$8*'Traffic Data'!BE63*annualizationFactor</f>
        <v>4.9662539256503871E-5</v>
      </c>
      <c r="AD519" s="751">
        <f>$F$21*$M$8*'Traffic Data'!BF63*annualizationFactor</f>
        <v>5.0461116406374893E-5</v>
      </c>
      <c r="AE519" s="751">
        <f>$F$21*$M$8*'Traffic Data'!BG63*annualizationFactor</f>
        <v>5.1259286307815277E-5</v>
      </c>
      <c r="AF519" s="751">
        <f>$F$21*$M$8*'Traffic Data'!BH63*annualizationFactor</f>
        <v>5.2057863457686305E-5</v>
      </c>
      <c r="AG519" s="751">
        <f>$F$21*$M$8*'Traffic Data'!BI63*annualizationFactor</f>
        <v>5.2856440607557319E-5</v>
      </c>
      <c r="AH519" s="752">
        <f>$F$21*$M$8*'Traffic Data'!BJ63*annualizationFactor</f>
        <v>5.3654610508997724E-5</v>
      </c>
      <c r="AI519" s="24"/>
      <c r="AJ519" s="24"/>
      <c r="AK519" s="24"/>
      <c r="AL519" s="24"/>
      <c r="AM519" s="24"/>
    </row>
    <row r="520" spans="2:39" ht="21.9" customHeight="1" x14ac:dyDescent="0.25">
      <c r="B520" s="469"/>
      <c r="C520" s="114" t="s">
        <v>322</v>
      </c>
      <c r="D520" s="114" t="s">
        <v>326</v>
      </c>
      <c r="E520" s="114" t="s">
        <v>19</v>
      </c>
      <c r="F520" s="114" t="s">
        <v>405</v>
      </c>
      <c r="G520" s="941"/>
      <c r="H520" s="941"/>
      <c r="I520" s="751">
        <f>$F$21*$M$8*'Traffic Data'!AK64*annualizationFactor</f>
        <v>7.2194039974431826E-5</v>
      </c>
      <c r="J520" s="751">
        <f>$F$21*$M$8*'Traffic Data'!AL64*annualizationFactor</f>
        <v>7.4241222301306794E-5</v>
      </c>
      <c r="K520" s="751">
        <f>$F$21*$M$8*'Traffic Data'!AM64*annualizationFactor</f>
        <v>7.657393205628064E-5</v>
      </c>
      <c r="L520" s="751">
        <f>$F$21*$M$8*'Traffic Data'!AN64*annualizationFactor</f>
        <v>7.9554583320025018E-5</v>
      </c>
      <c r="M520" s="751">
        <f>$F$21*$M$8*'Traffic Data'!AO64*annualizationFactor</f>
        <v>8.2536197170969056E-5</v>
      </c>
      <c r="N520" s="751">
        <f>$F$21*$M$8*'Traffic Data'!AP64*annualizationFactor</f>
        <v>8.5517329728313285E-5</v>
      </c>
      <c r="O520" s="751">
        <f>$F$21*$M$8*'Traffic Data'!AQ64*annualizationFactor</f>
        <v>8.8497980992057664E-5</v>
      </c>
      <c r="P520" s="751">
        <f>$F$21*$M$8*'Traffic Data'!AR64*annualizationFactor</f>
        <v>9.1479233872801804E-5</v>
      </c>
      <c r="Q520" s="751">
        <f>$F$21*$M$8*'Traffic Data'!AS64*annualizationFactor</f>
        <v>9.4848770365208444E-5</v>
      </c>
      <c r="R520" s="751">
        <f>$F$21*$M$8*'Traffic Data'!AT64*annualizationFactor</f>
        <v>9.8218186534215144E-5</v>
      </c>
      <c r="S520" s="751">
        <f>$F$21*$M$8*'Traffic Data'!AU64*annualizationFactor</f>
        <v>1.0158724173302196E-4</v>
      </c>
      <c r="T520" s="751">
        <f>$F$21*$M$8*'Traffic Data'!AV64*annualizationFactor</f>
        <v>1.0495677822542861E-4</v>
      </c>
      <c r="U520" s="751">
        <f>$F$21*$M$8*'Traffic Data'!AW64*annualizationFactor</f>
        <v>1.0832691633483504E-4</v>
      </c>
      <c r="V520" s="751">
        <f>$F$21*$M$8*'Traffic Data'!AX64*annualizationFactor</f>
        <v>1.1104839099507121E-4</v>
      </c>
      <c r="W520" s="751">
        <f>$F$21*$M$8*'Traffic Data'!AY64*annualizationFactor</f>
        <v>1.1309557332194621E-4</v>
      </c>
      <c r="X520" s="751">
        <f>$F$21*$M$8*'Traffic Data'!AZ64*annualizationFactor</f>
        <v>1.1514275564882119E-4</v>
      </c>
      <c r="Y520" s="751">
        <f>$F$21*$M$8*'Traffic Data'!BA64*annualizationFactor</f>
        <v>1.1718993797569613E-4</v>
      </c>
      <c r="Z520" s="751">
        <f>$F$21*$M$8*'Traffic Data'!BB64*annualizationFactor</f>
        <v>1.1923651868557134E-4</v>
      </c>
      <c r="AA520" s="751">
        <f>$F$21*$M$8*'Traffic Data'!BC64*annualizationFactor</f>
        <v>1.2128370101244626E-4</v>
      </c>
      <c r="AB520" s="751">
        <f>$F$21*$M$8*'Traffic Data'!BD64*annualizationFactor</f>
        <v>1.2333028172232142E-4</v>
      </c>
      <c r="AC520" s="751">
        <f>$F$21*$M$8*'Traffic Data'!BE64*annualizationFactor</f>
        <v>1.2537746404919642E-4</v>
      </c>
      <c r="AD520" s="751">
        <f>$F$21*$M$8*'Traffic Data'!BF64*annualizationFactor</f>
        <v>1.2742464637607141E-4</v>
      </c>
      <c r="AE520" s="751">
        <f>$F$21*$M$8*'Traffic Data'!BG64*annualizationFactor</f>
        <v>1.2947122708594657E-4</v>
      </c>
      <c r="AF520" s="751">
        <f>$F$21*$M$8*'Traffic Data'!BH64*annualizationFactor</f>
        <v>1.3151840941282155E-4</v>
      </c>
      <c r="AG520" s="751">
        <f>$F$21*$M$8*'Traffic Data'!BI64*annualizationFactor</f>
        <v>1.3356559173969651E-4</v>
      </c>
      <c r="AH520" s="752">
        <f>$F$21*$M$8*'Traffic Data'!BJ64*annualizationFactor</f>
        <v>1.3561217244957167E-4</v>
      </c>
      <c r="AI520" s="24"/>
      <c r="AJ520" s="24"/>
      <c r="AK520" s="24"/>
      <c r="AL520" s="24"/>
      <c r="AM520" s="24"/>
    </row>
    <row r="521" spans="2:39" ht="21.9" customHeight="1" x14ac:dyDescent="0.25">
      <c r="B521" s="469"/>
      <c r="C521" s="114" t="s">
        <v>326</v>
      </c>
      <c r="D521" s="114" t="s">
        <v>274</v>
      </c>
      <c r="E521" s="114" t="s">
        <v>19</v>
      </c>
      <c r="F521" s="114" t="s">
        <v>405</v>
      </c>
      <c r="G521" s="941"/>
      <c r="H521" s="941"/>
      <c r="I521" s="751">
        <f>$F$21*$M$8*'Traffic Data'!AK65*annualizationFactor</f>
        <v>5.9939564471079545E-4</v>
      </c>
      <c r="J521" s="751">
        <f>$F$21*$M$8*'Traffic Data'!AL65*annualizationFactor</f>
        <v>6.1639250720931145E-4</v>
      </c>
      <c r="K521" s="751">
        <f>$F$21*$M$8*'Traffic Data'!AM65*annualizationFactor</f>
        <v>6.3575997948265824E-4</v>
      </c>
      <c r="L521" s="751">
        <f>$F$21*$M$8*'Traffic Data'!AN65*annualizationFactor</f>
        <v>6.6050702766728476E-4</v>
      </c>
      <c r="M521" s="751">
        <f>$F$21*$M$8*'Traffic Data'!AO65*annualizationFactor</f>
        <v>6.852620677938406E-4</v>
      </c>
      <c r="N521" s="751">
        <f>$F$21*$M$8*'Traffic Data'!AP65*annualizationFactor</f>
        <v>7.1001311194943194E-4</v>
      </c>
      <c r="O521" s="751">
        <f>$F$21*$M$8*'Traffic Data'!AQ65*annualizationFactor</f>
        <v>7.3476016013405802E-4</v>
      </c>
      <c r="P521" s="751">
        <f>$F$21*$M$8*'Traffic Data'!AR65*annualizationFactor</f>
        <v>7.5951220328239054E-4</v>
      </c>
      <c r="Q521" s="751">
        <f>$F$21*$M$8*'Traffic Data'!AS65*annualizationFactor</f>
        <v>7.8748799600652543E-4</v>
      </c>
      <c r="R521" s="751">
        <f>$F$21*$M$8*'Traffic Data'!AT65*annualizationFactor</f>
        <v>8.1546278973791957E-4</v>
      </c>
      <c r="S521" s="751">
        <f>$F$21*$M$8*'Traffic Data'!AU65*annualizationFactor</f>
        <v>8.4343458649109007E-4</v>
      </c>
      <c r="T521" s="751">
        <f>$F$21*$M$8*'Traffic Data'!AV65*annualizationFactor</f>
        <v>8.7141037921522528E-4</v>
      </c>
      <c r="U521" s="751">
        <f>$F$21*$M$8*'Traffic Data'!AW65*annualizationFactor</f>
        <v>8.9939116690306627E-4</v>
      </c>
      <c r="V521" s="751">
        <f>$F$21*$M$8*'Traffic Data'!AX65*annualizationFactor</f>
        <v>9.2198638472318101E-4</v>
      </c>
      <c r="W521" s="751">
        <f>$F$21*$M$8*'Traffic Data'!AY65*annualizationFactor</f>
        <v>9.3898324722169679E-4</v>
      </c>
      <c r="X521" s="751">
        <f>$F$21*$M$8*'Traffic Data'!AZ65*annualizationFactor</f>
        <v>9.5598010972021278E-4</v>
      </c>
      <c r="Y521" s="751">
        <f>$F$21*$M$8*'Traffic Data'!BA65*annualizationFactor</f>
        <v>9.7297697221872845E-4</v>
      </c>
      <c r="Z521" s="751">
        <f>$F$21*$M$8*'Traffic Data'!BB65*annualizationFactor</f>
        <v>9.8996883975353833E-4</v>
      </c>
      <c r="AA521" s="751">
        <f>$F$21*$M$8*'Traffic Data'!BC65*annualizationFactor</f>
        <v>1.0069657022520537E-3</v>
      </c>
      <c r="AB521" s="751">
        <f>$F$21*$M$8*'Traffic Data'!BD65*annualizationFactor</f>
        <v>1.0239575697868636E-3</v>
      </c>
      <c r="AC521" s="751">
        <f>$F$21*$M$8*'Traffic Data'!BE65*annualizationFactor</f>
        <v>1.0409544322853793E-3</v>
      </c>
      <c r="AD521" s="751">
        <f>$F$21*$M$8*'Traffic Data'!BF65*annualizationFactor</f>
        <v>1.0579512947838953E-3</v>
      </c>
      <c r="AE521" s="751">
        <f>$F$21*$M$8*'Traffic Data'!BG65*annualizationFactor</f>
        <v>1.074943162318705E-3</v>
      </c>
      <c r="AF521" s="751">
        <f>$F$21*$M$8*'Traffic Data'!BH65*annualizationFactor</f>
        <v>1.091940024817221E-3</v>
      </c>
      <c r="AG521" s="751">
        <f>$F$21*$M$8*'Traffic Data'!BI65*annualizationFactor</f>
        <v>1.1089368873157365E-3</v>
      </c>
      <c r="AH521" s="752">
        <f>$F$21*$M$8*'Traffic Data'!BJ65*annualizationFactor</f>
        <v>1.1259287548505464E-3</v>
      </c>
      <c r="AI521" s="24"/>
      <c r="AJ521" s="24"/>
      <c r="AK521" s="24"/>
      <c r="AL521" s="24"/>
      <c r="AM521" s="24"/>
    </row>
    <row r="522" spans="2:39" ht="21.9" customHeight="1" x14ac:dyDescent="0.25">
      <c r="B522" s="470"/>
      <c r="C522" s="250" t="s">
        <v>274</v>
      </c>
      <c r="D522" s="250" t="s">
        <v>317</v>
      </c>
      <c r="E522" s="250" t="s">
        <v>19</v>
      </c>
      <c r="F522" s="250" t="s">
        <v>405</v>
      </c>
      <c r="G522" s="753"/>
      <c r="H522" s="753"/>
      <c r="I522" s="753">
        <f>$F$21*$M$8*'Traffic Data'!AK66*annualizationFactor</f>
        <v>1.4809033840909094E-5</v>
      </c>
      <c r="J522" s="753">
        <f>$F$21*$M$8*'Traffic Data'!AL66*annualizationFactor</f>
        <v>1.5228968677191142E-5</v>
      </c>
      <c r="K522" s="753">
        <f>$F$21*$M$8*'Traffic Data'!AM66*annualizationFactor</f>
        <v>1.5707473242313979E-5</v>
      </c>
      <c r="L522" s="753">
        <f>$F$21*$M$8*'Traffic Data'!AN66*annualizationFactor</f>
        <v>1.6318888886158982E-5</v>
      </c>
      <c r="M522" s="753">
        <f>$F$21*$M$8*'Traffic Data'!AO66*annualizationFactor</f>
        <v>1.6930501983788523E-5</v>
      </c>
      <c r="N522" s="753">
        <f>$F$21*$M$8*'Traffic Data'!AP66*annualizationFactor</f>
        <v>1.7542016354525806E-5</v>
      </c>
      <c r="O522" s="753">
        <f>$F$21*$M$8*'Traffic Data'!AQ66*annualizationFactor</f>
        <v>1.8153431998370802E-5</v>
      </c>
      <c r="P522" s="753">
        <f>$F$21*$M$8*'Traffic Data'!AR66*annualizationFactor</f>
        <v>1.8764971050831143E-5</v>
      </c>
      <c r="Q522" s="753">
        <f>$F$21*$M$8*'Traffic Data'!AS66*annualizationFactor</f>
        <v>1.9456158023632504E-5</v>
      </c>
      <c r="R522" s="753">
        <f>$F$21*$M$8*'Traffic Data'!AT66*annualizationFactor</f>
        <v>2.01473203147108E-5</v>
      </c>
      <c r="S522" s="753">
        <f>$F$21*$M$8*'Traffic Data'!AU66*annualizationFactor</f>
        <v>2.0838408560619888E-5</v>
      </c>
      <c r="T522" s="753">
        <f>$F$21*$M$8*'Traffic Data'!AV66*annualizationFactor</f>
        <v>2.1529595533421256E-5</v>
      </c>
      <c r="U522" s="753">
        <f>$F$21*$M$8*'Traffic Data'!AW66*annualizationFactor</f>
        <v>2.2220905914837955E-5</v>
      </c>
      <c r="V522" s="753">
        <f>$F$21*$M$8*'Traffic Data'!AX66*annualizationFactor</f>
        <v>2.2779157127194095E-5</v>
      </c>
      <c r="W522" s="753">
        <f>$F$21*$M$8*'Traffic Data'!AY66*annualizationFactor</f>
        <v>2.3199091963476147E-5</v>
      </c>
      <c r="X522" s="753">
        <f>$F$21*$M$8*'Traffic Data'!AZ66*annualizationFactor</f>
        <v>2.3619026799758192E-5</v>
      </c>
      <c r="Y522" s="753">
        <f>$F$21*$M$8*'Traffic Data'!BA66*annualizationFactor</f>
        <v>2.4038961636040233E-5</v>
      </c>
      <c r="Z522" s="753">
        <f>$F$21*$M$8*'Traffic Data'!BB66*annualizationFactor</f>
        <v>2.4458773063706937E-5</v>
      </c>
      <c r="AA522" s="753">
        <f>$F$21*$M$8*'Traffic Data'!BC66*annualizationFactor</f>
        <v>2.4878707899988975E-5</v>
      </c>
      <c r="AB522" s="753">
        <f>$F$21*$M$8*'Traffic Data'!BD66*annualizationFactor</f>
        <v>2.5298519327655682E-5</v>
      </c>
      <c r="AC522" s="753">
        <f>$F$21*$M$8*'Traffic Data'!BE66*annualizationFactor</f>
        <v>2.5718454163937723E-5</v>
      </c>
      <c r="AD522" s="753">
        <f>$F$21*$M$8*'Traffic Data'!BF66*annualizationFactor</f>
        <v>2.6138389000219768E-5</v>
      </c>
      <c r="AE522" s="753">
        <f>$F$21*$M$8*'Traffic Data'!BG66*annualizationFactor</f>
        <v>2.6558200427886475E-5</v>
      </c>
      <c r="AF522" s="753">
        <f>$F$21*$M$8*'Traffic Data'!BH66*annualizationFactor</f>
        <v>2.6978135264168527E-5</v>
      </c>
      <c r="AG522" s="753">
        <f>$F$21*$M$8*'Traffic Data'!BI66*annualizationFactor</f>
        <v>2.7398070100450565E-5</v>
      </c>
      <c r="AH522" s="757">
        <f>$F$21*$M$8*'Traffic Data'!BJ66*annualizationFactor</f>
        <v>2.7817881528117272E-5</v>
      </c>
      <c r="AI522" s="24"/>
      <c r="AJ522" s="24"/>
      <c r="AK522" s="24"/>
      <c r="AL522" s="24"/>
      <c r="AM522" s="24"/>
    </row>
    <row r="523" spans="2:39" ht="21.9" customHeight="1" thickBot="1" x14ac:dyDescent="0.3">
      <c r="B523" s="1073" t="s">
        <v>459</v>
      </c>
      <c r="C523" s="237"/>
      <c r="D523" s="237"/>
      <c r="E523" s="237"/>
      <c r="F523" s="237"/>
      <c r="G523" s="940">
        <f t="shared" ref="G523:AH523" si="66">SUM(G503:G522)</f>
        <v>0</v>
      </c>
      <c r="H523" s="940">
        <f t="shared" si="66"/>
        <v>0</v>
      </c>
      <c r="I523" s="759">
        <f t="shared" si="66"/>
        <v>7.4715727193206448E-3</v>
      </c>
      <c r="J523" s="759">
        <f t="shared" si="66"/>
        <v>8.0744346537174518E-3</v>
      </c>
      <c r="K523" s="759">
        <f t="shared" si="66"/>
        <v>8.8655335823287287E-3</v>
      </c>
      <c r="L523" s="759">
        <f t="shared" si="66"/>
        <v>1.0190704756239673E-2</v>
      </c>
      <c r="M523" s="759">
        <f t="shared" si="66"/>
        <v>1.1516550467573492E-2</v>
      </c>
      <c r="N523" s="759">
        <f t="shared" si="66"/>
        <v>1.2842380460722197E-2</v>
      </c>
      <c r="O523" s="759">
        <f t="shared" si="66"/>
        <v>1.4167551634633142E-2</v>
      </c>
      <c r="P523" s="759">
        <f t="shared" si="66"/>
        <v>1.549407485521738E-2</v>
      </c>
      <c r="Q523" s="759">
        <f t="shared" si="66"/>
        <v>1.6717995449010387E-2</v>
      </c>
      <c r="R523" s="759">
        <f t="shared" si="66"/>
        <v>1.7942256361386005E-2</v>
      </c>
      <c r="S523" s="759">
        <f t="shared" si="66"/>
        <v>1.9166184267287563E-2</v>
      </c>
      <c r="T523" s="759">
        <f t="shared" si="66"/>
        <v>2.0390104861080574E-2</v>
      </c>
      <c r="U523" s="759">
        <f t="shared" si="66"/>
        <v>2.1615385876401074E-2</v>
      </c>
      <c r="V523" s="759">
        <f t="shared" si="66"/>
        <v>2.2311326143594018E-2</v>
      </c>
      <c r="W523" s="759">
        <f t="shared" si="66"/>
        <v>2.271553050163885E-2</v>
      </c>
      <c r="X523" s="759">
        <f t="shared" si="66"/>
        <v>2.3119734859683699E-2</v>
      </c>
      <c r="Y523" s="759">
        <f t="shared" si="66"/>
        <v>2.3523939217728537E-2</v>
      </c>
      <c r="Z523" s="759">
        <f t="shared" si="66"/>
        <v>2.3928501421834787E-2</v>
      </c>
      <c r="AA523" s="759">
        <f t="shared" si="66"/>
        <v>2.4332705779879626E-2</v>
      </c>
      <c r="AB523" s="759">
        <f t="shared" si="66"/>
        <v>2.4737245856327503E-2</v>
      </c>
      <c r="AC523" s="759">
        <f t="shared" si="66"/>
        <v>2.5141450214372349E-2</v>
      </c>
      <c r="AD523" s="759">
        <f t="shared" si="66"/>
        <v>2.5545654572417188E-2</v>
      </c>
      <c r="AE523" s="759">
        <f t="shared" si="66"/>
        <v>2.5950216776523431E-2</v>
      </c>
      <c r="AF523" s="759">
        <f t="shared" si="66"/>
        <v>2.6354421134568269E-2</v>
      </c>
      <c r="AG523" s="759">
        <f t="shared" si="66"/>
        <v>2.6758625492613115E-2</v>
      </c>
      <c r="AH523" s="760">
        <f t="shared" si="66"/>
        <v>2.7163165569060992E-2</v>
      </c>
      <c r="AI523" s="24"/>
      <c r="AJ523" s="24"/>
      <c r="AK523" s="24"/>
      <c r="AL523" s="24"/>
      <c r="AM523" s="24"/>
    </row>
    <row r="524" spans="2:39" ht="21.9" customHeight="1" x14ac:dyDescent="0.25">
      <c r="B524" s="548" t="s">
        <v>312</v>
      </c>
      <c r="C524" s="1331" t="s">
        <v>18</v>
      </c>
      <c r="D524" s="1331"/>
      <c r="E524" s="197" t="s">
        <v>24</v>
      </c>
      <c r="F524" s="197" t="s">
        <v>42</v>
      </c>
      <c r="G524" s="459">
        <v>2021</v>
      </c>
      <c r="H524" s="459">
        <v>2022</v>
      </c>
      <c r="I524" s="459">
        <v>2023</v>
      </c>
      <c r="J524" s="459">
        <v>2024</v>
      </c>
      <c r="K524" s="459">
        <v>2025</v>
      </c>
      <c r="L524" s="459">
        <v>2026</v>
      </c>
      <c r="M524" s="459">
        <v>2027</v>
      </c>
      <c r="N524" s="459">
        <v>2028</v>
      </c>
      <c r="O524" s="459">
        <v>2029</v>
      </c>
      <c r="P524" s="459">
        <v>2030</v>
      </c>
      <c r="Q524" s="459">
        <v>2031</v>
      </c>
      <c r="R524" s="459">
        <v>2032</v>
      </c>
      <c r="S524" s="459">
        <v>2033</v>
      </c>
      <c r="T524" s="459">
        <v>2034</v>
      </c>
      <c r="U524" s="459">
        <v>2035</v>
      </c>
      <c r="V524" s="459">
        <v>2036</v>
      </c>
      <c r="W524" s="459">
        <v>2037</v>
      </c>
      <c r="X524" s="459">
        <v>2038</v>
      </c>
      <c r="Y524" s="459">
        <v>2039</v>
      </c>
      <c r="Z524" s="459">
        <v>2040</v>
      </c>
      <c r="AA524" s="459">
        <v>2041</v>
      </c>
      <c r="AB524" s="459">
        <v>2042</v>
      </c>
      <c r="AC524" s="459">
        <v>2043</v>
      </c>
      <c r="AD524" s="459">
        <v>2044</v>
      </c>
      <c r="AE524" s="459">
        <v>2045</v>
      </c>
      <c r="AF524" s="459">
        <v>2046</v>
      </c>
      <c r="AG524" s="459">
        <v>2047</v>
      </c>
      <c r="AH524" s="459">
        <v>2048</v>
      </c>
      <c r="AI524" s="247"/>
      <c r="AJ524" s="247"/>
      <c r="AK524" s="247"/>
      <c r="AL524" s="247"/>
      <c r="AM524" s="247"/>
    </row>
    <row r="525" spans="2:39" ht="21.9" customHeight="1" x14ac:dyDescent="0.25">
      <c r="B525" s="1332" t="s">
        <v>315</v>
      </c>
      <c r="C525" s="217" t="s">
        <v>316</v>
      </c>
      <c r="D525" s="217" t="s">
        <v>276</v>
      </c>
      <c r="E525" s="217" t="s">
        <v>434</v>
      </c>
      <c r="F525" s="217" t="s">
        <v>405</v>
      </c>
      <c r="G525" s="749"/>
      <c r="H525" s="749"/>
      <c r="I525" s="749">
        <f>$F$22*$E$9*'Traffic Data'!AK47*annualizationFactor</f>
        <v>9.5708376777624011E-4</v>
      </c>
      <c r="J525" s="749">
        <f>$F$22*$E$9*'Traffic Data'!AL47*annualizationFactor</f>
        <v>1.0006041612290904E-3</v>
      </c>
      <c r="K525" s="749">
        <f>$F$22*$E$9*'Traffic Data'!AM47*annualizationFactor</f>
        <v>1.0619203309890301E-3</v>
      </c>
      <c r="L525" s="749">
        <f>$F$22*$E$9*'Traffic Data'!AN47*annualizationFactor</f>
        <v>1.1521135125548434E-3</v>
      </c>
      <c r="M525" s="749">
        <f>$F$22*$E$9*'Traffic Data'!AO47*annualizationFactor</f>
        <v>1.2423395938751742E-3</v>
      </c>
      <c r="N525" s="749">
        <f>$F$22*$E$9*'Traffic Data'!AP47*annualizationFactor</f>
        <v>1.3325656751955047E-3</v>
      </c>
      <c r="O525" s="749">
        <f>$F$22*$E$9*'Traffic Data'!AQ47*annualizationFactor</f>
        <v>1.4227588567613182E-3</v>
      </c>
      <c r="P525" s="749">
        <f>$F$22*$E$9*'Traffic Data'!AR47*annualizationFactor</f>
        <v>1.5130178378361661E-3</v>
      </c>
      <c r="Q525" s="749">
        <f>$F$22*$E$9*'Traffic Data'!AS47*annualizationFactor</f>
        <v>1.6022090723325892E-3</v>
      </c>
      <c r="R525" s="749">
        <f>$F$22*$E$9*'Traffic Data'!AT47*annualizationFactor</f>
        <v>1.6914182521496576E-3</v>
      </c>
      <c r="S525" s="749">
        <f>$F$22*$E$9*'Traffic Data'!AU47*annualizationFactor</f>
        <v>1.7806094866460805E-3</v>
      </c>
      <c r="T525" s="749">
        <f>$F$22*$E$9*'Traffic Data'!AV47*annualizationFactor</f>
        <v>1.8698007211425029E-3</v>
      </c>
      <c r="U525" s="749">
        <f>$F$22*$E$9*'Traffic Data'!AW47*annualizationFactor</f>
        <v>1.9590577551479599E-3</v>
      </c>
      <c r="V525" s="749">
        <f>$F$22*$E$9*'Traffic Data'!AX47*annualizationFactor</f>
        <v>2.0193390780839922E-3</v>
      </c>
      <c r="W525" s="749">
        <f>$F$22*$E$9*'Traffic Data'!AY47*annualizationFactor</f>
        <v>2.0628594715368423E-3</v>
      </c>
      <c r="X525" s="749">
        <f>$F$22*$E$9*'Traffic Data'!AZ47*annualizationFactor</f>
        <v>2.1063798649896917E-3</v>
      </c>
      <c r="Y525" s="749">
        <f>$F$22*$E$9*'Traffic Data'!BA47*annualizationFactor</f>
        <v>2.1499002584425423E-3</v>
      </c>
      <c r="Z525" s="749">
        <f>$F$22*$E$9*'Traffic Data'!BB47*annualizationFactor</f>
        <v>2.1934356063292642E-3</v>
      </c>
      <c r="AA525" s="749">
        <f>$F$22*$E$9*'Traffic Data'!BC47*annualizationFactor</f>
        <v>2.2369559997821148E-3</v>
      </c>
      <c r="AB525" s="749">
        <f>$F$22*$E$9*'Traffic Data'!BD47*annualizationFactor</f>
        <v>2.2804913476688355E-3</v>
      </c>
      <c r="AC525" s="749">
        <f>$F$22*$E$9*'Traffic Data'!BE47*annualizationFactor</f>
        <v>2.3240117411216865E-3</v>
      </c>
      <c r="AD525" s="749">
        <f>$F$22*$E$9*'Traffic Data'!BF47*annualizationFactor</f>
        <v>2.3675321345745363E-3</v>
      </c>
      <c r="AE525" s="749">
        <f>$F$22*$E$9*'Traffic Data'!BG47*annualizationFactor</f>
        <v>2.4110674824612578E-3</v>
      </c>
      <c r="AF525" s="749">
        <f>$F$22*$E$9*'Traffic Data'!BH47*annualizationFactor</f>
        <v>2.4545878759141084E-3</v>
      </c>
      <c r="AG525" s="749">
        <f>$F$22*$E$9*'Traffic Data'!BI47*annualizationFactor</f>
        <v>2.4981082693669586E-3</v>
      </c>
      <c r="AH525" s="750">
        <f>$F$22*$E$9*'Traffic Data'!BJ47*annualizationFactor</f>
        <v>2.5416436172536801E-3</v>
      </c>
      <c r="AI525" s="24"/>
      <c r="AJ525" s="24"/>
      <c r="AK525" s="24"/>
      <c r="AL525" s="24"/>
      <c r="AM525" s="24"/>
    </row>
    <row r="526" spans="2:39" ht="21.9" customHeight="1" x14ac:dyDescent="0.25">
      <c r="B526" s="1332"/>
      <c r="C526" s="114" t="s">
        <v>276</v>
      </c>
      <c r="D526" s="114" t="s">
        <v>274</v>
      </c>
      <c r="E526" s="114" t="s">
        <v>434</v>
      </c>
      <c r="F526" s="114" t="s">
        <v>405</v>
      </c>
      <c r="G526" s="941"/>
      <c r="H526" s="941"/>
      <c r="I526" s="751">
        <f>$F$22*$E$9*'Traffic Data'!AK48*annualizationFactor</f>
        <v>3.0775366279772631E-2</v>
      </c>
      <c r="J526" s="751">
        <f>$F$22*$E$9*'Traffic Data'!AL48*annualizationFactor</f>
        <v>3.2399849687992324E-2</v>
      </c>
      <c r="K526" s="751">
        <f>$F$22*$E$9*'Traffic Data'!AM48*annualizationFactor</f>
        <v>3.4838398525731055E-2</v>
      </c>
      <c r="L526" s="751">
        <f>$F$22*$E$9*'Traffic Data'!AN48*annualizationFactor</f>
        <v>3.8867235920267508E-2</v>
      </c>
      <c r="M526" s="751">
        <f>$F$22*$E$9*'Traffic Data'!AO48*annualizationFactor</f>
        <v>4.2897897040213136E-2</v>
      </c>
      <c r="N526" s="751">
        <f>$F$22*$E$9*'Traffic Data'!AP48*annualizationFactor</f>
        <v>4.6928330194482608E-2</v>
      </c>
      <c r="O526" s="751">
        <f>$F$22*$E$9*'Traffic Data'!AQ48*annualizationFactor</f>
        <v>5.0957167589019074E-2</v>
      </c>
      <c r="P526" s="751">
        <f>$F$22*$E$9*'Traffic Data'!AR48*annualizationFactor</f>
        <v>5.4989652434373863E-2</v>
      </c>
      <c r="Q526" s="751">
        <f>$F$22*$E$9*'Traffic Data'!AS48*annualizationFactor</f>
        <v>5.9057927890883669E-2</v>
      </c>
      <c r="R526" s="751">
        <f>$F$22*$E$9*'Traffic Data'!AT48*annualizationFactor</f>
        <v>6.3127571141450331E-2</v>
      </c>
      <c r="S526" s="751">
        <f>$F$22*$E$9*'Traffic Data'!AU48*annualizationFactor</f>
        <v>6.7195846597960129E-2</v>
      </c>
      <c r="T526" s="751">
        <f>$F$22*$E$9*'Traffic Data'!AV48*annualizationFactor</f>
        <v>7.1264122054469928E-2</v>
      </c>
      <c r="U526" s="751">
        <f>$F$22*$E$9*'Traffic Data'!AW48*annualizationFactor</f>
        <v>7.5336044961798063E-2</v>
      </c>
      <c r="V526" s="751">
        <f>$F$22*$E$9*'Traffic Data'!AX48*annualizationFactor</f>
        <v>7.7812208136100972E-2</v>
      </c>
      <c r="W526" s="751">
        <f>$F$22*$E$9*'Traffic Data'!AY48*annualizationFactor</f>
        <v>7.9436691544320648E-2</v>
      </c>
      <c r="X526" s="751">
        <f>$F$22*$E$9*'Traffic Data'!AZ48*annualizationFactor</f>
        <v>8.1061174952540366E-2</v>
      </c>
      <c r="Y526" s="751">
        <f>$F$22*$E$9*'Traffic Data'!BA48*annualizationFactor</f>
        <v>8.2685658360760084E-2</v>
      </c>
      <c r="Z526" s="751">
        <f>$F$22*$E$9*'Traffic Data'!BB48*annualizationFactor</f>
        <v>8.4311053631684355E-2</v>
      </c>
      <c r="AA526" s="751">
        <f>$F$22*$E$9*'Traffic Data'!BC48*annualizationFactor</f>
        <v>8.5935537039904045E-2</v>
      </c>
      <c r="AB526" s="751">
        <f>$F$22*$E$9*'Traffic Data'!BD48*annualizationFactor</f>
        <v>8.7560932310828343E-2</v>
      </c>
      <c r="AC526" s="751">
        <f>$F$22*$E$9*'Traffic Data'!BE48*annualizationFactor</f>
        <v>8.9185415719048047E-2</v>
      </c>
      <c r="AD526" s="751">
        <f>$F$22*$E$9*'Traffic Data'!BF48*annualizationFactor</f>
        <v>9.0809899127267751E-2</v>
      </c>
      <c r="AE526" s="751">
        <f>$F$22*$E$9*'Traffic Data'!BG48*annualizationFactor</f>
        <v>9.243529439819205E-2</v>
      </c>
      <c r="AF526" s="751">
        <f>$F$22*$E$9*'Traffic Data'!BH48*annualizationFactor</f>
        <v>9.405977780641174E-2</v>
      </c>
      <c r="AG526" s="751">
        <f>$F$22*$E$9*'Traffic Data'!BI48*annualizationFactor</f>
        <v>9.568426121463143E-2</v>
      </c>
      <c r="AH526" s="752">
        <f>$F$22*$E$9*'Traffic Data'!BJ48*annualizationFactor</f>
        <v>9.7309656485555729E-2</v>
      </c>
      <c r="AI526" s="24"/>
      <c r="AJ526" s="24"/>
      <c r="AK526" s="24"/>
      <c r="AL526" s="24"/>
      <c r="AM526" s="24"/>
    </row>
    <row r="527" spans="2:39" ht="21.9" customHeight="1" x14ac:dyDescent="0.25">
      <c r="B527" s="1332"/>
      <c r="C527" s="114" t="s">
        <v>274</v>
      </c>
      <c r="D527" s="114" t="s">
        <v>317</v>
      </c>
      <c r="E527" s="250" t="s">
        <v>434</v>
      </c>
      <c r="F527" s="250" t="s">
        <v>405</v>
      </c>
      <c r="G527" s="753"/>
      <c r="H527" s="753"/>
      <c r="I527" s="751">
        <f>$F$22*$E$9*'Traffic Data'!AK49*annualizationFactor</f>
        <v>7.1781282583218006E-4</v>
      </c>
      <c r="J527" s="751">
        <f>$F$22*$E$9*'Traffic Data'!AL49*annualizationFactor</f>
        <v>7.4778749308422219E-4</v>
      </c>
      <c r="K527" s="751">
        <f>$F$22*$E$9*'Traffic Data'!AM49*annualizationFactor</f>
        <v>7.8488645263264853E-4</v>
      </c>
      <c r="L527" s="751">
        <f>$F$22*$E$9*'Traffic Data'!AN49*annualizationFactor</f>
        <v>8.3483426176347126E-4</v>
      </c>
      <c r="M527" s="751">
        <f>$F$22*$E$9*'Traffic Data'!AO49*annualizationFactor</f>
        <v>8.848000162149397E-4</v>
      </c>
      <c r="N527" s="751">
        <f>$F$22*$E$9*'Traffic Data'!AP49*annualizationFactor</f>
        <v>9.3475978889285953E-4</v>
      </c>
      <c r="O527" s="751">
        <f>$F$22*$E$9*'Traffic Data'!AQ49*annualizationFactor</f>
        <v>9.8470759802368204E-4</v>
      </c>
      <c r="P527" s="751">
        <f>$F$22*$E$9*'Traffic Data'!AR49*annualizationFactor</f>
        <v>1.0346912977957964E-3</v>
      </c>
      <c r="Q527" s="751">
        <f>$F$22*$E$9*'Traffic Data'!AS49*annualizationFactor</f>
        <v>1.0831197364452737E-3</v>
      </c>
      <c r="R527" s="751">
        <f>$F$22*$E$9*'Traffic Data'!AT49*annualizationFactor</f>
        <v>1.1315661204153969E-3</v>
      </c>
      <c r="S527" s="751">
        <f>$F$22*$E$9*'Traffic Data'!AU49*annualizationFactor</f>
        <v>1.1799945590648749E-3</v>
      </c>
      <c r="T527" s="751">
        <f>$F$22*$E$9*'Traffic Data'!AV49*annualizationFactor</f>
        <v>1.2284229977143528E-3</v>
      </c>
      <c r="U527" s="751">
        <f>$F$22*$E$9*'Traffic Data'!AW49*annualizationFactor</f>
        <v>1.2768873270051222E-3</v>
      </c>
      <c r="V527" s="751">
        <f>$F$22*$E$9*'Traffic Data'!AX49*annualizationFactor</f>
        <v>1.3124489707515578E-3</v>
      </c>
      <c r="W527" s="751">
        <f>$F$22*$E$9*'Traffic Data'!AY49*annualizationFactor</f>
        <v>1.3424236380036002E-3</v>
      </c>
      <c r="X527" s="751">
        <f>$F$22*$E$9*'Traffic Data'!AZ49*annualizationFactor</f>
        <v>1.3723983052556419E-3</v>
      </c>
      <c r="Y527" s="751">
        <f>$F$22*$E$9*'Traffic Data'!BA49*annualizationFactor</f>
        <v>1.4023729725076844E-3</v>
      </c>
      <c r="Z527" s="751">
        <f>$F$22*$E$9*'Traffic Data'!BB49*annualizationFactor</f>
        <v>1.4323596033068238E-3</v>
      </c>
      <c r="AA527" s="751">
        <f>$F$22*$E$9*'Traffic Data'!BC49*annualizationFactor</f>
        <v>1.4623342705588657E-3</v>
      </c>
      <c r="AB527" s="751">
        <f>$F$22*$E$9*'Traffic Data'!BD49*annualizationFactor</f>
        <v>1.492320901358005E-3</v>
      </c>
      <c r="AC527" s="751">
        <f>$F$22*$E$9*'Traffic Data'!BE49*annualizationFactor</f>
        <v>1.5222955686100476E-3</v>
      </c>
      <c r="AD527" s="751">
        <f>$F$22*$E$9*'Traffic Data'!BF49*annualizationFactor</f>
        <v>1.5522702358620891E-3</v>
      </c>
      <c r="AE527" s="751">
        <f>$F$22*$E$9*'Traffic Data'!BG49*annualizationFactor</f>
        <v>1.5822568666612289E-3</v>
      </c>
      <c r="AF527" s="751">
        <f>$F$22*$E$9*'Traffic Data'!BH49*annualizationFactor</f>
        <v>1.6122315339132708E-3</v>
      </c>
      <c r="AG527" s="751">
        <f>$F$22*$E$9*'Traffic Data'!BI49*annualizationFactor</f>
        <v>1.6422062011653127E-3</v>
      </c>
      <c r="AH527" s="752">
        <f>$F$22*$E$9*'Traffic Data'!BJ49*annualizationFactor</f>
        <v>1.6721928319644523E-3</v>
      </c>
      <c r="AI527" s="24"/>
      <c r="AJ527" s="24"/>
      <c r="AK527" s="24"/>
      <c r="AL527" s="24"/>
      <c r="AM527" s="24"/>
    </row>
    <row r="528" spans="2:39" ht="21.9" customHeight="1" x14ac:dyDescent="0.25">
      <c r="B528" s="1332" t="s">
        <v>274</v>
      </c>
      <c r="C528" s="217" t="s">
        <v>275</v>
      </c>
      <c r="D528" s="217" t="s">
        <v>318</v>
      </c>
      <c r="E528" s="114" t="s">
        <v>434</v>
      </c>
      <c r="F528" s="217" t="s">
        <v>405</v>
      </c>
      <c r="G528" s="941"/>
      <c r="H528" s="941"/>
      <c r="I528" s="749">
        <f>$F$22*$F$9*'Traffic Data'!AK50*annualizationFactor</f>
        <v>6.6905450972752E-3</v>
      </c>
      <c r="J528" s="749">
        <f>$F$22*$F$9*'Traffic Data'!AL50*annualizationFactor</f>
        <v>7.367327186590074E-3</v>
      </c>
      <c r="K528" s="749">
        <f>$F$22*$F$9*'Traffic Data'!AM50*annualizationFactor</f>
        <v>8.8804274130643446E-3</v>
      </c>
      <c r="L528" s="749">
        <f>$F$22*$F$9*'Traffic Data'!AN50*annualizationFactor</f>
        <v>1.1919607523501607E-2</v>
      </c>
      <c r="M528" s="749">
        <f>$F$22*$F$9*'Traffic Data'!AO50*annualizationFactor</f>
        <v>1.4960660986566102E-2</v>
      </c>
      <c r="N528" s="749">
        <f>$F$22*$F$9*'Traffic Data'!AP50*annualizationFactor</f>
        <v>1.8001379922375733E-2</v>
      </c>
      <c r="O528" s="749">
        <f>$F$22*$F$9*'Traffic Data'!AQ50*annualizationFactor</f>
        <v>2.1040560032812992E-2</v>
      </c>
      <c r="P528" s="749">
        <f>$F$22*$F$9*'Traffic Data'!AR50*annualizationFactor</f>
        <v>2.4083486848504733E-2</v>
      </c>
      <c r="Q528" s="749">
        <f>$F$22*$F$9*'Traffic Data'!AS50*annualizationFactor</f>
        <v>2.7069343314516704E-2</v>
      </c>
      <c r="R528" s="749">
        <f>$F$22*$F$9*'Traffic Data'!AT50*annualizationFactor</f>
        <v>3.0056705153175562E-2</v>
      </c>
      <c r="S528" s="749">
        <f>$F$22*$F$9*'Traffic Data'!AU50*annualizationFactor</f>
        <v>3.304256161918754E-2</v>
      </c>
      <c r="T528" s="749">
        <f>$F$22*$F$9*'Traffic Data'!AV50*annualizationFactor</f>
        <v>3.6028418085199521E-2</v>
      </c>
      <c r="U528" s="749">
        <f>$F$22*$F$9*'Traffic Data'!AW50*annualizationFactor</f>
        <v>3.9018021256465973E-2</v>
      </c>
      <c r="V528" s="749">
        <f>$F$22*$F$9*'Traffic Data'!AX50*annualizationFactor</f>
        <v>4.0475924485887715E-2</v>
      </c>
      <c r="W528" s="749">
        <f>$F$22*$F$9*'Traffic Data'!AY50*annualizationFactor</f>
        <v>4.1152706575202591E-2</v>
      </c>
      <c r="X528" s="749">
        <f>$F$22*$F$9*'Traffic Data'!AZ50*annualizationFactor</f>
        <v>4.1829488664517474E-2</v>
      </c>
      <c r="Y528" s="749">
        <f>$F$22*$F$9*'Traffic Data'!BA50*annualizationFactor</f>
        <v>4.2506270753832336E-2</v>
      </c>
      <c r="Z528" s="749">
        <f>$F$22*$F$9*'Traffic Data'!BB50*annualizationFactor</f>
        <v>4.3184089877637291E-2</v>
      </c>
      <c r="AA528" s="749">
        <f>$F$22*$F$9*'Traffic Data'!BC50*annualizationFactor</f>
        <v>4.3860871966952167E-2</v>
      </c>
      <c r="AB528" s="749">
        <f>$F$22*$F$9*'Traffic Data'!BD50*annualizationFactor</f>
        <v>4.4538691090757108E-2</v>
      </c>
      <c r="AC528" s="749">
        <f>$F$22*$F$9*'Traffic Data'!BE50*annualizationFactor</f>
        <v>4.5215473180071984E-2</v>
      </c>
      <c r="AD528" s="749">
        <f>$F$22*$F$9*'Traffic Data'!BF50*annualizationFactor</f>
        <v>4.589225526938686E-2</v>
      </c>
      <c r="AE528" s="749">
        <f>$F$22*$F$9*'Traffic Data'!BG50*annualizationFactor</f>
        <v>4.6570074393191815E-2</v>
      </c>
      <c r="AF528" s="749">
        <f>$F$22*$F$9*'Traffic Data'!BH50*annualizationFactor</f>
        <v>4.7246856482506684E-2</v>
      </c>
      <c r="AG528" s="749">
        <f>$F$22*$F$9*'Traffic Data'!BI50*annualizationFactor</f>
        <v>4.7923638571821553E-2</v>
      </c>
      <c r="AH528" s="750">
        <f>$F$22*$F$9*'Traffic Data'!BJ50*annualizationFactor</f>
        <v>4.8601457695626502E-2</v>
      </c>
      <c r="AI528" s="24"/>
      <c r="AJ528" s="24"/>
      <c r="AK528" s="24"/>
      <c r="AL528" s="24"/>
      <c r="AM528" s="24"/>
    </row>
    <row r="529" spans="2:39" ht="21.9" customHeight="1" x14ac:dyDescent="0.25">
      <c r="B529" s="1332"/>
      <c r="C529" s="114" t="s">
        <v>318</v>
      </c>
      <c r="D529" s="114" t="s">
        <v>308</v>
      </c>
      <c r="E529" s="114" t="s">
        <v>434</v>
      </c>
      <c r="F529" s="114" t="s">
        <v>405</v>
      </c>
      <c r="G529" s="941"/>
      <c r="H529" s="941"/>
      <c r="I529" s="751">
        <f>$F$22*$F$9*'Traffic Data'!AK51*annualizationFactor</f>
        <v>7.749666135840001E-4</v>
      </c>
      <c r="J529" s="751">
        <f>$F$22*$F$9*'Traffic Data'!AL51*annualizationFactor</f>
        <v>8.4854323548868757E-4</v>
      </c>
      <c r="K529" s="751">
        <f>$F$22*$F$9*'Traffic Data'!AM51*annualizationFactor</f>
        <v>9.5291832222822595E-4</v>
      </c>
      <c r="L529" s="751">
        <f>$F$22*$F$9*'Traffic Data'!AN51*annualizationFactor</f>
        <v>1.1229847455792347E-3</v>
      </c>
      <c r="M529" s="751">
        <f>$F$22*$F$9*'Traffic Data'!AO51*annualizationFactor</f>
        <v>1.2931028333711494E-3</v>
      </c>
      <c r="N529" s="751">
        <f>$F$22*$F$9*'Traffic Data'!AP51*annualizationFactor</f>
        <v>1.4632370663008468E-3</v>
      </c>
      <c r="O529" s="751">
        <f>$F$22*$F$9*'Traffic Data'!AQ51*annualizationFactor</f>
        <v>1.6333034896518557E-3</v>
      </c>
      <c r="P529" s="751">
        <f>$F$22*$F$9*'Traffic Data'!AR51*annualizationFactor</f>
        <v>1.8035539675735908E-3</v>
      </c>
      <c r="Q529" s="751">
        <f>$F$22*$F$9*'Traffic Data'!AS51*annualizationFactor</f>
        <v>1.9972504145837977E-3</v>
      </c>
      <c r="R529" s="751">
        <f>$F$22*$F$9*'Traffic Data'!AT51*annualizationFactor</f>
        <v>2.1910372743655909E-3</v>
      </c>
      <c r="S529" s="751">
        <f>$F$22*$F$9*'Traffic Data'!AU51*annualizationFactor</f>
        <v>2.3847240342931291E-3</v>
      </c>
      <c r="T529" s="751">
        <f>$F$22*$F$9*'Traffic Data'!AV51*annualizationFactor</f>
        <v>2.5784204813033363E-3</v>
      </c>
      <c r="U529" s="751">
        <f>$F$22*$F$9*'Traffic Data'!AW51*annualizationFactor</f>
        <v>2.7722945248291565E-3</v>
      </c>
      <c r="V529" s="751">
        <f>$F$22*$F$9*'Traffic Data'!AX51*annualizationFactor</f>
        <v>2.9001575580154038E-3</v>
      </c>
      <c r="W529" s="751">
        <f>$F$22*$F$9*'Traffic Data'!AY51*annualizationFactor</f>
        <v>2.973734179920091E-3</v>
      </c>
      <c r="X529" s="751">
        <f>$F$22*$F$9*'Traffic Data'!AZ51*annualizationFactor</f>
        <v>3.0473108018247777E-3</v>
      </c>
      <c r="Y529" s="751">
        <f>$F$22*$F$9*'Traffic Data'!BA51*annualizationFactor</f>
        <v>3.1208874237294662E-3</v>
      </c>
      <c r="Z529" s="751">
        <f>$F$22*$F$9*'Traffic Data'!BB51*annualizationFactor</f>
        <v>3.1945480003506251E-3</v>
      </c>
      <c r="AA529" s="751">
        <f>$F$22*$F$9*'Traffic Data'!BC51*annualizationFactor</f>
        <v>3.2681246222553127E-3</v>
      </c>
      <c r="AB529" s="751">
        <f>$F$22*$F$9*'Traffic Data'!BD51*annualizationFactor</f>
        <v>3.341785198876472E-3</v>
      </c>
      <c r="AC529" s="751">
        <f>$F$22*$F$9*'Traffic Data'!BE51*annualizationFactor</f>
        <v>3.4153618207811596E-3</v>
      </c>
      <c r="AD529" s="751">
        <f>$F$22*$F$9*'Traffic Data'!BF51*annualizationFactor</f>
        <v>3.4889384426858472E-3</v>
      </c>
      <c r="AE529" s="751">
        <f>$F$22*$F$9*'Traffic Data'!BG51*annualizationFactor</f>
        <v>3.5625990193070061E-3</v>
      </c>
      <c r="AF529" s="751">
        <f>$F$22*$F$9*'Traffic Data'!BH51*annualizationFactor</f>
        <v>3.6361756412116937E-3</v>
      </c>
      <c r="AG529" s="751">
        <f>$F$22*$F$9*'Traffic Data'!BI51*annualizationFactor</f>
        <v>3.7097522631163817E-3</v>
      </c>
      <c r="AH529" s="752">
        <f>$F$22*$F$9*'Traffic Data'!BJ51*annualizationFactor</f>
        <v>3.7834128397375411E-3</v>
      </c>
      <c r="AI529" s="24"/>
      <c r="AJ529" s="24"/>
      <c r="AK529" s="24"/>
      <c r="AL529" s="24"/>
      <c r="AM529" s="24"/>
    </row>
    <row r="530" spans="2:39" ht="21.9" customHeight="1" x14ac:dyDescent="0.25">
      <c r="B530" s="1332"/>
      <c r="C530" s="250" t="s">
        <v>308</v>
      </c>
      <c r="D530" s="250" t="s">
        <v>319</v>
      </c>
      <c r="E530" s="114" t="s">
        <v>434</v>
      </c>
      <c r="F530" s="250" t="s">
        <v>405</v>
      </c>
      <c r="G530" s="941"/>
      <c r="H530" s="941"/>
      <c r="I530" s="751">
        <f>$F$22*$F$9*'Traffic Data'!AK52*annualizationFactor</f>
        <v>1.0384552622025603E-2</v>
      </c>
      <c r="J530" s="751">
        <f>$F$22*$F$9*'Traffic Data'!AL52*annualizationFactor</f>
        <v>1.0675354710617726E-2</v>
      </c>
      <c r="K530" s="751">
        <f>$F$22*$F$9*'Traffic Data'!AM52*annualizationFactor</f>
        <v>1.1089767590587361E-2</v>
      </c>
      <c r="L530" s="751">
        <f>$F$22*$F$9*'Traffic Data'!AN52*annualizationFactor</f>
        <v>1.1671406382947015E-2</v>
      </c>
      <c r="M530" s="751">
        <f>$F$22*$F$9*'Traffic Data'!AO52*annualizationFactor</f>
        <v>1.2253287481534512E-2</v>
      </c>
      <c r="N530" s="751">
        <f>$F$22*$F$9*'Traffic Data'!AP52*annualizationFactor</f>
        <v>1.2835116657358911E-2</v>
      </c>
      <c r="O530" s="751">
        <f>$F$22*$F$9*'Traffic Data'!AQ52*annualizationFactor</f>
        <v>1.3416755449718563E-2</v>
      </c>
      <c r="P530" s="751">
        <f>$F$22*$F$9*'Traffic Data'!AR52*annualizationFactor</f>
        <v>1.3998861546946207E-2</v>
      </c>
      <c r="Q530" s="751">
        <f>$F$22*$F$9*'Traffic Data'!AS52*annualizationFactor</f>
        <v>1.4586488764651226E-2</v>
      </c>
      <c r="R530" s="751">
        <f>$F$22*$F$9*'Traffic Data'!AT52*annualizationFactor</f>
        <v>1.5174289058233282E-2</v>
      </c>
      <c r="S530" s="751">
        <f>$F$22*$F$9*'Traffic Data'!AU52*annualizationFactor</f>
        <v>1.5761864353175194E-2</v>
      </c>
      <c r="T530" s="751">
        <f>$F$22*$F$9*'Traffic Data'!AV52*annualizationFactor</f>
        <v>1.6349491570880219E-2</v>
      </c>
      <c r="U530" s="751">
        <f>$F$22*$F$9*'Traffic Data'!AW52*annualizationFactor</f>
        <v>1.6937586093453232E-2</v>
      </c>
      <c r="V530" s="751">
        <f>$F$22*$F$9*'Traffic Data'!AX52*annualizationFactor</f>
        <v>1.7357710477364979E-2</v>
      </c>
      <c r="W530" s="751">
        <f>$F$22*$F$9*'Traffic Data'!AY52*annualizationFactor</f>
        <v>1.7648512565957102E-2</v>
      </c>
      <c r="X530" s="751">
        <f>$F$22*$F$9*'Traffic Data'!AZ52*annualizationFactor</f>
        <v>1.7939314654549225E-2</v>
      </c>
      <c r="Y530" s="751">
        <f>$F$22*$F$9*'Traffic Data'!BA52*annualizationFactor</f>
        <v>1.8230116743141348E-2</v>
      </c>
      <c r="Z530" s="751">
        <f>$F$22*$F$9*'Traffic Data'!BB52*annualizationFactor</f>
        <v>1.8521057292435101E-2</v>
      </c>
      <c r="AA530" s="751">
        <f>$F$22*$F$9*'Traffic Data'!BC52*annualizationFactor</f>
        <v>1.8811859381027227E-2</v>
      </c>
      <c r="AB530" s="751">
        <f>$F$22*$F$9*'Traffic Data'!BD52*annualizationFactor</f>
        <v>1.9102799930320977E-2</v>
      </c>
      <c r="AC530" s="751">
        <f>$F$22*$F$9*'Traffic Data'!BE52*annualizationFactor</f>
        <v>1.93936020189131E-2</v>
      </c>
      <c r="AD530" s="751">
        <f>$F$22*$F$9*'Traffic Data'!BF52*annualizationFactor</f>
        <v>1.9684404107505223E-2</v>
      </c>
      <c r="AE530" s="751">
        <f>$F$22*$F$9*'Traffic Data'!BG52*annualizationFactor</f>
        <v>1.9975344656798972E-2</v>
      </c>
      <c r="AF530" s="751">
        <f>$F$22*$F$9*'Traffic Data'!BH52*annualizationFactor</f>
        <v>2.0266146745391091E-2</v>
      </c>
      <c r="AG530" s="751">
        <f>$F$22*$F$9*'Traffic Data'!BI52*annualizationFactor</f>
        <v>2.0556948833983214E-2</v>
      </c>
      <c r="AH530" s="752">
        <f>$F$22*$F$9*'Traffic Data'!BJ52*annualizationFactor</f>
        <v>2.0847889383276971E-2</v>
      </c>
      <c r="AI530" s="24"/>
      <c r="AJ530" s="24"/>
      <c r="AK530" s="24"/>
      <c r="AL530" s="24"/>
      <c r="AM530" s="24"/>
    </row>
    <row r="531" spans="2:39" ht="21.9" customHeight="1" x14ac:dyDescent="0.25">
      <c r="B531" s="469" t="s">
        <v>320</v>
      </c>
      <c r="C531" s="114" t="s">
        <v>318</v>
      </c>
      <c r="D531" s="114" t="s">
        <v>308</v>
      </c>
      <c r="E531" s="273" t="s">
        <v>434</v>
      </c>
      <c r="F531" s="273" t="s">
        <v>405</v>
      </c>
      <c r="G531" s="754"/>
      <c r="H531" s="754"/>
      <c r="I531" s="749">
        <f>$F$22*$G$9*'Traffic Data'!AK53*annualizationFactor</f>
        <v>3.0352859032040004E-5</v>
      </c>
      <c r="J531" s="749">
        <f>$F$22*$G$9*'Traffic Data'!AL53*annualizationFactor</f>
        <v>1.2607059998957814E-4</v>
      </c>
      <c r="K531" s="749">
        <f>$F$22*$G$9*'Traffic Data'!AM53*annualizationFactor</f>
        <v>1.1247100150027262E-3</v>
      </c>
      <c r="L531" s="749">
        <f>$F$22*$G$9*'Traffic Data'!AN53*annualizationFactor</f>
        <v>2.660215624145082E-3</v>
      </c>
      <c r="M531" s="749">
        <f>$F$22*$G$9*'Traffic Data'!AO53*annualizationFactor</f>
        <v>4.1968139362125916E-3</v>
      </c>
      <c r="N531" s="749">
        <f>$F$22*$G$9*'Traffic Data'!AP53*annualizationFactor</f>
        <v>5.732805191099458E-3</v>
      </c>
      <c r="O531" s="749">
        <f>$F$22*$G$9*'Traffic Data'!AQ53*annualizationFactor</f>
        <v>7.2683108002418156E-3</v>
      </c>
      <c r="P531" s="749">
        <f>$F$22*$G$9*'Traffic Data'!AR53*annualizationFactor</f>
        <v>8.8059259330869003E-3</v>
      </c>
      <c r="Q531" s="749">
        <f>$F$22*$G$9*'Traffic Data'!AS53*annualizationFactor</f>
        <v>9.4391928075018647E-3</v>
      </c>
      <c r="R531" s="749">
        <f>$F$22*$G$9*'Traffic Data'!AT53*annualizationFactor</f>
        <v>1.0072945327661344E-2</v>
      </c>
      <c r="S531" s="749">
        <f>$F$22*$G$9*'Traffic Data'!AU53*annualizationFactor</f>
        <v>1.0706546083525663E-2</v>
      </c>
      <c r="T531" s="749">
        <f>$F$22*$G$9*'Traffic Data'!AV53*annualizationFactor</f>
        <v>1.1339812957940629E-2</v>
      </c>
      <c r="U531" s="749">
        <f>$F$22*$G$9*'Traffic Data'!AW53*annualizationFactor</f>
        <v>1.1974582298877684E-2</v>
      </c>
      <c r="V531" s="749">
        <f>$F$22*$G$9*'Traffic Data'!AX53*annualizationFactor</f>
        <v>1.2070300039835221E-2</v>
      </c>
      <c r="W531" s="749">
        <f>$F$22*$G$9*'Traffic Data'!AY53*annualizationFactor</f>
        <v>1.216601778079276E-2</v>
      </c>
      <c r="X531" s="749">
        <f>$F$22*$G$9*'Traffic Data'!AZ53*annualizationFactor</f>
        <v>1.2261735521750299E-2</v>
      </c>
      <c r="Y531" s="749">
        <f>$F$22*$G$9*'Traffic Data'!BA53*annualizationFactor</f>
        <v>1.2357453262707836E-2</v>
      </c>
      <c r="Z531" s="749">
        <f>$F$22*$G$9*'Traffic Data'!BB53*annualizationFactor</f>
        <v>1.2453853942993596E-2</v>
      </c>
      <c r="AA531" s="749">
        <f>$F$22*$G$9*'Traffic Data'!BC53*annualizationFactor</f>
        <v>1.2549571683951134E-2</v>
      </c>
      <c r="AB531" s="749">
        <f>$F$22*$G$9*'Traffic Data'!BD53*annualizationFactor</f>
        <v>1.2645592953498992E-2</v>
      </c>
      <c r="AC531" s="749">
        <f>$F$22*$G$9*'Traffic Data'!BE53*annualizationFactor</f>
        <v>1.2741310694456529E-2</v>
      </c>
      <c r="AD531" s="749">
        <f>$F$22*$G$9*'Traffic Data'!BF53*annualizationFactor</f>
        <v>1.283702843541407E-2</v>
      </c>
      <c r="AE531" s="749">
        <f>$F$22*$G$9*'Traffic Data'!BG53*annualizationFactor</f>
        <v>1.293342911569983E-2</v>
      </c>
      <c r="AF531" s="749">
        <f>$F$22*$G$9*'Traffic Data'!BH53*annualizationFactor</f>
        <v>1.3029146856657365E-2</v>
      </c>
      <c r="AG531" s="749">
        <f>$F$22*$G$9*'Traffic Data'!BI53*annualizationFactor</f>
        <v>1.3124864597614904E-2</v>
      </c>
      <c r="AH531" s="750">
        <f>$F$22*$G$9*'Traffic Data'!BJ53*annualizationFactor</f>
        <v>1.3220885867162762E-2</v>
      </c>
      <c r="AI531" s="24"/>
      <c r="AJ531" s="24"/>
      <c r="AK531" s="24"/>
      <c r="AL531" s="24"/>
      <c r="AM531" s="24"/>
    </row>
    <row r="532" spans="2:39" ht="21.9" customHeight="1" x14ac:dyDescent="0.25">
      <c r="B532" s="1332" t="s">
        <v>308</v>
      </c>
      <c r="C532" s="217" t="s">
        <v>276</v>
      </c>
      <c r="D532" s="217" t="s">
        <v>320</v>
      </c>
      <c r="E532" s="114" t="s">
        <v>434</v>
      </c>
      <c r="F532" s="114" t="s">
        <v>405</v>
      </c>
      <c r="G532" s="941"/>
      <c r="H532" s="941"/>
      <c r="I532" s="749">
        <f>$F$22*$H$9*'Traffic Data'!AK54*annualizationFactor</f>
        <v>8.7183744028199994E-5</v>
      </c>
      <c r="J532" s="749">
        <f>$F$22*$H$9*'Traffic Data'!AL54*annualizationFactor</f>
        <v>1.9376587110267449E-4</v>
      </c>
      <c r="K532" s="749">
        <f>$F$22*$H$9*'Traffic Data'!AM54*annualizationFactor</f>
        <v>8.1896049952889696E-4</v>
      </c>
      <c r="L532" s="749">
        <f>$F$22*$H$9*'Traffic Data'!AN54*annualizationFactor</f>
        <v>1.8409719388994712E-3</v>
      </c>
      <c r="M532" s="749">
        <f>$F$22*$H$9*'Traffic Data'!AO54*annualizationFactor</f>
        <v>2.8635500726062295E-3</v>
      </c>
      <c r="N532" s="749">
        <f>$F$22*$H$9*'Traffic Data'!AP54*annualizationFactor</f>
        <v>3.8861717981850006E-3</v>
      </c>
      <c r="O532" s="749">
        <f>$F$22*$H$9*'Traffic Data'!AQ54*annualizationFactor</f>
        <v>4.9081832375555759E-3</v>
      </c>
      <c r="P532" s="749">
        <f>$F$22*$H$9*'Traffic Data'!AR54*annualizationFactor</f>
        <v>5.9313716574705324E-3</v>
      </c>
      <c r="Q532" s="749">
        <f>$F$22*$H$9*'Traffic Data'!AS54*annualizationFactor</f>
        <v>6.7203845409257428E-3</v>
      </c>
      <c r="R532" s="749">
        <f>$F$22*$H$9*'Traffic Data'!AT54*annualizationFactor</f>
        <v>7.5095281999969943E-3</v>
      </c>
      <c r="S532" s="749">
        <f>$F$22*$H$9*'Traffic Data'!AU54*annualizationFactor</f>
        <v>8.298541083452203E-3</v>
      </c>
      <c r="T532" s="749">
        <f>$F$22*$H$9*'Traffic Data'!AV54*annualizationFactor</f>
        <v>9.0875539669074135E-3</v>
      </c>
      <c r="U532" s="749">
        <f>$F$22*$H$9*'Traffic Data'!AW54*annualizationFactor</f>
        <v>9.8776130552909631E-3</v>
      </c>
      <c r="V532" s="749">
        <f>$F$22*$H$9*'Traffic Data'!AX54*annualizationFactor</f>
        <v>1.0269198841593623E-2</v>
      </c>
      <c r="W532" s="749">
        <f>$F$22*$H$9*'Traffic Data'!AY54*annualizationFactor</f>
        <v>1.03757809686681E-2</v>
      </c>
      <c r="X532" s="749">
        <f>$F$22*$H$9*'Traffic Data'!AZ54*annualizationFactor</f>
        <v>1.0482363095742572E-2</v>
      </c>
      <c r="Y532" s="749">
        <f>$F$22*$H$9*'Traffic Data'!BA54*annualizationFactor</f>
        <v>1.0588945222817048E-2</v>
      </c>
      <c r="Z532" s="749">
        <f>$F$22*$H$9*'Traffic Data'!BB54*annualizationFactor</f>
        <v>1.0695832492995621E-2</v>
      </c>
      <c r="AA532" s="749">
        <f>$F$22*$H$9*'Traffic Data'!BC54*annualizationFactor</f>
        <v>1.0802414620070094E-2</v>
      </c>
      <c r="AB532" s="749">
        <f>$F$22*$H$9*'Traffic Data'!BD54*annualizationFactor</f>
        <v>1.0909301890248664E-2</v>
      </c>
      <c r="AC532" s="749">
        <f>$F$22*$H$9*'Traffic Data'!BE54*annualizationFactor</f>
        <v>1.101588401732314E-2</v>
      </c>
      <c r="AD532" s="749">
        <f>$F$22*$H$9*'Traffic Data'!BF54*annualizationFactor</f>
        <v>1.1122466144397616E-2</v>
      </c>
      <c r="AE532" s="749">
        <f>$F$22*$H$9*'Traffic Data'!BG54*annualizationFactor</f>
        <v>1.1229353414576189E-2</v>
      </c>
      <c r="AF532" s="749">
        <f>$F$22*$H$9*'Traffic Data'!BH54*annualizationFactor</f>
        <v>1.1335935541650664E-2</v>
      </c>
      <c r="AG532" s="749">
        <f>$F$22*$H$9*'Traffic Data'!BI54*annualizationFactor</f>
        <v>1.1442517668725137E-2</v>
      </c>
      <c r="AH532" s="750">
        <f>$F$22*$H$9*'Traffic Data'!BJ54*annualizationFactor</f>
        <v>1.1549404938903711E-2</v>
      </c>
      <c r="AI532" s="24"/>
      <c r="AJ532" s="24"/>
      <c r="AK532" s="24"/>
      <c r="AL532" s="24"/>
      <c r="AM532" s="24"/>
    </row>
    <row r="533" spans="2:39" ht="21.9" customHeight="1" x14ac:dyDescent="0.25">
      <c r="B533" s="1332"/>
      <c r="C533" s="114" t="s">
        <v>320</v>
      </c>
      <c r="D533" s="114" t="s">
        <v>282</v>
      </c>
      <c r="E533" s="114" t="s">
        <v>434</v>
      </c>
      <c r="F533" s="114" t="s">
        <v>405</v>
      </c>
      <c r="G533" s="941"/>
      <c r="H533" s="941"/>
      <c r="I533" s="751">
        <f>$F$22*$H$9*'Traffic Data'!AK55*annualizationFactor</f>
        <v>0</v>
      </c>
      <c r="J533" s="751">
        <f>$F$22*$H$9*'Traffic Data'!AL55*annualizationFactor</f>
        <v>5.8768301530120009E-5</v>
      </c>
      <c r="K533" s="751">
        <f>$F$22*$H$9*'Traffic Data'!AM55*annualizationFactor</f>
        <v>1.698584739763638E-4</v>
      </c>
      <c r="L533" s="751">
        <f>$F$22*$H$9*'Traffic Data'!AN55*annualizationFactor</f>
        <v>3.8183121695692737E-4</v>
      </c>
      <c r="M533" s="751">
        <f>$F$22*$H$9*'Traffic Data'!AO55*annualizationFactor</f>
        <v>5.9392149654055137E-4</v>
      </c>
      <c r="N533" s="751">
        <f>$F$22*$H$9*'Traffic Data'!AP55*annualizationFactor</f>
        <v>8.0602081740133353E-4</v>
      </c>
      <c r="O533" s="751">
        <f>$F$22*$H$9*'Traffic Data'!AQ55*annualizationFactor</f>
        <v>1.0179935603818974E-3</v>
      </c>
      <c r="P533" s="751">
        <f>$F$22*$H$9*'Traffic Data'!AR55*annualizationFactor</f>
        <v>1.23021041784574E-3</v>
      </c>
      <c r="Q533" s="751">
        <f>$F$22*$H$9*'Traffic Data'!AS55*annualizationFactor</f>
        <v>1.3938575344142282E-3</v>
      </c>
      <c r="R533" s="751">
        <f>$F$22*$H$9*'Traffic Data'!AT55*annualizationFactor</f>
        <v>1.5575317748141918E-3</v>
      </c>
      <c r="S533" s="751">
        <f>$F$22*$H$9*'Traffic Data'!AU55*annualizationFactor</f>
        <v>1.7211788913826795E-3</v>
      </c>
      <c r="T533" s="751">
        <f>$F$22*$H$9*'Traffic Data'!AV55*annualizationFactor</f>
        <v>1.8848260079511673E-3</v>
      </c>
      <c r="U533" s="751">
        <f>$F$22*$H$9*'Traffic Data'!AW55*annualizationFactor</f>
        <v>2.0486901151714589E-3</v>
      </c>
      <c r="V533" s="751">
        <f>$F$22*$H$9*'Traffic Data'!AX55*annualizationFactor</f>
        <v>2.1299079078860848E-3</v>
      </c>
      <c r="W533" s="751">
        <f>$F$22*$H$9*'Traffic Data'!AY55*annualizationFactor</f>
        <v>2.1520138305385688E-3</v>
      </c>
      <c r="X533" s="751">
        <f>$F$22*$H$9*'Traffic Data'!AZ55*annualizationFactor</f>
        <v>2.1741197531910525E-3</v>
      </c>
      <c r="Y533" s="751">
        <f>$F$22*$H$9*'Traffic Data'!BA55*annualizationFactor</f>
        <v>2.1962256758435361E-3</v>
      </c>
      <c r="Z533" s="751">
        <f>$F$22*$H$9*'Traffic Data'!BB55*annualizationFactor</f>
        <v>2.2183948874361292E-3</v>
      </c>
      <c r="AA533" s="751">
        <f>$F$22*$H$9*'Traffic Data'!BC55*annualizationFactor</f>
        <v>2.2405008100886124E-3</v>
      </c>
      <c r="AB533" s="751">
        <f>$F$22*$H$9*'Traffic Data'!BD55*annualizationFactor</f>
        <v>2.2626700216812046E-3</v>
      </c>
      <c r="AC533" s="751">
        <f>$F$22*$H$9*'Traffic Data'!BE55*annualizationFactor</f>
        <v>2.2847759443336887E-3</v>
      </c>
      <c r="AD533" s="751">
        <f>$F$22*$H$9*'Traffic Data'!BF55*annualizationFactor</f>
        <v>2.3068818669861719E-3</v>
      </c>
      <c r="AE533" s="751">
        <f>$F$22*$H$9*'Traffic Data'!BG55*annualizationFactor</f>
        <v>2.329051078578765E-3</v>
      </c>
      <c r="AF533" s="751">
        <f>$F$22*$H$9*'Traffic Data'!BH55*annualizationFactor</f>
        <v>2.351157001231249E-3</v>
      </c>
      <c r="AG533" s="751">
        <f>$F$22*$H$9*'Traffic Data'!BI55*annualizationFactor</f>
        <v>2.3732629238837322E-3</v>
      </c>
      <c r="AH533" s="752">
        <f>$F$22*$H$9*'Traffic Data'!BJ55*annualizationFactor</f>
        <v>2.3954321354763253E-3</v>
      </c>
      <c r="AI533" s="24"/>
      <c r="AJ533" s="24"/>
      <c r="AK533" s="24"/>
      <c r="AL533" s="24"/>
      <c r="AM533" s="24"/>
    </row>
    <row r="534" spans="2:39" ht="21.9" customHeight="1" x14ac:dyDescent="0.25">
      <c r="B534" s="1332"/>
      <c r="C534" s="114" t="s">
        <v>282</v>
      </c>
      <c r="D534" s="114" t="s">
        <v>321</v>
      </c>
      <c r="E534" s="114" t="s">
        <v>434</v>
      </c>
      <c r="F534" s="114" t="s">
        <v>405</v>
      </c>
      <c r="G534" s="941"/>
      <c r="H534" s="941"/>
      <c r="I534" s="751">
        <f>$F$22*$H$9*'Traffic Data'!AK56*annualizationFactor</f>
        <v>0</v>
      </c>
      <c r="J534" s="751">
        <f>$F$22*$H$9*'Traffic Data'!AL56*annualizationFactor</f>
        <v>1.5321735756067002E-4</v>
      </c>
      <c r="K534" s="751">
        <f>$F$22*$H$9*'Traffic Data'!AM56*annualizationFactor</f>
        <v>4.4284530715266271E-4</v>
      </c>
      <c r="L534" s="751">
        <f>$F$22*$H$9*'Traffic Data'!AN56*annualizationFactor</f>
        <v>9.9548852992341775E-4</v>
      </c>
      <c r="M534" s="751">
        <f>$F$22*$H$9*'Traffic Data'!AO56*annualizationFactor</f>
        <v>1.5484381874092945E-3</v>
      </c>
      <c r="N534" s="751">
        <f>$F$22*$H$9*'Traffic Data'!AP56*annualizationFactor</f>
        <v>2.1014114167963336E-3</v>
      </c>
      <c r="O534" s="751">
        <f>$F$22*$H$9*'Traffic Data'!AQ56*annualizationFactor</f>
        <v>2.6540546395670888E-3</v>
      </c>
      <c r="P534" s="751">
        <f>$F$22*$H$9*'Traffic Data'!AR56*annualizationFactor</f>
        <v>3.20733430366925E-3</v>
      </c>
      <c r="Q534" s="751">
        <f>$F$22*$H$9*'Traffic Data'!AS56*annualizationFactor</f>
        <v>3.6339857147228089E-3</v>
      </c>
      <c r="R534" s="751">
        <f>$F$22*$H$9*'Traffic Data'!AT56*annualizationFactor</f>
        <v>4.0607078414798556E-3</v>
      </c>
      <c r="S534" s="751">
        <f>$F$22*$H$9*'Traffic Data'!AU56*annualizationFactor</f>
        <v>4.4873592525334132E-3</v>
      </c>
      <c r="T534" s="751">
        <f>$F$22*$H$9*'Traffic Data'!AV56*annualizationFactor</f>
        <v>4.9140106635869709E-3</v>
      </c>
      <c r="U534" s="751">
        <f>$F$22*$H$9*'Traffic Data'!AW56*annualizationFactor</f>
        <v>5.3412278002684466E-3</v>
      </c>
      <c r="V534" s="751">
        <f>$F$22*$H$9*'Traffic Data'!AX56*annualizationFactor</f>
        <v>5.5529741884172918E-3</v>
      </c>
      <c r="W534" s="751">
        <f>$F$22*$H$9*'Traffic Data'!AY56*annualizationFactor</f>
        <v>5.6106074867612668E-3</v>
      </c>
      <c r="X534" s="751">
        <f>$F$22*$H$9*'Traffic Data'!AZ56*annualizationFactor</f>
        <v>5.6682407851052418E-3</v>
      </c>
      <c r="Y534" s="751">
        <f>$F$22*$H$9*'Traffic Data'!BA56*annualizationFactor</f>
        <v>5.7258740834492177E-3</v>
      </c>
      <c r="Z534" s="751">
        <f>$F$22*$H$9*'Traffic Data'!BB56*annualizationFactor</f>
        <v>5.7836723851013355E-3</v>
      </c>
      <c r="AA534" s="751">
        <f>$F$22*$H$9*'Traffic Data'!BC56*annualizationFactor</f>
        <v>5.8413056834453097E-3</v>
      </c>
      <c r="AB534" s="751">
        <f>$F$22*$H$9*'Traffic Data'!BD56*annualizationFactor</f>
        <v>5.8991039850974265E-3</v>
      </c>
      <c r="AC534" s="751">
        <f>$F$22*$H$9*'Traffic Data'!BE56*annualizationFactor</f>
        <v>5.9567372834414007E-3</v>
      </c>
      <c r="AD534" s="751">
        <f>$F$22*$H$9*'Traffic Data'!BF56*annualizationFactor</f>
        <v>6.0143705817853775E-3</v>
      </c>
      <c r="AE534" s="751">
        <f>$F$22*$H$9*'Traffic Data'!BG56*annualizationFactor</f>
        <v>6.0721688834374935E-3</v>
      </c>
      <c r="AF534" s="751">
        <f>$F$22*$H$9*'Traffic Data'!BH56*annualizationFactor</f>
        <v>6.1298021817814685E-3</v>
      </c>
      <c r="AG534" s="751">
        <f>$F$22*$H$9*'Traffic Data'!BI56*annualizationFactor</f>
        <v>6.1874354801254453E-3</v>
      </c>
      <c r="AH534" s="752">
        <f>$F$22*$H$9*'Traffic Data'!BJ56*annualizationFactor</f>
        <v>6.2452337817775613E-3</v>
      </c>
      <c r="AI534" s="24"/>
      <c r="AJ534" s="24"/>
      <c r="AK534" s="24"/>
      <c r="AL534" s="24"/>
      <c r="AM534" s="24"/>
    </row>
    <row r="535" spans="2:39" ht="21.9" customHeight="1" x14ac:dyDescent="0.25">
      <c r="B535" s="1332"/>
      <c r="C535" s="250" t="s">
        <v>321</v>
      </c>
      <c r="D535" s="250" t="s">
        <v>274</v>
      </c>
      <c r="E535" s="114" t="s">
        <v>434</v>
      </c>
      <c r="F535" s="250" t="s">
        <v>405</v>
      </c>
      <c r="G535" s="941"/>
      <c r="H535" s="941"/>
      <c r="I535" s="751">
        <f>$F$22*$H$9*'Traffic Data'!AK57*annualizationFactor</f>
        <v>2.0342873606580002E-4</v>
      </c>
      <c r="J535" s="751">
        <f>$F$22*$H$9*'Traffic Data'!AL57*annualizationFactor</f>
        <v>3.0064732903164587E-4</v>
      </c>
      <c r="K535" s="751">
        <f>$F$22*$H$9*'Traffic Data'!AM57*annualizationFactor</f>
        <v>4.2176201752735436E-4</v>
      </c>
      <c r="L535" s="751">
        <f>$F$22*$H$9*'Traffic Data'!AN57*annualizationFactor</f>
        <v>6.8109297026403622E-4</v>
      </c>
      <c r="M535" s="751">
        <f>$F$22*$H$9*'Traffic Data'!AO57*annualizationFactor</f>
        <v>9.4045782779006253E-4</v>
      </c>
      <c r="N535" s="751">
        <f>$F$22*$H$9*'Traffic Data'!AP57*annualizationFactor</f>
        <v>1.1999311806419903E-3</v>
      </c>
      <c r="O535" s="751">
        <f>$F$22*$H$9*'Traffic Data'!AQ57*annualizationFactor</f>
        <v>1.4592621333786721E-3</v>
      </c>
      <c r="P535" s="751">
        <f>$F$22*$H$9*'Traffic Data'!AR57*annualizationFactor</f>
        <v>1.7184574669579769E-3</v>
      </c>
      <c r="Q535" s="751">
        <f>$F$22*$H$9*'Traffic Data'!AS57*annualizationFactor</f>
        <v>2.2389095453087195E-3</v>
      </c>
      <c r="R535" s="751">
        <f>$F$22*$H$9*'Traffic Data'!AT57*annualizationFactor</f>
        <v>2.7590632615132325E-3</v>
      </c>
      <c r="S535" s="751">
        <f>$F$22*$H$9*'Traffic Data'!AU57*annualizationFactor</f>
        <v>3.2793322540015158E-3</v>
      </c>
      <c r="T535" s="751">
        <f>$F$22*$H$9*'Traffic Data'!AV57*annualizationFactor</f>
        <v>3.7997843323522591E-3</v>
      </c>
      <c r="U535" s="751">
        <f>$F$22*$H$9*'Traffic Data'!AW57*annualizationFactor</f>
        <v>4.3201007915456245E-3</v>
      </c>
      <c r="V535" s="751">
        <f>$F$22*$H$9*'Traffic Data'!AX57*annualizationFactor</f>
        <v>4.7023230437396564E-3</v>
      </c>
      <c r="W535" s="751">
        <f>$F$22*$H$9*'Traffic Data'!AY57*annualizationFactor</f>
        <v>4.7995416367055026E-3</v>
      </c>
      <c r="X535" s="751">
        <f>$F$22*$H$9*'Traffic Data'!AZ57*annualizationFactor</f>
        <v>4.8967602296713479E-3</v>
      </c>
      <c r="Y535" s="751">
        <f>$F$22*$H$9*'Traffic Data'!BA57*annualizationFactor</f>
        <v>4.9939788226371932E-3</v>
      </c>
      <c r="Z535" s="751">
        <f>$F$22*$H$9*'Traffic Data'!BB57*annualizationFactor</f>
        <v>5.0909058344146777E-3</v>
      </c>
      <c r="AA535" s="751">
        <f>$F$22*$H$9*'Traffic Data'!BC57*annualizationFactor</f>
        <v>5.1881244273805239E-3</v>
      </c>
      <c r="AB535" s="751">
        <f>$F$22*$H$9*'Traffic Data'!BD57*annualizationFactor</f>
        <v>5.2850514391580092E-3</v>
      </c>
      <c r="AC535" s="751">
        <f>$F$22*$H$9*'Traffic Data'!BE57*annualizationFactor</f>
        <v>5.3822700321238546E-3</v>
      </c>
      <c r="AD535" s="751">
        <f>$F$22*$H$9*'Traffic Data'!BF57*annualizationFactor</f>
        <v>5.4794886250897016E-3</v>
      </c>
      <c r="AE535" s="751">
        <f>$F$22*$H$9*'Traffic Data'!BG57*annualizationFactor</f>
        <v>5.5764156368671861E-3</v>
      </c>
      <c r="AF535" s="751">
        <f>$F$22*$H$9*'Traffic Data'!BH57*annualizationFactor</f>
        <v>5.6736342298330305E-3</v>
      </c>
      <c r="AG535" s="751">
        <f>$F$22*$H$9*'Traffic Data'!BI57*annualizationFactor</f>
        <v>5.7708528227988767E-3</v>
      </c>
      <c r="AH535" s="752">
        <f>$F$22*$H$9*'Traffic Data'!BJ57*annualizationFactor</f>
        <v>5.8677798345763612E-3</v>
      </c>
      <c r="AI535" s="24"/>
      <c r="AJ535" s="24"/>
      <c r="AK535" s="24"/>
      <c r="AL535" s="24"/>
      <c r="AM535" s="24"/>
    </row>
    <row r="536" spans="2:39" ht="21.9" customHeight="1" x14ac:dyDescent="0.25">
      <c r="B536" s="469" t="s">
        <v>282</v>
      </c>
      <c r="C536" s="114" t="s">
        <v>308</v>
      </c>
      <c r="D536" s="114" t="s">
        <v>324</v>
      </c>
      <c r="E536" s="114" t="s">
        <v>434</v>
      </c>
      <c r="F536" s="250" t="s">
        <v>405</v>
      </c>
      <c r="G536" s="941"/>
      <c r="H536" s="941"/>
      <c r="I536" s="749">
        <f>$F$22*$J$9*'Traffic Data'!AK58*annualizationFactor</f>
        <v>1.1624499203760001E-3</v>
      </c>
      <c r="J536" s="749">
        <f>$F$22*$J$9*'Traffic Data'!AL58*annualizationFactor</f>
        <v>1.2339276743688979E-3</v>
      </c>
      <c r="K536" s="749">
        <f>$F$22*$J$9*'Traffic Data'!AM58*annualizationFactor</f>
        <v>1.3285188076119381E-3</v>
      </c>
      <c r="L536" s="749">
        <f>$F$22*$J$9*'Traffic Data'!AN58*annualizationFactor</f>
        <v>1.454224850390376E-3</v>
      </c>
      <c r="M536" s="749">
        <f>$F$22*$J$9*'Traffic Data'!AO58*annualizationFactor</f>
        <v>1.5799696414994931E-3</v>
      </c>
      <c r="N536" s="749">
        <f>$F$22*$J$9*'Traffic Data'!AP58*annualizationFactor</f>
        <v>1.7059856709233652E-3</v>
      </c>
      <c r="O536" s="749">
        <f>$F$22*$J$9*'Traffic Data'!AQ58*annualizationFactor</f>
        <v>1.8316917137018026E-3</v>
      </c>
      <c r="P536" s="749">
        <f>$F$22*$J$9*'Traffic Data'!AR58*annualizationFactor</f>
        <v>1.9575333756376178E-3</v>
      </c>
      <c r="Q536" s="749">
        <f>$F$22*$J$9*'Traffic Data'!AS58*annualizationFactor</f>
        <v>2.0722800988889557E-3</v>
      </c>
      <c r="R536" s="749">
        <f>$F$22*$J$9*'Traffic Data'!AT58*annualizationFactor</f>
        <v>2.1869299513135954E-3</v>
      </c>
      <c r="S536" s="749">
        <f>$F$22*$J$9*'Traffic Data'!AU58*annualizationFactor</f>
        <v>2.3016831326200461E-3</v>
      </c>
      <c r="T536" s="749">
        <f>$F$22*$J$9*'Traffic Data'!AV58*annualizationFactor</f>
        <v>2.4164298558713841E-3</v>
      </c>
      <c r="U536" s="749">
        <f>$F$22*$J$9*'Traffic Data'!AW58*annualizationFactor</f>
        <v>2.5315834365948532E-3</v>
      </c>
      <c r="V536" s="749">
        <f>$F$22*$J$9*'Traffic Data'!AX58*annualizationFactor</f>
        <v>2.6151248375392085E-3</v>
      </c>
      <c r="W536" s="749">
        <f>$F$22*$J$9*'Traffic Data'!AY58*annualizationFactor</f>
        <v>2.686602591532106E-3</v>
      </c>
      <c r="X536" s="749">
        <f>$F$22*$J$9*'Traffic Data'!AZ58*annualizationFactor</f>
        <v>2.7580803455250031E-3</v>
      </c>
      <c r="Y536" s="749">
        <f>$F$22*$J$9*'Traffic Data'!BA58*annualizationFactor</f>
        <v>2.8295580995179011E-3</v>
      </c>
      <c r="Z536" s="749">
        <f>$F$22*$J$9*'Traffic Data'!BB58*annualizationFactor</f>
        <v>2.9011133501721568E-3</v>
      </c>
      <c r="AA536" s="749">
        <f>$F$22*$J$9*'Traffic Data'!BC58*annualizationFactor</f>
        <v>2.9725911041650543E-3</v>
      </c>
      <c r="AB536" s="749">
        <f>$F$22*$J$9*'Traffic Data'!BD58*annualizationFactor</f>
        <v>3.0442432256460087E-3</v>
      </c>
      <c r="AC536" s="749">
        <f>$F$22*$J$9*'Traffic Data'!BE58*annualizationFactor</f>
        <v>3.1157209796389058E-3</v>
      </c>
      <c r="AD536" s="749">
        <f>$F$22*$J$9*'Traffic Data'!BF58*annualizationFactor</f>
        <v>3.1871987336318038E-3</v>
      </c>
      <c r="AE536" s="749">
        <f>$F$22*$J$9*'Traffic Data'!BG58*annualizationFactor</f>
        <v>3.258753984286059E-3</v>
      </c>
      <c r="AF536" s="749">
        <f>$F$22*$J$9*'Traffic Data'!BH58*annualizationFactor</f>
        <v>3.3302317382789578E-3</v>
      </c>
      <c r="AG536" s="749">
        <f>$F$22*$J$9*'Traffic Data'!BI58*annualizationFactor</f>
        <v>3.4017094922718549E-3</v>
      </c>
      <c r="AH536" s="750">
        <f>$F$22*$J$9*'Traffic Data'!BJ58*annualizationFactor</f>
        <v>3.4733616137528085E-3</v>
      </c>
      <c r="AI536" s="24"/>
      <c r="AJ536" s="24"/>
      <c r="AK536" s="24"/>
      <c r="AL536" s="24"/>
      <c r="AM536" s="24"/>
    </row>
    <row r="537" spans="2:39" ht="21.9" customHeight="1" x14ac:dyDescent="0.25">
      <c r="B537" s="756" t="s">
        <v>321</v>
      </c>
      <c r="C537" s="273" t="s">
        <v>318</v>
      </c>
      <c r="D537" s="273" t="s">
        <v>308</v>
      </c>
      <c r="E537" s="273" t="s">
        <v>434</v>
      </c>
      <c r="F537" s="273" t="s">
        <v>405</v>
      </c>
      <c r="G537" s="754"/>
      <c r="H537" s="754"/>
      <c r="I537" s="749">
        <f>$F$22*$K$9*'Traffic Data'!AK59*annualizationFactor</f>
        <v>0</v>
      </c>
      <c r="J537" s="749">
        <f>$F$22*$K$9*'Traffic Data'!AL59*annualizationFactor</f>
        <v>1.9496057255028586E-3</v>
      </c>
      <c r="K537" s="749">
        <f>$F$22*$K$9*'Traffic Data'!AM59*annualizationFactor</f>
        <v>2.0990597160268627E-3</v>
      </c>
      <c r="L537" s="749">
        <f>$F$22*$K$9*'Traffic Data'!AN59*annualizationFactor</f>
        <v>2.2976752636167941E-3</v>
      </c>
      <c r="M537" s="749">
        <f>$F$22*$K$9*'Traffic Data'!AO59*annualizationFactor</f>
        <v>2.4963520335691994E-3</v>
      </c>
      <c r="N537" s="749">
        <f>$F$22*$K$9*'Traffic Data'!AP59*annualizationFactor</f>
        <v>2.6954573600589172E-3</v>
      </c>
      <c r="O537" s="749">
        <f>$F$22*$K$9*'Traffic Data'!AQ59*annualizationFactor</f>
        <v>2.8940729076488481E-3</v>
      </c>
      <c r="P537" s="749">
        <f>$F$22*$K$9*'Traffic Data'!AR59*annualizationFactor</f>
        <v>3.0929027335074369E-3</v>
      </c>
      <c r="Q537" s="749">
        <f>$F$22*$K$9*'Traffic Data'!AS59*annualizationFactor</f>
        <v>3.2742025562445503E-3</v>
      </c>
      <c r="R537" s="749">
        <f>$F$22*$K$9*'Traffic Data'!AT59*annualizationFactor</f>
        <v>3.4553493230754808E-3</v>
      </c>
      <c r="S537" s="749">
        <f>$F$22*$K$9*'Traffic Data'!AU59*annualizationFactor</f>
        <v>3.6366593495396728E-3</v>
      </c>
      <c r="T537" s="749">
        <f>$F$22*$K$9*'Traffic Data'!AV59*annualizationFactor</f>
        <v>3.8179591722767863E-3</v>
      </c>
      <c r="U537" s="749">
        <f>$F$22*$K$9*'Traffic Data'!AW59*annualizationFactor</f>
        <v>3.9999018298198675E-3</v>
      </c>
      <c r="V537" s="749">
        <f>$F$22*$K$9*'Traffic Data'!AX59*annualizationFactor</f>
        <v>4.1318972433119494E-3</v>
      </c>
      <c r="W537" s="749">
        <f>$F$22*$K$9*'Traffic Data'!AY59*annualizationFactor</f>
        <v>4.2448320946207275E-3</v>
      </c>
      <c r="X537" s="749">
        <f>$F$22*$K$9*'Traffic Data'!AZ59*annualizationFactor</f>
        <v>4.3577669459295048E-3</v>
      </c>
      <c r="Y537" s="749">
        <f>$F$22*$K$9*'Traffic Data'!BA59*annualizationFactor</f>
        <v>4.4707017972382837E-3</v>
      </c>
      <c r="Z537" s="749">
        <f>$F$22*$K$9*'Traffic Data'!BB59*annualizationFactor</f>
        <v>4.5837590932720079E-3</v>
      </c>
      <c r="AA537" s="749">
        <f>$F$22*$K$9*'Traffic Data'!BC59*annualizationFactor</f>
        <v>4.6966939445807852E-3</v>
      </c>
      <c r="AB537" s="749">
        <f>$F$22*$K$9*'Traffic Data'!BD59*annualizationFactor</f>
        <v>4.8099042965206937E-3</v>
      </c>
      <c r="AC537" s="749">
        <f>$F$22*$K$9*'Traffic Data'!BE59*annualizationFactor</f>
        <v>4.9228391478294718E-3</v>
      </c>
      <c r="AD537" s="749">
        <f>$F$22*$K$9*'Traffic Data'!BF59*annualizationFactor</f>
        <v>5.0357739991382499E-3</v>
      </c>
      <c r="AE537" s="749">
        <f>$F$22*$K$9*'Traffic Data'!BG59*annualizationFactor</f>
        <v>5.1488312951719741E-3</v>
      </c>
      <c r="AF537" s="749">
        <f>$F$22*$K$9*'Traffic Data'!BH59*annualizationFactor</f>
        <v>5.2617661464807531E-3</v>
      </c>
      <c r="AG537" s="749">
        <f>$F$22*$K$9*'Traffic Data'!BI59*annualizationFactor</f>
        <v>5.3747009977895303E-3</v>
      </c>
      <c r="AH537" s="750">
        <f>$F$22*$K$9*'Traffic Data'!BJ59*annualizationFactor</f>
        <v>5.4879113497294379E-3</v>
      </c>
      <c r="AI537" s="24"/>
      <c r="AJ537" s="24"/>
      <c r="AK537" s="24"/>
      <c r="AL537" s="24"/>
      <c r="AM537" s="24"/>
    </row>
    <row r="538" spans="2:39" ht="21.9" customHeight="1" x14ac:dyDescent="0.25">
      <c r="B538" s="756" t="s">
        <v>333</v>
      </c>
      <c r="C538" s="273" t="s">
        <v>319</v>
      </c>
      <c r="D538" s="273" t="s">
        <v>308</v>
      </c>
      <c r="E538" s="114" t="s">
        <v>434</v>
      </c>
      <c r="F538" s="273" t="s">
        <v>405</v>
      </c>
      <c r="G538" s="941"/>
      <c r="H538" s="941"/>
      <c r="I538" s="749">
        <f>$F$22*$L$9*'Traffic Data'!AK60*annualizationFactor</f>
        <v>2.1558162159700366E-3</v>
      </c>
      <c r="J538" s="749">
        <f>$F$22*$L$9*'Traffic Data'!AL60*annualizationFactor</f>
        <v>2.1854167702909807E-3</v>
      </c>
      <c r="K538" s="749">
        <f>$F$22*$L$9*'Traffic Data'!AM60*annualizationFactor</f>
        <v>2.2365814751500027E-3</v>
      </c>
      <c r="L538" s="749">
        <f>$F$22*$L$9*'Traffic Data'!AN60*annualizationFactor</f>
        <v>2.3068251535203602E-3</v>
      </c>
      <c r="M538" s="749">
        <f>$F$22*$L$9*'Traffic Data'!AO60*annualizationFactor</f>
        <v>2.3770987737826055E-3</v>
      </c>
      <c r="N538" s="749">
        <f>$F$22*$L$9*'Traffic Data'!AP60*annualizationFactor</f>
        <v>2.4474741964772713E-3</v>
      </c>
      <c r="O538" s="749">
        <f>$F$22*$L$9*'Traffic Data'!AQ60*annualizationFactor</f>
        <v>2.5177178748476288E-3</v>
      </c>
      <c r="P538" s="749">
        <f>$F$22*$L$9*'Traffic Data'!AR60*annualizationFactor</f>
        <v>2.5882070767314714E-3</v>
      </c>
      <c r="Q538" s="749">
        <f>$F$22*$L$9*'Traffic Data'!AS60*annualizationFactor</f>
        <v>2.637090209428592E-3</v>
      </c>
      <c r="R538" s="749">
        <f>$F$22*$L$9*'Traffic Data'!AT60*annualizationFactor</f>
        <v>2.6859793305040896E-3</v>
      </c>
      <c r="S538" s="749">
        <f>$F$22*$L$9*'Traffic Data'!AU60*annualizationFactor</f>
        <v>2.7348744399579663E-3</v>
      </c>
      <c r="T538" s="749">
        <f>$F$22*$L$9*'Traffic Data'!AV60*annualizationFactor</f>
        <v>2.783757572655087E-3</v>
      </c>
      <c r="U538" s="749">
        <f>$F$22*$L$9*'Traffic Data'!AW60*annualizationFactor</f>
        <v>2.8329880312981132E-3</v>
      </c>
      <c r="V538" s="749">
        <f>$F$22*$L$9*'Traffic Data'!AX60*annualizationFactor</f>
        <v>2.8625885856190568E-3</v>
      </c>
      <c r="W538" s="749">
        <f>$F$22*$L$9*'Traffic Data'!AY60*annualizationFactor</f>
        <v>2.8921891399400009E-3</v>
      </c>
      <c r="X538" s="749">
        <f>$F$22*$L$9*'Traffic Data'!AZ60*annualizationFactor</f>
        <v>2.9217896942609458E-3</v>
      </c>
      <c r="Y538" s="749">
        <f>$F$22*$L$9*'Traffic Data'!BA60*annualizationFactor</f>
        <v>2.9513902485818894E-3</v>
      </c>
      <c r="Z538" s="749">
        <f>$F$22*$L$9*'Traffic Data'!BB60*annualizationFactor</f>
        <v>2.9811944077676759E-3</v>
      </c>
      <c r="AA538" s="749">
        <f>$F$22*$L$9*'Traffic Data'!BC60*annualizationFactor</f>
        <v>3.0107949620886199E-3</v>
      </c>
      <c r="AB538" s="749">
        <f>$F$22*$L$9*'Traffic Data'!BD60*annualizationFactor</f>
        <v>3.0405092955987406E-3</v>
      </c>
      <c r="AC538" s="749">
        <f>$F$22*$L$9*'Traffic Data'!BE60*annualizationFactor</f>
        <v>3.0701098499196842E-3</v>
      </c>
      <c r="AD538" s="749">
        <f>$F$22*$L$9*'Traffic Data'!BF60*annualizationFactor</f>
        <v>3.0997104042406287E-3</v>
      </c>
      <c r="AE538" s="749">
        <f>$F$22*$L$9*'Traffic Data'!BG60*annualizationFactor</f>
        <v>3.1295145634264144E-3</v>
      </c>
      <c r="AF538" s="749">
        <f>$F$22*$L$9*'Traffic Data'!BH60*annualizationFactor</f>
        <v>3.1591151177473588E-3</v>
      </c>
      <c r="AG538" s="749">
        <f>$F$22*$L$9*'Traffic Data'!BI60*annualizationFactor</f>
        <v>3.1887156720683033E-3</v>
      </c>
      <c r="AH538" s="750">
        <f>$F$22*$L$9*'Traffic Data'!BJ60*annualizationFactor</f>
        <v>3.2184300055784231E-3</v>
      </c>
      <c r="AI538" s="24"/>
      <c r="AJ538" s="24"/>
      <c r="AK538" s="24"/>
      <c r="AL538" s="24"/>
      <c r="AM538" s="24"/>
    </row>
    <row r="539" spans="2:39" ht="21.9" customHeight="1" x14ac:dyDescent="0.25">
      <c r="B539" s="469" t="s">
        <v>319</v>
      </c>
      <c r="C539" s="114" t="s">
        <v>276</v>
      </c>
      <c r="D539" s="114" t="s">
        <v>333</v>
      </c>
      <c r="E539" s="217" t="s">
        <v>434</v>
      </c>
      <c r="F539" s="114" t="s">
        <v>405</v>
      </c>
      <c r="G539" s="749"/>
      <c r="H539" s="749"/>
      <c r="I539" s="749">
        <f>$F$22*$M$9*'Traffic Data'!AK61*annualizationFactor</f>
        <v>7.7423274368477275E-3</v>
      </c>
      <c r="J539" s="749">
        <f>$F$22*$M$9*'Traffic Data'!AL61*annualizationFactor</f>
        <v>7.9655155098697396E-3</v>
      </c>
      <c r="K539" s="749">
        <f>$F$22*$M$9*'Traffic Data'!AM61*annualizationFactor</f>
        <v>8.2070916105542614E-3</v>
      </c>
      <c r="L539" s="749">
        <f>$F$22*$M$9*'Traffic Data'!AN61*annualizationFactor</f>
        <v>8.5275852548025739E-3</v>
      </c>
      <c r="M539" s="749">
        <f>$F$22*$M$9*'Traffic Data'!AO61*annualizationFactor</f>
        <v>8.8481330953429412E-3</v>
      </c>
      <c r="N539" s="749">
        <f>$F$22*$M$9*'Traffic Data'!AP61*annualizationFactor</f>
        <v>9.1688125554497367E-3</v>
      </c>
      <c r="O539" s="749">
        <f>$F$22*$M$9*'Traffic Data'!AQ61*annualizationFactor</f>
        <v>9.4893061996980509E-3</v>
      </c>
      <c r="P539" s="749">
        <f>$F$22*$M$9*'Traffic Data'!AR61*annualizationFactor</f>
        <v>9.8098850095481686E-3</v>
      </c>
      <c r="Q539" s="749">
        <f>$F$22*$M$9*'Traffic Data'!AS61*annualizationFactor</f>
        <v>1.0162640932225825E-2</v>
      </c>
      <c r="R539" s="749">
        <f>$F$22*$M$9*'Traffic Data'!AT61*annualizationFactor</f>
        <v>1.0515280719991926E-2</v>
      </c>
      <c r="S539" s="749">
        <f>$F$22*$M$9*'Traffic Data'!AU61*annualizationFactor</f>
        <v>1.0868036642669584E-2</v>
      </c>
      <c r="T539" s="749">
        <f>$F$22*$M$9*'Traffic Data'!AV61*annualizationFactor</f>
        <v>1.1220792565347238E-2</v>
      </c>
      <c r="U539" s="749">
        <f>$F$22*$M$9*'Traffic Data'!AW61*annualizationFactor</f>
        <v>1.1573749788538253E-2</v>
      </c>
      <c r="V539" s="749">
        <f>$F$22*$M$9*'Traffic Data'!AX61*annualizationFactor</f>
        <v>1.1847557198342374E-2</v>
      </c>
      <c r="W539" s="749">
        <f>$F$22*$M$9*'Traffic Data'!AY61*annualizationFactor</f>
        <v>1.2070745271364383E-2</v>
      </c>
      <c r="X539" s="749">
        <f>$F$22*$M$9*'Traffic Data'!AZ61*annualizationFactor</f>
        <v>1.2293933344386394E-2</v>
      </c>
      <c r="Y539" s="749">
        <f>$F$22*$M$9*'Traffic Data'!BA61*annualizationFactor</f>
        <v>1.2517121417408404E-2</v>
      </c>
      <c r="Z539" s="749">
        <f>$F$22*$M$9*'Traffic Data'!BB61*annualizationFactor</f>
        <v>1.27402862634481E-2</v>
      </c>
      <c r="AA539" s="749">
        <f>$F$22*$M$9*'Traffic Data'!BC61*annualizationFactor</f>
        <v>1.2963474336470108E-2</v>
      </c>
      <c r="AB539" s="749">
        <f>$F$22*$M$9*'Traffic Data'!BD61*annualizationFactor</f>
        <v>1.3186639182509804E-2</v>
      </c>
      <c r="AC539" s="749">
        <f>$F$22*$M$9*'Traffic Data'!BE61*annualizationFactor</f>
        <v>1.3409827255531822E-2</v>
      </c>
      <c r="AD539" s="749">
        <f>$F$22*$M$9*'Traffic Data'!BF61*annualizationFactor</f>
        <v>1.3633015328553832E-2</v>
      </c>
      <c r="AE539" s="749">
        <f>$F$22*$M$9*'Traffic Data'!BG61*annualizationFactor</f>
        <v>1.3856180174593528E-2</v>
      </c>
      <c r="AF539" s="749">
        <f>$F$22*$M$9*'Traffic Data'!BH61*annualizationFactor</f>
        <v>1.4079368247615538E-2</v>
      </c>
      <c r="AG539" s="749">
        <f>$F$22*$M$9*'Traffic Data'!BI61*annualizationFactor</f>
        <v>1.4302556320637547E-2</v>
      </c>
      <c r="AH539" s="750">
        <f>$F$22*$M$9*'Traffic Data'!BJ61*annualizationFactor</f>
        <v>1.4525721166677249E-2</v>
      </c>
      <c r="AI539" s="24"/>
      <c r="AJ539" s="24"/>
      <c r="AK539" s="24"/>
      <c r="AL539" s="24"/>
      <c r="AM539" s="24"/>
    </row>
    <row r="540" spans="2:39" ht="21.9" customHeight="1" x14ac:dyDescent="0.25">
      <c r="B540" s="469"/>
      <c r="C540" s="114" t="s">
        <v>333</v>
      </c>
      <c r="D540" s="114" t="s">
        <v>323</v>
      </c>
      <c r="E540" s="114" t="s">
        <v>434</v>
      </c>
      <c r="F540" s="114" t="s">
        <v>405</v>
      </c>
      <c r="G540" s="941"/>
      <c r="H540" s="941"/>
      <c r="I540" s="751">
        <f>$F$22*$M$9*'Traffic Data'!AK62*annualizationFactor</f>
        <v>1.1275666378327304E-3</v>
      </c>
      <c r="J540" s="751">
        <f>$F$22*$M$9*'Traffic Data'!AL62*annualizationFactor</f>
        <v>1.1595687593827988E-3</v>
      </c>
      <c r="K540" s="751">
        <f>$F$22*$M$9*'Traffic Data'!AM62*annualizationFactor</f>
        <v>1.1950826575535909E-3</v>
      </c>
      <c r="L540" s="751">
        <f>$F$22*$M$9*'Traffic Data'!AN62*annualizationFactor</f>
        <v>1.2449300047876752E-3</v>
      </c>
      <c r="M540" s="751">
        <f>$F$22*$M$9*'Traffic Data'!AO62*annualizationFactor</f>
        <v>1.2947862538636374E-3</v>
      </c>
      <c r="N540" s="751">
        <f>$F$22*$M$9*'Traffic Data'!AP62*annualizationFactor</f>
        <v>1.3446528884217895E-3</v>
      </c>
      <c r="O540" s="751">
        <f>$F$22*$M$9*'Traffic Data'!AQ62*annualizationFactor</f>
        <v>1.3945002356558743E-3</v>
      </c>
      <c r="P540" s="751">
        <f>$F$22*$M$9*'Traffic Data'!AR62*annualizationFactor</f>
        <v>1.4443505501705843E-3</v>
      </c>
      <c r="Q540" s="751">
        <f>$F$22*$M$9*'Traffic Data'!AS62*annualizationFactor</f>
        <v>1.5003802265886807E-3</v>
      </c>
      <c r="R540" s="751">
        <f>$F$22*$M$9*'Traffic Data'!AT62*annualizationFactor</f>
        <v>1.5563906156827083E-3</v>
      </c>
      <c r="S540" s="751">
        <f>$F$22*$M$9*'Traffic Data'!AU62*annualizationFactor</f>
        <v>1.6124202921008041E-3</v>
      </c>
      <c r="T540" s="751">
        <f>$F$22*$M$9*'Traffic Data'!AV62*annualizationFactor</f>
        <v>1.6684499685189003E-3</v>
      </c>
      <c r="U540" s="751">
        <f>$F$22*$M$9*'Traffic Data'!AW62*annualizationFactor</f>
        <v>1.7244885467788745E-3</v>
      </c>
      <c r="V540" s="751">
        <f>$F$22*$M$9*'Traffic Data'!AX62*annualizationFactor</f>
        <v>1.7661907086949299E-3</v>
      </c>
      <c r="W540" s="751">
        <f>$F$22*$M$9*'Traffic Data'!AY62*annualizationFactor</f>
        <v>1.7981928302449985E-3</v>
      </c>
      <c r="X540" s="751">
        <f>$F$22*$M$9*'Traffic Data'!AZ62*annualizationFactor</f>
        <v>1.8301949517950673E-3</v>
      </c>
      <c r="Y540" s="751">
        <f>$F$22*$M$9*'Traffic Data'!BA62*annualizationFactor</f>
        <v>1.8621970733451354E-3</v>
      </c>
      <c r="Z540" s="751">
        <f>$F$22*$M$9*'Traffic Data'!BB62*annualizationFactor</f>
        <v>1.894182874851761E-3</v>
      </c>
      <c r="AA540" s="751">
        <f>$F$22*$M$9*'Traffic Data'!BC62*annualizationFactor</f>
        <v>1.9261849964018298E-3</v>
      </c>
      <c r="AB540" s="751">
        <f>$F$22*$M$9*'Traffic Data'!BD62*annualizationFactor</f>
        <v>1.9581707979084558E-3</v>
      </c>
      <c r="AC540" s="751">
        <f>$F$22*$M$9*'Traffic Data'!BE62*annualizationFactor</f>
        <v>1.9901729194585246E-3</v>
      </c>
      <c r="AD540" s="751">
        <f>$F$22*$M$9*'Traffic Data'!BF62*annualizationFactor</f>
        <v>2.0221750410085925E-3</v>
      </c>
      <c r="AE540" s="751">
        <f>$F$22*$M$9*'Traffic Data'!BG62*annualizationFactor</f>
        <v>2.0541608425152184E-3</v>
      </c>
      <c r="AF540" s="751">
        <f>$F$22*$M$9*'Traffic Data'!BH62*annualizationFactor</f>
        <v>2.0861629640652871E-3</v>
      </c>
      <c r="AG540" s="751">
        <f>$F$22*$M$9*'Traffic Data'!BI62*annualizationFactor</f>
        <v>2.1181650856153555E-3</v>
      </c>
      <c r="AH540" s="752">
        <f>$F$22*$M$9*'Traffic Data'!BJ62*annualizationFactor</f>
        <v>2.1501508871219818E-3</v>
      </c>
      <c r="AI540" s="24"/>
      <c r="AJ540" s="24"/>
      <c r="AK540" s="24"/>
      <c r="AL540" s="24"/>
      <c r="AM540" s="24"/>
    </row>
    <row r="541" spans="2:39" ht="21.9" customHeight="1" x14ac:dyDescent="0.25">
      <c r="B541" s="469"/>
      <c r="C541" s="114" t="s">
        <v>323</v>
      </c>
      <c r="D541" s="114" t="s">
        <v>322</v>
      </c>
      <c r="E541" s="114" t="s">
        <v>434</v>
      </c>
      <c r="F541" s="114" t="s">
        <v>405</v>
      </c>
      <c r="G541" s="941"/>
      <c r="H541" s="941"/>
      <c r="I541" s="751">
        <f>$F$22*$M$9*'Traffic Data'!AK63*annualizationFactor</f>
        <v>2.7887056170636362E-4</v>
      </c>
      <c r="J541" s="751">
        <f>$F$22*$M$9*'Traffic Data'!AL63*annualizationFactor</f>
        <v>2.8678534856952981E-4</v>
      </c>
      <c r="K541" s="751">
        <f>$F$22*$M$9*'Traffic Data'!AM63*annualizationFactor</f>
        <v>2.9556867045843141E-4</v>
      </c>
      <c r="L541" s="751">
        <f>$F$22*$M$9*'Traffic Data'!AN63*annualizationFactor</f>
        <v>3.0789695089555034E-4</v>
      </c>
      <c r="M541" s="751">
        <f>$F$22*$M$9*'Traffic Data'!AO63*annualizationFactor</f>
        <v>3.2022743294236698E-4</v>
      </c>
      <c r="N541" s="751">
        <f>$F$22*$M$9*'Traffic Data'!AP63*annualizationFactor</f>
        <v>3.325604835338309E-4</v>
      </c>
      <c r="O541" s="751">
        <f>$F$22*$M$9*'Traffic Data'!AQ63*annualizationFactor</f>
        <v>3.4488876397094988E-4</v>
      </c>
      <c r="P541" s="751">
        <f>$F$22*$M$9*'Traffic Data'!AR63*annualizationFactor</f>
        <v>3.5721777827796817E-4</v>
      </c>
      <c r="Q541" s="751">
        <f>$F$22*$M$9*'Traffic Data'!AS63*annualizationFactor</f>
        <v>3.7107507665012712E-4</v>
      </c>
      <c r="R541" s="751">
        <f>$F$22*$M$9*'Traffic Data'!AT63*annualizationFactor</f>
        <v>3.8492760486794102E-4</v>
      </c>
      <c r="S541" s="751">
        <f>$F$22*$M$9*'Traffic Data'!AU63*annualizationFactor</f>
        <v>3.9878490324009997E-4</v>
      </c>
      <c r="T541" s="751">
        <f>$F$22*$M$9*'Traffic Data'!AV63*annualizationFactor</f>
        <v>4.1264220161225896E-4</v>
      </c>
      <c r="U541" s="751">
        <f>$F$22*$M$9*'Traffic Data'!AW63*annualizationFactor</f>
        <v>4.2650170159411562E-4</v>
      </c>
      <c r="V541" s="751">
        <f>$F$22*$M$9*'Traffic Data'!AX63*annualizationFactor</f>
        <v>4.368155091578557E-4</v>
      </c>
      <c r="W541" s="751">
        <f>$F$22*$M$9*'Traffic Data'!AY63*annualizationFactor</f>
        <v>4.4473029602102183E-4</v>
      </c>
      <c r="X541" s="751">
        <f>$F$22*$M$9*'Traffic Data'!AZ63*annualizationFactor</f>
        <v>4.5264508288418801E-4</v>
      </c>
      <c r="Y541" s="751">
        <f>$F$22*$M$9*'Traffic Data'!BA63*annualizationFactor</f>
        <v>4.6055986974735409E-4</v>
      </c>
      <c r="Z541" s="751">
        <f>$F$22*$M$9*'Traffic Data'!BB63*annualizationFactor</f>
        <v>4.6847062032607444E-4</v>
      </c>
      <c r="AA541" s="751">
        <f>$F$22*$M$9*'Traffic Data'!BC63*annualizationFactor</f>
        <v>4.7638540718924062E-4</v>
      </c>
      <c r="AB541" s="751">
        <f>$F$22*$M$9*'Traffic Data'!BD63*annualizationFactor</f>
        <v>4.8429615776796108E-4</v>
      </c>
      <c r="AC541" s="751">
        <f>$F$22*$M$9*'Traffic Data'!BE63*annualizationFactor</f>
        <v>4.922109446311272E-4</v>
      </c>
      <c r="AD541" s="751">
        <f>$F$22*$M$9*'Traffic Data'!BF63*annualizationFactor</f>
        <v>5.0012573149429333E-4</v>
      </c>
      <c r="AE541" s="751">
        <f>$F$22*$M$9*'Traffic Data'!BG63*annualizationFactor</f>
        <v>5.0803648207301357E-4</v>
      </c>
      <c r="AF541" s="751">
        <f>$F$22*$M$9*'Traffic Data'!BH63*annualizationFactor</f>
        <v>5.1595126893617981E-4</v>
      </c>
      <c r="AG541" s="751">
        <f>$F$22*$M$9*'Traffic Data'!BI63*annualizationFactor</f>
        <v>5.2386605579934594E-4</v>
      </c>
      <c r="AH541" s="752">
        <f>$F$22*$M$9*'Traffic Data'!BJ63*annualizationFactor</f>
        <v>5.3177680637806629E-4</v>
      </c>
      <c r="AI541" s="24"/>
      <c r="AJ541" s="24"/>
      <c r="AK541" s="24"/>
      <c r="AL541" s="24"/>
      <c r="AM541" s="24"/>
    </row>
    <row r="542" spans="2:39" ht="21.9" customHeight="1" x14ac:dyDescent="0.25">
      <c r="B542" s="469"/>
      <c r="C542" s="114" t="s">
        <v>322</v>
      </c>
      <c r="D542" s="114" t="s">
        <v>326</v>
      </c>
      <c r="E542" s="114" t="s">
        <v>434</v>
      </c>
      <c r="F542" s="114" t="s">
        <v>405</v>
      </c>
      <c r="G542" s="941"/>
      <c r="H542" s="941"/>
      <c r="I542" s="751">
        <f>$F$22*$M$9*'Traffic Data'!AK64*annualizationFactor</f>
        <v>7.1552315174659101E-4</v>
      </c>
      <c r="J542" s="751">
        <f>$F$22*$M$9*'Traffic Data'!AL64*annualizationFactor</f>
        <v>7.3581300325295182E-4</v>
      </c>
      <c r="K542" s="751">
        <f>$F$22*$M$9*'Traffic Data'!AM64*annualizationFactor</f>
        <v>7.5893274882447034E-4</v>
      </c>
      <c r="L542" s="751">
        <f>$F$22*$M$9*'Traffic Data'!AN64*annualizationFactor</f>
        <v>7.8847431468291476E-4</v>
      </c>
      <c r="M542" s="751">
        <f>$F$22*$M$9*'Traffic Data'!AO64*annualizationFactor</f>
        <v>8.1802542085004893E-4</v>
      </c>
      <c r="N542" s="751">
        <f>$F$22*$M$9*'Traffic Data'!AP64*annualizationFactor</f>
        <v>8.4757175686283844E-4</v>
      </c>
      <c r="O542" s="751">
        <f>$F$22*$M$9*'Traffic Data'!AQ64*annualizationFactor</f>
        <v>8.7711332272128253E-4</v>
      </c>
      <c r="P542" s="751">
        <f>$F$22*$M$9*'Traffic Data'!AR64*annualizationFactor</f>
        <v>9.0666085127265794E-4</v>
      </c>
      <c r="Q542" s="751">
        <f>$F$22*$M$9*'Traffic Data'!AS64*annualizationFactor</f>
        <v>9.4005670184184374E-4</v>
      </c>
      <c r="R542" s="751">
        <f>$F$22*$M$9*'Traffic Data'!AT64*annualizationFactor</f>
        <v>9.7345135987244333E-4</v>
      </c>
      <c r="S542" s="751">
        <f>$F$22*$M$9*'Traffic Data'!AU64*annualizationFactor</f>
        <v>1.0068424402872843E-3</v>
      </c>
      <c r="T542" s="751">
        <f>$F$22*$M$9*'Traffic Data'!AV64*annualizationFactor</f>
        <v>1.0402382908564702E-3</v>
      </c>
      <c r="U542" s="751">
        <f>$F$22*$M$9*'Traffic Data'!AW64*annualizationFactor</f>
        <v>1.0736401041185873E-3</v>
      </c>
      <c r="V542" s="751">
        <f>$F$22*$M$9*'Traffic Data'!AX64*annualizationFactor</f>
        <v>1.1006129418622613E-3</v>
      </c>
      <c r="W542" s="751">
        <f>$F$22*$M$9*'Traffic Data'!AY64*annualizationFactor</f>
        <v>1.1209027933686223E-3</v>
      </c>
      <c r="X542" s="751">
        <f>$F$22*$M$9*'Traffic Data'!AZ64*annualizationFactor</f>
        <v>1.1411926448749833E-3</v>
      </c>
      <c r="Y542" s="751">
        <f>$F$22*$M$9*'Traffic Data'!BA64*annualizationFactor</f>
        <v>1.1614824963813439E-3</v>
      </c>
      <c r="Z542" s="751">
        <f>$F$22*$M$9*'Traffic Data'!BB64*annualizationFactor</f>
        <v>1.1817663851947735E-3</v>
      </c>
      <c r="AA542" s="751">
        <f>$F$22*$M$9*'Traffic Data'!BC64*annualizationFactor</f>
        <v>1.2020562367011341E-3</v>
      </c>
      <c r="AB542" s="751">
        <f>$F$22*$M$9*'Traffic Data'!BD64*annualizationFactor</f>
        <v>1.2223401255145635E-3</v>
      </c>
      <c r="AC542" s="751">
        <f>$F$22*$M$9*'Traffic Data'!BE64*annualizationFactor</f>
        <v>1.2426299770209243E-3</v>
      </c>
      <c r="AD542" s="751">
        <f>$F$22*$M$9*'Traffic Data'!BF64*annualizationFactor</f>
        <v>1.2629198285272853E-3</v>
      </c>
      <c r="AE542" s="751">
        <f>$F$22*$M$9*'Traffic Data'!BG64*annualizationFactor</f>
        <v>1.2832037173407147E-3</v>
      </c>
      <c r="AF542" s="751">
        <f>$F$22*$M$9*'Traffic Data'!BH64*annualizationFactor</f>
        <v>1.3034935688470757E-3</v>
      </c>
      <c r="AG542" s="751">
        <f>$F$22*$M$9*'Traffic Data'!BI64*annualizationFactor</f>
        <v>1.3237834203534366E-3</v>
      </c>
      <c r="AH542" s="752">
        <f>$F$22*$M$9*'Traffic Data'!BJ64*annualizationFactor</f>
        <v>1.3440673091668659E-3</v>
      </c>
      <c r="AI542" s="24"/>
      <c r="AJ542" s="24"/>
      <c r="AK542" s="24"/>
      <c r="AL542" s="24"/>
      <c r="AM542" s="24"/>
    </row>
    <row r="543" spans="2:39" ht="21.9" customHeight="1" x14ac:dyDescent="0.25">
      <c r="B543" s="469"/>
      <c r="C543" s="114" t="s">
        <v>326</v>
      </c>
      <c r="D543" s="114" t="s">
        <v>274</v>
      </c>
      <c r="E543" s="114" t="s">
        <v>434</v>
      </c>
      <c r="F543" s="114" t="s">
        <v>405</v>
      </c>
      <c r="G543" s="941"/>
      <c r="H543" s="941"/>
      <c r="I543" s="751">
        <f>$F$22*$M$9*'Traffic Data'!AK65*annualizationFactor</f>
        <v>5.9406768342447737E-3</v>
      </c>
      <c r="J543" s="751">
        <f>$F$22*$M$9*'Traffic Data'!AL65*annualizationFactor</f>
        <v>6.1091346270078419E-3</v>
      </c>
      <c r="K543" s="751">
        <f>$F$22*$M$9*'Traffic Data'!AM65*annualizationFactor</f>
        <v>6.3010877966503467E-3</v>
      </c>
      <c r="L543" s="751">
        <f>$F$22*$M$9*'Traffic Data'!AN65*annualizationFactor</f>
        <v>6.5463585408801995E-3</v>
      </c>
      <c r="M543" s="751">
        <f>$F$22*$M$9*'Traffic Data'!AO65*annualizationFactor</f>
        <v>6.7917084941345081E-3</v>
      </c>
      <c r="N543" s="751">
        <f>$F$22*$M$9*'Traffic Data'!AP65*annualizationFactor</f>
        <v>7.0370188428765931E-3</v>
      </c>
      <c r="O543" s="751">
        <f>$F$22*$M$9*'Traffic Data'!AQ65*annualizationFactor</f>
        <v>7.2822895871064433E-3</v>
      </c>
      <c r="P543" s="751">
        <f>$F$22*$M$9*'Traffic Data'!AR65*annualizationFactor</f>
        <v>7.5276098369765811E-3</v>
      </c>
      <c r="Q543" s="751">
        <f>$F$22*$M$9*'Traffic Data'!AS65*annualizationFactor</f>
        <v>7.8048810270868975E-3</v>
      </c>
      <c r="R543" s="751">
        <f>$F$22*$M$9*'Traffic Data'!AT65*annualizationFactor</f>
        <v>8.0821423160691592E-3</v>
      </c>
      <c r="S543" s="751">
        <f>$F$22*$M$9*'Traffic Data'!AU65*annualizationFactor</f>
        <v>8.3593739016672476E-3</v>
      </c>
      <c r="T543" s="751">
        <f>$F$22*$M$9*'Traffic Data'!AV65*annualizationFactor</f>
        <v>8.6366450917775665E-3</v>
      </c>
      <c r="U543" s="751">
        <f>$F$22*$M$9*'Traffic Data'!AW65*annualizationFactor</f>
        <v>8.9139657875281688E-3</v>
      </c>
      <c r="V543" s="751">
        <f>$F$22*$M$9*'Traffic Data'!AX65*annualizationFactor</f>
        <v>9.1379095019230826E-3</v>
      </c>
      <c r="W543" s="751">
        <f>$F$22*$M$9*'Traffic Data'!AY65*annualizationFactor</f>
        <v>9.3063672946861516E-3</v>
      </c>
      <c r="X543" s="751">
        <f>$F$22*$M$9*'Traffic Data'!AZ65*annualizationFactor</f>
        <v>9.4748250874492207E-3</v>
      </c>
      <c r="Y543" s="751">
        <f>$F$22*$M$9*'Traffic Data'!BA65*annualizationFactor</f>
        <v>9.643282880212288E-3</v>
      </c>
      <c r="Z543" s="751">
        <f>$F$22*$M$9*'Traffic Data'!BB65*annualizationFactor</f>
        <v>9.8116911673350703E-3</v>
      </c>
      <c r="AA543" s="751">
        <f>$F$22*$M$9*'Traffic Data'!BC65*annualizationFactor</f>
        <v>9.9801489600981324E-3</v>
      </c>
      <c r="AB543" s="751">
        <f>$F$22*$M$9*'Traffic Data'!BD65*annualizationFactor</f>
        <v>1.0148557247220916E-2</v>
      </c>
      <c r="AC543" s="751">
        <f>$F$22*$M$9*'Traffic Data'!BE65*annualizationFactor</f>
        <v>1.0317015039983984E-2</v>
      </c>
      <c r="AD543" s="751">
        <f>$F$22*$M$9*'Traffic Data'!BF65*annualizationFactor</f>
        <v>1.0485472832747053E-2</v>
      </c>
      <c r="AE543" s="751">
        <f>$F$22*$M$9*'Traffic Data'!BG65*annualizationFactor</f>
        <v>1.0653881119869832E-2</v>
      </c>
      <c r="AF543" s="751">
        <f>$F$22*$M$9*'Traffic Data'!BH65*annualizationFactor</f>
        <v>1.0822338912632902E-2</v>
      </c>
      <c r="AG543" s="751">
        <f>$F$22*$M$9*'Traffic Data'!BI65*annualizationFactor</f>
        <v>1.0990796705395966E-2</v>
      </c>
      <c r="AH543" s="752">
        <f>$F$22*$M$9*'Traffic Data'!BJ65*annualizationFactor</f>
        <v>1.115920499251875E-2</v>
      </c>
      <c r="AI543" s="24"/>
      <c r="AJ543" s="24"/>
      <c r="AK543" s="24"/>
      <c r="AL543" s="24"/>
      <c r="AM543" s="24"/>
    </row>
    <row r="544" spans="2:39" ht="21.9" customHeight="1" x14ac:dyDescent="0.25">
      <c r="B544" s="470"/>
      <c r="C544" s="250" t="s">
        <v>274</v>
      </c>
      <c r="D544" s="250" t="s">
        <v>317</v>
      </c>
      <c r="E544" s="250" t="s">
        <v>434</v>
      </c>
      <c r="F544" s="250" t="s">
        <v>405</v>
      </c>
      <c r="G544" s="753"/>
      <c r="H544" s="753"/>
      <c r="I544" s="753">
        <f>$F$22*$M$9*'Traffic Data'!AK66*annualizationFactor</f>
        <v>1.4677397984545458E-4</v>
      </c>
      <c r="J544" s="753">
        <f>$F$22*$M$9*'Traffic Data'!AL66*annualizationFactor</f>
        <v>1.5093600066727221E-4</v>
      </c>
      <c r="K544" s="753">
        <f>$F$22*$M$9*'Traffic Data'!AM66*annualizationFactor</f>
        <v>1.5567851257937851E-4</v>
      </c>
      <c r="L544" s="753">
        <f>$F$22*$M$9*'Traffic Data'!AN66*annualizationFactor</f>
        <v>1.6173832096059792E-4</v>
      </c>
      <c r="M544" s="753">
        <f>$F$22*$M$9*'Traffic Data'!AO66*annualizationFactor</f>
        <v>1.6780008632821512E-4</v>
      </c>
      <c r="N544" s="753">
        <f>$F$22*$M$9*'Traffic Data'!AP66*annualizationFactor</f>
        <v>1.7386087320263351E-4</v>
      </c>
      <c r="O544" s="753">
        <f>$F$22*$M$9*'Traffic Data'!AQ66*annualizationFactor</f>
        <v>1.7992068158385286E-4</v>
      </c>
      <c r="P544" s="753">
        <f>$F$22*$M$9*'Traffic Data'!AR66*annualizationFactor</f>
        <v>1.8598171308157089E-4</v>
      </c>
      <c r="Q544" s="753">
        <f>$F$22*$M$9*'Traffic Data'!AS66*annualizationFactor</f>
        <v>1.928321439675577E-4</v>
      </c>
      <c r="R544" s="753">
        <f>$F$22*$M$9*'Traffic Data'!AT66*annualizationFactor</f>
        <v>1.996823302302448E-4</v>
      </c>
      <c r="S544" s="753">
        <f>$F$22*$M$9*'Traffic Data'!AU66*annualizationFactor</f>
        <v>2.0653178262303268E-4</v>
      </c>
      <c r="T544" s="753">
        <f>$F$22*$M$9*'Traffic Data'!AV66*annualizationFactor</f>
        <v>2.1338221350901957E-4</v>
      </c>
      <c r="U544" s="753">
        <f>$F$22*$M$9*'Traffic Data'!AW66*annualizationFactor</f>
        <v>2.2023386751150506E-4</v>
      </c>
      <c r="V544" s="753">
        <f>$F$22*$M$9*'Traffic Data'!AX66*annualizationFactor</f>
        <v>2.2576675730507926E-4</v>
      </c>
      <c r="W544" s="753">
        <f>$F$22*$M$9*'Traffic Data'!AY66*annualizationFactor</f>
        <v>2.2992877812689691E-4</v>
      </c>
      <c r="X544" s="753">
        <f>$F$22*$M$9*'Traffic Data'!AZ66*annualizationFactor</f>
        <v>2.3409079894871454E-4</v>
      </c>
      <c r="Y544" s="753">
        <f>$F$22*$M$9*'Traffic Data'!BA66*annualizationFactor</f>
        <v>2.382528197705321E-4</v>
      </c>
      <c r="Z544" s="753">
        <f>$F$22*$M$9*'Traffic Data'!BB66*annualizationFactor</f>
        <v>2.4241361747585099E-4</v>
      </c>
      <c r="AA544" s="753">
        <f>$F$22*$M$9*'Traffic Data'!BC66*annualizationFactor</f>
        <v>2.4657563829766848E-4</v>
      </c>
      <c r="AB544" s="753">
        <f>$F$22*$M$9*'Traffic Data'!BD66*annualizationFactor</f>
        <v>2.507364360029874E-4</v>
      </c>
      <c r="AC544" s="753">
        <f>$F$22*$M$9*'Traffic Data'!BE66*annualizationFactor</f>
        <v>2.5489845682480497E-4</v>
      </c>
      <c r="AD544" s="753">
        <f>$F$22*$M$9*'Traffic Data'!BF66*annualizationFactor</f>
        <v>2.5906047764662259E-4</v>
      </c>
      <c r="AE544" s="753">
        <f>$F$22*$M$9*'Traffic Data'!BG66*annualizationFactor</f>
        <v>2.632212753519415E-4</v>
      </c>
      <c r="AF544" s="753">
        <f>$F$22*$M$9*'Traffic Data'!BH66*annualizationFactor</f>
        <v>2.6738329617375913E-4</v>
      </c>
      <c r="AG544" s="753">
        <f>$F$22*$M$9*'Traffic Data'!BI66*annualizationFactor</f>
        <v>2.715453169955767E-4</v>
      </c>
      <c r="AH544" s="757">
        <f>$F$22*$M$9*'Traffic Data'!BJ66*annualizationFactor</f>
        <v>2.7570611470089561E-4</v>
      </c>
      <c r="AI544" s="24"/>
      <c r="AJ544" s="24"/>
      <c r="AK544" s="24"/>
      <c r="AL544" s="24"/>
      <c r="AM544" s="24"/>
    </row>
    <row r="545" spans="2:39" ht="21.9" customHeight="1" thickBot="1" x14ac:dyDescent="0.3">
      <c r="B545" s="758" t="s">
        <v>460</v>
      </c>
      <c r="C545" s="237"/>
      <c r="D545" s="237"/>
      <c r="E545" s="237"/>
      <c r="F545" s="237"/>
      <c r="G545" s="940">
        <f t="shared" ref="G545:AH545" si="67">SUM(G525:G544)</f>
        <v>0</v>
      </c>
      <c r="H545" s="940">
        <f t="shared" si="67"/>
        <v>0</v>
      </c>
      <c r="I545" s="759">
        <f t="shared" si="67"/>
        <v>6.9891297283961568E-2</v>
      </c>
      <c r="J545" s="759">
        <f t="shared" si="67"/>
        <v>7.5648639353129668E-2</v>
      </c>
      <c r="K545" s="759">
        <f t="shared" si="67"/>
        <v>8.3164056943829959E-2</v>
      </c>
      <c r="L545" s="759">
        <f t="shared" si="67"/>
        <v>9.5763491281339638E-2</v>
      </c>
      <c r="M545" s="759">
        <f t="shared" si="67"/>
        <v>0.10836937070464674</v>
      </c>
      <c r="N545" s="759">
        <f t="shared" si="67"/>
        <v>0.12097512433653757</v>
      </c>
      <c r="O545" s="759">
        <f t="shared" si="67"/>
        <v>0.13357455867404724</v>
      </c>
      <c r="P545" s="759">
        <f t="shared" si="67"/>
        <v>0.1461869126372648</v>
      </c>
      <c r="Q545" s="759">
        <f t="shared" si="67"/>
        <v>0.15777810830920971</v>
      </c>
      <c r="R545" s="759">
        <f t="shared" si="67"/>
        <v>0.16937249695686304</v>
      </c>
      <c r="S545" s="759">
        <f t="shared" si="67"/>
        <v>0.18096376509992815</v>
      </c>
      <c r="T545" s="759">
        <f t="shared" si="67"/>
        <v>0.19255496077187298</v>
      </c>
      <c r="U545" s="759">
        <f t="shared" si="67"/>
        <v>0.20415915907363602</v>
      </c>
      <c r="V545" s="759">
        <f t="shared" si="67"/>
        <v>0.21072695601143229</v>
      </c>
      <c r="W545" s="759">
        <f t="shared" si="67"/>
        <v>0.21451538076831195</v>
      </c>
      <c r="X545" s="759">
        <f t="shared" si="67"/>
        <v>0.21830380552519169</v>
      </c>
      <c r="Y545" s="759">
        <f t="shared" si="67"/>
        <v>0.22209223028207145</v>
      </c>
      <c r="Z545" s="759">
        <f t="shared" si="67"/>
        <v>0.22588408133452831</v>
      </c>
      <c r="AA545" s="759">
        <f t="shared" si="67"/>
        <v>0.22967250609140796</v>
      </c>
      <c r="AB545" s="759">
        <f t="shared" si="67"/>
        <v>0.23346413783418415</v>
      </c>
      <c r="AC545" s="759">
        <f t="shared" si="67"/>
        <v>0.23725256259106389</v>
      </c>
      <c r="AD545" s="759">
        <f t="shared" si="67"/>
        <v>0.24104098734794357</v>
      </c>
      <c r="AE545" s="759">
        <f t="shared" si="67"/>
        <v>0.24483283840040052</v>
      </c>
      <c r="AF545" s="759">
        <f t="shared" si="67"/>
        <v>0.24862126315728017</v>
      </c>
      <c r="AG545" s="759">
        <f t="shared" si="67"/>
        <v>0.25240968791415991</v>
      </c>
      <c r="AH545" s="760">
        <f t="shared" si="67"/>
        <v>0.2562013196569361</v>
      </c>
      <c r="AI545" s="24"/>
      <c r="AJ545" s="24"/>
      <c r="AK545" s="24"/>
      <c r="AL545" s="24"/>
      <c r="AM545" s="24"/>
    </row>
    <row r="546" spans="2:39" ht="21.9" customHeight="1" x14ac:dyDescent="0.25">
      <c r="B546" s="548" t="s">
        <v>312</v>
      </c>
      <c r="C546" s="1331" t="s">
        <v>18</v>
      </c>
      <c r="D546" s="1331"/>
      <c r="E546" s="197" t="s">
        <v>24</v>
      </c>
      <c r="F546" s="197" t="s">
        <v>42</v>
      </c>
      <c r="G546" s="459">
        <v>2021</v>
      </c>
      <c r="H546" s="459">
        <v>2022</v>
      </c>
      <c r="I546" s="459">
        <v>2023</v>
      </c>
      <c r="J546" s="459">
        <v>2024</v>
      </c>
      <c r="K546" s="459">
        <v>2025</v>
      </c>
      <c r="L546" s="459">
        <v>2026</v>
      </c>
      <c r="M546" s="459">
        <v>2027</v>
      </c>
      <c r="N546" s="459">
        <v>2028</v>
      </c>
      <c r="O546" s="459">
        <v>2029</v>
      </c>
      <c r="P546" s="459">
        <v>2030</v>
      </c>
      <c r="Q546" s="459">
        <v>2031</v>
      </c>
      <c r="R546" s="459">
        <v>2032</v>
      </c>
      <c r="S546" s="459">
        <v>2033</v>
      </c>
      <c r="T546" s="459">
        <v>2034</v>
      </c>
      <c r="U546" s="459">
        <v>2035</v>
      </c>
      <c r="V546" s="459">
        <v>2036</v>
      </c>
      <c r="W546" s="459">
        <v>2037</v>
      </c>
      <c r="X546" s="459">
        <v>2038</v>
      </c>
      <c r="Y546" s="459">
        <v>2039</v>
      </c>
      <c r="Z546" s="459">
        <v>2040</v>
      </c>
      <c r="AA546" s="459">
        <v>2041</v>
      </c>
      <c r="AB546" s="459">
        <v>2042</v>
      </c>
      <c r="AC546" s="459">
        <v>2043</v>
      </c>
      <c r="AD546" s="459">
        <v>2044</v>
      </c>
      <c r="AE546" s="459">
        <v>2045</v>
      </c>
      <c r="AF546" s="459">
        <v>2046</v>
      </c>
      <c r="AG546" s="459">
        <v>2047</v>
      </c>
      <c r="AH546" s="459">
        <v>2048</v>
      </c>
      <c r="AI546" s="247"/>
      <c r="AJ546" s="247"/>
      <c r="AK546" s="247"/>
      <c r="AL546" s="247"/>
      <c r="AM546" s="247"/>
    </row>
    <row r="547" spans="2:39" ht="21.9" customHeight="1" x14ac:dyDescent="0.25">
      <c r="B547" s="1332" t="s">
        <v>315</v>
      </c>
      <c r="C547" s="217" t="s">
        <v>316</v>
      </c>
      <c r="D547" s="217" t="s">
        <v>276</v>
      </c>
      <c r="E547" s="217" t="s">
        <v>19</v>
      </c>
      <c r="F547" s="217" t="s">
        <v>41</v>
      </c>
      <c r="G547" s="749"/>
      <c r="H547" s="749"/>
      <c r="I547" s="749">
        <f>$G$21*$E$8*'Traffic Data'!AK47*annualizationFactor</f>
        <v>1.4524664E-2</v>
      </c>
      <c r="J547" s="749">
        <f>$G$21*$E$8*'Traffic Data'!AL47*annualizationFactor</f>
        <v>1.5185127705825001E-2</v>
      </c>
      <c r="K547" s="749">
        <f>$G$21*$E$8*'Traffic Data'!AM47*annualizationFactor</f>
        <v>1.6115659382900004E-2</v>
      </c>
      <c r="L547" s="749">
        <f>$G$21*$E$8*'Traffic Data'!AN47*annualizationFactor</f>
        <v>1.74844274066E-2</v>
      </c>
      <c r="M547" s="749">
        <f>$G$21*$E$8*'Traffic Data'!AO47*annualizationFactor</f>
        <v>1.8853694715625001E-2</v>
      </c>
      <c r="N547" s="749">
        <f>$G$21*$E$8*'Traffic Data'!AP47*annualizationFactor</f>
        <v>2.0222962024649998E-2</v>
      </c>
      <c r="O547" s="749">
        <f>$G$21*$E$8*'Traffic Data'!AQ47*annualizationFactor</f>
        <v>2.1591730048349998E-2</v>
      </c>
      <c r="P547" s="749">
        <f>$G$21*$E$8*'Traffic Data'!AR47*annualizationFactor</f>
        <v>2.2961496642699999E-2</v>
      </c>
      <c r="Q547" s="749">
        <f>$G$21*$E$8*'Traffic Data'!AS47*annualizationFactor</f>
        <v>2.4315059158775004E-2</v>
      </c>
      <c r="R547" s="749">
        <f>$G$21*$E$8*'Traffic Data'!AT47*annualizationFactor</f>
        <v>2.5668894012300002E-2</v>
      </c>
      <c r="S547" s="749">
        <f>$G$21*$E$8*'Traffic Data'!AU47*annualizationFactor</f>
        <v>2.7022456528375004E-2</v>
      </c>
      <c r="T547" s="749">
        <f>$G$21*$E$8*'Traffic Data'!AV47*annualizationFactor</f>
        <v>2.8376019044449998E-2</v>
      </c>
      <c r="U547" s="749">
        <f>$G$21*$E$8*'Traffic Data'!AW47*annualizationFactor</f>
        <v>2.9730580131175001E-2</v>
      </c>
      <c r="V547" s="749">
        <f>$G$21*$E$8*'Traffic Data'!AX47*annualizationFactor</f>
        <v>3.0645407015300004E-2</v>
      </c>
      <c r="W547" s="749">
        <f>$G$21*$E$8*'Traffic Data'!AY47*annualizationFactor</f>
        <v>3.1305870721125006E-2</v>
      </c>
      <c r="X547" s="749">
        <f>$G$21*$E$8*'Traffic Data'!AZ47*annualizationFactor</f>
        <v>3.1966334426949995E-2</v>
      </c>
      <c r="Y547" s="749">
        <f>$G$21*$E$8*'Traffic Data'!BA47*annualizationFactor</f>
        <v>3.2626798132774998E-2</v>
      </c>
      <c r="Z547" s="749">
        <f>$G$21*$E$8*'Traffic Data'!BB47*annualizationFactor</f>
        <v>3.3287488786475E-2</v>
      </c>
      <c r="AA547" s="749">
        <f>$G$21*$E$8*'Traffic Data'!BC47*annualizationFactor</f>
        <v>3.394795249230001E-2</v>
      </c>
      <c r="AB547" s="749">
        <f>$G$21*$E$8*'Traffic Data'!BD47*annualizationFactor</f>
        <v>3.4608643145999991E-2</v>
      </c>
      <c r="AC547" s="749">
        <f>$G$21*$E$8*'Traffic Data'!BE47*annualizationFactor</f>
        <v>3.5269106851825008E-2</v>
      </c>
      <c r="AD547" s="749">
        <f>$G$21*$E$8*'Traffic Data'!BF47*annualizationFactor</f>
        <v>3.5929570557649997E-2</v>
      </c>
      <c r="AE547" s="749">
        <f>$G$21*$E$8*'Traffic Data'!BG47*annualizationFactor</f>
        <v>3.6590261211349999E-2</v>
      </c>
      <c r="AF547" s="749">
        <f>$G$21*$E$8*'Traffic Data'!BH47*annualizationFactor</f>
        <v>3.7250724917174995E-2</v>
      </c>
      <c r="AG547" s="749">
        <f>$G$21*$E$8*'Traffic Data'!BI47*annualizationFactor</f>
        <v>3.7911188622999997E-2</v>
      </c>
      <c r="AH547" s="750">
        <f>$G$21*$E$8*'Traffic Data'!BJ47*annualizationFactor</f>
        <v>3.8571879276699993E-2</v>
      </c>
      <c r="AI547" s="24"/>
      <c r="AJ547" s="24"/>
      <c r="AK547" s="24"/>
      <c r="AL547" s="24"/>
      <c r="AM547" s="24"/>
    </row>
    <row r="548" spans="2:39" ht="21.9" customHeight="1" x14ac:dyDescent="0.25">
      <c r="B548" s="1332"/>
      <c r="C548" s="114" t="s">
        <v>276</v>
      </c>
      <c r="D548" s="114" t="s">
        <v>274</v>
      </c>
      <c r="E548" s="114" t="s">
        <v>19</v>
      </c>
      <c r="F548" s="114" t="s">
        <v>41</v>
      </c>
      <c r="G548" s="941"/>
      <c r="H548" s="941"/>
      <c r="I548" s="751">
        <f>$G$21*$E$8*'Traffic Data'!AK48*annualizationFactor</f>
        <v>0.46704569625000003</v>
      </c>
      <c r="J548" s="751">
        <f>$G$21*$E$8*'Traffic Data'!AL48*annualizationFactor</f>
        <v>0.49169878981649995</v>
      </c>
      <c r="K548" s="751">
        <f>$G$21*$E$8*'Traffic Data'!AM48*annualizationFactor</f>
        <v>0.52870610694825004</v>
      </c>
      <c r="L548" s="751">
        <f>$G$21*$E$8*'Traffic Data'!AN48*annualizationFactor</f>
        <v>0.589847577984</v>
      </c>
      <c r="M548" s="751">
        <f>$G$21*$E$8*'Traffic Data'!AO48*annualizationFactor</f>
        <v>0.65101672580175007</v>
      </c>
      <c r="N548" s="751">
        <f>$G$21*$E$8*'Traffic Data'!AP48*annualizationFactor</f>
        <v>0.71218241402174998</v>
      </c>
      <c r="O548" s="751">
        <f>$G$21*$E$8*'Traffic Data'!AQ48*annualizationFactor</f>
        <v>0.77332388505750016</v>
      </c>
      <c r="P548" s="751">
        <f>$G$21*$E$8*'Traffic Data'!AR48*annualizationFactor</f>
        <v>0.83452070965724989</v>
      </c>
      <c r="Q548" s="751">
        <f>$G$21*$E$8*'Traffic Data'!AS48*annualizationFactor</f>
        <v>0.89626069110374995</v>
      </c>
      <c r="R548" s="751">
        <f>$G$21*$E$8*'Traffic Data'!AT48*annualizationFactor</f>
        <v>0.95802143013674979</v>
      </c>
      <c r="S548" s="751">
        <f>$G$21*$E$8*'Traffic Data'!AU48*annualizationFactor</f>
        <v>1.0197614115832498</v>
      </c>
      <c r="T548" s="751">
        <f>$G$21*$E$8*'Traffic Data'!AV48*annualizationFactor</f>
        <v>1.0815013930297499</v>
      </c>
      <c r="U548" s="751">
        <f>$G$21*$E$8*'Traffic Data'!AW48*annualizationFactor</f>
        <v>1.14329672804025</v>
      </c>
      <c r="V548" s="751">
        <f>$G$21*$E$8*'Traffic Data'!AX48*annualizationFactor</f>
        <v>1.1808748788007501</v>
      </c>
      <c r="W548" s="751">
        <f>$G$21*$E$8*'Traffic Data'!AY48*annualizationFactor</f>
        <v>1.2055279723672498</v>
      </c>
      <c r="X548" s="751">
        <f>$G$21*$E$8*'Traffic Data'!AZ48*annualizationFactor</f>
        <v>1.23018106593375</v>
      </c>
      <c r="Y548" s="751">
        <f>$G$21*$E$8*'Traffic Data'!BA48*annualizationFactor</f>
        <v>1.2548341595002503</v>
      </c>
      <c r="Z548" s="751">
        <f>$G$21*$E$8*'Traffic Data'!BB48*annualizationFactor</f>
        <v>1.27950109145775</v>
      </c>
      <c r="AA548" s="751">
        <f>$G$21*$E$8*'Traffic Data'!BC48*annualizationFactor</f>
        <v>1.30415418502425</v>
      </c>
      <c r="AB548" s="751">
        <f>$G$21*$E$8*'Traffic Data'!BD48*annualizationFactor</f>
        <v>1.3288211169817501</v>
      </c>
      <c r="AC548" s="751">
        <f>$G$21*$E$8*'Traffic Data'!BE48*annualizationFactor</f>
        <v>1.3534742105482502</v>
      </c>
      <c r="AD548" s="751">
        <f>$G$21*$E$8*'Traffic Data'!BF48*annualizationFactor</f>
        <v>1.3781273041147502</v>
      </c>
      <c r="AE548" s="751">
        <f>$G$21*$E$8*'Traffic Data'!BG48*annualizationFactor</f>
        <v>1.4027942360722503</v>
      </c>
      <c r="AF548" s="751">
        <f>$G$21*$E$8*'Traffic Data'!BH48*annualizationFactor</f>
        <v>1.42744732963875</v>
      </c>
      <c r="AG548" s="751">
        <f>$G$21*$E$8*'Traffic Data'!BI48*annualizationFactor</f>
        <v>1.4521004232052499</v>
      </c>
      <c r="AH548" s="752">
        <f>$G$21*$E$8*'Traffic Data'!BJ48*annualizationFactor</f>
        <v>1.47676735516275</v>
      </c>
      <c r="AI548" s="24"/>
      <c r="AJ548" s="24"/>
      <c r="AK548" s="24"/>
      <c r="AL548" s="24"/>
      <c r="AM548" s="24"/>
    </row>
    <row r="549" spans="2:39" ht="21.9" customHeight="1" x14ac:dyDescent="0.25">
      <c r="B549" s="1332"/>
      <c r="C549" s="114" t="s">
        <v>274</v>
      </c>
      <c r="D549" s="114" t="s">
        <v>317</v>
      </c>
      <c r="E549" s="250" t="s">
        <v>19</v>
      </c>
      <c r="F549" s="250" t="s">
        <v>41</v>
      </c>
      <c r="G549" s="753"/>
      <c r="H549" s="753"/>
      <c r="I549" s="751">
        <f>$G$21*$E$8*'Traffic Data'!AK49*annualizationFactor</f>
        <v>1.0893498E-2</v>
      </c>
      <c r="J549" s="751">
        <f>$G$21*$E$8*'Traffic Data'!AL49*annualizationFactor</f>
        <v>1.134839232065E-2</v>
      </c>
      <c r="K549" s="751">
        <f>$G$21*$E$8*'Traffic Data'!AM49*annualizationFactor</f>
        <v>1.1911404608949999E-2</v>
      </c>
      <c r="L549" s="751">
        <f>$G$21*$E$8*'Traffic Data'!AN49*annualizationFactor</f>
        <v>1.2669410511449999E-2</v>
      </c>
      <c r="M549" s="751">
        <f>$G$21*$E$8*'Traffic Data'!AO49*annualizationFactor</f>
        <v>1.3427688751400003E-2</v>
      </c>
      <c r="N549" s="751">
        <f>$G$21*$E$8*'Traffic Data'!AP49*annualizationFactor</f>
        <v>1.4185876212200004E-2</v>
      </c>
      <c r="O549" s="751">
        <f>$G$21*$E$8*'Traffic Data'!AQ49*annualizationFactor</f>
        <v>1.4943882114700003E-2</v>
      </c>
      <c r="P549" s="751">
        <f>$G$21*$E$8*'Traffic Data'!AR49*annualizationFactor</f>
        <v>1.5702432692100005E-2</v>
      </c>
      <c r="Q549" s="751">
        <f>$G$21*$E$8*'Traffic Data'!AS49*annualizationFactor</f>
        <v>1.6437380690500002E-2</v>
      </c>
      <c r="R549" s="751">
        <f>$G$21*$E$8*'Traffic Data'!AT49*annualizationFactor</f>
        <v>1.7172601026349994E-2</v>
      </c>
      <c r="S549" s="751">
        <f>$G$21*$E$8*'Traffic Data'!AU49*annualizationFactor</f>
        <v>1.7907549024749999E-2</v>
      </c>
      <c r="T549" s="751">
        <f>$G$21*$E$8*'Traffic Data'!AV49*annualizationFactor</f>
        <v>1.864249702315E-2</v>
      </c>
      <c r="U549" s="751">
        <f>$G$21*$E$8*'Traffic Data'!AW49*annualizationFactor</f>
        <v>1.937798969645E-2</v>
      </c>
      <c r="V549" s="751">
        <f>$G$21*$E$8*'Traffic Data'!AX49*annualizationFactor</f>
        <v>1.9917671743199996E-2</v>
      </c>
      <c r="W549" s="751">
        <f>$G$21*$E$8*'Traffic Data'!AY49*annualizationFactor</f>
        <v>2.037256606385E-2</v>
      </c>
      <c r="X549" s="751">
        <f>$G$21*$E$8*'Traffic Data'!AZ49*annualizationFactor</f>
        <v>2.0827460384499993E-2</v>
      </c>
      <c r="Y549" s="751">
        <f>$G$21*$E$8*'Traffic Data'!BA49*annualizationFactor</f>
        <v>2.1282354705149997E-2</v>
      </c>
      <c r="Z549" s="751">
        <f>$G$21*$E$8*'Traffic Data'!BB49*annualizationFactor</f>
        <v>2.1737430584100003E-2</v>
      </c>
      <c r="AA549" s="751">
        <f>$G$21*$E$8*'Traffic Data'!BC49*annualizationFactor</f>
        <v>2.219232490475E-2</v>
      </c>
      <c r="AB549" s="751">
        <f>$G$21*$E$8*'Traffic Data'!BD49*annualizationFactor</f>
        <v>2.2647400783700002E-2</v>
      </c>
      <c r="AC549" s="751">
        <f>$G$21*$E$8*'Traffic Data'!BE49*annualizationFactor</f>
        <v>2.3102295104350006E-2</v>
      </c>
      <c r="AD549" s="751">
        <f>$G$21*$E$8*'Traffic Data'!BF49*annualizationFactor</f>
        <v>2.3557189424999996E-2</v>
      </c>
      <c r="AE549" s="751">
        <f>$G$21*$E$8*'Traffic Data'!BG49*annualizationFactor</f>
        <v>2.4012265303950002E-2</v>
      </c>
      <c r="AF549" s="751">
        <f>$G$21*$E$8*'Traffic Data'!BH49*annualizationFactor</f>
        <v>2.4467159624599999E-2</v>
      </c>
      <c r="AG549" s="751">
        <f>$G$21*$E$8*'Traffic Data'!BI49*annualizationFactor</f>
        <v>2.4922053945249992E-2</v>
      </c>
      <c r="AH549" s="752">
        <f>$G$21*$E$8*'Traffic Data'!BJ49*annualizationFactor</f>
        <v>2.5377129824199998E-2</v>
      </c>
      <c r="AI549" s="24"/>
      <c r="AJ549" s="24"/>
      <c r="AK549" s="24"/>
      <c r="AL549" s="24"/>
      <c r="AM549" s="24"/>
    </row>
    <row r="550" spans="2:39" ht="21.9" customHeight="1" x14ac:dyDescent="0.25">
      <c r="B550" s="1332" t="s">
        <v>274</v>
      </c>
      <c r="C550" s="217" t="s">
        <v>275</v>
      </c>
      <c r="D550" s="217" t="s">
        <v>318</v>
      </c>
      <c r="E550" s="114" t="s">
        <v>19</v>
      </c>
      <c r="F550" s="114" t="s">
        <v>41</v>
      </c>
      <c r="G550" s="941"/>
      <c r="H550" s="941"/>
      <c r="I550" s="749">
        <f>$G$21*$F$8*'Traffic Data'!AK50*annualizationFactor</f>
        <v>8.9997320000000006E-2</v>
      </c>
      <c r="J550" s="749">
        <f>$G$21*$F$8*'Traffic Data'!AL50*annualizationFactor</f>
        <v>9.9100998904600002E-2</v>
      </c>
      <c r="K550" s="749">
        <f>$G$21*$F$8*'Traffic Data'!AM50*annualizationFactor</f>
        <v>0.11945434280919999</v>
      </c>
      <c r="L550" s="749">
        <f>$G$21*$F$8*'Traffic Data'!AN50*annualizationFactor</f>
        <v>0.16033562541920005</v>
      </c>
      <c r="M550" s="749">
        <f>$G$21*$F$8*'Traffic Data'!AO50*annualizationFactor</f>
        <v>0.20124210727879999</v>
      </c>
      <c r="N550" s="749">
        <f>$G$21*$F$8*'Traffic Data'!AP50*annualizationFactor</f>
        <v>0.24214408927239997</v>
      </c>
      <c r="O550" s="749">
        <f>$G$21*$F$8*'Traffic Data'!AQ50*annualizationFactor</f>
        <v>0.28302537188239996</v>
      </c>
      <c r="P550" s="749">
        <f>$G$21*$F$8*'Traffic Data'!AR50*annualizationFactor</f>
        <v>0.32395705299160005</v>
      </c>
      <c r="Q550" s="749">
        <f>$G$21*$F$8*'Traffic Data'!AS50*annualizationFactor</f>
        <v>0.36412105696119995</v>
      </c>
      <c r="R550" s="749">
        <f>$G$21*$F$8*'Traffic Data'!AT50*annualizationFactor</f>
        <v>0.40430531032779987</v>
      </c>
      <c r="S550" s="749">
        <f>$G$21*$F$8*'Traffic Data'!AU50*annualizationFactor</f>
        <v>0.44446931429739994</v>
      </c>
      <c r="T550" s="749">
        <f>$G$21*$F$8*'Traffic Data'!AV50*annualizationFactor</f>
        <v>0.48463331826700001</v>
      </c>
      <c r="U550" s="749">
        <f>$G$21*$F$8*'Traffic Data'!AW50*annualizationFactor</f>
        <v>0.52484772073580011</v>
      </c>
      <c r="V550" s="749">
        <f>$G$21*$F$8*'Traffic Data'!AX50*annualizationFactor</f>
        <v>0.54445858675039993</v>
      </c>
      <c r="W550" s="749">
        <f>$G$21*$F$8*'Traffic Data'!AY50*annualizationFactor</f>
        <v>0.55356226565499989</v>
      </c>
      <c r="X550" s="749">
        <f>$G$21*$F$8*'Traffic Data'!AZ50*annualizationFactor</f>
        <v>0.56266594455959995</v>
      </c>
      <c r="Y550" s="749">
        <f>$G$21*$F$8*'Traffic Data'!BA50*annualizationFactor</f>
        <v>0.57176962346419991</v>
      </c>
      <c r="Z550" s="749">
        <f>$G$21*$F$8*'Traffic Data'!BB50*annualizationFactor</f>
        <v>0.58088725195339996</v>
      </c>
      <c r="AA550" s="749">
        <f>$G$21*$F$8*'Traffic Data'!BC50*annualizationFactor</f>
        <v>0.58999093085800003</v>
      </c>
      <c r="AB550" s="749">
        <f>$G$21*$F$8*'Traffic Data'!BD50*annualizationFactor</f>
        <v>0.59910855934719986</v>
      </c>
      <c r="AC550" s="749">
        <f>$G$21*$F$8*'Traffic Data'!BE50*annualizationFactor</f>
        <v>0.60821223825179993</v>
      </c>
      <c r="AD550" s="749">
        <f>$G$21*$F$8*'Traffic Data'!BF50*annualizationFactor</f>
        <v>0.61731591715639988</v>
      </c>
      <c r="AE550" s="749">
        <f>$G$21*$F$8*'Traffic Data'!BG50*annualizationFactor</f>
        <v>0.62643354564560005</v>
      </c>
      <c r="AF550" s="749">
        <f>$G$21*$F$8*'Traffic Data'!BH50*annualizationFactor</f>
        <v>0.63553722455020001</v>
      </c>
      <c r="AG550" s="749">
        <f>$G$21*$F$8*'Traffic Data'!BI50*annualizationFactor</f>
        <v>0.64464090345479985</v>
      </c>
      <c r="AH550" s="750">
        <f>$G$21*$F$8*'Traffic Data'!BJ50*annualizationFactor</f>
        <v>0.6537585319439998</v>
      </c>
      <c r="AI550" s="24"/>
      <c r="AJ550" s="24"/>
      <c r="AK550" s="24"/>
      <c r="AL550" s="24"/>
      <c r="AM550" s="24"/>
    </row>
    <row r="551" spans="2:39" ht="21.9" customHeight="1" x14ac:dyDescent="0.25">
      <c r="B551" s="1332"/>
      <c r="C551" s="114" t="s">
        <v>318</v>
      </c>
      <c r="D551" s="114" t="s">
        <v>308</v>
      </c>
      <c r="E551" s="114" t="s">
        <v>19</v>
      </c>
      <c r="F551" s="114" t="s">
        <v>41</v>
      </c>
      <c r="G551" s="941"/>
      <c r="H551" s="941"/>
      <c r="I551" s="751">
        <f>$G$21*$F$8*'Traffic Data'!AK51*annualizationFactor</f>
        <v>1.04244E-2</v>
      </c>
      <c r="J551" s="751">
        <f>$G$21*$F$8*'Traffic Data'!AL51*annualizationFactor</f>
        <v>1.1414109909999999E-2</v>
      </c>
      <c r="K551" s="751">
        <f>$G$21*$F$8*'Traffic Data'!AM51*annualizationFactor</f>
        <v>1.2818102849999999E-2</v>
      </c>
      <c r="L551" s="751">
        <f>$G$21*$F$8*'Traffic Data'!AN51*annualizationFactor</f>
        <v>1.5105737429999998E-2</v>
      </c>
      <c r="M551" s="751">
        <f>$G$21*$F$8*'Traffic Data'!AO51*annualizationFactor</f>
        <v>1.739406697E-2</v>
      </c>
      <c r="N551" s="751">
        <f>$G$21*$F$8*'Traffic Data'!AP51*annualizationFactor</f>
        <v>1.9682613685000003E-2</v>
      </c>
      <c r="O551" s="751">
        <f>$G$21*$F$8*'Traffic Data'!AQ51*annualizationFactor</f>
        <v>2.1970248265000002E-2</v>
      </c>
      <c r="P551" s="751">
        <f>$G$21*$F$8*'Traffic Data'!AR51*annualizationFactor</f>
        <v>2.4260358640000004E-2</v>
      </c>
      <c r="Q551" s="751">
        <f>$G$21*$F$8*'Traffic Data'!AS51*annualizationFactor</f>
        <v>2.6865850549999997E-2</v>
      </c>
      <c r="R551" s="751">
        <f>$G$21*$F$8*'Traffic Data'!AT51*annualizationFactor</f>
        <v>2.9472558640000007E-2</v>
      </c>
      <c r="S551" s="751">
        <f>$G$21*$F$8*'Traffic Data'!AU51*annualizationFactor</f>
        <v>3.2077920245000009E-2</v>
      </c>
      <c r="T551" s="751">
        <f>$G$21*$F$8*'Traffic Data'!AV51*annualizationFactor</f>
        <v>3.4683412155000003E-2</v>
      </c>
      <c r="U551" s="751">
        <f>$G$21*$F$8*'Traffic Data'!AW51*annualizationFactor</f>
        <v>3.7291292990000002E-2</v>
      </c>
      <c r="V551" s="751">
        <f>$G$21*$F$8*'Traffic Data'!AX51*annualizationFactor</f>
        <v>3.9011232120000003E-2</v>
      </c>
      <c r="W551" s="751">
        <f>$G$21*$F$8*'Traffic Data'!AY51*annualizationFactor</f>
        <v>4.000094203E-2</v>
      </c>
      <c r="X551" s="751">
        <f>$G$21*$F$8*'Traffic Data'!AZ51*annualizationFactor</f>
        <v>4.0990651939999997E-2</v>
      </c>
      <c r="Y551" s="751">
        <f>$G$21*$F$8*'Traffic Data'!BA51*annualizationFactor</f>
        <v>4.1980361849999995E-2</v>
      </c>
      <c r="Z551" s="751">
        <f>$G$21*$F$8*'Traffic Data'!BB51*annualizationFactor</f>
        <v>4.2971201069999992E-2</v>
      </c>
      <c r="AA551" s="751">
        <f>$G$21*$F$8*'Traffic Data'!BC51*annualizationFactor</f>
        <v>4.3960910979999997E-2</v>
      </c>
      <c r="AB551" s="751">
        <f>$G$21*$F$8*'Traffic Data'!BD51*annualizationFactor</f>
        <v>4.4951750199999994E-2</v>
      </c>
      <c r="AC551" s="751">
        <f>$G$21*$F$8*'Traffic Data'!BE51*annualizationFactor</f>
        <v>4.5941460109999999E-2</v>
      </c>
      <c r="AD551" s="751">
        <f>$G$21*$F$8*'Traffic Data'!BF51*annualizationFactor</f>
        <v>4.693117002000001E-2</v>
      </c>
      <c r="AE551" s="751">
        <f>$G$21*$F$8*'Traffic Data'!BG51*annualizationFactor</f>
        <v>4.7922009240000001E-2</v>
      </c>
      <c r="AF551" s="751">
        <f>$G$21*$F$8*'Traffic Data'!BH51*annualizationFactor</f>
        <v>4.8911719149999998E-2</v>
      </c>
      <c r="AG551" s="751">
        <f>$G$21*$F$8*'Traffic Data'!BI51*annualizationFactor</f>
        <v>4.9901429060000002E-2</v>
      </c>
      <c r="AH551" s="752">
        <f>$G$21*$F$8*'Traffic Data'!BJ51*annualizationFactor</f>
        <v>5.089226828E-2</v>
      </c>
      <c r="AI551" s="24"/>
      <c r="AJ551" s="24"/>
      <c r="AK551" s="24"/>
      <c r="AL551" s="24"/>
      <c r="AM551" s="24"/>
    </row>
    <row r="552" spans="2:39" ht="21.9" customHeight="1" x14ac:dyDescent="0.25">
      <c r="B552" s="1332"/>
      <c r="C552" s="250" t="s">
        <v>308</v>
      </c>
      <c r="D552" s="250" t="s">
        <v>319</v>
      </c>
      <c r="E552" s="114" t="s">
        <v>19</v>
      </c>
      <c r="F552" s="114" t="s">
        <v>41</v>
      </c>
      <c r="G552" s="941"/>
      <c r="H552" s="941"/>
      <c r="I552" s="751">
        <f>$G$21*$F$8*'Traffic Data'!AK52*annualizationFactor</f>
        <v>0.13968696000000003</v>
      </c>
      <c r="J552" s="751">
        <f>$G$21*$F$8*'Traffic Data'!AL52*annualizationFactor</f>
        <v>0.1435986605032</v>
      </c>
      <c r="K552" s="751">
        <f>$G$21*$F$8*'Traffic Data'!AM52*annualizationFactor</f>
        <v>0.14917310145360002</v>
      </c>
      <c r="L552" s="751">
        <f>$G$21*$F$8*'Traffic Data'!AN52*annualizationFactor</f>
        <v>0.15699696808320002</v>
      </c>
      <c r="M552" s="751">
        <f>$G$21*$F$8*'Traffic Data'!AO52*annualizationFactor</f>
        <v>0.16482409407519999</v>
      </c>
      <c r="N552" s="751">
        <f>$G$21*$F$8*'Traffic Data'!AP52*annualizationFactor</f>
        <v>0.17265052163240008</v>
      </c>
      <c r="O552" s="751">
        <f>$G$21*$F$8*'Traffic Data'!AQ52*annualizationFactor</f>
        <v>0.18047438826200007</v>
      </c>
      <c r="P552" s="751">
        <f>$G$21*$F$8*'Traffic Data'!AR52*annualizationFactor</f>
        <v>0.18830454080480005</v>
      </c>
      <c r="Q552" s="751">
        <f>$G$21*$F$8*'Traffic Data'!AS52*annualizationFactor</f>
        <v>0.19620896024800002</v>
      </c>
      <c r="R552" s="751">
        <f>$G$21*$F$8*'Traffic Data'!AT52*annualizationFactor</f>
        <v>0.20411570780720004</v>
      </c>
      <c r="S552" s="751">
        <f>$G$21*$F$8*'Traffic Data'!AU52*annualizationFactor</f>
        <v>0.21201942881559999</v>
      </c>
      <c r="T552" s="751">
        <f>$G$21*$F$8*'Traffic Data'!AV52*annualizationFactor</f>
        <v>0.21992384825880004</v>
      </c>
      <c r="U552" s="751">
        <f>$G$21*$F$8*'Traffic Data'!AW52*annualizationFactor</f>
        <v>0.22783455361520005</v>
      </c>
      <c r="V552" s="751">
        <f>$G$21*$F$8*'Traffic Data'!AX52*annualizationFactor</f>
        <v>0.23348582239360005</v>
      </c>
      <c r="W552" s="751">
        <f>$G$21*$F$8*'Traffic Data'!AY52*annualizationFactor</f>
        <v>0.2373975228968</v>
      </c>
      <c r="X552" s="751">
        <f>$G$21*$F$8*'Traffic Data'!AZ52*annualizationFactor</f>
        <v>0.24130922340000002</v>
      </c>
      <c r="Y552" s="751">
        <f>$G$21*$F$8*'Traffic Data'!BA52*annualizationFactor</f>
        <v>0.24522092390319999</v>
      </c>
      <c r="Z552" s="751">
        <f>$G$21*$F$8*'Traffic Data'!BB52*annualizationFactor</f>
        <v>0.24913448689920004</v>
      </c>
      <c r="AA552" s="751">
        <f>$G$21*$F$8*'Traffic Data'!BC52*annualizationFactor</f>
        <v>0.25304618740240004</v>
      </c>
      <c r="AB552" s="751">
        <f>$G$21*$F$8*'Traffic Data'!BD52*annualizationFactor</f>
        <v>0.25695975039840008</v>
      </c>
      <c r="AC552" s="751">
        <f>$G$21*$F$8*'Traffic Data'!BE52*annualizationFactor</f>
        <v>0.26087145090160008</v>
      </c>
      <c r="AD552" s="751">
        <f>$G$21*$F$8*'Traffic Data'!BF52*annualizationFactor</f>
        <v>0.26478315140480002</v>
      </c>
      <c r="AE552" s="751">
        <f>$G$21*$F$8*'Traffic Data'!BG52*annualizationFactor</f>
        <v>0.26869671440080001</v>
      </c>
      <c r="AF552" s="751">
        <f>$G$21*$F$8*'Traffic Data'!BH52*annualizationFactor</f>
        <v>0.27260841490399995</v>
      </c>
      <c r="AG552" s="751">
        <f>$G$21*$F$8*'Traffic Data'!BI52*annualizationFactor</f>
        <v>0.27652011540720001</v>
      </c>
      <c r="AH552" s="752">
        <f>$G$21*$F$8*'Traffic Data'!BJ52*annualizationFactor</f>
        <v>0.28043367840319999</v>
      </c>
      <c r="AI552" s="24"/>
      <c r="AJ552" s="24"/>
      <c r="AK552" s="24"/>
      <c r="AL552" s="24"/>
      <c r="AM552" s="24"/>
    </row>
    <row r="553" spans="2:39" ht="21.9" customHeight="1" x14ac:dyDescent="0.25">
      <c r="B553" s="469" t="s">
        <v>320</v>
      </c>
      <c r="C553" s="114" t="s">
        <v>318</v>
      </c>
      <c r="D553" s="114" t="s">
        <v>308</v>
      </c>
      <c r="E553" s="273" t="s">
        <v>19</v>
      </c>
      <c r="F553" s="273" t="s">
        <v>41</v>
      </c>
      <c r="G553" s="754"/>
      <c r="H553" s="754"/>
      <c r="I553" s="749">
        <f>$G$21*$G$8*'Traffic Data'!AK53*annualizationFactor</f>
        <v>4.0828899999999999E-4</v>
      </c>
      <c r="J553" s="749">
        <f>$G$21*$G$8*'Traffic Data'!AL53*annualizationFactor</f>
        <v>1.6958283615E-3</v>
      </c>
      <c r="K553" s="749">
        <f>$G$21*$G$8*'Traffic Data'!AM53*annualizationFactor</f>
        <v>1.5128944750499999E-2</v>
      </c>
      <c r="L553" s="749">
        <f>$G$21*$G$8*'Traffic Data'!AN53*annualizationFactor</f>
        <v>3.5783672827000006E-2</v>
      </c>
      <c r="M553" s="749">
        <f>$G$21*$G$8*'Traffic Data'!AO53*annualizationFactor</f>
        <v>5.6453099307500011E-2</v>
      </c>
      <c r="N553" s="749">
        <f>$G$21*$G$8*'Traffic Data'!AP53*annualizationFactor</f>
        <v>7.7114360007999996E-2</v>
      </c>
      <c r="O553" s="749">
        <f>$G$21*$G$8*'Traffic Data'!AQ53*annualizationFactor</f>
        <v>9.7769088084500008E-2</v>
      </c>
      <c r="P553" s="749">
        <f>$G$21*$G$8*'Traffic Data'!AR53*annualizationFactor</f>
        <v>0.11845219224650004</v>
      </c>
      <c r="Q553" s="749">
        <f>$G$21*$G$8*'Traffic Data'!AS53*annualizationFactor</f>
        <v>0.126970529798</v>
      </c>
      <c r="R553" s="749">
        <f>$G$21*$G$8*'Traffic Data'!AT53*annualizationFactor</f>
        <v>0.13549539997350002</v>
      </c>
      <c r="S553" s="749">
        <f>$G$21*$G$8*'Traffic Data'!AU53*annualizationFactor</f>
        <v>0.14401822870400002</v>
      </c>
      <c r="T553" s="749">
        <f>$G$21*$G$8*'Traffic Data'!AV53*annualizationFactor</f>
        <v>0.15253656625550002</v>
      </c>
      <c r="U553" s="749">
        <f>$G$21*$G$8*'Traffic Data'!AW53*annualizationFactor</f>
        <v>0.16107511411250003</v>
      </c>
      <c r="V553" s="749">
        <f>$G$21*$G$8*'Traffic Data'!AX53*annualizationFactor</f>
        <v>0.16236265347400003</v>
      </c>
      <c r="W553" s="749">
        <f>$G$21*$G$8*'Traffic Data'!AY53*annualizationFactor</f>
        <v>0.16365019283550003</v>
      </c>
      <c r="X553" s="749">
        <f>$G$21*$G$8*'Traffic Data'!AZ53*annualizationFactor</f>
        <v>0.16493773219700003</v>
      </c>
      <c r="Y553" s="749">
        <f>$G$21*$G$8*'Traffic Data'!BA53*annualizationFactor</f>
        <v>0.16622527155850003</v>
      </c>
      <c r="Z553" s="749">
        <f>$G$21*$G$8*'Traffic Data'!BB53*annualizationFactor</f>
        <v>0.16752199742250004</v>
      </c>
      <c r="AA553" s="749">
        <f>$G$21*$G$8*'Traffic Data'!BC53*annualizationFactor</f>
        <v>0.16880953678400004</v>
      </c>
      <c r="AB553" s="749">
        <f>$G$21*$G$8*'Traffic Data'!BD53*annualizationFactor</f>
        <v>0.17010115903550002</v>
      </c>
      <c r="AC553" s="749">
        <f>$G$21*$G$8*'Traffic Data'!BE53*annualizationFactor</f>
        <v>0.17138869839700002</v>
      </c>
      <c r="AD553" s="749">
        <f>$G$21*$G$8*'Traffic Data'!BF53*annualizationFactor</f>
        <v>0.17267623775850005</v>
      </c>
      <c r="AE553" s="749">
        <f>$G$21*$G$8*'Traffic Data'!BG53*annualizationFactor</f>
        <v>0.17397296362250006</v>
      </c>
      <c r="AF553" s="749">
        <f>$G$21*$G$8*'Traffic Data'!BH53*annualizationFactor</f>
        <v>0.17526050298400003</v>
      </c>
      <c r="AG553" s="749">
        <f>$G$21*$G$8*'Traffic Data'!BI53*annualizationFactor</f>
        <v>0.17654804234550003</v>
      </c>
      <c r="AH553" s="750">
        <f>$G$21*$G$8*'Traffic Data'!BJ53*annualizationFactor</f>
        <v>0.17783966459700001</v>
      </c>
      <c r="AI553" s="24"/>
      <c r="AJ553" s="24"/>
      <c r="AK553" s="24"/>
      <c r="AL553" s="24"/>
      <c r="AM553" s="24"/>
    </row>
    <row r="554" spans="2:39" ht="21.9" customHeight="1" x14ac:dyDescent="0.25">
      <c r="B554" s="1332" t="s">
        <v>308</v>
      </c>
      <c r="C554" s="217" t="s">
        <v>276</v>
      </c>
      <c r="D554" s="217" t="s">
        <v>320</v>
      </c>
      <c r="E554" s="114" t="s">
        <v>19</v>
      </c>
      <c r="F554" s="114" t="s">
        <v>41</v>
      </c>
      <c r="G554" s="941"/>
      <c r="H554" s="941"/>
      <c r="I554" s="749">
        <f>$G$21*$H$8*'Traffic Data'!AK54*annualizationFactor</f>
        <v>1.172745E-3</v>
      </c>
      <c r="J554" s="749">
        <f>$G$21*$H$8*'Traffic Data'!AL54*annualizationFactor</f>
        <v>2.6064257625000001E-3</v>
      </c>
      <c r="K554" s="749">
        <f>$G$21*$H$8*'Traffic Data'!AM54*annualizationFactor</f>
        <v>1.1016180157500001E-2</v>
      </c>
      <c r="L554" s="749">
        <f>$G$21*$H$8*'Traffic Data'!AN54*annualizationFactor</f>
        <v>2.4763683420000002E-2</v>
      </c>
      <c r="M554" s="749">
        <f>$G$21*$H$8*'Traffic Data'!AO54*annualizationFactor</f>
        <v>3.851880952500001E-2</v>
      </c>
      <c r="N554" s="749">
        <f>$G$21*$H$8*'Traffic Data'!AP54*annualizationFactor</f>
        <v>5.227452200249999E-2</v>
      </c>
      <c r="O554" s="749">
        <f>$G$21*$H$8*'Traffic Data'!AQ54*annualizationFactor</f>
        <v>6.6022025265000006E-2</v>
      </c>
      <c r="P554" s="749">
        <f>$G$21*$H$8*'Traffic Data'!AR54*annualizationFactor</f>
        <v>7.978536058500002E-2</v>
      </c>
      <c r="Q554" s="749">
        <f>$G$21*$H$8*'Traffic Data'!AS54*annualizationFactor</f>
        <v>9.0398702835000025E-2</v>
      </c>
      <c r="R554" s="749">
        <f>$G$21*$H$8*'Traffic Data'!AT54*annualizationFactor</f>
        <v>0.10101380420250002</v>
      </c>
      <c r="S554" s="749">
        <f>$G$21*$H$8*'Traffic Data'!AU54*annualizationFactor</f>
        <v>0.11162714645250001</v>
      </c>
      <c r="T554" s="749">
        <f>$G$21*$H$8*'Traffic Data'!AV54*annualizationFactor</f>
        <v>0.12224048870250001</v>
      </c>
      <c r="U554" s="749">
        <f>$G$21*$H$8*'Traffic Data'!AW54*annualizationFactor</f>
        <v>0.1328679038925</v>
      </c>
      <c r="V554" s="749">
        <f>$G$21*$H$8*'Traffic Data'!AX54*annualizationFactor</f>
        <v>0.13813528806</v>
      </c>
      <c r="W554" s="749">
        <f>$G$21*$H$8*'Traffic Data'!AY54*annualizationFactor</f>
        <v>0.13956896882250003</v>
      </c>
      <c r="X554" s="749">
        <f>$G$21*$H$8*'Traffic Data'!AZ54*annualizationFactor</f>
        <v>0.141002649585</v>
      </c>
      <c r="Y554" s="749">
        <f>$G$21*$H$8*'Traffic Data'!BA54*annualizationFactor</f>
        <v>0.14243633034750003</v>
      </c>
      <c r="Z554" s="749">
        <f>$G$21*$H$8*'Traffic Data'!BB54*annualizationFactor</f>
        <v>0.14387411571750003</v>
      </c>
      <c r="AA554" s="749">
        <f>$G$21*$H$8*'Traffic Data'!BC54*annualizationFactor</f>
        <v>0.14530779648</v>
      </c>
      <c r="AB554" s="749">
        <f>$G$21*$H$8*'Traffic Data'!BD54*annualizationFactor</f>
        <v>0.14674558184999997</v>
      </c>
      <c r="AC554" s="749">
        <f>$G$21*$H$8*'Traffic Data'!BE54*annualizationFactor</f>
        <v>0.1481792626125</v>
      </c>
      <c r="AD554" s="749">
        <f>$G$21*$H$8*'Traffic Data'!BF54*annualizationFactor</f>
        <v>0.149612943375</v>
      </c>
      <c r="AE554" s="749">
        <f>$G$21*$H$8*'Traffic Data'!BG54*annualizationFactor</f>
        <v>0.151050728745</v>
      </c>
      <c r="AF554" s="749">
        <f>$G$21*$H$8*'Traffic Data'!BH54*annualizationFactor</f>
        <v>0.15248440950750003</v>
      </c>
      <c r="AG554" s="749">
        <f>$G$21*$H$8*'Traffic Data'!BI54*annualizationFactor</f>
        <v>0.15391809027</v>
      </c>
      <c r="AH554" s="750">
        <f>$G$21*$H$8*'Traffic Data'!BJ54*annualizationFactor</f>
        <v>0.15535587564</v>
      </c>
      <c r="AI554" s="24"/>
      <c r="AJ554" s="24"/>
      <c r="AK554" s="24"/>
      <c r="AL554" s="24"/>
      <c r="AM554" s="24"/>
    </row>
    <row r="555" spans="2:39" ht="21.9" customHeight="1" x14ac:dyDescent="0.25">
      <c r="B555" s="1332"/>
      <c r="C555" s="114" t="s">
        <v>320</v>
      </c>
      <c r="D555" s="114" t="s">
        <v>282</v>
      </c>
      <c r="E555" s="114" t="s">
        <v>19</v>
      </c>
      <c r="F555" s="114" t="s">
        <v>41</v>
      </c>
      <c r="G555" s="941"/>
      <c r="H555" s="941"/>
      <c r="I555" s="751">
        <f>$G$21*$H$8*'Traffic Data'!AK55*annualizationFactor</f>
        <v>0</v>
      </c>
      <c r="J555" s="751">
        <f>$G$21*$H$8*'Traffic Data'!AL55*annualizationFactor</f>
        <v>7.9051700000000024E-4</v>
      </c>
      <c r="K555" s="751">
        <f>$G$21*$H$8*'Traffic Data'!AM55*annualizationFactor</f>
        <v>2.2848373660000003E-3</v>
      </c>
      <c r="L555" s="751">
        <f>$G$21*$H$8*'Traffic Data'!AN55*annualizationFactor</f>
        <v>5.1361713760000004E-3</v>
      </c>
      <c r="M555" s="751">
        <f>$G$21*$H$8*'Traffic Data'!AO55*annualizationFactor</f>
        <v>7.9890864200000029E-3</v>
      </c>
      <c r="N555" s="751">
        <f>$G$21*$H$8*'Traffic Data'!AP55*annualizationFactor</f>
        <v>1.0842123081999997E-2</v>
      </c>
      <c r="O555" s="751">
        <f>$G$21*$H$8*'Traffic Data'!AQ55*annualizationFactor</f>
        <v>1.3693457092000002E-2</v>
      </c>
      <c r="P555" s="751">
        <f>$G$21*$H$8*'Traffic Data'!AR55*annualizationFactor</f>
        <v>1.6548074788000005E-2</v>
      </c>
      <c r="Q555" s="751">
        <f>$G$21*$H$8*'Traffic Data'!AS55*annualizationFactor</f>
        <v>1.8749360588000006E-2</v>
      </c>
      <c r="R555" s="751">
        <f>$G$21*$H$8*'Traffic Data'!AT55*annualizationFactor</f>
        <v>2.0951011242000005E-2</v>
      </c>
      <c r="S555" s="751">
        <f>$G$21*$H$8*'Traffic Data'!AU55*annualizationFactor</f>
        <v>2.3152297042000003E-2</v>
      </c>
      <c r="T555" s="751">
        <f>$G$21*$H$8*'Traffic Data'!AV55*annualizationFactor</f>
        <v>2.5353582842E-2</v>
      </c>
      <c r="U555" s="751">
        <f>$G$21*$H$8*'Traffic Data'!AW55*annualizationFactor</f>
        <v>2.7557787474000003E-2</v>
      </c>
      <c r="V555" s="751">
        <f>$G$21*$H$8*'Traffic Data'!AX55*annualizationFactor</f>
        <v>2.8650281968000006E-2</v>
      </c>
      <c r="W555" s="751">
        <f>$G$21*$H$8*'Traffic Data'!AY55*annualizationFactor</f>
        <v>2.8947637978000006E-2</v>
      </c>
      <c r="X555" s="751">
        <f>$G$21*$H$8*'Traffic Data'!AZ55*annualizationFactor</f>
        <v>2.9244993988000005E-2</v>
      </c>
      <c r="Y555" s="751">
        <f>$G$21*$H$8*'Traffic Data'!BA55*annualizationFactor</f>
        <v>2.9542349998000011E-2</v>
      </c>
      <c r="Z555" s="751">
        <f>$G$21*$H$8*'Traffic Data'!BB55*annualizationFactor</f>
        <v>2.9840557334000012E-2</v>
      </c>
      <c r="AA555" s="751">
        <f>$G$21*$H$8*'Traffic Data'!BC55*annualizationFactor</f>
        <v>3.0137913344000004E-2</v>
      </c>
      <c r="AB555" s="751">
        <f>$G$21*$H$8*'Traffic Data'!BD55*annualizationFactor</f>
        <v>3.0436120679999994E-2</v>
      </c>
      <c r="AC555" s="751">
        <f>$G$21*$H$8*'Traffic Data'!BE55*annualizationFactor</f>
        <v>3.0733476690000001E-2</v>
      </c>
      <c r="AD555" s="751">
        <f>$G$21*$H$8*'Traffic Data'!BF55*annualizationFactor</f>
        <v>3.10308327E-2</v>
      </c>
      <c r="AE555" s="751">
        <f>$G$21*$H$8*'Traffic Data'!BG55*annualizationFactor</f>
        <v>3.1329040035999997E-2</v>
      </c>
      <c r="AF555" s="751">
        <f>$G$21*$H$8*'Traffic Data'!BH55*annualizationFactor</f>
        <v>3.1626396045999997E-2</v>
      </c>
      <c r="AG555" s="751">
        <f>$G$21*$H$8*'Traffic Data'!BI55*annualizationFactor</f>
        <v>3.1923752055999996E-2</v>
      </c>
      <c r="AH555" s="752">
        <f>$G$21*$H$8*'Traffic Data'!BJ55*annualizationFactor</f>
        <v>3.2221959391999996E-2</v>
      </c>
      <c r="AI555" s="24"/>
      <c r="AJ555" s="24"/>
      <c r="AK555" s="24"/>
      <c r="AL555" s="24"/>
      <c r="AM555" s="24"/>
    </row>
    <row r="556" spans="2:39" ht="21.9" customHeight="1" x14ac:dyDescent="0.25">
      <c r="B556" s="1332"/>
      <c r="C556" s="114" t="s">
        <v>282</v>
      </c>
      <c r="D556" s="114" t="s">
        <v>321</v>
      </c>
      <c r="E556" s="114" t="s">
        <v>19</v>
      </c>
      <c r="F556" s="114" t="s">
        <v>41</v>
      </c>
      <c r="G556" s="941"/>
      <c r="H556" s="941"/>
      <c r="I556" s="751">
        <f>$G$21*$H$8*'Traffic Data'!AK56*annualizationFactor</f>
        <v>0</v>
      </c>
      <c r="J556" s="751">
        <f>$G$21*$H$8*'Traffic Data'!AL56*annualizationFactor</f>
        <v>2.06099075E-3</v>
      </c>
      <c r="K556" s="751">
        <f>$G$21*$H$8*'Traffic Data'!AM56*annualizationFactor</f>
        <v>5.9568974185000003E-3</v>
      </c>
      <c r="L556" s="751">
        <f>$G$21*$H$8*'Traffic Data'!AN56*annualizationFactor</f>
        <v>1.3390732516E-2</v>
      </c>
      <c r="M556" s="751">
        <f>$G$21*$H$8*'Traffic Data'!AO56*annualizationFactor</f>
        <v>2.0828689595000005E-2</v>
      </c>
      <c r="N556" s="751">
        <f>$G$21*$H$8*'Traffic Data'!AP56*annualizationFactor</f>
        <v>2.8266963749499996E-2</v>
      </c>
      <c r="O556" s="751">
        <f>$G$21*$H$8*'Traffic Data'!AQ56*annualizationFactor</f>
        <v>3.5700798846999997E-2</v>
      </c>
      <c r="P556" s="751">
        <f>$G$21*$H$8*'Traffic Data'!AR56*annualizationFactor</f>
        <v>4.3143194983000004E-2</v>
      </c>
      <c r="Q556" s="751">
        <f>$G$21*$H$8*'Traffic Data'!AS56*annualizationFactor</f>
        <v>4.8882261533000008E-2</v>
      </c>
      <c r="R556" s="751">
        <f>$G$21*$H$8*'Traffic Data'!AT56*annualizationFactor</f>
        <v>5.4622279309500012E-2</v>
      </c>
      <c r="S556" s="751">
        <f>$G$21*$H$8*'Traffic Data'!AU56*annualizationFactor</f>
        <v>6.0361345859499989E-2</v>
      </c>
      <c r="T556" s="751">
        <f>$G$21*$H$8*'Traffic Data'!AV56*annualizationFactor</f>
        <v>6.6100412409499987E-2</v>
      </c>
      <c r="U556" s="751">
        <f>$G$21*$H$8*'Traffic Data'!AW56*annualizationFactor</f>
        <v>7.1847088771500006E-2</v>
      </c>
      <c r="V556" s="751">
        <f>$G$21*$H$8*'Traffic Data'!AX56*annualizationFactor</f>
        <v>7.4695377987999995E-2</v>
      </c>
      <c r="W556" s="751">
        <f>$G$21*$H$8*'Traffic Data'!AY56*annualizationFactor</f>
        <v>7.5470627585499994E-2</v>
      </c>
      <c r="X556" s="751">
        <f>$G$21*$H$8*'Traffic Data'!AZ56*annualizationFactor</f>
        <v>7.6245877182999994E-2</v>
      </c>
      <c r="Y556" s="751">
        <f>$G$21*$H$8*'Traffic Data'!BA56*annualizationFactor</f>
        <v>7.7021126780500007E-2</v>
      </c>
      <c r="Z556" s="751">
        <f>$G$21*$H$8*'Traffic Data'!BB56*annualizationFactor</f>
        <v>7.7798595906500012E-2</v>
      </c>
      <c r="AA556" s="751">
        <f>$G$21*$H$8*'Traffic Data'!BC56*annualizationFactor</f>
        <v>7.8573845504000012E-2</v>
      </c>
      <c r="AB556" s="751">
        <f>$G$21*$H$8*'Traffic Data'!BD56*annualizationFactor</f>
        <v>7.9351314629999989E-2</v>
      </c>
      <c r="AC556" s="751">
        <f>$G$21*$H$8*'Traffic Data'!BE56*annualizationFactor</f>
        <v>8.0126564227499988E-2</v>
      </c>
      <c r="AD556" s="751">
        <f>$G$21*$H$8*'Traffic Data'!BF56*annualizationFactor</f>
        <v>8.0901813824999988E-2</v>
      </c>
      <c r="AE556" s="751">
        <f>$G$21*$H$8*'Traffic Data'!BG56*annualizationFactor</f>
        <v>8.1679282950999993E-2</v>
      </c>
      <c r="AF556" s="751">
        <f>$G$21*$H$8*'Traffic Data'!BH56*annualizationFactor</f>
        <v>8.2454532548499992E-2</v>
      </c>
      <c r="AG556" s="751">
        <f>$G$21*$H$8*'Traffic Data'!BI56*annualizationFactor</f>
        <v>8.3229782145999992E-2</v>
      </c>
      <c r="AH556" s="752">
        <f>$G$21*$H$8*'Traffic Data'!BJ56*annualizationFactor</f>
        <v>8.4007251271999983E-2</v>
      </c>
      <c r="AI556" s="24"/>
      <c r="AJ556" s="24"/>
      <c r="AK556" s="24"/>
      <c r="AL556" s="24"/>
      <c r="AM556" s="24"/>
    </row>
    <row r="557" spans="2:39" ht="21.9" customHeight="1" x14ac:dyDescent="0.25">
      <c r="B557" s="1332"/>
      <c r="C557" s="250" t="s">
        <v>321</v>
      </c>
      <c r="D557" s="250" t="s">
        <v>274</v>
      </c>
      <c r="E557" s="114" t="s">
        <v>19</v>
      </c>
      <c r="F557" s="114" t="s">
        <v>41</v>
      </c>
      <c r="G557" s="941"/>
      <c r="H557" s="941"/>
      <c r="I557" s="751">
        <f>$G$21*$H$8*'Traffic Data'!AK57*annualizationFactor</f>
        <v>2.7364050000000003E-3</v>
      </c>
      <c r="J557" s="751">
        <f>$G$21*$H$8*'Traffic Data'!AL57*annualizationFactor</f>
        <v>4.0441329495000001E-3</v>
      </c>
      <c r="K557" s="751">
        <f>$G$21*$H$8*'Traffic Data'!AM57*annualizationFactor</f>
        <v>5.673297273000001E-3</v>
      </c>
      <c r="L557" s="751">
        <f>$G$21*$H$8*'Traffic Data'!AN57*annualizationFactor</f>
        <v>9.1616663670000022E-3</v>
      </c>
      <c r="M557" s="751">
        <f>$G$21*$H$8*'Traffic Data'!AO57*annualizationFactor</f>
        <v>1.2650491528500002E-2</v>
      </c>
      <c r="N557" s="751">
        <f>$G$21*$H$8*'Traffic Data'!AP57*annualizationFactor</f>
        <v>1.6140776105999999E-2</v>
      </c>
      <c r="O557" s="751">
        <f>$G$21*$H$8*'Traffic Data'!AQ57*annualizationFactor</f>
        <v>1.96291452E-2</v>
      </c>
      <c r="P557" s="751">
        <f>$G$21*$H$8*'Traffic Data'!AR57*annualizationFactor</f>
        <v>2.3115690024000005E-2</v>
      </c>
      <c r="Q557" s="751">
        <f>$G$21*$H$8*'Traffic Data'!AS57*annualizationFactor</f>
        <v>3.0116508576000001E-2</v>
      </c>
      <c r="R557" s="751">
        <f>$G$21*$H$8*'Traffic Data'!AT57*annualizationFactor</f>
        <v>3.7113313734000002E-2</v>
      </c>
      <c r="S557" s="751">
        <f>$G$21*$H$8*'Traffic Data'!AU57*annualizationFactor</f>
        <v>4.4111669521500009E-2</v>
      </c>
      <c r="T557" s="751">
        <f>$G$21*$H$8*'Traffic Data'!AV57*annualizationFactor</f>
        <v>5.1112488073500002E-2</v>
      </c>
      <c r="U557" s="751">
        <f>$G$21*$H$8*'Traffic Data'!AW57*annualizationFactor</f>
        <v>5.8111482355500003E-2</v>
      </c>
      <c r="V557" s="751">
        <f>$G$21*$H$8*'Traffic Data'!AX57*annualizationFactor</f>
        <v>6.3252913709999997E-2</v>
      </c>
      <c r="W557" s="751">
        <f>$G$21*$H$8*'Traffic Data'!AY57*annualizationFactor</f>
        <v>6.4560641659500012E-2</v>
      </c>
      <c r="X557" s="751">
        <f>$G$21*$H$8*'Traffic Data'!AZ57*annualizationFactor</f>
        <v>6.5868369608999999E-2</v>
      </c>
      <c r="Y557" s="751">
        <f>$G$21*$H$8*'Traffic Data'!BA57*annualizationFactor</f>
        <v>6.71760975585E-2</v>
      </c>
      <c r="Z557" s="751">
        <f>$G$21*$H$8*'Traffic Data'!BB57*annualizationFactor</f>
        <v>6.8479903327499994E-2</v>
      </c>
      <c r="AA557" s="751">
        <f>$G$21*$H$8*'Traffic Data'!BC57*annualizationFactor</f>
        <v>6.9787631276999995E-2</v>
      </c>
      <c r="AB557" s="751">
        <f>$G$21*$H$8*'Traffic Data'!BD57*annualizationFactor</f>
        <v>7.1091437046000003E-2</v>
      </c>
      <c r="AC557" s="751">
        <f>$G$21*$H$8*'Traffic Data'!BE57*annualizationFactor</f>
        <v>7.2399164995500004E-2</v>
      </c>
      <c r="AD557" s="751">
        <f>$G$21*$H$8*'Traffic Data'!BF57*annualizationFactor</f>
        <v>7.3706892945000005E-2</v>
      </c>
      <c r="AE557" s="751">
        <f>$G$21*$H$8*'Traffic Data'!BG57*annualizationFactor</f>
        <v>7.5010698713999999E-2</v>
      </c>
      <c r="AF557" s="751">
        <f>$G$21*$H$8*'Traffic Data'!BH57*annualizationFactor</f>
        <v>7.63184266635E-2</v>
      </c>
      <c r="AG557" s="751">
        <f>$G$21*$H$8*'Traffic Data'!BI57*annualizationFactor</f>
        <v>7.7626154613000001E-2</v>
      </c>
      <c r="AH557" s="752">
        <f>$G$21*$H$8*'Traffic Data'!BJ57*annualizationFactor</f>
        <v>7.8929960381999995E-2</v>
      </c>
      <c r="AI557" s="24"/>
      <c r="AJ557" s="24"/>
      <c r="AK557" s="24"/>
      <c r="AL557" s="24"/>
      <c r="AM557" s="24"/>
    </row>
    <row r="558" spans="2:39" ht="21.9" customHeight="1" x14ac:dyDescent="0.25">
      <c r="B558" s="469" t="s">
        <v>282</v>
      </c>
      <c r="C558" s="114" t="s">
        <v>308</v>
      </c>
      <c r="D558" s="114" t="s">
        <v>324</v>
      </c>
      <c r="E558" s="114" t="s">
        <v>19</v>
      </c>
      <c r="F558" s="114" t="s">
        <v>41</v>
      </c>
      <c r="G558" s="941"/>
      <c r="H558" s="941"/>
      <c r="I558" s="749">
        <f>$G$21*$J$8*'Traffic Data'!AK58*annualizationFactor</f>
        <v>1.56366E-2</v>
      </c>
      <c r="J558" s="749">
        <f>$G$21*$J$8*'Traffic Data'!AL58*annualizationFactor</f>
        <v>1.6598077160000002E-2</v>
      </c>
      <c r="K558" s="749">
        <f>$G$21*$J$8*'Traffic Data'!AM58*annualizationFactor</f>
        <v>1.7870462050000001E-2</v>
      </c>
      <c r="L558" s="749">
        <f>$G$21*$J$8*'Traffic Data'!AN58*annualizationFactor</f>
        <v>1.9561386599999998E-2</v>
      </c>
      <c r="M558" s="749">
        <f>$G$21*$J$8*'Traffic Data'!AO58*annualizationFactor</f>
        <v>2.1252832369999999E-2</v>
      </c>
      <c r="N558" s="749">
        <f>$G$21*$J$8*'Traffic Data'!AP58*annualizationFactor</f>
        <v>2.2947926680000005E-2</v>
      </c>
      <c r="O558" s="749">
        <f>$G$21*$J$8*'Traffic Data'!AQ58*annualizationFactor</f>
        <v>2.4638851229999998E-2</v>
      </c>
      <c r="P558" s="749">
        <f>$G$21*$J$8*'Traffic Data'!AR58*annualizationFactor</f>
        <v>2.6331600050000001E-2</v>
      </c>
      <c r="Q558" s="749">
        <f>$G$21*$J$8*'Traffic Data'!AS58*annualizationFactor</f>
        <v>2.787510621E-2</v>
      </c>
      <c r="R558" s="749">
        <f>$G$21*$J$8*'Traffic Data'!AT58*annualizationFactor</f>
        <v>2.9417309320000001E-2</v>
      </c>
      <c r="S558" s="749">
        <f>$G$21*$J$8*'Traffic Data'!AU58*annualizationFactor</f>
        <v>3.096090235E-2</v>
      </c>
      <c r="T558" s="749">
        <f>$G$21*$J$8*'Traffic Data'!AV58*annualizationFactor</f>
        <v>3.2504408510000006E-2</v>
      </c>
      <c r="U558" s="749">
        <f>$G$21*$J$8*'Traffic Data'!AW58*annualizationFactor</f>
        <v>3.4053387480000002E-2</v>
      </c>
      <c r="V558" s="749">
        <f>$G$21*$J$8*'Traffic Data'!AX58*annualizationFactor</f>
        <v>3.5177137800000001E-2</v>
      </c>
      <c r="W558" s="749">
        <f>$G$21*$J$8*'Traffic Data'!AY58*annualizationFactor</f>
        <v>3.6138614960000003E-2</v>
      </c>
      <c r="X558" s="749">
        <f>$G$21*$J$8*'Traffic Data'!AZ58*annualizationFactor</f>
        <v>3.7100092119999997E-2</v>
      </c>
      <c r="Y558" s="749">
        <f>$G$21*$J$8*'Traffic Data'!BA58*annualizationFactor</f>
        <v>3.8061569279999999E-2</v>
      </c>
      <c r="Z558" s="749">
        <f>$G$21*$J$8*'Traffic Data'!BB58*annualizationFactor</f>
        <v>3.9024088880000002E-2</v>
      </c>
      <c r="AA558" s="749">
        <f>$G$21*$J$8*'Traffic Data'!BC58*annualizationFactor</f>
        <v>3.9985566039999997E-2</v>
      </c>
      <c r="AB558" s="749">
        <f>$G$21*$J$8*'Traffic Data'!BD58*annualizationFactor</f>
        <v>4.0949388690000005E-2</v>
      </c>
      <c r="AC558" s="749">
        <f>$G$21*$J$8*'Traffic Data'!BE58*annualizationFactor</f>
        <v>4.1910865849999999E-2</v>
      </c>
      <c r="AD558" s="749">
        <f>$G$21*$J$8*'Traffic Data'!BF58*annualizationFactor</f>
        <v>4.2872343010000001E-2</v>
      </c>
      <c r="AE558" s="749">
        <f>$G$21*$J$8*'Traffic Data'!BG58*annualizationFactor</f>
        <v>4.383486260999999E-2</v>
      </c>
      <c r="AF558" s="749">
        <f>$G$21*$J$8*'Traffic Data'!BH58*annualizationFactor</f>
        <v>4.4796339769999999E-2</v>
      </c>
      <c r="AG558" s="749">
        <f>$G$21*$J$8*'Traffic Data'!BI58*annualizationFactor</f>
        <v>4.575781693E-2</v>
      </c>
      <c r="AH558" s="750">
        <f>$G$21*$J$8*'Traffic Data'!BJ58*annualizationFactor</f>
        <v>4.6721639579999995E-2</v>
      </c>
      <c r="AI558" s="24"/>
      <c r="AJ558" s="24"/>
      <c r="AK558" s="24"/>
      <c r="AL558" s="24"/>
      <c r="AM558" s="24"/>
    </row>
    <row r="559" spans="2:39" ht="21.9" customHeight="1" x14ac:dyDescent="0.25">
      <c r="B559" s="756" t="s">
        <v>321</v>
      </c>
      <c r="C559" s="273" t="s">
        <v>318</v>
      </c>
      <c r="D559" s="273" t="s">
        <v>308</v>
      </c>
      <c r="E559" s="273" t="s">
        <v>19</v>
      </c>
      <c r="F559" s="273" t="s">
        <v>41</v>
      </c>
      <c r="G559" s="754"/>
      <c r="H559" s="754"/>
      <c r="I559" s="749">
        <f>$G$21*$K$8*'Traffic Data'!AK59*annualizationFactor</f>
        <v>0</v>
      </c>
      <c r="J559" s="749">
        <f>$G$21*$K$8*'Traffic Data'!AL59*annualizationFactor</f>
        <v>2.6224961912800004E-2</v>
      </c>
      <c r="K559" s="749">
        <f>$G$21*$K$8*'Traffic Data'!AM59*annualizationFactor</f>
        <v>2.8235330039000004E-2</v>
      </c>
      <c r="L559" s="749">
        <f>$G$21*$K$8*'Traffic Data'!AN59*annualizationFactor</f>
        <v>3.0906990827999997E-2</v>
      </c>
      <c r="M559" s="749">
        <f>$G$21*$K$8*'Traffic Data'!AO59*annualizationFactor</f>
        <v>3.3579475144600003E-2</v>
      </c>
      <c r="N559" s="749">
        <f>$G$21*$K$8*'Traffic Data'!AP59*annualizationFactor</f>
        <v>3.6257724154400005E-2</v>
      </c>
      <c r="O559" s="749">
        <f>$G$21*$K$8*'Traffic Data'!AQ59*annualizationFactor</f>
        <v>3.8929384943399994E-2</v>
      </c>
      <c r="P559" s="749">
        <f>$G$21*$K$8*'Traffic Data'!AR59*annualizationFactor</f>
        <v>4.1603928078999999E-2</v>
      </c>
      <c r="Q559" s="749">
        <f>$G$21*$K$8*'Traffic Data'!AS59*annualizationFactor</f>
        <v>4.4042667811800003E-2</v>
      </c>
      <c r="R559" s="749">
        <f>$G$21*$K$8*'Traffic Data'!AT59*annualizationFactor</f>
        <v>4.64793487256E-2</v>
      </c>
      <c r="S559" s="749">
        <f>$G$21*$K$8*'Traffic Data'!AU59*annualizationFactor</f>
        <v>4.8918225713000002E-2</v>
      </c>
      <c r="T559" s="749">
        <f>$G$21*$K$8*'Traffic Data'!AV59*annualizationFactor</f>
        <v>5.1356965445800005E-2</v>
      </c>
      <c r="U559" s="749">
        <f>$G$21*$K$8*'Traffic Data'!AW59*annualizationFactor</f>
        <v>5.3804352218399999E-2</v>
      </c>
      <c r="V559" s="749">
        <f>$G$21*$K$8*'Traffic Data'!AX59*annualizationFactor</f>
        <v>5.5579877724000012E-2</v>
      </c>
      <c r="W559" s="749">
        <f>$G$21*$K$8*'Traffic Data'!AY59*annualizationFactor</f>
        <v>5.7099011636800007E-2</v>
      </c>
      <c r="X559" s="749">
        <f>$G$21*$K$8*'Traffic Data'!AZ59*annualizationFactor</f>
        <v>5.8618145549599994E-2</v>
      </c>
      <c r="Y559" s="749">
        <f>$G$21*$K$8*'Traffic Data'!BA59*annualizationFactor</f>
        <v>6.0137279462400002E-2</v>
      </c>
      <c r="Z559" s="749">
        <f>$G$21*$K$8*'Traffic Data'!BB59*annualizationFactor</f>
        <v>6.1658060430400008E-2</v>
      </c>
      <c r="AA559" s="749">
        <f>$G$21*$K$8*'Traffic Data'!BC59*annualizationFactor</f>
        <v>6.3177194343199988E-2</v>
      </c>
      <c r="AB559" s="749">
        <f>$G$21*$K$8*'Traffic Data'!BD59*annualizationFactor</f>
        <v>6.4700034130200007E-2</v>
      </c>
      <c r="AC559" s="749">
        <f>$G$21*$K$8*'Traffic Data'!BE59*annualizationFactor</f>
        <v>6.6219168042999987E-2</v>
      </c>
      <c r="AD559" s="749">
        <f>$G$21*$K$8*'Traffic Data'!BF59*annualizationFactor</f>
        <v>6.7738301955799995E-2</v>
      </c>
      <c r="AE559" s="749">
        <f>$G$21*$K$8*'Traffic Data'!BG59*annualizationFactor</f>
        <v>6.9259082923799994E-2</v>
      </c>
      <c r="AF559" s="749">
        <f>$G$21*$K$8*'Traffic Data'!BH59*annualizationFactor</f>
        <v>7.0778216836600003E-2</v>
      </c>
      <c r="AG559" s="749">
        <f>$G$21*$K$8*'Traffic Data'!BI59*annualizationFactor</f>
        <v>7.2297350749399997E-2</v>
      </c>
      <c r="AH559" s="750">
        <f>$G$21*$K$8*'Traffic Data'!BJ59*annualizationFactor</f>
        <v>7.3820190536400002E-2</v>
      </c>
      <c r="AI559" s="24"/>
      <c r="AJ559" s="24"/>
      <c r="AK559" s="24"/>
      <c r="AL559" s="24"/>
      <c r="AM559" s="24"/>
    </row>
    <row r="560" spans="2:39" ht="21.9" customHeight="1" x14ac:dyDescent="0.25">
      <c r="B560" s="756" t="s">
        <v>333</v>
      </c>
      <c r="C560" s="273" t="s">
        <v>319</v>
      </c>
      <c r="D560" s="273" t="s">
        <v>308</v>
      </c>
      <c r="E560" s="114" t="s">
        <v>19</v>
      </c>
      <c r="F560" s="114" t="s">
        <v>41</v>
      </c>
      <c r="G560" s="941"/>
      <c r="H560" s="941"/>
      <c r="I560" s="749">
        <f>$G$21*$L$8*'Traffic Data'!AK60*annualizationFactor</f>
        <v>2.8998785454545456E-2</v>
      </c>
      <c r="J560" s="749">
        <f>$G$21*$L$8*'Traffic Data'!AL60*annualizationFactor</f>
        <v>2.9396954889272728E-2</v>
      </c>
      <c r="K560" s="749">
        <f>$G$21*$L$8*'Traffic Data'!AM60*annualizationFactor</f>
        <v>3.0085192730727274E-2</v>
      </c>
      <c r="L560" s="749">
        <f>$G$21*$L$8*'Traffic Data'!AN60*annualizationFactor</f>
        <v>3.1030069823454555E-2</v>
      </c>
      <c r="M560" s="749">
        <f>$G$21*$L$8*'Traffic Data'!AO60*annualizationFactor</f>
        <v>3.1975349677090911E-2</v>
      </c>
      <c r="N560" s="749">
        <f>$G$21*$L$8*'Traffic Data'!AP60*annualizationFactor</f>
        <v>3.2921998917818183E-2</v>
      </c>
      <c r="O560" s="749">
        <f>$G$21*$L$8*'Traffic Data'!AQ60*annualizationFactor</f>
        <v>3.3866876010545457E-2</v>
      </c>
      <c r="P560" s="749">
        <f>$G$21*$L$8*'Traffic Data'!AR60*annualizationFactor</f>
        <v>3.4815055742727273E-2</v>
      </c>
      <c r="Q560" s="749">
        <f>$G$21*$L$8*'Traffic Data'!AS60*annualizationFactor</f>
        <v>3.5472603202909091E-2</v>
      </c>
      <c r="R560" s="749">
        <f>$G$21*$L$8*'Traffic Data'!AT60*annualizationFactor</f>
        <v>3.6130231215272722E-2</v>
      </c>
      <c r="S560" s="749">
        <f>$G$21*$L$8*'Traffic Data'!AU60*annualizationFactor</f>
        <v>3.6787939779818181E-2</v>
      </c>
      <c r="T560" s="749">
        <f>$G$21*$L$8*'Traffic Data'!AV60*annualizationFactor</f>
        <v>3.7445487240000006E-2</v>
      </c>
      <c r="U560" s="749">
        <f>$G$21*$L$8*'Traffic Data'!AW60*annualizationFactor</f>
        <v>3.8107706726727274E-2</v>
      </c>
      <c r="V560" s="749">
        <f>$G$21*$L$8*'Traffic Data'!AX60*annualizationFactor</f>
        <v>3.8505876161454539E-2</v>
      </c>
      <c r="W560" s="749">
        <f>$G$21*$L$8*'Traffic Data'!AY60*annualizationFactor</f>
        <v>3.890404559618181E-2</v>
      </c>
      <c r="X560" s="749">
        <f>$G$21*$L$8*'Traffic Data'!AZ60*annualizationFactor</f>
        <v>3.9302215030909096E-2</v>
      </c>
      <c r="Y560" s="749">
        <f>$G$21*$L$8*'Traffic Data'!BA60*annualizationFactor</f>
        <v>3.9700384465636361E-2</v>
      </c>
      <c r="Z560" s="749">
        <f>$G$21*$L$8*'Traffic Data'!BB60*annualizationFactor</f>
        <v>4.0101292674545458E-2</v>
      </c>
      <c r="AA560" s="749">
        <f>$G$21*$L$8*'Traffic Data'!BC60*annualizationFactor</f>
        <v>4.049946210927273E-2</v>
      </c>
      <c r="AB560" s="749">
        <f>$G$21*$L$8*'Traffic Data'!BD60*annualizationFactor</f>
        <v>4.0899162035454552E-2</v>
      </c>
      <c r="AC560" s="749">
        <f>$G$21*$L$8*'Traffic Data'!BE60*annualizationFactor</f>
        <v>4.129733147018181E-2</v>
      </c>
      <c r="AD560" s="749">
        <f>$G$21*$L$8*'Traffic Data'!BF60*annualizationFactor</f>
        <v>4.1695500904909102E-2</v>
      </c>
      <c r="AE560" s="749">
        <f>$G$21*$L$8*'Traffic Data'!BG60*annualizationFactor</f>
        <v>4.2096409113818185E-2</v>
      </c>
      <c r="AF560" s="749">
        <f>$G$21*$L$8*'Traffic Data'!BH60*annualizationFactor</f>
        <v>4.2494578548545464E-2</v>
      </c>
      <c r="AG560" s="749">
        <f>$G$21*$L$8*'Traffic Data'!BI60*annualizationFactor</f>
        <v>4.2892747983272729E-2</v>
      </c>
      <c r="AH560" s="750">
        <f>$G$21*$L$8*'Traffic Data'!BJ60*annualizationFactor</f>
        <v>4.3292447909454551E-2</v>
      </c>
      <c r="AI560" s="24"/>
      <c r="AJ560" s="24"/>
      <c r="AK560" s="24"/>
      <c r="AL560" s="24"/>
      <c r="AM560" s="24"/>
    </row>
    <row r="561" spans="2:39" ht="21.9" customHeight="1" x14ac:dyDescent="0.25">
      <c r="B561" s="469" t="s">
        <v>319</v>
      </c>
      <c r="C561" s="114" t="s">
        <v>276</v>
      </c>
      <c r="D561" s="114" t="s">
        <v>333</v>
      </c>
      <c r="E561" s="217" t="s">
        <v>19</v>
      </c>
      <c r="F561" s="217" t="s">
        <v>41</v>
      </c>
      <c r="G561" s="749"/>
      <c r="H561" s="749"/>
      <c r="I561" s="749">
        <f>$G$21*$M$8*'Traffic Data'!AK61*annualizationFactor</f>
        <v>0.1041452840909091</v>
      </c>
      <c r="J561" s="749">
        <f>$G$21*$M$8*'Traffic Data'!AL61*annualizationFactor</f>
        <v>0.10714748019539776</v>
      </c>
      <c r="K561" s="749">
        <f>$G$21*$M$8*'Traffic Data'!AM61*annualizationFactor</f>
        <v>0.11039702134960229</v>
      </c>
      <c r="L561" s="749">
        <f>$G$21*$M$8*'Traffic Data'!AN61*annualizationFactor</f>
        <v>0.11470811538454546</v>
      </c>
      <c r="M561" s="749">
        <f>$G$21*$M$8*'Traffic Data'!AO61*annualizationFactor</f>
        <v>0.11901993843647728</v>
      </c>
      <c r="N561" s="749">
        <f>$G$21*$M$8*'Traffic Data'!AP61*annualizationFactor</f>
        <v>0.12333353195823862</v>
      </c>
      <c r="O561" s="749">
        <f>$G$21*$M$8*'Traffic Data'!AQ61*annualizationFactor</f>
        <v>0.12764462599318185</v>
      </c>
      <c r="P561" s="749">
        <f>$G$21*$M$8*'Traffic Data'!AR61*annualizationFactor</f>
        <v>0.13195686562625003</v>
      </c>
      <c r="Q561" s="749">
        <f>$G$21*$M$8*'Traffic Data'!AS61*annualizationFactor</f>
        <v>0.13670193306000003</v>
      </c>
      <c r="R561" s="749">
        <f>$G$21*$M$8*'Traffic Data'!AT61*annualizationFactor</f>
        <v>0.14144543831448864</v>
      </c>
      <c r="S561" s="749">
        <f>$G$21*$M$8*'Traffic Data'!AU61*annualizationFactor</f>
        <v>0.14619050574823866</v>
      </c>
      <c r="T561" s="749">
        <f>$G$21*$M$8*'Traffic Data'!AV61*annualizationFactor</f>
        <v>0.15093557318198864</v>
      </c>
      <c r="U561" s="749">
        <f>$G$21*$M$8*'Traffic Data'!AW61*annualizationFactor</f>
        <v>0.15568334839312503</v>
      </c>
      <c r="V561" s="749">
        <f>$G$21*$M$8*'Traffic Data'!AX61*annualizationFactor</f>
        <v>0.15936644636500003</v>
      </c>
      <c r="W561" s="749">
        <f>$G$21*$M$8*'Traffic Data'!AY61*annualizationFactor</f>
        <v>0.16236864246948865</v>
      </c>
      <c r="X561" s="749">
        <f>$G$21*$M$8*'Traffic Data'!AZ61*annualizationFactor</f>
        <v>0.16537083857397733</v>
      </c>
      <c r="Y561" s="749">
        <f>$G$21*$M$8*'Traffic Data'!BA61*annualizationFactor</f>
        <v>0.16837303467846595</v>
      </c>
      <c r="Z561" s="749">
        <f>$G$21*$M$8*'Traffic Data'!BB61*annualizationFactor</f>
        <v>0.17137491834710228</v>
      </c>
      <c r="AA561" s="749">
        <f>$G$21*$M$8*'Traffic Data'!BC61*annualizationFactor</f>
        <v>0.1743771144515909</v>
      </c>
      <c r="AB561" s="749">
        <f>$G$21*$M$8*'Traffic Data'!BD61*annualizationFactor</f>
        <v>0.17737899812022723</v>
      </c>
      <c r="AC561" s="749">
        <f>$G$21*$M$8*'Traffic Data'!BE61*annualizationFactor</f>
        <v>0.18038119422471596</v>
      </c>
      <c r="AD561" s="749">
        <f>$G$21*$M$8*'Traffic Data'!BF61*annualizationFactor</f>
        <v>0.18338339032920462</v>
      </c>
      <c r="AE561" s="749">
        <f>$G$21*$M$8*'Traffic Data'!BG61*annualizationFactor</f>
        <v>0.18638527399784094</v>
      </c>
      <c r="AF561" s="749">
        <f>$G$21*$M$8*'Traffic Data'!BH61*annualizationFactor</f>
        <v>0.18938747010232956</v>
      </c>
      <c r="AG561" s="749">
        <f>$G$21*$M$8*'Traffic Data'!BI61*annualizationFactor</f>
        <v>0.19238966620681819</v>
      </c>
      <c r="AH561" s="750">
        <f>$G$21*$M$8*'Traffic Data'!BJ61*annualizationFactor</f>
        <v>0.19539154987545462</v>
      </c>
      <c r="AI561" s="24"/>
      <c r="AJ561" s="24"/>
      <c r="AK561" s="24"/>
      <c r="AL561" s="24"/>
      <c r="AM561" s="24"/>
    </row>
    <row r="562" spans="2:39" ht="21.9" customHeight="1" x14ac:dyDescent="0.25">
      <c r="B562" s="469"/>
      <c r="C562" s="114" t="s">
        <v>333</v>
      </c>
      <c r="D562" s="114" t="s">
        <v>323</v>
      </c>
      <c r="E562" s="114" t="s">
        <v>19</v>
      </c>
      <c r="F562" s="114" t="s">
        <v>41</v>
      </c>
      <c r="G562" s="941"/>
      <c r="H562" s="941"/>
      <c r="I562" s="751">
        <f>$G$21*$M$8*'Traffic Data'!AK62*annualizationFactor</f>
        <v>1.5167370378787879E-2</v>
      </c>
      <c r="J562" s="751">
        <f>$G$21*$M$8*'Traffic Data'!AL62*annualizationFactor</f>
        <v>1.5597844298617426E-2</v>
      </c>
      <c r="K562" s="751">
        <f>$G$21*$M$8*'Traffic Data'!AM62*annualizationFactor</f>
        <v>1.6075556594350379E-2</v>
      </c>
      <c r="L562" s="751">
        <f>$G$21*$M$8*'Traffic Data'!AN62*annualizationFactor</f>
        <v>1.674607410749053E-2</v>
      </c>
      <c r="M562" s="751">
        <f>$G$21*$M$8*'Traffic Data'!AO62*annualizationFactor</f>
        <v>1.7416711363028411E-2</v>
      </c>
      <c r="N562" s="751">
        <f>$G$21*$M$8*'Traffic Data'!AP62*annualizationFactor</f>
        <v>1.8087488318030299E-2</v>
      </c>
      <c r="O562" s="751">
        <f>$G$21*$M$8*'Traffic Data'!AQ62*annualizationFactor</f>
        <v>1.8758005831170457E-2</v>
      </c>
      <c r="P562" s="751">
        <f>$G$21*$M$8*'Traffic Data'!AR62*annualizationFactor</f>
        <v>1.9428563258443183E-2</v>
      </c>
      <c r="Q562" s="751">
        <f>$G$21*$M$8*'Traffic Data'!AS62*annualizationFactor</f>
        <v>2.018224186680493E-2</v>
      </c>
      <c r="R562" s="751">
        <f>$G$21*$M$8*'Traffic Data'!AT62*annualizationFactor</f>
        <v>2.0935661033304926E-2</v>
      </c>
      <c r="S562" s="751">
        <f>$G$21*$M$8*'Traffic Data'!AU62*annualizationFactor</f>
        <v>2.1689339641666663E-2</v>
      </c>
      <c r="T562" s="751">
        <f>$G$21*$M$8*'Traffic Data'!AV62*annualizationFactor</f>
        <v>2.2443018250028406E-2</v>
      </c>
      <c r="U562" s="751">
        <f>$G$21*$M$8*'Traffic Data'!AW62*annualizationFactor</f>
        <v>2.319681660078788E-2</v>
      </c>
      <c r="V562" s="751">
        <f>$G$21*$M$8*'Traffic Data'!AX62*annualizationFactor</f>
        <v>2.3757769820007574E-2</v>
      </c>
      <c r="W562" s="751">
        <f>$G$21*$M$8*'Traffic Data'!AY62*annualizationFactor</f>
        <v>2.418824373983712E-2</v>
      </c>
      <c r="X562" s="751">
        <f>$G$21*$M$8*'Traffic Data'!AZ62*annualizationFactor</f>
        <v>2.4618717659666674E-2</v>
      </c>
      <c r="Y562" s="751">
        <f>$G$21*$M$8*'Traffic Data'!BA62*annualizationFactor</f>
        <v>2.5049191579496213E-2</v>
      </c>
      <c r="Z562" s="751">
        <f>$G$21*$M$8*'Traffic Data'!BB62*annualizationFactor</f>
        <v>2.5479445971596588E-2</v>
      </c>
      <c r="AA562" s="751">
        <f>$G$21*$M$8*'Traffic Data'!BC62*annualizationFactor</f>
        <v>2.5909919891426134E-2</v>
      </c>
      <c r="AB562" s="751">
        <f>$G$21*$M$8*'Traffic Data'!BD62*annualizationFactor</f>
        <v>2.6340174283526516E-2</v>
      </c>
      <c r="AC562" s="751">
        <f>$G$21*$M$8*'Traffic Data'!BE62*annualizationFactor</f>
        <v>2.6770648203356062E-2</v>
      </c>
      <c r="AD562" s="751">
        <f>$G$21*$M$8*'Traffic Data'!BF62*annualizationFactor</f>
        <v>2.7201122123185609E-2</v>
      </c>
      <c r="AE562" s="751">
        <f>$G$21*$M$8*'Traffic Data'!BG62*annualizationFactor</f>
        <v>2.7631376515285983E-2</v>
      </c>
      <c r="AF562" s="751">
        <f>$G$21*$M$8*'Traffic Data'!BH62*annualizationFactor</f>
        <v>2.806185043511553E-2</v>
      </c>
      <c r="AG562" s="751">
        <f>$G$21*$M$8*'Traffic Data'!BI62*annualizationFactor</f>
        <v>2.8492324354945069E-2</v>
      </c>
      <c r="AH562" s="752">
        <f>$G$21*$M$8*'Traffic Data'!BJ62*annualizationFactor</f>
        <v>2.8922578747045451E-2</v>
      </c>
      <c r="AI562" s="24"/>
      <c r="AJ562" s="24"/>
      <c r="AK562" s="24"/>
      <c r="AL562" s="24"/>
      <c r="AM562" s="24"/>
    </row>
    <row r="563" spans="2:39" ht="21.9" customHeight="1" x14ac:dyDescent="0.25">
      <c r="B563" s="469"/>
      <c r="C563" s="114" t="s">
        <v>323</v>
      </c>
      <c r="D563" s="114" t="s">
        <v>322</v>
      </c>
      <c r="E563" s="114" t="s">
        <v>19</v>
      </c>
      <c r="F563" s="114" t="s">
        <v>41</v>
      </c>
      <c r="G563" s="941"/>
      <c r="H563" s="941"/>
      <c r="I563" s="751">
        <f>$G$21*$M$8*'Traffic Data'!AK63*annualizationFactor</f>
        <v>3.7512045454545459E-3</v>
      </c>
      <c r="J563" s="751">
        <f>$G$21*$M$8*'Traffic Data'!AL63*annualizationFactor</f>
        <v>3.8576696534090909E-3</v>
      </c>
      <c r="K563" s="751">
        <f>$G$21*$M$8*'Traffic Data'!AM63*annualizationFactor</f>
        <v>3.9758177892045459E-3</v>
      </c>
      <c r="L563" s="751">
        <f>$G$21*$M$8*'Traffic Data'!AN63*annualizationFactor</f>
        <v>4.1416506448863633E-3</v>
      </c>
      <c r="M563" s="751">
        <f>$G$21*$M$8*'Traffic Data'!AO63*annualizationFactor</f>
        <v>4.3075131153409094E-3</v>
      </c>
      <c r="N563" s="751">
        <f>$G$21*$M$8*'Traffic Data'!AP63*annualizationFactor</f>
        <v>4.4734101363636354E-3</v>
      </c>
      <c r="O563" s="751">
        <f>$G$21*$M$8*'Traffic Data'!AQ63*annualizationFactor</f>
        <v>4.6392429920454545E-3</v>
      </c>
      <c r="P563" s="751">
        <f>$G$21*$M$8*'Traffic Data'!AR63*annualizationFactor</f>
        <v>4.8050857193181829E-3</v>
      </c>
      <c r="Q563" s="751">
        <f>$G$21*$M$8*'Traffic Data'!AS63*annualizationFactor</f>
        <v>4.9914860346590914E-3</v>
      </c>
      <c r="R563" s="751">
        <f>$G$21*$M$8*'Traffic Data'!AT63*annualizationFactor</f>
        <v>5.1778221846590896E-3</v>
      </c>
      <c r="S563" s="751">
        <f>$G$21*$M$8*'Traffic Data'!AU63*annualizationFactor</f>
        <v>5.3642224999999998E-3</v>
      </c>
      <c r="T563" s="751">
        <f>$G$21*$M$8*'Traffic Data'!AV63*annualizationFactor</f>
        <v>5.5506228153409084E-3</v>
      </c>
      <c r="U563" s="751">
        <f>$G$21*$M$8*'Traffic Data'!AW63*annualizationFactor</f>
        <v>5.7370527454545456E-3</v>
      </c>
      <c r="V563" s="751">
        <f>$G$21*$M$8*'Traffic Data'!AX63*annualizationFactor</f>
        <v>5.8757880840909077E-3</v>
      </c>
      <c r="W563" s="751">
        <f>$G$21*$M$8*'Traffic Data'!AY63*annualizationFactor</f>
        <v>5.9822531920454549E-3</v>
      </c>
      <c r="X563" s="751">
        <f>$G$21*$M$8*'Traffic Data'!AZ63*annualizationFactor</f>
        <v>6.0887183000000004E-3</v>
      </c>
      <c r="Y563" s="751">
        <f>$G$21*$M$8*'Traffic Data'!BA63*annualizationFactor</f>
        <v>6.1951834079545442E-3</v>
      </c>
      <c r="Z563" s="751">
        <f>$G$21*$M$8*'Traffic Data'!BB63*annualizationFactor</f>
        <v>6.3015942221590895E-3</v>
      </c>
      <c r="AA563" s="751">
        <f>$G$21*$M$8*'Traffic Data'!BC63*annualizationFactor</f>
        <v>6.4080593301136359E-3</v>
      </c>
      <c r="AB563" s="751">
        <f>$G$21*$M$8*'Traffic Data'!BD63*annualizationFactor</f>
        <v>6.514470144318182E-3</v>
      </c>
      <c r="AC563" s="751">
        <f>$G$21*$M$8*'Traffic Data'!BE63*annualizationFactor</f>
        <v>6.6209352522727267E-3</v>
      </c>
      <c r="AD563" s="751">
        <f>$G$21*$M$8*'Traffic Data'!BF63*annualizationFactor</f>
        <v>6.7274003602272739E-3</v>
      </c>
      <c r="AE563" s="751">
        <f>$G$21*$M$8*'Traffic Data'!BG63*annualizationFactor</f>
        <v>6.8338111744318175E-3</v>
      </c>
      <c r="AF563" s="751">
        <f>$G$21*$M$8*'Traffic Data'!BH63*annualizationFactor</f>
        <v>6.940276282386363E-3</v>
      </c>
      <c r="AG563" s="751">
        <f>$G$21*$M$8*'Traffic Data'!BI63*annualizationFactor</f>
        <v>7.0467413903409076E-3</v>
      </c>
      <c r="AH563" s="752">
        <f>$G$21*$M$8*'Traffic Data'!BJ63*annualizationFactor</f>
        <v>7.1531522045454529E-3</v>
      </c>
      <c r="AI563" s="24"/>
      <c r="AJ563" s="24"/>
      <c r="AK563" s="24"/>
      <c r="AL563" s="24"/>
      <c r="AM563" s="24"/>
    </row>
    <row r="564" spans="2:39" ht="21.9" customHeight="1" x14ac:dyDescent="0.25">
      <c r="B564" s="469"/>
      <c r="C564" s="114" t="s">
        <v>322</v>
      </c>
      <c r="D564" s="114" t="s">
        <v>326</v>
      </c>
      <c r="E564" s="114" t="s">
        <v>19</v>
      </c>
      <c r="F564" s="114" t="s">
        <v>41</v>
      </c>
      <c r="G564" s="941"/>
      <c r="H564" s="941"/>
      <c r="I564" s="751">
        <f>$G$21*$M$8*'Traffic Data'!AK64*annualizationFactor</f>
        <v>9.6248011363636379E-3</v>
      </c>
      <c r="J564" s="751">
        <f>$G$21*$M$8*'Traffic Data'!AL64*annualizationFactor</f>
        <v>9.8977284139204549E-3</v>
      </c>
      <c r="K564" s="751">
        <f>$G$21*$M$8*'Traffic Data'!AM64*annualizationFactor</f>
        <v>1.0208721779971591E-2</v>
      </c>
      <c r="L564" s="751">
        <f>$G$21*$M$8*'Traffic Data'!AN64*annualizationFactor</f>
        <v>1.0606097736221592E-2</v>
      </c>
      <c r="M564" s="751">
        <f>$G$21*$M$8*'Traffic Data'!AO64*annualizationFactor</f>
        <v>1.1003602023153409E-2</v>
      </c>
      <c r="N564" s="751">
        <f>$G$21*$M$8*'Traffic Data'!AP64*annualizationFactor</f>
        <v>1.1401042144744323E-2</v>
      </c>
      <c r="O564" s="751">
        <f>$G$21*$M$8*'Traffic Data'!AQ64*annualizationFactor</f>
        <v>1.1798418100994322E-2</v>
      </c>
      <c r="P564" s="751">
        <f>$G$21*$M$8*'Traffic Data'!AR64*annualizationFactor</f>
        <v>1.2195874263920456E-2</v>
      </c>
      <c r="Q564" s="751">
        <f>$G$21*$M$8*'Traffic Data'!AS64*annualizationFactor</f>
        <v>1.2645095815624998E-2</v>
      </c>
      <c r="R564" s="751">
        <f>$G$21*$M$8*'Traffic Data'!AT64*annualizationFactor</f>
        <v>1.3094301325994318E-2</v>
      </c>
      <c r="S564" s="751">
        <f>$G$21*$M$8*'Traffic Data'!AU64*annualizationFactor</f>
        <v>1.3543458712357955E-2</v>
      </c>
      <c r="T564" s="751">
        <f>$G$21*$M$8*'Traffic Data'!AV64*annualizationFactor</f>
        <v>1.3992680264062503E-2</v>
      </c>
      <c r="U564" s="751">
        <f>$G$21*$M$8*'Traffic Data'!AW64*annualizationFactor</f>
        <v>1.444198202244318E-2</v>
      </c>
      <c r="V564" s="751">
        <f>$G$21*$M$8*'Traffic Data'!AX64*annualizationFactor</f>
        <v>1.4804804942613638E-2</v>
      </c>
      <c r="W564" s="751">
        <f>$G$21*$M$8*'Traffic Data'!AY64*annualizationFactor</f>
        <v>1.5077732220170456E-2</v>
      </c>
      <c r="X564" s="751">
        <f>$G$21*$M$8*'Traffic Data'!AZ64*annualizationFactor</f>
        <v>1.5350659497727277E-2</v>
      </c>
      <c r="Y564" s="751">
        <f>$G$21*$M$8*'Traffic Data'!BA64*annualizationFactor</f>
        <v>1.5623586775284094E-2</v>
      </c>
      <c r="Z564" s="751">
        <f>$G$21*$M$8*'Traffic Data'!BB64*annualizationFactor</f>
        <v>1.5896433846164779E-2</v>
      </c>
      <c r="AA564" s="751">
        <f>$G$21*$M$8*'Traffic Data'!BC64*annualizationFactor</f>
        <v>1.6169361123721589E-2</v>
      </c>
      <c r="AB564" s="751">
        <f>$G$21*$M$8*'Traffic Data'!BD64*annualizationFactor</f>
        <v>1.6442208194602272E-2</v>
      </c>
      <c r="AC564" s="751">
        <f>$G$21*$M$8*'Traffic Data'!BE64*annualizationFactor</f>
        <v>1.6715135472159089E-2</v>
      </c>
      <c r="AD564" s="751">
        <f>$G$21*$M$8*'Traffic Data'!BF64*annualizationFactor</f>
        <v>1.6988062749715909E-2</v>
      </c>
      <c r="AE564" s="751">
        <f>$G$21*$M$8*'Traffic Data'!BG64*annualizationFactor</f>
        <v>1.7260909820596589E-2</v>
      </c>
      <c r="AF564" s="751">
        <f>$G$21*$M$8*'Traffic Data'!BH64*annualizationFactor</f>
        <v>1.7533837098153409E-2</v>
      </c>
      <c r="AG564" s="751">
        <f>$G$21*$M$8*'Traffic Data'!BI64*annualizationFactor</f>
        <v>1.7806764375710223E-2</v>
      </c>
      <c r="AH564" s="752">
        <f>$G$21*$M$8*'Traffic Data'!BJ64*annualizationFactor</f>
        <v>1.8079611446590906E-2</v>
      </c>
      <c r="AI564" s="24"/>
      <c r="AJ564" s="24"/>
      <c r="AK564" s="24"/>
      <c r="AL564" s="24"/>
      <c r="AM564" s="24"/>
    </row>
    <row r="565" spans="2:39" ht="21.9" customHeight="1" x14ac:dyDescent="0.25">
      <c r="B565" s="469"/>
      <c r="C565" s="114" t="s">
        <v>326</v>
      </c>
      <c r="D565" s="114" t="s">
        <v>274</v>
      </c>
      <c r="E565" s="114" t="s">
        <v>19</v>
      </c>
      <c r="F565" s="114" t="s">
        <v>41</v>
      </c>
      <c r="G565" s="941"/>
      <c r="H565" s="941"/>
      <c r="I565" s="751">
        <f>$G$21*$M$8*'Traffic Data'!AK65*annualizationFactor</f>
        <v>7.9910528409090908E-2</v>
      </c>
      <c r="J565" s="751">
        <f>$G$21*$M$8*'Traffic Data'!AL65*annualizationFactor</f>
        <v>8.2176524626344713E-2</v>
      </c>
      <c r="K565" s="751">
        <f>$G$21*$M$8*'Traffic Data'!AM65*annualizationFactor</f>
        <v>8.4758566983456435E-2</v>
      </c>
      <c r="L565" s="751">
        <f>$G$21*$M$8*'Traffic Data'!AN65*annualizationFactor</f>
        <v>8.8057806333039793E-2</v>
      </c>
      <c r="M565" s="751">
        <f>$G$21*$M$8*'Traffic Data'!AO65*annualizationFactor</f>
        <v>9.1358111156335228E-2</v>
      </c>
      <c r="N565" s="751">
        <f>$G$21*$M$8*'Traffic Data'!AP65*annualizationFactor</f>
        <v>9.465788324277466E-2</v>
      </c>
      <c r="O565" s="751">
        <f>$G$21*$M$8*'Traffic Data'!AQ65*annualizationFactor</f>
        <v>9.7957122592357976E-2</v>
      </c>
      <c r="P565" s="751">
        <f>$G$21*$M$8*'Traffic Data'!AR65*annualizationFactor</f>
        <v>0.1012570278630114</v>
      </c>
      <c r="Q565" s="751">
        <f>$G$21*$M$8*'Traffic Data'!AS65*annualizationFactor</f>
        <v>0.10498671859229167</v>
      </c>
      <c r="R565" s="751">
        <f>$G$21*$M$8*'Traffic Data'!AT65*annualizationFactor</f>
        <v>0.10871627613735797</v>
      </c>
      <c r="S565" s="751">
        <f>$G$21*$M$8*'Traffic Data'!AU65*annualizationFactor</f>
        <v>0.11244543412978221</v>
      </c>
      <c r="T565" s="751">
        <f>$G$21*$M$8*'Traffic Data'!AV65*annualizationFactor</f>
        <v>0.11617512485906253</v>
      </c>
      <c r="U565" s="751">
        <f>$G$21*$M$8*'Traffic Data'!AW65*annualizationFactor</f>
        <v>0.11990548150941288</v>
      </c>
      <c r="V565" s="751">
        <f>$G$21*$M$8*'Traffic Data'!AX65*annualizationFactor</f>
        <v>0.12291784206200758</v>
      </c>
      <c r="W565" s="751">
        <f>$G$21*$M$8*'Traffic Data'!AY65*annualizationFactor</f>
        <v>0.12518383827926138</v>
      </c>
      <c r="X565" s="751">
        <f>$G$21*$M$8*'Traffic Data'!AZ65*annualizationFactor</f>
        <v>0.12744983449651517</v>
      </c>
      <c r="Y565" s="751">
        <f>$G$21*$M$8*'Traffic Data'!BA65*annualizationFactor</f>
        <v>0.12971583071376896</v>
      </c>
      <c r="Z565" s="751">
        <f>$G$21*$M$8*'Traffic Data'!BB65*annualizationFactor</f>
        <v>0.13198116100995269</v>
      </c>
      <c r="AA565" s="751">
        <f>$G$21*$M$8*'Traffic Data'!BC65*annualizationFactor</f>
        <v>0.13424715722720643</v>
      </c>
      <c r="AB565" s="751">
        <f>$G$21*$M$8*'Traffic Data'!BD65*annualizationFactor</f>
        <v>0.13651248752339012</v>
      </c>
      <c r="AC565" s="751">
        <f>$G$21*$M$8*'Traffic Data'!BE65*annualizationFactor</f>
        <v>0.13877848374064394</v>
      </c>
      <c r="AD565" s="751">
        <f>$G$21*$M$8*'Traffic Data'!BF65*annualizationFactor</f>
        <v>0.14104447995789773</v>
      </c>
      <c r="AE565" s="751">
        <f>$G$21*$M$8*'Traffic Data'!BG65*annualizationFactor</f>
        <v>0.1433098102540814</v>
      </c>
      <c r="AF565" s="751">
        <f>$G$21*$M$8*'Traffic Data'!BH65*annualizationFactor</f>
        <v>0.14557580647133522</v>
      </c>
      <c r="AG565" s="751">
        <f>$G$21*$M$8*'Traffic Data'!BI65*annualizationFactor</f>
        <v>0.14784180268858899</v>
      </c>
      <c r="AH565" s="752">
        <f>$G$21*$M$8*'Traffic Data'!BJ65*annualizationFactor</f>
        <v>0.15010713298477268</v>
      </c>
      <c r="AI565" s="24"/>
      <c r="AJ565" s="24"/>
      <c r="AK565" s="24"/>
      <c r="AL565" s="24"/>
      <c r="AM565" s="24"/>
    </row>
    <row r="566" spans="2:39" ht="21.9" customHeight="1" x14ac:dyDescent="0.25">
      <c r="B566" s="470"/>
      <c r="C566" s="250" t="s">
        <v>274</v>
      </c>
      <c r="D566" s="250" t="s">
        <v>317</v>
      </c>
      <c r="E566" s="250" t="s">
        <v>19</v>
      </c>
      <c r="F566" s="250" t="s">
        <v>41</v>
      </c>
      <c r="G566" s="753"/>
      <c r="H566" s="753"/>
      <c r="I566" s="753">
        <f>$G$21*$M$8*'Traffic Data'!AK66*annualizationFactor</f>
        <v>1.9743181818181821E-3</v>
      </c>
      <c r="J566" s="753">
        <f>$G$21*$M$8*'Traffic Data'!AL66*annualizationFactor</f>
        <v>2.0303032643939401E-3</v>
      </c>
      <c r="K566" s="753">
        <f>$G$21*$M$8*'Traffic Data'!AM66*annualizationFactor</f>
        <v>2.0940967753787878E-3</v>
      </c>
      <c r="L566" s="753">
        <f>$G$21*$M$8*'Traffic Data'!AN66*annualizationFactor</f>
        <v>2.1756097920454551E-3</v>
      </c>
      <c r="M566" s="753">
        <f>$G$21*$M$8*'Traffic Data'!AO66*annualizationFactor</f>
        <v>2.2571491329545453E-3</v>
      </c>
      <c r="N566" s="753">
        <f>$G$21*$M$8*'Traffic Data'!AP66*annualizationFactor</f>
        <v>2.338675311742425E-3</v>
      </c>
      <c r="O566" s="753">
        <f>$G$21*$M$8*'Traffic Data'!AQ66*annualizationFactor</f>
        <v>2.4201883284090918E-3</v>
      </c>
      <c r="P566" s="753">
        <f>$G$21*$M$8*'Traffic Data'!AR66*annualizationFactor</f>
        <v>2.5017177977272737E-3</v>
      </c>
      <c r="Q566" s="753">
        <f>$G$21*$M$8*'Traffic Data'!AS66*annualizationFactor</f>
        <v>2.5938658083333337E-3</v>
      </c>
      <c r="R566" s="753">
        <f>$G$21*$M$8*'Traffic Data'!AT66*annualizationFactor</f>
        <v>2.6860105284090916E-3</v>
      </c>
      <c r="S566" s="753">
        <f>$G$21*$M$8*'Traffic Data'!AU66*annualizationFactor</f>
        <v>2.7781453768939398E-3</v>
      </c>
      <c r="T566" s="753">
        <f>$G$21*$M$8*'Traffic Data'!AV66*annualizationFactor</f>
        <v>2.8702933875000007E-3</v>
      </c>
      <c r="U566" s="753">
        <f>$G$21*$M$8*'Traffic Data'!AW66*annualizationFactor</f>
        <v>2.9624578507575759E-3</v>
      </c>
      <c r="V566" s="753">
        <f>$G$21*$M$8*'Traffic Data'!AX66*annualizationFactor</f>
        <v>3.0368830651515155E-3</v>
      </c>
      <c r="W566" s="753">
        <f>$G$21*$M$8*'Traffic Data'!AY66*annualizationFactor</f>
        <v>3.0928681477272739E-3</v>
      </c>
      <c r="X566" s="753">
        <f>$G$21*$M$8*'Traffic Data'!AZ66*annualizationFactor</f>
        <v>3.1488532303030315E-3</v>
      </c>
      <c r="Y566" s="753">
        <f>$G$21*$M$8*'Traffic Data'!BA66*annualizationFactor</f>
        <v>3.2048383128787886E-3</v>
      </c>
      <c r="Z566" s="753">
        <f>$G$21*$M$8*'Traffic Data'!BB66*annualizationFactor</f>
        <v>3.2608069428030307E-3</v>
      </c>
      <c r="AA566" s="753">
        <f>$G$21*$M$8*'Traffic Data'!BC66*annualizationFactor</f>
        <v>3.3167920253787874E-3</v>
      </c>
      <c r="AB566" s="753">
        <f>$G$21*$M$8*'Traffic Data'!BD66*annualizationFactor</f>
        <v>3.37276065530303E-3</v>
      </c>
      <c r="AC566" s="753">
        <f>$G$21*$M$8*'Traffic Data'!BE66*annualizationFactor</f>
        <v>3.4287457378787871E-3</v>
      </c>
      <c r="AD566" s="753">
        <f>$G$21*$M$8*'Traffic Data'!BF66*annualizationFactor</f>
        <v>3.4847308204545447E-3</v>
      </c>
      <c r="AE566" s="753">
        <f>$G$21*$M$8*'Traffic Data'!BG66*annualizationFactor</f>
        <v>3.5406994503787872E-3</v>
      </c>
      <c r="AF566" s="753">
        <f>$G$21*$M$8*'Traffic Data'!BH66*annualizationFactor</f>
        <v>3.5966845329545452E-3</v>
      </c>
      <c r="AG566" s="753">
        <f>$G$21*$M$8*'Traffic Data'!BI66*annualizationFactor</f>
        <v>3.6526696155303024E-3</v>
      </c>
      <c r="AH566" s="757">
        <f>$G$21*$M$8*'Traffic Data'!BJ66*annualizationFactor</f>
        <v>3.7086382454545454E-3</v>
      </c>
      <c r="AI566" s="24"/>
      <c r="AJ566" s="24"/>
      <c r="AK566" s="24"/>
      <c r="AL566" s="24"/>
      <c r="AM566" s="24"/>
    </row>
    <row r="567" spans="2:39" ht="21.9" customHeight="1" thickBot="1" x14ac:dyDescent="0.3">
      <c r="B567" s="1073" t="s">
        <v>461</v>
      </c>
      <c r="C567" s="237"/>
      <c r="D567" s="237"/>
      <c r="E567" s="237"/>
      <c r="F567" s="237"/>
      <c r="G567" s="940">
        <f t="shared" ref="G567:AH567" si="68">SUM(G547:G566)</f>
        <v>0</v>
      </c>
      <c r="H567" s="940">
        <f t="shared" si="68"/>
        <v>0</v>
      </c>
      <c r="I567" s="759">
        <f t="shared" si="68"/>
        <v>0.9960988694469699</v>
      </c>
      <c r="J567" s="759">
        <f t="shared" si="68"/>
        <v>1.076471518398431</v>
      </c>
      <c r="K567" s="759">
        <f t="shared" si="68"/>
        <v>1.181939641110092</v>
      </c>
      <c r="L567" s="759">
        <f t="shared" si="68"/>
        <v>1.358609474590134</v>
      </c>
      <c r="M567" s="759">
        <f t="shared" si="68"/>
        <v>1.535369236387756</v>
      </c>
      <c r="N567" s="759">
        <f t="shared" si="68"/>
        <v>1.7121269026605122</v>
      </c>
      <c r="O567" s="759">
        <f t="shared" si="68"/>
        <v>1.8887967361405547</v>
      </c>
      <c r="P567" s="759">
        <f t="shared" si="68"/>
        <v>2.0656468224553479</v>
      </c>
      <c r="Q567" s="759">
        <f t="shared" si="68"/>
        <v>2.2288180804446478</v>
      </c>
      <c r="R567" s="759">
        <f t="shared" si="68"/>
        <v>2.3920347091969867</v>
      </c>
      <c r="S567" s="759">
        <f t="shared" si="68"/>
        <v>2.5552069420256318</v>
      </c>
      <c r="T567" s="759">
        <f t="shared" si="68"/>
        <v>2.7183782000149326</v>
      </c>
      <c r="U567" s="759">
        <f t="shared" si="68"/>
        <v>2.8817308273619839</v>
      </c>
      <c r="V567" s="759">
        <f t="shared" si="68"/>
        <v>2.9745125400475758</v>
      </c>
      <c r="W567" s="759">
        <f t="shared" si="68"/>
        <v>3.0284004588565376</v>
      </c>
      <c r="X567" s="759">
        <f t="shared" si="68"/>
        <v>3.0822883776654995</v>
      </c>
      <c r="Y567" s="759">
        <f t="shared" si="68"/>
        <v>3.1361762964744604</v>
      </c>
      <c r="Z567" s="759">
        <f t="shared" si="68"/>
        <v>3.1901119227836485</v>
      </c>
      <c r="AA567" s="759">
        <f t="shared" si="68"/>
        <v>3.2439998415926103</v>
      </c>
      <c r="AB567" s="759">
        <f t="shared" si="68"/>
        <v>3.2979325178755721</v>
      </c>
      <c r="AC567" s="759">
        <f t="shared" si="68"/>
        <v>3.3518204366845334</v>
      </c>
      <c r="AD567" s="759">
        <f t="shared" si="68"/>
        <v>3.4057083554934957</v>
      </c>
      <c r="AE567" s="759">
        <f t="shared" si="68"/>
        <v>3.4596439818026834</v>
      </c>
      <c r="AF567" s="759">
        <f t="shared" si="68"/>
        <v>3.5135319006116448</v>
      </c>
      <c r="AG567" s="759">
        <f t="shared" si="68"/>
        <v>3.5674198194206066</v>
      </c>
      <c r="AH567" s="760">
        <f t="shared" si="68"/>
        <v>3.6213524957035688</v>
      </c>
      <c r="AI567" s="24"/>
      <c r="AJ567" s="24"/>
      <c r="AK567" s="24"/>
      <c r="AL567" s="24"/>
      <c r="AM567" s="24"/>
    </row>
    <row r="568" spans="2:39" ht="21.9" customHeight="1" x14ac:dyDescent="0.25">
      <c r="B568" s="548" t="s">
        <v>312</v>
      </c>
      <c r="C568" s="1331" t="s">
        <v>18</v>
      </c>
      <c r="D568" s="1331"/>
      <c r="E568" s="197" t="s">
        <v>24</v>
      </c>
      <c r="F568" s="197" t="s">
        <v>42</v>
      </c>
      <c r="G568" s="459">
        <v>2021</v>
      </c>
      <c r="H568" s="459">
        <v>2022</v>
      </c>
      <c r="I568" s="459">
        <v>2023</v>
      </c>
      <c r="J568" s="459">
        <v>2024</v>
      </c>
      <c r="K568" s="459">
        <v>2025</v>
      </c>
      <c r="L568" s="459">
        <v>2026</v>
      </c>
      <c r="M568" s="459">
        <v>2027</v>
      </c>
      <c r="N568" s="459">
        <v>2028</v>
      </c>
      <c r="O568" s="459">
        <v>2029</v>
      </c>
      <c r="P568" s="459">
        <v>2030</v>
      </c>
      <c r="Q568" s="459">
        <v>2031</v>
      </c>
      <c r="R568" s="459">
        <v>2032</v>
      </c>
      <c r="S568" s="459">
        <v>2033</v>
      </c>
      <c r="T568" s="459">
        <v>2034</v>
      </c>
      <c r="U568" s="459">
        <v>2035</v>
      </c>
      <c r="V568" s="459">
        <v>2036</v>
      </c>
      <c r="W568" s="459">
        <v>2037</v>
      </c>
      <c r="X568" s="459">
        <v>2038</v>
      </c>
      <c r="Y568" s="459">
        <v>2039</v>
      </c>
      <c r="Z568" s="459">
        <v>2040</v>
      </c>
      <c r="AA568" s="459">
        <v>2041</v>
      </c>
      <c r="AB568" s="459">
        <v>2042</v>
      </c>
      <c r="AC568" s="459">
        <v>2043</v>
      </c>
      <c r="AD568" s="459">
        <v>2044</v>
      </c>
      <c r="AE568" s="459">
        <v>2045</v>
      </c>
      <c r="AF568" s="459">
        <v>2046</v>
      </c>
      <c r="AG568" s="459">
        <v>2047</v>
      </c>
      <c r="AH568" s="459">
        <v>2048</v>
      </c>
      <c r="AI568" s="247"/>
      <c r="AJ568" s="247"/>
      <c r="AK568" s="247"/>
      <c r="AL568" s="247"/>
      <c r="AM568" s="247"/>
    </row>
    <row r="569" spans="2:39" ht="21.9" customHeight="1" x14ac:dyDescent="0.25">
      <c r="B569" s="1332" t="s">
        <v>315</v>
      </c>
      <c r="C569" s="217" t="s">
        <v>316</v>
      </c>
      <c r="D569" s="217" t="s">
        <v>276</v>
      </c>
      <c r="E569" s="217" t="s">
        <v>434</v>
      </c>
      <c r="F569" s="217" t="s">
        <v>41</v>
      </c>
      <c r="G569" s="749"/>
      <c r="H569" s="749"/>
      <c r="I569" s="749">
        <f>$G$22*$E$9*'Traffic Data'!AK47*annualizationFactor</f>
        <v>4.3274400000000001E-3</v>
      </c>
      <c r="J569" s="749">
        <f>$G$22*$E$9*'Traffic Data'!AL47*annualizationFactor</f>
        <v>4.5242168107500003E-3</v>
      </c>
      <c r="K569" s="749">
        <f>$G$22*$E$9*'Traffic Data'!AM47*annualizationFactor</f>
        <v>4.8014569590000018E-3</v>
      </c>
      <c r="L569" s="749">
        <f>$G$22*$E$9*'Traffic Data'!AN47*annualizationFactor</f>
        <v>5.2092640860000004E-3</v>
      </c>
      <c r="M569" s="749">
        <f>$G$22*$E$9*'Traffic Data'!AO47*annualizationFactor</f>
        <v>5.61721996875E-3</v>
      </c>
      <c r="N569" s="749">
        <f>$G$22*$E$9*'Traffic Data'!AP47*annualizationFactor</f>
        <v>6.0251758514999997E-3</v>
      </c>
      <c r="O569" s="749">
        <f>$G$22*$E$9*'Traffic Data'!AQ47*annualizationFactor</f>
        <v>6.4329829785000001E-3</v>
      </c>
      <c r="P569" s="749">
        <f>$G$22*$E$9*'Traffic Data'!AR47*annualizationFactor</f>
        <v>6.8410876169999997E-3</v>
      </c>
      <c r="Q569" s="749">
        <f>$G$22*$E$9*'Traffic Data'!AS47*annualizationFactor</f>
        <v>7.2443644552500006E-3</v>
      </c>
      <c r="R569" s="749">
        <f>$G$22*$E$9*'Traffic Data'!AT47*annualizationFactor</f>
        <v>7.6477224330000005E-3</v>
      </c>
      <c r="S569" s="749">
        <f>$G$22*$E$9*'Traffic Data'!AU47*annualizationFactor</f>
        <v>8.050999271250003E-3</v>
      </c>
      <c r="T569" s="749">
        <f>$G$22*$E$9*'Traffic Data'!AV47*annualizationFactor</f>
        <v>8.4542761095000012E-3</v>
      </c>
      <c r="U569" s="749">
        <f>$G$22*$E$9*'Traffic Data'!AW47*annualizationFactor</f>
        <v>8.8578504592500013E-3</v>
      </c>
      <c r="V569" s="749">
        <f>$G$22*$E$9*'Traffic Data'!AX47*annualizationFactor</f>
        <v>9.1304115630000023E-3</v>
      </c>
      <c r="W569" s="749">
        <f>$G$22*$E$9*'Traffic Data'!AY47*annualizationFactor</f>
        <v>9.3271883737500016E-3</v>
      </c>
      <c r="X569" s="749">
        <f>$G$22*$E$9*'Traffic Data'!AZ47*annualizationFactor</f>
        <v>9.5239651844999992E-3</v>
      </c>
      <c r="Y569" s="749">
        <f>$G$22*$E$9*'Traffic Data'!BA47*annualizationFactor</f>
        <v>9.7207419952500002E-3</v>
      </c>
      <c r="Z569" s="749">
        <f>$G$22*$E$9*'Traffic Data'!BB47*annualizationFactor</f>
        <v>9.9175864222500014E-3</v>
      </c>
      <c r="AA569" s="749">
        <f>$G$22*$E$9*'Traffic Data'!BC47*annualizationFactor</f>
        <v>1.0114363233000002E-2</v>
      </c>
      <c r="AB569" s="749">
        <f>$G$22*$E$9*'Traffic Data'!BD47*annualizationFactor</f>
        <v>1.0311207659999998E-2</v>
      </c>
      <c r="AC569" s="749">
        <f>$G$22*$E$9*'Traffic Data'!BE47*annualizationFactor</f>
        <v>1.0507984470750001E-2</v>
      </c>
      <c r="AD569" s="749">
        <f>$G$22*$E$9*'Traffic Data'!BF47*annualizationFactor</f>
        <v>1.0704761281499999E-2</v>
      </c>
      <c r="AE569" s="749">
        <f>$G$22*$E$9*'Traffic Data'!BG47*annualizationFactor</f>
        <v>1.0901605708499998E-2</v>
      </c>
      <c r="AF569" s="749">
        <f>$G$22*$E$9*'Traffic Data'!BH47*annualizationFactor</f>
        <v>1.1098382519249999E-2</v>
      </c>
      <c r="AG569" s="749">
        <f>$G$22*$E$9*'Traffic Data'!BI47*annualizationFactor</f>
        <v>1.129515933E-2</v>
      </c>
      <c r="AH569" s="750">
        <f>$G$22*$E$9*'Traffic Data'!BJ47*annualizationFactor</f>
        <v>1.1492003757E-2</v>
      </c>
      <c r="AI569" s="24"/>
      <c r="AJ569" s="24"/>
      <c r="AK569" s="24"/>
      <c r="AL569" s="24"/>
      <c r="AM569" s="24"/>
    </row>
    <row r="570" spans="2:39" ht="21.9" customHeight="1" x14ac:dyDescent="0.25">
      <c r="B570" s="1332"/>
      <c r="C570" s="114" t="s">
        <v>276</v>
      </c>
      <c r="D570" s="114" t="s">
        <v>274</v>
      </c>
      <c r="E570" s="114" t="s">
        <v>434</v>
      </c>
      <c r="F570" s="114" t="s">
        <v>41</v>
      </c>
      <c r="G570" s="941"/>
      <c r="H570" s="941"/>
      <c r="I570" s="751">
        <f>$G$22*$E$9*'Traffic Data'!AK48*annualizationFactor</f>
        <v>0.13915036022727273</v>
      </c>
      <c r="J570" s="751">
        <f>$G$22*$E$9*'Traffic Data'!AL48*annualizationFactor</f>
        <v>0.14649543776045454</v>
      </c>
      <c r="K570" s="751">
        <f>$G$22*$E$9*'Traffic Data'!AM48*annualizationFactor</f>
        <v>0.15752130000750003</v>
      </c>
      <c r="L570" s="751">
        <f>$G$22*$E$9*'Traffic Data'!AN48*annualizationFactor</f>
        <v>0.17573762827636366</v>
      </c>
      <c r="M570" s="751">
        <f>$G$22*$E$9*'Traffic Data'!AO48*annualizationFactor</f>
        <v>0.19396220249250004</v>
      </c>
      <c r="N570" s="751">
        <f>$G$22*$E$9*'Traffic Data'!AP48*annualizationFactor</f>
        <v>0.21218574596522727</v>
      </c>
      <c r="O570" s="751">
        <f>$G$22*$E$9*'Traffic Data'!AQ48*annualizationFactor</f>
        <v>0.23040207423409095</v>
      </c>
      <c r="P570" s="751">
        <f>$G$22*$E$9*'Traffic Data'!AR48*annualizationFactor</f>
        <v>0.24863489439749997</v>
      </c>
      <c r="Q570" s="751">
        <f>$G$22*$E$9*'Traffic Data'!AS48*annualizationFactor</f>
        <v>0.26702954127613637</v>
      </c>
      <c r="R570" s="751">
        <f>$G$22*$E$9*'Traffic Data'!AT48*annualizationFactor</f>
        <v>0.28543037261522725</v>
      </c>
      <c r="S570" s="751">
        <f>$G$22*$E$9*'Traffic Data'!AU48*annualizationFactor</f>
        <v>0.30382501949386365</v>
      </c>
      <c r="T570" s="751">
        <f>$G$22*$E$9*'Traffic Data'!AV48*annualizationFactor</f>
        <v>0.32221966637250005</v>
      </c>
      <c r="U570" s="751">
        <f>$G$22*$E$9*'Traffic Data'!AW48*annualizationFactor</f>
        <v>0.34063080514568184</v>
      </c>
      <c r="V570" s="751">
        <f>$G$22*$E$9*'Traffic Data'!AX48*annualizationFactor</f>
        <v>0.35182674005522735</v>
      </c>
      <c r="W570" s="751">
        <f>$G$22*$E$9*'Traffic Data'!AY48*annualizationFactor</f>
        <v>0.35917181758840905</v>
      </c>
      <c r="X570" s="751">
        <f>$G$22*$E$9*'Traffic Data'!AZ48*annualizationFactor</f>
        <v>0.36651689512159091</v>
      </c>
      <c r="Y570" s="751">
        <f>$G$22*$E$9*'Traffic Data'!BA48*annualizationFactor</f>
        <v>0.37386197265477283</v>
      </c>
      <c r="Z570" s="751">
        <f>$G$22*$E$9*'Traffic Data'!BB48*annualizationFactor</f>
        <v>0.38121117316159098</v>
      </c>
      <c r="AA570" s="751">
        <f>$G$22*$E$9*'Traffic Data'!BC48*annualizationFactor</f>
        <v>0.38855625069477268</v>
      </c>
      <c r="AB570" s="751">
        <f>$G$22*$E$9*'Traffic Data'!BD48*annualizationFactor</f>
        <v>0.39590545120159093</v>
      </c>
      <c r="AC570" s="751">
        <f>$G$22*$E$9*'Traffic Data'!BE48*annualizationFactor</f>
        <v>0.4032505287347728</v>
      </c>
      <c r="AD570" s="751">
        <f>$G$22*$E$9*'Traffic Data'!BF48*annualizationFactor</f>
        <v>0.41059560626795466</v>
      </c>
      <c r="AE570" s="751">
        <f>$G$22*$E$9*'Traffic Data'!BG48*annualizationFactor</f>
        <v>0.41794480677477275</v>
      </c>
      <c r="AF570" s="751">
        <f>$G$22*$E$9*'Traffic Data'!BH48*annualizationFactor</f>
        <v>0.42528988430795456</v>
      </c>
      <c r="AG570" s="751">
        <f>$G$22*$E$9*'Traffic Data'!BI48*annualizationFactor</f>
        <v>0.43263496184113637</v>
      </c>
      <c r="AH570" s="752">
        <f>$G$22*$E$9*'Traffic Data'!BJ48*annualizationFactor</f>
        <v>0.43998416234795462</v>
      </c>
      <c r="AI570" s="24"/>
      <c r="AJ570" s="24"/>
      <c r="AK570" s="24"/>
      <c r="AL570" s="24"/>
      <c r="AM570" s="24"/>
    </row>
    <row r="571" spans="2:39" ht="21.9" customHeight="1" x14ac:dyDescent="0.25">
      <c r="B571" s="1332"/>
      <c r="C571" s="114" t="s">
        <v>274</v>
      </c>
      <c r="D571" s="114" t="s">
        <v>317</v>
      </c>
      <c r="E571" s="250" t="s">
        <v>434</v>
      </c>
      <c r="F571" s="250" t="s">
        <v>41</v>
      </c>
      <c r="G571" s="753"/>
      <c r="H571" s="753"/>
      <c r="I571" s="751">
        <f>$G$22*$E$9*'Traffic Data'!AK49*annualizationFactor</f>
        <v>3.2455800000000001E-3</v>
      </c>
      <c r="J571" s="751">
        <f>$G$22*$E$9*'Traffic Data'!AL49*annualizationFactor</f>
        <v>3.3811100114999998E-3</v>
      </c>
      <c r="K571" s="751">
        <f>$G$22*$E$9*'Traffic Data'!AM49*annualizationFactor</f>
        <v>3.5488524044999994E-3</v>
      </c>
      <c r="L571" s="751">
        <f>$G$22*$E$9*'Traffic Data'!AN49*annualizationFactor</f>
        <v>3.7746906794999999E-3</v>
      </c>
      <c r="M571" s="751">
        <f>$G$22*$E$9*'Traffic Data'!AO49*annualizationFactor</f>
        <v>4.0006100940000013E-3</v>
      </c>
      <c r="N571" s="751">
        <f>$G$22*$E$9*'Traffic Data'!AP49*annualizationFactor</f>
        <v>4.2265024620000008E-3</v>
      </c>
      <c r="O571" s="751">
        <f>$G$22*$E$9*'Traffic Data'!AQ49*annualizationFactor</f>
        <v>4.4523407370000009E-3</v>
      </c>
      <c r="P571" s="751">
        <f>$G$22*$E$9*'Traffic Data'!AR49*annualizationFactor</f>
        <v>4.6783412910000018E-3</v>
      </c>
      <c r="Q571" s="751">
        <f>$G$22*$E$9*'Traffic Data'!AS49*annualizationFactor</f>
        <v>4.8973097549999999E-3</v>
      </c>
      <c r="R571" s="751">
        <f>$G$22*$E$9*'Traffic Data'!AT49*annualizationFactor</f>
        <v>5.1163593584999988E-3</v>
      </c>
      <c r="S571" s="751">
        <f>$G$22*$E$9*'Traffic Data'!AU49*annualizationFactor</f>
        <v>5.3353278224999995E-3</v>
      </c>
      <c r="T571" s="751">
        <f>$G$22*$E$9*'Traffic Data'!AV49*annualizationFactor</f>
        <v>5.5542962865000002E-3</v>
      </c>
      <c r="U571" s="751">
        <f>$G$22*$E$9*'Traffic Data'!AW49*annualizationFactor</f>
        <v>5.7734270295000008E-3</v>
      </c>
      <c r="V571" s="751">
        <f>$G$22*$E$9*'Traffic Data'!AX49*annualizationFactor</f>
        <v>5.9342184719999996E-3</v>
      </c>
      <c r="W571" s="751">
        <f>$G$22*$E$9*'Traffic Data'!AY49*annualizationFactor</f>
        <v>6.0697484835000003E-3</v>
      </c>
      <c r="X571" s="751">
        <f>$G$22*$E$9*'Traffic Data'!AZ49*annualizationFactor</f>
        <v>6.2052784949999992E-3</v>
      </c>
      <c r="Y571" s="751">
        <f>$G$22*$E$9*'Traffic Data'!BA49*annualizationFactor</f>
        <v>6.3408085065000007E-3</v>
      </c>
      <c r="Z571" s="751">
        <f>$G$22*$E$9*'Traffic Data'!BB49*annualizationFactor</f>
        <v>6.4763926110000007E-3</v>
      </c>
      <c r="AA571" s="751">
        <f>$G$22*$E$9*'Traffic Data'!BC49*annualizationFactor</f>
        <v>6.6119226224999996E-3</v>
      </c>
      <c r="AB571" s="751">
        <f>$G$22*$E$9*'Traffic Data'!BD49*annualizationFactor</f>
        <v>6.7475067270000005E-3</v>
      </c>
      <c r="AC571" s="751">
        <f>$G$22*$E$9*'Traffic Data'!BE49*annualizationFactor</f>
        <v>6.883036738500002E-3</v>
      </c>
      <c r="AD571" s="751">
        <f>$G$22*$E$9*'Traffic Data'!BF49*annualizationFactor</f>
        <v>7.0185667499999991E-3</v>
      </c>
      <c r="AE571" s="751">
        <f>$G$22*$E$9*'Traffic Data'!BG49*annualizationFactor</f>
        <v>7.1541508545000009E-3</v>
      </c>
      <c r="AF571" s="751">
        <f>$G$22*$E$9*'Traffic Data'!BH49*annualizationFactor</f>
        <v>7.2896808659999998E-3</v>
      </c>
      <c r="AG571" s="751">
        <f>$G$22*$E$9*'Traffic Data'!BI49*annualizationFactor</f>
        <v>7.4252108774999987E-3</v>
      </c>
      <c r="AH571" s="752">
        <f>$G$22*$E$9*'Traffic Data'!BJ49*annualizationFactor</f>
        <v>7.5607949820000004E-3</v>
      </c>
      <c r="AI571" s="24"/>
      <c r="AJ571" s="24"/>
      <c r="AK571" s="24"/>
      <c r="AL571" s="24"/>
      <c r="AM571" s="24"/>
    </row>
    <row r="572" spans="2:39" ht="21.9" customHeight="1" x14ac:dyDescent="0.25">
      <c r="B572" s="1332" t="s">
        <v>274</v>
      </c>
      <c r="C572" s="217" t="s">
        <v>275</v>
      </c>
      <c r="D572" s="217" t="s">
        <v>318</v>
      </c>
      <c r="E572" s="114" t="s">
        <v>434</v>
      </c>
      <c r="F572" s="114" t="s">
        <v>41</v>
      </c>
      <c r="G572" s="941"/>
      <c r="H572" s="941"/>
      <c r="I572" s="749">
        <f>$G$22*$F$9*'Traffic Data'!AK50*annualizationFactor</f>
        <v>3.0251200000000002E-2</v>
      </c>
      <c r="J572" s="749">
        <f>$G$22*$F$9*'Traffic Data'!AL50*annualizationFactor</f>
        <v>3.3311260135999998E-2</v>
      </c>
      <c r="K572" s="749">
        <f>$G$22*$F$9*'Traffic Data'!AM50*annualizationFactor</f>
        <v>4.0152720271999995E-2</v>
      </c>
      <c r="L572" s="749">
        <f>$G$22*$F$9*'Traffic Data'!AN50*annualizationFactor</f>
        <v>5.3894327872000006E-2</v>
      </c>
      <c r="M572" s="749">
        <f>$G$22*$F$9*'Traffic Data'!AO50*annualizationFactor</f>
        <v>6.7644405807999991E-2</v>
      </c>
      <c r="N572" s="749">
        <f>$G$22*$F$9*'Traffic Data'!AP50*annualizationFactor</f>
        <v>8.139297118399999E-2</v>
      </c>
      <c r="O572" s="749">
        <f>$G$22*$F$9*'Traffic Data'!AQ50*annualizationFactor</f>
        <v>9.5134578783999987E-2</v>
      </c>
      <c r="P572" s="749">
        <f>$G$22*$F$9*'Traffic Data'!AR50*annualizationFactor</f>
        <v>0.108893127056</v>
      </c>
      <c r="Q572" s="749">
        <f>$G$22*$F$9*'Traffic Data'!AS50*annualizationFactor</f>
        <v>0.12239363259199998</v>
      </c>
      <c r="R572" s="749">
        <f>$G$22*$F$9*'Traffic Data'!AT50*annualizationFactor</f>
        <v>0.13590094464799995</v>
      </c>
      <c r="S572" s="749">
        <f>$G$22*$F$9*'Traffic Data'!AU50*annualizationFactor</f>
        <v>0.149401450184</v>
      </c>
      <c r="T572" s="749">
        <f>$G$22*$F$9*'Traffic Data'!AV50*annualizationFactor</f>
        <v>0.16290195571999999</v>
      </c>
      <c r="U572" s="749">
        <f>$G$22*$F$9*'Traffic Data'!AW50*annualizationFactor</f>
        <v>0.17641940192800001</v>
      </c>
      <c r="V572" s="749">
        <f>$G$22*$F$9*'Traffic Data'!AX50*annualizationFactor</f>
        <v>0.18301128966399999</v>
      </c>
      <c r="W572" s="749">
        <f>$G$22*$F$9*'Traffic Data'!AY50*annualizationFactor</f>
        <v>0.18607134979999998</v>
      </c>
      <c r="X572" s="749">
        <f>$G$22*$F$9*'Traffic Data'!AZ50*annualizationFactor</f>
        <v>0.18913140993599997</v>
      </c>
      <c r="Y572" s="749">
        <f>$G$22*$F$9*'Traffic Data'!BA50*annualizationFactor</f>
        <v>0.19219147007199999</v>
      </c>
      <c r="Z572" s="749">
        <f>$G$22*$F$9*'Traffic Data'!BB50*annualizationFactor</f>
        <v>0.19525621914400001</v>
      </c>
      <c r="AA572" s="749">
        <f>$G$22*$F$9*'Traffic Data'!BC50*annualizationFactor</f>
        <v>0.19831627928000001</v>
      </c>
      <c r="AB572" s="749">
        <f>$G$22*$F$9*'Traffic Data'!BD50*annualizationFactor</f>
        <v>0.20138102835199995</v>
      </c>
      <c r="AC572" s="749">
        <f>$G$22*$F$9*'Traffic Data'!BE50*annualizationFactor</f>
        <v>0.20444108848799997</v>
      </c>
      <c r="AD572" s="749">
        <f>$G$22*$F$9*'Traffic Data'!BF50*annualizationFactor</f>
        <v>0.20750114862400001</v>
      </c>
      <c r="AE572" s="749">
        <f>$G$22*$F$9*'Traffic Data'!BG50*annualizationFactor</f>
        <v>0.21056589769600004</v>
      </c>
      <c r="AF572" s="749">
        <f>$G$22*$F$9*'Traffic Data'!BH50*annualizationFactor</f>
        <v>0.21362595783199997</v>
      </c>
      <c r="AG572" s="749">
        <f>$G$22*$F$9*'Traffic Data'!BI50*annualizationFactor</f>
        <v>0.21668601796799997</v>
      </c>
      <c r="AH572" s="750">
        <f>$G$22*$F$9*'Traffic Data'!BJ50*annualizationFactor</f>
        <v>0.21975076703999996</v>
      </c>
      <c r="AI572" s="24"/>
      <c r="AJ572" s="24"/>
      <c r="AK572" s="24"/>
      <c r="AL572" s="24"/>
      <c r="AM572" s="24"/>
    </row>
    <row r="573" spans="2:39" ht="21.9" customHeight="1" x14ac:dyDescent="0.25">
      <c r="B573" s="1332"/>
      <c r="C573" s="114" t="s">
        <v>318</v>
      </c>
      <c r="D573" s="114" t="s">
        <v>308</v>
      </c>
      <c r="E573" s="114" t="s">
        <v>434</v>
      </c>
      <c r="F573" s="114" t="s">
        <v>41</v>
      </c>
      <c r="G573" s="941"/>
      <c r="H573" s="941"/>
      <c r="I573" s="751">
        <f>$G$22*$F$9*'Traffic Data'!AK51*annualizationFactor</f>
        <v>3.5040000000000006E-3</v>
      </c>
      <c r="J573" s="751">
        <f>$G$22*$F$9*'Traffic Data'!AL51*annualizationFactor</f>
        <v>3.8366756000000001E-3</v>
      </c>
      <c r="K573" s="751">
        <f>$G$22*$F$9*'Traffic Data'!AM51*annualizationFactor</f>
        <v>4.3086060000000004E-3</v>
      </c>
      <c r="L573" s="751">
        <f>$G$22*$F$9*'Traffic Data'!AN51*annualizationFactor</f>
        <v>5.0775587999999997E-3</v>
      </c>
      <c r="M573" s="751">
        <f>$G$22*$F$9*'Traffic Data'!AO51*annualizationFactor</f>
        <v>5.8467452000000005E-3</v>
      </c>
      <c r="N573" s="751">
        <f>$G$22*$F$9*'Traffic Data'!AP51*annualizationFactor</f>
        <v>6.6160046000000011E-3</v>
      </c>
      <c r="O573" s="751">
        <f>$G$22*$F$9*'Traffic Data'!AQ51*annualizationFactor</f>
        <v>7.384957400000002E-3</v>
      </c>
      <c r="P573" s="751">
        <f>$G$22*$F$9*'Traffic Data'!AR51*annualizationFactor</f>
        <v>8.1547424000000014E-3</v>
      </c>
      <c r="Q573" s="751">
        <f>$G$22*$F$9*'Traffic Data'!AS51*annualizationFactor</f>
        <v>9.0305379999999994E-3</v>
      </c>
      <c r="R573" s="751">
        <f>$G$22*$F$9*'Traffic Data'!AT51*annualizationFactor</f>
        <v>9.9067424000000032E-3</v>
      </c>
      <c r="S573" s="751">
        <f>$G$22*$F$9*'Traffic Data'!AU51*annualizationFactor</f>
        <v>1.0782494200000003E-2</v>
      </c>
      <c r="T573" s="751">
        <f>$G$22*$F$9*'Traffic Data'!AV51*annualizationFactor</f>
        <v>1.1658289800000003E-2</v>
      </c>
      <c r="U573" s="751">
        <f>$G$22*$F$9*'Traffic Data'!AW51*annualizationFactor</f>
        <v>1.2534888399999998E-2</v>
      </c>
      <c r="V573" s="751">
        <f>$G$22*$F$9*'Traffic Data'!AX51*annualizationFactor</f>
        <v>1.3113019200000003E-2</v>
      </c>
      <c r="W573" s="751">
        <f>$G$22*$F$9*'Traffic Data'!AY51*annualizationFactor</f>
        <v>1.3445694800000001E-2</v>
      </c>
      <c r="X573" s="751">
        <f>$G$22*$F$9*'Traffic Data'!AZ51*annualizationFactor</f>
        <v>1.3778370399999997E-2</v>
      </c>
      <c r="Y573" s="751">
        <f>$G$22*$F$9*'Traffic Data'!BA51*annualizationFactor</f>
        <v>1.4111045999999997E-2</v>
      </c>
      <c r="Z573" s="751">
        <f>$G$22*$F$9*'Traffic Data'!BB51*annualizationFactor</f>
        <v>1.4444101199999998E-2</v>
      </c>
      <c r="AA573" s="751">
        <f>$G$22*$F$9*'Traffic Data'!BC51*annualizationFactor</f>
        <v>1.4776776799999999E-2</v>
      </c>
      <c r="AB573" s="751">
        <f>$G$22*$F$9*'Traffic Data'!BD51*annualizationFactor</f>
        <v>1.5109831999999998E-2</v>
      </c>
      <c r="AC573" s="751">
        <f>$G$22*$F$9*'Traffic Data'!BE51*annualizationFactor</f>
        <v>1.5442507599999999E-2</v>
      </c>
      <c r="AD573" s="751">
        <f>$G$22*$F$9*'Traffic Data'!BF51*annualizationFactor</f>
        <v>1.5775183200000001E-2</v>
      </c>
      <c r="AE573" s="751">
        <f>$G$22*$F$9*'Traffic Data'!BG51*annualizationFactor</f>
        <v>1.6108238399999999E-2</v>
      </c>
      <c r="AF573" s="751">
        <f>$G$22*$F$9*'Traffic Data'!BH51*annualizationFactor</f>
        <v>1.6440913999999997E-2</v>
      </c>
      <c r="AG573" s="751">
        <f>$G$22*$F$9*'Traffic Data'!BI51*annualizationFactor</f>
        <v>1.67735896E-2</v>
      </c>
      <c r="AH573" s="752">
        <f>$G$22*$F$9*'Traffic Data'!BJ51*annualizationFactor</f>
        <v>1.7106644800000001E-2</v>
      </c>
      <c r="AI573" s="24"/>
      <c r="AJ573" s="24"/>
      <c r="AK573" s="24"/>
      <c r="AL573" s="24"/>
      <c r="AM573" s="24"/>
    </row>
    <row r="574" spans="2:39" ht="21.9" customHeight="1" x14ac:dyDescent="0.25">
      <c r="B574" s="1332"/>
      <c r="C574" s="250" t="s">
        <v>308</v>
      </c>
      <c r="D574" s="250" t="s">
        <v>319</v>
      </c>
      <c r="E574" s="114" t="s">
        <v>434</v>
      </c>
      <c r="F574" s="114" t="s">
        <v>41</v>
      </c>
      <c r="G574" s="941"/>
      <c r="H574" s="941"/>
      <c r="I574" s="751">
        <f>$G$22*$F$9*'Traffic Data'!AK52*annualizationFactor</f>
        <v>4.6953600000000005E-2</v>
      </c>
      <c r="J574" s="751">
        <f>$G$22*$F$9*'Traffic Data'!AL52*annualizationFactor</f>
        <v>4.8268457312000003E-2</v>
      </c>
      <c r="K574" s="751">
        <f>$G$22*$F$9*'Traffic Data'!AM52*annualizationFactor</f>
        <v>5.0142218976000005E-2</v>
      </c>
      <c r="L574" s="751">
        <f>$G$22*$F$9*'Traffic Data'!AN52*annualizationFactor</f>
        <v>5.2772090112000014E-2</v>
      </c>
      <c r="M574" s="751">
        <f>$G$22*$F$9*'Traffic Data'!AO52*annualizationFactor</f>
        <v>5.5403056831999996E-2</v>
      </c>
      <c r="N574" s="751">
        <f>$G$22*$F$9*'Traffic Data'!AP52*annualizationFactor</f>
        <v>5.8033788784000027E-2</v>
      </c>
      <c r="O574" s="751">
        <f>$G$22*$F$9*'Traffic Data'!AQ52*annualizationFactor</f>
        <v>6.0663659920000022E-2</v>
      </c>
      <c r="P574" s="751">
        <f>$G$22*$F$9*'Traffic Data'!AR52*annualizationFactor</f>
        <v>6.3295643968000012E-2</v>
      </c>
      <c r="Q574" s="751">
        <f>$G$22*$F$9*'Traffic Data'!AS52*annualizationFactor</f>
        <v>6.5952591680000006E-2</v>
      </c>
      <c r="R574" s="751">
        <f>$G$22*$F$9*'Traffic Data'!AT52*annualizationFactor</f>
        <v>6.8610321952000008E-2</v>
      </c>
      <c r="S574" s="751">
        <f>$G$22*$F$9*'Traffic Data'!AU52*annualizationFactor</f>
        <v>7.1267034896000003E-2</v>
      </c>
      <c r="T574" s="751">
        <f>$G$22*$F$9*'Traffic Data'!AV52*annualizationFactor</f>
        <v>7.3923982608000011E-2</v>
      </c>
      <c r="U574" s="751">
        <f>$G$22*$F$9*'Traffic Data'!AW52*annualizationFactor</f>
        <v>7.658304323200002E-2</v>
      </c>
      <c r="V574" s="751">
        <f>$G$22*$F$9*'Traffic Data'!AX52*annualizationFactor</f>
        <v>7.8482629376000007E-2</v>
      </c>
      <c r="W574" s="751">
        <f>$G$22*$F$9*'Traffic Data'!AY52*annualizationFactor</f>
        <v>7.9797486688000005E-2</v>
      </c>
      <c r="X574" s="751">
        <f>$G$22*$F$9*'Traffic Data'!AZ52*annualizationFactor</f>
        <v>8.1112344000000003E-2</v>
      </c>
      <c r="Y574" s="751">
        <f>$G$22*$F$9*'Traffic Data'!BA52*annualizationFactor</f>
        <v>8.2427201312000001E-2</v>
      </c>
      <c r="Z574" s="751">
        <f>$G$22*$F$9*'Traffic Data'!BB52*annualizationFactor</f>
        <v>8.3742684671999995E-2</v>
      </c>
      <c r="AA574" s="751">
        <f>$G$22*$F$9*'Traffic Data'!BC52*annualizationFactor</f>
        <v>8.5057541984000021E-2</v>
      </c>
      <c r="AB574" s="751">
        <f>$G$22*$F$9*'Traffic Data'!BD52*annualizationFactor</f>
        <v>8.6373025344000029E-2</v>
      </c>
      <c r="AC574" s="751">
        <f>$G$22*$F$9*'Traffic Data'!BE52*annualizationFactor</f>
        <v>8.7687882656000013E-2</v>
      </c>
      <c r="AD574" s="751">
        <f>$G$22*$F$9*'Traffic Data'!BF52*annualizationFactor</f>
        <v>8.9002739968000025E-2</v>
      </c>
      <c r="AE574" s="751">
        <f>$G$22*$F$9*'Traffic Data'!BG52*annualizationFactor</f>
        <v>9.0318223328000005E-2</v>
      </c>
      <c r="AF574" s="751">
        <f>$G$22*$F$9*'Traffic Data'!BH52*annualizationFactor</f>
        <v>9.1633080639999989E-2</v>
      </c>
      <c r="AG574" s="751">
        <f>$G$22*$F$9*'Traffic Data'!BI52*annualizationFactor</f>
        <v>9.2947937951999987E-2</v>
      </c>
      <c r="AH574" s="752">
        <f>$G$22*$F$9*'Traffic Data'!BJ52*annualizationFactor</f>
        <v>9.4263421311999995E-2</v>
      </c>
      <c r="AI574" s="24"/>
      <c r="AJ574" s="24"/>
      <c r="AK574" s="24"/>
      <c r="AL574" s="24"/>
      <c r="AM574" s="24"/>
    </row>
    <row r="575" spans="2:39" ht="21.9" customHeight="1" x14ac:dyDescent="0.25">
      <c r="B575" s="469" t="s">
        <v>320</v>
      </c>
      <c r="C575" s="114" t="s">
        <v>318</v>
      </c>
      <c r="D575" s="114" t="s">
        <v>308</v>
      </c>
      <c r="E575" s="273" t="s">
        <v>434</v>
      </c>
      <c r="F575" s="273" t="s">
        <v>41</v>
      </c>
      <c r="G575" s="754"/>
      <c r="H575" s="754"/>
      <c r="I575" s="749">
        <f>$G$22*$G$9*'Traffic Data'!AK53*annualizationFactor</f>
        <v>1.3724000000000001E-4</v>
      </c>
      <c r="J575" s="749">
        <f>$G$22*$G$9*'Traffic Data'!AL53*annualizationFactor</f>
        <v>5.7002634E-4</v>
      </c>
      <c r="K575" s="749">
        <f>$G$22*$G$9*'Traffic Data'!AM53*annualizationFactor</f>
        <v>5.0853595799999997E-3</v>
      </c>
      <c r="L575" s="749">
        <f>$G$22*$G$9*'Traffic Data'!AN53*annualizationFactor</f>
        <v>1.2028125320000003E-2</v>
      </c>
      <c r="M575" s="749">
        <f>$G$22*$G$9*'Traffic Data'!AO53*annualizationFactor</f>
        <v>1.8975831700000004E-2</v>
      </c>
      <c r="N575" s="749">
        <f>$G$22*$G$9*'Traffic Data'!AP53*annualizationFactor</f>
        <v>2.592079328E-2</v>
      </c>
      <c r="O575" s="749">
        <f>$G$22*$G$9*'Traffic Data'!AQ53*annualizationFactor</f>
        <v>3.2863559020000002E-2</v>
      </c>
      <c r="P575" s="749">
        <f>$G$22*$G$9*'Traffic Data'!AR53*annualizationFactor</f>
        <v>3.9815862940000009E-2</v>
      </c>
      <c r="Q575" s="749">
        <f>$G$22*$G$9*'Traffic Data'!AS53*annualizationFactor</f>
        <v>4.2679169680000004E-2</v>
      </c>
      <c r="R575" s="749">
        <f>$G$22*$G$9*'Traffic Data'!AT53*annualizationFactor</f>
        <v>4.5544672260000002E-2</v>
      </c>
      <c r="S575" s="749">
        <f>$G$22*$G$9*'Traffic Data'!AU53*annualizationFactor</f>
        <v>4.8409488640000005E-2</v>
      </c>
      <c r="T575" s="749">
        <f>$G$22*$G$9*'Traffic Data'!AV53*annualizationFactor</f>
        <v>5.1272795380000007E-2</v>
      </c>
      <c r="U575" s="749">
        <f>$G$22*$G$9*'Traffic Data'!AW53*annualizationFactor</f>
        <v>5.414289550000001E-2</v>
      </c>
      <c r="V575" s="749">
        <f>$G$22*$G$9*'Traffic Data'!AX53*annualizationFactor</f>
        <v>5.4575681840000015E-2</v>
      </c>
      <c r="W575" s="749">
        <f>$G$22*$G$9*'Traffic Data'!AY53*annualizationFactor</f>
        <v>5.5008468180000006E-2</v>
      </c>
      <c r="X575" s="749">
        <f>$G$22*$G$9*'Traffic Data'!AZ53*annualizationFactor</f>
        <v>5.5441254520000011E-2</v>
      </c>
      <c r="Y575" s="749">
        <f>$G$22*$G$9*'Traffic Data'!BA53*annualizationFactor</f>
        <v>5.5874040860000009E-2</v>
      </c>
      <c r="Z575" s="749">
        <f>$G$22*$G$9*'Traffic Data'!BB53*annualizationFactor</f>
        <v>5.6309915100000003E-2</v>
      </c>
      <c r="AA575" s="749">
        <f>$G$22*$G$9*'Traffic Data'!BC53*annualizationFactor</f>
        <v>5.6742701440000015E-2</v>
      </c>
      <c r="AB575" s="749">
        <f>$G$22*$G$9*'Traffic Data'!BD53*annualizationFactor</f>
        <v>5.7176860180000018E-2</v>
      </c>
      <c r="AC575" s="749">
        <f>$G$22*$G$9*'Traffic Data'!BE53*annualizationFactor</f>
        <v>5.7609646520000009E-2</v>
      </c>
      <c r="AD575" s="749">
        <f>$G$22*$G$9*'Traffic Data'!BF53*annualizationFactor</f>
        <v>5.8042432860000014E-2</v>
      </c>
      <c r="AE575" s="749">
        <f>$G$22*$G$9*'Traffic Data'!BG53*annualizationFactor</f>
        <v>5.8478307100000022E-2</v>
      </c>
      <c r="AF575" s="749">
        <f>$G$22*$G$9*'Traffic Data'!BH53*annualizationFactor</f>
        <v>5.8911093440000013E-2</v>
      </c>
      <c r="AG575" s="749">
        <f>$G$22*$G$9*'Traffic Data'!BI53*annualizationFactor</f>
        <v>5.9343879780000011E-2</v>
      </c>
      <c r="AH575" s="750">
        <f>$G$22*$G$9*'Traffic Data'!BJ53*annualizationFactor</f>
        <v>5.977803852E-2</v>
      </c>
      <c r="AI575" s="24"/>
      <c r="AJ575" s="24"/>
      <c r="AK575" s="24"/>
      <c r="AL575" s="24"/>
      <c r="AM575" s="24"/>
    </row>
    <row r="576" spans="2:39" ht="21.9" customHeight="1" x14ac:dyDescent="0.25">
      <c r="B576" s="1332" t="s">
        <v>308</v>
      </c>
      <c r="C576" s="217" t="s">
        <v>276</v>
      </c>
      <c r="D576" s="217" t="s">
        <v>320</v>
      </c>
      <c r="E576" s="114" t="s">
        <v>434</v>
      </c>
      <c r="F576" s="114" t="s">
        <v>41</v>
      </c>
      <c r="G576" s="941"/>
      <c r="H576" s="941"/>
      <c r="I576" s="749">
        <f>$G$22*$H$9*'Traffic Data'!AK54*annualizationFactor</f>
        <v>3.9419999999999999E-4</v>
      </c>
      <c r="J576" s="749">
        <f>$G$22*$H$9*'Traffic Data'!AL54*annualizationFactor</f>
        <v>8.7610949999999987E-4</v>
      </c>
      <c r="K576" s="749">
        <f>$G$22*$H$9*'Traffic Data'!AM54*annualizationFactor</f>
        <v>3.7029177000000007E-3</v>
      </c>
      <c r="L576" s="749">
        <f>$G$22*$H$9*'Traffic Data'!AN54*annualizationFactor</f>
        <v>8.3239271999999993E-3</v>
      </c>
      <c r="M576" s="749">
        <f>$G$22*$H$9*'Traffic Data'!AO54*annualizationFactor</f>
        <v>1.2947499000000003E-2</v>
      </c>
      <c r="N576" s="749">
        <f>$G$22*$H$9*'Traffic Data'!AP54*annualizationFactor</f>
        <v>1.75712679E-2</v>
      </c>
      <c r="O576" s="749">
        <f>$G$22*$H$9*'Traffic Data'!AQ54*annualizationFactor</f>
        <v>2.2192277400000002E-2</v>
      </c>
      <c r="P576" s="749">
        <f>$G$22*$H$9*'Traffic Data'!AR54*annualizationFactor</f>
        <v>2.6818608600000005E-2</v>
      </c>
      <c r="Q576" s="749">
        <f>$G$22*$H$9*'Traffic Data'!AS54*annualizationFactor</f>
        <v>3.0386118600000008E-2</v>
      </c>
      <c r="R576" s="749">
        <f>$G$22*$H$9*'Traffic Data'!AT54*annualizationFactor</f>
        <v>3.3954219900000006E-2</v>
      </c>
      <c r="S576" s="749">
        <f>$G$22*$H$9*'Traffic Data'!AU54*annualizationFactor</f>
        <v>3.7521729900000002E-2</v>
      </c>
      <c r="T576" s="749">
        <f>$G$22*$H$9*'Traffic Data'!AV54*annualizationFactor</f>
        <v>4.1089239899999998E-2</v>
      </c>
      <c r="U576" s="749">
        <f>$G$22*$H$9*'Traffic Data'!AW54*annualizationFactor</f>
        <v>4.46614803E-2</v>
      </c>
      <c r="V576" s="749">
        <f>$G$22*$H$9*'Traffic Data'!AX54*annualizationFactor</f>
        <v>4.6432029599999994E-2</v>
      </c>
      <c r="W576" s="749">
        <f>$G$22*$H$9*'Traffic Data'!AY54*annualizationFactor</f>
        <v>4.691393910000001E-2</v>
      </c>
      <c r="X576" s="749">
        <f>$G$22*$H$9*'Traffic Data'!AZ54*annualizationFactor</f>
        <v>4.7395848600000005E-2</v>
      </c>
      <c r="Y576" s="749">
        <f>$G$22*$H$9*'Traffic Data'!BA54*annualizationFactor</f>
        <v>4.7877758100000015E-2</v>
      </c>
      <c r="Z576" s="749">
        <f>$G$22*$H$9*'Traffic Data'!BB54*annualizationFactor</f>
        <v>4.8361047300000008E-2</v>
      </c>
      <c r="AA576" s="749">
        <f>$G$22*$H$9*'Traffic Data'!BC54*annualizationFactor</f>
        <v>4.8842956800000004E-2</v>
      </c>
      <c r="AB576" s="749">
        <f>$G$22*$H$9*'Traffic Data'!BD54*annualizationFactor</f>
        <v>4.9326245999999997E-2</v>
      </c>
      <c r="AC576" s="749">
        <f>$G$22*$H$9*'Traffic Data'!BE54*annualizationFactor</f>
        <v>4.98081555E-2</v>
      </c>
      <c r="AD576" s="749">
        <f>$G$22*$H$9*'Traffic Data'!BF54*annualizationFactor</f>
        <v>5.0290065000000009E-2</v>
      </c>
      <c r="AE576" s="749">
        <f>$G$22*$H$9*'Traffic Data'!BG54*annualizationFactor</f>
        <v>5.0773354199999995E-2</v>
      </c>
      <c r="AF576" s="749">
        <f>$G$22*$H$9*'Traffic Data'!BH54*annualizationFactor</f>
        <v>5.1255263700000005E-2</v>
      </c>
      <c r="AG576" s="749">
        <f>$G$22*$H$9*'Traffic Data'!BI54*annualizationFactor</f>
        <v>5.17371732E-2</v>
      </c>
      <c r="AH576" s="750">
        <f>$G$22*$H$9*'Traffic Data'!BJ54*annualizationFactor</f>
        <v>5.2220462400000001E-2</v>
      </c>
      <c r="AI576" s="24"/>
      <c r="AJ576" s="24"/>
      <c r="AK576" s="24"/>
      <c r="AL576" s="24"/>
      <c r="AM576" s="24"/>
    </row>
    <row r="577" spans="2:39" ht="21.9" customHeight="1" x14ac:dyDescent="0.25">
      <c r="B577" s="1332"/>
      <c r="C577" s="114" t="s">
        <v>320</v>
      </c>
      <c r="D577" s="114" t="s">
        <v>282</v>
      </c>
      <c r="E577" s="114" t="s">
        <v>434</v>
      </c>
      <c r="F577" s="114" t="s">
        <v>41</v>
      </c>
      <c r="G577" s="941"/>
      <c r="H577" s="941"/>
      <c r="I577" s="751">
        <f>$G$22*$H$9*'Traffic Data'!AK55*annualizationFactor</f>
        <v>0</v>
      </c>
      <c r="J577" s="751">
        <f>$G$22*$H$9*'Traffic Data'!AL55*annualizationFactor</f>
        <v>2.6572000000000005E-4</v>
      </c>
      <c r="K577" s="751">
        <f>$G$22*$H$9*'Traffic Data'!AM55*annualizationFactor</f>
        <v>7.6801256000000014E-4</v>
      </c>
      <c r="L577" s="751">
        <f>$G$22*$H$9*'Traffic Data'!AN55*annualizationFactor</f>
        <v>1.7264441600000004E-3</v>
      </c>
      <c r="M577" s="751">
        <f>$G$22*$H$9*'Traffic Data'!AO55*annualizationFactor</f>
        <v>2.6854072000000008E-3</v>
      </c>
      <c r="N577" s="751">
        <f>$G$22*$H$9*'Traffic Data'!AP55*annualizationFactor</f>
        <v>3.6444111199999993E-3</v>
      </c>
      <c r="O577" s="751">
        <f>$G$22*$H$9*'Traffic Data'!AQ55*annualizationFactor</f>
        <v>4.6028427199999999E-3</v>
      </c>
      <c r="P577" s="751">
        <f>$G$22*$H$9*'Traffic Data'!AR55*annualizationFactor</f>
        <v>5.5623780800000012E-3</v>
      </c>
      <c r="Q577" s="751">
        <f>$G$22*$H$9*'Traffic Data'!AS55*annualizationFactor</f>
        <v>6.302306080000002E-3</v>
      </c>
      <c r="R577" s="751">
        <f>$G$22*$H$9*'Traffic Data'!AT55*annualizationFactor</f>
        <v>7.0423567200000019E-3</v>
      </c>
      <c r="S577" s="751">
        <f>$G$22*$H$9*'Traffic Data'!AU55*annualizationFactor</f>
        <v>7.782284720000001E-3</v>
      </c>
      <c r="T577" s="751">
        <f>$G$22*$H$9*'Traffic Data'!AV55*annualizationFactor</f>
        <v>8.5222127200000001E-3</v>
      </c>
      <c r="U577" s="751">
        <f>$G$22*$H$9*'Traffic Data'!AW55*annualizationFactor</f>
        <v>9.263121840000001E-3</v>
      </c>
      <c r="V577" s="751">
        <f>$G$22*$H$9*'Traffic Data'!AX55*annualizationFactor</f>
        <v>9.6303468800000014E-3</v>
      </c>
      <c r="W577" s="751">
        <f>$G$22*$H$9*'Traffic Data'!AY55*annualizationFactor</f>
        <v>9.7302984800000034E-3</v>
      </c>
      <c r="X577" s="751">
        <f>$G$22*$H$9*'Traffic Data'!AZ55*annualizationFactor</f>
        <v>9.8302500800000019E-3</v>
      </c>
      <c r="Y577" s="751">
        <f>$G$22*$H$9*'Traffic Data'!BA55*annualizationFactor</f>
        <v>9.9302016800000021E-3</v>
      </c>
      <c r="Z577" s="751">
        <f>$G$22*$H$9*'Traffic Data'!BB55*annualizationFactor</f>
        <v>1.0030439440000004E-2</v>
      </c>
      <c r="AA577" s="751">
        <f>$G$22*$H$9*'Traffic Data'!BC55*annualizationFactor</f>
        <v>1.0130391040000002E-2</v>
      </c>
      <c r="AB577" s="751">
        <f>$G$22*$H$9*'Traffic Data'!BD55*annualizationFactor</f>
        <v>1.0230628799999999E-2</v>
      </c>
      <c r="AC577" s="751">
        <f>$G$22*$H$9*'Traffic Data'!BE55*annualizationFactor</f>
        <v>1.0330580400000001E-2</v>
      </c>
      <c r="AD577" s="751">
        <f>$G$22*$H$9*'Traffic Data'!BF55*annualizationFactor</f>
        <v>1.0430532000000001E-2</v>
      </c>
      <c r="AE577" s="751">
        <f>$G$22*$H$9*'Traffic Data'!BG55*annualizationFactor</f>
        <v>1.0530769760000001E-2</v>
      </c>
      <c r="AF577" s="751">
        <f>$G$22*$H$9*'Traffic Data'!BH55*annualizationFactor</f>
        <v>1.0630721360000001E-2</v>
      </c>
      <c r="AG577" s="751">
        <f>$G$22*$H$9*'Traffic Data'!BI55*annualizationFactor</f>
        <v>1.0730672960000001E-2</v>
      </c>
      <c r="AH577" s="752">
        <f>$G$22*$H$9*'Traffic Data'!BJ55*annualizationFactor</f>
        <v>1.083091072E-2</v>
      </c>
      <c r="AI577" s="24"/>
      <c r="AJ577" s="24"/>
      <c r="AK577" s="24"/>
      <c r="AL577" s="24"/>
      <c r="AM577" s="24"/>
    </row>
    <row r="578" spans="2:39" ht="21.9" customHeight="1" x14ac:dyDescent="0.25">
      <c r="B578" s="1332"/>
      <c r="C578" s="114" t="s">
        <v>282</v>
      </c>
      <c r="D578" s="114" t="s">
        <v>321</v>
      </c>
      <c r="E578" s="114" t="s">
        <v>434</v>
      </c>
      <c r="F578" s="114" t="s">
        <v>41</v>
      </c>
      <c r="G578" s="941"/>
      <c r="H578" s="941"/>
      <c r="I578" s="751">
        <f>$G$22*$H$9*'Traffic Data'!AK56*annualizationFactor</f>
        <v>0</v>
      </c>
      <c r="J578" s="751">
        <f>$G$22*$H$9*'Traffic Data'!AL56*annualizationFactor</f>
        <v>6.9277E-4</v>
      </c>
      <c r="K578" s="751">
        <f>$G$22*$H$9*'Traffic Data'!AM56*annualizationFactor</f>
        <v>2.0023184600000002E-3</v>
      </c>
      <c r="L578" s="751">
        <f>$G$22*$H$9*'Traffic Data'!AN56*annualizationFactor</f>
        <v>4.50108656E-3</v>
      </c>
      <c r="M578" s="751">
        <f>$G$22*$H$9*'Traffic Data'!AO56*annualizationFactor</f>
        <v>7.0012402000000015E-3</v>
      </c>
      <c r="N578" s="751">
        <f>$G$22*$H$9*'Traffic Data'!AP56*annualizationFactor</f>
        <v>9.5015004199999979E-3</v>
      </c>
      <c r="O578" s="751">
        <f>$G$22*$H$9*'Traffic Data'!AQ56*annualizationFactor</f>
        <v>1.2000268519999999E-2</v>
      </c>
      <c r="P578" s="751">
        <f>$G$22*$H$9*'Traffic Data'!AR56*annualizationFactor</f>
        <v>1.450191428E-2</v>
      </c>
      <c r="Q578" s="751">
        <f>$G$22*$H$9*'Traffic Data'!AS56*annualizationFactor</f>
        <v>1.6431012280000004E-2</v>
      </c>
      <c r="R578" s="751">
        <f>$G$22*$H$9*'Traffic Data'!AT56*annualizationFactor</f>
        <v>1.8360430020000002E-2</v>
      </c>
      <c r="S578" s="751">
        <f>$G$22*$H$9*'Traffic Data'!AU56*annualizationFactor</f>
        <v>2.0289528019999999E-2</v>
      </c>
      <c r="T578" s="751">
        <f>$G$22*$H$9*'Traffic Data'!AV56*annualizationFactor</f>
        <v>2.221862602E-2</v>
      </c>
      <c r="U578" s="751">
        <f>$G$22*$H$9*'Traffic Data'!AW56*annualizationFactor</f>
        <v>2.4150281940000001E-2</v>
      </c>
      <c r="V578" s="751">
        <f>$G$22*$H$9*'Traffic Data'!AX56*annualizationFactor</f>
        <v>2.5107690079999998E-2</v>
      </c>
      <c r="W578" s="751">
        <f>$G$22*$H$9*'Traffic Data'!AY56*annualizationFactor</f>
        <v>2.5368278179999999E-2</v>
      </c>
      <c r="X578" s="751">
        <f>$G$22*$H$9*'Traffic Data'!AZ56*annualizationFactor</f>
        <v>2.5628866280000002E-2</v>
      </c>
      <c r="Y578" s="751">
        <f>$G$22*$H$9*'Traffic Data'!BA56*annualizationFactor</f>
        <v>2.5889454380000003E-2</v>
      </c>
      <c r="Z578" s="751">
        <f>$G$22*$H$9*'Traffic Data'!BB56*annualizationFactor</f>
        <v>2.6150788540000004E-2</v>
      </c>
      <c r="AA578" s="751">
        <f>$G$22*$H$9*'Traffic Data'!BC56*annualizationFactor</f>
        <v>2.6411376640000001E-2</v>
      </c>
      <c r="AB578" s="751">
        <f>$G$22*$H$9*'Traffic Data'!BD56*annualizationFactor</f>
        <v>2.6672710799999996E-2</v>
      </c>
      <c r="AC578" s="751">
        <f>$G$22*$H$9*'Traffic Data'!BE56*annualizationFactor</f>
        <v>2.6933298899999996E-2</v>
      </c>
      <c r="AD578" s="751">
        <f>$G$22*$H$9*'Traffic Data'!BF56*annualizationFactor</f>
        <v>2.7193886999999996E-2</v>
      </c>
      <c r="AE578" s="751">
        <f>$G$22*$H$9*'Traffic Data'!BG56*annualizationFactor</f>
        <v>2.7455221159999994E-2</v>
      </c>
      <c r="AF578" s="751">
        <f>$G$22*$H$9*'Traffic Data'!BH56*annualizationFactor</f>
        <v>2.7715809259999995E-2</v>
      </c>
      <c r="AG578" s="751">
        <f>$G$22*$H$9*'Traffic Data'!BI56*annualizationFactor</f>
        <v>2.7976397359999995E-2</v>
      </c>
      <c r="AH578" s="752">
        <f>$G$22*$H$9*'Traffic Data'!BJ56*annualizationFactor</f>
        <v>2.823773152E-2</v>
      </c>
      <c r="AI578" s="24"/>
      <c r="AJ578" s="24"/>
      <c r="AK578" s="24"/>
      <c r="AL578" s="24"/>
      <c r="AM578" s="24"/>
    </row>
    <row r="579" spans="2:39" ht="21.9" customHeight="1" x14ac:dyDescent="0.25">
      <c r="B579" s="1332"/>
      <c r="C579" s="250" t="s">
        <v>321</v>
      </c>
      <c r="D579" s="250" t="s">
        <v>274</v>
      </c>
      <c r="E579" s="114" t="s">
        <v>434</v>
      </c>
      <c r="F579" s="114" t="s">
        <v>41</v>
      </c>
      <c r="G579" s="941"/>
      <c r="H579" s="941"/>
      <c r="I579" s="751">
        <f>$G$22*$H$9*'Traffic Data'!AK57*annualizationFactor</f>
        <v>9.1980000000000002E-4</v>
      </c>
      <c r="J579" s="751">
        <f>$G$22*$H$9*'Traffic Data'!AL57*annualizationFactor</f>
        <v>1.35937242E-3</v>
      </c>
      <c r="K579" s="751">
        <f>$G$22*$H$9*'Traffic Data'!AM57*annualizationFactor</f>
        <v>1.9069906800000002E-3</v>
      </c>
      <c r="L579" s="751">
        <f>$G$22*$H$9*'Traffic Data'!AN57*annualizationFactor</f>
        <v>3.0795517200000004E-3</v>
      </c>
      <c r="M579" s="751">
        <f>$G$22*$H$9*'Traffic Data'!AO57*annualizationFactor</f>
        <v>4.2522660600000008E-3</v>
      </c>
      <c r="N579" s="751">
        <f>$G$22*$H$9*'Traffic Data'!AP57*annualizationFactor</f>
        <v>5.4254709600000004E-3</v>
      </c>
      <c r="O579" s="751">
        <f>$G$22*$H$9*'Traffic Data'!AQ57*annualizationFactor</f>
        <v>6.5980320000000002E-3</v>
      </c>
      <c r="P579" s="751">
        <f>$G$22*$H$9*'Traffic Data'!AR57*annualizationFactor</f>
        <v>7.7699798400000008E-3</v>
      </c>
      <c r="Q579" s="751">
        <f>$G$22*$H$9*'Traffic Data'!AS57*annualizationFactor</f>
        <v>1.012319616E-2</v>
      </c>
      <c r="R579" s="751">
        <f>$G$22*$H$9*'Traffic Data'!AT57*annualizationFactor</f>
        <v>1.2475063440000001E-2</v>
      </c>
      <c r="S579" s="751">
        <f>$G$22*$H$9*'Traffic Data'!AU57*annualizationFactor</f>
        <v>1.4827451940000003E-2</v>
      </c>
      <c r="T579" s="751">
        <f>$G$22*$H$9*'Traffic Data'!AV57*annualizationFactor</f>
        <v>1.718066826E-2</v>
      </c>
      <c r="U579" s="751">
        <f>$G$22*$H$9*'Traffic Data'!AW57*annualizationFactor</f>
        <v>1.9533271380000002E-2</v>
      </c>
      <c r="V579" s="751">
        <f>$G$22*$H$9*'Traffic Data'!AX57*annualizationFactor</f>
        <v>2.1261483600000002E-2</v>
      </c>
      <c r="W579" s="751">
        <f>$G$22*$H$9*'Traffic Data'!AY57*annualizationFactor</f>
        <v>2.1701056020000005E-2</v>
      </c>
      <c r="X579" s="751">
        <f>$G$22*$H$9*'Traffic Data'!AZ57*annualizationFactor</f>
        <v>2.2140628440000001E-2</v>
      </c>
      <c r="Y579" s="751">
        <f>$G$22*$H$9*'Traffic Data'!BA57*annualizationFactor</f>
        <v>2.258020086E-2</v>
      </c>
      <c r="Z579" s="751">
        <f>$G$22*$H$9*'Traffic Data'!BB57*annualizationFactor</f>
        <v>2.3018454899999999E-2</v>
      </c>
      <c r="AA579" s="751">
        <f>$G$22*$H$9*'Traffic Data'!BC57*annualizationFactor</f>
        <v>2.3458027320000005E-2</v>
      </c>
      <c r="AB579" s="751">
        <f>$G$22*$H$9*'Traffic Data'!BD57*annualizationFactor</f>
        <v>2.3896281359999997E-2</v>
      </c>
      <c r="AC579" s="751">
        <f>$G$22*$H$9*'Traffic Data'!BE57*annualizationFactor</f>
        <v>2.4335853780000003E-2</v>
      </c>
      <c r="AD579" s="751">
        <f>$G$22*$H$9*'Traffic Data'!BF57*annualizationFactor</f>
        <v>2.4775426200000002E-2</v>
      </c>
      <c r="AE579" s="751">
        <f>$G$22*$H$9*'Traffic Data'!BG57*annualizationFactor</f>
        <v>2.5213680240000001E-2</v>
      </c>
      <c r="AF579" s="751">
        <f>$G$22*$H$9*'Traffic Data'!BH57*annualizationFactor</f>
        <v>2.5653252659999997E-2</v>
      </c>
      <c r="AG579" s="751">
        <f>$G$22*$H$9*'Traffic Data'!BI57*annualizationFactor</f>
        <v>2.6092825079999996E-2</v>
      </c>
      <c r="AH579" s="752">
        <f>$G$22*$H$9*'Traffic Data'!BJ57*annualizationFactor</f>
        <v>2.6531079119999999E-2</v>
      </c>
      <c r="AI579" s="24"/>
      <c r="AJ579" s="24"/>
      <c r="AK579" s="24"/>
      <c r="AL579" s="24"/>
      <c r="AM579" s="24"/>
    </row>
    <row r="580" spans="2:39" ht="21.9" customHeight="1" x14ac:dyDescent="0.25">
      <c r="B580" s="756" t="s">
        <v>321</v>
      </c>
      <c r="C580" s="273" t="s">
        <v>318</v>
      </c>
      <c r="D580" s="273" t="s">
        <v>308</v>
      </c>
      <c r="E580" s="273" t="s">
        <v>434</v>
      </c>
      <c r="F580" s="273" t="s">
        <v>41</v>
      </c>
      <c r="G580" s="754"/>
      <c r="H580" s="754"/>
      <c r="I580" s="749">
        <f>$G$22*$K$9*'Traffic Data'!AK59*annualizationFactor</f>
        <v>0</v>
      </c>
      <c r="J580" s="749">
        <f>$G$22*$K$9*'Traffic Data'!AL59*annualizationFactor</f>
        <v>8.8151132480000002E-3</v>
      </c>
      <c r="K580" s="749">
        <f>$G$22*$K$9*'Traffic Data'!AM59*annualizationFactor</f>
        <v>9.4908672400000026E-3</v>
      </c>
      <c r="L580" s="749">
        <f>$G$22*$K$9*'Traffic Data'!AN59*annualizationFactor</f>
        <v>1.0388904480000001E-2</v>
      </c>
      <c r="M580" s="749">
        <f>$G$22*$K$9*'Traffic Data'!AO59*annualizationFactor</f>
        <v>1.1287218535999999E-2</v>
      </c>
      <c r="N580" s="749">
        <f>$G$22*$K$9*'Traffic Data'!AP59*annualizationFactor</f>
        <v>1.2187470304000003E-2</v>
      </c>
      <c r="O580" s="749">
        <f>$G$22*$K$9*'Traffic Data'!AQ59*annualizationFactor</f>
        <v>1.3085507543999998E-2</v>
      </c>
      <c r="P580" s="749">
        <f>$G$22*$K$9*'Traffic Data'!AR59*annualizationFactor</f>
        <v>1.398451364E-2</v>
      </c>
      <c r="Q580" s="749">
        <f>$G$22*$K$9*'Traffic Data'!AS59*annualizationFactor</f>
        <v>1.4804258088000002E-2</v>
      </c>
      <c r="R580" s="749">
        <f>$G$22*$K$9*'Traffic Data'!AT59*annualizationFactor</f>
        <v>1.5623310496000001E-2</v>
      </c>
      <c r="S580" s="749">
        <f>$G$22*$K$9*'Traffic Data'!AU59*annualizationFactor</f>
        <v>1.6443101080000001E-2</v>
      </c>
      <c r="T580" s="749">
        <f>$G$22*$K$9*'Traffic Data'!AV59*annualizationFactor</f>
        <v>1.7262845528E-2</v>
      </c>
      <c r="U580" s="749">
        <f>$G$22*$K$9*'Traffic Data'!AW59*annualizationFactor</f>
        <v>1.8085496544000001E-2</v>
      </c>
      <c r="V580" s="749">
        <f>$G$22*$K$9*'Traffic Data'!AX59*annualizationFactor</f>
        <v>1.8682311840000004E-2</v>
      </c>
      <c r="W580" s="749">
        <f>$G$22*$K$9*'Traffic Data'!AY59*annualizationFactor</f>
        <v>1.9192945088000003E-2</v>
      </c>
      <c r="X580" s="749">
        <f>$G$22*$K$9*'Traffic Data'!AZ59*annualizationFactor</f>
        <v>1.9703578335999998E-2</v>
      </c>
      <c r="Y580" s="749">
        <f>$G$22*$K$9*'Traffic Data'!BA59*annualizationFactor</f>
        <v>2.0214211584E-2</v>
      </c>
      <c r="Z580" s="749">
        <f>$G$22*$K$9*'Traffic Data'!BB59*annualizationFactor</f>
        <v>2.0725398464000001E-2</v>
      </c>
      <c r="AA580" s="749">
        <f>$G$22*$K$9*'Traffic Data'!BC59*annualizationFactor</f>
        <v>2.1236031711999996E-2</v>
      </c>
      <c r="AB580" s="749">
        <f>$G$22*$K$9*'Traffic Data'!BD59*annualizationFactor</f>
        <v>2.1747910632000003E-2</v>
      </c>
      <c r="AC580" s="749">
        <f>$G$22*$K$9*'Traffic Data'!BE59*annualizationFactor</f>
        <v>2.2258543879999999E-2</v>
      </c>
      <c r="AD580" s="749">
        <f>$G$22*$K$9*'Traffic Data'!BF59*annualizationFactor</f>
        <v>2.2769177128000001E-2</v>
      </c>
      <c r="AE580" s="749">
        <f>$G$22*$K$9*'Traffic Data'!BG59*annualizationFactor</f>
        <v>2.3280364007999998E-2</v>
      </c>
      <c r="AF580" s="749">
        <f>$G$22*$K$9*'Traffic Data'!BH59*annualizationFactor</f>
        <v>2.3790997256E-2</v>
      </c>
      <c r="AG580" s="749">
        <f>$G$22*$K$9*'Traffic Data'!BI59*annualizationFactor</f>
        <v>2.4301630503999999E-2</v>
      </c>
      <c r="AH580" s="750">
        <f>$G$22*$K$9*'Traffic Data'!BJ59*annualizationFactor</f>
        <v>2.4813509423999996E-2</v>
      </c>
      <c r="AI580" s="24"/>
      <c r="AJ580" s="24"/>
      <c r="AK580" s="24"/>
      <c r="AL580" s="24"/>
      <c r="AM580" s="24"/>
    </row>
    <row r="581" spans="2:39" ht="21.9" customHeight="1" x14ac:dyDescent="0.25">
      <c r="B581" s="756" t="s">
        <v>333</v>
      </c>
      <c r="C581" s="273" t="s">
        <v>319</v>
      </c>
      <c r="D581" s="273" t="s">
        <v>308</v>
      </c>
      <c r="E581" s="114" t="s">
        <v>434</v>
      </c>
      <c r="F581" s="114" t="s">
        <v>41</v>
      </c>
      <c r="G581" s="941"/>
      <c r="H581" s="941"/>
      <c r="I581" s="749">
        <f>$G$22*$L$9*'Traffic Data'!AK60*annualizationFactor</f>
        <v>9.7474909090909095E-3</v>
      </c>
      <c r="J581" s="749">
        <f>$G$22*$L$9*'Traffic Data'!AL60*annualizationFactor</f>
        <v>9.8813293745454549E-3</v>
      </c>
      <c r="K581" s="749">
        <f>$G$22*$L$9*'Traffic Data'!AM60*annualizationFactor</f>
        <v>1.0112669825454546E-2</v>
      </c>
      <c r="L581" s="749">
        <f>$G$22*$L$9*'Traffic Data'!AN60*annualizationFactor</f>
        <v>1.0430275570909094E-2</v>
      </c>
      <c r="M581" s="749">
        <f>$G$22*$L$9*'Traffic Data'!AO60*annualizationFactor</f>
        <v>1.0748016698181819E-2</v>
      </c>
      <c r="N581" s="749">
        <f>$G$22*$L$9*'Traffic Data'!AP60*annualizationFactor</f>
        <v>1.1066218123636362E-2</v>
      </c>
      <c r="O581" s="749">
        <f>$G$22*$L$9*'Traffic Data'!AQ60*annualizationFactor</f>
        <v>1.1383823869090912E-2</v>
      </c>
      <c r="P581" s="749">
        <f>$G$22*$L$9*'Traffic Data'!AR60*annualizationFactor</f>
        <v>1.1702539745454545E-2</v>
      </c>
      <c r="Q581" s="749">
        <f>$G$22*$L$9*'Traffic Data'!AS60*annualizationFactor</f>
        <v>1.1923564101818182E-2</v>
      </c>
      <c r="R581" s="749">
        <f>$G$22*$L$9*'Traffic Data'!AT60*annualizationFactor</f>
        <v>1.2144615534545454E-2</v>
      </c>
      <c r="S581" s="749">
        <f>$G$22*$L$9*'Traffic Data'!AU60*annualizationFactor</f>
        <v>1.2365694043636364E-2</v>
      </c>
      <c r="T581" s="749">
        <f>$G$22*$L$9*'Traffic Data'!AV60*annualizationFactor</f>
        <v>1.2586718400000004E-2</v>
      </c>
      <c r="U581" s="749">
        <f>$G$22*$L$9*'Traffic Data'!AW60*annualizationFactor</f>
        <v>1.2809313185454547E-2</v>
      </c>
      <c r="V581" s="749">
        <f>$G$22*$L$9*'Traffic Data'!AX60*annualizationFactor</f>
        <v>1.294315165090909E-2</v>
      </c>
      <c r="W581" s="749">
        <f>$G$22*$L$9*'Traffic Data'!AY60*annualizationFactor</f>
        <v>1.3076990116363634E-2</v>
      </c>
      <c r="X581" s="749">
        <f>$G$22*$L$9*'Traffic Data'!AZ60*annualizationFactor</f>
        <v>1.3210828581818183E-2</v>
      </c>
      <c r="Y581" s="749">
        <f>$G$22*$L$9*'Traffic Data'!BA60*annualizationFactor</f>
        <v>1.3344667047272725E-2</v>
      </c>
      <c r="Z581" s="749">
        <f>$G$22*$L$9*'Traffic Data'!BB60*annualizationFactor</f>
        <v>1.3479426109090911E-2</v>
      </c>
      <c r="AA581" s="749">
        <f>$G$22*$L$9*'Traffic Data'!BC60*annualizationFactor</f>
        <v>1.3613264574545455E-2</v>
      </c>
      <c r="AB581" s="749">
        <f>$G$22*$L$9*'Traffic Data'!BD60*annualizationFactor</f>
        <v>1.3747617490909095E-2</v>
      </c>
      <c r="AC581" s="749">
        <f>$G$22*$L$9*'Traffic Data'!BE60*annualizationFactor</f>
        <v>1.3881455956363633E-2</v>
      </c>
      <c r="AD581" s="749">
        <f>$G$22*$L$9*'Traffic Data'!BF60*annualizationFactor</f>
        <v>1.4015294421818186E-2</v>
      </c>
      <c r="AE581" s="749">
        <f>$G$22*$L$9*'Traffic Data'!BG60*annualizationFactor</f>
        <v>1.4150053483636366E-2</v>
      </c>
      <c r="AF581" s="749">
        <f>$G$22*$L$9*'Traffic Data'!BH60*annualizationFactor</f>
        <v>1.4283891949090913E-2</v>
      </c>
      <c r="AG581" s="749">
        <f>$G$22*$L$9*'Traffic Data'!BI60*annualizationFactor</f>
        <v>1.4417730414545457E-2</v>
      </c>
      <c r="AH581" s="750">
        <f>$G$22*$L$9*'Traffic Data'!BJ60*annualizationFactor</f>
        <v>1.4552083330909092E-2</v>
      </c>
      <c r="AI581" s="24"/>
      <c r="AJ581" s="24"/>
      <c r="AK581" s="24"/>
      <c r="AL581" s="24"/>
      <c r="AM581" s="24"/>
    </row>
    <row r="582" spans="2:39" ht="21.9" customHeight="1" x14ac:dyDescent="0.25">
      <c r="B582" s="469" t="s">
        <v>319</v>
      </c>
      <c r="C582" s="114" t="s">
        <v>276</v>
      </c>
      <c r="D582" s="114" t="s">
        <v>333</v>
      </c>
      <c r="E582" s="217" t="s">
        <v>434</v>
      </c>
      <c r="F582" s="217" t="s">
        <v>41</v>
      </c>
      <c r="G582" s="749"/>
      <c r="H582" s="749"/>
      <c r="I582" s="749">
        <f>$G$22*$M$9*'Traffic Data'!AK61*annualizationFactor</f>
        <v>3.5006818181818188E-2</v>
      </c>
      <c r="J582" s="749">
        <f>$G$22*$M$9*'Traffic Data'!AL61*annualizationFactor</f>
        <v>3.6015959729545466E-2</v>
      </c>
      <c r="K582" s="749">
        <f>$G$22*$M$9*'Traffic Data'!AM61*annualizationFactor</f>
        <v>3.710824247045455E-2</v>
      </c>
      <c r="L582" s="749">
        <f>$G$22*$M$9*'Traffic Data'!AN61*annualizationFactor</f>
        <v>3.8557349709090916E-2</v>
      </c>
      <c r="M582" s="749">
        <f>$G$22*$M$9*'Traffic Data'!AO61*annualizationFactor</f>
        <v>4.0006701995454551E-2</v>
      </c>
      <c r="N582" s="749">
        <f>$G$22*$M$9*'Traffic Data'!AP61*annualizationFactor</f>
        <v>4.1456649397727273E-2</v>
      </c>
      <c r="O582" s="749">
        <f>$G$22*$M$9*'Traffic Data'!AQ61*annualizationFactor</f>
        <v>4.2905756636363646E-2</v>
      </c>
      <c r="P582" s="749">
        <f>$G$22*$M$9*'Traffic Data'!AR61*annualizationFactor</f>
        <v>4.4355248950000009E-2</v>
      </c>
      <c r="Q582" s="749">
        <f>$G$22*$M$9*'Traffic Data'!AS61*annualizationFactor</f>
        <v>4.595022960000001E-2</v>
      </c>
      <c r="R582" s="749">
        <f>$G$22*$M$9*'Traffic Data'!AT61*annualizationFactor</f>
        <v>4.7544685147727278E-2</v>
      </c>
      <c r="S582" s="749">
        <f>$G$22*$M$9*'Traffic Data'!AU61*annualizationFactor</f>
        <v>4.9139665797727286E-2</v>
      </c>
      <c r="T582" s="749">
        <f>$G$22*$M$9*'Traffic Data'!AV61*annualizationFactor</f>
        <v>5.073464644772728E-2</v>
      </c>
      <c r="U582" s="749">
        <f>$G$22*$M$9*'Traffic Data'!AW61*annualizationFactor</f>
        <v>5.2330537275000012E-2</v>
      </c>
      <c r="V582" s="749">
        <f>$G$22*$M$9*'Traffic Data'!AX61*annualizationFactor</f>
        <v>5.3568553400000003E-2</v>
      </c>
      <c r="W582" s="749">
        <f>$G$22*$M$9*'Traffic Data'!AY61*annualizationFactor</f>
        <v>5.4577694947727282E-2</v>
      </c>
      <c r="X582" s="749">
        <f>$G$22*$M$9*'Traffic Data'!AZ61*annualizationFactor</f>
        <v>5.558683649545456E-2</v>
      </c>
      <c r="Y582" s="749">
        <f>$G$22*$M$9*'Traffic Data'!BA61*annualizationFactor</f>
        <v>5.6595978043181838E-2</v>
      </c>
      <c r="Z582" s="749">
        <f>$G$22*$M$9*'Traffic Data'!BB61*annualizationFactor</f>
        <v>5.7605014570454555E-2</v>
      </c>
      <c r="AA582" s="749">
        <f>$G$22*$M$9*'Traffic Data'!BC61*annualizationFactor</f>
        <v>5.8614156118181819E-2</v>
      </c>
      <c r="AB582" s="749">
        <f>$G$22*$M$9*'Traffic Data'!BD61*annualizationFactor</f>
        <v>5.9623192645454536E-2</v>
      </c>
      <c r="AC582" s="749">
        <f>$G$22*$M$9*'Traffic Data'!BE61*annualizationFactor</f>
        <v>6.0632334193181842E-2</v>
      </c>
      <c r="AD582" s="749">
        <f>$G$22*$M$9*'Traffic Data'!BF61*annualizationFactor</f>
        <v>6.1641475740909113E-2</v>
      </c>
      <c r="AE582" s="749">
        <f>$G$22*$M$9*'Traffic Data'!BG61*annualizationFactor</f>
        <v>6.2650512268181829E-2</v>
      </c>
      <c r="AF582" s="749">
        <f>$G$22*$M$9*'Traffic Data'!BH61*annualizationFactor</f>
        <v>6.3659653815909101E-2</v>
      </c>
      <c r="AG582" s="749">
        <f>$G$22*$M$9*'Traffic Data'!BI61*annualizationFactor</f>
        <v>6.4668795363636372E-2</v>
      </c>
      <c r="AH582" s="750">
        <f>$G$22*$M$9*'Traffic Data'!BJ61*annualizationFactor</f>
        <v>6.5677831890909116E-2</v>
      </c>
      <c r="AI582" s="24"/>
      <c r="AJ582" s="24"/>
      <c r="AK582" s="24"/>
      <c r="AL582" s="24"/>
      <c r="AM582" s="24"/>
    </row>
    <row r="583" spans="2:39" ht="21.9" customHeight="1" x14ac:dyDescent="0.25">
      <c r="B583" s="469"/>
      <c r="C583" s="114" t="s">
        <v>333</v>
      </c>
      <c r="D583" s="114" t="s">
        <v>323</v>
      </c>
      <c r="E583" s="114" t="s">
        <v>434</v>
      </c>
      <c r="F583" s="114" t="s">
        <v>41</v>
      </c>
      <c r="G583" s="941"/>
      <c r="H583" s="941"/>
      <c r="I583" s="751">
        <f>$G$22*$M$9*'Traffic Data'!AK62*annualizationFactor</f>
        <v>5.0982757575757584E-3</v>
      </c>
      <c r="J583" s="751">
        <f>$G$22*$M$9*'Traffic Data'!AL62*annualizationFactor</f>
        <v>5.2429728734848489E-3</v>
      </c>
      <c r="K583" s="751">
        <f>$G$22*$M$9*'Traffic Data'!AM62*annualizationFactor</f>
        <v>5.4035484350757577E-3</v>
      </c>
      <c r="L583" s="751">
        <f>$G$22*$M$9*'Traffic Data'!AN62*annualizationFactor</f>
        <v>5.628932473106061E-3</v>
      </c>
      <c r="M583" s="751">
        <f>$G$22*$M$9*'Traffic Data'!AO62*annualizationFactor</f>
        <v>5.8543567606818185E-3</v>
      </c>
      <c r="N583" s="751">
        <f>$G$22*$M$9*'Traffic Data'!AP62*annualizationFactor</f>
        <v>6.0798280060606049E-3</v>
      </c>
      <c r="O583" s="751">
        <f>$G$22*$M$9*'Traffic Data'!AQ62*annualizationFactor</f>
        <v>6.3052120440909099E-3</v>
      </c>
      <c r="P583" s="751">
        <f>$G$22*$M$9*'Traffic Data'!AR62*annualizationFactor</f>
        <v>6.5306094986363637E-3</v>
      </c>
      <c r="Q583" s="751">
        <f>$G$22*$M$9*'Traffic Data'!AS62*annualizationFactor</f>
        <v>6.7839468459848506E-3</v>
      </c>
      <c r="R583" s="751">
        <f>$G$22*$M$9*'Traffic Data'!AT62*annualizationFactor</f>
        <v>7.0371969859848484E-3</v>
      </c>
      <c r="S583" s="751">
        <f>$G$22*$M$9*'Traffic Data'!AU62*annualizationFactor</f>
        <v>7.2905343333333318E-3</v>
      </c>
      <c r="T583" s="751">
        <f>$G$22*$M$9*'Traffic Data'!AV62*annualizationFactor</f>
        <v>7.5438716806818171E-3</v>
      </c>
      <c r="U583" s="751">
        <f>$G$22*$M$9*'Traffic Data'!AW62*annualizationFactor</f>
        <v>7.7972492775757584E-3</v>
      </c>
      <c r="V583" s="751">
        <f>$G$22*$M$9*'Traffic Data'!AX62*annualizationFactor</f>
        <v>7.985804981515153E-3</v>
      </c>
      <c r="W583" s="751">
        <f>$G$22*$M$9*'Traffic Data'!AY62*annualizationFactor</f>
        <v>8.1305020974242418E-3</v>
      </c>
      <c r="X583" s="751">
        <f>$G$22*$M$9*'Traffic Data'!AZ62*annualizationFactor</f>
        <v>8.2751992133333358E-3</v>
      </c>
      <c r="Y583" s="751">
        <f>$G$22*$M$9*'Traffic Data'!BA62*annualizationFactor</f>
        <v>8.4198963292424246E-3</v>
      </c>
      <c r="Z583" s="751">
        <f>$G$22*$M$9*'Traffic Data'!BB62*annualizationFactor</f>
        <v>8.5645196543181808E-3</v>
      </c>
      <c r="AA583" s="751">
        <f>$G$22*$M$9*'Traffic Data'!BC62*annualizationFactor</f>
        <v>8.7092167702272714E-3</v>
      </c>
      <c r="AB583" s="751">
        <f>$G$22*$M$9*'Traffic Data'!BD62*annualizationFactor</f>
        <v>8.8538400953030293E-3</v>
      </c>
      <c r="AC583" s="751">
        <f>$G$22*$M$9*'Traffic Data'!BE62*annualizationFactor</f>
        <v>8.9985372112121216E-3</v>
      </c>
      <c r="AD583" s="751">
        <f>$G$22*$M$9*'Traffic Data'!BF62*annualizationFactor</f>
        <v>9.1432343271212121E-3</v>
      </c>
      <c r="AE583" s="751">
        <f>$G$22*$M$9*'Traffic Data'!BG62*annualizationFactor</f>
        <v>9.2878576521969684E-3</v>
      </c>
      <c r="AF583" s="751">
        <f>$G$22*$M$9*'Traffic Data'!BH62*annualizationFactor</f>
        <v>9.4325547681060606E-3</v>
      </c>
      <c r="AG583" s="751">
        <f>$G$22*$M$9*'Traffic Data'!BI62*annualizationFactor</f>
        <v>9.5772518840151494E-3</v>
      </c>
      <c r="AH583" s="752">
        <f>$G$22*$M$9*'Traffic Data'!BJ62*annualizationFactor</f>
        <v>9.7218752090909074E-3</v>
      </c>
      <c r="AI583" s="24"/>
      <c r="AJ583" s="24"/>
      <c r="AK583" s="24"/>
      <c r="AL583" s="24"/>
      <c r="AM583" s="24"/>
    </row>
    <row r="584" spans="2:39" ht="21.9" customHeight="1" x14ac:dyDescent="0.25">
      <c r="B584" s="469"/>
      <c r="C584" s="114" t="s">
        <v>323</v>
      </c>
      <c r="D584" s="114" t="s">
        <v>322</v>
      </c>
      <c r="E584" s="114" t="s">
        <v>434</v>
      </c>
      <c r="F584" s="114" t="s">
        <v>41</v>
      </c>
      <c r="G584" s="941"/>
      <c r="H584" s="941"/>
      <c r="I584" s="751">
        <f>$G$22*$M$9*'Traffic Data'!AK63*annualizationFactor</f>
        <v>1.260909090909091E-3</v>
      </c>
      <c r="J584" s="751">
        <f>$G$22*$M$9*'Traffic Data'!AL63*annualizationFactor</f>
        <v>1.2966956818181818E-3</v>
      </c>
      <c r="K584" s="751">
        <f>$G$22*$M$9*'Traffic Data'!AM63*annualizationFactor</f>
        <v>1.3364093409090909E-3</v>
      </c>
      <c r="L584" s="751">
        <f>$G$22*$M$9*'Traffic Data'!AN63*annualizationFactor</f>
        <v>1.3921514772727273E-3</v>
      </c>
      <c r="M584" s="751">
        <f>$G$22*$M$9*'Traffic Data'!AO63*annualizationFactor</f>
        <v>1.4479035681818184E-3</v>
      </c>
      <c r="N584" s="751">
        <f>$G$22*$M$9*'Traffic Data'!AP63*annualizationFactor</f>
        <v>1.5036672727272726E-3</v>
      </c>
      <c r="O584" s="751">
        <f>$G$22*$M$9*'Traffic Data'!AQ63*annualizationFactor</f>
        <v>1.559409409090909E-3</v>
      </c>
      <c r="P584" s="751">
        <f>$G$22*$M$9*'Traffic Data'!AR63*annualizationFactor</f>
        <v>1.615154863636364E-3</v>
      </c>
      <c r="Q584" s="751">
        <f>$G$22*$M$9*'Traffic Data'!AS63*annualizationFactor</f>
        <v>1.6778104318181822E-3</v>
      </c>
      <c r="R584" s="751">
        <f>$G$22*$M$9*'Traffic Data'!AT63*annualizationFactor</f>
        <v>1.7404444318181815E-3</v>
      </c>
      <c r="S584" s="751">
        <f>$G$22*$M$9*'Traffic Data'!AU63*annualizationFactor</f>
        <v>1.8030999999999998E-3</v>
      </c>
      <c r="T584" s="751">
        <f>$G$22*$M$9*'Traffic Data'!AV63*annualizationFactor</f>
        <v>1.865755568181818E-3</v>
      </c>
      <c r="U584" s="751">
        <f>$G$22*$M$9*'Traffic Data'!AW63*annualizationFactor</f>
        <v>1.9284210909090908E-3</v>
      </c>
      <c r="V584" s="751">
        <f>$G$22*$M$9*'Traffic Data'!AX63*annualizationFactor</f>
        <v>1.9750548181818178E-3</v>
      </c>
      <c r="W584" s="751">
        <f>$G$22*$M$9*'Traffic Data'!AY63*annualizationFactor</f>
        <v>2.0108414090909089E-3</v>
      </c>
      <c r="X584" s="751">
        <f>$G$22*$M$9*'Traffic Data'!AZ63*annualizationFactor</f>
        <v>2.046628E-3</v>
      </c>
      <c r="Y584" s="751">
        <f>$G$22*$M$9*'Traffic Data'!BA63*annualizationFactor</f>
        <v>2.0824145909090911E-3</v>
      </c>
      <c r="Z584" s="751">
        <f>$G$22*$M$9*'Traffic Data'!BB63*annualizationFactor</f>
        <v>2.1181829318181818E-3</v>
      </c>
      <c r="AA584" s="751">
        <f>$G$22*$M$9*'Traffic Data'!BC63*annualizationFactor</f>
        <v>2.1539695227272724E-3</v>
      </c>
      <c r="AB584" s="751">
        <f>$G$22*$M$9*'Traffic Data'!BD63*annualizationFactor</f>
        <v>2.1897378636363636E-3</v>
      </c>
      <c r="AC584" s="751">
        <f>$G$22*$M$9*'Traffic Data'!BE63*annualizationFactor</f>
        <v>2.2255244545454547E-3</v>
      </c>
      <c r="AD584" s="751">
        <f>$G$22*$M$9*'Traffic Data'!BF63*annualizationFactor</f>
        <v>2.2613110454545457E-3</v>
      </c>
      <c r="AE584" s="751">
        <f>$G$22*$M$9*'Traffic Data'!BG63*annualizationFactor</f>
        <v>2.297079386363636E-3</v>
      </c>
      <c r="AF584" s="751">
        <f>$G$22*$M$9*'Traffic Data'!BH63*annualizationFactor</f>
        <v>2.3328659772727271E-3</v>
      </c>
      <c r="AG584" s="751">
        <f>$G$22*$M$9*'Traffic Data'!BI63*annualizationFactor</f>
        <v>2.3686525681818177E-3</v>
      </c>
      <c r="AH584" s="752">
        <f>$G$22*$M$9*'Traffic Data'!BJ63*annualizationFactor</f>
        <v>2.4044209090909089E-3</v>
      </c>
      <c r="AI584" s="24"/>
      <c r="AJ584" s="24"/>
      <c r="AK584" s="24"/>
      <c r="AL584" s="24"/>
      <c r="AM584" s="24"/>
    </row>
    <row r="585" spans="2:39" ht="21.9" customHeight="1" x14ac:dyDescent="0.25">
      <c r="B585" s="469"/>
      <c r="C585" s="114" t="s">
        <v>322</v>
      </c>
      <c r="D585" s="114" t="s">
        <v>326</v>
      </c>
      <c r="E585" s="114" t="s">
        <v>434</v>
      </c>
      <c r="F585" s="114" t="s">
        <v>41</v>
      </c>
      <c r="G585" s="941"/>
      <c r="H585" s="941"/>
      <c r="I585" s="751">
        <f>$G$22*$M$9*'Traffic Data'!AK64*annualizationFactor</f>
        <v>3.2352272727272733E-3</v>
      </c>
      <c r="J585" s="751">
        <f>$G$22*$M$9*'Traffic Data'!AL64*annualizationFactor</f>
        <v>3.3269675340909096E-3</v>
      </c>
      <c r="K585" s="751">
        <f>$G$22*$M$9*'Traffic Data'!AM64*annualizationFactor</f>
        <v>3.4315031193181819E-3</v>
      </c>
      <c r="L585" s="751">
        <f>$G$22*$M$9*'Traffic Data'!AN64*annualizationFactor</f>
        <v>3.5650748693181822E-3</v>
      </c>
      <c r="M585" s="751">
        <f>$G$22*$M$9*'Traffic Data'!AO64*annualizationFactor</f>
        <v>3.6986897556818186E-3</v>
      </c>
      <c r="N585" s="751">
        <f>$G$22*$M$9*'Traffic Data'!AP64*annualizationFactor</f>
        <v>3.8322830738636376E-3</v>
      </c>
      <c r="O585" s="751">
        <f>$G$22*$M$9*'Traffic Data'!AQ64*annualizationFactor</f>
        <v>3.9658548238636375E-3</v>
      </c>
      <c r="P585" s="751">
        <f>$G$22*$M$9*'Traffic Data'!AR64*annualizationFactor</f>
        <v>4.0994535340909098E-3</v>
      </c>
      <c r="Q585" s="751">
        <f>$G$22*$M$9*'Traffic Data'!AS64*annualizationFactor</f>
        <v>4.2504523749999999E-3</v>
      </c>
      <c r="R585" s="751">
        <f>$G$22*$M$9*'Traffic Data'!AT64*annualizationFactor</f>
        <v>4.4014458238636365E-3</v>
      </c>
      <c r="S585" s="751">
        <f>$G$22*$M$9*'Traffic Data'!AU64*annualizationFactor</f>
        <v>4.5524230965909096E-3</v>
      </c>
      <c r="T585" s="751">
        <f>$G$22*$M$9*'Traffic Data'!AV64*annualizationFactor</f>
        <v>4.7034219375000014E-3</v>
      </c>
      <c r="U585" s="751">
        <f>$G$22*$M$9*'Traffic Data'!AW64*annualizationFactor</f>
        <v>4.8544477386363635E-3</v>
      </c>
      <c r="V585" s="751">
        <f>$G$22*$M$9*'Traffic Data'!AX64*annualizationFactor</f>
        <v>4.9764050227272738E-3</v>
      </c>
      <c r="W585" s="751">
        <f>$G$22*$M$9*'Traffic Data'!AY64*annualizationFactor</f>
        <v>5.0681452840909101E-3</v>
      </c>
      <c r="X585" s="751">
        <f>$G$22*$M$9*'Traffic Data'!AZ64*annualizationFactor</f>
        <v>5.1598855454545473E-3</v>
      </c>
      <c r="Y585" s="751">
        <f>$G$22*$M$9*'Traffic Data'!BA64*annualizationFactor</f>
        <v>5.2516258068181828E-3</v>
      </c>
      <c r="Z585" s="751">
        <f>$G$22*$M$9*'Traffic Data'!BB64*annualizationFactor</f>
        <v>5.3433391079545471E-3</v>
      </c>
      <c r="AA585" s="751">
        <f>$G$22*$M$9*'Traffic Data'!BC64*annualizationFactor</f>
        <v>5.4350793693181809E-3</v>
      </c>
      <c r="AB585" s="751">
        <f>$G$22*$M$9*'Traffic Data'!BD64*annualizationFactor</f>
        <v>5.5267926704545452E-3</v>
      </c>
      <c r="AC585" s="751">
        <f>$G$22*$M$9*'Traffic Data'!BE64*annualizationFactor</f>
        <v>5.6185329318181815E-3</v>
      </c>
      <c r="AD585" s="751">
        <f>$G$22*$M$9*'Traffic Data'!BF64*annualizationFactor</f>
        <v>5.7102731931818178E-3</v>
      </c>
      <c r="AE585" s="751">
        <f>$G$22*$M$9*'Traffic Data'!BG64*annualizationFactor</f>
        <v>5.8019864943181804E-3</v>
      </c>
      <c r="AF585" s="751">
        <f>$G$22*$M$9*'Traffic Data'!BH64*annualizationFactor</f>
        <v>5.8937267556818176E-3</v>
      </c>
      <c r="AG585" s="751">
        <f>$G$22*$M$9*'Traffic Data'!BI64*annualizationFactor</f>
        <v>5.9854670170454531E-3</v>
      </c>
      <c r="AH585" s="752">
        <f>$G$22*$M$9*'Traffic Data'!BJ64*annualizationFactor</f>
        <v>6.0771803181818166E-3</v>
      </c>
      <c r="AI585" s="24"/>
      <c r="AJ585" s="24"/>
      <c r="AK585" s="24"/>
      <c r="AL585" s="24"/>
      <c r="AM585" s="24"/>
    </row>
    <row r="586" spans="2:39" ht="21.9" customHeight="1" x14ac:dyDescent="0.25">
      <c r="B586" s="469"/>
      <c r="C586" s="114" t="s">
        <v>326</v>
      </c>
      <c r="D586" s="114" t="s">
        <v>274</v>
      </c>
      <c r="E586" s="114" t="s">
        <v>434</v>
      </c>
      <c r="F586" s="114" t="s">
        <v>41</v>
      </c>
      <c r="G586" s="941"/>
      <c r="H586" s="941"/>
      <c r="I586" s="751">
        <f>$G$22*$M$9*'Traffic Data'!AK65*annualizationFactor</f>
        <v>2.6860681818181822E-2</v>
      </c>
      <c r="J586" s="751">
        <f>$G$22*$M$9*'Traffic Data'!AL65*annualizationFactor</f>
        <v>2.7622361218939399E-2</v>
      </c>
      <c r="K586" s="751">
        <f>$G$22*$M$9*'Traffic Data'!AM65*annualizationFactor</f>
        <v>2.8490274616287878E-2</v>
      </c>
      <c r="L586" s="751">
        <f>$G$22*$M$9*'Traffic Data'!AN65*annualizationFactor</f>
        <v>2.9599262632954551E-2</v>
      </c>
      <c r="M586" s="751">
        <f>$G$22*$M$9*'Traffic Data'!AO65*annualizationFactor</f>
        <v>3.0708608792045459E-2</v>
      </c>
      <c r="N586" s="751">
        <f>$G$22*$M$9*'Traffic Data'!AP65*annualizationFactor</f>
        <v>3.1817775879924258E-2</v>
      </c>
      <c r="O586" s="751">
        <f>$G$22*$M$9*'Traffic Data'!AQ65*annualizationFactor</f>
        <v>3.292676389659091E-2</v>
      </c>
      <c r="P586" s="751">
        <f>$G$22*$M$9*'Traffic Data'!AR65*annualizationFactor</f>
        <v>3.4035975752272733E-2</v>
      </c>
      <c r="Q586" s="751">
        <f>$G$22*$M$9*'Traffic Data'!AS65*annualizationFactor</f>
        <v>3.5289653308333335E-2</v>
      </c>
      <c r="R586" s="751">
        <f>$G$22*$M$9*'Traffic Data'!AT65*annualizationFactor</f>
        <v>3.6543286096590917E-2</v>
      </c>
      <c r="S586" s="751">
        <f>$G$22*$M$9*'Traffic Data'!AU65*annualizationFactor</f>
        <v>3.7796784581439397E-2</v>
      </c>
      <c r="T586" s="751">
        <f>$G$22*$M$9*'Traffic Data'!AV65*annualizationFactor</f>
        <v>3.9050462137500005E-2</v>
      </c>
      <c r="U586" s="751">
        <f>$G$22*$M$9*'Traffic Data'!AW65*annualizationFactor</f>
        <v>4.0304363532575764E-2</v>
      </c>
      <c r="V586" s="751">
        <f>$G$22*$M$9*'Traffic Data'!AX65*annualizationFactor</f>
        <v>4.1316921701515158E-2</v>
      </c>
      <c r="W586" s="751">
        <f>$G$22*$M$9*'Traffic Data'!AY65*annualizationFactor</f>
        <v>4.2078601102272732E-2</v>
      </c>
      <c r="X586" s="751">
        <f>$G$22*$M$9*'Traffic Data'!AZ65*annualizationFactor</f>
        <v>4.284028050303032E-2</v>
      </c>
      <c r="Y586" s="751">
        <f>$G$22*$M$9*'Traffic Data'!BA65*annualizationFactor</f>
        <v>4.3601959903787894E-2</v>
      </c>
      <c r="Z586" s="751">
        <f>$G$22*$M$9*'Traffic Data'!BB65*annualizationFactor</f>
        <v>4.4363415465530319E-2</v>
      </c>
      <c r="AA586" s="751">
        <f>$G$22*$M$9*'Traffic Data'!BC65*annualizationFactor</f>
        <v>4.5125094866287872E-2</v>
      </c>
      <c r="AB586" s="751">
        <f>$G$22*$M$9*'Traffic Data'!BD65*annualizationFactor</f>
        <v>4.5886550428030304E-2</v>
      </c>
      <c r="AC586" s="751">
        <f>$G$22*$M$9*'Traffic Data'!BE65*annualizationFactor</f>
        <v>4.6648229828787878E-2</v>
      </c>
      <c r="AD586" s="751">
        <f>$G$22*$M$9*'Traffic Data'!BF65*annualizationFactor</f>
        <v>4.7409909229545459E-2</v>
      </c>
      <c r="AE586" s="751">
        <f>$G$22*$M$9*'Traffic Data'!BG65*annualizationFactor</f>
        <v>4.8171364791287863E-2</v>
      </c>
      <c r="AF586" s="751">
        <f>$G$22*$M$9*'Traffic Data'!BH65*annualizationFactor</f>
        <v>4.8933044192045458E-2</v>
      </c>
      <c r="AG586" s="751">
        <f>$G$22*$M$9*'Traffic Data'!BI65*annualizationFactor</f>
        <v>4.9694723592803025E-2</v>
      </c>
      <c r="AH586" s="752">
        <f>$G$22*$M$9*'Traffic Data'!BJ65*annualizationFactor</f>
        <v>5.0456179154545443E-2</v>
      </c>
      <c r="AI586" s="24"/>
      <c r="AJ586" s="24"/>
      <c r="AK586" s="24"/>
      <c r="AL586" s="24"/>
      <c r="AM586" s="24"/>
    </row>
    <row r="587" spans="2:39" ht="21.9" customHeight="1" x14ac:dyDescent="0.25">
      <c r="B587" s="470"/>
      <c r="C587" s="250" t="s">
        <v>274</v>
      </c>
      <c r="D587" s="250" t="s">
        <v>317</v>
      </c>
      <c r="E587" s="250" t="s">
        <v>434</v>
      </c>
      <c r="F587" s="250" t="s">
        <v>41</v>
      </c>
      <c r="G587" s="753"/>
      <c r="H587" s="753"/>
      <c r="I587" s="753">
        <f>$G$22*$M$9*'Traffic Data'!AK66*annualizationFactor</f>
        <v>6.6363636363636364E-4</v>
      </c>
      <c r="J587" s="753">
        <f>$G$22*$M$9*'Traffic Data'!AL66*annualizationFactor</f>
        <v>6.8245487878787904E-4</v>
      </c>
      <c r="K587" s="753">
        <f>$G$22*$M$9*'Traffic Data'!AM66*annualizationFactor</f>
        <v>7.0389807575757578E-4</v>
      </c>
      <c r="L587" s="753">
        <f>$G$22*$M$9*'Traffic Data'!AN66*annualizationFactor</f>
        <v>7.3129740909090937E-4</v>
      </c>
      <c r="M587" s="753">
        <f>$G$22*$M$9*'Traffic Data'!AO66*annualizationFactor</f>
        <v>7.5870559090909101E-4</v>
      </c>
      <c r="N587" s="753">
        <f>$G$22*$M$9*'Traffic Data'!AP66*annualizationFactor</f>
        <v>7.8610934848484873E-4</v>
      </c>
      <c r="O587" s="753">
        <f>$G$22*$M$9*'Traffic Data'!AQ66*annualizationFactor</f>
        <v>8.1350868181818221E-4</v>
      </c>
      <c r="P587" s="753">
        <f>$G$22*$M$9*'Traffic Data'!AR66*annualizationFactor</f>
        <v>8.4091354545454578E-4</v>
      </c>
      <c r="Q587" s="753">
        <f>$G$22*$M$9*'Traffic Data'!AS66*annualizationFactor</f>
        <v>8.7188766666666687E-4</v>
      </c>
      <c r="R587" s="753">
        <f>$G$22*$M$9*'Traffic Data'!AT66*annualizationFactor</f>
        <v>9.0286068181818211E-4</v>
      </c>
      <c r="S587" s="753">
        <f>$G$22*$M$9*'Traffic Data'!AU66*annualizationFactor</f>
        <v>9.3383037878787896E-4</v>
      </c>
      <c r="T587" s="753">
        <f>$G$22*$M$9*'Traffic Data'!AV66*annualizationFactor</f>
        <v>9.6480450000000027E-4</v>
      </c>
      <c r="U587" s="753">
        <f>$G$22*$M$9*'Traffic Data'!AW66*annualizationFactor</f>
        <v>9.9578415151515155E-4</v>
      </c>
      <c r="V587" s="753">
        <f>$G$22*$M$9*'Traffic Data'!AX66*annualizationFactor</f>
        <v>1.0208010303030305E-3</v>
      </c>
      <c r="W587" s="753">
        <f>$G$22*$M$9*'Traffic Data'!AY66*annualizationFactor</f>
        <v>1.0396195454545458E-3</v>
      </c>
      <c r="X587" s="753">
        <f>$G$22*$M$9*'Traffic Data'!AZ66*annualizationFactor</f>
        <v>1.0584380606060611E-3</v>
      </c>
      <c r="Y587" s="753">
        <f>$G$22*$M$9*'Traffic Data'!BA66*annualizationFactor</f>
        <v>1.0772565757575761E-3</v>
      </c>
      <c r="Z587" s="753">
        <f>$G$22*$M$9*'Traffic Data'!BB66*annualizationFactor</f>
        <v>1.096069560606061E-3</v>
      </c>
      <c r="AA587" s="753">
        <f>$G$22*$M$9*'Traffic Data'!BC66*annualizationFactor</f>
        <v>1.1148880757575754E-3</v>
      </c>
      <c r="AB587" s="753">
        <f>$G$22*$M$9*'Traffic Data'!BD66*annualizationFactor</f>
        <v>1.1337010606060605E-3</v>
      </c>
      <c r="AC587" s="753">
        <f>$G$22*$M$9*'Traffic Data'!BE66*annualizationFactor</f>
        <v>1.1525195757575756E-3</v>
      </c>
      <c r="AD587" s="753">
        <f>$G$22*$M$9*'Traffic Data'!BF66*annualizationFactor</f>
        <v>1.1713380909090909E-3</v>
      </c>
      <c r="AE587" s="753">
        <f>$G$22*$M$9*'Traffic Data'!BG66*annualizationFactor</f>
        <v>1.1901510757575757E-3</v>
      </c>
      <c r="AF587" s="753">
        <f>$G$22*$M$9*'Traffic Data'!BH66*annualizationFactor</f>
        <v>1.208969590909091E-3</v>
      </c>
      <c r="AG587" s="753">
        <f>$G$22*$M$9*'Traffic Data'!BI66*annualizationFactor</f>
        <v>1.2277881060606059E-3</v>
      </c>
      <c r="AH587" s="757">
        <f>$G$22*$M$9*'Traffic Data'!BJ66*annualizationFactor</f>
        <v>1.246601090909091E-3</v>
      </c>
      <c r="AI587" s="24"/>
      <c r="AJ587" s="24"/>
      <c r="AK587" s="24"/>
      <c r="AL587" s="24"/>
      <c r="AM587" s="24"/>
    </row>
    <row r="588" spans="2:39" ht="21.9" customHeight="1" thickBot="1" x14ac:dyDescent="0.3">
      <c r="B588" s="1073" t="s">
        <v>462</v>
      </c>
      <c r="C588" s="237"/>
      <c r="D588" s="237"/>
      <c r="E588" s="237"/>
      <c r="F588" s="237"/>
      <c r="G588" s="940">
        <f t="shared" ref="G588:AH588" si="69">SUM(G569:G587)</f>
        <v>0</v>
      </c>
      <c r="H588" s="940">
        <f t="shared" si="69"/>
        <v>0</v>
      </c>
      <c r="I588" s="759">
        <f t="shared" si="69"/>
        <v>0.31075645962121218</v>
      </c>
      <c r="J588" s="759">
        <f t="shared" si="69"/>
        <v>0.33646501042991667</v>
      </c>
      <c r="K588" s="759">
        <f t="shared" si="69"/>
        <v>0.37001816672225757</v>
      </c>
      <c r="L588" s="759">
        <f t="shared" si="69"/>
        <v>0.42641794340760619</v>
      </c>
      <c r="M588" s="759">
        <f t="shared" si="69"/>
        <v>0.48284668625238636</v>
      </c>
      <c r="N588" s="759">
        <f t="shared" si="69"/>
        <v>0.53927363393315164</v>
      </c>
      <c r="O588" s="759">
        <f t="shared" si="69"/>
        <v>0.5956734106185001</v>
      </c>
      <c r="P588" s="759">
        <f t="shared" si="69"/>
        <v>0.65213098999904551</v>
      </c>
      <c r="Q588" s="759">
        <f t="shared" si="69"/>
        <v>0.70402158297600759</v>
      </c>
      <c r="R588" s="759">
        <f t="shared" si="69"/>
        <v>0.75592705094507584</v>
      </c>
      <c r="S588" s="759">
        <f t="shared" si="69"/>
        <v>0.80781794239912907</v>
      </c>
      <c r="T588" s="759">
        <f t="shared" si="69"/>
        <v>0.85970853537609093</v>
      </c>
      <c r="U588" s="759">
        <f t="shared" si="69"/>
        <v>0.91165607995009879</v>
      </c>
      <c r="V588" s="759">
        <f t="shared" si="69"/>
        <v>0.9409745447753789</v>
      </c>
      <c r="W588" s="759">
        <f t="shared" si="69"/>
        <v>0.95778066528408323</v>
      </c>
      <c r="X588" s="759">
        <f t="shared" si="69"/>
        <v>0.97458678579278801</v>
      </c>
      <c r="Y588" s="759">
        <f t="shared" si="69"/>
        <v>0.99139290630149268</v>
      </c>
      <c r="Z588" s="759">
        <f t="shared" si="69"/>
        <v>1.0082141683546137</v>
      </c>
      <c r="AA588" s="759">
        <f t="shared" si="69"/>
        <v>1.0250202888633184</v>
      </c>
      <c r="AB588" s="759">
        <f t="shared" si="69"/>
        <v>1.0418401213109849</v>
      </c>
      <c r="AC588" s="759">
        <f t="shared" si="69"/>
        <v>1.0586462418196891</v>
      </c>
      <c r="AD588" s="759">
        <f t="shared" si="69"/>
        <v>1.075452362328394</v>
      </c>
      <c r="AE588" s="759">
        <f t="shared" si="69"/>
        <v>1.092273624381515</v>
      </c>
      <c r="AF588" s="759">
        <f t="shared" si="69"/>
        <v>1.1090797448902194</v>
      </c>
      <c r="AG588" s="759">
        <f t="shared" si="69"/>
        <v>1.1258858653989239</v>
      </c>
      <c r="AH588" s="760">
        <f t="shared" si="69"/>
        <v>1.1427056978465908</v>
      </c>
      <c r="AI588" s="24"/>
      <c r="AJ588" s="24"/>
      <c r="AK588" s="24"/>
      <c r="AL588" s="24"/>
      <c r="AM588" s="24"/>
    </row>
    <row r="589" spans="2:39" ht="21.9" customHeight="1" x14ac:dyDescent="0.25">
      <c r="B589" s="548" t="s">
        <v>312</v>
      </c>
      <c r="C589" s="1331" t="s">
        <v>18</v>
      </c>
      <c r="D589" s="1331"/>
      <c r="E589" s="197" t="s">
        <v>24</v>
      </c>
      <c r="F589" s="197" t="s">
        <v>42</v>
      </c>
      <c r="G589" s="459">
        <v>2021</v>
      </c>
      <c r="H589" s="459">
        <v>2022</v>
      </c>
      <c r="I589" s="459">
        <v>2023</v>
      </c>
      <c r="J589" s="459">
        <v>2024</v>
      </c>
      <c r="K589" s="459">
        <v>2025</v>
      </c>
      <c r="L589" s="459">
        <v>2026</v>
      </c>
      <c r="M589" s="459">
        <v>2027</v>
      </c>
      <c r="N589" s="459">
        <v>2028</v>
      </c>
      <c r="O589" s="459">
        <v>2029</v>
      </c>
      <c r="P589" s="459">
        <v>2030</v>
      </c>
      <c r="Q589" s="459">
        <v>2031</v>
      </c>
      <c r="R589" s="459">
        <v>2032</v>
      </c>
      <c r="S589" s="459">
        <v>2033</v>
      </c>
      <c r="T589" s="459">
        <v>2034</v>
      </c>
      <c r="U589" s="459">
        <v>2035</v>
      </c>
      <c r="V589" s="459">
        <v>2036</v>
      </c>
      <c r="W589" s="459">
        <v>2037</v>
      </c>
      <c r="X589" s="459">
        <v>2038</v>
      </c>
      <c r="Y589" s="459">
        <v>2039</v>
      </c>
      <c r="Z589" s="459">
        <v>2040</v>
      </c>
      <c r="AA589" s="459">
        <v>2041</v>
      </c>
      <c r="AB589" s="459">
        <v>2042</v>
      </c>
      <c r="AC589" s="459">
        <v>2043</v>
      </c>
      <c r="AD589" s="459">
        <v>2044</v>
      </c>
      <c r="AE589" s="459">
        <v>2045</v>
      </c>
      <c r="AF589" s="459">
        <v>2046</v>
      </c>
      <c r="AG589" s="459">
        <v>2047</v>
      </c>
      <c r="AH589" s="459">
        <v>2048</v>
      </c>
      <c r="AI589" s="247"/>
      <c r="AJ589" s="247"/>
      <c r="AK589" s="247"/>
      <c r="AL589" s="247"/>
      <c r="AM589" s="247"/>
    </row>
    <row r="590" spans="2:39" ht="21.9" customHeight="1" x14ac:dyDescent="0.25">
      <c r="B590" s="1332" t="s">
        <v>315</v>
      </c>
      <c r="C590" s="217" t="s">
        <v>316</v>
      </c>
      <c r="D590" s="217" t="s">
        <v>276</v>
      </c>
      <c r="E590" s="217" t="s">
        <v>19</v>
      </c>
      <c r="F590" s="217" t="s">
        <v>40</v>
      </c>
      <c r="G590" s="749"/>
      <c r="H590" s="749"/>
      <c r="I590" s="749">
        <f>$H$21*$E$8*'Traffic Data'!AK47*annualizationFactor</f>
        <v>1242.53008</v>
      </c>
      <c r="J590" s="749">
        <f>$H$21*$E$8*'Traffic Data'!AL47*annualizationFactor</f>
        <v>1299.0302524814999</v>
      </c>
      <c r="K590" s="749">
        <f>$H$21*$E$8*'Traffic Data'!AM47*annualizationFactor</f>
        <v>1378.6337186380003</v>
      </c>
      <c r="L590" s="749">
        <f>$H$21*$E$8*'Traffic Data'!AN47*annualizationFactor</f>
        <v>1495.7266470520001</v>
      </c>
      <c r="M590" s="749">
        <f>$H$21*$E$8*'Traffic Data'!AO47*annualizationFactor</f>
        <v>1612.8622874375001</v>
      </c>
      <c r="N590" s="749">
        <f>$H$21*$E$8*'Traffic Data'!AP47*annualizationFactor</f>
        <v>1729.9979278229998</v>
      </c>
      <c r="O590" s="749">
        <f>$H$21*$E$8*'Traffic Data'!AQ47*annualizationFactor</f>
        <v>1847.0908562369996</v>
      </c>
      <c r="P590" s="749">
        <f>$H$21*$E$8*'Traffic Data'!AR47*annualizationFactor</f>
        <v>1964.2692085939996</v>
      </c>
      <c r="Q590" s="749">
        <f>$H$21*$E$8*'Traffic Data'!AS47*annualizationFactor</f>
        <v>2080.0613633305002</v>
      </c>
      <c r="R590" s="749">
        <f>$H$21*$E$8*'Traffic Data'!AT47*annualizationFactor</f>
        <v>2195.8768155060002</v>
      </c>
      <c r="S590" s="749">
        <f>$H$21*$E$8*'Traffic Data'!AU47*annualizationFactor</f>
        <v>2311.6689702425006</v>
      </c>
      <c r="T590" s="749">
        <f>$H$21*$E$8*'Traffic Data'!AV47*annualizationFactor</f>
        <v>2427.461124979</v>
      </c>
      <c r="U590" s="749">
        <f>$H$21*$E$8*'Traffic Data'!AW47*annualizationFactor</f>
        <v>2543.3387036585</v>
      </c>
      <c r="V590" s="749">
        <f>$H$21*$E$8*'Traffic Data'!AX47*annualizationFactor</f>
        <v>2621.5986841660001</v>
      </c>
      <c r="W590" s="749">
        <f>$H$21*$E$8*'Traffic Data'!AY47*annualizationFactor</f>
        <v>2678.0988566475003</v>
      </c>
      <c r="X590" s="749">
        <f>$H$21*$E$8*'Traffic Data'!AZ47*annualizationFactor</f>
        <v>2734.5990291289995</v>
      </c>
      <c r="Y590" s="749">
        <f>$H$21*$E$8*'Traffic Data'!BA47*annualizationFactor</f>
        <v>2791.0992016104997</v>
      </c>
      <c r="Z590" s="749">
        <f>$H$21*$E$8*'Traffic Data'!BB47*annualizationFactor</f>
        <v>2847.6187886245002</v>
      </c>
      <c r="AA590" s="749">
        <f>$H$21*$E$8*'Traffic Data'!BC47*annualizationFactor</f>
        <v>2904.1189611060008</v>
      </c>
      <c r="AB590" s="749">
        <f>$H$21*$E$8*'Traffic Data'!BD47*annualizationFactor</f>
        <v>2960.6385481199991</v>
      </c>
      <c r="AC590" s="749">
        <f>$H$21*$E$8*'Traffic Data'!BE47*annualizationFactor</f>
        <v>3017.1387206015002</v>
      </c>
      <c r="AD590" s="749">
        <f>$H$21*$E$8*'Traffic Data'!BF47*annualizationFactor</f>
        <v>3073.6388930829999</v>
      </c>
      <c r="AE590" s="749">
        <f>$H$21*$E$8*'Traffic Data'!BG47*annualizationFactor</f>
        <v>3130.1584800969995</v>
      </c>
      <c r="AF590" s="749">
        <f>$H$21*$E$8*'Traffic Data'!BH47*annualizationFactor</f>
        <v>3186.6586525785001</v>
      </c>
      <c r="AG590" s="749">
        <f>$H$21*$E$8*'Traffic Data'!BI47*annualizationFactor</f>
        <v>3243.1588250599998</v>
      </c>
      <c r="AH590" s="750">
        <f>$H$21*$E$8*'Traffic Data'!BJ47*annualizationFactor</f>
        <v>3299.6784120739994</v>
      </c>
      <c r="AI590" s="24"/>
      <c r="AJ590" s="24"/>
      <c r="AK590" s="24"/>
      <c r="AL590" s="24"/>
      <c r="AM590" s="24"/>
    </row>
    <row r="591" spans="2:39" ht="21.9" customHeight="1" x14ac:dyDescent="0.25">
      <c r="B591" s="1332"/>
      <c r="C591" s="114" t="s">
        <v>276</v>
      </c>
      <c r="D591" s="114" t="s">
        <v>274</v>
      </c>
      <c r="E591" s="114" t="s">
        <v>19</v>
      </c>
      <c r="F591" s="114" t="s">
        <v>40</v>
      </c>
      <c r="G591" s="941"/>
      <c r="H591" s="941"/>
      <c r="I591" s="751">
        <f>$H$21*$E$8*'Traffic Data'!AK48*annualizationFactor</f>
        <v>39953.993175000003</v>
      </c>
      <c r="J591" s="751">
        <f>$H$21*$E$8*'Traffic Data'!AL48*annualizationFactor</f>
        <v>42062.972103629996</v>
      </c>
      <c r="K591" s="751">
        <f>$H$21*$E$8*'Traffic Data'!AM48*annualizationFactor</f>
        <v>45228.808140615001</v>
      </c>
      <c r="L591" s="751">
        <f>$H$21*$E$8*'Traffic Data'!AN48*annualizationFactor</f>
        <v>50459.229780480004</v>
      </c>
      <c r="M591" s="751">
        <f>$H$21*$E$8*'Traffic Data'!AO48*annualizationFactor</f>
        <v>55692.019064385007</v>
      </c>
      <c r="N591" s="751">
        <f>$H$21*$E$8*'Traffic Data'!AP48*annualizationFactor</f>
        <v>60924.512392784993</v>
      </c>
      <c r="O591" s="751">
        <f>$H$21*$E$8*'Traffic Data'!AQ48*annualizationFactor</f>
        <v>66154.93403265001</v>
      </c>
      <c r="P591" s="751">
        <f>$H$21*$E$8*'Traffic Data'!AR48*annualizationFactor</f>
        <v>71390.090960595</v>
      </c>
      <c r="Q591" s="751">
        <f>$H$21*$E$8*'Traffic Data'!AS48*annualizationFactor</f>
        <v>76671.712902825006</v>
      </c>
      <c r="R591" s="751">
        <f>$H$21*$E$8*'Traffic Data'!AT48*annualizationFactor</f>
        <v>81955.11057808499</v>
      </c>
      <c r="S591" s="751">
        <f>$H$21*$E$8*'Traffic Data'!AU48*annualizationFactor</f>
        <v>87236.732520314996</v>
      </c>
      <c r="T591" s="751">
        <f>$H$21*$E$8*'Traffic Data'!AV48*annualizationFactor</f>
        <v>92518.354462545001</v>
      </c>
      <c r="U591" s="751">
        <f>$H$21*$E$8*'Traffic Data'!AW48*annualizationFactor</f>
        <v>97804.711692855009</v>
      </c>
      <c r="V591" s="751">
        <f>$H$21*$E$8*'Traffic Data'!AX48*annualizationFactor</f>
        <v>101019.38038816501</v>
      </c>
      <c r="W591" s="751">
        <f>$H$21*$E$8*'Traffic Data'!AY48*annualizationFactor</f>
        <v>103128.35931679499</v>
      </c>
      <c r="X591" s="751">
        <f>$H$21*$E$8*'Traffic Data'!AZ48*annualizationFactor</f>
        <v>105237.33824542501</v>
      </c>
      <c r="Y591" s="751">
        <f>$H$21*$E$8*'Traffic Data'!BA48*annualizationFactor</f>
        <v>107346.31717405503</v>
      </c>
      <c r="Z591" s="751">
        <f>$H$21*$E$8*'Traffic Data'!BB48*annualizationFactor</f>
        <v>109456.47992470501</v>
      </c>
      <c r="AA591" s="751">
        <f>$H$21*$E$8*'Traffic Data'!BC48*annualizationFactor</f>
        <v>111565.45885333499</v>
      </c>
      <c r="AB591" s="751">
        <f>$H$21*$E$8*'Traffic Data'!BD48*annualizationFactor</f>
        <v>113675.621603985</v>
      </c>
      <c r="AC591" s="751">
        <f>$H$21*$E$8*'Traffic Data'!BE48*annualizationFactor</f>
        <v>115784.600532615</v>
      </c>
      <c r="AD591" s="751">
        <f>$H$21*$E$8*'Traffic Data'!BF48*annualizationFactor</f>
        <v>117893.57946124501</v>
      </c>
      <c r="AE591" s="751">
        <f>$H$21*$E$8*'Traffic Data'!BG48*annualizationFactor</f>
        <v>120003.74221189503</v>
      </c>
      <c r="AF591" s="751">
        <f>$H$21*$E$8*'Traffic Data'!BH48*annualizationFactor</f>
        <v>122112.721140525</v>
      </c>
      <c r="AG591" s="751">
        <f>$H$21*$E$8*'Traffic Data'!BI48*annualizationFactor</f>
        <v>124221.70006915501</v>
      </c>
      <c r="AH591" s="752">
        <f>$H$21*$E$8*'Traffic Data'!BJ48*annualizationFactor</f>
        <v>126331.86281980501</v>
      </c>
      <c r="AI591" s="24"/>
      <c r="AJ591" s="24"/>
      <c r="AK591" s="24"/>
      <c r="AL591" s="24"/>
      <c r="AM591" s="24"/>
    </row>
    <row r="592" spans="2:39" ht="21.9" customHeight="1" x14ac:dyDescent="0.25">
      <c r="B592" s="1332"/>
      <c r="C592" s="114" t="s">
        <v>274</v>
      </c>
      <c r="D592" s="114" t="s">
        <v>317</v>
      </c>
      <c r="E592" s="250" t="s">
        <v>19</v>
      </c>
      <c r="F592" s="114" t="s">
        <v>40</v>
      </c>
      <c r="G592" s="753"/>
      <c r="H592" s="753"/>
      <c r="I592" s="751">
        <f>$H$21*$E$8*'Traffic Data'!AK49*annualizationFactor</f>
        <v>931.89756</v>
      </c>
      <c r="J592" s="751">
        <f>$H$21*$E$8*'Traffic Data'!AL49*annualizationFactor</f>
        <v>970.81204894299992</v>
      </c>
      <c r="K592" s="751">
        <f>$H$21*$E$8*'Traffic Data'!AM49*annualizationFactor</f>
        <v>1018.9756211689999</v>
      </c>
      <c r="L592" s="751">
        <f>$H$21*$E$8*'Traffic Data'!AN49*annualizationFactor</f>
        <v>1083.820159719</v>
      </c>
      <c r="M592" s="751">
        <f>$H$21*$E$8*'Traffic Data'!AO49*annualizationFactor</f>
        <v>1148.6879957080002</v>
      </c>
      <c r="N592" s="751">
        <f>$H$21*$E$8*'Traffic Data'!AP49*annualizationFactor</f>
        <v>1213.5480658840002</v>
      </c>
      <c r="O592" s="751">
        <f>$H$21*$E$8*'Traffic Data'!AQ49*annualizationFactor</f>
        <v>1278.3926044340003</v>
      </c>
      <c r="P592" s="751">
        <f>$H$21*$E$8*'Traffic Data'!AR49*annualizationFactor</f>
        <v>1343.2837378620006</v>
      </c>
      <c r="Q592" s="751">
        <f>$H$21*$E$8*'Traffic Data'!AS49*annualizationFactor</f>
        <v>1406.1557599099999</v>
      </c>
      <c r="R592" s="751">
        <f>$H$21*$E$8*'Traffic Data'!AT49*annualizationFactor</f>
        <v>1469.0510793969997</v>
      </c>
      <c r="S592" s="751">
        <f>$H$21*$E$8*'Traffic Data'!AU49*annualizationFactor</f>
        <v>1531.9231014449999</v>
      </c>
      <c r="T592" s="751">
        <f>$H$21*$E$8*'Traffic Data'!AV49*annualizationFactor</f>
        <v>1594.7951234930001</v>
      </c>
      <c r="U592" s="751">
        <f>$H$21*$E$8*'Traffic Data'!AW49*annualizationFactor</f>
        <v>1657.713740419</v>
      </c>
      <c r="V592" s="751">
        <f>$H$21*$E$8*'Traffic Data'!AX49*annualizationFactor</f>
        <v>1703.8814987039998</v>
      </c>
      <c r="W592" s="751">
        <f>$H$21*$E$8*'Traffic Data'!AY49*annualizationFactor</f>
        <v>1742.7959876470002</v>
      </c>
      <c r="X592" s="751">
        <f>$H$21*$E$8*'Traffic Data'!AZ49*annualizationFactor</f>
        <v>1781.7104765899996</v>
      </c>
      <c r="Y592" s="751">
        <f>$H$21*$E$8*'Traffic Data'!BA49*annualizationFactor</f>
        <v>1820.624965533</v>
      </c>
      <c r="Z592" s="751">
        <f>$H$21*$E$8*'Traffic Data'!BB49*annualizationFactor</f>
        <v>1859.5549861019999</v>
      </c>
      <c r="AA592" s="751">
        <f>$H$21*$E$8*'Traffic Data'!BC49*annualizationFactor</f>
        <v>1898.4694750450001</v>
      </c>
      <c r="AB592" s="751">
        <f>$H$21*$E$8*'Traffic Data'!BD49*annualizationFactor</f>
        <v>1937.3994956140002</v>
      </c>
      <c r="AC592" s="751">
        <f>$H$21*$E$8*'Traffic Data'!BE49*annualizationFactor</f>
        <v>1976.3139845570006</v>
      </c>
      <c r="AD592" s="751">
        <f>$H$21*$E$8*'Traffic Data'!BF49*annualizationFactor</f>
        <v>2015.2284734999996</v>
      </c>
      <c r="AE592" s="751">
        <f>$H$21*$E$8*'Traffic Data'!BG49*annualizationFactor</f>
        <v>2054.158494069</v>
      </c>
      <c r="AF592" s="751">
        <f>$H$21*$E$8*'Traffic Data'!BH49*annualizationFactor</f>
        <v>2093.0729830120003</v>
      </c>
      <c r="AG592" s="751">
        <f>$H$21*$E$8*'Traffic Data'!BI49*annualizationFactor</f>
        <v>2131.9874719549994</v>
      </c>
      <c r="AH592" s="752">
        <f>$H$21*$E$8*'Traffic Data'!BJ49*annualizationFactor</f>
        <v>2170.917492524</v>
      </c>
      <c r="AI592" s="24"/>
      <c r="AJ592" s="24"/>
      <c r="AK592" s="24"/>
      <c r="AL592" s="24"/>
      <c r="AM592" s="24"/>
    </row>
    <row r="593" spans="2:39" ht="21.9" customHeight="1" x14ac:dyDescent="0.25">
      <c r="B593" s="1332" t="s">
        <v>274</v>
      </c>
      <c r="C593" s="217" t="s">
        <v>275</v>
      </c>
      <c r="D593" s="217" t="s">
        <v>318</v>
      </c>
      <c r="E593" s="114" t="s">
        <v>19</v>
      </c>
      <c r="F593" s="217" t="s">
        <v>40</v>
      </c>
      <c r="G593" s="941"/>
      <c r="H593" s="941"/>
      <c r="I593" s="749">
        <f>$H$21*$F$8*'Traffic Data'!AK50*annualizationFactor</f>
        <v>7698.9304000000002</v>
      </c>
      <c r="J593" s="749">
        <f>$H$21*$F$8*'Traffic Data'!AL50*annualizationFactor</f>
        <v>8477.715704612001</v>
      </c>
      <c r="K593" s="749">
        <f>$H$21*$F$8*'Traffic Data'!AM50*annualizationFactor</f>
        <v>10218.867309223999</v>
      </c>
      <c r="L593" s="749">
        <f>$H$21*$F$8*'Traffic Data'!AN50*annualizationFactor</f>
        <v>13716.106443424002</v>
      </c>
      <c r="M593" s="749">
        <f>$H$21*$F$8*'Traffic Data'!AO50*annualizationFactor</f>
        <v>17215.501278135998</v>
      </c>
      <c r="N593" s="749">
        <f>$H$21*$F$8*'Traffic Data'!AP50*annualizationFactor</f>
        <v>20714.511166327997</v>
      </c>
      <c r="O593" s="749">
        <f>$H$21*$F$8*'Traffic Data'!AQ50*annualizationFactor</f>
        <v>24211.750300527998</v>
      </c>
      <c r="P593" s="749">
        <f>$H$21*$F$8*'Traffic Data'!AR50*annualizationFactor</f>
        <v>27713.300835752001</v>
      </c>
      <c r="Q593" s="749">
        <f>$H$21*$F$8*'Traffic Data'!AS50*annualizationFactor</f>
        <v>31149.179494663997</v>
      </c>
      <c r="R593" s="749">
        <f>$H$21*$F$8*'Traffic Data'!AT50*annualizationFactor</f>
        <v>34586.790412915987</v>
      </c>
      <c r="S593" s="749">
        <f>$H$21*$F$8*'Traffic Data'!AU50*annualizationFactor</f>
        <v>38022.669071827993</v>
      </c>
      <c r="T593" s="749">
        <f>$H$21*$F$8*'Traffic Data'!AV50*annualizationFactor</f>
        <v>41458.54773074</v>
      </c>
      <c r="U593" s="749">
        <f>$H$21*$F$8*'Traffic Data'!AW50*annualizationFactor</f>
        <v>44898.737790676001</v>
      </c>
      <c r="V593" s="749">
        <f>$H$21*$F$8*'Traffic Data'!AX50*annualizationFactor</f>
        <v>46576.373219487992</v>
      </c>
      <c r="W593" s="749">
        <f>$H$21*$F$8*'Traffic Data'!AY50*annualizationFactor</f>
        <v>47355.158524099999</v>
      </c>
      <c r="X593" s="749">
        <f>$H$21*$F$8*'Traffic Data'!AZ50*annualizationFactor</f>
        <v>48133.943828711999</v>
      </c>
      <c r="Y593" s="749">
        <f>$H$21*$F$8*'Traffic Data'!BA50*annualizationFactor</f>
        <v>48912.729133323985</v>
      </c>
      <c r="Z593" s="749">
        <f>$H$21*$F$8*'Traffic Data'!BB50*annualizationFactor</f>
        <v>49692.707772147995</v>
      </c>
      <c r="AA593" s="749">
        <f>$H$21*$F$8*'Traffic Data'!BC50*annualizationFactor</f>
        <v>50471.493076759994</v>
      </c>
      <c r="AB593" s="749">
        <f>$H$21*$F$8*'Traffic Data'!BD50*annualizationFactor</f>
        <v>51251.471715583983</v>
      </c>
      <c r="AC593" s="749">
        <f>$H$21*$F$8*'Traffic Data'!BE50*annualizationFactor</f>
        <v>52030.25702019599</v>
      </c>
      <c r="AD593" s="749">
        <f>$H$21*$F$8*'Traffic Data'!BF50*annualizationFactor</f>
        <v>52809.042324807997</v>
      </c>
      <c r="AE593" s="749">
        <f>$H$21*$F$8*'Traffic Data'!BG50*annualizationFactor</f>
        <v>53589.020963632</v>
      </c>
      <c r="AF593" s="749">
        <f>$H$21*$F$8*'Traffic Data'!BH50*annualizationFactor</f>
        <v>54367.806268244</v>
      </c>
      <c r="AG593" s="749">
        <f>$H$21*$F$8*'Traffic Data'!BI50*annualizationFactor</f>
        <v>55146.591572855992</v>
      </c>
      <c r="AH593" s="750">
        <f>$H$21*$F$8*'Traffic Data'!BJ50*annualizationFactor</f>
        <v>55926.570211679988</v>
      </c>
      <c r="AI593" s="24"/>
      <c r="AJ593" s="24"/>
      <c r="AK593" s="24"/>
      <c r="AL593" s="24"/>
      <c r="AM593" s="24"/>
    </row>
    <row r="594" spans="2:39" ht="21.9" customHeight="1" x14ac:dyDescent="0.25">
      <c r="B594" s="1332"/>
      <c r="C594" s="114" t="s">
        <v>318</v>
      </c>
      <c r="D594" s="114" t="s">
        <v>308</v>
      </c>
      <c r="E594" s="114" t="s">
        <v>19</v>
      </c>
      <c r="F594" s="114" t="s">
        <v>40</v>
      </c>
      <c r="G594" s="941"/>
      <c r="H594" s="941"/>
      <c r="I594" s="751">
        <f>$H$21*$F$8*'Traffic Data'!AK51*annualizationFactor</f>
        <v>891.76800000000003</v>
      </c>
      <c r="J594" s="751">
        <f>$H$21*$F$8*'Traffic Data'!AL51*annualizationFactor</f>
        <v>976.43394019999994</v>
      </c>
      <c r="K594" s="751">
        <f>$H$21*$F$8*'Traffic Data'!AM51*annualizationFactor</f>
        <v>1096.540227</v>
      </c>
      <c r="L594" s="751">
        <f>$H$21*$F$8*'Traffic Data'!AN51*annualizationFactor</f>
        <v>1292.2387145999999</v>
      </c>
      <c r="M594" s="751">
        <f>$H$21*$F$8*'Traffic Data'!AO51*annualizationFactor</f>
        <v>1487.9966534</v>
      </c>
      <c r="N594" s="751">
        <f>$H$21*$F$8*'Traffic Data'!AP51*annualizationFactor</f>
        <v>1683.7731707</v>
      </c>
      <c r="O594" s="751">
        <f>$H$21*$F$8*'Traffic Data'!AQ51*annualizationFactor</f>
        <v>1879.4716583000002</v>
      </c>
      <c r="P594" s="751">
        <f>$H$21*$F$8*'Traffic Data'!AR51*annualizationFactor</f>
        <v>2075.3819408000004</v>
      </c>
      <c r="Q594" s="751">
        <f>$H$21*$F$8*'Traffic Data'!AS51*annualizationFactor</f>
        <v>2298.271921</v>
      </c>
      <c r="R594" s="751">
        <f>$H$21*$F$8*'Traffic Data'!AT51*annualizationFactor</f>
        <v>2521.2659408000004</v>
      </c>
      <c r="S594" s="751">
        <f>$H$21*$F$8*'Traffic Data'!AU51*annualizationFactor</f>
        <v>2744.1447739000005</v>
      </c>
      <c r="T594" s="751">
        <f>$H$21*$F$8*'Traffic Data'!AV51*annualizationFactor</f>
        <v>2967.0347540999996</v>
      </c>
      <c r="U594" s="751">
        <f>$H$21*$F$8*'Traffic Data'!AW51*annualizationFactor</f>
        <v>3190.1290977999997</v>
      </c>
      <c r="V594" s="751">
        <f>$H$21*$F$8*'Traffic Data'!AX51*annualizationFactor</f>
        <v>3337.2633864000004</v>
      </c>
      <c r="W594" s="751">
        <f>$H$21*$F$8*'Traffic Data'!AY51*annualizationFactor</f>
        <v>3421.9293266</v>
      </c>
      <c r="X594" s="751">
        <f>$H$21*$F$8*'Traffic Data'!AZ51*annualizationFactor</f>
        <v>3506.5952667999995</v>
      </c>
      <c r="Y594" s="751">
        <f>$H$21*$F$8*'Traffic Data'!BA51*annualizationFactor</f>
        <v>3591.2612069999996</v>
      </c>
      <c r="Z594" s="751">
        <f>$H$21*$F$8*'Traffic Data'!BB51*annualizationFactor</f>
        <v>3676.0237553999991</v>
      </c>
      <c r="AA594" s="751">
        <f>$H$21*$F$8*'Traffic Data'!BC51*annualizationFactor</f>
        <v>3760.6896955999991</v>
      </c>
      <c r="AB594" s="751">
        <f>$H$21*$F$8*'Traffic Data'!BD51*annualizationFactor</f>
        <v>3845.4522439999996</v>
      </c>
      <c r="AC594" s="751">
        <f>$H$21*$F$8*'Traffic Data'!BE51*annualizationFactor</f>
        <v>3930.1181842000001</v>
      </c>
      <c r="AD594" s="751">
        <f>$H$21*$F$8*'Traffic Data'!BF51*annualizationFactor</f>
        <v>4014.7841244000001</v>
      </c>
      <c r="AE594" s="751">
        <f>$H$21*$F$8*'Traffic Data'!BG51*annualizationFactor</f>
        <v>4099.5466727999992</v>
      </c>
      <c r="AF594" s="751">
        <f>$H$21*$F$8*'Traffic Data'!BH51*annualizationFactor</f>
        <v>4184.2126129999988</v>
      </c>
      <c r="AG594" s="751">
        <f>$H$21*$F$8*'Traffic Data'!BI51*annualizationFactor</f>
        <v>4268.8785531999993</v>
      </c>
      <c r="AH594" s="752">
        <f>$H$21*$F$8*'Traffic Data'!BJ51*annualizationFactor</f>
        <v>4353.6411016000002</v>
      </c>
      <c r="AI594" s="24"/>
      <c r="AJ594" s="24"/>
      <c r="AK594" s="24"/>
      <c r="AL594" s="24"/>
      <c r="AM594" s="24"/>
    </row>
    <row r="595" spans="2:39" ht="21.9" customHeight="1" x14ac:dyDescent="0.25">
      <c r="B595" s="1332"/>
      <c r="C595" s="250" t="s">
        <v>308</v>
      </c>
      <c r="D595" s="250" t="s">
        <v>319</v>
      </c>
      <c r="E595" s="114" t="s">
        <v>19</v>
      </c>
      <c r="F595" s="114" t="s">
        <v>40</v>
      </c>
      <c r="G595" s="941"/>
      <c r="H595" s="941"/>
      <c r="I595" s="751">
        <f>$H$21*$F$8*'Traffic Data'!AK52*annualizationFactor</f>
        <v>11949.691200000001</v>
      </c>
      <c r="J595" s="751">
        <f>$H$21*$F$8*'Traffic Data'!AL52*annualizationFactor</f>
        <v>12284.322385904001</v>
      </c>
      <c r="K595" s="751">
        <f>$H$21*$F$8*'Traffic Data'!AM52*annualizationFactor</f>
        <v>12761.194729392002</v>
      </c>
      <c r="L595" s="751">
        <f>$H$21*$F$8*'Traffic Data'!AN52*annualizationFactor</f>
        <v>13430.496933504</v>
      </c>
      <c r="M595" s="751">
        <f>$H$21*$F$8*'Traffic Data'!AO52*annualizationFactor</f>
        <v>14100.077963743997</v>
      </c>
      <c r="N595" s="751">
        <f>$H$21*$F$8*'Traffic Data'!AP52*annualizationFactor</f>
        <v>14769.599245528007</v>
      </c>
      <c r="O595" s="751">
        <f>$H$21*$F$8*'Traffic Data'!AQ52*annualizationFactor</f>
        <v>15438.901449640005</v>
      </c>
      <c r="P595" s="751">
        <f>$H$21*$F$8*'Traffic Data'!AR52*annualizationFactor</f>
        <v>16108.741389856004</v>
      </c>
      <c r="Q595" s="751">
        <f>$H$21*$F$8*'Traffic Data'!AS52*annualizationFactor</f>
        <v>16784.934582559999</v>
      </c>
      <c r="R595" s="751">
        <f>$H$21*$F$8*'Traffic Data'!AT52*annualizationFactor</f>
        <v>17461.326936784</v>
      </c>
      <c r="S595" s="751">
        <f>$H$21*$F$8*'Traffic Data'!AU52*annualizationFactor</f>
        <v>18137.460381032</v>
      </c>
      <c r="T595" s="751">
        <f>$H$21*$F$8*'Traffic Data'!AV52*annualizationFactor</f>
        <v>18813.653573736003</v>
      </c>
      <c r="U595" s="751">
        <f>$H$21*$F$8*'Traffic Data'!AW52*annualizationFactor</f>
        <v>19490.384502544002</v>
      </c>
      <c r="V595" s="751">
        <f>$H$21*$F$8*'Traffic Data'!AX52*annualizationFactor</f>
        <v>19973.829176192001</v>
      </c>
      <c r="W595" s="751">
        <f>$H$21*$F$8*'Traffic Data'!AY52*annualizationFactor</f>
        <v>20308.460362096001</v>
      </c>
      <c r="X595" s="751">
        <f>$H$21*$F$8*'Traffic Data'!AZ52*annualizationFactor</f>
        <v>20643.091548</v>
      </c>
      <c r="Y595" s="751">
        <f>$H$21*$F$8*'Traffic Data'!BA52*annualizationFactor</f>
        <v>20977.722733904</v>
      </c>
      <c r="Z595" s="751">
        <f>$H$21*$F$8*'Traffic Data'!BB52*annualizationFactor</f>
        <v>21312.513249023999</v>
      </c>
      <c r="AA595" s="751">
        <f>$H$21*$F$8*'Traffic Data'!BC52*annualizationFactor</f>
        <v>21647.144434928003</v>
      </c>
      <c r="AB595" s="751">
        <f>$H$21*$F$8*'Traffic Data'!BD52*annualizationFactor</f>
        <v>21981.934950048006</v>
      </c>
      <c r="AC595" s="751">
        <f>$H$21*$F$8*'Traffic Data'!BE52*annualizationFactor</f>
        <v>22316.566135952002</v>
      </c>
      <c r="AD595" s="751">
        <f>$H$21*$F$8*'Traffic Data'!BF52*annualizationFactor</f>
        <v>22651.197321856005</v>
      </c>
      <c r="AE595" s="751">
        <f>$H$21*$F$8*'Traffic Data'!BG52*annualizationFactor</f>
        <v>22985.987836976001</v>
      </c>
      <c r="AF595" s="751">
        <f>$H$21*$F$8*'Traffic Data'!BH52*annualizationFactor</f>
        <v>23320.619022879997</v>
      </c>
      <c r="AG595" s="751">
        <f>$H$21*$F$8*'Traffic Data'!BI52*annualizationFactor</f>
        <v>23655.250208784</v>
      </c>
      <c r="AH595" s="752">
        <f>$H$21*$F$8*'Traffic Data'!BJ52*annualizationFactor</f>
        <v>23990.040723904</v>
      </c>
      <c r="AI595" s="24"/>
      <c r="AJ595" s="24"/>
      <c r="AK595" s="24"/>
      <c r="AL595" s="24"/>
      <c r="AM595" s="24"/>
    </row>
    <row r="596" spans="2:39" ht="21.9" customHeight="1" x14ac:dyDescent="0.25">
      <c r="B596" s="469" t="s">
        <v>320</v>
      </c>
      <c r="C596" s="114" t="s">
        <v>318</v>
      </c>
      <c r="D596" s="114" t="s">
        <v>308</v>
      </c>
      <c r="E596" s="273" t="s">
        <v>19</v>
      </c>
      <c r="F596" s="217" t="s">
        <v>40</v>
      </c>
      <c r="G596" s="754"/>
      <c r="H596" s="754"/>
      <c r="I596" s="749">
        <f>$H$21*$G$8*'Traffic Data'!AK53*annualizationFactor</f>
        <v>34.927579999999999</v>
      </c>
      <c r="J596" s="749">
        <f>$H$21*$G$8*'Traffic Data'!AL53*annualizationFactor</f>
        <v>145.07170353000001</v>
      </c>
      <c r="K596" s="749">
        <f>$H$21*$G$8*'Traffic Data'!AM53*annualizationFactor</f>
        <v>1294.22401311</v>
      </c>
      <c r="L596" s="749">
        <f>$H$21*$G$8*'Traffic Data'!AN53*annualizationFactor</f>
        <v>3061.1578939400001</v>
      </c>
      <c r="M596" s="749">
        <f>$H$21*$G$8*'Traffic Data'!AO53*annualizationFactor</f>
        <v>4829.3491676500007</v>
      </c>
      <c r="N596" s="749">
        <f>$H$21*$G$8*'Traffic Data'!AP53*annualizationFactor</f>
        <v>6596.8418897599986</v>
      </c>
      <c r="O596" s="749">
        <f>$H$21*$G$8*'Traffic Data'!AQ53*annualizationFactor</f>
        <v>8363.7757705900003</v>
      </c>
      <c r="P596" s="749">
        <f>$H$21*$G$8*'Traffic Data'!AR53*annualizationFactor</f>
        <v>10133.137118230003</v>
      </c>
      <c r="Q596" s="749">
        <f>$H$21*$G$8*'Traffic Data'!AS53*annualizationFactor</f>
        <v>10861.848683560002</v>
      </c>
      <c r="R596" s="749">
        <f>$H$21*$G$8*'Traffic Data'!AT53*annualizationFactor</f>
        <v>11591.119090170001</v>
      </c>
      <c r="S596" s="749">
        <f>$H$21*$G$8*'Traffic Data'!AU53*annualizationFactor</f>
        <v>12320.214858880001</v>
      </c>
      <c r="T596" s="749">
        <f>$H$21*$G$8*'Traffic Data'!AV53*annualizationFactor</f>
        <v>13048.926424210002</v>
      </c>
      <c r="U596" s="749">
        <f>$H$21*$G$8*'Traffic Data'!AW53*annualizationFactor</f>
        <v>13779.366904750001</v>
      </c>
      <c r="V596" s="749">
        <f>$H$21*$G$8*'Traffic Data'!AX53*annualizationFactor</f>
        <v>13889.511028280003</v>
      </c>
      <c r="W596" s="749">
        <f>$H$21*$G$8*'Traffic Data'!AY53*annualizationFactor</f>
        <v>13999.655151810002</v>
      </c>
      <c r="X596" s="749">
        <f>$H$21*$G$8*'Traffic Data'!AZ53*annualizationFactor</f>
        <v>14109.799275340003</v>
      </c>
      <c r="Y596" s="749">
        <f>$H$21*$G$8*'Traffic Data'!BA53*annualizationFactor</f>
        <v>14219.943398870002</v>
      </c>
      <c r="Z596" s="749">
        <f>$H$21*$G$8*'Traffic Data'!BB53*annualizationFactor</f>
        <v>14330.873392950003</v>
      </c>
      <c r="AA596" s="749">
        <f>$H$21*$G$8*'Traffic Data'!BC53*annualizationFactor</f>
        <v>14441.017516480004</v>
      </c>
      <c r="AB596" s="749">
        <f>$H$21*$G$8*'Traffic Data'!BD53*annualizationFactor</f>
        <v>14551.510915810004</v>
      </c>
      <c r="AC596" s="749">
        <f>$H$21*$G$8*'Traffic Data'!BE53*annualizationFactor</f>
        <v>14661.655039340001</v>
      </c>
      <c r="AD596" s="749">
        <f>$H$21*$G$8*'Traffic Data'!BF53*annualizationFactor</f>
        <v>14771.799162870002</v>
      </c>
      <c r="AE596" s="749">
        <f>$H$21*$G$8*'Traffic Data'!BG53*annualizationFactor</f>
        <v>14882.729156950005</v>
      </c>
      <c r="AF596" s="749">
        <f>$H$21*$G$8*'Traffic Data'!BH53*annualizationFactor</f>
        <v>14992.873280480004</v>
      </c>
      <c r="AG596" s="749">
        <f>$H$21*$G$8*'Traffic Data'!BI53*annualizationFactor</f>
        <v>15103.017404010001</v>
      </c>
      <c r="AH596" s="750">
        <f>$H$21*$G$8*'Traffic Data'!BJ53*annualizationFactor</f>
        <v>15213.510803340001</v>
      </c>
      <c r="AI596" s="24"/>
      <c r="AJ596" s="24"/>
      <c r="AK596" s="24"/>
      <c r="AL596" s="24"/>
      <c r="AM596" s="24"/>
    </row>
    <row r="597" spans="2:39" ht="21.9" customHeight="1" x14ac:dyDescent="0.25">
      <c r="B597" s="1332" t="s">
        <v>308</v>
      </c>
      <c r="C597" s="217" t="s">
        <v>276</v>
      </c>
      <c r="D597" s="217" t="s">
        <v>320</v>
      </c>
      <c r="E597" s="114" t="s">
        <v>19</v>
      </c>
      <c r="F597" s="217" t="s">
        <v>40</v>
      </c>
      <c r="G597" s="941"/>
      <c r="H597" s="941"/>
      <c r="I597" s="749">
        <f>$H$21*$H$8*'Traffic Data'!AK54*annualizationFactor</f>
        <v>100.32389999999999</v>
      </c>
      <c r="J597" s="749">
        <f>$H$21*$H$8*'Traffic Data'!AL54*annualizationFactor</f>
        <v>222.96986774999999</v>
      </c>
      <c r="K597" s="749">
        <f>$H$21*$H$8*'Traffic Data'!AM54*annualizationFactor</f>
        <v>942.39255465000008</v>
      </c>
      <c r="L597" s="749">
        <f>$H$21*$H$8*'Traffic Data'!AN54*annualizationFactor</f>
        <v>2118.4394723999999</v>
      </c>
      <c r="M597" s="749">
        <f>$H$21*$H$8*'Traffic Data'!AO54*annualizationFactor</f>
        <v>3295.1384955000008</v>
      </c>
      <c r="N597" s="749">
        <f>$H$21*$H$8*'Traffic Data'!AP54*annualizationFactor</f>
        <v>4471.8876805499995</v>
      </c>
      <c r="O597" s="749">
        <f>$H$21*$H$8*'Traffic Data'!AQ54*annualizationFactor</f>
        <v>5647.9345983000003</v>
      </c>
      <c r="P597" s="749">
        <f>$H$21*$H$8*'Traffic Data'!AR54*annualizationFactor</f>
        <v>6825.3358887000022</v>
      </c>
      <c r="Q597" s="749">
        <f>$H$21*$H$8*'Traffic Data'!AS54*annualizationFactor</f>
        <v>7733.2671837000007</v>
      </c>
      <c r="R597" s="749">
        <f>$H$21*$H$8*'Traffic Data'!AT54*annualizationFactor</f>
        <v>8641.3489645500013</v>
      </c>
      <c r="S597" s="749">
        <f>$H$21*$H$8*'Traffic Data'!AU54*annualizationFactor</f>
        <v>9549.2802595499998</v>
      </c>
      <c r="T597" s="749">
        <f>$H$21*$H$8*'Traffic Data'!AV54*annualizationFactor</f>
        <v>10457.21155455</v>
      </c>
      <c r="U597" s="749">
        <f>$H$21*$H$8*'Traffic Data'!AW54*annualizationFactor</f>
        <v>11366.34673635</v>
      </c>
      <c r="V597" s="749">
        <f>$H$21*$H$8*'Traffic Data'!AX54*annualizationFactor</f>
        <v>11816.951533199999</v>
      </c>
      <c r="W597" s="749">
        <f>$H$21*$H$8*'Traffic Data'!AY54*annualizationFactor</f>
        <v>11939.597500950002</v>
      </c>
      <c r="X597" s="749">
        <f>$H$21*$H$8*'Traffic Data'!AZ54*annualizationFactor</f>
        <v>12062.2434687</v>
      </c>
      <c r="Y597" s="749">
        <f>$H$21*$H$8*'Traffic Data'!BA54*annualizationFactor</f>
        <v>12184.889436450003</v>
      </c>
      <c r="Z597" s="749">
        <f>$H$21*$H$8*'Traffic Data'!BB54*annualizationFactor</f>
        <v>12307.886537850001</v>
      </c>
      <c r="AA597" s="749">
        <f>$H$21*$H$8*'Traffic Data'!BC54*annualizationFactor</f>
        <v>12430.532505600002</v>
      </c>
      <c r="AB597" s="749">
        <f>$H$21*$H$8*'Traffic Data'!BD54*annualizationFactor</f>
        <v>12553.529606999999</v>
      </c>
      <c r="AC597" s="749">
        <f>$H$21*$H$8*'Traffic Data'!BE54*annualizationFactor</f>
        <v>12676.175574749999</v>
      </c>
      <c r="AD597" s="749">
        <f>$H$21*$H$8*'Traffic Data'!BF54*annualizationFactor</f>
        <v>12798.8215425</v>
      </c>
      <c r="AE597" s="749">
        <f>$H$21*$H$8*'Traffic Data'!BG54*annualizationFactor</f>
        <v>12921.818643899998</v>
      </c>
      <c r="AF597" s="749">
        <f>$H$21*$H$8*'Traffic Data'!BH54*annualizationFactor</f>
        <v>13044.464611650001</v>
      </c>
      <c r="AG597" s="749">
        <f>$H$21*$H$8*'Traffic Data'!BI54*annualizationFactor</f>
        <v>13167.1105794</v>
      </c>
      <c r="AH597" s="750">
        <f>$H$21*$H$8*'Traffic Data'!BJ54*annualizationFactor</f>
        <v>13290.1076808</v>
      </c>
      <c r="AI597" s="24"/>
      <c r="AJ597" s="24"/>
      <c r="AK597" s="24"/>
      <c r="AL597" s="24"/>
      <c r="AM597" s="24"/>
    </row>
    <row r="598" spans="2:39" ht="21.9" customHeight="1" x14ac:dyDescent="0.25">
      <c r="B598" s="1332"/>
      <c r="C598" s="114" t="s">
        <v>320</v>
      </c>
      <c r="D598" s="114" t="s">
        <v>282</v>
      </c>
      <c r="E598" s="114" t="s">
        <v>19</v>
      </c>
      <c r="F598" s="114" t="s">
        <v>40</v>
      </c>
      <c r="G598" s="941"/>
      <c r="H598" s="941"/>
      <c r="I598" s="751">
        <f>$H$21*$H$8*'Traffic Data'!AK55*annualizationFactor</f>
        <v>0</v>
      </c>
      <c r="J598" s="751">
        <f>$H$21*$H$8*'Traffic Data'!AL55*annualizationFactor</f>
        <v>67.625740000000008</v>
      </c>
      <c r="K598" s="751">
        <f>$H$21*$H$8*'Traffic Data'!AM55*annualizationFactor</f>
        <v>195.45919652000003</v>
      </c>
      <c r="L598" s="751">
        <f>$H$21*$H$8*'Traffic Data'!AN55*annualizationFactor</f>
        <v>439.38003872000002</v>
      </c>
      <c r="M598" s="751">
        <f>$H$21*$H$8*'Traffic Data'!AO55*annualizationFactor</f>
        <v>683.43613240000025</v>
      </c>
      <c r="N598" s="751">
        <f>$H$21*$H$8*'Traffic Data'!AP55*annualizationFactor</f>
        <v>927.50263003999987</v>
      </c>
      <c r="O598" s="751">
        <f>$H$21*$H$8*'Traffic Data'!AQ55*annualizationFactor</f>
        <v>1171.4234722400001</v>
      </c>
      <c r="P598" s="751">
        <f>$H$21*$H$8*'Traffic Data'!AR55*annualizationFactor</f>
        <v>1415.6252213600003</v>
      </c>
      <c r="Q598" s="751">
        <f>$H$21*$H$8*'Traffic Data'!AS55*annualizationFactor</f>
        <v>1603.9368973600006</v>
      </c>
      <c r="R598" s="751">
        <f>$H$21*$H$8*'Traffic Data'!AT55*annualizationFactor</f>
        <v>1792.2797852400006</v>
      </c>
      <c r="S598" s="751">
        <f>$H$21*$H$8*'Traffic Data'!AU55*annualizationFactor</f>
        <v>1980.5914612400002</v>
      </c>
      <c r="T598" s="751">
        <f>$H$21*$H$8*'Traffic Data'!AV55*annualizationFactor</f>
        <v>2168.90313724</v>
      </c>
      <c r="U598" s="751">
        <f>$H$21*$H$8*'Traffic Data'!AW55*annualizationFactor</f>
        <v>2357.4645082800002</v>
      </c>
      <c r="V598" s="751">
        <f>$H$21*$H$8*'Traffic Data'!AX55*annualizationFactor</f>
        <v>2450.9232809600003</v>
      </c>
      <c r="W598" s="751">
        <f>$H$21*$H$8*'Traffic Data'!AY55*annualizationFactor</f>
        <v>2476.3609631600007</v>
      </c>
      <c r="X598" s="751">
        <f>$H$21*$H$8*'Traffic Data'!AZ55*annualizationFactor</f>
        <v>2501.7986453600001</v>
      </c>
      <c r="Y598" s="751">
        <f>$H$21*$H$8*'Traffic Data'!BA55*annualizationFactor</f>
        <v>2527.2363275600005</v>
      </c>
      <c r="Z598" s="751">
        <f>$H$21*$H$8*'Traffic Data'!BB55*annualizationFactor</f>
        <v>2552.7468374800005</v>
      </c>
      <c r="AA598" s="751">
        <f>$H$21*$H$8*'Traffic Data'!BC55*annualizationFactor</f>
        <v>2578.1845196800004</v>
      </c>
      <c r="AB598" s="751">
        <f>$H$21*$H$8*'Traffic Data'!BD55*annualizationFactor</f>
        <v>2603.6950295999995</v>
      </c>
      <c r="AC598" s="751">
        <f>$H$21*$H$8*'Traffic Data'!BE55*annualizationFactor</f>
        <v>2629.1327117999999</v>
      </c>
      <c r="AD598" s="751">
        <f>$H$21*$H$8*'Traffic Data'!BF55*annualizationFactor</f>
        <v>2654.5703940000003</v>
      </c>
      <c r="AE598" s="751">
        <f>$H$21*$H$8*'Traffic Data'!BG55*annualizationFactor</f>
        <v>2680.0809039199999</v>
      </c>
      <c r="AF598" s="751">
        <f>$H$21*$H$8*'Traffic Data'!BH55*annualizationFactor</f>
        <v>2705.5185861199998</v>
      </c>
      <c r="AG598" s="751">
        <f>$H$21*$H$8*'Traffic Data'!BI55*annualizationFactor</f>
        <v>2730.9562683199997</v>
      </c>
      <c r="AH598" s="752">
        <f>$H$21*$H$8*'Traffic Data'!BJ55*annualizationFactor</f>
        <v>2756.4667782400002</v>
      </c>
      <c r="AI598" s="24"/>
      <c r="AJ598" s="24"/>
      <c r="AK598" s="24"/>
      <c r="AL598" s="24"/>
      <c r="AM598" s="24"/>
    </row>
    <row r="599" spans="2:39" ht="21.9" customHeight="1" x14ac:dyDescent="0.25">
      <c r="B599" s="1332"/>
      <c r="C599" s="114" t="s">
        <v>282</v>
      </c>
      <c r="D599" s="114" t="s">
        <v>321</v>
      </c>
      <c r="E599" s="114" t="s">
        <v>19</v>
      </c>
      <c r="F599" s="114" t="s">
        <v>40</v>
      </c>
      <c r="G599" s="941"/>
      <c r="H599" s="941"/>
      <c r="I599" s="751">
        <f>$H$21*$H$8*'Traffic Data'!AK56*annualizationFactor</f>
        <v>0</v>
      </c>
      <c r="J599" s="751">
        <f>$H$21*$H$8*'Traffic Data'!AL56*annualizationFactor</f>
        <v>176.30996500000001</v>
      </c>
      <c r="K599" s="751">
        <f>$H$21*$H$8*'Traffic Data'!AM56*annualizationFactor</f>
        <v>509.59004806999997</v>
      </c>
      <c r="L599" s="751">
        <f>$H$21*$H$8*'Traffic Data'!AN56*annualizationFactor</f>
        <v>1145.5265295199999</v>
      </c>
      <c r="M599" s="751">
        <f>$H$21*$H$8*'Traffic Data'!AO56*annualizationFactor</f>
        <v>1781.8156309000003</v>
      </c>
      <c r="N599" s="751">
        <f>$H$21*$H$8*'Traffic Data'!AP56*annualizationFactor</f>
        <v>2418.1318568899997</v>
      </c>
      <c r="O599" s="751">
        <f>$H$21*$H$8*'Traffic Data'!AQ56*annualizationFactor</f>
        <v>3054.0683383400001</v>
      </c>
      <c r="P599" s="751">
        <f>$H$21*$H$8*'Traffic Data'!AR56*annualizationFactor</f>
        <v>3690.73718426</v>
      </c>
      <c r="Q599" s="751">
        <f>$H$21*$H$8*'Traffic Data'!AS56*annualizationFactor</f>
        <v>4181.6926252600006</v>
      </c>
      <c r="R599" s="751">
        <f>$H$21*$H$8*'Traffic Data'!AT56*annualizationFactor</f>
        <v>4672.72944009</v>
      </c>
      <c r="S599" s="751">
        <f>$H$21*$H$8*'Traffic Data'!AU56*annualizationFactor</f>
        <v>5163.6848810899992</v>
      </c>
      <c r="T599" s="751">
        <f>$H$21*$H$8*'Traffic Data'!AV56*annualizationFactor</f>
        <v>5654.6403220899992</v>
      </c>
      <c r="U599" s="751">
        <f>$H$21*$H$8*'Traffic Data'!AW56*annualizationFactor</f>
        <v>6146.2467537300008</v>
      </c>
      <c r="V599" s="751">
        <f>$H$21*$H$8*'Traffic Data'!AX56*annualizationFactor</f>
        <v>6389.9071253600005</v>
      </c>
      <c r="W599" s="751">
        <f>$H$21*$H$8*'Traffic Data'!AY56*annualizationFactor</f>
        <v>6456.2267968099995</v>
      </c>
      <c r="X599" s="751">
        <f>$H$21*$H$8*'Traffic Data'!AZ56*annualizationFactor</f>
        <v>6522.5464682599995</v>
      </c>
      <c r="Y599" s="751">
        <f>$H$21*$H$8*'Traffic Data'!BA56*annualizationFactor</f>
        <v>6588.8661397099995</v>
      </c>
      <c r="Z599" s="751">
        <f>$H$21*$H$8*'Traffic Data'!BB56*annualizationFactor</f>
        <v>6655.3756834300011</v>
      </c>
      <c r="AA599" s="751">
        <f>$H$21*$H$8*'Traffic Data'!BC56*annualizationFactor</f>
        <v>6721.6953548800002</v>
      </c>
      <c r="AB599" s="751">
        <f>$H$21*$H$8*'Traffic Data'!BD56*annualizationFactor</f>
        <v>6788.2048985999982</v>
      </c>
      <c r="AC599" s="751">
        <f>$H$21*$H$8*'Traffic Data'!BE56*annualizationFactor</f>
        <v>6854.5245700499981</v>
      </c>
      <c r="AD599" s="751">
        <f>$H$21*$H$8*'Traffic Data'!BF56*annualizationFactor</f>
        <v>6920.8442415</v>
      </c>
      <c r="AE599" s="751">
        <f>$H$21*$H$8*'Traffic Data'!BG56*annualizationFactor</f>
        <v>6987.3537852199979</v>
      </c>
      <c r="AF599" s="751">
        <f>$H$21*$H$8*'Traffic Data'!BH56*annualizationFactor</f>
        <v>7053.6734566699997</v>
      </c>
      <c r="AG599" s="751">
        <f>$H$21*$H$8*'Traffic Data'!BI56*annualizationFactor</f>
        <v>7119.9931281199997</v>
      </c>
      <c r="AH599" s="752">
        <f>$H$21*$H$8*'Traffic Data'!BJ56*annualizationFactor</f>
        <v>7186.5026718399995</v>
      </c>
      <c r="AI599" s="24"/>
      <c r="AJ599" s="24"/>
      <c r="AK599" s="24"/>
      <c r="AL599" s="24"/>
      <c r="AM599" s="24"/>
    </row>
    <row r="600" spans="2:39" ht="21.9" customHeight="1" x14ac:dyDescent="0.25">
      <c r="B600" s="1332"/>
      <c r="C600" s="250" t="s">
        <v>321</v>
      </c>
      <c r="D600" s="250" t="s">
        <v>274</v>
      </c>
      <c r="E600" s="114" t="s">
        <v>19</v>
      </c>
      <c r="F600" s="114" t="s">
        <v>40</v>
      </c>
      <c r="G600" s="941"/>
      <c r="H600" s="941"/>
      <c r="I600" s="751">
        <f>$H$21*$H$8*'Traffic Data'!AK57*annualizationFactor</f>
        <v>234.0891</v>
      </c>
      <c r="J600" s="751">
        <f>$H$21*$H$8*'Traffic Data'!AL57*annualizationFactor</f>
        <v>345.96028088999998</v>
      </c>
      <c r="K600" s="751">
        <f>$H$21*$H$8*'Traffic Data'!AM57*annualizationFactor</f>
        <v>485.32912806000007</v>
      </c>
      <c r="L600" s="751">
        <f>$H$21*$H$8*'Traffic Data'!AN57*annualizationFactor</f>
        <v>783.74591273999999</v>
      </c>
      <c r="M600" s="751">
        <f>$H$21*$H$8*'Traffic Data'!AO57*annualizationFactor</f>
        <v>1082.2017122700001</v>
      </c>
      <c r="N600" s="751">
        <f>$H$21*$H$8*'Traffic Data'!AP57*annualizationFactor</f>
        <v>1380.7823593200001</v>
      </c>
      <c r="O600" s="751">
        <f>$H$21*$H$8*'Traffic Data'!AQ57*annualizationFactor</f>
        <v>1679.1991440000002</v>
      </c>
      <c r="P600" s="751">
        <f>$H$21*$H$8*'Traffic Data'!AR57*annualizationFactor</f>
        <v>1977.4598692800002</v>
      </c>
      <c r="Q600" s="751">
        <f>$H$21*$H$8*'Traffic Data'!AS57*annualizationFactor</f>
        <v>2576.3534227199998</v>
      </c>
      <c r="R600" s="751">
        <f>$H$21*$H$8*'Traffic Data'!AT57*annualizationFactor</f>
        <v>3174.9036454800003</v>
      </c>
      <c r="S600" s="751">
        <f>$H$21*$H$8*'Traffic Data'!AU57*annualizationFactor</f>
        <v>3773.5865187300001</v>
      </c>
      <c r="T600" s="751">
        <f>$H$21*$H$8*'Traffic Data'!AV57*annualizationFactor</f>
        <v>4372.4800721700003</v>
      </c>
      <c r="U600" s="751">
        <f>$H$21*$H$8*'Traffic Data'!AW57*annualizationFactor</f>
        <v>4971.2175662100008</v>
      </c>
      <c r="V600" s="751">
        <f>$H$21*$H$8*'Traffic Data'!AX57*annualizationFactor</f>
        <v>5411.0475762000005</v>
      </c>
      <c r="W600" s="751">
        <f>$H$21*$H$8*'Traffic Data'!AY57*annualizationFactor</f>
        <v>5522.9187570900003</v>
      </c>
      <c r="X600" s="751">
        <f>$H$21*$H$8*'Traffic Data'!AZ57*annualizationFactor</f>
        <v>5634.7899379800001</v>
      </c>
      <c r="Y600" s="751">
        <f>$H$21*$H$8*'Traffic Data'!BA57*annualizationFactor</f>
        <v>5746.6611188699999</v>
      </c>
      <c r="Z600" s="751">
        <f>$H$21*$H$8*'Traffic Data'!BB57*annualizationFactor</f>
        <v>5858.1967720499997</v>
      </c>
      <c r="AA600" s="751">
        <f>$H$21*$H$8*'Traffic Data'!BC57*annualizationFactor</f>
        <v>5970.0679529399995</v>
      </c>
      <c r="AB600" s="751">
        <f>$H$21*$H$8*'Traffic Data'!BD57*annualizationFactor</f>
        <v>6081.6036061199993</v>
      </c>
      <c r="AC600" s="751">
        <f>$H$21*$H$8*'Traffic Data'!BE57*annualizationFactor</f>
        <v>6193.4747870100009</v>
      </c>
      <c r="AD600" s="751">
        <f>$H$21*$H$8*'Traffic Data'!BF57*annualizationFactor</f>
        <v>6305.3459678999998</v>
      </c>
      <c r="AE600" s="751">
        <f>$H$21*$H$8*'Traffic Data'!BG57*annualizationFactor</f>
        <v>6416.8816210800005</v>
      </c>
      <c r="AF600" s="751">
        <f>$H$21*$H$8*'Traffic Data'!BH57*annualizationFactor</f>
        <v>6528.7528019700003</v>
      </c>
      <c r="AG600" s="751">
        <f>$H$21*$H$8*'Traffic Data'!BI57*annualizationFactor</f>
        <v>6640.6239828599992</v>
      </c>
      <c r="AH600" s="752">
        <f>$H$21*$H$8*'Traffic Data'!BJ57*annualizationFactor</f>
        <v>6752.1596360399999</v>
      </c>
      <c r="AI600" s="24"/>
      <c r="AJ600" s="24"/>
      <c r="AK600" s="24"/>
      <c r="AL600" s="24"/>
      <c r="AM600" s="24"/>
    </row>
    <row r="601" spans="2:39" ht="21.9" customHeight="1" x14ac:dyDescent="0.25">
      <c r="B601" s="469" t="s">
        <v>282</v>
      </c>
      <c r="C601" s="114" t="s">
        <v>308</v>
      </c>
      <c r="D601" s="114" t="s">
        <v>324</v>
      </c>
      <c r="E601" s="114" t="s">
        <v>19</v>
      </c>
      <c r="F601" s="217" t="s">
        <v>40</v>
      </c>
      <c r="G601" s="941"/>
      <c r="H601" s="941"/>
      <c r="I601" s="749">
        <f>$H$21*$J$8*'Traffic Data'!AK58*annualizationFactor</f>
        <v>1337.652</v>
      </c>
      <c r="J601" s="749">
        <f>$H$21*$J$8*'Traffic Data'!AL58*annualizationFactor</f>
        <v>1419.9027352000001</v>
      </c>
      <c r="K601" s="749">
        <f>$H$21*$J$8*'Traffic Data'!AM58*annualizationFactor</f>
        <v>1528.7504510000001</v>
      </c>
      <c r="L601" s="749">
        <f>$H$21*$J$8*'Traffic Data'!AN58*annualizationFactor</f>
        <v>1673.4026519999998</v>
      </c>
      <c r="M601" s="749">
        <f>$H$21*$J$8*'Traffic Data'!AO58*annualizationFactor</f>
        <v>1818.0994413999997</v>
      </c>
      <c r="N601" s="749">
        <f>$H$21*$J$8*'Traffic Data'!AP58*annualizationFactor</f>
        <v>1963.1083496000001</v>
      </c>
      <c r="O601" s="749">
        <f>$H$21*$J$8*'Traffic Data'!AQ58*annualizationFactor</f>
        <v>2107.7605505999995</v>
      </c>
      <c r="P601" s="749">
        <f>$H$21*$J$8*'Traffic Data'!AR58*annualizationFactor</f>
        <v>2252.5688110000001</v>
      </c>
      <c r="Q601" s="749">
        <f>$H$21*$J$8*'Traffic Data'!AS58*annualizationFactor</f>
        <v>2384.6099262000002</v>
      </c>
      <c r="R601" s="749">
        <f>$H$21*$J$8*'Traffic Data'!AT58*annualizationFactor</f>
        <v>2516.5395704000002</v>
      </c>
      <c r="S601" s="749">
        <f>$H$21*$J$8*'Traffic Data'!AU58*annualizationFactor</f>
        <v>2648.5881169999998</v>
      </c>
      <c r="T601" s="749">
        <f>$H$21*$J$8*'Traffic Data'!AV58*annualizationFactor</f>
        <v>2780.6292321999999</v>
      </c>
      <c r="U601" s="749">
        <f>$H$21*$J$8*'Traffic Data'!AW58*annualizationFactor</f>
        <v>2913.1385256000003</v>
      </c>
      <c r="V601" s="749">
        <f>$H$21*$J$8*'Traffic Data'!AX58*annualizationFactor</f>
        <v>3009.2711159999999</v>
      </c>
      <c r="W601" s="749">
        <f>$H$21*$J$8*'Traffic Data'!AY58*annualizationFactor</f>
        <v>3091.5218512000001</v>
      </c>
      <c r="X601" s="749">
        <f>$H$21*$J$8*'Traffic Data'!AZ58*annualizationFactor</f>
        <v>3173.7725863999995</v>
      </c>
      <c r="Y601" s="749">
        <f>$H$21*$J$8*'Traffic Data'!BA58*annualizationFactor</f>
        <v>3256.0233215999997</v>
      </c>
      <c r="Z601" s="749">
        <f>$H$21*$J$8*'Traffic Data'!BB58*annualizationFactor</f>
        <v>3338.3632336000001</v>
      </c>
      <c r="AA601" s="749">
        <f>$H$21*$J$8*'Traffic Data'!BC58*annualizationFactor</f>
        <v>3420.6139687999994</v>
      </c>
      <c r="AB601" s="749">
        <f>$H$21*$J$8*'Traffic Data'!BD58*annualizationFactor</f>
        <v>3503.0653517999999</v>
      </c>
      <c r="AC601" s="749">
        <f>$H$21*$J$8*'Traffic Data'!BE58*annualizationFactor</f>
        <v>3585.3160869999992</v>
      </c>
      <c r="AD601" s="749">
        <f>$H$21*$J$8*'Traffic Data'!BF58*annualizationFactor</f>
        <v>3667.5668221999995</v>
      </c>
      <c r="AE601" s="749">
        <f>$H$21*$J$8*'Traffic Data'!BG58*annualizationFactor</f>
        <v>3749.9067341999989</v>
      </c>
      <c r="AF601" s="749">
        <f>$H$21*$J$8*'Traffic Data'!BH58*annualizationFactor</f>
        <v>3832.1574693999996</v>
      </c>
      <c r="AG601" s="749">
        <f>$H$21*$J$8*'Traffic Data'!BI58*annualizationFactor</f>
        <v>3914.4082045999999</v>
      </c>
      <c r="AH601" s="750">
        <f>$H$21*$J$8*'Traffic Data'!BJ58*annualizationFactor</f>
        <v>3996.8595875999995</v>
      </c>
      <c r="AI601" s="24"/>
      <c r="AJ601" s="24"/>
      <c r="AK601" s="24"/>
      <c r="AL601" s="24"/>
      <c r="AM601" s="24"/>
    </row>
    <row r="602" spans="2:39" ht="21.9" customHeight="1" x14ac:dyDescent="0.25">
      <c r="B602" s="756" t="s">
        <v>321</v>
      </c>
      <c r="C602" s="273" t="s">
        <v>318</v>
      </c>
      <c r="D602" s="273" t="s">
        <v>308</v>
      </c>
      <c r="E602" s="273" t="s">
        <v>19</v>
      </c>
      <c r="F602" s="217" t="s">
        <v>40</v>
      </c>
      <c r="G602" s="754"/>
      <c r="H602" s="754"/>
      <c r="I602" s="749">
        <f>$H$21*$K$8*'Traffic Data'!AK59*annualizationFactor</f>
        <v>0</v>
      </c>
      <c r="J602" s="749">
        <f>$H$21*$K$8*'Traffic Data'!AL59*annualizationFactor</f>
        <v>2243.4463216160002</v>
      </c>
      <c r="K602" s="749">
        <f>$H$21*$K$8*'Traffic Data'!AM59*annualizationFactor</f>
        <v>2415.4257125800004</v>
      </c>
      <c r="L602" s="749">
        <f>$H$21*$K$8*'Traffic Data'!AN59*annualizationFactor</f>
        <v>2643.97619016</v>
      </c>
      <c r="M602" s="749">
        <f>$H$21*$K$8*'Traffic Data'!AO59*annualizationFactor</f>
        <v>2872.597117412</v>
      </c>
      <c r="N602" s="749">
        <f>$H$21*$K$8*'Traffic Data'!AP59*annualizationFactor</f>
        <v>3101.7111923680009</v>
      </c>
      <c r="O602" s="749">
        <f>$H$21*$K$8*'Traffic Data'!AQ59*annualizationFactor</f>
        <v>3330.2616699479995</v>
      </c>
      <c r="P602" s="749">
        <f>$H$21*$K$8*'Traffic Data'!AR59*annualizationFactor</f>
        <v>3559.05872138</v>
      </c>
      <c r="Q602" s="749">
        <f>$H$21*$K$8*'Traffic Data'!AS59*annualizationFactor</f>
        <v>3767.6836833960001</v>
      </c>
      <c r="R602" s="749">
        <f>$H$21*$K$8*'Traffic Data'!AT59*annualizationFactor</f>
        <v>3976.1325212320003</v>
      </c>
      <c r="S602" s="749">
        <f>$H$21*$K$8*'Traffic Data'!AU59*annualizationFactor</f>
        <v>4184.7692248599997</v>
      </c>
      <c r="T602" s="749">
        <f>$H$21*$K$8*'Traffic Data'!AV59*annualizationFactor</f>
        <v>4393.3941868760003</v>
      </c>
      <c r="U602" s="749">
        <f>$H$21*$K$8*'Traffic Data'!AW59*annualizationFactor</f>
        <v>4602.7588704480004</v>
      </c>
      <c r="V602" s="749">
        <f>$H$21*$K$8*'Traffic Data'!AX59*annualizationFactor</f>
        <v>4754.6483632800009</v>
      </c>
      <c r="W602" s="749">
        <f>$H$21*$K$8*'Traffic Data'!AY59*annualizationFactor</f>
        <v>4884.6045248959999</v>
      </c>
      <c r="X602" s="749">
        <f>$H$21*$K$8*'Traffic Data'!AZ59*annualizationFactor</f>
        <v>5014.5606865119989</v>
      </c>
      <c r="Y602" s="749">
        <f>$H$21*$K$8*'Traffic Data'!BA59*annualizationFactor</f>
        <v>5144.5168481279998</v>
      </c>
      <c r="Z602" s="749">
        <f>$H$21*$K$8*'Traffic Data'!BB59*annualizationFactor</f>
        <v>5274.6139090879997</v>
      </c>
      <c r="AA602" s="749">
        <f>$H$21*$K$8*'Traffic Data'!BC59*annualizationFactor</f>
        <v>5404.5700707039987</v>
      </c>
      <c r="AB602" s="749">
        <f>$H$21*$K$8*'Traffic Data'!BD59*annualizationFactor</f>
        <v>5534.8432558439999</v>
      </c>
      <c r="AC602" s="749">
        <f>$H$21*$K$8*'Traffic Data'!BE59*annualizationFactor</f>
        <v>5664.7994174599989</v>
      </c>
      <c r="AD602" s="749">
        <f>$H$21*$K$8*'Traffic Data'!BF59*annualizationFactor</f>
        <v>5794.7555790759998</v>
      </c>
      <c r="AE602" s="749">
        <f>$H$21*$K$8*'Traffic Data'!BG59*annualizationFactor</f>
        <v>5924.8526400359988</v>
      </c>
      <c r="AF602" s="749">
        <f>$H$21*$K$8*'Traffic Data'!BH59*annualizationFactor</f>
        <v>6054.8088016519996</v>
      </c>
      <c r="AG602" s="749">
        <f>$H$21*$K$8*'Traffic Data'!BI59*annualizationFactor</f>
        <v>6184.7649632679995</v>
      </c>
      <c r="AH602" s="750">
        <f>$H$21*$K$8*'Traffic Data'!BJ59*annualizationFactor</f>
        <v>6315.038148407999</v>
      </c>
      <c r="AI602" s="24"/>
      <c r="AJ602" s="24"/>
      <c r="AK602" s="24"/>
      <c r="AL602" s="24"/>
      <c r="AM602" s="24"/>
    </row>
    <row r="603" spans="2:39" ht="21.9" customHeight="1" x14ac:dyDescent="0.25">
      <c r="B603" s="756" t="s">
        <v>333</v>
      </c>
      <c r="C603" s="273" t="s">
        <v>319</v>
      </c>
      <c r="D603" s="273" t="s">
        <v>308</v>
      </c>
      <c r="E603" s="114" t="s">
        <v>19</v>
      </c>
      <c r="F603" s="217" t="s">
        <v>40</v>
      </c>
      <c r="G603" s="941"/>
      <c r="H603" s="941"/>
      <c r="I603" s="749">
        <f>$H$21*$L$8*'Traffic Data'!AK60*annualizationFactor</f>
        <v>2480.7364363636366</v>
      </c>
      <c r="J603" s="749">
        <f>$H$21*$L$8*'Traffic Data'!AL60*annualizationFactor</f>
        <v>2514.7983258218183</v>
      </c>
      <c r="K603" s="749">
        <f>$H$21*$L$8*'Traffic Data'!AM60*annualizationFactor</f>
        <v>2573.6744705781816</v>
      </c>
      <c r="L603" s="749">
        <f>$H$21*$L$8*'Traffic Data'!AN60*annualizationFactor</f>
        <v>2654.5051327963643</v>
      </c>
      <c r="M603" s="749">
        <f>$H$21*$L$8*'Traffic Data'!AO60*annualizationFactor</f>
        <v>2735.3702496872729</v>
      </c>
      <c r="N603" s="749">
        <f>$H$21*$L$8*'Traffic Data'!AP60*annualizationFactor</f>
        <v>2816.3525124654543</v>
      </c>
      <c r="O603" s="749">
        <f>$H$21*$L$8*'Traffic Data'!AQ60*annualizationFactor</f>
        <v>2897.1831746836369</v>
      </c>
      <c r="P603" s="749">
        <f>$H$21*$L$8*'Traffic Data'!AR60*annualizationFactor</f>
        <v>2978.2963652181816</v>
      </c>
      <c r="Q603" s="749">
        <f>$H$21*$L$8*'Traffic Data'!AS60*annualizationFactor</f>
        <v>3034.5470639127275</v>
      </c>
      <c r="R603" s="749">
        <f>$H$21*$L$8*'Traffic Data'!AT60*annualizationFactor</f>
        <v>3090.804653541818</v>
      </c>
      <c r="S603" s="749">
        <f>$H$21*$L$8*'Traffic Data'!AU60*annualizationFactor</f>
        <v>3147.0691341054544</v>
      </c>
      <c r="T603" s="749">
        <f>$H$21*$L$8*'Traffic Data'!AV60*annualizationFactor</f>
        <v>3203.3198328000003</v>
      </c>
      <c r="U603" s="749">
        <f>$H$21*$L$8*'Traffic Data'!AW60*annualizationFactor</f>
        <v>3259.9702056981814</v>
      </c>
      <c r="V603" s="749">
        <f>$H$21*$L$8*'Traffic Data'!AX60*annualizationFactor</f>
        <v>3294.0320951563635</v>
      </c>
      <c r="W603" s="749">
        <f>$H$21*$L$8*'Traffic Data'!AY60*annualizationFactor</f>
        <v>3328.0939846145448</v>
      </c>
      <c r="X603" s="749">
        <f>$H$21*$L$8*'Traffic Data'!AZ60*annualizationFactor</f>
        <v>3362.1558740727273</v>
      </c>
      <c r="Y603" s="749">
        <f>$H$21*$L$8*'Traffic Data'!BA60*annualizationFactor</f>
        <v>3396.2177635309081</v>
      </c>
      <c r="Z603" s="749">
        <f>$H$21*$L$8*'Traffic Data'!BB60*annualizationFactor</f>
        <v>3430.513944763637</v>
      </c>
      <c r="AA603" s="749">
        <f>$H$21*$L$8*'Traffic Data'!BC60*annualizationFactor</f>
        <v>3464.5758342218182</v>
      </c>
      <c r="AB603" s="749">
        <f>$H$21*$L$8*'Traffic Data'!BD60*annualizationFactor</f>
        <v>3498.7686514363641</v>
      </c>
      <c r="AC603" s="749">
        <f>$H$21*$L$8*'Traffic Data'!BE60*annualizationFactor</f>
        <v>3532.8305408945448</v>
      </c>
      <c r="AD603" s="749">
        <f>$H$21*$L$8*'Traffic Data'!BF60*annualizationFactor</f>
        <v>3566.8924303527278</v>
      </c>
      <c r="AE603" s="749">
        <f>$H$21*$L$8*'Traffic Data'!BG60*annualizationFactor</f>
        <v>3601.188611585455</v>
      </c>
      <c r="AF603" s="749">
        <f>$H$21*$L$8*'Traffic Data'!BH60*annualizationFactor</f>
        <v>3635.2505010436371</v>
      </c>
      <c r="AG603" s="749">
        <f>$H$21*$L$8*'Traffic Data'!BI60*annualizationFactor</f>
        <v>3669.3123905018183</v>
      </c>
      <c r="AH603" s="750">
        <f>$H$21*$L$8*'Traffic Data'!BJ60*annualizationFactor</f>
        <v>3703.5052077163637</v>
      </c>
      <c r="AI603" s="24"/>
      <c r="AJ603" s="24"/>
      <c r="AK603" s="24"/>
      <c r="AL603" s="24"/>
      <c r="AM603" s="24"/>
    </row>
    <row r="604" spans="2:39" ht="21.9" customHeight="1" x14ac:dyDescent="0.25">
      <c r="B604" s="469" t="s">
        <v>319</v>
      </c>
      <c r="C604" s="114" t="s">
        <v>276</v>
      </c>
      <c r="D604" s="114" t="s">
        <v>333</v>
      </c>
      <c r="E604" s="217" t="s">
        <v>19</v>
      </c>
      <c r="F604" s="217" t="s">
        <v>40</v>
      </c>
      <c r="G604" s="749"/>
      <c r="H604" s="749"/>
      <c r="I604" s="749">
        <f>$H$21*$M$8*'Traffic Data'!AK61*annualizationFactor</f>
        <v>8909.2352272727276</v>
      </c>
      <c r="J604" s="749">
        <f>$H$21*$M$8*'Traffic Data'!AL61*annualizationFactor</f>
        <v>9166.0617511693217</v>
      </c>
      <c r="K604" s="749">
        <f>$H$21*$M$8*'Traffic Data'!AM61*annualizationFactor</f>
        <v>9444.0477087306826</v>
      </c>
      <c r="L604" s="749">
        <f>$H$21*$M$8*'Traffic Data'!AN61*annualizationFactor</f>
        <v>9812.8455009636364</v>
      </c>
      <c r="M604" s="749">
        <f>$H$21*$M$8*'Traffic Data'!AO61*annualizationFactor</f>
        <v>10181.705657843182</v>
      </c>
      <c r="N604" s="749">
        <f>$H$21*$M$8*'Traffic Data'!AP61*annualizationFactor</f>
        <v>10550.717271721591</v>
      </c>
      <c r="O604" s="749">
        <f>$H$21*$M$8*'Traffic Data'!AQ61*annualizationFactor</f>
        <v>10919.515063954548</v>
      </c>
      <c r="P604" s="749">
        <f>$H$21*$M$8*'Traffic Data'!AR61*annualizationFactor</f>
        <v>11288.410857775003</v>
      </c>
      <c r="Q604" s="749">
        <f>$H$21*$M$8*'Traffic Data'!AS61*annualizationFactor</f>
        <v>11694.333433200001</v>
      </c>
      <c r="R604" s="749">
        <f>$H$21*$M$8*'Traffic Data'!AT61*annualizationFactor</f>
        <v>12100.122370096593</v>
      </c>
      <c r="S604" s="749">
        <f>$H$21*$M$8*'Traffic Data'!AU61*annualizationFactor</f>
        <v>12506.044945521593</v>
      </c>
      <c r="T604" s="749">
        <f>$H$21*$M$8*'Traffic Data'!AV61*annualizationFactor</f>
        <v>12911.967520946593</v>
      </c>
      <c r="U604" s="749">
        <f>$H$21*$M$8*'Traffic Data'!AW61*annualizationFactor</f>
        <v>13318.121736487503</v>
      </c>
      <c r="V604" s="749">
        <f>$H$21*$M$8*'Traffic Data'!AX61*annualizationFactor</f>
        <v>13633.196840299999</v>
      </c>
      <c r="W604" s="749">
        <f>$H$21*$M$8*'Traffic Data'!AY61*annualizationFactor</f>
        <v>13890.023364196592</v>
      </c>
      <c r="X604" s="749">
        <f>$H$21*$M$8*'Traffic Data'!AZ61*annualizationFactor</f>
        <v>14146.849888093184</v>
      </c>
      <c r="Y604" s="749">
        <f>$H$21*$M$8*'Traffic Data'!BA61*annualizationFactor</f>
        <v>14403.676411989774</v>
      </c>
      <c r="Z604" s="749">
        <f>$H$21*$M$8*'Traffic Data'!BB61*annualizationFactor</f>
        <v>14660.476208180684</v>
      </c>
      <c r="AA604" s="749">
        <f>$H$21*$M$8*'Traffic Data'!BC61*annualizationFactor</f>
        <v>14917.302732077271</v>
      </c>
      <c r="AB604" s="749">
        <f>$H$21*$M$8*'Traffic Data'!BD61*annualizationFactor</f>
        <v>15174.102528268177</v>
      </c>
      <c r="AC604" s="749">
        <f>$H$21*$M$8*'Traffic Data'!BE61*annualizationFactor</f>
        <v>15430.929052164778</v>
      </c>
      <c r="AD604" s="749">
        <f>$H$21*$M$8*'Traffic Data'!BF61*annualizationFactor</f>
        <v>15687.755576061367</v>
      </c>
      <c r="AE604" s="749">
        <f>$H$21*$M$8*'Traffic Data'!BG61*annualizationFactor</f>
        <v>15944.555372252275</v>
      </c>
      <c r="AF604" s="749">
        <f>$H$21*$M$8*'Traffic Data'!BH61*annualizationFactor</f>
        <v>16201.381896148867</v>
      </c>
      <c r="AG604" s="749">
        <f>$H$21*$M$8*'Traffic Data'!BI61*annualizationFactor</f>
        <v>16458.208420045456</v>
      </c>
      <c r="AH604" s="750">
        <f>$H$21*$M$8*'Traffic Data'!BJ61*annualizationFactor</f>
        <v>16715.008216236369</v>
      </c>
      <c r="AI604" s="24"/>
      <c r="AJ604" s="24"/>
      <c r="AK604" s="24"/>
      <c r="AL604" s="24"/>
      <c r="AM604" s="24"/>
    </row>
    <row r="605" spans="2:39" ht="21.9" customHeight="1" x14ac:dyDescent="0.25">
      <c r="B605" s="469"/>
      <c r="C605" s="114" t="s">
        <v>333</v>
      </c>
      <c r="D605" s="114" t="s">
        <v>323</v>
      </c>
      <c r="E605" s="114" t="s">
        <v>19</v>
      </c>
      <c r="F605" s="114" t="s">
        <v>40</v>
      </c>
      <c r="G605" s="941"/>
      <c r="H605" s="941"/>
      <c r="I605" s="751">
        <f>$H$21*$M$8*'Traffic Data'!AK62*annualizationFactor</f>
        <v>1297.5111803030304</v>
      </c>
      <c r="J605" s="751">
        <f>$H$21*$M$8*'Traffic Data'!AL62*annualizationFactor</f>
        <v>1334.3365963018939</v>
      </c>
      <c r="K605" s="751">
        <f>$H$21*$M$8*'Traffic Data'!AM62*annualizationFactor</f>
        <v>1375.2030767267802</v>
      </c>
      <c r="L605" s="751">
        <f>$H$21*$M$8*'Traffic Data'!AN62*annualizationFactor</f>
        <v>1432.5633144054923</v>
      </c>
      <c r="M605" s="751">
        <f>$H$21*$M$8*'Traffic Data'!AO62*annualizationFactor</f>
        <v>1489.9337955935227</v>
      </c>
      <c r="N605" s="751">
        <f>$H$21*$M$8*'Traffic Data'!AP62*annualizationFactor</f>
        <v>1547.3162275424238</v>
      </c>
      <c r="O605" s="751">
        <f>$H$21*$M$8*'Traffic Data'!AQ62*annualizationFactor</f>
        <v>1604.6764652211366</v>
      </c>
      <c r="P605" s="751">
        <f>$H$21*$M$8*'Traffic Data'!AR62*annualizationFactor</f>
        <v>1662.0401174029544</v>
      </c>
      <c r="Q605" s="751">
        <f>$H$21*$M$8*'Traffic Data'!AS62*annualizationFactor</f>
        <v>1726.5144723031444</v>
      </c>
      <c r="R605" s="751">
        <f>$H$21*$M$8*'Traffic Data'!AT62*annualizationFactor</f>
        <v>1790.9666329331437</v>
      </c>
      <c r="S605" s="751">
        <f>$H$21*$M$8*'Traffic Data'!AU62*annualizationFactor</f>
        <v>1855.4409878333331</v>
      </c>
      <c r="T605" s="751">
        <f>$H$21*$M$8*'Traffic Data'!AV62*annualizationFactor</f>
        <v>1919.9153427335223</v>
      </c>
      <c r="U605" s="751">
        <f>$H$21*$M$8*'Traffic Data'!AW62*annualizationFactor</f>
        <v>1984.3999411430304</v>
      </c>
      <c r="V605" s="751">
        <f>$H$21*$M$8*'Traffic Data'!AX62*annualizationFactor</f>
        <v>2032.387367795606</v>
      </c>
      <c r="W605" s="751">
        <f>$H$21*$M$8*'Traffic Data'!AY62*annualizationFactor</f>
        <v>2069.2127837944695</v>
      </c>
      <c r="X605" s="751">
        <f>$H$21*$M$8*'Traffic Data'!AZ62*annualizationFactor</f>
        <v>2106.0381997933337</v>
      </c>
      <c r="Y605" s="751">
        <f>$H$21*$M$8*'Traffic Data'!BA62*annualizationFactor</f>
        <v>2142.8636157921969</v>
      </c>
      <c r="Z605" s="751">
        <f>$H$21*$M$8*'Traffic Data'!BB62*annualizationFactor</f>
        <v>2179.6702520239769</v>
      </c>
      <c r="AA605" s="751">
        <f>$H$21*$M$8*'Traffic Data'!BC62*annualizationFactor</f>
        <v>2216.4956680228411</v>
      </c>
      <c r="AB605" s="751">
        <f>$H$21*$M$8*'Traffic Data'!BD62*annualizationFactor</f>
        <v>2253.302304254621</v>
      </c>
      <c r="AC605" s="751">
        <f>$H$21*$M$8*'Traffic Data'!BE62*annualizationFactor</f>
        <v>2290.1277202534848</v>
      </c>
      <c r="AD605" s="751">
        <f>$H$21*$M$8*'Traffic Data'!BF62*annualizationFactor</f>
        <v>2326.9531362523485</v>
      </c>
      <c r="AE605" s="751">
        <f>$H$21*$M$8*'Traffic Data'!BG62*annualizationFactor</f>
        <v>2363.7597724841285</v>
      </c>
      <c r="AF605" s="751">
        <f>$H$21*$M$8*'Traffic Data'!BH62*annualizationFactor</f>
        <v>2400.5851884829922</v>
      </c>
      <c r="AG605" s="751">
        <f>$H$21*$M$8*'Traffic Data'!BI62*annualizationFactor</f>
        <v>2437.4106044818559</v>
      </c>
      <c r="AH605" s="752">
        <f>$H$21*$M$8*'Traffic Data'!BJ62*annualizationFactor</f>
        <v>2474.2172407136359</v>
      </c>
      <c r="AI605" s="24"/>
      <c r="AJ605" s="24"/>
      <c r="AK605" s="24"/>
      <c r="AL605" s="24"/>
      <c r="AM605" s="24"/>
    </row>
    <row r="606" spans="2:39" ht="21.9" customHeight="1" x14ac:dyDescent="0.25">
      <c r="B606" s="469"/>
      <c r="C606" s="114" t="s">
        <v>323</v>
      </c>
      <c r="D606" s="114" t="s">
        <v>322</v>
      </c>
      <c r="E606" s="114" t="s">
        <v>19</v>
      </c>
      <c r="F606" s="114" t="s">
        <v>40</v>
      </c>
      <c r="G606" s="941"/>
      <c r="H606" s="941"/>
      <c r="I606" s="751">
        <f>$H$21*$M$8*'Traffic Data'!AK63*annualizationFactor</f>
        <v>320.90136363636361</v>
      </c>
      <c r="J606" s="751">
        <f>$H$21*$M$8*'Traffic Data'!AL63*annualizationFactor</f>
        <v>330.00905102272731</v>
      </c>
      <c r="K606" s="751">
        <f>$H$21*$M$8*'Traffic Data'!AM63*annualizationFactor</f>
        <v>340.11617726136365</v>
      </c>
      <c r="L606" s="751">
        <f>$H$21*$M$8*'Traffic Data'!AN63*annualizationFactor</f>
        <v>354.30255096590906</v>
      </c>
      <c r="M606" s="751">
        <f>$H$21*$M$8*'Traffic Data'!AO63*annualizationFactor</f>
        <v>368.4914581022727</v>
      </c>
      <c r="N606" s="751">
        <f>$H$21*$M$8*'Traffic Data'!AP63*annualizationFactor</f>
        <v>382.68332090909092</v>
      </c>
      <c r="O606" s="751">
        <f>$H$21*$M$8*'Traffic Data'!AQ63*annualizationFactor</f>
        <v>396.8696946136364</v>
      </c>
      <c r="P606" s="751">
        <f>$H$21*$M$8*'Traffic Data'!AR63*annualizationFactor</f>
        <v>411.05691279545459</v>
      </c>
      <c r="Q606" s="751">
        <f>$H$21*$M$8*'Traffic Data'!AS63*annualizationFactor</f>
        <v>427.0027548977273</v>
      </c>
      <c r="R606" s="751">
        <f>$H$21*$M$8*'Traffic Data'!AT63*annualizationFactor</f>
        <v>442.94310789772715</v>
      </c>
      <c r="S606" s="751">
        <f>$H$21*$M$8*'Traffic Data'!AU63*annualizationFactor</f>
        <v>458.88894999999997</v>
      </c>
      <c r="T606" s="751">
        <f>$H$21*$M$8*'Traffic Data'!AV63*annualizationFactor</f>
        <v>474.83479210227267</v>
      </c>
      <c r="U606" s="751">
        <f>$H$21*$M$8*'Traffic Data'!AW63*annualizationFactor</f>
        <v>490.7831676363636</v>
      </c>
      <c r="V606" s="751">
        <f>$H$21*$M$8*'Traffic Data'!AX63*annualizationFactor</f>
        <v>502.65145122727262</v>
      </c>
      <c r="W606" s="751">
        <f>$H$21*$M$8*'Traffic Data'!AY63*annualizationFactor</f>
        <v>511.75913861363631</v>
      </c>
      <c r="X606" s="751">
        <f>$H$21*$M$8*'Traffic Data'!AZ63*annualizationFactor</f>
        <v>520.86682600000006</v>
      </c>
      <c r="Y606" s="751">
        <f>$H$21*$M$8*'Traffic Data'!BA63*annualizationFactor</f>
        <v>529.97451338636358</v>
      </c>
      <c r="Z606" s="751">
        <f>$H$21*$M$8*'Traffic Data'!BB63*annualizationFactor</f>
        <v>539.07755614772714</v>
      </c>
      <c r="AA606" s="751">
        <f>$H$21*$M$8*'Traffic Data'!BC63*annualizationFactor</f>
        <v>548.18524353409077</v>
      </c>
      <c r="AB606" s="751">
        <f>$H$21*$M$8*'Traffic Data'!BD63*annualizationFactor</f>
        <v>557.28828629545455</v>
      </c>
      <c r="AC606" s="751">
        <f>$H$21*$M$8*'Traffic Data'!BE63*annualizationFactor</f>
        <v>566.39597368181819</v>
      </c>
      <c r="AD606" s="751">
        <f>$H$21*$M$8*'Traffic Data'!BF63*annualizationFactor</f>
        <v>575.50366106818183</v>
      </c>
      <c r="AE606" s="751">
        <f>$H$21*$M$8*'Traffic Data'!BG63*annualizationFactor</f>
        <v>584.60670382954538</v>
      </c>
      <c r="AF606" s="751">
        <f>$H$21*$M$8*'Traffic Data'!BH63*annualizationFactor</f>
        <v>593.71439121590902</v>
      </c>
      <c r="AG606" s="751">
        <f>$H$21*$M$8*'Traffic Data'!BI63*annualizationFactor</f>
        <v>602.82207860227254</v>
      </c>
      <c r="AH606" s="752">
        <f>$H$21*$M$8*'Traffic Data'!BJ63*annualizationFactor</f>
        <v>611.92512136363632</v>
      </c>
      <c r="AI606" s="24"/>
      <c r="AJ606" s="24"/>
      <c r="AK606" s="24"/>
      <c r="AL606" s="24"/>
      <c r="AM606" s="24"/>
    </row>
    <row r="607" spans="2:39" ht="21.9" customHeight="1" x14ac:dyDescent="0.25">
      <c r="B607" s="469"/>
      <c r="C607" s="114" t="s">
        <v>322</v>
      </c>
      <c r="D607" s="114" t="s">
        <v>326</v>
      </c>
      <c r="E607" s="114" t="s">
        <v>19</v>
      </c>
      <c r="F607" s="114" t="s">
        <v>40</v>
      </c>
      <c r="G607" s="941"/>
      <c r="H607" s="941"/>
      <c r="I607" s="751">
        <f>$H$21*$M$8*'Traffic Data'!AK64*annualizationFactor</f>
        <v>823.36534090909095</v>
      </c>
      <c r="J607" s="751">
        <f>$H$21*$M$8*'Traffic Data'!AL64*annualizationFactor</f>
        <v>846.71323742613629</v>
      </c>
      <c r="K607" s="751">
        <f>$H$21*$M$8*'Traffic Data'!AM64*annualizationFactor</f>
        <v>873.31754386647731</v>
      </c>
      <c r="L607" s="751">
        <f>$H$21*$M$8*'Traffic Data'!AN64*annualizationFactor</f>
        <v>907.31155424147732</v>
      </c>
      <c r="M607" s="751">
        <f>$H$21*$M$8*'Traffic Data'!AO64*annualizationFactor</f>
        <v>941.31654282102272</v>
      </c>
      <c r="N607" s="751">
        <f>$H$21*$M$8*'Traffic Data'!AP64*annualizationFactor</f>
        <v>975.31604229829577</v>
      </c>
      <c r="O607" s="751">
        <f>$H$21*$M$8*'Traffic Data'!AQ64*annualizationFactor</f>
        <v>1009.3100526732957</v>
      </c>
      <c r="P607" s="751">
        <f>$H$21*$M$8*'Traffic Data'!AR64*annualizationFactor</f>
        <v>1043.3109244261366</v>
      </c>
      <c r="Q607" s="751">
        <f>$H$21*$M$8*'Traffic Data'!AS64*annualizationFactor</f>
        <v>1081.7401294374999</v>
      </c>
      <c r="R607" s="751">
        <f>$H$21*$M$8*'Traffic Data'!AT64*annualizationFactor</f>
        <v>1120.1679621732956</v>
      </c>
      <c r="S607" s="751">
        <f>$H$21*$M$8*'Traffic Data'!AU64*annualizationFactor</f>
        <v>1158.5916780823866</v>
      </c>
      <c r="T607" s="751">
        <f>$H$21*$M$8*'Traffic Data'!AV64*annualizationFactor</f>
        <v>1197.0208830937502</v>
      </c>
      <c r="U607" s="751">
        <f>$H$21*$M$8*'Traffic Data'!AW64*annualizationFactor</f>
        <v>1235.4569494829545</v>
      </c>
      <c r="V607" s="751">
        <f>$H$21*$M$8*'Traffic Data'!AX64*annualizationFactor</f>
        <v>1266.4950782840911</v>
      </c>
      <c r="W607" s="751">
        <f>$H$21*$M$8*'Traffic Data'!AY64*annualizationFactor</f>
        <v>1289.8429748011367</v>
      </c>
      <c r="X607" s="751">
        <f>$H$21*$M$8*'Traffic Data'!AZ64*annualizationFactor</f>
        <v>1313.1908713181822</v>
      </c>
      <c r="Y607" s="751">
        <f>$H$21*$M$8*'Traffic Data'!BA64*annualizationFactor</f>
        <v>1336.5387678352274</v>
      </c>
      <c r="Z607" s="751">
        <f>$H$21*$M$8*'Traffic Data'!BB64*annualizationFactor</f>
        <v>1359.8798029744321</v>
      </c>
      <c r="AA607" s="751">
        <f>$H$21*$M$8*'Traffic Data'!BC64*annualizationFactor</f>
        <v>1383.2276994914771</v>
      </c>
      <c r="AB607" s="751">
        <f>$H$21*$M$8*'Traffic Data'!BD64*annualizationFactor</f>
        <v>1406.5687346306815</v>
      </c>
      <c r="AC607" s="751">
        <f>$H$21*$M$8*'Traffic Data'!BE64*annualizationFactor</f>
        <v>1429.916631147727</v>
      </c>
      <c r="AD607" s="751">
        <f>$H$21*$M$8*'Traffic Data'!BF64*annualizationFactor</f>
        <v>1453.2645276647727</v>
      </c>
      <c r="AE607" s="751">
        <f>$H$21*$M$8*'Traffic Data'!BG64*annualizationFactor</f>
        <v>1476.6055628039769</v>
      </c>
      <c r="AF607" s="751">
        <f>$H$21*$M$8*'Traffic Data'!BH64*annualizationFactor</f>
        <v>1499.9534593210226</v>
      </c>
      <c r="AG607" s="751">
        <f>$H$21*$M$8*'Traffic Data'!BI64*annualizationFactor</f>
        <v>1523.3013558380678</v>
      </c>
      <c r="AH607" s="752">
        <f>$H$21*$M$8*'Traffic Data'!BJ64*annualizationFactor</f>
        <v>1546.6423909772725</v>
      </c>
      <c r="AI607" s="24"/>
      <c r="AJ607" s="24"/>
      <c r="AK607" s="24"/>
      <c r="AL607" s="24"/>
      <c r="AM607" s="24"/>
    </row>
    <row r="608" spans="2:39" ht="21.9" customHeight="1" x14ac:dyDescent="0.25">
      <c r="B608" s="469"/>
      <c r="C608" s="114" t="s">
        <v>326</v>
      </c>
      <c r="D608" s="114" t="s">
        <v>274</v>
      </c>
      <c r="E608" s="114" t="s">
        <v>19</v>
      </c>
      <c r="F608" s="114" t="s">
        <v>40</v>
      </c>
      <c r="G608" s="941"/>
      <c r="H608" s="941"/>
      <c r="I608" s="751">
        <f>$H$21*$M$8*'Traffic Data'!AK65*annualizationFactor</f>
        <v>6836.0435227272728</v>
      </c>
      <c r="J608" s="751">
        <f>$H$21*$M$8*'Traffic Data'!AL65*annualizationFactor</f>
        <v>7029.8909302200773</v>
      </c>
      <c r="K608" s="751">
        <f>$H$21*$M$8*'Traffic Data'!AM65*annualizationFactor</f>
        <v>7250.7748898452655</v>
      </c>
      <c r="L608" s="751">
        <f>$H$21*$M$8*'Traffic Data'!AN65*annualizationFactor</f>
        <v>7533.0123400869325</v>
      </c>
      <c r="M608" s="751">
        <f>$H$21*$M$8*'Traffic Data'!AO65*annualizationFactor</f>
        <v>7815.3409375755691</v>
      </c>
      <c r="N608" s="751">
        <f>$H$21*$M$8*'Traffic Data'!AP65*annualizationFactor</f>
        <v>8097.6239614407241</v>
      </c>
      <c r="O608" s="751">
        <f>$H$21*$M$8*'Traffic Data'!AQ65*annualizationFactor</f>
        <v>8379.8614116823883</v>
      </c>
      <c r="P608" s="751">
        <f>$H$21*$M$8*'Traffic Data'!AR65*annualizationFactor</f>
        <v>8662.1558289534114</v>
      </c>
      <c r="Q608" s="751">
        <f>$H$21*$M$8*'Traffic Data'!AS65*annualizationFactor</f>
        <v>8981.2167669708324</v>
      </c>
      <c r="R608" s="751">
        <f>$H$21*$M$8*'Traffic Data'!AT65*annualizationFactor</f>
        <v>9300.2663115823889</v>
      </c>
      <c r="S608" s="751">
        <f>$H$21*$M$8*'Traffic Data'!AU65*annualizationFactor</f>
        <v>9619.2816759763264</v>
      </c>
      <c r="T608" s="751">
        <f>$H$21*$M$8*'Traffic Data'!AV65*annualizationFactor</f>
        <v>9938.3426139937528</v>
      </c>
      <c r="U608" s="751">
        <f>$H$21*$M$8*'Traffic Data'!AW65*annualizationFactor</f>
        <v>10257.460519040531</v>
      </c>
      <c r="V608" s="751">
        <f>$H$21*$M$8*'Traffic Data'!AX65*annualizationFactor</f>
        <v>10515.156573035607</v>
      </c>
      <c r="W608" s="751">
        <f>$H$21*$M$8*'Traffic Data'!AY65*annualizationFactor</f>
        <v>10709.00398052841</v>
      </c>
      <c r="X608" s="751">
        <f>$H$21*$M$8*'Traffic Data'!AZ65*annualizationFactor</f>
        <v>10902.851388021214</v>
      </c>
      <c r="Y608" s="751">
        <f>$H$21*$M$8*'Traffic Data'!BA65*annualizationFactor</f>
        <v>11096.698795514018</v>
      </c>
      <c r="Z608" s="751">
        <f>$H$21*$M$8*'Traffic Data'!BB65*annualizationFactor</f>
        <v>11290.489235977466</v>
      </c>
      <c r="AA608" s="751">
        <f>$H$21*$M$8*'Traffic Data'!BC65*annualizationFactor</f>
        <v>11484.336643470264</v>
      </c>
      <c r="AB608" s="751">
        <f>$H$21*$M$8*'Traffic Data'!BD65*annualizationFactor</f>
        <v>11678.12708393371</v>
      </c>
      <c r="AC608" s="751">
        <f>$H$21*$M$8*'Traffic Data'!BE65*annualizationFactor</f>
        <v>11871.974491426514</v>
      </c>
      <c r="AD608" s="751">
        <f>$H$21*$M$8*'Traffic Data'!BF65*annualizationFactor</f>
        <v>12065.821898919317</v>
      </c>
      <c r="AE608" s="751">
        <f>$H$21*$M$8*'Traffic Data'!BG65*annualizationFactor</f>
        <v>12259.612339382762</v>
      </c>
      <c r="AF608" s="751">
        <f>$H$21*$M$8*'Traffic Data'!BH65*annualizationFactor</f>
        <v>12453.459746875569</v>
      </c>
      <c r="AG608" s="751">
        <f>$H$21*$M$8*'Traffic Data'!BI65*annualizationFactor</f>
        <v>12647.307154368367</v>
      </c>
      <c r="AH608" s="752">
        <f>$H$21*$M$8*'Traffic Data'!BJ65*annualizationFactor</f>
        <v>12841.097594831817</v>
      </c>
      <c r="AI608" s="24"/>
      <c r="AJ608" s="24"/>
      <c r="AK608" s="24"/>
      <c r="AL608" s="24"/>
      <c r="AM608" s="24"/>
    </row>
    <row r="609" spans="2:39" ht="21.9" customHeight="1" x14ac:dyDescent="0.25">
      <c r="B609" s="470"/>
      <c r="C609" s="250" t="s">
        <v>274</v>
      </c>
      <c r="D609" s="250" t="s">
        <v>317</v>
      </c>
      <c r="E609" s="250" t="s">
        <v>19</v>
      </c>
      <c r="F609" s="250" t="s">
        <v>40</v>
      </c>
      <c r="G609" s="753"/>
      <c r="H609" s="753"/>
      <c r="I609" s="753">
        <f>$H$21*$M$8*'Traffic Data'!AK66*annualizationFactor</f>
        <v>168.89545454545456</v>
      </c>
      <c r="J609" s="753">
        <f>$H$21*$M$8*'Traffic Data'!AL66*annualizationFactor</f>
        <v>173.68476665151519</v>
      </c>
      <c r="K609" s="753">
        <f>$H$21*$M$8*'Traffic Data'!AM66*annualizationFactor</f>
        <v>179.14206028030301</v>
      </c>
      <c r="L609" s="753">
        <f>$H$21*$M$8*'Traffic Data'!AN66*annualizationFactor</f>
        <v>186.1151906136364</v>
      </c>
      <c r="M609" s="753">
        <f>$H$21*$M$8*'Traffic Data'!AO66*annualizationFactor</f>
        <v>193.09057288636365</v>
      </c>
      <c r="N609" s="753">
        <f>$H$21*$M$8*'Traffic Data'!AP66*annualizationFactor</f>
        <v>200.064829189394</v>
      </c>
      <c r="O609" s="753">
        <f>$H$21*$M$8*'Traffic Data'!AQ66*annualizationFactor</f>
        <v>207.03795952272733</v>
      </c>
      <c r="P609" s="753">
        <f>$H$21*$M$8*'Traffic Data'!AR66*annualizationFactor</f>
        <v>214.01249731818186</v>
      </c>
      <c r="Q609" s="753">
        <f>$H$21*$M$8*'Traffic Data'!AS66*annualizationFactor</f>
        <v>221.89541116666669</v>
      </c>
      <c r="R609" s="753">
        <f>$H$21*$M$8*'Traffic Data'!AT66*annualizationFactor</f>
        <v>229.7780435227273</v>
      </c>
      <c r="S609" s="753">
        <f>$H$21*$M$8*'Traffic Data'!AU66*annualizationFactor</f>
        <v>237.65983140151513</v>
      </c>
      <c r="T609" s="753">
        <f>$H$21*$M$8*'Traffic Data'!AV66*annualizationFactor</f>
        <v>245.54274525000008</v>
      </c>
      <c r="U609" s="753">
        <f>$H$21*$M$8*'Traffic Data'!AW66*annualizationFactor</f>
        <v>253.42706656060608</v>
      </c>
      <c r="V609" s="753">
        <f>$H$21*$M$8*'Traffic Data'!AX66*annualizationFactor</f>
        <v>259.79386221212127</v>
      </c>
      <c r="W609" s="753">
        <f>$H$21*$M$8*'Traffic Data'!AY66*annualizationFactor</f>
        <v>264.58317431818188</v>
      </c>
      <c r="X609" s="753">
        <f>$H$21*$M$8*'Traffic Data'!AZ66*annualizationFactor</f>
        <v>269.37248642424254</v>
      </c>
      <c r="Y609" s="753">
        <f>$H$21*$M$8*'Traffic Data'!BA66*annualizationFactor</f>
        <v>274.16179853030309</v>
      </c>
      <c r="Z609" s="753">
        <f>$H$21*$M$8*'Traffic Data'!BB66*annualizationFactor</f>
        <v>278.94970317424247</v>
      </c>
      <c r="AA609" s="753">
        <f>$H$21*$M$8*'Traffic Data'!BC66*annualizationFactor</f>
        <v>283.73901528030297</v>
      </c>
      <c r="AB609" s="753">
        <f>$H$21*$M$8*'Traffic Data'!BD66*annualizationFactor</f>
        <v>288.52691992424235</v>
      </c>
      <c r="AC609" s="753">
        <f>$H$21*$M$8*'Traffic Data'!BE66*annualizationFactor</f>
        <v>293.31623203030296</v>
      </c>
      <c r="AD609" s="753">
        <f>$H$21*$M$8*'Traffic Data'!BF66*annualizationFactor</f>
        <v>298.10554413636362</v>
      </c>
      <c r="AE609" s="753">
        <f>$H$21*$M$8*'Traffic Data'!BG66*annualizationFactor</f>
        <v>302.893448780303</v>
      </c>
      <c r="AF609" s="753">
        <f>$H$21*$M$8*'Traffic Data'!BH66*annualizationFactor</f>
        <v>307.68276088636367</v>
      </c>
      <c r="AG609" s="753">
        <f>$H$21*$M$8*'Traffic Data'!BI66*annualizationFactor</f>
        <v>312.47207299242416</v>
      </c>
      <c r="AH609" s="757">
        <f>$H$21*$M$8*'Traffic Data'!BJ66*annualizationFactor</f>
        <v>317.2599776363636</v>
      </c>
      <c r="AI609" s="24"/>
      <c r="AJ609" s="24"/>
      <c r="AK609" s="24"/>
      <c r="AL609" s="24"/>
      <c r="AM609" s="24"/>
    </row>
    <row r="610" spans="2:39" ht="21.9" customHeight="1" thickBot="1" x14ac:dyDescent="0.3">
      <c r="B610" s="1073" t="s">
        <v>463</v>
      </c>
      <c r="C610" s="237"/>
      <c r="D610" s="237"/>
      <c r="E610" s="237"/>
      <c r="F610" s="237"/>
      <c r="G610" s="940">
        <f t="shared" ref="G610:AH610" si="70">SUM(G590:G609)</f>
        <v>0</v>
      </c>
      <c r="H610" s="940">
        <f t="shared" si="70"/>
        <v>0</v>
      </c>
      <c r="I610" s="759">
        <f t="shared" si="70"/>
        <v>85212.491520757583</v>
      </c>
      <c r="J610" s="759">
        <f t="shared" si="70"/>
        <v>92088.067708369956</v>
      </c>
      <c r="K610" s="759">
        <f t="shared" si="70"/>
        <v>101110.46677731702</v>
      </c>
      <c r="L610" s="759">
        <f t="shared" si="70"/>
        <v>116223.90295233244</v>
      </c>
      <c r="M610" s="759">
        <f t="shared" si="70"/>
        <v>131345.03215485171</v>
      </c>
      <c r="N610" s="759">
        <f t="shared" si="70"/>
        <v>146465.98209314301</v>
      </c>
      <c r="O610" s="759">
        <f t="shared" si="70"/>
        <v>161579.41826815836</v>
      </c>
      <c r="P610" s="759">
        <f t="shared" si="70"/>
        <v>176708.27439155834</v>
      </c>
      <c r="Q610" s="759">
        <f t="shared" si="70"/>
        <v>190666.95847837414</v>
      </c>
      <c r="R610" s="759">
        <f t="shared" si="70"/>
        <v>204629.52386239771</v>
      </c>
      <c r="S610" s="759">
        <f t="shared" si="70"/>
        <v>218588.29134303317</v>
      </c>
      <c r="T610" s="759">
        <f t="shared" si="70"/>
        <v>232546.97542984894</v>
      </c>
      <c r="U610" s="759">
        <f t="shared" si="70"/>
        <v>246521.17497936968</v>
      </c>
      <c r="V610" s="759">
        <f t="shared" si="70"/>
        <v>254458.2996444061</v>
      </c>
      <c r="W610" s="759">
        <f t="shared" si="70"/>
        <v>259068.20732066844</v>
      </c>
      <c r="X610" s="759">
        <f t="shared" si="70"/>
        <v>263678.11499693093</v>
      </c>
      <c r="Y610" s="759">
        <f t="shared" si="70"/>
        <v>268288.02267319337</v>
      </c>
      <c r="Z610" s="759">
        <f t="shared" si="70"/>
        <v>272902.01154569362</v>
      </c>
      <c r="AA610" s="759">
        <f t="shared" si="70"/>
        <v>277511.91922195617</v>
      </c>
      <c r="AB610" s="759">
        <f t="shared" si="70"/>
        <v>282125.65573086822</v>
      </c>
      <c r="AC610" s="759">
        <f t="shared" si="70"/>
        <v>286735.56340713054</v>
      </c>
      <c r="AD610" s="759">
        <f t="shared" si="70"/>
        <v>291345.47108339303</v>
      </c>
      <c r="AE610" s="759">
        <f t="shared" si="70"/>
        <v>295959.45995589352</v>
      </c>
      <c r="AF610" s="759">
        <f t="shared" si="70"/>
        <v>300569.36763215583</v>
      </c>
      <c r="AG610" s="759">
        <f t="shared" si="70"/>
        <v>305179.27530841832</v>
      </c>
      <c r="AH610" s="760">
        <f t="shared" si="70"/>
        <v>309793.01181733049</v>
      </c>
      <c r="AI610" s="24"/>
      <c r="AJ610" s="24"/>
      <c r="AK610" s="24"/>
      <c r="AL610" s="24"/>
      <c r="AM610" s="24"/>
    </row>
    <row r="611" spans="2:39" ht="21.9" customHeight="1" x14ac:dyDescent="0.25">
      <c r="B611" s="548" t="s">
        <v>312</v>
      </c>
      <c r="C611" s="1331" t="s">
        <v>18</v>
      </c>
      <c r="D611" s="1331"/>
      <c r="E611" s="197" t="s">
        <v>24</v>
      </c>
      <c r="F611" s="197" t="s">
        <v>42</v>
      </c>
      <c r="G611" s="459">
        <v>2021</v>
      </c>
      <c r="H611" s="459">
        <v>2022</v>
      </c>
      <c r="I611" s="459">
        <v>2023</v>
      </c>
      <c r="J611" s="459">
        <v>2024</v>
      </c>
      <c r="K611" s="459">
        <v>2025</v>
      </c>
      <c r="L611" s="459">
        <v>2026</v>
      </c>
      <c r="M611" s="459">
        <v>2027</v>
      </c>
      <c r="N611" s="459">
        <v>2028</v>
      </c>
      <c r="O611" s="459">
        <v>2029</v>
      </c>
      <c r="P611" s="459">
        <v>2030</v>
      </c>
      <c r="Q611" s="459">
        <v>2031</v>
      </c>
      <c r="R611" s="459">
        <v>2032</v>
      </c>
      <c r="S611" s="459">
        <v>2033</v>
      </c>
      <c r="T611" s="459">
        <v>2034</v>
      </c>
      <c r="U611" s="459">
        <v>2035</v>
      </c>
      <c r="V611" s="459">
        <v>2036</v>
      </c>
      <c r="W611" s="459">
        <v>2037</v>
      </c>
      <c r="X611" s="459">
        <v>2038</v>
      </c>
      <c r="Y611" s="459">
        <v>2039</v>
      </c>
      <c r="Z611" s="459">
        <v>2040</v>
      </c>
      <c r="AA611" s="459">
        <v>2041</v>
      </c>
      <c r="AB611" s="459">
        <v>2042</v>
      </c>
      <c r="AC611" s="459">
        <v>2043</v>
      </c>
      <c r="AD611" s="459">
        <v>2044</v>
      </c>
      <c r="AE611" s="459">
        <v>2045</v>
      </c>
      <c r="AF611" s="459">
        <v>2046</v>
      </c>
      <c r="AG611" s="459">
        <v>2047</v>
      </c>
      <c r="AH611" s="459">
        <v>2048</v>
      </c>
      <c r="AI611" s="247"/>
      <c r="AJ611" s="247"/>
      <c r="AK611" s="247"/>
      <c r="AL611" s="247"/>
      <c r="AM611" s="247"/>
    </row>
    <row r="612" spans="2:39" ht="21.9" customHeight="1" x14ac:dyDescent="0.25">
      <c r="B612" s="1332" t="s">
        <v>315</v>
      </c>
      <c r="C612" s="217" t="s">
        <v>316</v>
      </c>
      <c r="D612" s="217" t="s">
        <v>276</v>
      </c>
      <c r="E612" s="217" t="s">
        <v>434</v>
      </c>
      <c r="F612" s="217" t="s">
        <v>40</v>
      </c>
      <c r="G612" s="749"/>
      <c r="H612" s="749"/>
      <c r="I612" s="749">
        <f>$H$22*$E$9*'Traffic Data'!AK47*annualizationFactor</f>
        <v>3845.795928</v>
      </c>
      <c r="J612" s="749">
        <f>$H$22*$E$9*'Traffic Data'!AL47*annualizationFactor</f>
        <v>4020.6714797135251</v>
      </c>
      <c r="K612" s="749">
        <f>$H$22*$E$9*'Traffic Data'!AM47*annualizationFactor</f>
        <v>4267.0547994633007</v>
      </c>
      <c r="L612" s="749">
        <f>$H$22*$E$9*'Traffic Data'!AN47*annualizationFactor</f>
        <v>4629.4729932281998</v>
      </c>
      <c r="M612" s="749">
        <f>$H$22*$E$9*'Traffic Data'!AO47*annualizationFactor</f>
        <v>4992.0233862281248</v>
      </c>
      <c r="N612" s="749">
        <f>$H$22*$E$9*'Traffic Data'!AP47*annualizationFactor</f>
        <v>5354.5737792280497</v>
      </c>
      <c r="O612" s="749">
        <f>$H$22*$E$9*'Traffic Data'!AQ47*annualizationFactor</f>
        <v>5716.9919729929488</v>
      </c>
      <c r="P612" s="749">
        <f>$H$22*$E$9*'Traffic Data'!AR47*annualizationFactor</f>
        <v>6079.6745652278987</v>
      </c>
      <c r="Q612" s="749">
        <f>$H$22*$E$9*'Traffic Data'!AS47*annualizationFactor</f>
        <v>6438.0666913806745</v>
      </c>
      <c r="R612" s="749">
        <f>$H$22*$E$9*'Traffic Data'!AT47*annualizationFactor</f>
        <v>6796.5309262071005</v>
      </c>
      <c r="S612" s="749">
        <f>$H$22*$E$9*'Traffic Data'!AU47*annualizationFactor</f>
        <v>7154.9230523598762</v>
      </c>
      <c r="T612" s="749">
        <f>$H$22*$E$9*'Traffic Data'!AV47*annualizationFactor</f>
        <v>7513.3151785126493</v>
      </c>
      <c r="U612" s="749">
        <f>$H$22*$E$9*'Traffic Data'!AW47*annualizationFactor</f>
        <v>7871.9717031354749</v>
      </c>
      <c r="V612" s="749">
        <f>$H$22*$E$9*'Traffic Data'!AX47*annualizationFactor</f>
        <v>8114.1967560380999</v>
      </c>
      <c r="W612" s="749">
        <f>$H$22*$E$9*'Traffic Data'!AY47*annualizationFactor</f>
        <v>8289.072307751625</v>
      </c>
      <c r="X612" s="749">
        <f>$H$22*$E$9*'Traffic Data'!AZ47*annualizationFactor</f>
        <v>8463.9478594651482</v>
      </c>
      <c r="Y612" s="749">
        <f>$H$22*$E$9*'Traffic Data'!BA47*annualizationFactor</f>
        <v>8638.8234111786733</v>
      </c>
      <c r="Z612" s="749">
        <f>$H$22*$E$9*'Traffic Data'!BB47*annualizationFactor</f>
        <v>8813.7590534535757</v>
      </c>
      <c r="AA612" s="749">
        <f>$H$22*$E$9*'Traffic Data'!BC47*annualizationFactor</f>
        <v>8988.6346051671007</v>
      </c>
      <c r="AB612" s="749">
        <f>$H$22*$E$9*'Traffic Data'!BD47*annualizationFactor</f>
        <v>9163.5702474419977</v>
      </c>
      <c r="AC612" s="749">
        <f>$H$22*$E$9*'Traffic Data'!BE47*annualizationFactor</f>
        <v>9338.4457991555264</v>
      </c>
      <c r="AD612" s="749">
        <f>$H$22*$E$9*'Traffic Data'!BF47*annualizationFactor</f>
        <v>9513.3213508690496</v>
      </c>
      <c r="AE612" s="749">
        <f>$H$22*$E$9*'Traffic Data'!BG47*annualizationFactor</f>
        <v>9688.2569931439484</v>
      </c>
      <c r="AF612" s="749">
        <f>$H$22*$E$9*'Traffic Data'!BH47*annualizationFactor</f>
        <v>9863.1325448574735</v>
      </c>
      <c r="AG612" s="749">
        <f>$H$22*$E$9*'Traffic Data'!BI47*annualizationFactor</f>
        <v>10038.008096571</v>
      </c>
      <c r="AH612" s="750">
        <f>$H$22*$E$9*'Traffic Data'!BJ47*annualizationFactor</f>
        <v>10212.943738845899</v>
      </c>
      <c r="AI612" s="24"/>
      <c r="AJ612" s="24"/>
      <c r="AK612" s="24"/>
      <c r="AL612" s="24"/>
      <c r="AM612" s="24"/>
    </row>
    <row r="613" spans="2:39" ht="21.9" customHeight="1" x14ac:dyDescent="0.25">
      <c r="B613" s="1332"/>
      <c r="C613" s="114" t="s">
        <v>276</v>
      </c>
      <c r="D613" s="114" t="s">
        <v>274</v>
      </c>
      <c r="E613" s="114" t="s">
        <v>434</v>
      </c>
      <c r="F613" s="114" t="s">
        <v>40</v>
      </c>
      <c r="G613" s="941"/>
      <c r="H613" s="941"/>
      <c r="I613" s="751">
        <f>$H$22*$E$9*'Traffic Data'!AK48*annualizationFactor</f>
        <v>123662.92513397729</v>
      </c>
      <c r="J613" s="751">
        <f>$H$22*$E$9*'Traffic Data'!AL48*annualizationFactor</f>
        <v>130190.49553771593</v>
      </c>
      <c r="K613" s="751">
        <f>$H$22*$E$9*'Traffic Data'!AM48*annualizationFactor</f>
        <v>139989.17931666528</v>
      </c>
      <c r="L613" s="751">
        <f>$H$22*$E$9*'Traffic Data'!AN48*annualizationFactor</f>
        <v>156178.03024920434</v>
      </c>
      <c r="M613" s="751">
        <f>$H$22*$E$9*'Traffic Data'!AO48*annualizationFactor</f>
        <v>172374.20935508475</v>
      </c>
      <c r="N613" s="751">
        <f>$H$22*$E$9*'Traffic Data'!AP48*annualizationFactor</f>
        <v>188569.47243929745</v>
      </c>
      <c r="O613" s="751">
        <f>$H$22*$E$9*'Traffic Data'!AQ48*annualizationFactor</f>
        <v>204758.32337183662</v>
      </c>
      <c r="P613" s="751">
        <f>$H$22*$E$9*'Traffic Data'!AR48*annualizationFactor</f>
        <v>220961.83065105823</v>
      </c>
      <c r="Q613" s="751">
        <f>$H$22*$E$9*'Traffic Data'!AS48*annualizationFactor</f>
        <v>237309.15333210235</v>
      </c>
      <c r="R613" s="751">
        <f>$H$22*$E$9*'Traffic Data'!AT48*annualizationFactor</f>
        <v>253661.97214315244</v>
      </c>
      <c r="S613" s="751">
        <f>$H$22*$E$9*'Traffic Data'!AU48*annualizationFactor</f>
        <v>270009.29482419655</v>
      </c>
      <c r="T613" s="751">
        <f>$H$22*$E$9*'Traffic Data'!AV48*annualizationFactor</f>
        <v>286356.61750524072</v>
      </c>
      <c r="U613" s="751">
        <f>$H$22*$E$9*'Traffic Data'!AW48*annualizationFactor</f>
        <v>302718.59653296741</v>
      </c>
      <c r="V613" s="751">
        <f>$H$22*$E$9*'Traffic Data'!AX48*annualizationFactor</f>
        <v>312668.42388708051</v>
      </c>
      <c r="W613" s="751">
        <f>$H$22*$E$9*'Traffic Data'!AY48*annualizationFactor</f>
        <v>319195.9942908191</v>
      </c>
      <c r="X613" s="751">
        <f>$H$22*$E$9*'Traffic Data'!AZ48*annualizationFactor</f>
        <v>325723.5646945578</v>
      </c>
      <c r="Y613" s="751">
        <f>$H$22*$E$9*'Traffic Data'!BA48*annualizationFactor</f>
        <v>332251.13509829663</v>
      </c>
      <c r="Z613" s="751">
        <f>$H$22*$E$9*'Traffic Data'!BB48*annualizationFactor</f>
        <v>338782.36958870583</v>
      </c>
      <c r="AA613" s="751">
        <f>$H$22*$E$9*'Traffic Data'!BC48*annualizationFactor</f>
        <v>345309.93999244442</v>
      </c>
      <c r="AB613" s="751">
        <f>$H$22*$E$9*'Traffic Data'!BD48*annualizationFactor</f>
        <v>351841.17448285385</v>
      </c>
      <c r="AC613" s="751">
        <f>$H$22*$E$9*'Traffic Data'!BE48*annualizationFactor</f>
        <v>358368.74488659255</v>
      </c>
      <c r="AD613" s="751">
        <f>$H$22*$E$9*'Traffic Data'!BF48*annualizationFactor</f>
        <v>364896.3152903312</v>
      </c>
      <c r="AE613" s="751">
        <f>$H$22*$E$9*'Traffic Data'!BG48*annualizationFactor</f>
        <v>371427.54978074058</v>
      </c>
      <c r="AF613" s="751">
        <f>$H$22*$E$9*'Traffic Data'!BH48*annualizationFactor</f>
        <v>377955.12018447916</v>
      </c>
      <c r="AG613" s="751">
        <f>$H$22*$E$9*'Traffic Data'!BI48*annualizationFactor</f>
        <v>384482.69058821787</v>
      </c>
      <c r="AH613" s="752">
        <f>$H$22*$E$9*'Traffic Data'!BJ48*annualizationFactor</f>
        <v>391013.92507862719</v>
      </c>
      <c r="AI613" s="24"/>
      <c r="AJ613" s="24"/>
      <c r="AK613" s="24"/>
      <c r="AL613" s="24"/>
      <c r="AM613" s="24"/>
    </row>
    <row r="614" spans="2:39" ht="21.9" customHeight="1" x14ac:dyDescent="0.25">
      <c r="B614" s="1332"/>
      <c r="C614" s="114" t="s">
        <v>274</v>
      </c>
      <c r="D614" s="114" t="s">
        <v>317</v>
      </c>
      <c r="E614" s="250" t="s">
        <v>434</v>
      </c>
      <c r="F614" s="114" t="s">
        <v>40</v>
      </c>
      <c r="G614" s="753"/>
      <c r="H614" s="753"/>
      <c r="I614" s="751">
        <f>$H$22*$E$9*'Traffic Data'!AK49*annualizationFactor</f>
        <v>2884.3469460000001</v>
      </c>
      <c r="J614" s="751">
        <f>$H$22*$E$9*'Traffic Data'!AL49*annualizationFactor</f>
        <v>3004.7924672200497</v>
      </c>
      <c r="K614" s="751">
        <f>$H$22*$E$9*'Traffic Data'!AM49*annualizationFactor</f>
        <v>3153.8651318791494</v>
      </c>
      <c r="L614" s="751">
        <f>$H$22*$E$9*'Traffic Data'!AN49*annualizationFactor</f>
        <v>3354.5676068716498</v>
      </c>
      <c r="M614" s="751">
        <f>$H$22*$E$9*'Traffic Data'!AO49*annualizationFactor</f>
        <v>3555.3421905378004</v>
      </c>
      <c r="N614" s="751">
        <f>$H$22*$E$9*'Traffic Data'!AP49*annualizationFactor</f>
        <v>3756.0927379794007</v>
      </c>
      <c r="O614" s="751">
        <f>$H$22*$E$9*'Traffic Data'!AQ49*annualizationFactor</f>
        <v>3956.7952129719006</v>
      </c>
      <c r="P614" s="751">
        <f>$H$22*$E$9*'Traffic Data'!AR49*annualizationFactor</f>
        <v>4157.6419053117015</v>
      </c>
      <c r="Q614" s="751">
        <f>$H$22*$E$9*'Traffic Data'!AS49*annualizationFactor</f>
        <v>4352.2391792685003</v>
      </c>
      <c r="R614" s="751">
        <f>$H$22*$E$9*'Traffic Data'!AT49*annualizationFactor</f>
        <v>4546.9085618989484</v>
      </c>
      <c r="S614" s="751">
        <f>$H$22*$E$9*'Traffic Data'!AU49*annualizationFactor</f>
        <v>4741.5058358557499</v>
      </c>
      <c r="T614" s="751">
        <f>$H$22*$E$9*'Traffic Data'!AV49*annualizationFactor</f>
        <v>4936.1031098125495</v>
      </c>
      <c r="U614" s="751">
        <f>$H$22*$E$9*'Traffic Data'!AW49*annualizationFactor</f>
        <v>5130.8446011166507</v>
      </c>
      <c r="V614" s="751">
        <f>$H$22*$E$9*'Traffic Data'!AX49*annualizationFactor</f>
        <v>5273.7399560663989</v>
      </c>
      <c r="W614" s="751">
        <f>$H$22*$E$9*'Traffic Data'!AY49*annualizationFactor</f>
        <v>5394.1854772864499</v>
      </c>
      <c r="X614" s="751">
        <f>$H$22*$E$9*'Traffic Data'!AZ49*annualizationFactor</f>
        <v>5514.6309985064991</v>
      </c>
      <c r="Y614" s="751">
        <f>$H$22*$E$9*'Traffic Data'!BA49*annualizationFactor</f>
        <v>5635.07651972655</v>
      </c>
      <c r="Z614" s="751">
        <f>$H$22*$E$9*'Traffic Data'!BB49*annualizationFactor</f>
        <v>5755.5701133957</v>
      </c>
      <c r="AA614" s="751">
        <f>$H$22*$E$9*'Traffic Data'!BC49*annualizationFactor</f>
        <v>5876.0156346157491</v>
      </c>
      <c r="AB614" s="751">
        <f>$H$22*$E$9*'Traffic Data'!BD49*annualizationFactor</f>
        <v>5996.5092282849</v>
      </c>
      <c r="AC614" s="751">
        <f>$H$22*$E$9*'Traffic Data'!BE49*annualizationFactor</f>
        <v>6116.9547495049519</v>
      </c>
      <c r="AD614" s="751">
        <f>$H$22*$E$9*'Traffic Data'!BF49*annualizationFactor</f>
        <v>6237.4002707249992</v>
      </c>
      <c r="AE614" s="751">
        <f>$H$22*$E$9*'Traffic Data'!BG49*annualizationFactor</f>
        <v>6357.8938643941501</v>
      </c>
      <c r="AF614" s="751">
        <f>$H$22*$E$9*'Traffic Data'!BH49*annualizationFactor</f>
        <v>6478.3393856142002</v>
      </c>
      <c r="AG614" s="751">
        <f>$H$22*$E$9*'Traffic Data'!BI49*annualizationFactor</f>
        <v>6598.7849068342493</v>
      </c>
      <c r="AH614" s="752">
        <f>$H$22*$E$9*'Traffic Data'!BJ49*annualizationFactor</f>
        <v>6719.2785005034002</v>
      </c>
      <c r="AI614" s="24"/>
      <c r="AJ614" s="24"/>
      <c r="AK614" s="24"/>
      <c r="AL614" s="24"/>
      <c r="AM614" s="24"/>
    </row>
    <row r="615" spans="2:39" ht="21.9" customHeight="1" x14ac:dyDescent="0.25">
      <c r="B615" s="1332" t="s">
        <v>274</v>
      </c>
      <c r="C615" s="217" t="s">
        <v>275</v>
      </c>
      <c r="D615" s="217" t="s">
        <v>318</v>
      </c>
      <c r="E615" s="114" t="s">
        <v>434</v>
      </c>
      <c r="F615" s="217" t="s">
        <v>40</v>
      </c>
      <c r="G615" s="941"/>
      <c r="H615" s="941"/>
      <c r="I615" s="749">
        <f>$H$22*$F$9*'Traffic Data'!AK50*annualizationFactor</f>
        <v>26884.241440000002</v>
      </c>
      <c r="J615" s="749">
        <f>$H$22*$F$9*'Traffic Data'!AL50*annualizationFactor</f>
        <v>29603.716882863198</v>
      </c>
      <c r="K615" s="749">
        <f>$H$22*$F$9*'Traffic Data'!AM50*annualizationFactor</f>
        <v>35683.722505726393</v>
      </c>
      <c r="L615" s="749">
        <f>$H$22*$F$9*'Traffic Data'!AN50*annualizationFactor</f>
        <v>47895.889179846403</v>
      </c>
      <c r="M615" s="749">
        <f>$H$22*$F$9*'Traffic Data'!AO50*annualizationFactor</f>
        <v>60115.583441569594</v>
      </c>
      <c r="N615" s="749">
        <f>$H$22*$F$9*'Traffic Data'!AP50*annualizationFactor</f>
        <v>72333.933491220785</v>
      </c>
      <c r="O615" s="749">
        <f>$H$22*$F$9*'Traffic Data'!AQ50*annualizationFactor</f>
        <v>84546.100165340787</v>
      </c>
      <c r="P615" s="749">
        <f>$H$22*$F$9*'Traffic Data'!AR50*annualizationFactor</f>
        <v>96773.322014667196</v>
      </c>
      <c r="Q615" s="749">
        <f>$H$22*$F$9*'Traffic Data'!AS50*annualizationFactor</f>
        <v>108771.22128451038</v>
      </c>
      <c r="R615" s="749">
        <f>$H$22*$F$9*'Traffic Data'!AT50*annualizationFactor</f>
        <v>120775.16950867756</v>
      </c>
      <c r="S615" s="749">
        <f>$H$22*$F$9*'Traffic Data'!AU50*annualizationFactor</f>
        <v>132773.06877852077</v>
      </c>
      <c r="T615" s="749">
        <f>$H$22*$F$9*'Traffic Data'!AV50*annualizationFactor</f>
        <v>144770.96804836398</v>
      </c>
      <c r="U615" s="749">
        <f>$H$22*$F$9*'Traffic Data'!AW50*annualizationFactor</f>
        <v>156783.92249341361</v>
      </c>
      <c r="V615" s="749">
        <f>$H$22*$F$9*'Traffic Data'!AX50*annualizationFactor</f>
        <v>162642.13312439676</v>
      </c>
      <c r="W615" s="749">
        <f>$H$22*$F$9*'Traffic Data'!AY50*annualizationFactor</f>
        <v>165361.60856725997</v>
      </c>
      <c r="X615" s="749">
        <f>$H$22*$F$9*'Traffic Data'!AZ50*annualizationFactor</f>
        <v>168081.08401012316</v>
      </c>
      <c r="Y615" s="749">
        <f>$H$22*$F$9*'Traffic Data'!BA50*annualizationFactor</f>
        <v>170800.55945298634</v>
      </c>
      <c r="Z615" s="749">
        <f>$H$22*$F$9*'Traffic Data'!BB50*annualizationFactor</f>
        <v>173524.2019532728</v>
      </c>
      <c r="AA615" s="749">
        <f>$H$22*$F$9*'Traffic Data'!BC50*annualizationFactor</f>
        <v>176243.67739613599</v>
      </c>
      <c r="AB615" s="749">
        <f>$H$22*$F$9*'Traffic Data'!BD50*annualizationFactor</f>
        <v>178967.31989642236</v>
      </c>
      <c r="AC615" s="749">
        <f>$H$22*$F$9*'Traffic Data'!BE50*annualizationFactor</f>
        <v>181686.79533928554</v>
      </c>
      <c r="AD615" s="749">
        <f>$H$22*$F$9*'Traffic Data'!BF50*annualizationFactor</f>
        <v>184406.27078214876</v>
      </c>
      <c r="AE615" s="749">
        <f>$H$22*$F$9*'Traffic Data'!BG50*annualizationFactor</f>
        <v>187129.91328243521</v>
      </c>
      <c r="AF615" s="749">
        <f>$H$22*$F$9*'Traffic Data'!BH50*annualizationFactor</f>
        <v>189849.38872529837</v>
      </c>
      <c r="AG615" s="749">
        <f>$H$22*$F$9*'Traffic Data'!BI50*annualizationFactor</f>
        <v>192568.86416816156</v>
      </c>
      <c r="AH615" s="750">
        <f>$H$22*$F$9*'Traffic Data'!BJ50*annualizationFactor</f>
        <v>195292.50666844792</v>
      </c>
      <c r="AI615" s="24"/>
      <c r="AJ615" s="24"/>
      <c r="AK615" s="24"/>
      <c r="AL615" s="24"/>
      <c r="AM615" s="24"/>
    </row>
    <row r="616" spans="2:39" ht="21.9" customHeight="1" x14ac:dyDescent="0.25">
      <c r="B616" s="1332"/>
      <c r="C616" s="114" t="s">
        <v>318</v>
      </c>
      <c r="D616" s="114" t="s">
        <v>308</v>
      </c>
      <c r="E616" s="114" t="s">
        <v>434</v>
      </c>
      <c r="F616" s="114" t="s">
        <v>40</v>
      </c>
      <c r="G616" s="941"/>
      <c r="H616" s="941"/>
      <c r="I616" s="751">
        <f>$H$22*$F$9*'Traffic Data'!AK51*annualizationFactor</f>
        <v>3114.0048000000002</v>
      </c>
      <c r="J616" s="751">
        <f>$H$22*$F$9*'Traffic Data'!AL51*annualizationFactor</f>
        <v>3409.6536057199996</v>
      </c>
      <c r="K616" s="751">
        <f>$H$22*$F$9*'Traffic Data'!AM51*annualizationFactor</f>
        <v>3829.0581522000002</v>
      </c>
      <c r="L616" s="751">
        <f>$H$22*$F$9*'Traffic Data'!AN51*annualizationFactor</f>
        <v>4512.426505559999</v>
      </c>
      <c r="M616" s="751">
        <f>$H$22*$F$9*'Traffic Data'!AO51*annualizationFactor</f>
        <v>5196.0024592399996</v>
      </c>
      <c r="N616" s="751">
        <f>$H$22*$F$9*'Traffic Data'!AP51*annualizationFactor</f>
        <v>5879.6432880200009</v>
      </c>
      <c r="O616" s="751">
        <f>$H$22*$F$9*'Traffic Data'!AQ51*annualizationFactor</f>
        <v>6563.0116413800015</v>
      </c>
      <c r="P616" s="751">
        <f>$H$22*$F$9*'Traffic Data'!AR51*annualizationFactor</f>
        <v>7247.1195708799996</v>
      </c>
      <c r="Q616" s="751">
        <f>$H$22*$F$9*'Traffic Data'!AS51*annualizationFactor</f>
        <v>8025.4391205999982</v>
      </c>
      <c r="R616" s="751">
        <f>$H$22*$F$9*'Traffic Data'!AT51*annualizationFactor</f>
        <v>8804.1219708800018</v>
      </c>
      <c r="S616" s="751">
        <f>$H$22*$F$9*'Traffic Data'!AU51*annualizationFactor</f>
        <v>9582.4025955400011</v>
      </c>
      <c r="T616" s="751">
        <f>$H$22*$F$9*'Traffic Data'!AV51*annualizationFactor</f>
        <v>10360.722145259999</v>
      </c>
      <c r="U616" s="751">
        <f>$H$22*$F$9*'Traffic Data'!AW51*annualizationFactor</f>
        <v>11139.75532108</v>
      </c>
      <c r="V616" s="751">
        <f>$H$22*$F$9*'Traffic Data'!AX51*annualizationFactor</f>
        <v>11653.540163040001</v>
      </c>
      <c r="W616" s="751">
        <f>$H$22*$F$9*'Traffic Data'!AY51*annualizationFactor</f>
        <v>11949.188968759998</v>
      </c>
      <c r="X616" s="751">
        <f>$H$22*$F$9*'Traffic Data'!AZ51*annualizationFactor</f>
        <v>12244.837774479996</v>
      </c>
      <c r="Y616" s="751">
        <f>$H$22*$F$9*'Traffic Data'!BA51*annualizationFactor</f>
        <v>12540.486580199997</v>
      </c>
      <c r="Z616" s="751">
        <f>$H$22*$F$9*'Traffic Data'!BB51*annualizationFactor</f>
        <v>12836.472736439997</v>
      </c>
      <c r="AA616" s="751">
        <f>$H$22*$F$9*'Traffic Data'!BC51*annualizationFactor</f>
        <v>13132.121542159997</v>
      </c>
      <c r="AB616" s="751">
        <f>$H$22*$F$9*'Traffic Data'!BD51*annualizationFactor</f>
        <v>13428.107698399999</v>
      </c>
      <c r="AC616" s="751">
        <f>$H$22*$F$9*'Traffic Data'!BE51*annualizationFactor</f>
        <v>13723.75650412</v>
      </c>
      <c r="AD616" s="751">
        <f>$H$22*$F$9*'Traffic Data'!BF51*annualizationFactor</f>
        <v>14019.40530984</v>
      </c>
      <c r="AE616" s="751">
        <f>$H$22*$F$9*'Traffic Data'!BG51*annualizationFactor</f>
        <v>14315.391466079996</v>
      </c>
      <c r="AF616" s="751">
        <f>$H$22*$F$9*'Traffic Data'!BH51*annualizationFactor</f>
        <v>14611.040271799997</v>
      </c>
      <c r="AG616" s="751">
        <f>$H$22*$F$9*'Traffic Data'!BI51*annualizationFactor</f>
        <v>14906.689077519999</v>
      </c>
      <c r="AH616" s="752">
        <f>$H$22*$F$9*'Traffic Data'!BJ51*annualizationFactor</f>
        <v>15202.675233759997</v>
      </c>
      <c r="AI616" s="21"/>
      <c r="AJ616" s="21"/>
      <c r="AK616" s="21"/>
      <c r="AL616" s="21"/>
      <c r="AM616" s="21"/>
    </row>
    <row r="617" spans="2:39" ht="21.9" customHeight="1" x14ac:dyDescent="0.25">
      <c r="B617" s="1332"/>
      <c r="C617" s="250" t="s">
        <v>308</v>
      </c>
      <c r="D617" s="250" t="s">
        <v>319</v>
      </c>
      <c r="E617" s="114" t="s">
        <v>434</v>
      </c>
      <c r="F617" s="114" t="s">
        <v>40</v>
      </c>
      <c r="G617" s="941"/>
      <c r="H617" s="941"/>
      <c r="I617" s="751">
        <f>$H$22*$F$9*'Traffic Data'!AK52*annualizationFactor</f>
        <v>41727.664320000003</v>
      </c>
      <c r="J617" s="751">
        <f>$H$22*$F$9*'Traffic Data'!AL52*annualizationFactor</f>
        <v>42896.178013174402</v>
      </c>
      <c r="K617" s="751">
        <f>$H$22*$F$9*'Traffic Data'!AM52*annualizationFactor</f>
        <v>44561.390003971203</v>
      </c>
      <c r="L617" s="751">
        <f>$H$22*$F$9*'Traffic Data'!AN52*annualizationFactor</f>
        <v>46898.556482534404</v>
      </c>
      <c r="M617" s="751">
        <f>$H$22*$F$9*'Traffic Data'!AO52*annualizationFactor</f>
        <v>49236.696606598387</v>
      </c>
      <c r="N617" s="751">
        <f>$H$22*$F$9*'Traffic Data'!AP52*annualizationFactor</f>
        <v>51574.628092340819</v>
      </c>
      <c r="O617" s="751">
        <f>$H$22*$F$9*'Traffic Data'!AQ52*annualizationFactor</f>
        <v>53911.794570904007</v>
      </c>
      <c r="P617" s="751">
        <f>$H$22*$F$9*'Traffic Data'!AR52*annualizationFactor</f>
        <v>56250.838794361611</v>
      </c>
      <c r="Q617" s="751">
        <f>$H$22*$F$9*'Traffic Data'!AS52*annualizationFactor</f>
        <v>58612.068226016003</v>
      </c>
      <c r="R617" s="751">
        <f>$H$22*$F$9*'Traffic Data'!AT52*annualizationFactor</f>
        <v>60973.993118742401</v>
      </c>
      <c r="S617" s="751">
        <f>$H$22*$F$9*'Traffic Data'!AU52*annualizationFactor</f>
        <v>63335.013912075192</v>
      </c>
      <c r="T617" s="751">
        <f>$H$22*$F$9*'Traffic Data'!AV52*annualizationFactor</f>
        <v>65696.243343729613</v>
      </c>
      <c r="U617" s="751">
        <f>$H$22*$F$9*'Traffic Data'!AW52*annualizationFactor</f>
        <v>68059.350520278414</v>
      </c>
      <c r="V617" s="751">
        <f>$H$22*$F$9*'Traffic Data'!AX52*annualizationFactor</f>
        <v>69747.512726451198</v>
      </c>
      <c r="W617" s="751">
        <f>$H$22*$F$9*'Traffic Data'!AY52*annualizationFactor</f>
        <v>70916.026419625603</v>
      </c>
      <c r="X617" s="751">
        <f>$H$22*$F$9*'Traffic Data'!AZ52*annualizationFactor</f>
        <v>72084.540112799994</v>
      </c>
      <c r="Y617" s="751">
        <f>$H$22*$F$9*'Traffic Data'!BA52*annualizationFactor</f>
        <v>73253.053805974385</v>
      </c>
      <c r="Z617" s="751">
        <f>$H$22*$F$9*'Traffic Data'!BB52*annualizationFactor</f>
        <v>74422.123868006398</v>
      </c>
      <c r="AA617" s="751">
        <f>$H$22*$F$9*'Traffic Data'!BC52*annualizationFactor</f>
        <v>75590.637561180818</v>
      </c>
      <c r="AB617" s="751">
        <f>$H$22*$F$9*'Traffic Data'!BD52*annualizationFactor</f>
        <v>76759.707623212817</v>
      </c>
      <c r="AC617" s="751">
        <f>$H$22*$F$9*'Traffic Data'!BE52*annualizationFactor</f>
        <v>77928.221316387207</v>
      </c>
      <c r="AD617" s="751">
        <f>$H$22*$F$9*'Traffic Data'!BF52*annualizationFactor</f>
        <v>79096.735009561613</v>
      </c>
      <c r="AE617" s="751">
        <f>$H$22*$F$9*'Traffic Data'!BG52*annualizationFactor</f>
        <v>80265.805071593582</v>
      </c>
      <c r="AF617" s="751">
        <f>$H$22*$F$9*'Traffic Data'!BH52*annualizationFactor</f>
        <v>81434.318764767988</v>
      </c>
      <c r="AG617" s="751">
        <f>$H$22*$F$9*'Traffic Data'!BI52*annualizationFactor</f>
        <v>82602.832457942379</v>
      </c>
      <c r="AH617" s="752">
        <f>$H$22*$F$9*'Traffic Data'!BJ52*annualizationFactor</f>
        <v>83771.902519974392</v>
      </c>
      <c r="AI617" s="21"/>
      <c r="AJ617" s="21"/>
      <c r="AK617" s="21"/>
      <c r="AL617" s="21"/>
      <c r="AM617" s="21"/>
    </row>
    <row r="618" spans="2:39" ht="21.9" customHeight="1" x14ac:dyDescent="0.25">
      <c r="B618" s="469" t="s">
        <v>320</v>
      </c>
      <c r="C618" s="114" t="s">
        <v>318</v>
      </c>
      <c r="D618" s="114" t="s">
        <v>308</v>
      </c>
      <c r="E618" s="273" t="s">
        <v>434</v>
      </c>
      <c r="F618" s="217" t="s">
        <v>40</v>
      </c>
      <c r="G618" s="754"/>
      <c r="H618" s="754"/>
      <c r="I618" s="749">
        <f>$H$22*$G$9*'Traffic Data'!AK53*annualizationFactor</f>
        <v>121.965188</v>
      </c>
      <c r="J618" s="749">
        <f>$H$22*$G$9*'Traffic Data'!AL53*annualizationFactor</f>
        <v>506.58240835799995</v>
      </c>
      <c r="K618" s="749">
        <f>$H$22*$G$9*'Traffic Data'!AM53*annualizationFactor</f>
        <v>4519.3590587459994</v>
      </c>
      <c r="L618" s="749">
        <f>$H$22*$G$9*'Traffic Data'!AN53*annualizationFactor</f>
        <v>10689.394971884001</v>
      </c>
      <c r="M618" s="749">
        <f>$H$22*$G$9*'Traffic Data'!AO53*annualizationFactor</f>
        <v>16863.821631790004</v>
      </c>
      <c r="N618" s="749">
        <f>$H$22*$G$9*'Traffic Data'!AP53*annualizationFactor</f>
        <v>23035.808987935998</v>
      </c>
      <c r="O618" s="749">
        <f>$H$22*$G$9*'Traffic Data'!AQ53*annualizationFactor</f>
        <v>29205.844901074001</v>
      </c>
      <c r="P618" s="749">
        <f>$H$22*$G$9*'Traffic Data'!AR53*annualizationFactor</f>
        <v>35384.35739477801</v>
      </c>
      <c r="Q618" s="749">
        <f>$H$22*$G$9*'Traffic Data'!AS53*annualizationFactor</f>
        <v>37928.978094615995</v>
      </c>
      <c r="R618" s="749">
        <f>$H$22*$G$9*'Traffic Data'!AT53*annualizationFactor</f>
        <v>40475.550237462005</v>
      </c>
      <c r="S618" s="749">
        <f>$H$22*$G$9*'Traffic Data'!AU53*annualizationFactor</f>
        <v>43021.512554368004</v>
      </c>
      <c r="T618" s="749">
        <f>$H$22*$G$9*'Traffic Data'!AV53*annualizationFactor</f>
        <v>45566.133254206004</v>
      </c>
      <c r="U618" s="749">
        <f>$H$22*$G$9*'Traffic Data'!AW53*annualizationFactor</f>
        <v>48116.791230850009</v>
      </c>
      <c r="V618" s="749">
        <f>$H$22*$G$9*'Traffic Data'!AX53*annualizationFactor</f>
        <v>48501.408451208001</v>
      </c>
      <c r="W618" s="749">
        <f>$H$22*$G$9*'Traffic Data'!AY53*annualizationFactor</f>
        <v>48886.025671566</v>
      </c>
      <c r="X618" s="749">
        <f>$H$22*$G$9*'Traffic Data'!AZ53*annualizationFactor</f>
        <v>49270.642891924013</v>
      </c>
      <c r="Y618" s="749">
        <f>$H$22*$G$9*'Traffic Data'!BA53*annualizationFactor</f>
        <v>49655.260112281998</v>
      </c>
      <c r="Z618" s="749">
        <f>$H$22*$G$9*'Traffic Data'!BB53*annualizationFactor</f>
        <v>50042.62154937</v>
      </c>
      <c r="AA618" s="749">
        <f>$H$22*$G$9*'Traffic Data'!BC53*annualizationFactor</f>
        <v>50427.238769728014</v>
      </c>
      <c r="AB618" s="749">
        <f>$H$22*$G$9*'Traffic Data'!BD53*annualizationFactor</f>
        <v>50813.07564196601</v>
      </c>
      <c r="AC618" s="749">
        <f>$H$22*$G$9*'Traffic Data'!BE53*annualizationFactor</f>
        <v>51197.692862324002</v>
      </c>
      <c r="AD618" s="749">
        <f>$H$22*$G$9*'Traffic Data'!BF53*annualizationFactor</f>
        <v>51582.310082682001</v>
      </c>
      <c r="AE618" s="749">
        <f>$H$22*$G$9*'Traffic Data'!BG53*annualizationFactor</f>
        <v>51969.67151977001</v>
      </c>
      <c r="AF618" s="749">
        <f>$H$22*$G$9*'Traffic Data'!BH53*annualizationFactor</f>
        <v>52354.28874012801</v>
      </c>
      <c r="AG618" s="749">
        <f>$H$22*$G$9*'Traffic Data'!BI53*annualizationFactor</f>
        <v>52738.905960486001</v>
      </c>
      <c r="AH618" s="750">
        <f>$H$22*$G$9*'Traffic Data'!BJ53*annualizationFactor</f>
        <v>53124.742832723998</v>
      </c>
      <c r="AI618" s="21"/>
      <c r="AJ618" s="21"/>
      <c r="AK618" s="21"/>
      <c r="AL618" s="21"/>
      <c r="AM618" s="21"/>
    </row>
    <row r="619" spans="2:39" ht="21.9" customHeight="1" x14ac:dyDescent="0.25">
      <c r="B619" s="1332" t="s">
        <v>308</v>
      </c>
      <c r="C619" s="217" t="s">
        <v>276</v>
      </c>
      <c r="D619" s="217" t="s">
        <v>320</v>
      </c>
      <c r="E619" s="114" t="s">
        <v>434</v>
      </c>
      <c r="F619" s="217" t="s">
        <v>40</v>
      </c>
      <c r="G619" s="941"/>
      <c r="H619" s="941"/>
      <c r="I619" s="749">
        <f>$H$22*$H$9*'Traffic Data'!AK54*annualizationFactor</f>
        <v>350.32553999999999</v>
      </c>
      <c r="J619" s="749">
        <f>$H$22*$H$9*'Traffic Data'!AL54*annualizationFactor</f>
        <v>778.59851264999998</v>
      </c>
      <c r="K619" s="749">
        <f>$H$22*$H$9*'Traffic Data'!AM54*annualizationFactor</f>
        <v>3290.7829599900006</v>
      </c>
      <c r="L619" s="749">
        <f>$H$22*$H$9*'Traffic Data'!AN54*annualizationFactor</f>
        <v>7397.4741026399997</v>
      </c>
      <c r="M619" s="749">
        <f>$H$22*$H$9*'Traffic Data'!AO54*annualizationFactor</f>
        <v>11506.442361300002</v>
      </c>
      <c r="N619" s="749">
        <f>$H$22*$H$9*'Traffic Data'!AP54*annualizationFactor</f>
        <v>15615.585782729997</v>
      </c>
      <c r="O619" s="749">
        <f>$H$22*$H$9*'Traffic Data'!AQ54*annualizationFactor</f>
        <v>19722.27692538</v>
      </c>
      <c r="P619" s="749">
        <f>$H$22*$H$9*'Traffic Data'!AR54*annualizationFactor</f>
        <v>23833.697462820004</v>
      </c>
      <c r="Q619" s="749">
        <f>$H$22*$H$9*'Traffic Data'!AS54*annualizationFactor</f>
        <v>27004.143599820007</v>
      </c>
      <c r="R619" s="749">
        <f>$H$22*$H$9*'Traffic Data'!AT54*annualizationFactor</f>
        <v>30175.115225130005</v>
      </c>
      <c r="S619" s="749">
        <f>$H$22*$H$9*'Traffic Data'!AU54*annualizationFactor</f>
        <v>33345.56136213</v>
      </c>
      <c r="T619" s="749">
        <f>$H$22*$H$9*'Traffic Data'!AV54*annualizationFactor</f>
        <v>36516.007499129999</v>
      </c>
      <c r="U619" s="749">
        <f>$H$22*$H$9*'Traffic Data'!AW54*annualizationFactor</f>
        <v>39690.657542610003</v>
      </c>
      <c r="V619" s="749">
        <f>$H$22*$H$9*'Traffic Data'!AX54*annualizationFactor</f>
        <v>41264.144705519997</v>
      </c>
      <c r="W619" s="749">
        <f>$H$22*$H$9*'Traffic Data'!AY54*annualizationFactor</f>
        <v>41692.417678170008</v>
      </c>
      <c r="X619" s="749">
        <f>$H$22*$H$9*'Traffic Data'!AZ54*annualizationFactor</f>
        <v>42120.690650819997</v>
      </c>
      <c r="Y619" s="749">
        <f>$H$22*$H$9*'Traffic Data'!BA54*annualizationFactor</f>
        <v>42548.963623470008</v>
      </c>
      <c r="Z619" s="749">
        <f>$H$22*$H$9*'Traffic Data'!BB54*annualizationFactor</f>
        <v>42978.462735510009</v>
      </c>
      <c r="AA619" s="749">
        <f>$H$22*$H$9*'Traffic Data'!BC54*annualizationFactor</f>
        <v>43406.735708159998</v>
      </c>
      <c r="AB619" s="749">
        <f>$H$22*$H$9*'Traffic Data'!BD54*annualizationFactor</f>
        <v>43836.234820199985</v>
      </c>
      <c r="AC619" s="749">
        <f>$H$22*$H$9*'Traffic Data'!BE54*annualizationFactor</f>
        <v>44264.507792849996</v>
      </c>
      <c r="AD619" s="749">
        <f>$H$22*$H$9*'Traffic Data'!BF54*annualizationFactor</f>
        <v>44692.7807655</v>
      </c>
      <c r="AE619" s="749">
        <f>$H$22*$H$9*'Traffic Data'!BG54*annualizationFactor</f>
        <v>45122.279877539993</v>
      </c>
      <c r="AF619" s="749">
        <f>$H$22*$H$9*'Traffic Data'!BH54*annualizationFactor</f>
        <v>45550.552850189997</v>
      </c>
      <c r="AG619" s="749">
        <f>$H$22*$H$9*'Traffic Data'!BI54*annualizationFactor</f>
        <v>45978.825822839994</v>
      </c>
      <c r="AH619" s="750">
        <f>$H$22*$H$9*'Traffic Data'!BJ54*annualizationFactor</f>
        <v>46408.324934880002</v>
      </c>
      <c r="AI619" s="21"/>
      <c r="AJ619" s="21"/>
      <c r="AK619" s="21"/>
      <c r="AL619" s="21"/>
      <c r="AM619" s="21"/>
    </row>
    <row r="620" spans="2:39" s="1" customFormat="1" ht="21.9" customHeight="1" x14ac:dyDescent="0.25">
      <c r="B620" s="1332"/>
      <c r="C620" s="114" t="s">
        <v>320</v>
      </c>
      <c r="D620" s="114" t="s">
        <v>282</v>
      </c>
      <c r="E620" s="114" t="s">
        <v>434</v>
      </c>
      <c r="F620" s="114" t="s">
        <v>40</v>
      </c>
      <c r="G620" s="941"/>
      <c r="H620" s="941"/>
      <c r="I620" s="751">
        <f>$H$22*$H$9*'Traffic Data'!AK55*annualizationFactor</f>
        <v>0</v>
      </c>
      <c r="J620" s="751">
        <f>$H$22*$H$9*'Traffic Data'!AL55*annualizationFactor</f>
        <v>236.145364</v>
      </c>
      <c r="K620" s="751">
        <f>$H$22*$H$9*'Traffic Data'!AM55*annualizationFactor</f>
        <v>682.53276207199997</v>
      </c>
      <c r="L620" s="751">
        <f>$H$22*$H$9*'Traffic Data'!AN55*annualizationFactor</f>
        <v>1534.2909249920001</v>
      </c>
      <c r="M620" s="751">
        <f>$H$22*$H$9*'Traffic Data'!AO55*annualizationFactor</f>
        <v>2386.5213786400004</v>
      </c>
      <c r="N620" s="751">
        <f>$H$22*$H$9*'Traffic Data'!AP55*annualizationFactor</f>
        <v>3238.7881623439994</v>
      </c>
      <c r="O620" s="751">
        <f>$H$22*$H$9*'Traffic Data'!AQ55*annualizationFactor</f>
        <v>4090.5463252640002</v>
      </c>
      <c r="P620" s="751">
        <f>$H$22*$H$9*'Traffic Data'!AR55*annualizationFactor</f>
        <v>4943.2853996960002</v>
      </c>
      <c r="Q620" s="751">
        <f>$H$22*$H$9*'Traffic Data'!AS55*annualizationFactor</f>
        <v>5600.8594132960006</v>
      </c>
      <c r="R620" s="751">
        <f>$H$22*$H$9*'Traffic Data'!AT55*annualizationFactor</f>
        <v>6258.5424170640017</v>
      </c>
      <c r="S620" s="751">
        <f>$H$22*$H$9*'Traffic Data'!AU55*annualizationFactor</f>
        <v>6916.1164306640003</v>
      </c>
      <c r="T620" s="751">
        <f>$H$22*$H$9*'Traffic Data'!AV55*annualizationFactor</f>
        <v>7573.6904442639989</v>
      </c>
      <c r="U620" s="751">
        <f>$H$22*$H$9*'Traffic Data'!AW55*annualizationFactor</f>
        <v>8232.136379208001</v>
      </c>
      <c r="V620" s="751">
        <f>$H$22*$H$9*'Traffic Data'!AX55*annualizationFactor</f>
        <v>8558.4892722559998</v>
      </c>
      <c r="W620" s="751">
        <f>$H$22*$H$9*'Traffic Data'!AY55*annualizationFactor</f>
        <v>8647.3162591760029</v>
      </c>
      <c r="X620" s="751">
        <f>$H$22*$H$9*'Traffic Data'!AZ55*annualizationFactor</f>
        <v>8736.1432460960004</v>
      </c>
      <c r="Y620" s="751">
        <f>$H$22*$H$9*'Traffic Data'!BA55*annualizationFactor</f>
        <v>8824.9702330160017</v>
      </c>
      <c r="Z620" s="751">
        <f>$H$22*$H$9*'Traffic Data'!BB55*annualizationFactor</f>
        <v>8914.0515303280008</v>
      </c>
      <c r="AA620" s="751">
        <f>$H$22*$H$9*'Traffic Data'!BC55*annualizationFactor</f>
        <v>9002.8785172480002</v>
      </c>
      <c r="AB620" s="751">
        <f>$H$22*$H$9*'Traffic Data'!BD55*annualizationFactor</f>
        <v>9091.9598145599994</v>
      </c>
      <c r="AC620" s="751">
        <f>$H$22*$H$9*'Traffic Data'!BE55*annualizationFactor</f>
        <v>9180.7868014799988</v>
      </c>
      <c r="AD620" s="751">
        <f>$H$22*$H$9*'Traffic Data'!BF55*annualizationFactor</f>
        <v>9269.6137884</v>
      </c>
      <c r="AE620" s="751">
        <f>$H$22*$H$9*'Traffic Data'!BG55*annualizationFactor</f>
        <v>9358.6950857119991</v>
      </c>
      <c r="AF620" s="751">
        <f>$H$22*$H$9*'Traffic Data'!BH55*annualizationFactor</f>
        <v>9447.5220726319985</v>
      </c>
      <c r="AG620" s="751">
        <f>$H$22*$H$9*'Traffic Data'!BI55*annualizationFactor</f>
        <v>9536.3490595519997</v>
      </c>
      <c r="AH620" s="752">
        <f>$H$22*$H$9*'Traffic Data'!BJ55*annualizationFactor</f>
        <v>9625.4303568639989</v>
      </c>
      <c r="AI620" s="132"/>
      <c r="AJ620" s="132"/>
      <c r="AK620" s="132"/>
      <c r="AL620" s="132"/>
      <c r="AM620" s="132"/>
    </row>
    <row r="621" spans="2:39" s="1" customFormat="1" ht="21.9" customHeight="1" x14ac:dyDescent="0.25">
      <c r="B621" s="1332"/>
      <c r="C621" s="114" t="s">
        <v>282</v>
      </c>
      <c r="D621" s="114" t="s">
        <v>321</v>
      </c>
      <c r="E621" s="114" t="s">
        <v>434</v>
      </c>
      <c r="F621" s="114" t="s">
        <v>40</v>
      </c>
      <c r="G621" s="941"/>
      <c r="H621" s="941"/>
      <c r="I621" s="751">
        <f>$H$22*$H$9*'Traffic Data'!AK56*annualizationFactor</f>
        <v>0</v>
      </c>
      <c r="J621" s="751">
        <f>$H$22*$H$9*'Traffic Data'!AL56*annualizationFactor</f>
        <v>615.66469899999993</v>
      </c>
      <c r="K621" s="751">
        <f>$H$22*$H$9*'Traffic Data'!AM56*annualizationFactor</f>
        <v>1779.4604154020001</v>
      </c>
      <c r="L621" s="751">
        <f>$H$22*$H$9*'Traffic Data'!AN56*annualizationFactor</f>
        <v>4000.1156258719998</v>
      </c>
      <c r="M621" s="751">
        <f>$H$22*$H$9*'Traffic Data'!AO56*annualizationFactor</f>
        <v>6222.0021657400002</v>
      </c>
      <c r="N621" s="751">
        <f>$H$22*$H$9*'Traffic Data'!AP56*annualizationFactor</f>
        <v>8443.9834232539979</v>
      </c>
      <c r="O621" s="751">
        <f>$H$22*$H$9*'Traffic Data'!AQ56*annualizationFactor</f>
        <v>10664.638633723998</v>
      </c>
      <c r="P621" s="751">
        <f>$H$22*$H$9*'Traffic Data'!AR56*annualizationFactor</f>
        <v>12887.851220635997</v>
      </c>
      <c r="Q621" s="751">
        <f>$H$22*$H$9*'Traffic Data'!AS56*annualizationFactor</f>
        <v>14602.240613236001</v>
      </c>
      <c r="R621" s="751">
        <f>$H$22*$H$9*'Traffic Data'!AT56*annualizationFactor</f>
        <v>16316.914158774001</v>
      </c>
      <c r="S621" s="751">
        <f>$H$22*$H$9*'Traffic Data'!AU56*annualizationFactor</f>
        <v>18031.303551373996</v>
      </c>
      <c r="T621" s="751">
        <f>$H$22*$H$9*'Traffic Data'!AV56*annualizationFactor</f>
        <v>19745.692943973998</v>
      </c>
      <c r="U621" s="751">
        <f>$H$22*$H$9*'Traffic Data'!AW56*annualizationFactor</f>
        <v>21462.355560078002</v>
      </c>
      <c r="V621" s="751">
        <f>$H$22*$H$9*'Traffic Data'!AX56*annualizationFactor</f>
        <v>22313.204174095998</v>
      </c>
      <c r="W621" s="751">
        <f>$H$22*$H$9*'Traffic Data'!AY56*annualizationFactor</f>
        <v>22544.788818565998</v>
      </c>
      <c r="X621" s="751">
        <f>$H$22*$H$9*'Traffic Data'!AZ56*annualizationFactor</f>
        <v>22776.373463035998</v>
      </c>
      <c r="Y621" s="751">
        <f>$H$22*$H$9*'Traffic Data'!BA56*annualizationFactor</f>
        <v>23007.958107506001</v>
      </c>
      <c r="Z621" s="751">
        <f>$H$22*$H$9*'Traffic Data'!BB56*annualizationFactor</f>
        <v>23240.205775498005</v>
      </c>
      <c r="AA621" s="751">
        <f>$H$22*$H$9*'Traffic Data'!BC56*annualizationFactor</f>
        <v>23471.790419967998</v>
      </c>
      <c r="AB621" s="751">
        <f>$H$22*$H$9*'Traffic Data'!BD56*annualizationFactor</f>
        <v>23704.038087959994</v>
      </c>
      <c r="AC621" s="751">
        <f>$H$22*$H$9*'Traffic Data'!BE56*annualizationFactor</f>
        <v>23935.622732429994</v>
      </c>
      <c r="AD621" s="751">
        <f>$H$22*$H$9*'Traffic Data'!BF56*annualizationFactor</f>
        <v>24167.207376899998</v>
      </c>
      <c r="AE621" s="751">
        <f>$H$22*$H$9*'Traffic Data'!BG56*annualizationFactor</f>
        <v>24399.455044891994</v>
      </c>
      <c r="AF621" s="751">
        <f>$H$22*$H$9*'Traffic Data'!BH56*annualizationFactor</f>
        <v>24631.039689361995</v>
      </c>
      <c r="AG621" s="751">
        <f>$H$22*$H$9*'Traffic Data'!BI56*annualizationFactor</f>
        <v>24862.624333831998</v>
      </c>
      <c r="AH621" s="752">
        <f>$H$22*$H$9*'Traffic Data'!BJ56*annualizationFactor</f>
        <v>25094.872001823995</v>
      </c>
      <c r="AI621" s="132"/>
      <c r="AJ621" s="132"/>
      <c r="AK621" s="132"/>
      <c r="AL621" s="132"/>
      <c r="AM621" s="132"/>
    </row>
    <row r="622" spans="2:39" ht="21.9" customHeight="1" x14ac:dyDescent="0.25">
      <c r="B622" s="1332"/>
      <c r="C622" s="250" t="s">
        <v>321</v>
      </c>
      <c r="D622" s="250" t="s">
        <v>274</v>
      </c>
      <c r="E622" s="114" t="s">
        <v>434</v>
      </c>
      <c r="F622" s="114" t="s">
        <v>40</v>
      </c>
      <c r="G622" s="941"/>
      <c r="H622" s="941"/>
      <c r="I622" s="751">
        <f>$H$22*$H$9*'Traffic Data'!AK57*annualizationFactor</f>
        <v>817.42625999999996</v>
      </c>
      <c r="J622" s="751">
        <f>$H$22*$H$9*'Traffic Data'!AL57*annualizationFactor</f>
        <v>1208.0742696539999</v>
      </c>
      <c r="K622" s="751">
        <f>$H$22*$H$9*'Traffic Data'!AM57*annualizationFactor</f>
        <v>1694.742617316</v>
      </c>
      <c r="L622" s="751">
        <f>$H$22*$H$9*'Traffic Data'!AN57*annualizationFactor</f>
        <v>2736.7976135640001</v>
      </c>
      <c r="M622" s="751">
        <f>$H$22*$H$9*'Traffic Data'!AO57*annualizationFactor</f>
        <v>3778.9888475220005</v>
      </c>
      <c r="N622" s="751">
        <f>$H$22*$H$9*'Traffic Data'!AP57*annualizationFactor</f>
        <v>4821.6160421519999</v>
      </c>
      <c r="O622" s="751">
        <f>$H$22*$H$9*'Traffic Data'!AQ57*annualizationFactor</f>
        <v>5863.6710383999989</v>
      </c>
      <c r="P622" s="751">
        <f>$H$22*$H$9*'Traffic Data'!AR57*annualizationFactor</f>
        <v>6905.1810838080009</v>
      </c>
      <c r="Q622" s="751">
        <f>$H$22*$H$9*'Traffic Data'!AS57*annualizationFactor</f>
        <v>8996.4844273920007</v>
      </c>
      <c r="R622" s="751">
        <f>$H$22*$H$9*'Traffic Data'!AT57*annualizationFactor</f>
        <v>11086.588879127999</v>
      </c>
      <c r="S622" s="751">
        <f>$H$22*$H$9*'Traffic Data'!AU57*annualizationFactor</f>
        <v>13177.156539078</v>
      </c>
      <c r="T622" s="751">
        <f>$H$22*$H$9*'Traffic Data'!AV57*annualizationFactor</f>
        <v>15268.459882661999</v>
      </c>
      <c r="U622" s="751">
        <f>$H$22*$H$9*'Traffic Data'!AW57*annualizationFactor</f>
        <v>17359.218275406001</v>
      </c>
      <c r="V622" s="751">
        <f>$H$22*$H$9*'Traffic Data'!AX57*annualizationFactor</f>
        <v>18895.080475319999</v>
      </c>
      <c r="W622" s="751">
        <f>$H$22*$H$9*'Traffic Data'!AY57*annualizationFactor</f>
        <v>19285.728484974003</v>
      </c>
      <c r="X622" s="751">
        <f>$H$22*$H$9*'Traffic Data'!AZ57*annualizationFactor</f>
        <v>19676.376494627999</v>
      </c>
      <c r="Y622" s="751">
        <f>$H$22*$H$9*'Traffic Data'!BA57*annualizationFactor</f>
        <v>20067.024504281999</v>
      </c>
      <c r="Z622" s="751">
        <f>$H$22*$H$9*'Traffic Data'!BB57*annualizationFactor</f>
        <v>20456.500869629996</v>
      </c>
      <c r="AA622" s="751">
        <f>$H$22*$H$9*'Traffic Data'!BC57*annualizationFactor</f>
        <v>20847.148879283999</v>
      </c>
      <c r="AB622" s="751">
        <f>$H$22*$H$9*'Traffic Data'!BD57*annualizationFactor</f>
        <v>21236.625244632</v>
      </c>
      <c r="AC622" s="751">
        <f>$H$22*$H$9*'Traffic Data'!BE57*annualizationFactor</f>
        <v>21627.273254285999</v>
      </c>
      <c r="AD622" s="751">
        <f>$H$22*$H$9*'Traffic Data'!BF57*annualizationFactor</f>
        <v>22017.921263939999</v>
      </c>
      <c r="AE622" s="751">
        <f>$H$22*$H$9*'Traffic Data'!BG57*annualizationFactor</f>
        <v>22407.397629288</v>
      </c>
      <c r="AF622" s="751">
        <f>$H$22*$H$9*'Traffic Data'!BH57*annualizationFactor</f>
        <v>22798.045638941996</v>
      </c>
      <c r="AG622" s="751">
        <f>$H$22*$H$9*'Traffic Data'!BI57*annualizationFactor</f>
        <v>23188.693648596</v>
      </c>
      <c r="AH622" s="752">
        <f>$H$22*$H$9*'Traffic Data'!BJ57*annualizationFactor</f>
        <v>23578.170013943996</v>
      </c>
      <c r="AI622" s="21"/>
      <c r="AJ622" s="21"/>
      <c r="AK622" s="21"/>
      <c r="AL622" s="21"/>
      <c r="AM622" s="21"/>
    </row>
    <row r="623" spans="2:39" s="1" customFormat="1" ht="21.9" customHeight="1" x14ac:dyDescent="0.25">
      <c r="B623" s="469" t="s">
        <v>282</v>
      </c>
      <c r="C623" s="114" t="s">
        <v>308</v>
      </c>
      <c r="D623" s="114" t="s">
        <v>324</v>
      </c>
      <c r="E623" s="114" t="s">
        <v>434</v>
      </c>
      <c r="F623" s="217" t="s">
        <v>40</v>
      </c>
      <c r="G623" s="941"/>
      <c r="H623" s="941"/>
      <c r="I623" s="749">
        <f>$H$22*$J$9*'Traffic Data'!AK58*annualizationFactor</f>
        <v>4671.0072</v>
      </c>
      <c r="J623" s="749">
        <f>$H$22*$J$9*'Traffic Data'!AL58*annualizationFactor</f>
        <v>4958.2222427199995</v>
      </c>
      <c r="K623" s="749">
        <f>$H$22*$J$9*'Traffic Data'!AM58*annualizationFactor</f>
        <v>5338.3124785999998</v>
      </c>
      <c r="L623" s="749">
        <f>$H$22*$J$9*'Traffic Data'!AN58*annualizationFactor</f>
        <v>5843.4300071999996</v>
      </c>
      <c r="M623" s="749">
        <f>$H$22*$J$9*'Traffic Data'!AO58*annualizationFactor</f>
        <v>6348.703236039999</v>
      </c>
      <c r="N623" s="749">
        <f>$H$22*$J$9*'Traffic Data'!AP58*annualizationFactor</f>
        <v>6855.0663665600014</v>
      </c>
      <c r="O623" s="749">
        <f>$H$22*$J$9*'Traffic Data'!AQ58*annualizationFactor</f>
        <v>7360.1838951599984</v>
      </c>
      <c r="P623" s="749">
        <f>$H$22*$J$9*'Traffic Data'!AR58*annualizationFactor</f>
        <v>7865.8463745999998</v>
      </c>
      <c r="Q623" s="749">
        <f>$H$22*$J$9*'Traffic Data'!AS58*annualizationFactor</f>
        <v>8326.9266853199988</v>
      </c>
      <c r="R623" s="749">
        <f>$H$22*$J$9*'Traffic Data'!AT58*annualizationFactor</f>
        <v>8787.6177454400004</v>
      </c>
      <c r="S623" s="749">
        <f>$H$22*$J$9*'Traffic Data'!AU58*annualizationFactor</f>
        <v>9248.7240061999983</v>
      </c>
      <c r="T623" s="749">
        <f>$H$22*$J$9*'Traffic Data'!AV58*annualizationFactor</f>
        <v>9709.8043169199991</v>
      </c>
      <c r="U623" s="749">
        <f>$H$22*$J$9*'Traffic Data'!AW58*annualizationFactor</f>
        <v>10172.519480159999</v>
      </c>
      <c r="V623" s="749">
        <f>$H$22*$J$9*'Traffic Data'!AX58*annualizationFactor</f>
        <v>10508.209197599999</v>
      </c>
      <c r="W623" s="749">
        <f>$H$22*$J$9*'Traffic Data'!AY58*annualizationFactor</f>
        <v>10795.424240320001</v>
      </c>
      <c r="X623" s="749">
        <f>$H$22*$J$9*'Traffic Data'!AZ58*annualizationFactor</f>
        <v>11082.639283039998</v>
      </c>
      <c r="Y623" s="749">
        <f>$H$22*$J$9*'Traffic Data'!BA58*annualizationFactor</f>
        <v>11369.854325759999</v>
      </c>
      <c r="Z623" s="749">
        <f>$H$22*$J$9*'Traffic Data'!BB58*annualizationFactor</f>
        <v>11657.380768959998</v>
      </c>
      <c r="AA623" s="749">
        <f>$H$22*$J$9*'Traffic Data'!BC58*annualizationFactor</f>
        <v>11944.595811679997</v>
      </c>
      <c r="AB623" s="749">
        <f>$H$22*$J$9*'Traffic Data'!BD58*annualizationFactor</f>
        <v>12232.511505480001</v>
      </c>
      <c r="AC623" s="749">
        <f>$H$22*$J$9*'Traffic Data'!BE58*annualizationFactor</f>
        <v>12519.726548199998</v>
      </c>
      <c r="AD623" s="749">
        <f>$H$22*$J$9*'Traffic Data'!BF58*annualizationFactor</f>
        <v>12806.941590919998</v>
      </c>
      <c r="AE623" s="749">
        <f>$H$22*$J$9*'Traffic Data'!BG58*annualizationFactor</f>
        <v>13094.468034119998</v>
      </c>
      <c r="AF623" s="749">
        <f>$H$22*$J$9*'Traffic Data'!BH58*annualizationFactor</f>
        <v>13381.683076840001</v>
      </c>
      <c r="AG623" s="749">
        <f>$H$22*$J$9*'Traffic Data'!BI58*annualizationFactor</f>
        <v>13668.898119559999</v>
      </c>
      <c r="AH623" s="750">
        <f>$H$22*$J$9*'Traffic Data'!BJ58*annualizationFactor</f>
        <v>13956.813813359999</v>
      </c>
      <c r="AI623" s="132"/>
      <c r="AJ623" s="132"/>
      <c r="AK623" s="132"/>
      <c r="AL623" s="132"/>
      <c r="AM623" s="132"/>
    </row>
    <row r="624" spans="2:39" s="1" customFormat="1" ht="21.9" customHeight="1" x14ac:dyDescent="0.25">
      <c r="B624" s="756" t="s">
        <v>321</v>
      </c>
      <c r="C624" s="273" t="s">
        <v>318</v>
      </c>
      <c r="D624" s="273" t="s">
        <v>308</v>
      </c>
      <c r="E624" s="273" t="s">
        <v>434</v>
      </c>
      <c r="F624" s="217" t="s">
        <v>40</v>
      </c>
      <c r="G624" s="754"/>
      <c r="H624" s="754"/>
      <c r="I624" s="749">
        <f>$H$22*$K$9*'Traffic Data'!AK59*annualizationFactor</f>
        <v>0</v>
      </c>
      <c r="J624" s="749">
        <f>$H$22*$K$9*'Traffic Data'!AL59*annualizationFactor</f>
        <v>7833.9911434976002</v>
      </c>
      <c r="K624" s="749">
        <f>$H$22*$K$9*'Traffic Data'!AM59*annualizationFactor</f>
        <v>8434.5337161880016</v>
      </c>
      <c r="L624" s="749">
        <f>$H$22*$K$9*'Traffic Data'!AN59*annualizationFactor</f>
        <v>9232.6194113759975</v>
      </c>
      <c r="M624" s="749">
        <f>$H$22*$K$9*'Traffic Data'!AO59*annualizationFactor</f>
        <v>10030.951112943199</v>
      </c>
      <c r="N624" s="749">
        <f>$H$22*$K$9*'Traffic Data'!AP59*annualizationFactor</f>
        <v>10831.004859164801</v>
      </c>
      <c r="O624" s="749">
        <f>$H$22*$K$9*'Traffic Data'!AQ59*annualizationFactor</f>
        <v>11629.090554352799</v>
      </c>
      <c r="P624" s="749">
        <f>$H$22*$K$9*'Traffic Data'!AR59*annualizationFactor</f>
        <v>12428.037271867999</v>
      </c>
      <c r="Q624" s="749">
        <f>$H$22*$K$9*'Traffic Data'!AS59*annualizationFactor</f>
        <v>13156.5441628056</v>
      </c>
      <c r="R624" s="749">
        <f>$H$22*$K$9*'Traffic Data'!AT59*annualizationFactor</f>
        <v>13884.4360377952</v>
      </c>
      <c r="S624" s="749">
        <f>$H$22*$K$9*'Traffic Data'!AU59*annualizationFactor</f>
        <v>14612.983929795997</v>
      </c>
      <c r="T624" s="749">
        <f>$H$22*$K$9*'Traffic Data'!AV59*annualizationFactor</f>
        <v>15341.490820733599</v>
      </c>
      <c r="U624" s="749">
        <f>$H$22*$K$9*'Traffic Data'!AW59*annualizationFactor</f>
        <v>16072.5807786528</v>
      </c>
      <c r="V624" s="749">
        <f>$H$22*$K$9*'Traffic Data'!AX59*annualizationFactor</f>
        <v>16602.970532208001</v>
      </c>
      <c r="W624" s="749">
        <f>$H$22*$K$9*'Traffic Data'!AY59*annualizationFactor</f>
        <v>17056.7702997056</v>
      </c>
      <c r="X624" s="749">
        <f>$H$22*$K$9*'Traffic Data'!AZ59*annualizationFactor</f>
        <v>17510.570067203196</v>
      </c>
      <c r="Y624" s="749">
        <f>$H$22*$K$9*'Traffic Data'!BA59*annualizationFactor</f>
        <v>17964.369834700799</v>
      </c>
      <c r="Z624" s="749">
        <f>$H$22*$K$9*'Traffic Data'!BB59*annualizationFactor</f>
        <v>18418.6616149568</v>
      </c>
      <c r="AA624" s="749">
        <f>$H$22*$K$9*'Traffic Data'!BC59*annualizationFactor</f>
        <v>18872.461382454396</v>
      </c>
      <c r="AB624" s="749">
        <f>$H$22*$K$9*'Traffic Data'!BD59*annualizationFactor</f>
        <v>19327.368178658402</v>
      </c>
      <c r="AC624" s="749">
        <f>$H$22*$K$9*'Traffic Data'!BE59*annualizationFactor</f>
        <v>19781.167946155998</v>
      </c>
      <c r="AD624" s="749">
        <f>$H$22*$K$9*'Traffic Data'!BF59*annualizationFactor</f>
        <v>20234.967713653597</v>
      </c>
      <c r="AE624" s="749">
        <f>$H$22*$K$9*'Traffic Data'!BG59*annualizationFactor</f>
        <v>20689.259493909594</v>
      </c>
      <c r="AF624" s="749">
        <f>$H$22*$K$9*'Traffic Data'!BH59*annualizationFactor</f>
        <v>21143.059261407201</v>
      </c>
      <c r="AG624" s="749">
        <f>$H$22*$K$9*'Traffic Data'!BI59*annualizationFactor</f>
        <v>21596.859028904797</v>
      </c>
      <c r="AH624" s="750">
        <f>$H$22*$K$9*'Traffic Data'!BJ59*annualizationFactor</f>
        <v>22051.765825108796</v>
      </c>
      <c r="AI624" s="132"/>
      <c r="AJ624" s="132"/>
      <c r="AK624" s="132"/>
      <c r="AL624" s="132"/>
      <c r="AM624" s="132"/>
    </row>
    <row r="625" spans="2:39" ht="21.9" customHeight="1" x14ac:dyDescent="0.25">
      <c r="B625" s="756" t="s">
        <v>333</v>
      </c>
      <c r="C625" s="273" t="s">
        <v>319</v>
      </c>
      <c r="D625" s="273" t="s">
        <v>308</v>
      </c>
      <c r="E625" s="114" t="s">
        <v>434</v>
      </c>
      <c r="F625" s="217" t="s">
        <v>40</v>
      </c>
      <c r="G625" s="941"/>
      <c r="H625" s="941"/>
      <c r="I625" s="749">
        <f>$H$22*$L$9*'Traffic Data'!AK60*annualizationFactor</f>
        <v>8662.5951709090896</v>
      </c>
      <c r="J625" s="749">
        <f>$H$22*$L$9*'Traffic Data'!AL60*annualizationFactor</f>
        <v>8781.5374151585456</v>
      </c>
      <c r="K625" s="749">
        <f>$H$22*$L$9*'Traffic Data'!AM60*annualizationFactor</f>
        <v>8987.1296738814544</v>
      </c>
      <c r="L625" s="749">
        <f>$H$22*$L$9*'Traffic Data'!AN60*annualizationFactor</f>
        <v>9269.3858998669093</v>
      </c>
      <c r="M625" s="749">
        <f>$H$22*$L$9*'Traffic Data'!AO60*annualizationFactor</f>
        <v>9551.7624396741812</v>
      </c>
      <c r="N625" s="749">
        <f>$H$22*$L$9*'Traffic Data'!AP60*annualizationFactor</f>
        <v>9834.5480464756347</v>
      </c>
      <c r="O625" s="749">
        <f>$H$22*$L$9*'Traffic Data'!AQ60*annualizationFactor</f>
        <v>10116.804272461091</v>
      </c>
      <c r="P625" s="749">
        <f>$H$22*$L$9*'Traffic Data'!AR60*annualizationFactor</f>
        <v>10400.047071785453</v>
      </c>
      <c r="Q625" s="749">
        <f>$H$22*$L$9*'Traffic Data'!AS60*annualizationFactor</f>
        <v>10596.471417285818</v>
      </c>
      <c r="R625" s="749">
        <f>$H$22*$L$9*'Traffic Data'!AT60*annualizationFactor</f>
        <v>10792.919825550543</v>
      </c>
      <c r="S625" s="749">
        <f>$H$22*$L$9*'Traffic Data'!AU60*annualizationFactor</f>
        <v>10989.392296579636</v>
      </c>
      <c r="T625" s="749">
        <f>$H$22*$L$9*'Traffic Data'!AV60*annualizationFactor</f>
        <v>11185.816642080001</v>
      </c>
      <c r="U625" s="749">
        <f>$H$22*$L$9*'Traffic Data'!AW60*annualizationFactor</f>
        <v>11383.636627913455</v>
      </c>
      <c r="V625" s="749">
        <f>$H$22*$L$9*'Traffic Data'!AX60*annualizationFactor</f>
        <v>11502.578872162907</v>
      </c>
      <c r="W625" s="749">
        <f>$H$22*$L$9*'Traffic Data'!AY60*annualizationFactor</f>
        <v>11621.521116412361</v>
      </c>
      <c r="X625" s="749">
        <f>$H$22*$L$9*'Traffic Data'!AZ60*annualizationFactor</f>
        <v>11740.463360661819</v>
      </c>
      <c r="Y625" s="749">
        <f>$H$22*$L$9*'Traffic Data'!BA60*annualizationFactor</f>
        <v>11859.40560491127</v>
      </c>
      <c r="Z625" s="749">
        <f>$H$22*$L$9*'Traffic Data'!BB60*annualizationFactor</f>
        <v>11979.165983149092</v>
      </c>
      <c r="AA625" s="749">
        <f>$H$22*$L$9*'Traffic Data'!BC60*annualizationFactor</f>
        <v>12098.108227398545</v>
      </c>
      <c r="AB625" s="749">
        <f>$H$22*$L$9*'Traffic Data'!BD60*annualizationFactor</f>
        <v>12217.507664170909</v>
      </c>
      <c r="AC625" s="749">
        <f>$H$22*$L$9*'Traffic Data'!BE60*annualizationFactor</f>
        <v>12336.449908420362</v>
      </c>
      <c r="AD625" s="749">
        <f>$H$22*$L$9*'Traffic Data'!BF60*annualizationFactor</f>
        <v>12455.39215266982</v>
      </c>
      <c r="AE625" s="749">
        <f>$H$22*$L$9*'Traffic Data'!BG60*annualizationFactor</f>
        <v>12575.152530907635</v>
      </c>
      <c r="AF625" s="749">
        <f>$H$22*$L$9*'Traffic Data'!BH60*annualizationFactor</f>
        <v>12694.094775157093</v>
      </c>
      <c r="AG625" s="749">
        <f>$H$22*$L$9*'Traffic Data'!BI60*annualizationFactor</f>
        <v>12813.037019406544</v>
      </c>
      <c r="AH625" s="750">
        <f>$H$22*$L$9*'Traffic Data'!BJ60*annualizationFactor</f>
        <v>12932.43645617891</v>
      </c>
      <c r="AI625" s="21"/>
      <c r="AJ625" s="21"/>
      <c r="AK625" s="21"/>
      <c r="AL625" s="21"/>
      <c r="AM625" s="21"/>
    </row>
    <row r="626" spans="2:39" ht="21.9" customHeight="1" x14ac:dyDescent="0.25">
      <c r="B626" s="469" t="s">
        <v>319</v>
      </c>
      <c r="C626" s="114" t="s">
        <v>276</v>
      </c>
      <c r="D626" s="114" t="s">
        <v>333</v>
      </c>
      <c r="E626" s="217" t="s">
        <v>434</v>
      </c>
      <c r="F626" s="217" t="s">
        <v>40</v>
      </c>
      <c r="G626" s="749"/>
      <c r="H626" s="749"/>
      <c r="I626" s="749">
        <f>$H$22*$M$9*'Traffic Data'!AK61*annualizationFactor</f>
        <v>31110.559318181819</v>
      </c>
      <c r="J626" s="749">
        <f>$H$22*$M$9*'Traffic Data'!AL61*annualizationFactor</f>
        <v>32007.383411647057</v>
      </c>
      <c r="K626" s="749">
        <f>$H$22*$M$9*'Traffic Data'!AM61*annualizationFactor</f>
        <v>32978.095083492961</v>
      </c>
      <c r="L626" s="749">
        <f>$H$22*$M$9*'Traffic Data'!AN61*annualizationFactor</f>
        <v>34265.916686469092</v>
      </c>
      <c r="M626" s="749">
        <f>$H$22*$M$9*'Traffic Data'!AO61*annualizationFactor</f>
        <v>35553.956063360456</v>
      </c>
      <c r="N626" s="749">
        <f>$H$22*$M$9*'Traffic Data'!AP61*annualizationFactor</f>
        <v>36842.524319760225</v>
      </c>
      <c r="O626" s="749">
        <f>$H$22*$M$9*'Traffic Data'!AQ61*annualizationFactor</f>
        <v>38130.345922736371</v>
      </c>
      <c r="P626" s="749">
        <f>$H$22*$M$9*'Traffic Data'!AR61*annualizationFactor</f>
        <v>39418.509741865004</v>
      </c>
      <c r="Q626" s="749">
        <f>$H$22*$M$9*'Traffic Data'!AS61*annualizationFactor</f>
        <v>40835.969045520011</v>
      </c>
      <c r="R626" s="749">
        <f>$H$22*$M$9*'Traffic Data'!AT61*annualizationFactor</f>
        <v>42252.961690785225</v>
      </c>
      <c r="S626" s="749">
        <f>$H$22*$M$9*'Traffic Data'!AU61*annualizationFactor</f>
        <v>43670.420994440225</v>
      </c>
      <c r="T626" s="749">
        <f>$H$22*$M$9*'Traffic Data'!AV61*annualizationFactor</f>
        <v>45087.880298095231</v>
      </c>
      <c r="U626" s="749">
        <f>$H$22*$M$9*'Traffic Data'!AW61*annualizationFactor</f>
        <v>46506.148476292503</v>
      </c>
      <c r="V626" s="749">
        <f>$H$22*$M$9*'Traffic Data'!AX61*annualizationFactor</f>
        <v>47606.373406580002</v>
      </c>
      <c r="W626" s="749">
        <f>$H$22*$M$9*'Traffic Data'!AY61*annualizationFactor</f>
        <v>48503.197500045229</v>
      </c>
      <c r="X626" s="749">
        <f>$H$22*$M$9*'Traffic Data'!AZ61*annualizationFactor</f>
        <v>49400.021593510457</v>
      </c>
      <c r="Y626" s="749">
        <f>$H$22*$M$9*'Traffic Data'!BA61*annualizationFactor</f>
        <v>50296.845686975692</v>
      </c>
      <c r="Z626" s="749">
        <f>$H$22*$M$9*'Traffic Data'!BB61*annualizationFactor</f>
        <v>51193.576448762949</v>
      </c>
      <c r="AA626" s="749">
        <f>$H$22*$M$9*'Traffic Data'!BC61*annualizationFactor</f>
        <v>52090.40054222817</v>
      </c>
      <c r="AB626" s="749">
        <f>$H$22*$M$9*'Traffic Data'!BD61*annualizationFactor</f>
        <v>52987.131304015435</v>
      </c>
      <c r="AC626" s="749">
        <f>$H$22*$M$9*'Traffic Data'!BE61*annualizationFactor</f>
        <v>53883.955397480699</v>
      </c>
      <c r="AD626" s="749">
        <f>$H$22*$M$9*'Traffic Data'!BF61*annualizationFactor</f>
        <v>54780.779490945919</v>
      </c>
      <c r="AE626" s="749">
        <f>$H$22*$M$9*'Traffic Data'!BG61*annualizationFactor</f>
        <v>55677.510252733191</v>
      </c>
      <c r="AF626" s="749">
        <f>$H$22*$M$9*'Traffic Data'!BH61*annualizationFactor</f>
        <v>56574.334346198411</v>
      </c>
      <c r="AG626" s="749">
        <f>$H$22*$M$9*'Traffic Data'!BI61*annualizationFactor</f>
        <v>57471.158439663639</v>
      </c>
      <c r="AH626" s="750">
        <f>$H$22*$M$9*'Traffic Data'!BJ61*annualizationFactor</f>
        <v>58367.889201450926</v>
      </c>
      <c r="AI626" s="21"/>
      <c r="AJ626" s="21"/>
      <c r="AK626" s="21"/>
      <c r="AL626" s="21"/>
      <c r="AM626" s="21"/>
    </row>
    <row r="627" spans="2:39" ht="21.9" customHeight="1" x14ac:dyDescent="0.25">
      <c r="B627" s="469"/>
      <c r="C627" s="114" t="s">
        <v>333</v>
      </c>
      <c r="D627" s="114" t="s">
        <v>323</v>
      </c>
      <c r="E627" s="114" t="s">
        <v>434</v>
      </c>
      <c r="F627" s="114" t="s">
        <v>40</v>
      </c>
      <c r="G627" s="941"/>
      <c r="H627" s="941"/>
      <c r="I627" s="751">
        <f>$H$22*$M$9*'Traffic Data'!AK62*annualizationFactor</f>
        <v>4530.8376657575755</v>
      </c>
      <c r="J627" s="751">
        <f>$H$22*$M$9*'Traffic Data'!AL62*annualizationFactor</f>
        <v>4659.4299926659842</v>
      </c>
      <c r="K627" s="751">
        <f>$H$22*$M$9*'Traffic Data'!AM62*annualizationFactor</f>
        <v>4802.1334942518261</v>
      </c>
      <c r="L627" s="751">
        <f>$H$22*$M$9*'Traffic Data'!AN62*annualizationFactor</f>
        <v>5002.4322888493552</v>
      </c>
      <c r="M627" s="751">
        <f>$H$22*$M$9*'Traffic Data'!AO62*annualizationFactor</f>
        <v>5202.7668532179323</v>
      </c>
      <c r="N627" s="751">
        <f>$H$22*$M$9*'Traffic Data'!AP62*annualizationFactor</f>
        <v>5403.1431489860588</v>
      </c>
      <c r="O627" s="751">
        <f>$H$22*$M$9*'Traffic Data'!AQ62*annualizationFactor</f>
        <v>5603.4419435835907</v>
      </c>
      <c r="P627" s="751">
        <f>$H$22*$M$9*'Traffic Data'!AR62*annualizationFactor</f>
        <v>5803.7526614381359</v>
      </c>
      <c r="Q627" s="751">
        <f>$H$22*$M$9*'Traffic Data'!AS62*annualizationFactor</f>
        <v>6028.8935620267348</v>
      </c>
      <c r="R627" s="751">
        <f>$H$22*$M$9*'Traffic Data'!AT62*annualizationFactor</f>
        <v>6253.9569614447337</v>
      </c>
      <c r="S627" s="751">
        <f>$H$22*$M$9*'Traffic Data'!AU62*annualizationFactor</f>
        <v>6479.0978620333317</v>
      </c>
      <c r="T627" s="751">
        <f>$H$22*$M$9*'Traffic Data'!AV62*annualizationFactor</f>
        <v>6704.2387626219297</v>
      </c>
      <c r="U627" s="751">
        <f>$H$22*$M$9*'Traffic Data'!AW62*annualizationFactor</f>
        <v>6929.4154329815756</v>
      </c>
      <c r="V627" s="751">
        <f>$H$22*$M$9*'Traffic Data'!AX62*annualizationFactor</f>
        <v>7096.9848870725145</v>
      </c>
      <c r="W627" s="751">
        <f>$H$22*$M$9*'Traffic Data'!AY62*annualizationFactor</f>
        <v>7225.5772139809242</v>
      </c>
      <c r="X627" s="751">
        <f>$H$22*$M$9*'Traffic Data'!AZ62*annualizationFactor</f>
        <v>7354.1695408893338</v>
      </c>
      <c r="Y627" s="751">
        <f>$H$22*$M$9*'Traffic Data'!BA62*annualizationFactor</f>
        <v>7482.7618677977416</v>
      </c>
      <c r="Z627" s="751">
        <f>$H$22*$M$9*'Traffic Data'!BB62*annualizationFactor</f>
        <v>7611.2886167925662</v>
      </c>
      <c r="AA627" s="751">
        <f>$H$22*$M$9*'Traffic Data'!BC62*annualizationFactor</f>
        <v>7739.8809437009768</v>
      </c>
      <c r="AB627" s="751">
        <f>$H$22*$M$9*'Traffic Data'!BD62*annualizationFactor</f>
        <v>7868.4076926958032</v>
      </c>
      <c r="AC627" s="751">
        <f>$H$22*$M$9*'Traffic Data'!BE62*annualizationFactor</f>
        <v>7997.000019604211</v>
      </c>
      <c r="AD627" s="751">
        <f>$H$22*$M$9*'Traffic Data'!BF62*annualizationFactor</f>
        <v>8125.5923465126198</v>
      </c>
      <c r="AE627" s="751">
        <f>$H$22*$M$9*'Traffic Data'!BG62*annualizationFactor</f>
        <v>8254.1190955074453</v>
      </c>
      <c r="AF627" s="751">
        <f>$H$22*$M$9*'Traffic Data'!BH62*annualizationFactor</f>
        <v>8382.7114224158558</v>
      </c>
      <c r="AG627" s="751">
        <f>$H$22*$M$9*'Traffic Data'!BI62*annualizationFactor</f>
        <v>8511.3037493242628</v>
      </c>
      <c r="AH627" s="752">
        <f>$H$22*$M$9*'Traffic Data'!BJ62*annualizationFactor</f>
        <v>8639.8304983190883</v>
      </c>
      <c r="AI627" s="21"/>
      <c r="AJ627" s="21"/>
      <c r="AK627" s="21"/>
      <c r="AL627" s="21"/>
      <c r="AM627" s="21"/>
    </row>
    <row r="628" spans="2:39" ht="21.9" customHeight="1" x14ac:dyDescent="0.25">
      <c r="B628" s="469"/>
      <c r="C628" s="114" t="s">
        <v>323</v>
      </c>
      <c r="D628" s="114" t="s">
        <v>322</v>
      </c>
      <c r="E628" s="114" t="s">
        <v>434</v>
      </c>
      <c r="F628" s="114" t="s">
        <v>40</v>
      </c>
      <c r="G628" s="941"/>
      <c r="H628" s="941"/>
      <c r="I628" s="751">
        <f>$H$22*$M$9*'Traffic Data'!AK63*annualizationFactor</f>
        <v>1120.5699090909091</v>
      </c>
      <c r="J628" s="751">
        <f>$H$22*$M$9*'Traffic Data'!AL63*annualizationFactor</f>
        <v>1152.3734524318181</v>
      </c>
      <c r="K628" s="751">
        <f>$H$22*$M$9*'Traffic Data'!AM63*annualizationFactor</f>
        <v>1187.666981265909</v>
      </c>
      <c r="L628" s="751">
        <f>$H$22*$M$9*'Traffic Data'!AN63*annualizationFactor</f>
        <v>1237.2050178522727</v>
      </c>
      <c r="M628" s="751">
        <f>$H$22*$M$9*'Traffic Data'!AO63*annualizationFactor</f>
        <v>1286.7519010431818</v>
      </c>
      <c r="N628" s="751">
        <f>$H$22*$M$9*'Traffic Data'!AP63*annualizationFactor</f>
        <v>1336.309105272727</v>
      </c>
      <c r="O628" s="751">
        <f>$H$22*$M$9*'Traffic Data'!AQ63*annualizationFactor</f>
        <v>1385.8471418590909</v>
      </c>
      <c r="P628" s="751">
        <f>$H$22*$M$9*'Traffic Data'!AR63*annualizationFactor</f>
        <v>1435.3881273136365</v>
      </c>
      <c r="Q628" s="751">
        <f>$H$22*$M$9*'Traffic Data'!AS63*annualizationFactor</f>
        <v>1491.0701307568181</v>
      </c>
      <c r="R628" s="751">
        <f>$H$22*$M$9*'Traffic Data'!AT63*annualizationFactor</f>
        <v>1546.7329665568177</v>
      </c>
      <c r="S628" s="751">
        <f>$H$22*$M$9*'Traffic Data'!AU63*annualizationFactor</f>
        <v>1602.4149699999996</v>
      </c>
      <c r="T628" s="751">
        <f>$H$22*$M$9*'Traffic Data'!AV63*annualizationFactor</f>
        <v>1658.0969734431815</v>
      </c>
      <c r="U628" s="751">
        <f>$H$22*$M$9*'Traffic Data'!AW63*annualizationFactor</f>
        <v>1713.7878234909087</v>
      </c>
      <c r="V628" s="751">
        <f>$H$22*$M$9*'Traffic Data'!AX63*annualizationFactor</f>
        <v>1755.2312169181814</v>
      </c>
      <c r="W628" s="751">
        <f>$H$22*$M$9*'Traffic Data'!AY63*annualizationFactor</f>
        <v>1787.0347602590907</v>
      </c>
      <c r="X628" s="751">
        <f>$H$22*$M$9*'Traffic Data'!AZ63*annualizationFactor</f>
        <v>1818.8383036</v>
      </c>
      <c r="Y628" s="751">
        <f>$H$22*$M$9*'Traffic Data'!BA63*annualizationFactor</f>
        <v>1850.6418469409089</v>
      </c>
      <c r="Z628" s="751">
        <f>$H$22*$M$9*'Traffic Data'!BB63*annualizationFactor</f>
        <v>1882.4291715068177</v>
      </c>
      <c r="AA628" s="751">
        <f>$H$22*$M$9*'Traffic Data'!BC63*annualizationFactor</f>
        <v>1914.2327148477268</v>
      </c>
      <c r="AB628" s="751">
        <f>$H$22*$M$9*'Traffic Data'!BD63*annualizationFactor</f>
        <v>1946.0200394136364</v>
      </c>
      <c r="AC628" s="751">
        <f>$H$22*$M$9*'Traffic Data'!BE63*annualizationFactor</f>
        <v>1977.8235827545452</v>
      </c>
      <c r="AD628" s="751">
        <f>$H$22*$M$9*'Traffic Data'!BF63*annualizationFactor</f>
        <v>2009.6271260954545</v>
      </c>
      <c r="AE628" s="751">
        <f>$H$22*$M$9*'Traffic Data'!BG63*annualizationFactor</f>
        <v>2041.4144506613629</v>
      </c>
      <c r="AF628" s="751">
        <f>$H$22*$M$9*'Traffic Data'!BH63*annualizationFactor</f>
        <v>2073.217994002272</v>
      </c>
      <c r="AG628" s="751">
        <f>$H$22*$M$9*'Traffic Data'!BI63*annualizationFactor</f>
        <v>2105.0215373431811</v>
      </c>
      <c r="AH628" s="752">
        <f>$H$22*$M$9*'Traffic Data'!BJ63*annualizationFactor</f>
        <v>2136.8088619090904</v>
      </c>
      <c r="AI628" s="21"/>
      <c r="AJ628" s="21"/>
      <c r="AK628" s="21"/>
      <c r="AL628" s="21"/>
      <c r="AM628" s="21"/>
    </row>
    <row r="629" spans="2:39" s="1" customFormat="1" ht="21.9" customHeight="1" x14ac:dyDescent="0.25">
      <c r="B629" s="469"/>
      <c r="C629" s="114" t="s">
        <v>322</v>
      </c>
      <c r="D629" s="114" t="s">
        <v>326</v>
      </c>
      <c r="E629" s="114" t="s">
        <v>434</v>
      </c>
      <c r="F629" s="114" t="s">
        <v>40</v>
      </c>
      <c r="G629" s="941"/>
      <c r="H629" s="941"/>
      <c r="I629" s="751">
        <f>$H$22*$M$9*'Traffic Data'!AK64*annualizationFactor</f>
        <v>2875.1464772727272</v>
      </c>
      <c r="J629" s="751">
        <f>$H$22*$M$9*'Traffic Data'!AL64*annualizationFactor</f>
        <v>2956.6760475465908</v>
      </c>
      <c r="K629" s="751">
        <f>$H$22*$M$9*'Traffic Data'!AM64*annualizationFactor</f>
        <v>3049.5768221380681</v>
      </c>
      <c r="L629" s="751">
        <f>$H$22*$M$9*'Traffic Data'!AN64*annualizationFactor</f>
        <v>3168.2820363630681</v>
      </c>
      <c r="M629" s="751">
        <f>$H$22*$M$9*'Traffic Data'!AO64*annualizationFactor</f>
        <v>3287.0255858744317</v>
      </c>
      <c r="N629" s="751">
        <f>$H$22*$M$9*'Traffic Data'!AP64*annualizationFactor</f>
        <v>3405.7499677426149</v>
      </c>
      <c r="O629" s="751">
        <f>$H$22*$M$9*'Traffic Data'!AQ64*annualizationFactor</f>
        <v>3524.455181967614</v>
      </c>
      <c r="P629" s="751">
        <f>$H$22*$M$9*'Traffic Data'!AR64*annualizationFactor</f>
        <v>3643.1843557465913</v>
      </c>
      <c r="Q629" s="751">
        <f>$H$22*$M$9*'Traffic Data'!AS64*annualizationFactor</f>
        <v>3777.3770256624998</v>
      </c>
      <c r="R629" s="751">
        <f>$H$22*$M$9*'Traffic Data'!AT64*annualizationFactor</f>
        <v>3911.5649036676136</v>
      </c>
      <c r="S629" s="751">
        <f>$H$22*$M$9*'Traffic Data'!AU64*annualizationFactor</f>
        <v>4045.7384059403412</v>
      </c>
      <c r="T629" s="751">
        <f>$H$22*$M$9*'Traffic Data'!AV64*annualizationFactor</f>
        <v>4179.9310758562497</v>
      </c>
      <c r="U629" s="751">
        <f>$H$22*$M$9*'Traffic Data'!AW64*annualizationFactor</f>
        <v>4314.147705326136</v>
      </c>
      <c r="V629" s="751">
        <f>$H$22*$M$9*'Traffic Data'!AX64*annualizationFactor</f>
        <v>4422.5311436977272</v>
      </c>
      <c r="W629" s="751">
        <f>$H$22*$M$9*'Traffic Data'!AY64*annualizationFactor</f>
        <v>4504.0607139715912</v>
      </c>
      <c r="X629" s="751">
        <f>$H$22*$M$9*'Traffic Data'!AZ64*annualizationFactor</f>
        <v>4585.5902842454552</v>
      </c>
      <c r="Y629" s="751">
        <f>$H$22*$M$9*'Traffic Data'!BA64*annualizationFactor</f>
        <v>4667.1198545193183</v>
      </c>
      <c r="Z629" s="751">
        <f>$H$22*$M$9*'Traffic Data'!BB64*annualizationFactor</f>
        <v>4748.6254652392054</v>
      </c>
      <c r="AA629" s="751">
        <f>$H$22*$M$9*'Traffic Data'!BC64*annualizationFactor</f>
        <v>4830.1550355130676</v>
      </c>
      <c r="AB629" s="751">
        <f>$H$22*$M$9*'Traffic Data'!BD64*annualizationFactor</f>
        <v>4911.6606462329528</v>
      </c>
      <c r="AC629" s="751">
        <f>$H$22*$M$9*'Traffic Data'!BE64*annualizationFactor</f>
        <v>4993.1902165068177</v>
      </c>
      <c r="AD629" s="751">
        <f>$H$22*$M$9*'Traffic Data'!BF64*annualizationFactor</f>
        <v>5074.7197867806817</v>
      </c>
      <c r="AE629" s="751">
        <f>$H$22*$M$9*'Traffic Data'!BG64*annualizationFactor</f>
        <v>5156.2253975005669</v>
      </c>
      <c r="AF629" s="751">
        <f>$H$22*$M$9*'Traffic Data'!BH64*annualizationFactor</f>
        <v>5237.754967774431</v>
      </c>
      <c r="AG629" s="751">
        <f>$H$22*$M$9*'Traffic Data'!BI64*annualizationFactor</f>
        <v>5319.2845380482941</v>
      </c>
      <c r="AH629" s="752">
        <f>$H$22*$M$9*'Traffic Data'!BJ64*annualizationFactor</f>
        <v>5400.7901487681802</v>
      </c>
      <c r="AI629" s="132"/>
      <c r="AJ629" s="132"/>
      <c r="AK629" s="132"/>
      <c r="AL629" s="132"/>
      <c r="AM629" s="132"/>
    </row>
    <row r="630" spans="2:39" s="1" customFormat="1" ht="21.9" customHeight="1" x14ac:dyDescent="0.25">
      <c r="B630" s="469"/>
      <c r="C630" s="114" t="s">
        <v>326</v>
      </c>
      <c r="D630" s="114" t="s">
        <v>274</v>
      </c>
      <c r="E630" s="114" t="s">
        <v>434</v>
      </c>
      <c r="F630" s="114" t="s">
        <v>40</v>
      </c>
      <c r="G630" s="941"/>
      <c r="H630" s="941"/>
      <c r="I630" s="751">
        <f>$H$22*$M$9*'Traffic Data'!AK65*annualizationFactor</f>
        <v>23871.087931818183</v>
      </c>
      <c r="J630" s="751">
        <f>$H$22*$M$9*'Traffic Data'!AL65*annualizationFactor</f>
        <v>24547.992415271441</v>
      </c>
      <c r="K630" s="751">
        <f>$H$22*$M$9*'Traffic Data'!AM65*annualizationFactor</f>
        <v>25319.307051495038</v>
      </c>
      <c r="L630" s="751">
        <f>$H$22*$M$9*'Traffic Data'!AN65*annualizationFactor</f>
        <v>26304.86470190671</v>
      </c>
      <c r="M630" s="751">
        <f>$H$22*$M$9*'Traffic Data'!AO65*annualizationFactor</f>
        <v>27290.740633490797</v>
      </c>
      <c r="N630" s="751">
        <f>$H$22*$M$9*'Traffic Data'!AP65*annualizationFactor</f>
        <v>28276.457424488686</v>
      </c>
      <c r="O630" s="751">
        <f>$H$22*$M$9*'Traffic Data'!AQ65*annualizationFactor</f>
        <v>29262.015074900344</v>
      </c>
      <c r="P630" s="751">
        <f>$H$22*$M$9*'Traffic Data'!AR65*annualizationFactor</f>
        <v>30247.771651044779</v>
      </c>
      <c r="Q630" s="751">
        <f>$H$22*$M$9*'Traffic Data'!AS65*annualizationFactor</f>
        <v>31361.914895115828</v>
      </c>
      <c r="R630" s="751">
        <f>$H$22*$M$9*'Traffic Data'!AT65*annualizationFactor</f>
        <v>32476.018354040345</v>
      </c>
      <c r="S630" s="751">
        <f>$H$22*$M$9*'Traffic Data'!AU65*annualizationFactor</f>
        <v>33590.002457525188</v>
      </c>
      <c r="T630" s="751">
        <f>$H$22*$M$9*'Traffic Data'!AV65*annualizationFactor</f>
        <v>34704.145701596251</v>
      </c>
      <c r="U630" s="751">
        <f>$H$22*$M$9*'Traffic Data'!AW65*annualizationFactor</f>
        <v>35818.487871400073</v>
      </c>
      <c r="V630" s="751">
        <f>$H$22*$M$9*'Traffic Data'!AX65*annualizationFactor</f>
        <v>36718.348316136515</v>
      </c>
      <c r="W630" s="751">
        <f>$H$22*$M$9*'Traffic Data'!AY65*annualizationFactor</f>
        <v>37395.252799589776</v>
      </c>
      <c r="X630" s="751">
        <f>$H$22*$M$9*'Traffic Data'!AZ65*annualizationFactor</f>
        <v>38072.157283043038</v>
      </c>
      <c r="Y630" s="751">
        <f>$H$22*$M$9*'Traffic Data'!BA65*annualizationFactor</f>
        <v>38749.061766496292</v>
      </c>
      <c r="Z630" s="751">
        <f>$H$22*$M$9*'Traffic Data'!BB65*annualizationFactor</f>
        <v>39425.767324216788</v>
      </c>
      <c r="AA630" s="751">
        <f>$H$22*$M$9*'Traffic Data'!BC65*annualizationFactor</f>
        <v>40102.671807670027</v>
      </c>
      <c r="AB630" s="751">
        <f>$H$22*$M$9*'Traffic Data'!BD65*annualizationFactor</f>
        <v>40779.377365390523</v>
      </c>
      <c r="AC630" s="751">
        <f>$H$22*$M$9*'Traffic Data'!BE65*annualizationFactor</f>
        <v>41456.281848843784</v>
      </c>
      <c r="AD630" s="751">
        <f>$H$22*$M$9*'Traffic Data'!BF65*annualizationFactor</f>
        <v>42133.186332297038</v>
      </c>
      <c r="AE630" s="751">
        <f>$H$22*$M$9*'Traffic Data'!BG65*annualizationFactor</f>
        <v>42809.891890017527</v>
      </c>
      <c r="AF630" s="751">
        <f>$H$22*$M$9*'Traffic Data'!BH65*annualizationFactor</f>
        <v>43486.796373470796</v>
      </c>
      <c r="AG630" s="751">
        <f>$H$22*$M$9*'Traffic Data'!BI65*annualizationFactor</f>
        <v>44163.700856924042</v>
      </c>
      <c r="AH630" s="752">
        <f>$H$22*$M$9*'Traffic Data'!BJ65*annualizationFactor</f>
        <v>44840.406414644531</v>
      </c>
      <c r="AI630" s="132"/>
      <c r="AJ630" s="132"/>
      <c r="AK630" s="132"/>
      <c r="AL630" s="132"/>
      <c r="AM630" s="132"/>
    </row>
    <row r="631" spans="2:39" ht="21.9" customHeight="1" thickBot="1" x14ac:dyDescent="0.3">
      <c r="B631" s="768"/>
      <c r="C631" s="274" t="s">
        <v>274</v>
      </c>
      <c r="D631" s="274" t="s">
        <v>317</v>
      </c>
      <c r="E631" s="274" t="s">
        <v>434</v>
      </c>
      <c r="F631" s="274" t="s">
        <v>40</v>
      </c>
      <c r="G631" s="786"/>
      <c r="H631" s="786"/>
      <c r="I631" s="786">
        <f>$H$22*$M$9*'Traffic Data'!AK66*annualizationFactor</f>
        <v>589.77363636363634</v>
      </c>
      <c r="J631" s="786">
        <f>$H$22*$M$9*'Traffic Data'!AL66*annualizationFactor</f>
        <v>606.49765077878806</v>
      </c>
      <c r="K631" s="786">
        <f>$H$22*$M$9*'Traffic Data'!AM66*annualizationFactor</f>
        <v>625.55421992575748</v>
      </c>
      <c r="L631" s="786">
        <f>$H$22*$M$9*'Traffic Data'!AN66*annualizationFactor</f>
        <v>649.90400745909108</v>
      </c>
      <c r="M631" s="786">
        <f>$H$22*$M$9*'Traffic Data'!AO66*annualizationFactor</f>
        <v>674.26165864090899</v>
      </c>
      <c r="N631" s="786">
        <f>$H$22*$M$9*'Traffic Data'!AP66*annualizationFactor</f>
        <v>698.61537799848509</v>
      </c>
      <c r="O631" s="786">
        <f>$H$22*$M$9*'Traffic Data'!AQ66*annualizationFactor</f>
        <v>722.96516553181834</v>
      </c>
      <c r="P631" s="786">
        <f>$H$22*$M$9*'Traffic Data'!AR66*annualizationFactor</f>
        <v>747.31986784545461</v>
      </c>
      <c r="Q631" s="786">
        <f>$H$22*$M$9*'Traffic Data'!AS66*annualizationFactor</f>
        <v>774.8465693666667</v>
      </c>
      <c r="R631" s="786">
        <f>$H$22*$M$9*'Traffic Data'!AT66*annualizationFactor</f>
        <v>802.37228793181839</v>
      </c>
      <c r="S631" s="786">
        <f>$H$22*$M$9*'Traffic Data'!AU66*annualizationFactor</f>
        <v>829.89505762878787</v>
      </c>
      <c r="T631" s="786">
        <f>$H$22*$M$9*'Traffic Data'!AV66*annualizationFactor</f>
        <v>857.42175915000018</v>
      </c>
      <c r="U631" s="786">
        <f>$H$22*$M$9*'Traffic Data'!AW66*annualizationFactor</f>
        <v>884.95337545151506</v>
      </c>
      <c r="V631" s="786">
        <f>$H$22*$M$9*'Traffic Data'!AX66*annualizationFactor</f>
        <v>907.18587563030303</v>
      </c>
      <c r="W631" s="786">
        <f>$H$22*$M$9*'Traffic Data'!AY66*annualizationFactor</f>
        <v>923.90989004545474</v>
      </c>
      <c r="X631" s="786">
        <f>$H$22*$M$9*'Traffic Data'!AZ66*annualizationFactor</f>
        <v>940.63390446060635</v>
      </c>
      <c r="Y631" s="786">
        <f>$H$22*$M$9*'Traffic Data'!BA66*annualizationFactor</f>
        <v>957.35791887575772</v>
      </c>
      <c r="Z631" s="786">
        <f>$H$22*$M$9*'Traffic Data'!BB66*annualizationFactor</f>
        <v>974.07701851060619</v>
      </c>
      <c r="AA631" s="786">
        <f>$H$22*$M$9*'Traffic Data'!BC66*annualizationFactor</f>
        <v>990.80103292575734</v>
      </c>
      <c r="AB631" s="786">
        <f>$H$22*$M$9*'Traffic Data'!BD66*annualizationFactor</f>
        <v>1007.5201325606058</v>
      </c>
      <c r="AC631" s="786">
        <f>$H$22*$M$9*'Traffic Data'!BE66*annualizationFactor</f>
        <v>1024.2441469757573</v>
      </c>
      <c r="AD631" s="786">
        <f>$H$22*$M$9*'Traffic Data'!BF66*annualizationFactor</f>
        <v>1040.9681613909088</v>
      </c>
      <c r="AE631" s="786">
        <f>$H$22*$M$9*'Traffic Data'!BG66*annualizationFactor</f>
        <v>1057.6872610257574</v>
      </c>
      <c r="AF631" s="786">
        <f>$H$22*$M$9*'Traffic Data'!BH66*annualizationFactor</f>
        <v>1074.4112754409091</v>
      </c>
      <c r="AG631" s="786">
        <f>$H$22*$M$9*'Traffic Data'!BI66*annualizationFactor</f>
        <v>1091.1352898560604</v>
      </c>
      <c r="AH631" s="787">
        <f>$H$22*$M$9*'Traffic Data'!BJ66*annualizationFactor</f>
        <v>1107.8543894909089</v>
      </c>
    </row>
    <row r="632" spans="2:39" ht="21.9" customHeight="1" thickBot="1" x14ac:dyDescent="0.3">
      <c r="B632" s="761" t="s">
        <v>464</v>
      </c>
      <c r="C632" s="762"/>
      <c r="D632" s="762"/>
      <c r="E632" s="762"/>
      <c r="F632" s="762"/>
      <c r="G632" s="763">
        <f t="shared" ref="G632:AH632" si="71">SUM(G612:G631)</f>
        <v>0</v>
      </c>
      <c r="H632" s="763">
        <f t="shared" si="71"/>
        <v>0</v>
      </c>
      <c r="I632" s="763">
        <f t="shared" si="71"/>
        <v>280840.27286537125</v>
      </c>
      <c r="J632" s="763">
        <f t="shared" si="71"/>
        <v>303974.67701178696</v>
      </c>
      <c r="K632" s="763">
        <f t="shared" si="71"/>
        <v>334173.45724467025</v>
      </c>
      <c r="L632" s="763">
        <f t="shared" si="71"/>
        <v>384801.05631353956</v>
      </c>
      <c r="M632" s="763">
        <f t="shared" si="71"/>
        <v>435454.55330853577</v>
      </c>
      <c r="N632" s="763">
        <f t="shared" si="71"/>
        <v>486107.54484295176</v>
      </c>
      <c r="O632" s="763">
        <f t="shared" si="71"/>
        <v>536735.14391182095</v>
      </c>
      <c r="P632" s="763">
        <f t="shared" si="71"/>
        <v>587414.65718675184</v>
      </c>
      <c r="Q632" s="763">
        <f t="shared" si="71"/>
        <v>633990.90747609793</v>
      </c>
      <c r="R632" s="763">
        <f t="shared" si="71"/>
        <v>680579.98792032863</v>
      </c>
      <c r="S632" s="763">
        <f t="shared" si="71"/>
        <v>727156.5294163056</v>
      </c>
      <c r="T632" s="763">
        <f t="shared" si="71"/>
        <v>773732.77970565204</v>
      </c>
      <c r="U632" s="763">
        <f t="shared" si="71"/>
        <v>820361.27773181244</v>
      </c>
      <c r="V632" s="763">
        <f t="shared" si="71"/>
        <v>846752.28713947907</v>
      </c>
      <c r="W632" s="763">
        <f t="shared" si="71"/>
        <v>861975.10147828481</v>
      </c>
      <c r="X632" s="763">
        <f t="shared" si="71"/>
        <v>877197.91581709043</v>
      </c>
      <c r="Y632" s="763">
        <f t="shared" si="71"/>
        <v>892420.73015589651</v>
      </c>
      <c r="Z632" s="763">
        <f t="shared" si="71"/>
        <v>907657.31218570494</v>
      </c>
      <c r="AA632" s="763">
        <f t="shared" si="71"/>
        <v>922880.12652451079</v>
      </c>
      <c r="AB632" s="763">
        <f t="shared" si="71"/>
        <v>938115.82731455239</v>
      </c>
      <c r="AC632" s="763">
        <f t="shared" si="71"/>
        <v>953338.641653358</v>
      </c>
      <c r="AD632" s="763">
        <f t="shared" si="71"/>
        <v>968561.45599216362</v>
      </c>
      <c r="AE632" s="763">
        <f t="shared" si="71"/>
        <v>983798.03802197264</v>
      </c>
      <c r="AF632" s="763">
        <f t="shared" si="71"/>
        <v>999020.85236077814</v>
      </c>
      <c r="AG632" s="763">
        <f t="shared" si="71"/>
        <v>1014243.6666995839</v>
      </c>
      <c r="AH632" s="764">
        <f t="shared" si="71"/>
        <v>1029479.3674896254</v>
      </c>
    </row>
    <row r="633" spans="2:39" ht="21.9" customHeight="1" x14ac:dyDescent="0.25">
      <c r="F633"/>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row>
    <row r="634" spans="2:39" ht="21.9" customHeight="1" x14ac:dyDescent="0.25">
      <c r="F63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row>
    <row r="635" spans="2:39" ht="21.9" customHeight="1" thickBot="1" x14ac:dyDescent="0.3">
      <c r="B635" s="769" t="s">
        <v>466</v>
      </c>
      <c r="F635"/>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row>
    <row r="636" spans="2:39" ht="21.9" customHeight="1" x14ac:dyDescent="0.25">
      <c r="B636" s="548" t="s">
        <v>312</v>
      </c>
      <c r="C636" s="1331" t="s">
        <v>18</v>
      </c>
      <c r="D636" s="1331"/>
      <c r="E636" s="197" t="s">
        <v>24</v>
      </c>
      <c r="F636" s="197" t="s">
        <v>42</v>
      </c>
      <c r="G636" s="459">
        <v>2021</v>
      </c>
      <c r="H636" s="459">
        <v>2022</v>
      </c>
      <c r="I636" s="459">
        <v>2023</v>
      </c>
      <c r="J636" s="459">
        <v>2024</v>
      </c>
      <c r="K636" s="459">
        <v>2025</v>
      </c>
      <c r="L636" s="459">
        <v>2026</v>
      </c>
      <c r="M636" s="459">
        <v>2027</v>
      </c>
      <c r="N636" s="459">
        <v>2028</v>
      </c>
      <c r="O636" s="459">
        <v>2029</v>
      </c>
      <c r="P636" s="459">
        <v>2030</v>
      </c>
      <c r="Q636" s="459">
        <v>2031</v>
      </c>
      <c r="R636" s="459">
        <v>2032</v>
      </c>
      <c r="S636" s="459">
        <v>2033</v>
      </c>
      <c r="T636" s="459">
        <v>2034</v>
      </c>
      <c r="U636" s="459">
        <v>2035</v>
      </c>
      <c r="V636" s="459">
        <v>2036</v>
      </c>
      <c r="W636" s="459">
        <v>2037</v>
      </c>
      <c r="X636" s="459">
        <v>2038</v>
      </c>
      <c r="Y636" s="459">
        <v>2039</v>
      </c>
      <c r="Z636" s="459">
        <v>2040</v>
      </c>
      <c r="AA636" s="459">
        <v>2041</v>
      </c>
      <c r="AB636" s="459">
        <v>2042</v>
      </c>
      <c r="AC636" s="459">
        <v>2043</v>
      </c>
      <c r="AD636" s="459">
        <v>2044</v>
      </c>
      <c r="AE636" s="459">
        <v>2045</v>
      </c>
      <c r="AF636" s="459">
        <v>2046</v>
      </c>
      <c r="AG636" s="459">
        <v>2047</v>
      </c>
      <c r="AH636" s="459">
        <v>2048</v>
      </c>
      <c r="AI636" s="247"/>
      <c r="AJ636" s="247"/>
      <c r="AK636" s="247"/>
      <c r="AL636" s="247"/>
      <c r="AM636" s="247"/>
    </row>
    <row r="637" spans="2:39" ht="21.9" customHeight="1" x14ac:dyDescent="0.25">
      <c r="B637" s="1332" t="s">
        <v>43</v>
      </c>
      <c r="C637" s="217"/>
      <c r="D637" s="217"/>
      <c r="E637" s="217" t="s">
        <v>19</v>
      </c>
      <c r="F637" s="217"/>
      <c r="G637" s="749">
        <f t="shared" ref="G637:AH637" si="72">G479</f>
        <v>0</v>
      </c>
      <c r="H637" s="749">
        <f t="shared" si="72"/>
        <v>0</v>
      </c>
      <c r="I637" s="749">
        <f t="shared" si="72"/>
        <v>34.896942745583331</v>
      </c>
      <c r="J637" s="749">
        <f t="shared" si="72"/>
        <v>37.712687060529909</v>
      </c>
      <c r="K637" s="749">
        <f t="shared" si="72"/>
        <v>41.407616502419913</v>
      </c>
      <c r="L637" s="749">
        <f t="shared" si="72"/>
        <v>47.596999156019052</v>
      </c>
      <c r="M637" s="749">
        <f t="shared" si="72"/>
        <v>53.789532323534068</v>
      </c>
      <c r="N637" s="749">
        <f t="shared" si="72"/>
        <v>59.981992077240953</v>
      </c>
      <c r="O637" s="749">
        <f t="shared" si="72"/>
        <v>66.1713747308401</v>
      </c>
      <c r="P637" s="749">
        <f t="shared" si="72"/>
        <v>72.367072292574321</v>
      </c>
      <c r="Q637" s="749">
        <f t="shared" si="72"/>
        <v>78.08355107036752</v>
      </c>
      <c r="R637" s="749">
        <f t="shared" si="72"/>
        <v>83.801619349934768</v>
      </c>
      <c r="S637" s="749">
        <f t="shared" si="72"/>
        <v>89.518132279872759</v>
      </c>
      <c r="T637" s="749">
        <f t="shared" si="72"/>
        <v>95.234611057666001</v>
      </c>
      <c r="U637" s="749">
        <f t="shared" si="72"/>
        <v>100.95744385942946</v>
      </c>
      <c r="V637" s="749">
        <f t="shared" si="72"/>
        <v>104.20792251645668</v>
      </c>
      <c r="W637" s="749">
        <f t="shared" si="72"/>
        <v>106.09581103338573</v>
      </c>
      <c r="X637" s="749">
        <f t="shared" si="72"/>
        <v>107.98369955031482</v>
      </c>
      <c r="Y637" s="749">
        <f t="shared" si="72"/>
        <v>109.87158806724392</v>
      </c>
      <c r="Z637" s="749">
        <f t="shared" si="72"/>
        <v>111.76114795029437</v>
      </c>
      <c r="AA637" s="749">
        <f t="shared" si="72"/>
        <v>113.64903646722343</v>
      </c>
      <c r="AB637" s="749">
        <f t="shared" si="72"/>
        <v>115.53849300019547</v>
      </c>
      <c r="AC637" s="749">
        <f t="shared" si="72"/>
        <v>117.42638151712451</v>
      </c>
      <c r="AD637" s="749">
        <f t="shared" si="72"/>
        <v>119.31427003405362</v>
      </c>
      <c r="AE637" s="749">
        <f t="shared" si="72"/>
        <v>121.20382991710412</v>
      </c>
      <c r="AF637" s="749">
        <f t="shared" si="72"/>
        <v>123.09171843403318</v>
      </c>
      <c r="AG637" s="749">
        <f t="shared" si="72"/>
        <v>124.97960695096225</v>
      </c>
      <c r="AH637" s="750">
        <f t="shared" si="72"/>
        <v>126.86906348393424</v>
      </c>
    </row>
    <row r="638" spans="2:39" ht="21.9" customHeight="1" x14ac:dyDescent="0.25">
      <c r="B638" s="1332"/>
      <c r="C638" s="114"/>
      <c r="D638" s="114"/>
      <c r="E638" s="114" t="s">
        <v>434</v>
      </c>
      <c r="F638" s="114"/>
      <c r="G638" s="751">
        <f t="shared" ref="G638:AH638" si="73">G501</f>
        <v>0</v>
      </c>
      <c r="H638" s="751">
        <f t="shared" si="73"/>
        <v>0</v>
      </c>
      <c r="I638" s="751">
        <f t="shared" si="73"/>
        <v>6.0674392247272744</v>
      </c>
      <c r="J638" s="751">
        <f t="shared" si="73"/>
        <v>6.5672485637744016</v>
      </c>
      <c r="K638" s="751">
        <f t="shared" si="73"/>
        <v>7.2196808586673464</v>
      </c>
      <c r="L638" s="751">
        <f t="shared" si="73"/>
        <v>8.3134694286260373</v>
      </c>
      <c r="M638" s="751">
        <f t="shared" si="73"/>
        <v>9.407817512685817</v>
      </c>
      <c r="N638" s="751">
        <f t="shared" si="73"/>
        <v>10.502154676476506</v>
      </c>
      <c r="O638" s="751">
        <f t="shared" si="73"/>
        <v>11.595943246435205</v>
      </c>
      <c r="P638" s="751">
        <f t="shared" si="73"/>
        <v>12.690853401581675</v>
      </c>
      <c r="Q638" s="751">
        <f t="shared" si="73"/>
        <v>13.697114238259344</v>
      </c>
      <c r="R638" s="751">
        <f t="shared" si="73"/>
        <v>14.703652265185456</v>
      </c>
      <c r="S638" s="751">
        <f t="shared" si="73"/>
        <v>15.709919393263272</v>
      </c>
      <c r="T638" s="751">
        <f t="shared" si="73"/>
        <v>16.716180229940942</v>
      </c>
      <c r="U638" s="751">
        <f t="shared" si="73"/>
        <v>17.723569857601888</v>
      </c>
      <c r="V638" s="751">
        <f t="shared" si="73"/>
        <v>18.293736821287276</v>
      </c>
      <c r="W638" s="751">
        <f t="shared" si="73"/>
        <v>18.622619498574402</v>
      </c>
      <c r="X638" s="751">
        <f t="shared" si="73"/>
        <v>18.951502175861528</v>
      </c>
      <c r="Y638" s="751">
        <f t="shared" si="73"/>
        <v>19.280384853148657</v>
      </c>
      <c r="Z638" s="751">
        <f t="shared" si="73"/>
        <v>19.609564975768585</v>
      </c>
      <c r="AA638" s="751">
        <f t="shared" si="73"/>
        <v>19.938447653055711</v>
      </c>
      <c r="AB638" s="751">
        <f t="shared" si="73"/>
        <v>20.26760873685091</v>
      </c>
      <c r="AC638" s="751">
        <f t="shared" si="73"/>
        <v>20.59649141413804</v>
      </c>
      <c r="AD638" s="751">
        <f t="shared" si="73"/>
        <v>20.925374091425162</v>
      </c>
      <c r="AE638" s="751">
        <f t="shared" si="73"/>
        <v>21.254554214045093</v>
      </c>
      <c r="AF638" s="751">
        <f t="shared" si="73"/>
        <v>21.583436891332227</v>
      </c>
      <c r="AG638" s="751">
        <f t="shared" si="73"/>
        <v>21.912319568619349</v>
      </c>
      <c r="AH638" s="752">
        <f t="shared" si="73"/>
        <v>22.241480652414541</v>
      </c>
    </row>
    <row r="639" spans="2:39" ht="21.9" customHeight="1" x14ac:dyDescent="0.25">
      <c r="B639" s="1332"/>
      <c r="C639" s="114"/>
      <c r="D639" s="114"/>
      <c r="E639" s="746" t="s">
        <v>25</v>
      </c>
      <c r="F639" s="237"/>
      <c r="G639" s="766">
        <f>G637+G638</f>
        <v>0</v>
      </c>
      <c r="H639" s="766">
        <f>H637+H638</f>
        <v>0</v>
      </c>
      <c r="I639" s="766">
        <f t="shared" ref="I639:AH639" si="74">I637+I638</f>
        <v>40.964381970310605</v>
      </c>
      <c r="J639" s="766">
        <f t="shared" si="74"/>
        <v>44.279935624304308</v>
      </c>
      <c r="K639" s="766">
        <f t="shared" si="74"/>
        <v>48.627297361087258</v>
      </c>
      <c r="L639" s="766">
        <f t="shared" si="74"/>
        <v>55.910468584645088</v>
      </c>
      <c r="M639" s="766">
        <f t="shared" si="74"/>
        <v>63.197349836219885</v>
      </c>
      <c r="N639" s="766">
        <f t="shared" si="74"/>
        <v>70.484146753717454</v>
      </c>
      <c r="O639" s="766">
        <f t="shared" si="74"/>
        <v>77.767317977275297</v>
      </c>
      <c r="P639" s="766">
        <f t="shared" si="74"/>
        <v>85.057925694155998</v>
      </c>
      <c r="Q639" s="766">
        <f t="shared" si="74"/>
        <v>91.780665308626865</v>
      </c>
      <c r="R639" s="766">
        <f t="shared" si="74"/>
        <v>98.505271615120222</v>
      </c>
      <c r="S639" s="766">
        <f t="shared" si="74"/>
        <v>105.22805167313604</v>
      </c>
      <c r="T639" s="766">
        <f t="shared" si="74"/>
        <v>111.95079128760695</v>
      </c>
      <c r="U639" s="766">
        <f t="shared" si="74"/>
        <v>118.68101371703135</v>
      </c>
      <c r="V639" s="766">
        <f t="shared" si="74"/>
        <v>122.50165933774394</v>
      </c>
      <c r="W639" s="766">
        <f t="shared" si="74"/>
        <v>124.71843053196014</v>
      </c>
      <c r="X639" s="766">
        <f t="shared" si="74"/>
        <v>126.93520172617636</v>
      </c>
      <c r="Y639" s="766">
        <f t="shared" si="74"/>
        <v>129.15197292039258</v>
      </c>
      <c r="Z639" s="766">
        <f t="shared" si="74"/>
        <v>131.37071292606296</v>
      </c>
      <c r="AA639" s="766">
        <f t="shared" si="74"/>
        <v>133.58748412027913</v>
      </c>
      <c r="AB639" s="766">
        <f t="shared" si="74"/>
        <v>135.80610173704639</v>
      </c>
      <c r="AC639" s="766">
        <f t="shared" si="74"/>
        <v>138.02287293126255</v>
      </c>
      <c r="AD639" s="766">
        <f t="shared" si="74"/>
        <v>140.23964412547878</v>
      </c>
      <c r="AE639" s="766">
        <f t="shared" si="74"/>
        <v>142.45838413114922</v>
      </c>
      <c r="AF639" s="766">
        <f t="shared" si="74"/>
        <v>144.67515532536541</v>
      </c>
      <c r="AG639" s="766">
        <f t="shared" si="74"/>
        <v>146.8919265195816</v>
      </c>
      <c r="AH639" s="767">
        <f t="shared" si="74"/>
        <v>149.11054413634878</v>
      </c>
    </row>
    <row r="640" spans="2:39" ht="21.9" customHeight="1" x14ac:dyDescent="0.25">
      <c r="B640" s="1332" t="s">
        <v>405</v>
      </c>
      <c r="C640" s="217"/>
      <c r="D640" s="217"/>
      <c r="E640" s="217" t="s">
        <v>19</v>
      </c>
      <c r="F640" s="217"/>
      <c r="G640" s="751">
        <f t="shared" ref="G640:AH640" si="75">G523</f>
        <v>0</v>
      </c>
      <c r="H640" s="751">
        <f t="shared" si="75"/>
        <v>0</v>
      </c>
      <c r="I640" s="751">
        <f t="shared" si="75"/>
        <v>7.4715727193206448E-3</v>
      </c>
      <c r="J640" s="751">
        <f t="shared" si="75"/>
        <v>8.0744346537174518E-3</v>
      </c>
      <c r="K640" s="751">
        <f t="shared" si="75"/>
        <v>8.8655335823287287E-3</v>
      </c>
      <c r="L640" s="751">
        <f t="shared" si="75"/>
        <v>1.0190704756239673E-2</v>
      </c>
      <c r="M640" s="751">
        <f t="shared" si="75"/>
        <v>1.1516550467573492E-2</v>
      </c>
      <c r="N640" s="751">
        <f t="shared" si="75"/>
        <v>1.2842380460722197E-2</v>
      </c>
      <c r="O640" s="751">
        <f t="shared" si="75"/>
        <v>1.4167551634633142E-2</v>
      </c>
      <c r="P640" s="751">
        <f t="shared" si="75"/>
        <v>1.549407485521738E-2</v>
      </c>
      <c r="Q640" s="751">
        <f t="shared" si="75"/>
        <v>1.6717995449010387E-2</v>
      </c>
      <c r="R640" s="751">
        <f t="shared" si="75"/>
        <v>1.7942256361386005E-2</v>
      </c>
      <c r="S640" s="751">
        <f t="shared" si="75"/>
        <v>1.9166184267287563E-2</v>
      </c>
      <c r="T640" s="751">
        <f t="shared" si="75"/>
        <v>2.0390104861080574E-2</v>
      </c>
      <c r="U640" s="751">
        <f t="shared" si="75"/>
        <v>2.1615385876401074E-2</v>
      </c>
      <c r="V640" s="751">
        <f t="shared" si="75"/>
        <v>2.2311326143594018E-2</v>
      </c>
      <c r="W640" s="751">
        <f t="shared" si="75"/>
        <v>2.271553050163885E-2</v>
      </c>
      <c r="X640" s="751">
        <f t="shared" si="75"/>
        <v>2.3119734859683699E-2</v>
      </c>
      <c r="Y640" s="751">
        <f t="shared" si="75"/>
        <v>2.3523939217728537E-2</v>
      </c>
      <c r="Z640" s="751">
        <f t="shared" si="75"/>
        <v>2.3928501421834787E-2</v>
      </c>
      <c r="AA640" s="751">
        <f t="shared" si="75"/>
        <v>2.4332705779879626E-2</v>
      </c>
      <c r="AB640" s="751">
        <f t="shared" si="75"/>
        <v>2.4737245856327503E-2</v>
      </c>
      <c r="AC640" s="751">
        <f t="shared" si="75"/>
        <v>2.5141450214372349E-2</v>
      </c>
      <c r="AD640" s="751">
        <f t="shared" si="75"/>
        <v>2.5545654572417188E-2</v>
      </c>
      <c r="AE640" s="751">
        <f t="shared" si="75"/>
        <v>2.5950216776523431E-2</v>
      </c>
      <c r="AF640" s="751">
        <f t="shared" si="75"/>
        <v>2.6354421134568269E-2</v>
      </c>
      <c r="AG640" s="751">
        <f t="shared" si="75"/>
        <v>2.6758625492613115E-2</v>
      </c>
      <c r="AH640" s="752">
        <f t="shared" si="75"/>
        <v>2.7163165569060992E-2</v>
      </c>
    </row>
    <row r="641" spans="2:39" ht="21.9" customHeight="1" x14ac:dyDescent="0.25">
      <c r="B641" s="1332"/>
      <c r="C641" s="114"/>
      <c r="D641" s="114"/>
      <c r="E641" s="114" t="s">
        <v>434</v>
      </c>
      <c r="F641" s="114"/>
      <c r="G641" s="751">
        <f t="shared" ref="G641:AH641" si="76">G545</f>
        <v>0</v>
      </c>
      <c r="H641" s="751">
        <f t="shared" si="76"/>
        <v>0</v>
      </c>
      <c r="I641" s="751">
        <f t="shared" si="76"/>
        <v>6.9891297283961568E-2</v>
      </c>
      <c r="J641" s="751">
        <f t="shared" si="76"/>
        <v>7.5648639353129668E-2</v>
      </c>
      <c r="K641" s="751">
        <f t="shared" si="76"/>
        <v>8.3164056943829959E-2</v>
      </c>
      <c r="L641" s="751">
        <f t="shared" si="76"/>
        <v>9.5763491281339638E-2</v>
      </c>
      <c r="M641" s="751">
        <f t="shared" si="76"/>
        <v>0.10836937070464674</v>
      </c>
      <c r="N641" s="751">
        <f t="shared" si="76"/>
        <v>0.12097512433653757</v>
      </c>
      <c r="O641" s="751">
        <f t="shared" si="76"/>
        <v>0.13357455867404724</v>
      </c>
      <c r="P641" s="751">
        <f t="shared" si="76"/>
        <v>0.1461869126372648</v>
      </c>
      <c r="Q641" s="751">
        <f t="shared" si="76"/>
        <v>0.15777810830920971</v>
      </c>
      <c r="R641" s="751">
        <f t="shared" si="76"/>
        <v>0.16937249695686304</v>
      </c>
      <c r="S641" s="751">
        <f t="shared" si="76"/>
        <v>0.18096376509992815</v>
      </c>
      <c r="T641" s="751">
        <f t="shared" si="76"/>
        <v>0.19255496077187298</v>
      </c>
      <c r="U641" s="751">
        <f t="shared" si="76"/>
        <v>0.20415915907363602</v>
      </c>
      <c r="V641" s="751">
        <f t="shared" si="76"/>
        <v>0.21072695601143229</v>
      </c>
      <c r="W641" s="751">
        <f t="shared" si="76"/>
        <v>0.21451538076831195</v>
      </c>
      <c r="X641" s="751">
        <f t="shared" si="76"/>
        <v>0.21830380552519169</v>
      </c>
      <c r="Y641" s="751">
        <f t="shared" si="76"/>
        <v>0.22209223028207145</v>
      </c>
      <c r="Z641" s="751">
        <f t="shared" si="76"/>
        <v>0.22588408133452831</v>
      </c>
      <c r="AA641" s="751">
        <f t="shared" si="76"/>
        <v>0.22967250609140796</v>
      </c>
      <c r="AB641" s="751">
        <f t="shared" si="76"/>
        <v>0.23346413783418415</v>
      </c>
      <c r="AC641" s="751">
        <f t="shared" si="76"/>
        <v>0.23725256259106389</v>
      </c>
      <c r="AD641" s="751">
        <f t="shared" si="76"/>
        <v>0.24104098734794357</v>
      </c>
      <c r="AE641" s="751">
        <f t="shared" si="76"/>
        <v>0.24483283840040052</v>
      </c>
      <c r="AF641" s="751">
        <f t="shared" si="76"/>
        <v>0.24862126315728017</v>
      </c>
      <c r="AG641" s="751">
        <f t="shared" si="76"/>
        <v>0.25240968791415991</v>
      </c>
      <c r="AH641" s="752">
        <f t="shared" si="76"/>
        <v>0.2562013196569361</v>
      </c>
    </row>
    <row r="642" spans="2:39" ht="21.9" customHeight="1" x14ac:dyDescent="0.25">
      <c r="B642" s="1332"/>
      <c r="C642" s="114"/>
      <c r="D642" s="114"/>
      <c r="E642" s="746" t="s">
        <v>25</v>
      </c>
      <c r="F642" s="237"/>
      <c r="G642" s="759">
        <f>G640+G641</f>
        <v>0</v>
      </c>
      <c r="H642" s="759">
        <f>H640+H641</f>
        <v>0</v>
      </c>
      <c r="I642" s="759">
        <f t="shared" ref="I642:AH642" si="77">I640+I641</f>
        <v>7.7362870003282208E-2</v>
      </c>
      <c r="J642" s="759">
        <f t="shared" si="77"/>
        <v>8.3723074006847115E-2</v>
      </c>
      <c r="K642" s="759">
        <f t="shared" si="77"/>
        <v>9.2029590526158694E-2</v>
      </c>
      <c r="L642" s="759">
        <f t="shared" si="77"/>
        <v>0.10595419603757932</v>
      </c>
      <c r="M642" s="759">
        <f t="shared" si="77"/>
        <v>0.11988592117222023</v>
      </c>
      <c r="N642" s="759">
        <f t="shared" si="77"/>
        <v>0.13381750479725976</v>
      </c>
      <c r="O642" s="759">
        <f t="shared" si="77"/>
        <v>0.1477421103086804</v>
      </c>
      <c r="P642" s="759">
        <f t="shared" si="77"/>
        <v>0.16168098749248216</v>
      </c>
      <c r="Q642" s="759">
        <f t="shared" si="77"/>
        <v>0.17449610375822011</v>
      </c>
      <c r="R642" s="759">
        <f t="shared" si="77"/>
        <v>0.18731475331824904</v>
      </c>
      <c r="S642" s="759">
        <f t="shared" si="77"/>
        <v>0.2001299493672157</v>
      </c>
      <c r="T642" s="759">
        <f t="shared" si="77"/>
        <v>0.21294506563295357</v>
      </c>
      <c r="U642" s="759">
        <f t="shared" si="77"/>
        <v>0.2257745449500371</v>
      </c>
      <c r="V642" s="759">
        <f t="shared" si="77"/>
        <v>0.23303828215502631</v>
      </c>
      <c r="W642" s="759">
        <f t="shared" si="77"/>
        <v>0.2372309112699508</v>
      </c>
      <c r="X642" s="759">
        <f t="shared" si="77"/>
        <v>0.24142354038487537</v>
      </c>
      <c r="Y642" s="759">
        <f t="shared" si="77"/>
        <v>0.24561616949979997</v>
      </c>
      <c r="Z642" s="759">
        <f t="shared" si="77"/>
        <v>0.24981258275636309</v>
      </c>
      <c r="AA642" s="759">
        <f t="shared" si="77"/>
        <v>0.25400521187128761</v>
      </c>
      <c r="AB642" s="759">
        <f t="shared" si="77"/>
        <v>0.25820138369051165</v>
      </c>
      <c r="AC642" s="759">
        <f t="shared" si="77"/>
        <v>0.26239401280543623</v>
      </c>
      <c r="AD642" s="759">
        <f t="shared" si="77"/>
        <v>0.26658664192036075</v>
      </c>
      <c r="AE642" s="759">
        <f t="shared" si="77"/>
        <v>0.27078305517692397</v>
      </c>
      <c r="AF642" s="759">
        <f t="shared" si="77"/>
        <v>0.27497568429184843</v>
      </c>
      <c r="AG642" s="759">
        <f t="shared" si="77"/>
        <v>0.27916831340677301</v>
      </c>
      <c r="AH642" s="760">
        <f t="shared" si="77"/>
        <v>0.28336448522599711</v>
      </c>
    </row>
    <row r="643" spans="2:39" ht="21.9" customHeight="1" x14ac:dyDescent="0.25">
      <c r="B643" s="1332" t="s">
        <v>41</v>
      </c>
      <c r="C643" s="217"/>
      <c r="D643" s="217"/>
      <c r="E643" s="217" t="s">
        <v>19</v>
      </c>
      <c r="F643" s="217"/>
      <c r="G643" s="749">
        <f t="shared" ref="G643:AH643" si="78">G567</f>
        <v>0</v>
      </c>
      <c r="H643" s="749">
        <f t="shared" si="78"/>
        <v>0</v>
      </c>
      <c r="I643" s="749">
        <f t="shared" si="78"/>
        <v>0.9960988694469699</v>
      </c>
      <c r="J643" s="749">
        <f t="shared" si="78"/>
        <v>1.076471518398431</v>
      </c>
      <c r="K643" s="749">
        <f t="shared" si="78"/>
        <v>1.181939641110092</v>
      </c>
      <c r="L643" s="749">
        <f t="shared" si="78"/>
        <v>1.358609474590134</v>
      </c>
      <c r="M643" s="749">
        <f t="shared" si="78"/>
        <v>1.535369236387756</v>
      </c>
      <c r="N643" s="749">
        <f t="shared" si="78"/>
        <v>1.7121269026605122</v>
      </c>
      <c r="O643" s="749">
        <f t="shared" si="78"/>
        <v>1.8887967361405547</v>
      </c>
      <c r="P643" s="749">
        <f t="shared" si="78"/>
        <v>2.0656468224553479</v>
      </c>
      <c r="Q643" s="749">
        <f t="shared" si="78"/>
        <v>2.2288180804446478</v>
      </c>
      <c r="R643" s="749">
        <f t="shared" si="78"/>
        <v>2.3920347091969867</v>
      </c>
      <c r="S643" s="749">
        <f t="shared" si="78"/>
        <v>2.5552069420256318</v>
      </c>
      <c r="T643" s="749">
        <f t="shared" si="78"/>
        <v>2.7183782000149326</v>
      </c>
      <c r="U643" s="749">
        <f t="shared" si="78"/>
        <v>2.8817308273619839</v>
      </c>
      <c r="V643" s="749">
        <f t="shared" si="78"/>
        <v>2.9745125400475758</v>
      </c>
      <c r="W643" s="749">
        <f t="shared" si="78"/>
        <v>3.0284004588565376</v>
      </c>
      <c r="X643" s="749">
        <f t="shared" si="78"/>
        <v>3.0822883776654995</v>
      </c>
      <c r="Y643" s="749">
        <f t="shared" si="78"/>
        <v>3.1361762964744604</v>
      </c>
      <c r="Z643" s="749">
        <f t="shared" si="78"/>
        <v>3.1901119227836485</v>
      </c>
      <c r="AA643" s="749">
        <f t="shared" si="78"/>
        <v>3.2439998415926103</v>
      </c>
      <c r="AB643" s="749">
        <f t="shared" si="78"/>
        <v>3.2979325178755721</v>
      </c>
      <c r="AC643" s="749">
        <f t="shared" si="78"/>
        <v>3.3518204366845334</v>
      </c>
      <c r="AD643" s="749">
        <f t="shared" si="78"/>
        <v>3.4057083554934957</v>
      </c>
      <c r="AE643" s="749">
        <f t="shared" si="78"/>
        <v>3.4596439818026834</v>
      </c>
      <c r="AF643" s="749">
        <f t="shared" si="78"/>
        <v>3.5135319006116448</v>
      </c>
      <c r="AG643" s="749">
        <f t="shared" si="78"/>
        <v>3.5674198194206066</v>
      </c>
      <c r="AH643" s="750">
        <f t="shared" si="78"/>
        <v>3.6213524957035688</v>
      </c>
    </row>
    <row r="644" spans="2:39" ht="21.9" customHeight="1" x14ac:dyDescent="0.25">
      <c r="B644" s="1332"/>
      <c r="C644" s="114"/>
      <c r="D644" s="114"/>
      <c r="E644" s="114" t="s">
        <v>434</v>
      </c>
      <c r="F644" s="114"/>
      <c r="G644" s="751">
        <f t="shared" ref="G644:AH644" si="79">G588</f>
        <v>0</v>
      </c>
      <c r="H644" s="751">
        <f t="shared" si="79"/>
        <v>0</v>
      </c>
      <c r="I644" s="751">
        <f t="shared" si="79"/>
        <v>0.31075645962121218</v>
      </c>
      <c r="J644" s="751">
        <f t="shared" si="79"/>
        <v>0.33646501042991667</v>
      </c>
      <c r="K644" s="751">
        <f t="shared" si="79"/>
        <v>0.37001816672225757</v>
      </c>
      <c r="L644" s="751">
        <f t="shared" si="79"/>
        <v>0.42641794340760619</v>
      </c>
      <c r="M644" s="751">
        <f t="shared" si="79"/>
        <v>0.48284668625238636</v>
      </c>
      <c r="N644" s="751">
        <f t="shared" si="79"/>
        <v>0.53927363393315164</v>
      </c>
      <c r="O644" s="751">
        <f t="shared" si="79"/>
        <v>0.5956734106185001</v>
      </c>
      <c r="P644" s="751">
        <f t="shared" si="79"/>
        <v>0.65213098999904551</v>
      </c>
      <c r="Q644" s="751">
        <f t="shared" si="79"/>
        <v>0.70402158297600759</v>
      </c>
      <c r="R644" s="751">
        <f t="shared" si="79"/>
        <v>0.75592705094507584</v>
      </c>
      <c r="S644" s="751">
        <f t="shared" si="79"/>
        <v>0.80781794239912907</v>
      </c>
      <c r="T644" s="751">
        <f t="shared" si="79"/>
        <v>0.85970853537609093</v>
      </c>
      <c r="U644" s="751">
        <f t="shared" si="79"/>
        <v>0.91165607995009879</v>
      </c>
      <c r="V644" s="751">
        <f t="shared" si="79"/>
        <v>0.9409745447753789</v>
      </c>
      <c r="W644" s="751">
        <f t="shared" si="79"/>
        <v>0.95778066528408323</v>
      </c>
      <c r="X644" s="751">
        <f t="shared" si="79"/>
        <v>0.97458678579278801</v>
      </c>
      <c r="Y644" s="751">
        <f t="shared" si="79"/>
        <v>0.99139290630149268</v>
      </c>
      <c r="Z644" s="751">
        <f t="shared" si="79"/>
        <v>1.0082141683546137</v>
      </c>
      <c r="AA644" s="751">
        <f t="shared" si="79"/>
        <v>1.0250202888633184</v>
      </c>
      <c r="AB644" s="751">
        <f t="shared" si="79"/>
        <v>1.0418401213109849</v>
      </c>
      <c r="AC644" s="751">
        <f t="shared" si="79"/>
        <v>1.0586462418196891</v>
      </c>
      <c r="AD644" s="751">
        <f t="shared" si="79"/>
        <v>1.075452362328394</v>
      </c>
      <c r="AE644" s="751">
        <f t="shared" si="79"/>
        <v>1.092273624381515</v>
      </c>
      <c r="AF644" s="751">
        <f t="shared" si="79"/>
        <v>1.1090797448902194</v>
      </c>
      <c r="AG644" s="751">
        <f t="shared" si="79"/>
        <v>1.1258858653989239</v>
      </c>
      <c r="AH644" s="752">
        <f t="shared" si="79"/>
        <v>1.1427056978465908</v>
      </c>
    </row>
    <row r="645" spans="2:39" ht="21.9" customHeight="1" x14ac:dyDescent="0.25">
      <c r="B645" s="1332"/>
      <c r="C645" s="114"/>
      <c r="D645" s="114"/>
      <c r="E645" s="746" t="s">
        <v>25</v>
      </c>
      <c r="F645" s="237"/>
      <c r="G645" s="766">
        <f>G643+G644</f>
        <v>0</v>
      </c>
      <c r="H645" s="766">
        <f>H643+H644</f>
        <v>0</v>
      </c>
      <c r="I645" s="766">
        <f t="shared" ref="I645:AH645" si="80">I643+I644</f>
        <v>1.3068553290681821</v>
      </c>
      <c r="J645" s="766">
        <f t="shared" si="80"/>
        <v>1.4129365288283477</v>
      </c>
      <c r="K645" s="766">
        <f t="shared" si="80"/>
        <v>1.5519578078323495</v>
      </c>
      <c r="L645" s="766">
        <f t="shared" si="80"/>
        <v>1.7850274179977403</v>
      </c>
      <c r="M645" s="766">
        <f t="shared" si="80"/>
        <v>2.0182159226401426</v>
      </c>
      <c r="N645" s="766">
        <f t="shared" si="80"/>
        <v>2.251400536593664</v>
      </c>
      <c r="O645" s="766">
        <f t="shared" si="80"/>
        <v>2.4844701467590546</v>
      </c>
      <c r="P645" s="766">
        <f t="shared" si="80"/>
        <v>2.7177778124543934</v>
      </c>
      <c r="Q645" s="766">
        <f t="shared" si="80"/>
        <v>2.9328396634206553</v>
      </c>
      <c r="R645" s="766">
        <f t="shared" si="80"/>
        <v>3.1479617601420626</v>
      </c>
      <c r="S645" s="766">
        <f t="shared" si="80"/>
        <v>3.3630248844247608</v>
      </c>
      <c r="T645" s="766">
        <f t="shared" si="80"/>
        <v>3.5780867353910235</v>
      </c>
      <c r="U645" s="766">
        <f t="shared" si="80"/>
        <v>3.7933869073120827</v>
      </c>
      <c r="V645" s="766">
        <f t="shared" si="80"/>
        <v>3.9154870848229546</v>
      </c>
      <c r="W645" s="766">
        <f t="shared" si="80"/>
        <v>3.9861811241406206</v>
      </c>
      <c r="X645" s="766">
        <f t="shared" si="80"/>
        <v>4.0568751634582876</v>
      </c>
      <c r="Y645" s="766">
        <f t="shared" si="80"/>
        <v>4.1275692027759527</v>
      </c>
      <c r="Z645" s="766">
        <f t="shared" si="80"/>
        <v>4.1983260911382621</v>
      </c>
      <c r="AA645" s="766">
        <f t="shared" si="80"/>
        <v>4.269020130455929</v>
      </c>
      <c r="AB645" s="766">
        <f t="shared" si="80"/>
        <v>4.339772639186557</v>
      </c>
      <c r="AC645" s="766">
        <f t="shared" si="80"/>
        <v>4.410466678504223</v>
      </c>
      <c r="AD645" s="766">
        <f t="shared" si="80"/>
        <v>4.48116071782189</v>
      </c>
      <c r="AE645" s="766">
        <f t="shared" si="80"/>
        <v>4.5519176061841984</v>
      </c>
      <c r="AF645" s="766">
        <f t="shared" si="80"/>
        <v>4.6226116455018644</v>
      </c>
      <c r="AG645" s="766">
        <f t="shared" si="80"/>
        <v>4.6933056848195305</v>
      </c>
      <c r="AH645" s="767">
        <f t="shared" si="80"/>
        <v>4.7640581935501594</v>
      </c>
    </row>
    <row r="646" spans="2:39" ht="21.9" customHeight="1" x14ac:dyDescent="0.25">
      <c r="B646" s="1332" t="s">
        <v>40</v>
      </c>
      <c r="C646" s="217"/>
      <c r="D646" s="217"/>
      <c r="E646" s="217" t="s">
        <v>19</v>
      </c>
      <c r="F646" s="217"/>
      <c r="G646" s="751">
        <f t="shared" ref="G646:AH646" si="81">G610</f>
        <v>0</v>
      </c>
      <c r="H646" s="751">
        <f t="shared" si="81"/>
        <v>0</v>
      </c>
      <c r="I646" s="751">
        <f t="shared" si="81"/>
        <v>85212.491520757583</v>
      </c>
      <c r="J646" s="751">
        <f t="shared" si="81"/>
        <v>92088.067708369956</v>
      </c>
      <c r="K646" s="751">
        <f t="shared" si="81"/>
        <v>101110.46677731702</v>
      </c>
      <c r="L646" s="751">
        <f t="shared" si="81"/>
        <v>116223.90295233244</v>
      </c>
      <c r="M646" s="751">
        <f t="shared" si="81"/>
        <v>131345.03215485171</v>
      </c>
      <c r="N646" s="751">
        <f t="shared" si="81"/>
        <v>146465.98209314301</v>
      </c>
      <c r="O646" s="751">
        <f t="shared" si="81"/>
        <v>161579.41826815836</v>
      </c>
      <c r="P646" s="751">
        <f t="shared" si="81"/>
        <v>176708.27439155834</v>
      </c>
      <c r="Q646" s="751">
        <f t="shared" si="81"/>
        <v>190666.95847837414</v>
      </c>
      <c r="R646" s="751">
        <f t="shared" si="81"/>
        <v>204629.52386239771</v>
      </c>
      <c r="S646" s="751">
        <f t="shared" si="81"/>
        <v>218588.29134303317</v>
      </c>
      <c r="T646" s="751">
        <f t="shared" si="81"/>
        <v>232546.97542984894</v>
      </c>
      <c r="U646" s="751">
        <f t="shared" si="81"/>
        <v>246521.17497936968</v>
      </c>
      <c r="V646" s="751">
        <f t="shared" si="81"/>
        <v>254458.2996444061</v>
      </c>
      <c r="W646" s="751">
        <f t="shared" si="81"/>
        <v>259068.20732066844</v>
      </c>
      <c r="X646" s="751">
        <f t="shared" si="81"/>
        <v>263678.11499693093</v>
      </c>
      <c r="Y646" s="751">
        <f t="shared" si="81"/>
        <v>268288.02267319337</v>
      </c>
      <c r="Z646" s="751">
        <f t="shared" si="81"/>
        <v>272902.01154569362</v>
      </c>
      <c r="AA646" s="751">
        <f t="shared" si="81"/>
        <v>277511.91922195617</v>
      </c>
      <c r="AB646" s="751">
        <f t="shared" si="81"/>
        <v>282125.65573086822</v>
      </c>
      <c r="AC646" s="751">
        <f t="shared" si="81"/>
        <v>286735.56340713054</v>
      </c>
      <c r="AD646" s="751">
        <f t="shared" si="81"/>
        <v>291345.47108339303</v>
      </c>
      <c r="AE646" s="751">
        <f t="shared" si="81"/>
        <v>295959.45995589352</v>
      </c>
      <c r="AF646" s="751">
        <f t="shared" si="81"/>
        <v>300569.36763215583</v>
      </c>
      <c r="AG646" s="751">
        <f t="shared" si="81"/>
        <v>305179.27530841832</v>
      </c>
      <c r="AH646" s="752">
        <f t="shared" si="81"/>
        <v>309793.01181733049</v>
      </c>
    </row>
    <row r="647" spans="2:39" ht="21.9" customHeight="1" x14ac:dyDescent="0.25">
      <c r="B647" s="1332"/>
      <c r="C647" s="114"/>
      <c r="D647" s="114"/>
      <c r="E647" s="114" t="s">
        <v>434</v>
      </c>
      <c r="F647" s="114"/>
      <c r="G647" s="751">
        <f>G632</f>
        <v>0</v>
      </c>
      <c r="H647" s="751">
        <f>H632</f>
        <v>0</v>
      </c>
      <c r="I647" s="751">
        <f t="shared" ref="I647:AH647" si="82">I632</f>
        <v>280840.27286537125</v>
      </c>
      <c r="J647" s="751">
        <f t="shared" si="82"/>
        <v>303974.67701178696</v>
      </c>
      <c r="K647" s="751">
        <f t="shared" si="82"/>
        <v>334173.45724467025</v>
      </c>
      <c r="L647" s="751">
        <f t="shared" si="82"/>
        <v>384801.05631353956</v>
      </c>
      <c r="M647" s="751">
        <f t="shared" si="82"/>
        <v>435454.55330853577</v>
      </c>
      <c r="N647" s="751">
        <f t="shared" si="82"/>
        <v>486107.54484295176</v>
      </c>
      <c r="O647" s="751">
        <f t="shared" si="82"/>
        <v>536735.14391182095</v>
      </c>
      <c r="P647" s="751">
        <f t="shared" si="82"/>
        <v>587414.65718675184</v>
      </c>
      <c r="Q647" s="751">
        <f t="shared" si="82"/>
        <v>633990.90747609793</v>
      </c>
      <c r="R647" s="751">
        <f t="shared" si="82"/>
        <v>680579.98792032863</v>
      </c>
      <c r="S647" s="751">
        <f t="shared" si="82"/>
        <v>727156.5294163056</v>
      </c>
      <c r="T647" s="751">
        <f t="shared" si="82"/>
        <v>773732.77970565204</v>
      </c>
      <c r="U647" s="751">
        <f t="shared" si="82"/>
        <v>820361.27773181244</v>
      </c>
      <c r="V647" s="751">
        <f t="shared" si="82"/>
        <v>846752.28713947907</v>
      </c>
      <c r="W647" s="751">
        <f t="shared" si="82"/>
        <v>861975.10147828481</v>
      </c>
      <c r="X647" s="751">
        <f t="shared" si="82"/>
        <v>877197.91581709043</v>
      </c>
      <c r="Y647" s="751">
        <f t="shared" si="82"/>
        <v>892420.73015589651</v>
      </c>
      <c r="Z647" s="751">
        <f t="shared" si="82"/>
        <v>907657.31218570494</v>
      </c>
      <c r="AA647" s="751">
        <f t="shared" si="82"/>
        <v>922880.12652451079</v>
      </c>
      <c r="AB647" s="751">
        <f t="shared" si="82"/>
        <v>938115.82731455239</v>
      </c>
      <c r="AC647" s="751">
        <f t="shared" si="82"/>
        <v>953338.641653358</v>
      </c>
      <c r="AD647" s="751">
        <f t="shared" si="82"/>
        <v>968561.45599216362</v>
      </c>
      <c r="AE647" s="751">
        <f t="shared" si="82"/>
        <v>983798.03802197264</v>
      </c>
      <c r="AF647" s="751">
        <f t="shared" si="82"/>
        <v>999020.85236077814</v>
      </c>
      <c r="AG647" s="751">
        <f t="shared" si="82"/>
        <v>1014243.6666995839</v>
      </c>
      <c r="AH647" s="752">
        <f t="shared" si="82"/>
        <v>1029479.3674896254</v>
      </c>
    </row>
    <row r="648" spans="2:39" ht="21.9" customHeight="1" thickBot="1" x14ac:dyDescent="0.3">
      <c r="B648" s="1333"/>
      <c r="C648" s="274"/>
      <c r="D648" s="274"/>
      <c r="E648" s="762" t="s">
        <v>25</v>
      </c>
      <c r="F648" s="762"/>
      <c r="G648" s="763">
        <f>G646+G647</f>
        <v>0</v>
      </c>
      <c r="H648" s="763">
        <f>H646+H647</f>
        <v>0</v>
      </c>
      <c r="I648" s="763">
        <f t="shared" ref="I648:AH648" si="83">I646+I647</f>
        <v>366052.76438612887</v>
      </c>
      <c r="J648" s="763">
        <f t="shared" si="83"/>
        <v>396062.74472015689</v>
      </c>
      <c r="K648" s="763">
        <f t="shared" si="83"/>
        <v>435283.92402198724</v>
      </c>
      <c r="L648" s="763">
        <f t="shared" si="83"/>
        <v>501024.95926587202</v>
      </c>
      <c r="M648" s="763">
        <f t="shared" si="83"/>
        <v>566799.58546338743</v>
      </c>
      <c r="N648" s="763">
        <f t="shared" si="83"/>
        <v>632573.52693609474</v>
      </c>
      <c r="O648" s="763">
        <f t="shared" si="83"/>
        <v>698314.56217997929</v>
      </c>
      <c r="P648" s="763">
        <f t="shared" si="83"/>
        <v>764122.93157831021</v>
      </c>
      <c r="Q648" s="763">
        <f t="shared" si="83"/>
        <v>824657.8659544721</v>
      </c>
      <c r="R648" s="763">
        <f t="shared" si="83"/>
        <v>885209.51178272627</v>
      </c>
      <c r="S648" s="763">
        <f t="shared" si="83"/>
        <v>945744.82075933879</v>
      </c>
      <c r="T648" s="763">
        <f t="shared" si="83"/>
        <v>1006279.755135501</v>
      </c>
      <c r="U648" s="763">
        <f t="shared" si="83"/>
        <v>1066882.4527111822</v>
      </c>
      <c r="V648" s="763">
        <f t="shared" si="83"/>
        <v>1101210.5867838853</v>
      </c>
      <c r="W648" s="763">
        <f t="shared" si="83"/>
        <v>1121043.3087989532</v>
      </c>
      <c r="X648" s="763">
        <f t="shared" si="83"/>
        <v>1140876.0308140214</v>
      </c>
      <c r="Y648" s="763">
        <f t="shared" si="83"/>
        <v>1160708.7528290898</v>
      </c>
      <c r="Z648" s="763">
        <f t="shared" si="83"/>
        <v>1180559.3237313987</v>
      </c>
      <c r="AA648" s="763">
        <f t="shared" si="83"/>
        <v>1200392.0457464671</v>
      </c>
      <c r="AB648" s="763">
        <f t="shared" si="83"/>
        <v>1220241.4830454206</v>
      </c>
      <c r="AC648" s="763">
        <f t="shared" si="83"/>
        <v>1240074.2050604885</v>
      </c>
      <c r="AD648" s="763">
        <f t="shared" si="83"/>
        <v>1259906.9270755567</v>
      </c>
      <c r="AE648" s="763">
        <f t="shared" si="83"/>
        <v>1279757.4979778661</v>
      </c>
      <c r="AF648" s="763">
        <f t="shared" si="83"/>
        <v>1299590.219992934</v>
      </c>
      <c r="AG648" s="763">
        <f t="shared" si="83"/>
        <v>1319422.9420080022</v>
      </c>
      <c r="AH648" s="764">
        <f t="shared" si="83"/>
        <v>1339272.3793069557</v>
      </c>
    </row>
    <row r="649" spans="2:39" ht="21.9" customHeight="1" x14ac:dyDescent="0.25">
      <c r="F649"/>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row>
    <row r="650" spans="2:39" ht="21.9" customHeight="1" x14ac:dyDescent="0.25">
      <c r="F650"/>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row>
    <row r="651" spans="2:39" ht="21.9" customHeight="1" thickBot="1" x14ac:dyDescent="0.3">
      <c r="B651" s="523" t="s">
        <v>467</v>
      </c>
      <c r="F65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row>
    <row r="652" spans="2:39" ht="21.9" customHeight="1" x14ac:dyDescent="0.25">
      <c r="B652" s="548" t="s">
        <v>312</v>
      </c>
      <c r="C652" s="1331" t="s">
        <v>18</v>
      </c>
      <c r="D652" s="1331"/>
      <c r="E652" s="197" t="s">
        <v>24</v>
      </c>
      <c r="F652" s="197" t="s">
        <v>42</v>
      </c>
      <c r="G652" s="459">
        <v>2021</v>
      </c>
      <c r="H652" s="459">
        <v>2022</v>
      </c>
      <c r="I652" s="459">
        <v>2023</v>
      </c>
      <c r="J652" s="459">
        <v>2024</v>
      </c>
      <c r="K652" s="459">
        <v>2025</v>
      </c>
      <c r="L652" s="459">
        <v>2026</v>
      </c>
      <c r="M652" s="459">
        <v>2027</v>
      </c>
      <c r="N652" s="459">
        <v>2028</v>
      </c>
      <c r="O652" s="459">
        <v>2029</v>
      </c>
      <c r="P652" s="459">
        <v>2030</v>
      </c>
      <c r="Q652" s="459">
        <v>2031</v>
      </c>
      <c r="R652" s="459">
        <v>2032</v>
      </c>
      <c r="S652" s="459">
        <v>2033</v>
      </c>
      <c r="T652" s="459">
        <v>2034</v>
      </c>
      <c r="U652" s="459">
        <v>2035</v>
      </c>
      <c r="V652" s="459">
        <v>2036</v>
      </c>
      <c r="W652" s="459">
        <v>2037</v>
      </c>
      <c r="X652" s="459">
        <v>2038</v>
      </c>
      <c r="Y652" s="459">
        <v>2039</v>
      </c>
      <c r="Z652" s="459">
        <v>2040</v>
      </c>
      <c r="AA652" s="459">
        <v>2041</v>
      </c>
      <c r="AB652" s="459">
        <v>2042</v>
      </c>
      <c r="AC652" s="459">
        <v>2043</v>
      </c>
      <c r="AD652" s="459">
        <v>2044</v>
      </c>
      <c r="AE652" s="459">
        <v>2045</v>
      </c>
      <c r="AF652" s="459">
        <v>2046</v>
      </c>
      <c r="AG652" s="459">
        <v>2047</v>
      </c>
      <c r="AH652" s="459">
        <v>2048</v>
      </c>
      <c r="AI652" s="247"/>
      <c r="AJ652" s="247"/>
      <c r="AK652" s="247"/>
      <c r="AL652" s="247"/>
      <c r="AM652" s="247"/>
    </row>
    <row r="653" spans="2:39" ht="21.9" customHeight="1" x14ac:dyDescent="0.25">
      <c r="B653" s="1332" t="s">
        <v>43</v>
      </c>
      <c r="C653" s="217"/>
      <c r="D653" s="217"/>
      <c r="E653" s="217" t="s">
        <v>19</v>
      </c>
      <c r="F653" s="217"/>
      <c r="G653" s="772">
        <f t="shared" ref="G653:AH653" si="84">G637*G13</f>
        <v>0</v>
      </c>
      <c r="H653" s="772">
        <f t="shared" si="84"/>
        <v>0</v>
      </c>
      <c r="I653" s="772">
        <f t="shared" si="84"/>
        <v>690959.46636254992</v>
      </c>
      <c r="J653" s="772">
        <f t="shared" si="84"/>
        <v>758025.00991665118</v>
      </c>
      <c r="K653" s="772">
        <f t="shared" si="84"/>
        <v>840574.6149991242</v>
      </c>
      <c r="L653" s="772">
        <f t="shared" si="84"/>
        <v>980498.18261399248</v>
      </c>
      <c r="M653" s="772">
        <f t="shared" si="84"/>
        <v>1129580.1787942154</v>
      </c>
      <c r="N653" s="772">
        <f t="shared" si="84"/>
        <v>1277616.4312452322</v>
      </c>
      <c r="O653" s="772">
        <f t="shared" si="84"/>
        <v>1435918.8316592302</v>
      </c>
      <c r="P653" s="772">
        <f t="shared" si="84"/>
        <v>1592075.5904366351</v>
      </c>
      <c r="Q653" s="772">
        <f t="shared" si="84"/>
        <v>1717838.1235480853</v>
      </c>
      <c r="R653" s="772">
        <f t="shared" si="84"/>
        <v>1843635.6256985648</v>
      </c>
      <c r="S653" s="772">
        <f t="shared" si="84"/>
        <v>1969398.9101572006</v>
      </c>
      <c r="T653" s="772">
        <f t="shared" si="84"/>
        <v>2095161.4432686521</v>
      </c>
      <c r="U653" s="772">
        <f t="shared" si="84"/>
        <v>2221063.7649074481</v>
      </c>
      <c r="V653" s="772">
        <f t="shared" si="84"/>
        <v>2292574.2953620469</v>
      </c>
      <c r="W653" s="772">
        <f t="shared" si="84"/>
        <v>2334107.8427344859</v>
      </c>
      <c r="X653" s="772">
        <f t="shared" si="84"/>
        <v>2375641.3901069262</v>
      </c>
      <c r="Y653" s="772">
        <f t="shared" si="84"/>
        <v>2417174.9374793661</v>
      </c>
      <c r="Z653" s="772">
        <f t="shared" si="84"/>
        <v>2458745.254906476</v>
      </c>
      <c r="AA653" s="772">
        <f t="shared" si="84"/>
        <v>2500278.8022789154</v>
      </c>
      <c r="AB653" s="772">
        <f t="shared" si="84"/>
        <v>2541846.8460043003</v>
      </c>
      <c r="AC653" s="772">
        <f t="shared" si="84"/>
        <v>2583380.3933767392</v>
      </c>
      <c r="AD653" s="772">
        <f t="shared" si="84"/>
        <v>2624913.9407491796</v>
      </c>
      <c r="AE653" s="772">
        <f t="shared" si="84"/>
        <v>2666484.2581762904</v>
      </c>
      <c r="AF653" s="772">
        <f t="shared" si="84"/>
        <v>2708017.8055487298</v>
      </c>
      <c r="AG653" s="772">
        <f t="shared" si="84"/>
        <v>2749551.3529211697</v>
      </c>
      <c r="AH653" s="773">
        <f t="shared" si="84"/>
        <v>2791119.3966465532</v>
      </c>
    </row>
    <row r="654" spans="2:39" ht="21.9" customHeight="1" x14ac:dyDescent="0.25">
      <c r="B654" s="1332"/>
      <c r="C654" s="114"/>
      <c r="D654" s="114"/>
      <c r="E654" s="114" t="s">
        <v>434</v>
      </c>
      <c r="F654" s="114"/>
      <c r="G654" s="783">
        <f t="shared" ref="G654:AH654" si="85">G638*G13</f>
        <v>0</v>
      </c>
      <c r="H654" s="783">
        <f t="shared" si="85"/>
        <v>0</v>
      </c>
      <c r="I654" s="783">
        <f t="shared" si="85"/>
        <v>120135.29664960003</v>
      </c>
      <c r="J654" s="783">
        <f t="shared" si="85"/>
        <v>132001.69613186546</v>
      </c>
      <c r="K654" s="783">
        <f t="shared" si="85"/>
        <v>146559.52143094712</v>
      </c>
      <c r="L654" s="783">
        <f t="shared" si="85"/>
        <v>171257.47022969637</v>
      </c>
      <c r="M654" s="783">
        <f t="shared" si="85"/>
        <v>197564.16776640216</v>
      </c>
      <c r="N654" s="783">
        <f t="shared" si="85"/>
        <v>223695.89460894957</v>
      </c>
      <c r="O654" s="783">
        <f t="shared" si="85"/>
        <v>251631.96844764394</v>
      </c>
      <c r="P654" s="783">
        <f t="shared" si="85"/>
        <v>279198.77483479684</v>
      </c>
      <c r="Q654" s="783">
        <f t="shared" si="85"/>
        <v>301336.51324170554</v>
      </c>
      <c r="R654" s="783">
        <f t="shared" si="85"/>
        <v>323480.34983408003</v>
      </c>
      <c r="S654" s="783">
        <f t="shared" si="85"/>
        <v>345618.22665179201</v>
      </c>
      <c r="T654" s="783">
        <f t="shared" si="85"/>
        <v>367755.96505870071</v>
      </c>
      <c r="U654" s="783">
        <f t="shared" si="85"/>
        <v>389918.53686724155</v>
      </c>
      <c r="V654" s="783">
        <f t="shared" si="85"/>
        <v>402462.21006832004</v>
      </c>
      <c r="W654" s="783">
        <f t="shared" si="85"/>
        <v>409697.62896863685</v>
      </c>
      <c r="X654" s="783">
        <f t="shared" si="85"/>
        <v>416933.04786895361</v>
      </c>
      <c r="Y654" s="783">
        <f t="shared" si="85"/>
        <v>424168.46676927048</v>
      </c>
      <c r="Z654" s="783">
        <f t="shared" si="85"/>
        <v>431410.42946690886</v>
      </c>
      <c r="AA654" s="783">
        <f t="shared" si="85"/>
        <v>438645.84836722561</v>
      </c>
      <c r="AB654" s="783">
        <f t="shared" si="85"/>
        <v>445887.39221072005</v>
      </c>
      <c r="AC654" s="783">
        <f t="shared" si="85"/>
        <v>453122.81111103686</v>
      </c>
      <c r="AD654" s="783">
        <f t="shared" si="85"/>
        <v>460358.23001135356</v>
      </c>
      <c r="AE654" s="783">
        <f t="shared" si="85"/>
        <v>467600.19270899205</v>
      </c>
      <c r="AF654" s="783">
        <f t="shared" si="85"/>
        <v>474835.61160930898</v>
      </c>
      <c r="AG654" s="783">
        <f t="shared" si="85"/>
        <v>482071.03050962568</v>
      </c>
      <c r="AH654" s="775">
        <f t="shared" si="85"/>
        <v>489312.57435311988</v>
      </c>
    </row>
    <row r="655" spans="2:39" ht="21.9" customHeight="1" x14ac:dyDescent="0.25">
      <c r="B655" s="1332"/>
      <c r="C655" s="114"/>
      <c r="D655" s="114"/>
      <c r="E655" s="746" t="s">
        <v>25</v>
      </c>
      <c r="F655" s="237"/>
      <c r="G655" s="776">
        <f>G653+G654</f>
        <v>0</v>
      </c>
      <c r="H655" s="776">
        <f>H653+H654</f>
        <v>0</v>
      </c>
      <c r="I655" s="776">
        <f t="shared" ref="I655:AH655" si="86">I653+I654</f>
        <v>811094.76301214995</v>
      </c>
      <c r="J655" s="776">
        <f t="shared" si="86"/>
        <v>890026.70604851667</v>
      </c>
      <c r="K655" s="776">
        <f t="shared" si="86"/>
        <v>987134.13643007132</v>
      </c>
      <c r="L655" s="776">
        <f t="shared" si="86"/>
        <v>1151755.6528436888</v>
      </c>
      <c r="M655" s="776">
        <f t="shared" si="86"/>
        <v>1327144.3465606177</v>
      </c>
      <c r="N655" s="776">
        <f t="shared" si="86"/>
        <v>1501312.3258541818</v>
      </c>
      <c r="O655" s="776">
        <f t="shared" si="86"/>
        <v>1687550.8001068742</v>
      </c>
      <c r="P655" s="776">
        <f t="shared" si="86"/>
        <v>1871274.3652714319</v>
      </c>
      <c r="Q655" s="776">
        <f t="shared" si="86"/>
        <v>2019174.6367897908</v>
      </c>
      <c r="R655" s="776">
        <f t="shared" si="86"/>
        <v>2167115.9755326449</v>
      </c>
      <c r="S655" s="776">
        <f t="shared" si="86"/>
        <v>2315017.1368089928</v>
      </c>
      <c r="T655" s="776">
        <f t="shared" si="86"/>
        <v>2462917.4083273527</v>
      </c>
      <c r="U655" s="776">
        <f t="shared" si="86"/>
        <v>2610982.3017746895</v>
      </c>
      <c r="V655" s="776">
        <f t="shared" si="86"/>
        <v>2695036.5054303668</v>
      </c>
      <c r="W655" s="776">
        <f t="shared" si="86"/>
        <v>2743805.4717031228</v>
      </c>
      <c r="X655" s="776">
        <f t="shared" si="86"/>
        <v>2792574.4379758798</v>
      </c>
      <c r="Y655" s="776">
        <f t="shared" si="86"/>
        <v>2841343.4042486367</v>
      </c>
      <c r="Z655" s="776">
        <f t="shared" si="86"/>
        <v>2890155.6843733848</v>
      </c>
      <c r="AA655" s="776">
        <f t="shared" si="86"/>
        <v>2938924.6506461408</v>
      </c>
      <c r="AB655" s="776">
        <f t="shared" si="86"/>
        <v>2987734.2382150204</v>
      </c>
      <c r="AC655" s="776">
        <f t="shared" si="86"/>
        <v>3036503.2044877759</v>
      </c>
      <c r="AD655" s="776">
        <f t="shared" si="86"/>
        <v>3085272.1707605333</v>
      </c>
      <c r="AE655" s="776">
        <f t="shared" si="86"/>
        <v>3134084.4508852824</v>
      </c>
      <c r="AF655" s="776">
        <f t="shared" si="86"/>
        <v>3182853.4171580388</v>
      </c>
      <c r="AG655" s="776">
        <f t="shared" si="86"/>
        <v>3231622.3834307953</v>
      </c>
      <c r="AH655" s="777">
        <f t="shared" si="86"/>
        <v>3280431.970999673</v>
      </c>
    </row>
    <row r="656" spans="2:39" ht="21.9" customHeight="1" x14ac:dyDescent="0.25">
      <c r="B656" s="1332" t="s">
        <v>405</v>
      </c>
      <c r="C656" s="217"/>
      <c r="D656" s="217"/>
      <c r="E656" s="217" t="s">
        <v>19</v>
      </c>
      <c r="F656" s="217"/>
      <c r="G656" s="783">
        <f t="shared" ref="G656:AH656" si="87">G640*G14</f>
        <v>0</v>
      </c>
      <c r="H656" s="783">
        <f t="shared" si="87"/>
        <v>0</v>
      </c>
      <c r="I656" s="783">
        <f t="shared" si="87"/>
        <v>395.2461968520621</v>
      </c>
      <c r="J656" s="783">
        <f t="shared" si="87"/>
        <v>434.40458436999893</v>
      </c>
      <c r="K656" s="783">
        <f t="shared" si="87"/>
        <v>485.83124031161435</v>
      </c>
      <c r="L656" s="783">
        <f t="shared" si="87"/>
        <v>571.69853682504572</v>
      </c>
      <c r="M656" s="783">
        <f t="shared" si="87"/>
        <v>661.04999683871847</v>
      </c>
      <c r="N656" s="783">
        <f t="shared" si="87"/>
        <v>753.84773304439295</v>
      </c>
      <c r="O656" s="783">
        <f t="shared" si="87"/>
        <v>851.4698532414518</v>
      </c>
      <c r="P656" s="783">
        <f t="shared" si="87"/>
        <v>952.88560359586882</v>
      </c>
      <c r="Q656" s="783">
        <f t="shared" si="87"/>
        <v>1028.1567201141388</v>
      </c>
      <c r="R656" s="783">
        <f t="shared" si="87"/>
        <v>1103.4487662252393</v>
      </c>
      <c r="S656" s="783">
        <f t="shared" si="87"/>
        <v>1178.7203324381851</v>
      </c>
      <c r="T656" s="783">
        <f t="shared" si="87"/>
        <v>1253.9914489564553</v>
      </c>
      <c r="U656" s="783">
        <f t="shared" si="87"/>
        <v>1329.3462313986661</v>
      </c>
      <c r="V656" s="783">
        <f t="shared" si="87"/>
        <v>1372.1465578310322</v>
      </c>
      <c r="W656" s="783">
        <f t="shared" si="87"/>
        <v>1397.0051258507892</v>
      </c>
      <c r="X656" s="783">
        <f t="shared" si="87"/>
        <v>1421.8636938705474</v>
      </c>
      <c r="Y656" s="783">
        <f t="shared" si="87"/>
        <v>1446.7222618903049</v>
      </c>
      <c r="Z656" s="783">
        <f t="shared" si="87"/>
        <v>1471.6028374428395</v>
      </c>
      <c r="AA656" s="783">
        <f t="shared" si="87"/>
        <v>1496.461405462597</v>
      </c>
      <c r="AB656" s="783">
        <f t="shared" si="87"/>
        <v>1521.3406201641415</v>
      </c>
      <c r="AC656" s="783">
        <f t="shared" si="87"/>
        <v>1546.1991881838994</v>
      </c>
      <c r="AD656" s="783">
        <f t="shared" si="87"/>
        <v>1571.0577562036569</v>
      </c>
      <c r="AE656" s="783">
        <f t="shared" si="87"/>
        <v>1595.938331756191</v>
      </c>
      <c r="AF656" s="783">
        <f t="shared" si="87"/>
        <v>1620.7968997759485</v>
      </c>
      <c r="AG656" s="783">
        <f t="shared" si="87"/>
        <v>1645.6554677957065</v>
      </c>
      <c r="AH656" s="775">
        <f t="shared" si="87"/>
        <v>1670.534682497251</v>
      </c>
    </row>
    <row r="657" spans="1:39" ht="21.9" customHeight="1" x14ac:dyDescent="0.25">
      <c r="B657" s="1332"/>
      <c r="C657" s="114"/>
      <c r="D657" s="114"/>
      <c r="E657" s="114" t="s">
        <v>434</v>
      </c>
      <c r="F657" s="114"/>
      <c r="G657" s="783">
        <f t="shared" ref="G657:AH657" si="88">G641*G14</f>
        <v>0</v>
      </c>
      <c r="H657" s="783">
        <f t="shared" si="88"/>
        <v>0</v>
      </c>
      <c r="I657" s="783">
        <f t="shared" si="88"/>
        <v>3697.2496263215671</v>
      </c>
      <c r="J657" s="783">
        <f t="shared" si="88"/>
        <v>4069.8967971983761</v>
      </c>
      <c r="K657" s="783">
        <f t="shared" si="88"/>
        <v>4557.3903205218821</v>
      </c>
      <c r="L657" s="783">
        <f t="shared" si="88"/>
        <v>5372.3318608831541</v>
      </c>
      <c r="M657" s="783">
        <f t="shared" si="88"/>
        <v>6220.4018784467225</v>
      </c>
      <c r="N657" s="783">
        <f t="shared" si="88"/>
        <v>7101.239798554755</v>
      </c>
      <c r="O657" s="783">
        <f t="shared" si="88"/>
        <v>8027.8309763102397</v>
      </c>
      <c r="P657" s="783">
        <f t="shared" si="88"/>
        <v>8990.4951271917853</v>
      </c>
      <c r="Q657" s="783">
        <f t="shared" si="88"/>
        <v>9703.3536610163974</v>
      </c>
      <c r="R657" s="783">
        <f t="shared" si="88"/>
        <v>10416.408562847077</v>
      </c>
      <c r="S657" s="783">
        <f t="shared" si="88"/>
        <v>11129.271553645582</v>
      </c>
      <c r="T657" s="783">
        <f t="shared" si="88"/>
        <v>11842.130087470188</v>
      </c>
      <c r="U657" s="783">
        <f t="shared" si="88"/>
        <v>12555.788283028614</v>
      </c>
      <c r="V657" s="783">
        <f t="shared" si="88"/>
        <v>12959.707794703087</v>
      </c>
      <c r="W657" s="783">
        <f t="shared" si="88"/>
        <v>13192.695917251185</v>
      </c>
      <c r="X657" s="783">
        <f t="shared" si="88"/>
        <v>13425.684039799289</v>
      </c>
      <c r="Y657" s="783">
        <f t="shared" si="88"/>
        <v>13658.672162347395</v>
      </c>
      <c r="Z657" s="783">
        <f t="shared" si="88"/>
        <v>13891.871002073491</v>
      </c>
      <c r="AA657" s="783">
        <f t="shared" si="88"/>
        <v>14124.859124621589</v>
      </c>
      <c r="AB657" s="783">
        <f t="shared" si="88"/>
        <v>14358.044476802326</v>
      </c>
      <c r="AC657" s="783">
        <f t="shared" si="88"/>
        <v>14591.03259935043</v>
      </c>
      <c r="AD657" s="783">
        <f t="shared" si="88"/>
        <v>14824.020721898531</v>
      </c>
      <c r="AE657" s="783">
        <f t="shared" si="88"/>
        <v>15057.219561624632</v>
      </c>
      <c r="AF657" s="783">
        <f t="shared" si="88"/>
        <v>15290.20768417273</v>
      </c>
      <c r="AG657" s="783">
        <f t="shared" si="88"/>
        <v>15523.195806720834</v>
      </c>
      <c r="AH657" s="775">
        <f t="shared" si="88"/>
        <v>15756.38115890157</v>
      </c>
    </row>
    <row r="658" spans="1:39" ht="21.9" customHeight="1" x14ac:dyDescent="0.25">
      <c r="B658" s="1332"/>
      <c r="C658" s="114"/>
      <c r="D658" s="114"/>
      <c r="E658" s="746" t="s">
        <v>25</v>
      </c>
      <c r="F658" s="237"/>
      <c r="G658" s="784">
        <f>G656+G657</f>
        <v>0</v>
      </c>
      <c r="H658" s="784">
        <f>H656+H657</f>
        <v>0</v>
      </c>
      <c r="I658" s="784">
        <f t="shared" ref="I658:AH658" si="89">I656+I657</f>
        <v>4092.4958231736291</v>
      </c>
      <c r="J658" s="784">
        <f t="shared" si="89"/>
        <v>4504.3013815683753</v>
      </c>
      <c r="K658" s="784">
        <f t="shared" si="89"/>
        <v>5043.2215608334964</v>
      </c>
      <c r="L658" s="784">
        <f t="shared" si="89"/>
        <v>5944.0303977082003</v>
      </c>
      <c r="M658" s="784">
        <f t="shared" si="89"/>
        <v>6881.451875285441</v>
      </c>
      <c r="N658" s="784">
        <f t="shared" si="89"/>
        <v>7855.087531599148</v>
      </c>
      <c r="O658" s="784">
        <f t="shared" si="89"/>
        <v>8879.300829551692</v>
      </c>
      <c r="P658" s="784">
        <f t="shared" si="89"/>
        <v>9943.3807307876541</v>
      </c>
      <c r="Q658" s="784">
        <f t="shared" si="89"/>
        <v>10731.510381130536</v>
      </c>
      <c r="R658" s="784">
        <f t="shared" si="89"/>
        <v>11519.857329072316</v>
      </c>
      <c r="S658" s="784">
        <f t="shared" si="89"/>
        <v>12307.991886083766</v>
      </c>
      <c r="T658" s="784">
        <f t="shared" si="89"/>
        <v>13096.121536426643</v>
      </c>
      <c r="U658" s="784">
        <f t="shared" si="89"/>
        <v>13885.13451442728</v>
      </c>
      <c r="V658" s="784">
        <f t="shared" si="89"/>
        <v>14331.854352534119</v>
      </c>
      <c r="W658" s="784">
        <f t="shared" si="89"/>
        <v>14589.701043101973</v>
      </c>
      <c r="X658" s="784">
        <f t="shared" si="89"/>
        <v>14847.547733669837</v>
      </c>
      <c r="Y658" s="784">
        <f t="shared" si="89"/>
        <v>15105.3944242377</v>
      </c>
      <c r="Z658" s="784">
        <f t="shared" si="89"/>
        <v>15363.473839516329</v>
      </c>
      <c r="AA658" s="784">
        <f t="shared" si="89"/>
        <v>15621.320530084186</v>
      </c>
      <c r="AB658" s="784">
        <f t="shared" si="89"/>
        <v>15879.385096966467</v>
      </c>
      <c r="AC658" s="784">
        <f t="shared" si="89"/>
        <v>16137.231787534329</v>
      </c>
      <c r="AD658" s="784">
        <f t="shared" si="89"/>
        <v>16395.078478102187</v>
      </c>
      <c r="AE658" s="784">
        <f t="shared" si="89"/>
        <v>16653.157893380823</v>
      </c>
      <c r="AF658" s="784">
        <f t="shared" si="89"/>
        <v>16911.004583948677</v>
      </c>
      <c r="AG658" s="784">
        <f t="shared" si="89"/>
        <v>17168.851274516543</v>
      </c>
      <c r="AH658" s="778">
        <f t="shared" si="89"/>
        <v>17426.915841398819</v>
      </c>
    </row>
    <row r="659" spans="1:39" ht="21.9" customHeight="1" x14ac:dyDescent="0.25">
      <c r="B659" s="1332" t="s">
        <v>41</v>
      </c>
      <c r="C659" s="217"/>
      <c r="D659" s="217"/>
      <c r="E659" s="217" t="s">
        <v>19</v>
      </c>
      <c r="F659" s="217"/>
      <c r="G659" s="772">
        <f t="shared" ref="G659:AH659" si="90">G643*G15</f>
        <v>0</v>
      </c>
      <c r="H659" s="772">
        <f t="shared" si="90"/>
        <v>0</v>
      </c>
      <c r="I659" s="772">
        <f t="shared" si="90"/>
        <v>947290.02484406834</v>
      </c>
      <c r="J659" s="772">
        <f t="shared" si="90"/>
        <v>1036857.3665213687</v>
      </c>
      <c r="K659" s="772">
        <f t="shared" si="90"/>
        <v>1152982.1199028948</v>
      </c>
      <c r="L659" s="772">
        <f t="shared" si="90"/>
        <v>1349778.5130052981</v>
      </c>
      <c r="M659" s="772">
        <f t="shared" si="90"/>
        <v>1553640.1303007703</v>
      </c>
      <c r="N659" s="772">
        <f t="shared" si="90"/>
        <v>1764517.9858819239</v>
      </c>
      <c r="O659" s="772">
        <f t="shared" si="90"/>
        <v>1982481.0542531263</v>
      </c>
      <c r="P659" s="772">
        <f t="shared" si="90"/>
        <v>2208176.4532047668</v>
      </c>
      <c r="Q659" s="772">
        <f t="shared" si="90"/>
        <v>2382606.5279953284</v>
      </c>
      <c r="R659" s="772">
        <f t="shared" si="90"/>
        <v>2557085.1041315789</v>
      </c>
      <c r="S659" s="772">
        <f t="shared" si="90"/>
        <v>2731516.2210254003</v>
      </c>
      <c r="T659" s="772">
        <f t="shared" si="90"/>
        <v>2905946.2958159628</v>
      </c>
      <c r="U659" s="772">
        <f t="shared" si="90"/>
        <v>3080570.2544499608</v>
      </c>
      <c r="V659" s="772">
        <f t="shared" si="90"/>
        <v>3179753.9053108585</v>
      </c>
      <c r="W659" s="772">
        <f t="shared" si="90"/>
        <v>3237360.0905176387</v>
      </c>
      <c r="X659" s="772">
        <f t="shared" si="90"/>
        <v>3294966.2757244189</v>
      </c>
      <c r="Y659" s="772">
        <f t="shared" si="90"/>
        <v>3352572.4609311982</v>
      </c>
      <c r="Z659" s="772">
        <f t="shared" si="90"/>
        <v>3410229.6454557204</v>
      </c>
      <c r="AA659" s="772">
        <f t="shared" si="90"/>
        <v>3467835.8306625006</v>
      </c>
      <c r="AB659" s="772">
        <f t="shared" si="90"/>
        <v>3525489.8616089867</v>
      </c>
      <c r="AC659" s="772">
        <f t="shared" si="90"/>
        <v>3583096.046815766</v>
      </c>
      <c r="AD659" s="772">
        <f t="shared" si="90"/>
        <v>3640702.2320225467</v>
      </c>
      <c r="AE659" s="772">
        <f t="shared" si="90"/>
        <v>3698359.4165470684</v>
      </c>
      <c r="AF659" s="772">
        <f t="shared" si="90"/>
        <v>3755965.6017538481</v>
      </c>
      <c r="AG659" s="772">
        <f t="shared" si="90"/>
        <v>3813571.7869606283</v>
      </c>
      <c r="AH659" s="773">
        <f t="shared" si="90"/>
        <v>3871225.817907115</v>
      </c>
    </row>
    <row r="660" spans="1:39" ht="21.9" customHeight="1" x14ac:dyDescent="0.25">
      <c r="B660" s="1332"/>
      <c r="C660" s="114"/>
      <c r="D660" s="114"/>
      <c r="E660" s="114" t="s">
        <v>434</v>
      </c>
      <c r="F660" s="114"/>
      <c r="G660" s="783">
        <f t="shared" ref="G660:AH660" si="91">G644*G15</f>
        <v>0</v>
      </c>
      <c r="H660" s="783">
        <f t="shared" si="91"/>
        <v>0</v>
      </c>
      <c r="I660" s="783">
        <f t="shared" si="91"/>
        <v>295529.3930997728</v>
      </c>
      <c r="J660" s="783">
        <f t="shared" si="91"/>
        <v>324083.09804609575</v>
      </c>
      <c r="K660" s="783">
        <f t="shared" si="91"/>
        <v>360952.72163756227</v>
      </c>
      <c r="L660" s="783">
        <f t="shared" si="91"/>
        <v>423646.22677545674</v>
      </c>
      <c r="M660" s="783">
        <f t="shared" si="91"/>
        <v>488592.56181878975</v>
      </c>
      <c r="N660" s="783">
        <f t="shared" si="91"/>
        <v>555775.40713150613</v>
      </c>
      <c r="O660" s="783">
        <f t="shared" si="91"/>
        <v>625218.81178517768</v>
      </c>
      <c r="P660" s="783">
        <f t="shared" si="91"/>
        <v>697128.0283089797</v>
      </c>
      <c r="Q660" s="783">
        <f t="shared" si="91"/>
        <v>752599.0722013521</v>
      </c>
      <c r="R660" s="783">
        <f t="shared" si="91"/>
        <v>808086.01746028604</v>
      </c>
      <c r="S660" s="783">
        <f t="shared" si="91"/>
        <v>863557.38042466901</v>
      </c>
      <c r="T660" s="783">
        <f t="shared" si="91"/>
        <v>919028.42431704118</v>
      </c>
      <c r="U660" s="783">
        <f t="shared" si="91"/>
        <v>974560.34946665564</v>
      </c>
      <c r="V660" s="783">
        <f t="shared" si="91"/>
        <v>1005901.78836488</v>
      </c>
      <c r="W660" s="783">
        <f t="shared" si="91"/>
        <v>1023867.531188685</v>
      </c>
      <c r="X660" s="783">
        <f t="shared" si="91"/>
        <v>1041833.2740124904</v>
      </c>
      <c r="Y660" s="783">
        <f t="shared" si="91"/>
        <v>1059799.0168362956</v>
      </c>
      <c r="Z660" s="783">
        <f t="shared" si="91"/>
        <v>1077780.9459710822</v>
      </c>
      <c r="AA660" s="783">
        <f t="shared" si="91"/>
        <v>1095746.6887948874</v>
      </c>
      <c r="AB660" s="783">
        <f t="shared" si="91"/>
        <v>1113727.0896814428</v>
      </c>
      <c r="AC660" s="783">
        <f t="shared" si="91"/>
        <v>1131692.8325052478</v>
      </c>
      <c r="AD660" s="783">
        <f t="shared" si="91"/>
        <v>1149658.5753290532</v>
      </c>
      <c r="AE660" s="783">
        <f t="shared" si="91"/>
        <v>1167640.5044638396</v>
      </c>
      <c r="AF660" s="783">
        <f t="shared" si="91"/>
        <v>1185606.2472876445</v>
      </c>
      <c r="AG660" s="783">
        <f t="shared" si="91"/>
        <v>1203571.9901114497</v>
      </c>
      <c r="AH660" s="775">
        <f t="shared" si="91"/>
        <v>1221552.3909980056</v>
      </c>
    </row>
    <row r="661" spans="1:39" ht="21.9" customHeight="1" x14ac:dyDescent="0.25">
      <c r="B661" s="1332"/>
      <c r="C661" s="114"/>
      <c r="D661" s="114"/>
      <c r="E661" s="746" t="s">
        <v>25</v>
      </c>
      <c r="F661" s="237"/>
      <c r="G661" s="776">
        <f>G659+G660</f>
        <v>0</v>
      </c>
      <c r="H661" s="776">
        <f>H659+H660</f>
        <v>0</v>
      </c>
      <c r="I661" s="776">
        <f t="shared" ref="I661:AH661" si="92">I659+I660</f>
        <v>1242819.4179438411</v>
      </c>
      <c r="J661" s="776">
        <f t="shared" si="92"/>
        <v>1360940.4645674645</v>
      </c>
      <c r="K661" s="776">
        <f t="shared" si="92"/>
        <v>1513934.8415404572</v>
      </c>
      <c r="L661" s="776">
        <f t="shared" si="92"/>
        <v>1773424.7397807548</v>
      </c>
      <c r="M661" s="776">
        <f t="shared" si="92"/>
        <v>2042232.69211956</v>
      </c>
      <c r="N661" s="776">
        <f t="shared" si="92"/>
        <v>2320293.3930134298</v>
      </c>
      <c r="O661" s="776">
        <f t="shared" si="92"/>
        <v>2607699.8660383038</v>
      </c>
      <c r="P661" s="776">
        <f t="shared" si="92"/>
        <v>2905304.4815137465</v>
      </c>
      <c r="Q661" s="776">
        <f t="shared" si="92"/>
        <v>3135205.6001966805</v>
      </c>
      <c r="R661" s="776">
        <f t="shared" si="92"/>
        <v>3365171.1215918651</v>
      </c>
      <c r="S661" s="776">
        <f t="shared" si="92"/>
        <v>3595073.6014500693</v>
      </c>
      <c r="T661" s="776">
        <f t="shared" si="92"/>
        <v>3824974.7201330038</v>
      </c>
      <c r="U661" s="776">
        <f t="shared" si="92"/>
        <v>4055130.6039166162</v>
      </c>
      <c r="V661" s="776">
        <f t="shared" si="92"/>
        <v>4185655.6936757388</v>
      </c>
      <c r="W661" s="776">
        <f t="shared" si="92"/>
        <v>4261227.6217063237</v>
      </c>
      <c r="X661" s="776">
        <f t="shared" si="92"/>
        <v>4336799.5497369096</v>
      </c>
      <c r="Y661" s="776">
        <f t="shared" si="92"/>
        <v>4412371.4777674936</v>
      </c>
      <c r="Z661" s="776">
        <f t="shared" si="92"/>
        <v>4488010.5914268028</v>
      </c>
      <c r="AA661" s="776">
        <f t="shared" si="92"/>
        <v>4563582.5194573877</v>
      </c>
      <c r="AB661" s="776">
        <f t="shared" si="92"/>
        <v>4639216.9512904296</v>
      </c>
      <c r="AC661" s="776">
        <f t="shared" si="92"/>
        <v>4714788.8793210136</v>
      </c>
      <c r="AD661" s="776">
        <f t="shared" si="92"/>
        <v>4790360.8073516004</v>
      </c>
      <c r="AE661" s="776">
        <f t="shared" si="92"/>
        <v>4865999.9210109077</v>
      </c>
      <c r="AF661" s="776">
        <f t="shared" si="92"/>
        <v>4941571.8490414927</v>
      </c>
      <c r="AG661" s="776">
        <f t="shared" si="92"/>
        <v>5017143.7770720776</v>
      </c>
      <c r="AH661" s="777">
        <f t="shared" si="92"/>
        <v>5092778.2089051204</v>
      </c>
    </row>
    <row r="662" spans="1:39" ht="21.9" customHeight="1" x14ac:dyDescent="0.25">
      <c r="B662" s="1332" t="s">
        <v>40</v>
      </c>
      <c r="C662" s="217"/>
      <c r="D662" s="217"/>
      <c r="E662" s="217" t="s">
        <v>19</v>
      </c>
      <c r="F662" s="217"/>
      <c r="G662" s="783">
        <f t="shared" ref="G662:AH662" si="93">G646*G16</f>
        <v>0</v>
      </c>
      <c r="H662" s="783">
        <f t="shared" si="93"/>
        <v>0</v>
      </c>
      <c r="I662" s="783">
        <f t="shared" si="93"/>
        <v>19428448.066732731</v>
      </c>
      <c r="J662" s="783">
        <f t="shared" si="93"/>
        <v>21456519.776050199</v>
      </c>
      <c r="K662" s="783">
        <f t="shared" si="93"/>
        <v>23963180.626224134</v>
      </c>
      <c r="L662" s="783">
        <f t="shared" si="93"/>
        <v>28009960.611512117</v>
      </c>
      <c r="M662" s="783">
        <f t="shared" si="93"/>
        <v>32179532.877938669</v>
      </c>
      <c r="N662" s="783">
        <f t="shared" si="93"/>
        <v>36616495.523285754</v>
      </c>
      <c r="O662" s="783">
        <f t="shared" si="93"/>
        <v>40879592.821844064</v>
      </c>
      <c r="P662" s="783">
        <f t="shared" si="93"/>
        <v>45414026.518630497</v>
      </c>
      <c r="Q662" s="783">
        <f t="shared" si="93"/>
        <v>49954743.121334024</v>
      </c>
      <c r="R662" s="783">
        <f t="shared" si="93"/>
        <v>54226823.82353539</v>
      </c>
      <c r="S662" s="783">
        <f t="shared" si="93"/>
        <v>59018838.662618957</v>
      </c>
      <c r="T662" s="783">
        <f t="shared" si="93"/>
        <v>63717871.267778613</v>
      </c>
      <c r="U662" s="783">
        <f t="shared" si="93"/>
        <v>68532886.644264773</v>
      </c>
      <c r="V662" s="783">
        <f t="shared" si="93"/>
        <v>71757240.499722525</v>
      </c>
      <c r="W662" s="783">
        <f t="shared" si="93"/>
        <v>74352575.501031846</v>
      </c>
      <c r="X662" s="783">
        <f t="shared" si="93"/>
        <v>76466653.349109977</v>
      </c>
      <c r="Y662" s="783">
        <f t="shared" si="93"/>
        <v>78876678.665918857</v>
      </c>
      <c r="Z662" s="783">
        <f t="shared" si="93"/>
        <v>81597701.452162385</v>
      </c>
      <c r="AA662" s="783">
        <f t="shared" si="93"/>
        <v>84086111.524252713</v>
      </c>
      <c r="AB662" s="783">
        <f t="shared" si="93"/>
        <v>86894701.965107411</v>
      </c>
      <c r="AC662" s="783">
        <f t="shared" si="93"/>
        <v>89461495.783024728</v>
      </c>
      <c r="AD662" s="783">
        <f t="shared" si="93"/>
        <v>92356514.333435595</v>
      </c>
      <c r="AE662" s="783">
        <f t="shared" si="93"/>
        <v>95002986.645841822</v>
      </c>
      <c r="AF662" s="783">
        <f t="shared" si="93"/>
        <v>97985613.848082796</v>
      </c>
      <c r="AG662" s="783">
        <f t="shared" si="93"/>
        <v>101014340.12708646</v>
      </c>
      <c r="AH662" s="775">
        <f t="shared" si="93"/>
        <v>104090451.97062305</v>
      </c>
    </row>
    <row r="663" spans="1:39" ht="21.9" customHeight="1" x14ac:dyDescent="0.25">
      <c r="B663" s="1332"/>
      <c r="C663" s="114"/>
      <c r="D663" s="114"/>
      <c r="E663" s="114" t="s">
        <v>434</v>
      </c>
      <c r="F663" s="114"/>
      <c r="G663" s="783">
        <f t="shared" ref="G663:AH663" si="94">G647*G16</f>
        <v>0</v>
      </c>
      <c r="H663" s="783">
        <f t="shared" si="94"/>
        <v>0</v>
      </c>
      <c r="I663" s="783">
        <f t="shared" si="94"/>
        <v>64031582.213304646</v>
      </c>
      <c r="J663" s="783">
        <f t="shared" si="94"/>
        <v>70826099.743746355</v>
      </c>
      <c r="K663" s="783">
        <f t="shared" si="94"/>
        <v>79199109.366986856</v>
      </c>
      <c r="L663" s="783">
        <f t="shared" si="94"/>
        <v>92737054.571563035</v>
      </c>
      <c r="M663" s="783">
        <f t="shared" si="94"/>
        <v>106686365.56059127</v>
      </c>
      <c r="N663" s="783">
        <f t="shared" si="94"/>
        <v>121526886.21073794</v>
      </c>
      <c r="O663" s="783">
        <f t="shared" si="94"/>
        <v>135793991.40969071</v>
      </c>
      <c r="P663" s="783">
        <f t="shared" si="94"/>
        <v>150965566.89699522</v>
      </c>
      <c r="Q663" s="783">
        <f t="shared" si="94"/>
        <v>166105617.75873765</v>
      </c>
      <c r="R663" s="783">
        <f t="shared" si="94"/>
        <v>180353696.79888707</v>
      </c>
      <c r="S663" s="783">
        <f t="shared" si="94"/>
        <v>196332262.94240251</v>
      </c>
      <c r="T663" s="783">
        <f t="shared" si="94"/>
        <v>212002781.63934866</v>
      </c>
      <c r="U663" s="783">
        <f t="shared" si="94"/>
        <v>228060435.20944387</v>
      </c>
      <c r="V663" s="783">
        <f t="shared" si="94"/>
        <v>238784144.97333309</v>
      </c>
      <c r="W663" s="783">
        <f t="shared" si="94"/>
        <v>247386854.12426773</v>
      </c>
      <c r="X663" s="783">
        <f t="shared" si="94"/>
        <v>254387395.58695623</v>
      </c>
      <c r="Y663" s="783">
        <f t="shared" si="94"/>
        <v>262371694.66583356</v>
      </c>
      <c r="Z663" s="783">
        <f t="shared" si="94"/>
        <v>271389536.34352577</v>
      </c>
      <c r="AA663" s="783">
        <f t="shared" si="94"/>
        <v>279632678.33692676</v>
      </c>
      <c r="AB663" s="783">
        <f t="shared" si="94"/>
        <v>288939674.81288213</v>
      </c>
      <c r="AC663" s="783">
        <f t="shared" si="94"/>
        <v>297441656.19584769</v>
      </c>
      <c r="AD663" s="783">
        <f t="shared" si="94"/>
        <v>307033981.54951584</v>
      </c>
      <c r="AE663" s="783">
        <f t="shared" si="94"/>
        <v>315799170.20505321</v>
      </c>
      <c r="AF663" s="783">
        <f t="shared" si="94"/>
        <v>325680797.86961365</v>
      </c>
      <c r="AG663" s="783">
        <f t="shared" si="94"/>
        <v>335714653.67756224</v>
      </c>
      <c r="AH663" s="775">
        <f t="shared" si="94"/>
        <v>345905067.4765141</v>
      </c>
    </row>
    <row r="664" spans="1:39" ht="21.9" customHeight="1" thickBot="1" x14ac:dyDescent="0.3">
      <c r="B664" s="1333"/>
      <c r="C664" s="274"/>
      <c r="D664" s="274"/>
      <c r="E664" s="762" t="s">
        <v>25</v>
      </c>
      <c r="F664" s="762"/>
      <c r="G664" s="779">
        <f>G662+G663</f>
        <v>0</v>
      </c>
      <c r="H664" s="779">
        <f>H662+H663</f>
        <v>0</v>
      </c>
      <c r="I664" s="779">
        <f t="shared" ref="I664:AH664" si="95">I662+I663</f>
        <v>83460030.280037373</v>
      </c>
      <c r="J664" s="779">
        <f t="shared" si="95"/>
        <v>92282619.51979655</v>
      </c>
      <c r="K664" s="779">
        <f t="shared" si="95"/>
        <v>103162289.99321099</v>
      </c>
      <c r="L664" s="779">
        <f t="shared" si="95"/>
        <v>120747015.18307516</v>
      </c>
      <c r="M664" s="779">
        <f t="shared" si="95"/>
        <v>138865898.43852994</v>
      </c>
      <c r="N664" s="779">
        <f t="shared" si="95"/>
        <v>158143381.73402369</v>
      </c>
      <c r="O664" s="779">
        <f t="shared" si="95"/>
        <v>176673584.23153478</v>
      </c>
      <c r="P664" s="779">
        <f t="shared" si="95"/>
        <v>196379593.41562572</v>
      </c>
      <c r="Q664" s="779">
        <f t="shared" si="95"/>
        <v>216060360.88007167</v>
      </c>
      <c r="R664" s="779">
        <f t="shared" si="95"/>
        <v>234580520.62242246</v>
      </c>
      <c r="S664" s="779">
        <f t="shared" si="95"/>
        <v>255351101.60502148</v>
      </c>
      <c r="T664" s="779">
        <f t="shared" si="95"/>
        <v>275720652.90712726</v>
      </c>
      <c r="U664" s="779">
        <f t="shared" si="95"/>
        <v>296593321.85370862</v>
      </c>
      <c r="V664" s="779">
        <f t="shared" si="95"/>
        <v>310541385.4730556</v>
      </c>
      <c r="W664" s="779">
        <f t="shared" si="95"/>
        <v>321739429.62529957</v>
      </c>
      <c r="X664" s="779">
        <f t="shared" si="95"/>
        <v>330854048.93606621</v>
      </c>
      <c r="Y664" s="779">
        <f t="shared" si="95"/>
        <v>341248373.33175242</v>
      </c>
      <c r="Z664" s="779">
        <f t="shared" si="95"/>
        <v>352987237.79568815</v>
      </c>
      <c r="AA664" s="779">
        <f t="shared" si="95"/>
        <v>363718789.86117947</v>
      </c>
      <c r="AB664" s="779">
        <f t="shared" si="95"/>
        <v>375834376.77798951</v>
      </c>
      <c r="AC664" s="779">
        <f t="shared" si="95"/>
        <v>386903151.97887242</v>
      </c>
      <c r="AD664" s="779">
        <f t="shared" si="95"/>
        <v>399390495.88295144</v>
      </c>
      <c r="AE664" s="779">
        <f t="shared" si="95"/>
        <v>410802156.85089505</v>
      </c>
      <c r="AF664" s="779">
        <f t="shared" si="95"/>
        <v>423666411.71769643</v>
      </c>
      <c r="AG664" s="779">
        <f t="shared" si="95"/>
        <v>436728993.8046487</v>
      </c>
      <c r="AH664" s="780">
        <f t="shared" si="95"/>
        <v>449995519.44713712</v>
      </c>
    </row>
    <row r="665" spans="1:39" ht="21.9" customHeight="1" x14ac:dyDescent="0.25">
      <c r="B665" s="1"/>
      <c r="C665" s="1"/>
      <c r="D665" s="1"/>
      <c r="E665" s="1"/>
      <c r="F665" s="1"/>
      <c r="G665" s="938"/>
      <c r="H665" s="938"/>
      <c r="I665" s="448"/>
      <c r="J665" s="448"/>
      <c r="K665" s="448"/>
      <c r="L665" s="448"/>
      <c r="M665" s="448"/>
      <c r="N665" s="448"/>
      <c r="O665" s="448"/>
      <c r="P665" s="448"/>
      <c r="Q665" s="448"/>
      <c r="R665" s="448"/>
      <c r="S665" s="448"/>
      <c r="T665" s="448"/>
      <c r="U665" s="448"/>
      <c r="V665" s="448"/>
      <c r="W665" s="448"/>
      <c r="X665" s="448"/>
      <c r="Y665" s="448"/>
      <c r="Z665" s="448"/>
      <c r="AA665" s="448"/>
      <c r="AB665" s="448"/>
      <c r="AC665" s="448"/>
      <c r="AD665" s="448"/>
      <c r="AE665" s="448"/>
      <c r="AF665" s="448"/>
      <c r="AG665" s="448"/>
      <c r="AH665" s="448"/>
    </row>
    <row r="666" spans="1:39" ht="21.9" customHeight="1" x14ac:dyDescent="0.25">
      <c r="B666" s="1"/>
      <c r="C666" s="1"/>
      <c r="D666" s="1"/>
      <c r="E666" s="1"/>
      <c r="F666" s="1"/>
      <c r="G666" s="938"/>
      <c r="H666" s="938"/>
      <c r="I666" s="448"/>
      <c r="J666" s="448"/>
      <c r="K666" s="448"/>
      <c r="L666" s="448"/>
      <c r="M666" s="448"/>
      <c r="N666" s="448"/>
      <c r="O666" s="448"/>
      <c r="P666" s="448"/>
      <c r="Q666" s="448"/>
      <c r="R666" s="448"/>
      <c r="S666" s="448"/>
      <c r="T666" s="448"/>
      <c r="U666" s="448"/>
      <c r="V666" s="448"/>
      <c r="W666" s="448"/>
      <c r="X666" s="448"/>
      <c r="Y666" s="448"/>
      <c r="Z666" s="448"/>
      <c r="AA666" s="448"/>
      <c r="AB666" s="448"/>
      <c r="AC666" s="448"/>
      <c r="AD666" s="448"/>
      <c r="AE666" s="448"/>
      <c r="AF666" s="448"/>
      <c r="AG666" s="448"/>
      <c r="AH666" s="448"/>
    </row>
    <row r="667" spans="1:39" ht="21.9" customHeight="1" x14ac:dyDescent="0.25">
      <c r="A667" s="223" t="s">
        <v>87</v>
      </c>
      <c r="B667" s="771" t="s">
        <v>38</v>
      </c>
    </row>
    <row r="670" spans="1:39" ht="21.9" customHeight="1" thickBot="1" x14ac:dyDescent="0.3">
      <c r="B670" s="769" t="s">
        <v>466</v>
      </c>
    </row>
    <row r="671" spans="1:39" ht="21.9" customHeight="1" x14ac:dyDescent="0.25">
      <c r="B671" s="805" t="s">
        <v>469</v>
      </c>
      <c r="C671" s="734" t="s">
        <v>42</v>
      </c>
      <c r="D671" s="734"/>
      <c r="E671" s="734"/>
      <c r="F671" s="806" t="s">
        <v>25</v>
      </c>
      <c r="G671" s="734">
        <v>2021</v>
      </c>
      <c r="H671" s="734">
        <v>2022</v>
      </c>
      <c r="I671" s="734">
        <v>2023</v>
      </c>
      <c r="J671" s="734">
        <v>2024</v>
      </c>
      <c r="K671" s="734">
        <v>2025</v>
      </c>
      <c r="L671" s="734">
        <v>2026</v>
      </c>
      <c r="M671" s="734">
        <v>2027</v>
      </c>
      <c r="N671" s="734">
        <v>2028</v>
      </c>
      <c r="O671" s="734">
        <v>2029</v>
      </c>
      <c r="P671" s="734">
        <v>2030</v>
      </c>
      <c r="Q671" s="734">
        <v>2031</v>
      </c>
      <c r="R671" s="734">
        <v>2032</v>
      </c>
      <c r="S671" s="734">
        <v>2033</v>
      </c>
      <c r="T671" s="734">
        <v>2034</v>
      </c>
      <c r="U671" s="734">
        <v>2035</v>
      </c>
      <c r="V671" s="734">
        <v>2036</v>
      </c>
      <c r="W671" s="734">
        <v>2037</v>
      </c>
      <c r="X671" s="734">
        <v>2038</v>
      </c>
      <c r="Y671" s="734">
        <v>2039</v>
      </c>
      <c r="Z671" s="734">
        <v>2040</v>
      </c>
      <c r="AA671" s="734">
        <v>2041</v>
      </c>
      <c r="AB671" s="734">
        <v>2042</v>
      </c>
      <c r="AC671" s="734">
        <v>2043</v>
      </c>
      <c r="AD671" s="734">
        <v>2044</v>
      </c>
      <c r="AE671" s="734">
        <v>2045</v>
      </c>
      <c r="AF671" s="734">
        <v>2046</v>
      </c>
      <c r="AG671" s="734">
        <v>2047</v>
      </c>
      <c r="AH671" s="734">
        <v>2048</v>
      </c>
      <c r="AI671" s="247"/>
      <c r="AJ671" s="247"/>
      <c r="AK671" s="247"/>
      <c r="AL671" s="247"/>
      <c r="AM671" s="247"/>
    </row>
    <row r="672" spans="1:39" ht="21.9" customHeight="1" x14ac:dyDescent="0.25">
      <c r="B672" s="758" t="s">
        <v>126</v>
      </c>
      <c r="C672" s="114" t="str" cm="1">
        <f t="array" ref="C672:C675">_xlfn.ANCHORARRAY($B$13)</f>
        <v>NOx</v>
      </c>
      <c r="D672" s="114"/>
      <c r="E672" s="114"/>
      <c r="F672" s="788">
        <f t="shared" ref="F672:F683" si="96">SUM(G672:AH672)</f>
        <v>2766.5328218393288</v>
      </c>
      <c r="G672" s="941">
        <f t="shared" ref="G672:AH672" si="97">G212</f>
        <v>0</v>
      </c>
      <c r="H672" s="941">
        <f t="shared" si="97"/>
        <v>0</v>
      </c>
      <c r="I672" s="751">
        <f t="shared" si="97"/>
        <v>41.065510490910604</v>
      </c>
      <c r="J672" s="751">
        <f t="shared" si="97"/>
        <v>43.411345935434106</v>
      </c>
      <c r="K672" s="751">
        <f t="shared" si="97"/>
        <v>46.577672270017196</v>
      </c>
      <c r="L672" s="751">
        <f t="shared" si="97"/>
        <v>53.118700314551745</v>
      </c>
      <c r="M672" s="751">
        <f t="shared" si="97"/>
        <v>59.662290363720466</v>
      </c>
      <c r="N672" s="751">
        <f t="shared" si="97"/>
        <v>66.207638484628745</v>
      </c>
      <c r="O672" s="751">
        <f t="shared" si="97"/>
        <v>72.748666529163287</v>
      </c>
      <c r="P672" s="751">
        <f t="shared" si="97"/>
        <v>79.296242943659138</v>
      </c>
      <c r="Q672" s="751">
        <f t="shared" si="97"/>
        <v>87.230574073022325</v>
      </c>
      <c r="R672" s="751">
        <f t="shared" si="97"/>
        <v>95.166444921524814</v>
      </c>
      <c r="S672" s="751">
        <f t="shared" si="97"/>
        <v>103.10047666714244</v>
      </c>
      <c r="T672" s="751">
        <f t="shared" si="97"/>
        <v>111.03480779650567</v>
      </c>
      <c r="U672" s="751">
        <f t="shared" si="97"/>
        <v>118.97710830342868</v>
      </c>
      <c r="V672" s="751">
        <f t="shared" si="97"/>
        <v>123.53265379832779</v>
      </c>
      <c r="W672" s="751">
        <f t="shared" si="97"/>
        <v>125.87838833057125</v>
      </c>
      <c r="X672" s="751">
        <f t="shared" si="97"/>
        <v>128.22422377509477</v>
      </c>
      <c r="Y672" s="751">
        <f t="shared" si="97"/>
        <v>130.57005921961826</v>
      </c>
      <c r="Z672" s="751">
        <f t="shared" si="97"/>
        <v>132.91767053514207</v>
      </c>
      <c r="AA672" s="751">
        <f t="shared" si="97"/>
        <v>135.26350597966552</v>
      </c>
      <c r="AB672" s="751">
        <f t="shared" si="97"/>
        <v>137.61111729518927</v>
      </c>
      <c r="AC672" s="751">
        <f t="shared" si="97"/>
        <v>139.95695273971282</v>
      </c>
      <c r="AD672" s="751">
        <f t="shared" si="97"/>
        <v>142.30278818423628</v>
      </c>
      <c r="AE672" s="751">
        <f t="shared" si="97"/>
        <v>144.65029858748005</v>
      </c>
      <c r="AF672" s="751">
        <f t="shared" si="97"/>
        <v>146.9961340320036</v>
      </c>
      <c r="AG672" s="751">
        <f t="shared" si="97"/>
        <v>149.34196947652703</v>
      </c>
      <c r="AH672" s="752">
        <f t="shared" si="97"/>
        <v>151.6895807920508</v>
      </c>
      <c r="AI672" s="40"/>
      <c r="AJ672" s="40"/>
      <c r="AK672" s="40"/>
      <c r="AL672" s="40"/>
      <c r="AM672" s="40"/>
    </row>
    <row r="673" spans="2:39" ht="21.9" customHeight="1" x14ac:dyDescent="0.25">
      <c r="B673" s="469"/>
      <c r="C673" s="114" t="str">
        <v>SOx</v>
      </c>
      <c r="D673" s="114"/>
      <c r="E673" s="114"/>
      <c r="F673" s="788">
        <f t="shared" si="96"/>
        <v>5.2582093262454217</v>
      </c>
      <c r="G673" s="941">
        <f t="shared" ref="G673:AH673" si="98">G215</f>
        <v>0</v>
      </c>
      <c r="H673" s="941">
        <f t="shared" si="98"/>
        <v>0</v>
      </c>
      <c r="I673" s="751">
        <f t="shared" si="98"/>
        <v>7.7562366855299936E-2</v>
      </c>
      <c r="J673" s="751">
        <f t="shared" si="98"/>
        <v>8.2001009497541896E-2</v>
      </c>
      <c r="K673" s="751">
        <f t="shared" si="98"/>
        <v>8.802667138607527E-2</v>
      </c>
      <c r="L673" s="751">
        <f t="shared" si="98"/>
        <v>0.10052329384595737</v>
      </c>
      <c r="M673" s="751">
        <f t="shared" si="98"/>
        <v>0.11302481965868069</v>
      </c>
      <c r="N673" s="751">
        <f t="shared" si="98"/>
        <v>0.12552974128450256</v>
      </c>
      <c r="O673" s="751">
        <f t="shared" si="98"/>
        <v>0.13802636374438462</v>
      </c>
      <c r="P673" s="751">
        <f t="shared" si="98"/>
        <v>0.15053551766306789</v>
      </c>
      <c r="Q673" s="751">
        <f t="shared" si="98"/>
        <v>0.16570787387860422</v>
      </c>
      <c r="R673" s="751">
        <f t="shared" si="98"/>
        <v>0.18088313047761725</v>
      </c>
      <c r="S673" s="751">
        <f t="shared" si="98"/>
        <v>0.19605489609700499</v>
      </c>
      <c r="T673" s="751">
        <f t="shared" si="98"/>
        <v>0.21122725231254136</v>
      </c>
      <c r="U673" s="751">
        <f t="shared" si="98"/>
        <v>0.22641485812532766</v>
      </c>
      <c r="V673" s="751">
        <f t="shared" si="98"/>
        <v>0.23510843320795244</v>
      </c>
      <c r="W673" s="751">
        <f t="shared" si="98"/>
        <v>0.23954687677992159</v>
      </c>
      <c r="X673" s="751">
        <f t="shared" si="98"/>
        <v>0.24398551942216345</v>
      </c>
      <c r="Y673" s="751">
        <f t="shared" si="98"/>
        <v>0.24842416206440548</v>
      </c>
      <c r="Z673" s="751">
        <f t="shared" si="98"/>
        <v>0.25286618369450109</v>
      </c>
      <c r="AA673" s="751">
        <f t="shared" si="98"/>
        <v>0.25730482633674301</v>
      </c>
      <c r="AB673" s="751">
        <f t="shared" si="98"/>
        <v>0.26174684796683872</v>
      </c>
      <c r="AC673" s="751">
        <f t="shared" si="98"/>
        <v>0.26618549060908064</v>
      </c>
      <c r="AD673" s="751">
        <f t="shared" si="98"/>
        <v>0.27062413325132262</v>
      </c>
      <c r="AE673" s="751">
        <f t="shared" si="98"/>
        <v>0.2750659558111454</v>
      </c>
      <c r="AF673" s="751">
        <f t="shared" si="98"/>
        <v>0.27950459845338732</v>
      </c>
      <c r="AG673" s="751">
        <f t="shared" si="98"/>
        <v>0.2839432410956293</v>
      </c>
      <c r="AH673" s="752">
        <f t="shared" si="98"/>
        <v>0.28838526272572496</v>
      </c>
      <c r="AI673" s="40"/>
      <c r="AJ673" s="40"/>
      <c r="AK673" s="40"/>
      <c r="AL673" s="40"/>
      <c r="AM673" s="40"/>
    </row>
    <row r="674" spans="2:39" ht="21.9" customHeight="1" x14ac:dyDescent="0.25">
      <c r="B674" s="469"/>
      <c r="C674" s="114" t="str">
        <v>PM2.5</v>
      </c>
      <c r="D674" s="114"/>
      <c r="E674" s="114"/>
      <c r="F674" s="788">
        <f t="shared" si="96"/>
        <v>88.683301382989953</v>
      </c>
      <c r="G674" s="941">
        <f t="shared" ref="G674:AH674" si="99">G218</f>
        <v>0</v>
      </c>
      <c r="H674" s="941">
        <f t="shared" si="99"/>
        <v>0</v>
      </c>
      <c r="I674" s="751">
        <f t="shared" si="99"/>
        <v>1.3153682532681821</v>
      </c>
      <c r="J674" s="751">
        <f t="shared" si="99"/>
        <v>1.3905242037274534</v>
      </c>
      <c r="K674" s="751">
        <f t="shared" si="99"/>
        <v>1.4920389824345546</v>
      </c>
      <c r="L674" s="751">
        <f t="shared" si="99"/>
        <v>1.701850719115906</v>
      </c>
      <c r="M674" s="751">
        <f t="shared" si="99"/>
        <v>1.9117446533380207</v>
      </c>
      <c r="N674" s="751">
        <f t="shared" si="99"/>
        <v>2.1216950570155744</v>
      </c>
      <c r="O674" s="751">
        <f t="shared" si="99"/>
        <v>2.3315067936969252</v>
      </c>
      <c r="P674" s="751">
        <f t="shared" si="99"/>
        <v>2.541528620946198</v>
      </c>
      <c r="Q674" s="751">
        <f t="shared" si="99"/>
        <v>2.7960611123767141</v>
      </c>
      <c r="R674" s="751">
        <f t="shared" si="99"/>
        <v>3.0506429063581759</v>
      </c>
      <c r="S674" s="751">
        <f t="shared" si="99"/>
        <v>3.3051657558977579</v>
      </c>
      <c r="T674" s="751">
        <f t="shared" si="99"/>
        <v>3.5596982473282743</v>
      </c>
      <c r="U674" s="751">
        <f t="shared" si="99"/>
        <v>3.8144864168240407</v>
      </c>
      <c r="V674" s="751">
        <f t="shared" si="99"/>
        <v>3.9605909152822143</v>
      </c>
      <c r="W674" s="751">
        <f t="shared" si="99"/>
        <v>4.0357436157814854</v>
      </c>
      <c r="X674" s="751">
        <f t="shared" si="99"/>
        <v>4.1108995662407573</v>
      </c>
      <c r="Y674" s="751">
        <f t="shared" si="99"/>
        <v>4.1860555167000291</v>
      </c>
      <c r="Z674" s="751">
        <f t="shared" si="99"/>
        <v>4.2612684017083584</v>
      </c>
      <c r="AA674" s="751">
        <f t="shared" si="99"/>
        <v>4.3364243521676284</v>
      </c>
      <c r="AB674" s="751">
        <f t="shared" si="99"/>
        <v>4.4116372371759569</v>
      </c>
      <c r="AC674" s="751">
        <f t="shared" si="99"/>
        <v>4.4867931876352287</v>
      </c>
      <c r="AD674" s="751">
        <f t="shared" si="99"/>
        <v>4.5619491380944996</v>
      </c>
      <c r="AE674" s="751">
        <f t="shared" si="99"/>
        <v>4.6371587731428292</v>
      </c>
      <c r="AF674" s="751">
        <f t="shared" si="99"/>
        <v>4.7123147236021001</v>
      </c>
      <c r="AG674" s="751">
        <f t="shared" si="99"/>
        <v>4.7874706740613719</v>
      </c>
      <c r="AH674" s="752">
        <f t="shared" si="99"/>
        <v>4.8626835590697004</v>
      </c>
      <c r="AI674" s="40"/>
      <c r="AJ674" s="40"/>
      <c r="AK674" s="40"/>
      <c r="AL674" s="40"/>
      <c r="AM674" s="40"/>
    </row>
    <row r="675" spans="2:39" ht="21.9" customHeight="1" x14ac:dyDescent="0.25">
      <c r="B675" s="469"/>
      <c r="C675" s="114" t="str">
        <v>CO2</v>
      </c>
      <c r="D675" s="114"/>
      <c r="E675" s="114"/>
      <c r="F675" s="788">
        <f t="shared" si="96"/>
        <v>24851334.058857966</v>
      </c>
      <c r="G675" s="941">
        <f t="shared" ref="G675:AH675" si="100">G221</f>
        <v>0</v>
      </c>
      <c r="H675" s="941">
        <f t="shared" si="100"/>
        <v>0</v>
      </c>
      <c r="I675" s="751">
        <f t="shared" si="100"/>
        <v>366989.44759252883</v>
      </c>
      <c r="J675" s="751">
        <f t="shared" si="100"/>
        <v>387984.27809085569</v>
      </c>
      <c r="K675" s="751">
        <f t="shared" si="100"/>
        <v>416456.31317407475</v>
      </c>
      <c r="L675" s="751">
        <f t="shared" si="100"/>
        <v>475463.19607449195</v>
      </c>
      <c r="M675" s="751">
        <f t="shared" si="100"/>
        <v>534493.22446221171</v>
      </c>
      <c r="N675" s="751">
        <f t="shared" si="100"/>
        <v>593539.25606447086</v>
      </c>
      <c r="O675" s="751">
        <f t="shared" si="100"/>
        <v>652546.13896488794</v>
      </c>
      <c r="P675" s="751">
        <f t="shared" si="100"/>
        <v>711612.17568691005</v>
      </c>
      <c r="Q675" s="751">
        <f t="shared" si="100"/>
        <v>783241.74322306516</v>
      </c>
      <c r="R675" s="751">
        <f t="shared" si="100"/>
        <v>854885.04065783799</v>
      </c>
      <c r="S675" s="751">
        <f t="shared" si="100"/>
        <v>926511.8352104167</v>
      </c>
      <c r="T675" s="751">
        <f t="shared" si="100"/>
        <v>998141.40274657169</v>
      </c>
      <c r="U675" s="751">
        <f t="shared" si="100"/>
        <v>1069842.9558939477</v>
      </c>
      <c r="V675" s="751">
        <f t="shared" si="100"/>
        <v>1110900.763655666</v>
      </c>
      <c r="W675" s="751">
        <f t="shared" si="100"/>
        <v>1131894.6594736732</v>
      </c>
      <c r="X675" s="751">
        <f t="shared" si="100"/>
        <v>1152889.4899720002</v>
      </c>
      <c r="Y675" s="751">
        <f t="shared" si="100"/>
        <v>1173884.3204703275</v>
      </c>
      <c r="Z675" s="751">
        <f t="shared" si="100"/>
        <v>1194895.1176118755</v>
      </c>
      <c r="AA675" s="751">
        <f t="shared" si="100"/>
        <v>1215889.9481102023</v>
      </c>
      <c r="AB675" s="751">
        <f t="shared" si="100"/>
        <v>1236900.7452517506</v>
      </c>
      <c r="AC675" s="751">
        <f t="shared" si="100"/>
        <v>1257895.5757500781</v>
      </c>
      <c r="AD675" s="751">
        <f t="shared" si="100"/>
        <v>1278890.4062484046</v>
      </c>
      <c r="AE675" s="751">
        <f t="shared" si="100"/>
        <v>1299900.2687096333</v>
      </c>
      <c r="AF675" s="751">
        <f t="shared" si="100"/>
        <v>1320895.0992079601</v>
      </c>
      <c r="AG675" s="751">
        <f t="shared" si="100"/>
        <v>1341889.9297062871</v>
      </c>
      <c r="AH675" s="752">
        <f t="shared" si="100"/>
        <v>1362900.7268478354</v>
      </c>
      <c r="AI675" s="40"/>
      <c r="AJ675" s="40"/>
      <c r="AK675" s="40"/>
      <c r="AL675" s="40"/>
      <c r="AM675" s="40"/>
    </row>
    <row r="676" spans="2:39" ht="21.9" customHeight="1" x14ac:dyDescent="0.25">
      <c r="B676" s="781" t="s">
        <v>452</v>
      </c>
      <c r="C676" s="217" t="str" cm="1">
        <f t="array" ref="C676:C679">_xlfn.ANCHORARRAY($B$13)</f>
        <v>NOx</v>
      </c>
      <c r="D676" s="217"/>
      <c r="E676" s="217"/>
      <c r="F676" s="789">
        <f t="shared" si="96"/>
        <v>2784.2409168800023</v>
      </c>
      <c r="G676" s="749">
        <f t="shared" ref="G676:AH676" si="101">G426</f>
        <v>0</v>
      </c>
      <c r="H676" s="749">
        <f t="shared" si="101"/>
        <v>0</v>
      </c>
      <c r="I676" s="749">
        <f t="shared" si="101"/>
        <v>40.964381970310605</v>
      </c>
      <c r="J676" s="749">
        <f t="shared" si="101"/>
        <v>43.256575579240412</v>
      </c>
      <c r="K676" s="749">
        <f t="shared" si="101"/>
        <v>47.58303095857476</v>
      </c>
      <c r="L676" s="749">
        <f t="shared" si="101"/>
        <v>54.917075846691084</v>
      </c>
      <c r="M676" s="749">
        <f t="shared" si="101"/>
        <v>62.254800200819588</v>
      </c>
      <c r="N676" s="749">
        <f t="shared" si="101"/>
        <v>69.592629755756761</v>
      </c>
      <c r="O676" s="749">
        <f t="shared" si="101"/>
        <v>76.926674643873099</v>
      </c>
      <c r="P676" s="749">
        <f t="shared" si="101"/>
        <v>84.268167269823479</v>
      </c>
      <c r="Q676" s="749">
        <f t="shared" si="101"/>
        <v>91.291538477892971</v>
      </c>
      <c r="R676" s="749">
        <f t="shared" si="101"/>
        <v>98.316772053172926</v>
      </c>
      <c r="S676" s="749">
        <f t="shared" si="101"/>
        <v>105.34001114478853</v>
      </c>
      <c r="T676" s="749">
        <f t="shared" si="101"/>
        <v>112.36338235285805</v>
      </c>
      <c r="U676" s="749">
        <f t="shared" si="101"/>
        <v>119.39435083923867</v>
      </c>
      <c r="V676" s="749">
        <f t="shared" si="101"/>
        <v>123.44472568005796</v>
      </c>
      <c r="W676" s="749">
        <f t="shared" si="101"/>
        <v>125.66202525818022</v>
      </c>
      <c r="X676" s="749">
        <f t="shared" si="101"/>
        <v>127.87932483630254</v>
      </c>
      <c r="Y676" s="749">
        <f t="shared" si="101"/>
        <v>130.09662441442487</v>
      </c>
      <c r="Z676" s="749">
        <f t="shared" si="101"/>
        <v>132.31586177347523</v>
      </c>
      <c r="AA676" s="749">
        <f t="shared" si="101"/>
        <v>134.53316135159753</v>
      </c>
      <c r="AB676" s="749">
        <f t="shared" si="101"/>
        <v>136.75240264229529</v>
      </c>
      <c r="AC676" s="749">
        <f t="shared" si="101"/>
        <v>138.96970222041753</v>
      </c>
      <c r="AD676" s="749">
        <f t="shared" si="101"/>
        <v>141.18700179853988</v>
      </c>
      <c r="AE676" s="749">
        <f t="shared" si="101"/>
        <v>143.40623915759028</v>
      </c>
      <c r="AF676" s="749">
        <f t="shared" si="101"/>
        <v>145.6235387357126</v>
      </c>
      <c r="AG676" s="749">
        <f t="shared" si="101"/>
        <v>147.84083831383489</v>
      </c>
      <c r="AH676" s="750">
        <f t="shared" si="101"/>
        <v>150.06007960453258</v>
      </c>
      <c r="AI676" s="40"/>
      <c r="AJ676" s="40"/>
      <c r="AK676" s="40"/>
      <c r="AL676" s="40"/>
      <c r="AM676" s="40"/>
    </row>
    <row r="677" spans="2:39" ht="21.9" customHeight="1" x14ac:dyDescent="0.25">
      <c r="B677" s="758"/>
      <c r="C677" s="114" t="str">
        <v>SOx</v>
      </c>
      <c r="D677" s="114"/>
      <c r="E677" s="114"/>
      <c r="F677" s="788">
        <f t="shared" si="96"/>
        <v>5.2919564241466617</v>
      </c>
      <c r="G677" s="941">
        <f t="shared" ref="G677:AH677" si="102">G429</f>
        <v>0</v>
      </c>
      <c r="H677" s="941">
        <f t="shared" si="102"/>
        <v>0</v>
      </c>
      <c r="I677" s="751">
        <f t="shared" si="102"/>
        <v>7.7362870003282208E-2</v>
      </c>
      <c r="J677" s="751">
        <f t="shared" si="102"/>
        <v>8.170428537768791E-2</v>
      </c>
      <c r="K677" s="751">
        <f t="shared" si="102"/>
        <v>8.9969559797605458E-2</v>
      </c>
      <c r="L677" s="751">
        <f t="shared" si="102"/>
        <v>0.10399452409871088</v>
      </c>
      <c r="M677" s="751">
        <f t="shared" si="102"/>
        <v>0.1180265477331825</v>
      </c>
      <c r="N677" s="751">
        <f t="shared" si="102"/>
        <v>0.13205880375468307</v>
      </c>
      <c r="O677" s="751">
        <f t="shared" si="102"/>
        <v>0.14608376805578846</v>
      </c>
      <c r="P677" s="751">
        <f t="shared" si="102"/>
        <v>0.16012302621139116</v>
      </c>
      <c r="Q677" s="751">
        <f t="shared" si="102"/>
        <v>0.17353120026324281</v>
      </c>
      <c r="R677" s="751">
        <f t="shared" si="102"/>
        <v>0.1869428990778024</v>
      </c>
      <c r="S677" s="751">
        <f t="shared" si="102"/>
        <v>0.20035081250271622</v>
      </c>
      <c r="T677" s="751">
        <f t="shared" si="102"/>
        <v>0.21375898655456782</v>
      </c>
      <c r="U677" s="751">
        <f t="shared" si="102"/>
        <v>0.22718174946033171</v>
      </c>
      <c r="V677" s="751">
        <f t="shared" si="102"/>
        <v>0.23489867490495767</v>
      </c>
      <c r="W677" s="751">
        <f t="shared" si="102"/>
        <v>0.23909234636605012</v>
      </c>
      <c r="X677" s="751">
        <f t="shared" si="102"/>
        <v>0.24328601782714271</v>
      </c>
      <c r="Y677" s="751">
        <f t="shared" si="102"/>
        <v>0.24747968928823533</v>
      </c>
      <c r="Z677" s="751">
        <f t="shared" si="102"/>
        <v>0.25167708367685759</v>
      </c>
      <c r="AA677" s="751">
        <f t="shared" si="102"/>
        <v>0.25587075513795005</v>
      </c>
      <c r="AB677" s="751">
        <f t="shared" si="102"/>
        <v>0.26006815728255694</v>
      </c>
      <c r="AC677" s="751">
        <f t="shared" si="102"/>
        <v>0.26426182874364951</v>
      </c>
      <c r="AD677" s="751">
        <f t="shared" si="102"/>
        <v>0.26845550020474207</v>
      </c>
      <c r="AE677" s="751">
        <f t="shared" si="102"/>
        <v>0.27265289459336434</v>
      </c>
      <c r="AF677" s="751">
        <f t="shared" si="102"/>
        <v>0.2768465660544569</v>
      </c>
      <c r="AG677" s="751">
        <f t="shared" si="102"/>
        <v>0.28104023751554941</v>
      </c>
      <c r="AH677" s="752">
        <f t="shared" si="102"/>
        <v>0.28523763966015631</v>
      </c>
      <c r="AI677" s="40"/>
      <c r="AJ677" s="40"/>
      <c r="AK677" s="40"/>
      <c r="AL677" s="40"/>
      <c r="AM677" s="40"/>
    </row>
    <row r="678" spans="2:39" ht="21.9" customHeight="1" x14ac:dyDescent="0.25">
      <c r="B678" s="758"/>
      <c r="C678" s="114" t="str">
        <v>PM2.5</v>
      </c>
      <c r="D678" s="114"/>
      <c r="E678" s="114"/>
      <c r="F678" s="788">
        <f t="shared" si="96"/>
        <v>89.251135605686002</v>
      </c>
      <c r="G678" s="941">
        <f t="shared" ref="G678:AH678" si="103">G432</f>
        <v>0</v>
      </c>
      <c r="H678" s="941">
        <f t="shared" si="103"/>
        <v>0</v>
      </c>
      <c r="I678" s="751">
        <f t="shared" si="103"/>
        <v>1.3121113290681821</v>
      </c>
      <c r="J678" s="751">
        <f t="shared" si="103"/>
        <v>1.3855575926610479</v>
      </c>
      <c r="K678" s="751">
        <f t="shared" si="103"/>
        <v>1.5243332582448494</v>
      </c>
      <c r="L678" s="751">
        <f t="shared" si="103"/>
        <v>1.7596096731197399</v>
      </c>
      <c r="M678" s="751">
        <f t="shared" si="103"/>
        <v>1.9950041733980426</v>
      </c>
      <c r="N678" s="751">
        <f t="shared" si="103"/>
        <v>2.2304021135087639</v>
      </c>
      <c r="O678" s="751">
        <f t="shared" si="103"/>
        <v>2.4656785283836546</v>
      </c>
      <c r="P678" s="751">
        <f t="shared" si="103"/>
        <v>2.7011939741268938</v>
      </c>
      <c r="Q678" s="751">
        <f t="shared" si="103"/>
        <v>2.9264567295633555</v>
      </c>
      <c r="R678" s="751">
        <f t="shared" si="103"/>
        <v>3.1517791534709625</v>
      </c>
      <c r="S678" s="751">
        <f t="shared" si="103"/>
        <v>3.3770376539922609</v>
      </c>
      <c r="T678" s="751">
        <f t="shared" si="103"/>
        <v>3.6023004094287234</v>
      </c>
      <c r="U678" s="751">
        <f t="shared" si="103"/>
        <v>3.8278070118031815</v>
      </c>
      <c r="V678" s="751">
        <f t="shared" si="103"/>
        <v>3.9576835322209551</v>
      </c>
      <c r="W678" s="751">
        <f t="shared" si="103"/>
        <v>4.0287177741613212</v>
      </c>
      <c r="X678" s="751">
        <f t="shared" si="103"/>
        <v>4.0997520161016876</v>
      </c>
      <c r="Y678" s="751">
        <f t="shared" si="103"/>
        <v>4.1707862580420532</v>
      </c>
      <c r="Z678" s="751">
        <f t="shared" si="103"/>
        <v>4.2418827000643624</v>
      </c>
      <c r="AA678" s="751">
        <f t="shared" si="103"/>
        <v>4.3129169420047297</v>
      </c>
      <c r="AB678" s="751">
        <f t="shared" si="103"/>
        <v>4.3840135106488569</v>
      </c>
      <c r="AC678" s="751">
        <f t="shared" si="103"/>
        <v>4.4550477525892225</v>
      </c>
      <c r="AD678" s="751">
        <f t="shared" si="103"/>
        <v>4.5260819945295898</v>
      </c>
      <c r="AE678" s="751">
        <f t="shared" si="103"/>
        <v>4.5971784365518982</v>
      </c>
      <c r="AF678" s="751">
        <f t="shared" si="103"/>
        <v>4.6682126784922646</v>
      </c>
      <c r="AG678" s="751">
        <f t="shared" si="103"/>
        <v>4.7392469204326311</v>
      </c>
      <c r="AH678" s="752">
        <f t="shared" si="103"/>
        <v>4.8103434890767591</v>
      </c>
      <c r="AI678" s="40"/>
      <c r="AJ678" s="40"/>
      <c r="AK678" s="40"/>
      <c r="AL678" s="40"/>
      <c r="AM678" s="40"/>
    </row>
    <row r="679" spans="2:39" ht="21.9" customHeight="1" x14ac:dyDescent="0.25">
      <c r="B679" s="790"/>
      <c r="C679" s="250" t="str">
        <v>CO2</v>
      </c>
      <c r="D679" s="250"/>
      <c r="E679" s="250"/>
      <c r="F679" s="791">
        <f t="shared" si="96"/>
        <v>25010753.00871719</v>
      </c>
      <c r="G679" s="753">
        <f t="shared" ref="G679:AH679" si="104">G435</f>
        <v>0</v>
      </c>
      <c r="H679" s="753">
        <f t="shared" si="104"/>
        <v>0</v>
      </c>
      <c r="I679" s="753">
        <f t="shared" si="104"/>
        <v>366052.76438612887</v>
      </c>
      <c r="J679" s="753">
        <f t="shared" si="104"/>
        <v>386584.07181339542</v>
      </c>
      <c r="K679" s="753">
        <f t="shared" si="104"/>
        <v>425611.61005518731</v>
      </c>
      <c r="L679" s="753">
        <f t="shared" si="104"/>
        <v>491823.85269889596</v>
      </c>
      <c r="M679" s="753">
        <f t="shared" si="104"/>
        <v>558069.4032216242</v>
      </c>
      <c r="N679" s="753">
        <f t="shared" si="104"/>
        <v>624316.02454947401</v>
      </c>
      <c r="O679" s="753">
        <f t="shared" si="104"/>
        <v>690528.2671931826</v>
      </c>
      <c r="P679" s="753">
        <f t="shared" si="104"/>
        <v>756807.94814143016</v>
      </c>
      <c r="Q679" s="753">
        <f t="shared" si="104"/>
        <v>820127.42404323048</v>
      </c>
      <c r="R679" s="753">
        <f t="shared" si="104"/>
        <v>883463.57133939525</v>
      </c>
      <c r="S679" s="753">
        <f t="shared" si="104"/>
        <v>946781.82353829884</v>
      </c>
      <c r="T679" s="753">
        <f t="shared" si="104"/>
        <v>1010101.2994400992</v>
      </c>
      <c r="U679" s="753">
        <f t="shared" si="104"/>
        <v>1073489.5987359532</v>
      </c>
      <c r="V679" s="753">
        <f t="shared" si="104"/>
        <v>1109945.5549227011</v>
      </c>
      <c r="W679" s="753">
        <f t="shared" si="104"/>
        <v>1129783.1709906876</v>
      </c>
      <c r="X679" s="753">
        <f t="shared" si="104"/>
        <v>1149620.7870586743</v>
      </c>
      <c r="Y679" s="753">
        <f t="shared" si="104"/>
        <v>1169458.4031266607</v>
      </c>
      <c r="Z679" s="753">
        <f t="shared" si="104"/>
        <v>1189313.5806676899</v>
      </c>
      <c r="AA679" s="753">
        <f t="shared" si="104"/>
        <v>1209151.1967356766</v>
      </c>
      <c r="AB679" s="753">
        <f t="shared" si="104"/>
        <v>1229006.4106928222</v>
      </c>
      <c r="AC679" s="753">
        <f t="shared" si="104"/>
        <v>1248844.0267608087</v>
      </c>
      <c r="AD679" s="753">
        <f t="shared" si="104"/>
        <v>1268681.6428287951</v>
      </c>
      <c r="AE679" s="753">
        <f t="shared" si="104"/>
        <v>1288536.8203698245</v>
      </c>
      <c r="AF679" s="753">
        <f t="shared" si="104"/>
        <v>1308374.4364378108</v>
      </c>
      <c r="AG679" s="753">
        <f t="shared" si="104"/>
        <v>1328212.0525057972</v>
      </c>
      <c r="AH679" s="757">
        <f t="shared" si="104"/>
        <v>1348067.2664629431</v>
      </c>
      <c r="AI679" s="40"/>
      <c r="AJ679" s="40"/>
      <c r="AK679" s="40"/>
      <c r="AL679" s="40"/>
      <c r="AM679" s="40"/>
    </row>
    <row r="680" spans="2:39" ht="21.9" customHeight="1" x14ac:dyDescent="0.25">
      <c r="B680" s="758" t="s">
        <v>453</v>
      </c>
      <c r="C680" s="114" t="str" cm="1">
        <f t="array" ref="C680:C683">_xlfn.ANCHORARRAY($B$13)</f>
        <v>NOx</v>
      </c>
      <c r="D680" s="114"/>
      <c r="E680" s="114"/>
      <c r="F680" s="788">
        <f t="shared" si="96"/>
        <v>2777.9047078720851</v>
      </c>
      <c r="G680" s="941">
        <f>G639</f>
        <v>0</v>
      </c>
      <c r="H680" s="941">
        <f>H639</f>
        <v>0</v>
      </c>
      <c r="I680" s="751">
        <f t="shared" ref="I680:AH680" si="105">I639</f>
        <v>40.964381970310605</v>
      </c>
      <c r="J680" s="751">
        <f t="shared" si="105"/>
        <v>44.279935624304308</v>
      </c>
      <c r="K680" s="751">
        <f t="shared" si="105"/>
        <v>48.627297361087258</v>
      </c>
      <c r="L680" s="751">
        <f t="shared" si="105"/>
        <v>55.910468584645088</v>
      </c>
      <c r="M680" s="751">
        <f t="shared" si="105"/>
        <v>63.197349836219885</v>
      </c>
      <c r="N680" s="751">
        <f t="shared" si="105"/>
        <v>70.484146753717454</v>
      </c>
      <c r="O680" s="751">
        <f t="shared" si="105"/>
        <v>77.767317977275297</v>
      </c>
      <c r="P680" s="751">
        <f t="shared" si="105"/>
        <v>85.057925694155998</v>
      </c>
      <c r="Q680" s="751">
        <f t="shared" si="105"/>
        <v>91.780665308626865</v>
      </c>
      <c r="R680" s="751">
        <f t="shared" si="105"/>
        <v>98.505271615120222</v>
      </c>
      <c r="S680" s="751">
        <f t="shared" si="105"/>
        <v>105.22805167313604</v>
      </c>
      <c r="T680" s="751">
        <f t="shared" si="105"/>
        <v>111.95079128760695</v>
      </c>
      <c r="U680" s="751">
        <f t="shared" si="105"/>
        <v>118.68101371703135</v>
      </c>
      <c r="V680" s="751">
        <f t="shared" si="105"/>
        <v>122.50165933774394</v>
      </c>
      <c r="W680" s="751">
        <f t="shared" si="105"/>
        <v>124.71843053196014</v>
      </c>
      <c r="X680" s="751">
        <f t="shared" si="105"/>
        <v>126.93520172617636</v>
      </c>
      <c r="Y680" s="751">
        <f t="shared" si="105"/>
        <v>129.15197292039258</v>
      </c>
      <c r="Z680" s="751">
        <f t="shared" si="105"/>
        <v>131.37071292606296</v>
      </c>
      <c r="AA680" s="751">
        <f t="shared" si="105"/>
        <v>133.58748412027913</v>
      </c>
      <c r="AB680" s="751">
        <f t="shared" si="105"/>
        <v>135.80610173704639</v>
      </c>
      <c r="AC680" s="751">
        <f t="shared" si="105"/>
        <v>138.02287293126255</v>
      </c>
      <c r="AD680" s="751">
        <f t="shared" si="105"/>
        <v>140.23964412547878</v>
      </c>
      <c r="AE680" s="751">
        <f t="shared" si="105"/>
        <v>142.45838413114922</v>
      </c>
      <c r="AF680" s="751">
        <f t="shared" si="105"/>
        <v>144.67515532536541</v>
      </c>
      <c r="AG680" s="751">
        <f t="shared" si="105"/>
        <v>146.8919265195816</v>
      </c>
      <c r="AH680" s="752">
        <f t="shared" si="105"/>
        <v>149.11054413634878</v>
      </c>
      <c r="AI680" s="40"/>
      <c r="AJ680" s="40"/>
      <c r="AK680" s="40"/>
      <c r="AL680" s="40"/>
      <c r="AM680" s="40"/>
    </row>
    <row r="681" spans="2:39" ht="21.9" customHeight="1" x14ac:dyDescent="0.25">
      <c r="B681" s="758"/>
      <c r="C681" s="114" t="str">
        <v>SOx</v>
      </c>
      <c r="D681" s="114"/>
      <c r="E681" s="114"/>
      <c r="F681" s="788">
        <f t="shared" si="96"/>
        <v>5.2794569458263396</v>
      </c>
      <c r="G681" s="941">
        <f>G642</f>
        <v>0</v>
      </c>
      <c r="H681" s="941">
        <f>H642</f>
        <v>0</v>
      </c>
      <c r="I681" s="751">
        <f t="shared" ref="I681:AH681" si="106">I642</f>
        <v>7.7362870003282208E-2</v>
      </c>
      <c r="J681" s="751">
        <f t="shared" si="106"/>
        <v>8.3723074006847115E-2</v>
      </c>
      <c r="K681" s="751">
        <f t="shared" si="106"/>
        <v>9.2029590526158694E-2</v>
      </c>
      <c r="L681" s="751">
        <f t="shared" si="106"/>
        <v>0.10595419603757932</v>
      </c>
      <c r="M681" s="751">
        <f t="shared" si="106"/>
        <v>0.11988592117222023</v>
      </c>
      <c r="N681" s="751">
        <f t="shared" si="106"/>
        <v>0.13381750479725976</v>
      </c>
      <c r="O681" s="751">
        <f t="shared" si="106"/>
        <v>0.1477421103086804</v>
      </c>
      <c r="P681" s="751">
        <f t="shared" si="106"/>
        <v>0.16168098749248216</v>
      </c>
      <c r="Q681" s="751">
        <f t="shared" si="106"/>
        <v>0.17449610375822011</v>
      </c>
      <c r="R681" s="751">
        <f t="shared" si="106"/>
        <v>0.18731475331824904</v>
      </c>
      <c r="S681" s="751">
        <f t="shared" si="106"/>
        <v>0.2001299493672157</v>
      </c>
      <c r="T681" s="751">
        <f t="shared" si="106"/>
        <v>0.21294506563295357</v>
      </c>
      <c r="U681" s="751">
        <f t="shared" si="106"/>
        <v>0.2257745449500371</v>
      </c>
      <c r="V681" s="751">
        <f t="shared" si="106"/>
        <v>0.23303828215502631</v>
      </c>
      <c r="W681" s="751">
        <f t="shared" si="106"/>
        <v>0.2372309112699508</v>
      </c>
      <c r="X681" s="751">
        <f t="shared" si="106"/>
        <v>0.24142354038487537</v>
      </c>
      <c r="Y681" s="751">
        <f t="shared" si="106"/>
        <v>0.24561616949979997</v>
      </c>
      <c r="Z681" s="751">
        <f t="shared" si="106"/>
        <v>0.24981258275636309</v>
      </c>
      <c r="AA681" s="751">
        <f t="shared" si="106"/>
        <v>0.25400521187128761</v>
      </c>
      <c r="AB681" s="751">
        <f t="shared" si="106"/>
        <v>0.25820138369051165</v>
      </c>
      <c r="AC681" s="751">
        <f t="shared" si="106"/>
        <v>0.26239401280543623</v>
      </c>
      <c r="AD681" s="751">
        <f t="shared" si="106"/>
        <v>0.26658664192036075</v>
      </c>
      <c r="AE681" s="751">
        <f t="shared" si="106"/>
        <v>0.27078305517692397</v>
      </c>
      <c r="AF681" s="751">
        <f t="shared" si="106"/>
        <v>0.27497568429184843</v>
      </c>
      <c r="AG681" s="751">
        <f t="shared" si="106"/>
        <v>0.27916831340677301</v>
      </c>
      <c r="AH681" s="752">
        <f t="shared" si="106"/>
        <v>0.28336448522599711</v>
      </c>
      <c r="AI681" s="40"/>
      <c r="AJ681" s="40"/>
      <c r="AK681" s="40"/>
      <c r="AL681" s="40"/>
      <c r="AM681" s="40"/>
    </row>
    <row r="682" spans="2:39" ht="21.9" customHeight="1" x14ac:dyDescent="0.25">
      <c r="B682" s="758"/>
      <c r="C682" s="114" t="str">
        <v>PM2.5</v>
      </c>
      <c r="D682" s="114"/>
      <c r="E682" s="114"/>
      <c r="F682" s="788">
        <f t="shared" si="96"/>
        <v>88.760693415224893</v>
      </c>
      <c r="G682" s="941">
        <f>G645</f>
        <v>0</v>
      </c>
      <c r="H682" s="941">
        <f>H645</f>
        <v>0</v>
      </c>
      <c r="I682" s="751">
        <f t="shared" ref="I682:AH682" si="107">I645</f>
        <v>1.3068553290681821</v>
      </c>
      <c r="J682" s="751">
        <f t="shared" si="107"/>
        <v>1.4129365288283477</v>
      </c>
      <c r="K682" s="751">
        <f t="shared" si="107"/>
        <v>1.5519578078323495</v>
      </c>
      <c r="L682" s="751">
        <f t="shared" si="107"/>
        <v>1.7850274179977403</v>
      </c>
      <c r="M682" s="751">
        <f t="shared" si="107"/>
        <v>2.0182159226401426</v>
      </c>
      <c r="N682" s="751">
        <f t="shared" si="107"/>
        <v>2.251400536593664</v>
      </c>
      <c r="O682" s="751">
        <f t="shared" si="107"/>
        <v>2.4844701467590546</v>
      </c>
      <c r="P682" s="751">
        <f t="shared" si="107"/>
        <v>2.7177778124543934</v>
      </c>
      <c r="Q682" s="751">
        <f t="shared" si="107"/>
        <v>2.9328396634206553</v>
      </c>
      <c r="R682" s="751">
        <f t="shared" si="107"/>
        <v>3.1479617601420626</v>
      </c>
      <c r="S682" s="751">
        <f t="shared" si="107"/>
        <v>3.3630248844247608</v>
      </c>
      <c r="T682" s="751">
        <f t="shared" si="107"/>
        <v>3.5780867353910235</v>
      </c>
      <c r="U682" s="751">
        <f t="shared" si="107"/>
        <v>3.7933869073120827</v>
      </c>
      <c r="V682" s="751">
        <f t="shared" si="107"/>
        <v>3.9154870848229546</v>
      </c>
      <c r="W682" s="751">
        <f t="shared" si="107"/>
        <v>3.9861811241406206</v>
      </c>
      <c r="X682" s="751">
        <f t="shared" si="107"/>
        <v>4.0568751634582876</v>
      </c>
      <c r="Y682" s="751">
        <f t="shared" si="107"/>
        <v>4.1275692027759527</v>
      </c>
      <c r="Z682" s="751">
        <f t="shared" si="107"/>
        <v>4.1983260911382621</v>
      </c>
      <c r="AA682" s="751">
        <f t="shared" si="107"/>
        <v>4.269020130455929</v>
      </c>
      <c r="AB682" s="751">
        <f t="shared" si="107"/>
        <v>4.339772639186557</v>
      </c>
      <c r="AC682" s="751">
        <f t="shared" si="107"/>
        <v>4.410466678504223</v>
      </c>
      <c r="AD682" s="751">
        <f t="shared" si="107"/>
        <v>4.48116071782189</v>
      </c>
      <c r="AE682" s="751">
        <f t="shared" si="107"/>
        <v>4.5519176061841984</v>
      </c>
      <c r="AF682" s="751">
        <f t="shared" si="107"/>
        <v>4.6226116455018644</v>
      </c>
      <c r="AG682" s="751">
        <f t="shared" si="107"/>
        <v>4.6933056848195305</v>
      </c>
      <c r="AH682" s="752">
        <f t="shared" si="107"/>
        <v>4.7640581935501594</v>
      </c>
      <c r="AI682" s="40"/>
      <c r="AJ682" s="40"/>
      <c r="AK682" s="40"/>
      <c r="AL682" s="40"/>
      <c r="AM682" s="40"/>
    </row>
    <row r="683" spans="2:39" ht="21.9" customHeight="1" thickBot="1" x14ac:dyDescent="0.3">
      <c r="B683" s="761"/>
      <c r="C683" s="274" t="str">
        <v>CO2</v>
      </c>
      <c r="D683" s="274"/>
      <c r="E683" s="274"/>
      <c r="F683" s="792">
        <f t="shared" si="96"/>
        <v>24952065.108066186</v>
      </c>
      <c r="G683" s="786">
        <f>G648</f>
        <v>0</v>
      </c>
      <c r="H683" s="786">
        <f>H648</f>
        <v>0</v>
      </c>
      <c r="I683" s="786">
        <f t="shared" ref="I683:AH683" si="108">I648</f>
        <v>366052.76438612887</v>
      </c>
      <c r="J683" s="786">
        <f t="shared" si="108"/>
        <v>396062.74472015689</v>
      </c>
      <c r="K683" s="786">
        <f t="shared" si="108"/>
        <v>435283.92402198724</v>
      </c>
      <c r="L683" s="786">
        <f t="shared" si="108"/>
        <v>501024.95926587202</v>
      </c>
      <c r="M683" s="786">
        <f t="shared" si="108"/>
        <v>566799.58546338743</v>
      </c>
      <c r="N683" s="786">
        <f t="shared" si="108"/>
        <v>632573.52693609474</v>
      </c>
      <c r="O683" s="786">
        <f t="shared" si="108"/>
        <v>698314.56217997929</v>
      </c>
      <c r="P683" s="786">
        <f t="shared" si="108"/>
        <v>764122.93157831021</v>
      </c>
      <c r="Q683" s="786">
        <f t="shared" si="108"/>
        <v>824657.8659544721</v>
      </c>
      <c r="R683" s="786">
        <f t="shared" si="108"/>
        <v>885209.51178272627</v>
      </c>
      <c r="S683" s="786">
        <f t="shared" si="108"/>
        <v>945744.82075933879</v>
      </c>
      <c r="T683" s="786">
        <f t="shared" si="108"/>
        <v>1006279.755135501</v>
      </c>
      <c r="U683" s="786">
        <f t="shared" si="108"/>
        <v>1066882.4527111822</v>
      </c>
      <c r="V683" s="786">
        <f t="shared" si="108"/>
        <v>1101210.5867838853</v>
      </c>
      <c r="W683" s="786">
        <f t="shared" si="108"/>
        <v>1121043.3087989532</v>
      </c>
      <c r="X683" s="786">
        <f t="shared" si="108"/>
        <v>1140876.0308140214</v>
      </c>
      <c r="Y683" s="786">
        <f t="shared" si="108"/>
        <v>1160708.7528290898</v>
      </c>
      <c r="Z683" s="786">
        <f t="shared" si="108"/>
        <v>1180559.3237313987</v>
      </c>
      <c r="AA683" s="786">
        <f t="shared" si="108"/>
        <v>1200392.0457464671</v>
      </c>
      <c r="AB683" s="786">
        <f t="shared" si="108"/>
        <v>1220241.4830454206</v>
      </c>
      <c r="AC683" s="786">
        <f t="shared" si="108"/>
        <v>1240074.2050604885</v>
      </c>
      <c r="AD683" s="786">
        <f t="shared" si="108"/>
        <v>1259906.9270755567</v>
      </c>
      <c r="AE683" s="786">
        <f t="shared" si="108"/>
        <v>1279757.4979778661</v>
      </c>
      <c r="AF683" s="786">
        <f t="shared" si="108"/>
        <v>1299590.219992934</v>
      </c>
      <c r="AG683" s="786">
        <f t="shared" si="108"/>
        <v>1319422.9420080022</v>
      </c>
      <c r="AH683" s="787">
        <f t="shared" si="108"/>
        <v>1339272.3793069557</v>
      </c>
      <c r="AI683" s="40"/>
      <c r="AJ683" s="40"/>
      <c r="AK683" s="40"/>
      <c r="AL683" s="40"/>
      <c r="AM683" s="40"/>
    </row>
    <row r="684" spans="2:39" ht="21.9" customHeight="1" x14ac:dyDescent="0.25">
      <c r="B684" s="1"/>
      <c r="F684"/>
      <c r="G684" s="24"/>
      <c r="H684" s="24"/>
      <c r="I684" s="39"/>
      <c r="J684" s="39"/>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row>
    <row r="685" spans="2:39" ht="21.9" customHeight="1" x14ac:dyDescent="0.25">
      <c r="B685" s="1"/>
      <c r="F685"/>
      <c r="G685" s="24"/>
      <c r="H685" s="24"/>
      <c r="I685" s="39"/>
      <c r="J685" s="39"/>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row>
    <row r="686" spans="2:39" ht="21.9" customHeight="1" thickBot="1" x14ac:dyDescent="0.3">
      <c r="B686" s="769" t="s">
        <v>477</v>
      </c>
      <c r="AI686" s="40"/>
      <c r="AJ686" s="40"/>
      <c r="AK686" s="40"/>
      <c r="AL686" s="40"/>
      <c r="AM686" s="40"/>
    </row>
    <row r="687" spans="2:39" ht="21.9" customHeight="1" x14ac:dyDescent="0.25">
      <c r="B687" s="805" t="s">
        <v>469</v>
      </c>
      <c r="C687" s="734" t="s">
        <v>42</v>
      </c>
      <c r="D687" s="734"/>
      <c r="E687" s="734"/>
      <c r="F687" s="806" t="s">
        <v>25</v>
      </c>
      <c r="G687" s="734">
        <v>2021</v>
      </c>
      <c r="H687" s="734">
        <v>2022</v>
      </c>
      <c r="I687" s="734">
        <v>2023</v>
      </c>
      <c r="J687" s="734">
        <v>2024</v>
      </c>
      <c r="K687" s="734">
        <v>2025</v>
      </c>
      <c r="L687" s="734">
        <v>2026</v>
      </c>
      <c r="M687" s="734">
        <v>2027</v>
      </c>
      <c r="N687" s="734">
        <v>2028</v>
      </c>
      <c r="O687" s="734">
        <v>2029</v>
      </c>
      <c r="P687" s="734">
        <v>2030</v>
      </c>
      <c r="Q687" s="734">
        <v>2031</v>
      </c>
      <c r="R687" s="734">
        <v>2032</v>
      </c>
      <c r="S687" s="734">
        <v>2033</v>
      </c>
      <c r="T687" s="734">
        <v>2034</v>
      </c>
      <c r="U687" s="734">
        <v>2035</v>
      </c>
      <c r="V687" s="734">
        <v>2036</v>
      </c>
      <c r="W687" s="734">
        <v>2037</v>
      </c>
      <c r="X687" s="734">
        <v>2038</v>
      </c>
      <c r="Y687" s="734">
        <v>2039</v>
      </c>
      <c r="Z687" s="734">
        <v>2040</v>
      </c>
      <c r="AA687" s="734">
        <v>2041</v>
      </c>
      <c r="AB687" s="734">
        <v>2042</v>
      </c>
      <c r="AC687" s="734">
        <v>2043</v>
      </c>
      <c r="AD687" s="734">
        <v>2044</v>
      </c>
      <c r="AE687" s="734">
        <v>2045</v>
      </c>
      <c r="AF687" s="734">
        <v>2046</v>
      </c>
      <c r="AG687" s="734">
        <v>2047</v>
      </c>
      <c r="AH687" s="734">
        <v>2048</v>
      </c>
      <c r="AI687" s="247"/>
      <c r="AJ687" s="247"/>
      <c r="AK687" s="247"/>
      <c r="AL687" s="247"/>
      <c r="AM687" s="247"/>
    </row>
    <row r="688" spans="2:39" ht="21.9" customHeight="1" x14ac:dyDescent="0.25">
      <c r="B688" s="781" t="s">
        <v>452</v>
      </c>
      <c r="C688" s="217" t="str" cm="1">
        <f t="array" ref="C688:C691">_xlfn.ANCHORARRAY($B$13)</f>
        <v>NOx</v>
      </c>
      <c r="D688" s="793"/>
      <c r="E688" s="793"/>
      <c r="F688" s="789">
        <f t="shared" ref="F688:F695" si="109">SUM(G688:AH688)</f>
        <v>-17.708095040673612</v>
      </c>
      <c r="G688" s="749">
        <f t="shared" ref="G688:H691" si="110">G672-G676</f>
        <v>0</v>
      </c>
      <c r="H688" s="749">
        <f t="shared" si="110"/>
        <v>0</v>
      </c>
      <c r="I688" s="749">
        <f t="shared" ref="I688:AH688" si="111">I672-I676</f>
        <v>0.10112852059999966</v>
      </c>
      <c r="J688" s="749">
        <f t="shared" si="111"/>
        <v>0.15477035619369417</v>
      </c>
      <c r="K688" s="749">
        <f t="shared" si="111"/>
        <v>-1.0053586885575641</v>
      </c>
      <c r="L688" s="749">
        <f t="shared" si="111"/>
        <v>-1.7983755321393389</v>
      </c>
      <c r="M688" s="749">
        <f t="shared" si="111"/>
        <v>-2.5925098370991222</v>
      </c>
      <c r="N688" s="749">
        <f t="shared" si="111"/>
        <v>-3.3849912711280155</v>
      </c>
      <c r="O688" s="749">
        <f t="shared" si="111"/>
        <v>-4.1780081147098116</v>
      </c>
      <c r="P688" s="749">
        <f t="shared" si="111"/>
        <v>-4.9719243261643413</v>
      </c>
      <c r="Q688" s="749">
        <f t="shared" si="111"/>
        <v>-4.0609644048706457</v>
      </c>
      <c r="R688" s="749">
        <f t="shared" si="111"/>
        <v>-3.1503271316481118</v>
      </c>
      <c r="S688" s="749">
        <f t="shared" si="111"/>
        <v>-2.2395344776460888</v>
      </c>
      <c r="T688" s="749">
        <f t="shared" si="111"/>
        <v>-1.328574556352379</v>
      </c>
      <c r="U688" s="749">
        <f t="shared" si="111"/>
        <v>-0.41724253580999004</v>
      </c>
      <c r="V688" s="749">
        <f t="shared" si="111"/>
        <v>8.792811826982927E-2</v>
      </c>
      <c r="W688" s="749">
        <f t="shared" si="111"/>
        <v>0.21636307239103303</v>
      </c>
      <c r="X688" s="749">
        <f t="shared" si="111"/>
        <v>0.34489893879222677</v>
      </c>
      <c r="Y688" s="749">
        <f t="shared" si="111"/>
        <v>0.47343480519339209</v>
      </c>
      <c r="Z688" s="749">
        <f t="shared" si="111"/>
        <v>0.60180876166683106</v>
      </c>
      <c r="AA688" s="749">
        <f t="shared" si="111"/>
        <v>0.73034462806799638</v>
      </c>
      <c r="AB688" s="749">
        <f t="shared" si="111"/>
        <v>0.85871465289397975</v>
      </c>
      <c r="AC688" s="749">
        <f t="shared" si="111"/>
        <v>0.98725051929528718</v>
      </c>
      <c r="AD688" s="749">
        <f t="shared" si="111"/>
        <v>1.1157863856963957</v>
      </c>
      <c r="AE688" s="749">
        <f t="shared" si="111"/>
        <v>1.2440594298897736</v>
      </c>
      <c r="AF688" s="749">
        <f t="shared" si="111"/>
        <v>1.3725952962909957</v>
      </c>
      <c r="AG688" s="749">
        <f t="shared" si="111"/>
        <v>1.5011311626921326</v>
      </c>
      <c r="AH688" s="750">
        <f t="shared" si="111"/>
        <v>1.6295011875182297</v>
      </c>
      <c r="AI688" s="40"/>
      <c r="AJ688" s="40"/>
      <c r="AK688" s="40"/>
      <c r="AL688" s="40"/>
      <c r="AM688" s="40"/>
    </row>
    <row r="689" spans="2:39" ht="21.9" customHeight="1" x14ac:dyDescent="0.25">
      <c r="B689" s="758"/>
      <c r="C689" s="114" t="str">
        <v>SOx</v>
      </c>
      <c r="D689" s="794"/>
      <c r="E689" s="794"/>
      <c r="F689" s="788">
        <f t="shared" si="109"/>
        <v>-3.3747097901239767E-2</v>
      </c>
      <c r="G689" s="941">
        <f t="shared" si="110"/>
        <v>0</v>
      </c>
      <c r="H689" s="941">
        <f t="shared" si="110"/>
        <v>0</v>
      </c>
      <c r="I689" s="751">
        <f t="shared" ref="I689:AH689" si="112">I673-I677</f>
        <v>1.994968520177276E-4</v>
      </c>
      <c r="J689" s="751">
        <f t="shared" si="112"/>
        <v>2.9672411985398606E-4</v>
      </c>
      <c r="K689" s="751">
        <f t="shared" si="112"/>
        <v>-1.9428884115301887E-3</v>
      </c>
      <c r="L689" s="751">
        <f t="shared" si="112"/>
        <v>-3.4712302527535044E-3</v>
      </c>
      <c r="M689" s="751">
        <f t="shared" si="112"/>
        <v>-5.0017280745018045E-3</v>
      </c>
      <c r="N689" s="751">
        <f t="shared" si="112"/>
        <v>-6.5290624701805078E-3</v>
      </c>
      <c r="O689" s="751">
        <f t="shared" si="112"/>
        <v>-8.0574043114038374E-3</v>
      </c>
      <c r="P689" s="751">
        <f t="shared" si="112"/>
        <v>-9.5875085483232703E-3</v>
      </c>
      <c r="Q689" s="751">
        <f t="shared" si="112"/>
        <v>-7.8233263846385903E-3</v>
      </c>
      <c r="R689" s="751">
        <f t="shared" si="112"/>
        <v>-6.0597686001851447E-3</v>
      </c>
      <c r="S689" s="751">
        <f t="shared" si="112"/>
        <v>-4.2959164057112253E-3</v>
      </c>
      <c r="T689" s="751">
        <f t="shared" si="112"/>
        <v>-2.5317342420264621E-3</v>
      </c>
      <c r="U689" s="751">
        <f t="shared" si="112"/>
        <v>-7.6689133500404405E-4</v>
      </c>
      <c r="V689" s="751">
        <f t="shared" si="112"/>
        <v>2.0975830299477249E-4</v>
      </c>
      <c r="W689" s="751">
        <f t="shared" si="112"/>
        <v>4.5453041387147342E-4</v>
      </c>
      <c r="X689" s="751">
        <f t="shared" si="112"/>
        <v>6.9950159502074616E-4</v>
      </c>
      <c r="Y689" s="751">
        <f t="shared" si="112"/>
        <v>9.4447277617015768E-4</v>
      </c>
      <c r="Z689" s="751">
        <f t="shared" si="112"/>
        <v>1.1891000176434963E-3</v>
      </c>
      <c r="AA689" s="751">
        <f t="shared" si="112"/>
        <v>1.4340711987929633E-3</v>
      </c>
      <c r="AB689" s="751">
        <f t="shared" si="112"/>
        <v>1.6786906842817806E-3</v>
      </c>
      <c r="AC689" s="751">
        <f t="shared" si="112"/>
        <v>1.9236618654311366E-3</v>
      </c>
      <c r="AD689" s="751">
        <f t="shared" si="112"/>
        <v>2.1686330465805481E-3</v>
      </c>
      <c r="AE689" s="751">
        <f t="shared" si="112"/>
        <v>2.4130612177810651E-3</v>
      </c>
      <c r="AF689" s="751">
        <f t="shared" si="112"/>
        <v>2.6580323989304211E-3</v>
      </c>
      <c r="AG689" s="751">
        <f t="shared" si="112"/>
        <v>2.9030035800798881E-3</v>
      </c>
      <c r="AH689" s="752">
        <f t="shared" si="112"/>
        <v>3.1476230655686499E-3</v>
      </c>
      <c r="AI689" s="40"/>
      <c r="AJ689" s="40"/>
      <c r="AK689" s="40"/>
      <c r="AL689" s="40"/>
      <c r="AM689" s="40"/>
    </row>
    <row r="690" spans="2:39" ht="21.9" customHeight="1" x14ac:dyDescent="0.25">
      <c r="B690" s="758"/>
      <c r="C690" s="114" t="str">
        <v>PM2.5</v>
      </c>
      <c r="D690" s="794"/>
      <c r="E690" s="794"/>
      <c r="F690" s="788">
        <f t="shared" si="109"/>
        <v>-0.56783422269605244</v>
      </c>
      <c r="G690" s="941">
        <f t="shared" si="110"/>
        <v>0</v>
      </c>
      <c r="H690" s="941">
        <f t="shared" si="110"/>
        <v>0</v>
      </c>
      <c r="I690" s="751">
        <f t="shared" ref="I690:AH690" si="113">I674-I678</f>
        <v>3.2569242000000109E-3</v>
      </c>
      <c r="J690" s="751">
        <f t="shared" si="113"/>
        <v>4.9666110664055019E-3</v>
      </c>
      <c r="K690" s="751">
        <f t="shared" si="113"/>
        <v>-3.229427581029487E-2</v>
      </c>
      <c r="L690" s="751">
        <f t="shared" si="113"/>
        <v>-5.7758954003833907E-2</v>
      </c>
      <c r="M690" s="751">
        <f t="shared" si="113"/>
        <v>-8.3259520060021908E-2</v>
      </c>
      <c r="N690" s="751">
        <f t="shared" si="113"/>
        <v>-0.10870705649318957</v>
      </c>
      <c r="O690" s="751">
        <f t="shared" si="113"/>
        <v>-0.13417173468672949</v>
      </c>
      <c r="P690" s="751">
        <f t="shared" si="113"/>
        <v>-0.15966535318069575</v>
      </c>
      <c r="Q690" s="751">
        <f t="shared" si="113"/>
        <v>-0.13039561718664139</v>
      </c>
      <c r="R690" s="751">
        <f t="shared" si="113"/>
        <v>-0.10113624711278657</v>
      </c>
      <c r="S690" s="751">
        <f t="shared" si="113"/>
        <v>-7.1871898094503006E-2</v>
      </c>
      <c r="T690" s="751">
        <f t="shared" si="113"/>
        <v>-4.2602162100449092E-2</v>
      </c>
      <c r="U690" s="751">
        <f t="shared" si="113"/>
        <v>-1.3320594979140843E-2</v>
      </c>
      <c r="V690" s="751">
        <f t="shared" si="113"/>
        <v>2.90738306125915E-3</v>
      </c>
      <c r="W690" s="751">
        <f t="shared" si="113"/>
        <v>7.0258416201642859E-3</v>
      </c>
      <c r="X690" s="751">
        <f t="shared" si="113"/>
        <v>1.1147550139069651E-2</v>
      </c>
      <c r="Y690" s="751">
        <f t="shared" si="113"/>
        <v>1.5269258657975904E-2</v>
      </c>
      <c r="Z690" s="751">
        <f t="shared" si="113"/>
        <v>1.9385701643996001E-2</v>
      </c>
      <c r="AA690" s="751">
        <f t="shared" si="113"/>
        <v>2.3507410162898701E-2</v>
      </c>
      <c r="AB690" s="751">
        <f t="shared" si="113"/>
        <v>2.762372652709999E-2</v>
      </c>
      <c r="AC690" s="751">
        <f t="shared" si="113"/>
        <v>3.1745435046006243E-2</v>
      </c>
      <c r="AD690" s="751">
        <f t="shared" si="113"/>
        <v>3.5867143564909831E-2</v>
      </c>
      <c r="AE690" s="751">
        <f t="shared" si="113"/>
        <v>3.9980336590931032E-2</v>
      </c>
      <c r="AF690" s="751">
        <f t="shared" si="113"/>
        <v>4.4102045109835508E-2</v>
      </c>
      <c r="AG690" s="751">
        <f t="shared" si="113"/>
        <v>4.8223753628740873E-2</v>
      </c>
      <c r="AH690" s="752">
        <f t="shared" si="113"/>
        <v>5.2340069992941274E-2</v>
      </c>
      <c r="AI690" s="40"/>
      <c r="AJ690" s="40"/>
      <c r="AK690" s="40"/>
      <c r="AL690" s="40"/>
      <c r="AM690" s="40"/>
    </row>
    <row r="691" spans="2:39" ht="21.9" customHeight="1" x14ac:dyDescent="0.25">
      <c r="B691" s="790"/>
      <c r="C691" s="250" t="str">
        <v>CO2</v>
      </c>
      <c r="D691" s="795"/>
      <c r="E691" s="795"/>
      <c r="F691" s="791">
        <f t="shared" si="109"/>
        <v>-159418.94985922222</v>
      </c>
      <c r="G691" s="753">
        <f t="shared" si="110"/>
        <v>0</v>
      </c>
      <c r="H691" s="753">
        <f t="shared" si="110"/>
        <v>0</v>
      </c>
      <c r="I691" s="753">
        <f t="shared" ref="I691:AH691" si="114">I675-I679</f>
        <v>936.68320639996091</v>
      </c>
      <c r="J691" s="753">
        <f t="shared" si="114"/>
        <v>1400.2062774602673</v>
      </c>
      <c r="K691" s="753">
        <f t="shared" si="114"/>
        <v>-9155.2968811125611</v>
      </c>
      <c r="L691" s="753">
        <f t="shared" si="114"/>
        <v>-16360.656624404015</v>
      </c>
      <c r="M691" s="753">
        <f t="shared" si="114"/>
        <v>-23576.178759412491</v>
      </c>
      <c r="N691" s="753">
        <f t="shared" si="114"/>
        <v>-30776.768485003151</v>
      </c>
      <c r="O691" s="753">
        <f t="shared" si="114"/>
        <v>-37982.128228294663</v>
      </c>
      <c r="P691" s="753">
        <f t="shared" si="114"/>
        <v>-45195.772454520105</v>
      </c>
      <c r="Q691" s="753">
        <f t="shared" si="114"/>
        <v>-36885.680820165318</v>
      </c>
      <c r="R691" s="753">
        <f t="shared" si="114"/>
        <v>-28578.530681557255</v>
      </c>
      <c r="S691" s="753">
        <f t="shared" si="114"/>
        <v>-20269.988327882136</v>
      </c>
      <c r="T691" s="753">
        <f t="shared" si="114"/>
        <v>-11959.896693527466</v>
      </c>
      <c r="U691" s="753">
        <f t="shared" si="114"/>
        <v>-3646.6428420054726</v>
      </c>
      <c r="V691" s="753">
        <f t="shared" si="114"/>
        <v>955.20873296493664</v>
      </c>
      <c r="W691" s="753">
        <f t="shared" si="114"/>
        <v>2111.4884829856455</v>
      </c>
      <c r="X691" s="753">
        <f t="shared" si="114"/>
        <v>3268.7029133259784</v>
      </c>
      <c r="Y691" s="753">
        <f t="shared" si="114"/>
        <v>4425.917343666777</v>
      </c>
      <c r="Z691" s="753">
        <f t="shared" si="114"/>
        <v>5581.5369441856164</v>
      </c>
      <c r="AA691" s="753">
        <f t="shared" si="114"/>
        <v>6738.7513745257165</v>
      </c>
      <c r="AB691" s="753">
        <f t="shared" si="114"/>
        <v>7894.3345589283854</v>
      </c>
      <c r="AC691" s="753">
        <f t="shared" si="114"/>
        <v>9051.5489892694168</v>
      </c>
      <c r="AD691" s="753">
        <f t="shared" si="114"/>
        <v>10208.763419609517</v>
      </c>
      <c r="AE691" s="753">
        <f t="shared" si="114"/>
        <v>11363.448339808732</v>
      </c>
      <c r="AF691" s="753">
        <f t="shared" si="114"/>
        <v>12520.662770149298</v>
      </c>
      <c r="AG691" s="753">
        <f t="shared" si="114"/>
        <v>13677.877200489864</v>
      </c>
      <c r="AH691" s="757">
        <f t="shared" si="114"/>
        <v>14833.4603848923</v>
      </c>
      <c r="AI691" s="40"/>
      <c r="AJ691" s="40"/>
      <c r="AK691" s="40"/>
      <c r="AL691" s="40"/>
      <c r="AM691" s="40"/>
    </row>
    <row r="692" spans="2:39" ht="21.9" customHeight="1" x14ac:dyDescent="0.25">
      <c r="B692" s="758" t="s">
        <v>453</v>
      </c>
      <c r="C692" s="114" t="str" cm="1">
        <f t="array" ref="C692:C695">_xlfn.ANCHORARRAY($B$13)</f>
        <v>NOx</v>
      </c>
      <c r="D692" s="794"/>
      <c r="E692" s="794"/>
      <c r="F692" s="788">
        <f t="shared" si="109"/>
        <v>-11.371886032756422</v>
      </c>
      <c r="G692" s="941">
        <f t="shared" ref="G692:H695" si="115">G672-G680</f>
        <v>0</v>
      </c>
      <c r="H692" s="941">
        <f t="shared" si="115"/>
        <v>0</v>
      </c>
      <c r="I692" s="751">
        <f t="shared" ref="I692:AH692" si="116">I672-I680</f>
        <v>0.10112852059999966</v>
      </c>
      <c r="J692" s="751">
        <f t="shared" si="116"/>
        <v>-0.86858968887020183</v>
      </c>
      <c r="K692" s="751">
        <f t="shared" si="116"/>
        <v>-2.0496250910700624</v>
      </c>
      <c r="L692" s="751">
        <f t="shared" si="116"/>
        <v>-2.7917682700933426</v>
      </c>
      <c r="M692" s="751">
        <f t="shared" si="116"/>
        <v>-3.5350594724994195</v>
      </c>
      <c r="N692" s="751">
        <f t="shared" si="116"/>
        <v>-4.2765082690887084</v>
      </c>
      <c r="O692" s="751">
        <f t="shared" si="116"/>
        <v>-5.0186514481120099</v>
      </c>
      <c r="P692" s="751">
        <f t="shared" si="116"/>
        <v>-5.7616827504968597</v>
      </c>
      <c r="Q692" s="751">
        <f t="shared" si="116"/>
        <v>-4.5500912356045404</v>
      </c>
      <c r="R692" s="751">
        <f t="shared" si="116"/>
        <v>-3.3388266935954078</v>
      </c>
      <c r="S692" s="751">
        <f t="shared" si="116"/>
        <v>-2.1275750059935916</v>
      </c>
      <c r="T692" s="751">
        <f t="shared" si="116"/>
        <v>-0.91598349110127231</v>
      </c>
      <c r="U692" s="751">
        <f t="shared" si="116"/>
        <v>0.29609458639733077</v>
      </c>
      <c r="V692" s="751">
        <f t="shared" si="116"/>
        <v>1.030994460583841</v>
      </c>
      <c r="W692" s="751">
        <f t="shared" si="116"/>
        <v>1.1599577986111171</v>
      </c>
      <c r="X692" s="751">
        <f t="shared" si="116"/>
        <v>1.2890220489184117</v>
      </c>
      <c r="Y692" s="751">
        <f t="shared" si="116"/>
        <v>1.4180862992256777</v>
      </c>
      <c r="Z692" s="751">
        <f t="shared" si="116"/>
        <v>1.5469576090791008</v>
      </c>
      <c r="AA692" s="751">
        <f t="shared" si="116"/>
        <v>1.6760218593863954</v>
      </c>
      <c r="AB692" s="751">
        <f t="shared" si="116"/>
        <v>1.8050155581428839</v>
      </c>
      <c r="AC692" s="751">
        <f t="shared" si="116"/>
        <v>1.9340798084502637</v>
      </c>
      <c r="AD692" s="751">
        <f t="shared" si="116"/>
        <v>2.0631440587575014</v>
      </c>
      <c r="AE692" s="751">
        <f t="shared" si="116"/>
        <v>2.191914456330835</v>
      </c>
      <c r="AF692" s="751">
        <f t="shared" si="116"/>
        <v>2.3209787066381864</v>
      </c>
      <c r="AG692" s="751">
        <f t="shared" si="116"/>
        <v>2.4500429569454241</v>
      </c>
      <c r="AH692" s="752">
        <f t="shared" si="116"/>
        <v>2.5790366557020263</v>
      </c>
      <c r="AI692" s="40"/>
      <c r="AJ692" s="40"/>
      <c r="AK692" s="40"/>
      <c r="AL692" s="40"/>
      <c r="AM692" s="40"/>
    </row>
    <row r="693" spans="2:39" ht="21.9" customHeight="1" x14ac:dyDescent="0.25">
      <c r="B693" s="758"/>
      <c r="C693" s="114" t="str">
        <v>SOx</v>
      </c>
      <c r="D693" s="794"/>
      <c r="E693" s="794"/>
      <c r="F693" s="788">
        <f t="shared" si="109"/>
        <v>-2.1247619580917948E-2</v>
      </c>
      <c r="G693" s="941">
        <f t="shared" si="115"/>
        <v>0</v>
      </c>
      <c r="H693" s="941">
        <f t="shared" si="115"/>
        <v>0</v>
      </c>
      <c r="I693" s="751">
        <f t="shared" ref="I693:AH693" si="117">I673-I681</f>
        <v>1.994968520177276E-4</v>
      </c>
      <c r="J693" s="751">
        <f t="shared" si="117"/>
        <v>-1.7220645093052184E-3</v>
      </c>
      <c r="K693" s="751">
        <f t="shared" si="117"/>
        <v>-4.0029191400834246E-3</v>
      </c>
      <c r="L693" s="751">
        <f t="shared" si="117"/>
        <v>-5.4309021916219419E-3</v>
      </c>
      <c r="M693" s="751">
        <f t="shared" si="117"/>
        <v>-6.8611015135395387E-3</v>
      </c>
      <c r="N693" s="751">
        <f t="shared" si="117"/>
        <v>-8.2877635127572014E-3</v>
      </c>
      <c r="O693" s="751">
        <f t="shared" si="117"/>
        <v>-9.7157465642957741E-3</v>
      </c>
      <c r="P693" s="751">
        <f t="shared" si="117"/>
        <v>-1.1145469829414278E-2</v>
      </c>
      <c r="Q693" s="751">
        <f t="shared" si="117"/>
        <v>-8.7882298796158886E-3</v>
      </c>
      <c r="R693" s="751">
        <f t="shared" si="117"/>
        <v>-6.4316228406317844E-3</v>
      </c>
      <c r="S693" s="751">
        <f t="shared" si="117"/>
        <v>-4.0750532702107101E-3</v>
      </c>
      <c r="T693" s="751">
        <f t="shared" si="117"/>
        <v>-1.7178133204122092E-3</v>
      </c>
      <c r="U693" s="751">
        <f t="shared" si="117"/>
        <v>6.4031317529056331E-4</v>
      </c>
      <c r="V693" s="751">
        <f t="shared" si="117"/>
        <v>2.070151052926128E-3</v>
      </c>
      <c r="W693" s="751">
        <f t="shared" si="117"/>
        <v>2.315965509970791E-3</v>
      </c>
      <c r="X693" s="751">
        <f t="shared" si="117"/>
        <v>2.5619790372880813E-3</v>
      </c>
      <c r="Y693" s="751">
        <f t="shared" si="117"/>
        <v>2.8079925646055104E-3</v>
      </c>
      <c r="Z693" s="751">
        <f t="shared" si="117"/>
        <v>3.0536009381380014E-3</v>
      </c>
      <c r="AA693" s="751">
        <f t="shared" si="117"/>
        <v>3.2996144654554027E-3</v>
      </c>
      <c r="AB693" s="751">
        <f t="shared" si="117"/>
        <v>3.5454642763270705E-3</v>
      </c>
      <c r="AC693" s="751">
        <f t="shared" si="117"/>
        <v>3.7914778036444163E-3</v>
      </c>
      <c r="AD693" s="751">
        <f t="shared" si="117"/>
        <v>4.0374913309618732E-3</v>
      </c>
      <c r="AE693" s="751">
        <f t="shared" si="117"/>
        <v>4.2829006342214315E-3</v>
      </c>
      <c r="AF693" s="751">
        <f t="shared" si="117"/>
        <v>4.5289141615388884E-3</v>
      </c>
      <c r="AG693" s="751">
        <f t="shared" si="117"/>
        <v>4.7749276888562897E-3</v>
      </c>
      <c r="AH693" s="752">
        <f t="shared" si="117"/>
        <v>5.0207774997278465E-3</v>
      </c>
      <c r="AI693" s="40"/>
      <c r="AJ693" s="40"/>
      <c r="AK693" s="40"/>
      <c r="AL693" s="40"/>
      <c r="AM693" s="40"/>
    </row>
    <row r="694" spans="2:39" ht="21.9" customHeight="1" x14ac:dyDescent="0.25">
      <c r="B694" s="758"/>
      <c r="C694" s="114" t="str">
        <v>PM2.5</v>
      </c>
      <c r="D694" s="794"/>
      <c r="E694" s="794"/>
      <c r="F694" s="788">
        <f t="shared" si="109"/>
        <v>-7.7392032234951502E-2</v>
      </c>
      <c r="G694" s="941">
        <f t="shared" si="115"/>
        <v>0</v>
      </c>
      <c r="H694" s="941">
        <f t="shared" si="115"/>
        <v>0</v>
      </c>
      <c r="I694" s="751">
        <f t="shared" ref="I694:AH694" si="118">I674-I682</f>
        <v>8.5129241999999383E-3</v>
      </c>
      <c r="J694" s="751">
        <f t="shared" si="118"/>
        <v>-2.2412325100894304E-2</v>
      </c>
      <c r="K694" s="751">
        <f t="shared" si="118"/>
        <v>-5.9918825397794917E-2</v>
      </c>
      <c r="L694" s="751">
        <f t="shared" si="118"/>
        <v>-8.3176698881834321E-2</v>
      </c>
      <c r="M694" s="751">
        <f t="shared" si="118"/>
        <v>-0.10647126930212192</v>
      </c>
      <c r="N694" s="751">
        <f t="shared" si="118"/>
        <v>-0.12970547957808964</v>
      </c>
      <c r="O694" s="751">
        <f t="shared" si="118"/>
        <v>-0.15296335306212949</v>
      </c>
      <c r="P694" s="751">
        <f t="shared" si="118"/>
        <v>-0.1762491915081954</v>
      </c>
      <c r="Q694" s="751">
        <f t="shared" si="118"/>
        <v>-0.13677855104394121</v>
      </c>
      <c r="R694" s="751">
        <f t="shared" si="118"/>
        <v>-9.7318853783886716E-2</v>
      </c>
      <c r="S694" s="751">
        <f t="shared" si="118"/>
        <v>-5.7859128527002923E-2</v>
      </c>
      <c r="T694" s="751">
        <f t="shared" si="118"/>
        <v>-1.8388488062749175E-2</v>
      </c>
      <c r="U694" s="751">
        <f t="shared" si="118"/>
        <v>2.1099509511957937E-2</v>
      </c>
      <c r="V694" s="751">
        <f t="shared" si="118"/>
        <v>4.5103830459259697E-2</v>
      </c>
      <c r="W694" s="751">
        <f t="shared" si="118"/>
        <v>4.9562491640864792E-2</v>
      </c>
      <c r="X694" s="751">
        <f t="shared" si="118"/>
        <v>5.4024402782469672E-2</v>
      </c>
      <c r="Y694" s="751">
        <f t="shared" si="118"/>
        <v>5.8486313924076327E-2</v>
      </c>
      <c r="Z694" s="751">
        <f t="shared" si="118"/>
        <v>6.294231057009636E-2</v>
      </c>
      <c r="AA694" s="751">
        <f t="shared" si="118"/>
        <v>6.7404221711699464E-2</v>
      </c>
      <c r="AB694" s="751">
        <f t="shared" si="118"/>
        <v>7.1864597989399925E-2</v>
      </c>
      <c r="AC694" s="751">
        <f t="shared" si="118"/>
        <v>7.6326509131005693E-2</v>
      </c>
      <c r="AD694" s="751">
        <f t="shared" si="118"/>
        <v>8.0788420272609685E-2</v>
      </c>
      <c r="AE694" s="751">
        <f t="shared" si="118"/>
        <v>8.5241166958630821E-2</v>
      </c>
      <c r="AF694" s="751">
        <f t="shared" si="118"/>
        <v>8.97030781002357E-2</v>
      </c>
      <c r="AG694" s="751">
        <f t="shared" si="118"/>
        <v>9.4164989241841468E-2</v>
      </c>
      <c r="AH694" s="752">
        <f t="shared" si="118"/>
        <v>9.8625365519541042E-2</v>
      </c>
      <c r="AI694" s="40"/>
      <c r="AJ694" s="40"/>
      <c r="AK694" s="40"/>
      <c r="AL694" s="40"/>
      <c r="AM694" s="40"/>
    </row>
    <row r="695" spans="2:39" ht="21.9" customHeight="1" thickBot="1" x14ac:dyDescent="0.3">
      <c r="B695" s="761"/>
      <c r="C695" s="274" t="str">
        <v>CO2</v>
      </c>
      <c r="D695" s="796"/>
      <c r="E695" s="796"/>
      <c r="F695" s="792">
        <f t="shared" si="109"/>
        <v>-100731.04920821131</v>
      </c>
      <c r="G695" s="786">
        <f t="shared" si="115"/>
        <v>0</v>
      </c>
      <c r="H695" s="786">
        <f t="shared" si="115"/>
        <v>0</v>
      </c>
      <c r="I695" s="786">
        <f t="shared" ref="I695:AH695" si="119">I675-I683</f>
        <v>936.68320639996091</v>
      </c>
      <c r="J695" s="786">
        <f t="shared" si="119"/>
        <v>-8078.4666293011978</v>
      </c>
      <c r="K695" s="786">
        <f t="shared" si="119"/>
        <v>-18827.610847912496</v>
      </c>
      <c r="L695" s="786">
        <f t="shared" si="119"/>
        <v>-25561.763191380072</v>
      </c>
      <c r="M695" s="786">
        <f t="shared" si="119"/>
        <v>-32306.361001175712</v>
      </c>
      <c r="N695" s="786">
        <f t="shared" si="119"/>
        <v>-39034.270871623885</v>
      </c>
      <c r="O695" s="786">
        <f t="shared" si="119"/>
        <v>-45768.423215091345</v>
      </c>
      <c r="P695" s="786">
        <f t="shared" si="119"/>
        <v>-52510.755891400157</v>
      </c>
      <c r="Q695" s="786">
        <f t="shared" si="119"/>
        <v>-41416.12273140694</v>
      </c>
      <c r="R695" s="786">
        <f t="shared" si="119"/>
        <v>-30324.471124888281</v>
      </c>
      <c r="S695" s="786">
        <f t="shared" si="119"/>
        <v>-19232.985548922094</v>
      </c>
      <c r="T695" s="786">
        <f t="shared" si="119"/>
        <v>-8138.3523889293429</v>
      </c>
      <c r="U695" s="786">
        <f t="shared" si="119"/>
        <v>2960.5031827655621</v>
      </c>
      <c r="V695" s="786">
        <f t="shared" si="119"/>
        <v>9690.1768717807718</v>
      </c>
      <c r="W695" s="786">
        <f t="shared" si="119"/>
        <v>10851.350674720015</v>
      </c>
      <c r="X695" s="786">
        <f t="shared" si="119"/>
        <v>12013.459157978883</v>
      </c>
      <c r="Y695" s="786">
        <f t="shared" si="119"/>
        <v>13175.567641237751</v>
      </c>
      <c r="Z695" s="786">
        <f t="shared" si="119"/>
        <v>14335.793880476849</v>
      </c>
      <c r="AA695" s="786">
        <f t="shared" si="119"/>
        <v>15497.902363735251</v>
      </c>
      <c r="AB695" s="786">
        <f t="shared" si="119"/>
        <v>16659.262206329964</v>
      </c>
      <c r="AC695" s="786">
        <f t="shared" si="119"/>
        <v>17821.37068958953</v>
      </c>
      <c r="AD695" s="786">
        <f t="shared" si="119"/>
        <v>18983.479172847932</v>
      </c>
      <c r="AE695" s="786">
        <f t="shared" si="119"/>
        <v>20142.770731767174</v>
      </c>
      <c r="AF695" s="786">
        <f t="shared" si="119"/>
        <v>21304.879215026041</v>
      </c>
      <c r="AG695" s="786">
        <f t="shared" si="119"/>
        <v>22466.987698284909</v>
      </c>
      <c r="AH695" s="787">
        <f t="shared" si="119"/>
        <v>23628.347540879622</v>
      </c>
      <c r="AI695" s="40"/>
      <c r="AJ695" s="40"/>
      <c r="AK695" s="40"/>
      <c r="AL695" s="40"/>
      <c r="AM695" s="40"/>
    </row>
    <row r="696" spans="2:39" ht="21.9" customHeight="1" x14ac:dyDescent="0.25">
      <c r="B696" s="1"/>
      <c r="F696"/>
      <c r="G696" s="24"/>
      <c r="H696" s="24"/>
      <c r="I696" s="39"/>
      <c r="J696" s="39"/>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row>
    <row r="697" spans="2:39" ht="21.9" customHeight="1" x14ac:dyDescent="0.25">
      <c r="B697" s="1"/>
      <c r="F697"/>
      <c r="G697" s="24"/>
      <c r="H697" s="24"/>
      <c r="I697" s="39"/>
      <c r="J697" s="39"/>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row>
    <row r="698" spans="2:39" ht="21.9" customHeight="1" thickBot="1" x14ac:dyDescent="0.3">
      <c r="B698" s="769" t="s">
        <v>467</v>
      </c>
      <c r="AI698" s="40"/>
      <c r="AJ698" s="40"/>
      <c r="AK698" s="40"/>
      <c r="AL698" s="40"/>
      <c r="AM698" s="40"/>
    </row>
    <row r="699" spans="2:39" ht="21.9" customHeight="1" x14ac:dyDescent="0.25">
      <c r="B699" s="805" t="s">
        <v>469</v>
      </c>
      <c r="C699" s="734" t="s">
        <v>42</v>
      </c>
      <c r="D699" s="734"/>
      <c r="E699" s="734"/>
      <c r="F699" s="806" t="s">
        <v>25</v>
      </c>
      <c r="G699" s="734">
        <v>2021</v>
      </c>
      <c r="H699" s="734">
        <v>2022</v>
      </c>
      <c r="I699" s="734">
        <v>2023</v>
      </c>
      <c r="J699" s="734">
        <v>2024</v>
      </c>
      <c r="K699" s="734">
        <v>2025</v>
      </c>
      <c r="L699" s="734">
        <v>2026</v>
      </c>
      <c r="M699" s="734">
        <v>2027</v>
      </c>
      <c r="N699" s="734">
        <v>2028</v>
      </c>
      <c r="O699" s="734">
        <v>2029</v>
      </c>
      <c r="P699" s="734">
        <v>2030</v>
      </c>
      <c r="Q699" s="734">
        <v>2031</v>
      </c>
      <c r="R699" s="734">
        <v>2032</v>
      </c>
      <c r="S699" s="734">
        <v>2033</v>
      </c>
      <c r="T699" s="734">
        <v>2034</v>
      </c>
      <c r="U699" s="734">
        <v>2035</v>
      </c>
      <c r="V699" s="734">
        <v>2036</v>
      </c>
      <c r="W699" s="734">
        <v>2037</v>
      </c>
      <c r="X699" s="734">
        <v>2038</v>
      </c>
      <c r="Y699" s="734">
        <v>2039</v>
      </c>
      <c r="Z699" s="734">
        <v>2040</v>
      </c>
      <c r="AA699" s="734">
        <v>2041</v>
      </c>
      <c r="AB699" s="734">
        <v>2042</v>
      </c>
      <c r="AC699" s="734">
        <v>2043</v>
      </c>
      <c r="AD699" s="734">
        <v>2044</v>
      </c>
      <c r="AE699" s="734">
        <v>2045</v>
      </c>
      <c r="AF699" s="734">
        <v>2046</v>
      </c>
      <c r="AG699" s="734">
        <v>2047</v>
      </c>
      <c r="AH699" s="734">
        <v>2048</v>
      </c>
      <c r="AI699" s="247"/>
      <c r="AJ699" s="247"/>
      <c r="AK699" s="247"/>
      <c r="AL699" s="247"/>
      <c r="AM699" s="247"/>
    </row>
    <row r="700" spans="2:39" ht="21.9" customHeight="1" x14ac:dyDescent="0.25">
      <c r="B700" s="758" t="s">
        <v>126</v>
      </c>
      <c r="C700" s="114" t="str" cm="1">
        <f t="array" ref="C700:C703">_xlfn.ANCHORARRAY($B$13)</f>
        <v>NOx</v>
      </c>
      <c r="D700" s="114"/>
      <c r="E700" s="114"/>
      <c r="F700" s="797">
        <f t="shared" ref="F700:F711" si="120">SUM(G700:AH700)</f>
        <v>60409515.939546794</v>
      </c>
      <c r="G700" s="774">
        <f t="shared" ref="G700:AH700" si="121">G672*G13</f>
        <v>0</v>
      </c>
      <c r="H700" s="774">
        <f t="shared" si="121"/>
        <v>0</v>
      </c>
      <c r="I700" s="783">
        <f t="shared" si="121"/>
        <v>813097.10772003001</v>
      </c>
      <c r="J700" s="783">
        <f t="shared" si="121"/>
        <v>872568.05330222554</v>
      </c>
      <c r="K700" s="783">
        <f t="shared" si="121"/>
        <v>945526.74708134902</v>
      </c>
      <c r="L700" s="783">
        <f t="shared" si="121"/>
        <v>1094245.226479766</v>
      </c>
      <c r="M700" s="783">
        <f t="shared" si="121"/>
        <v>1252908.0976381297</v>
      </c>
      <c r="N700" s="783">
        <f t="shared" si="121"/>
        <v>1410222.6997225923</v>
      </c>
      <c r="O700" s="783">
        <f t="shared" si="121"/>
        <v>1578646.0636828432</v>
      </c>
      <c r="P700" s="783">
        <f t="shared" si="121"/>
        <v>1744517.3447605011</v>
      </c>
      <c r="Q700" s="783">
        <f t="shared" si="121"/>
        <v>1919072.6296064912</v>
      </c>
      <c r="R700" s="783">
        <f t="shared" si="121"/>
        <v>2093661.7882735459</v>
      </c>
      <c r="S700" s="783">
        <f t="shared" si="121"/>
        <v>2268210.4866771339</v>
      </c>
      <c r="T700" s="783">
        <f t="shared" si="121"/>
        <v>2442765.771523125</v>
      </c>
      <c r="U700" s="783">
        <f t="shared" si="121"/>
        <v>2617496.3826754307</v>
      </c>
      <c r="V700" s="783">
        <f t="shared" si="121"/>
        <v>2717718.3835632112</v>
      </c>
      <c r="W700" s="783">
        <f t="shared" si="121"/>
        <v>2769324.5432725674</v>
      </c>
      <c r="X700" s="783">
        <f t="shared" si="121"/>
        <v>2820932.9230520851</v>
      </c>
      <c r="Y700" s="783">
        <f t="shared" si="121"/>
        <v>2872541.3028316018</v>
      </c>
      <c r="Z700" s="783">
        <f t="shared" si="121"/>
        <v>2924188.7517731255</v>
      </c>
      <c r="AA700" s="783">
        <f t="shared" si="121"/>
        <v>2975797.1315526417</v>
      </c>
      <c r="AB700" s="783">
        <f t="shared" si="121"/>
        <v>3027444.580494164</v>
      </c>
      <c r="AC700" s="783">
        <f t="shared" si="121"/>
        <v>3079052.9602736821</v>
      </c>
      <c r="AD700" s="783">
        <f t="shared" si="121"/>
        <v>3130661.3400531979</v>
      </c>
      <c r="AE700" s="783">
        <f t="shared" si="121"/>
        <v>3182306.5689245611</v>
      </c>
      <c r="AF700" s="783">
        <f t="shared" si="121"/>
        <v>3233914.9487040793</v>
      </c>
      <c r="AG700" s="783">
        <f t="shared" si="121"/>
        <v>3285523.3284835946</v>
      </c>
      <c r="AH700" s="775">
        <f t="shared" si="121"/>
        <v>3337170.7774251178</v>
      </c>
      <c r="AI700" s="40"/>
      <c r="AJ700" s="40"/>
      <c r="AK700" s="40"/>
      <c r="AL700" s="40"/>
      <c r="AM700" s="40"/>
    </row>
    <row r="701" spans="2:39" ht="21.9" customHeight="1" x14ac:dyDescent="0.25">
      <c r="B701" s="469"/>
      <c r="C701" s="114" t="str">
        <v>SOx</v>
      </c>
      <c r="D701" s="114"/>
      <c r="E701" s="114"/>
      <c r="F701" s="797">
        <f t="shared" si="120"/>
        <v>319940.70300551259</v>
      </c>
      <c r="G701" s="774">
        <f t="shared" ref="G701:AH701" si="122">G673*G14</f>
        <v>0</v>
      </c>
      <c r="H701" s="774">
        <f t="shared" si="122"/>
        <v>0</v>
      </c>
      <c r="I701" s="783">
        <f t="shared" si="122"/>
        <v>4103.0492066453662</v>
      </c>
      <c r="J701" s="783">
        <f t="shared" si="122"/>
        <v>4411.6543109677541</v>
      </c>
      <c r="K701" s="783">
        <f t="shared" si="122"/>
        <v>4823.8615919569247</v>
      </c>
      <c r="L701" s="783">
        <f t="shared" si="122"/>
        <v>5639.356784758209</v>
      </c>
      <c r="M701" s="783">
        <f t="shared" si="122"/>
        <v>6487.6246484082722</v>
      </c>
      <c r="N701" s="783">
        <f t="shared" si="122"/>
        <v>7368.5958134003004</v>
      </c>
      <c r="O701" s="783">
        <f t="shared" si="122"/>
        <v>8295.3844610375163</v>
      </c>
      <c r="P701" s="783">
        <f t="shared" si="122"/>
        <v>9257.9343362786749</v>
      </c>
      <c r="Q701" s="783">
        <f t="shared" si="122"/>
        <v>10191.034243534159</v>
      </c>
      <c r="R701" s="783">
        <f t="shared" si="122"/>
        <v>11124.312524373461</v>
      </c>
      <c r="S701" s="783">
        <f t="shared" si="122"/>
        <v>12057.376109965808</v>
      </c>
      <c r="T701" s="783">
        <f t="shared" si="122"/>
        <v>12990.476017221294</v>
      </c>
      <c r="U701" s="783">
        <f t="shared" si="122"/>
        <v>13924.513774707651</v>
      </c>
      <c r="V701" s="783">
        <f t="shared" si="122"/>
        <v>14459.168642289074</v>
      </c>
      <c r="W701" s="783">
        <f t="shared" si="122"/>
        <v>14732.132921965178</v>
      </c>
      <c r="X701" s="783">
        <f t="shared" si="122"/>
        <v>15005.109444463053</v>
      </c>
      <c r="Y701" s="783">
        <f t="shared" si="122"/>
        <v>15278.085966960938</v>
      </c>
      <c r="Z701" s="783">
        <f t="shared" si="122"/>
        <v>15551.270297211817</v>
      </c>
      <c r="AA701" s="783">
        <f t="shared" si="122"/>
        <v>15824.246819709695</v>
      </c>
      <c r="AB701" s="783">
        <f t="shared" si="122"/>
        <v>16097.431149960581</v>
      </c>
      <c r="AC701" s="783">
        <f t="shared" si="122"/>
        <v>16370.407672458459</v>
      </c>
      <c r="AD701" s="783">
        <f t="shared" si="122"/>
        <v>16643.384194956339</v>
      </c>
      <c r="AE701" s="783">
        <f t="shared" si="122"/>
        <v>16916.556282385442</v>
      </c>
      <c r="AF701" s="783">
        <f t="shared" si="122"/>
        <v>17189.532804883322</v>
      </c>
      <c r="AG701" s="783">
        <f t="shared" si="122"/>
        <v>17462.509327381202</v>
      </c>
      <c r="AH701" s="775">
        <f t="shared" si="122"/>
        <v>17735.693657632084</v>
      </c>
      <c r="AI701" s="40"/>
      <c r="AJ701" s="40"/>
      <c r="AK701" s="40"/>
      <c r="AL701" s="40"/>
      <c r="AM701" s="40"/>
    </row>
    <row r="702" spans="2:39" ht="21.9" customHeight="1" x14ac:dyDescent="0.25">
      <c r="B702" s="469"/>
      <c r="C702" s="114" t="str">
        <v>PM2.5</v>
      </c>
      <c r="D702" s="114"/>
      <c r="E702" s="114"/>
      <c r="F702" s="797">
        <f t="shared" si="120"/>
        <v>93996257.947932646</v>
      </c>
      <c r="G702" s="774">
        <f t="shared" ref="G702:AH702" si="123">G674*G15</f>
        <v>0</v>
      </c>
      <c r="H702" s="774">
        <f t="shared" si="123"/>
        <v>0</v>
      </c>
      <c r="I702" s="783">
        <f t="shared" si="123"/>
        <v>1250915.2088580411</v>
      </c>
      <c r="J702" s="783">
        <f t="shared" si="123"/>
        <v>1339352.9130302831</v>
      </c>
      <c r="K702" s="783">
        <f t="shared" si="123"/>
        <v>1455484.027364908</v>
      </c>
      <c r="L702" s="783">
        <f t="shared" si="123"/>
        <v>1690788.6894416527</v>
      </c>
      <c r="M702" s="783">
        <f t="shared" si="123"/>
        <v>1934494.4147127431</v>
      </c>
      <c r="N702" s="783">
        <f t="shared" si="123"/>
        <v>2186618.925760251</v>
      </c>
      <c r="O702" s="783">
        <f t="shared" si="123"/>
        <v>2447149.5306642926</v>
      </c>
      <c r="P702" s="783">
        <f t="shared" si="123"/>
        <v>2716894.0957914856</v>
      </c>
      <c r="Q702" s="783">
        <f t="shared" si="123"/>
        <v>2988989.3291307073</v>
      </c>
      <c r="R702" s="783">
        <f t="shared" si="123"/>
        <v>3261137.26689689</v>
      </c>
      <c r="S702" s="783">
        <f t="shared" si="123"/>
        <v>3533222.1930547031</v>
      </c>
      <c r="T702" s="783">
        <f t="shared" si="123"/>
        <v>3805317.4263939252</v>
      </c>
      <c r="U702" s="783">
        <f t="shared" si="123"/>
        <v>4077685.9795848993</v>
      </c>
      <c r="V702" s="783">
        <f t="shared" si="123"/>
        <v>4233871.688436687</v>
      </c>
      <c r="W702" s="783">
        <f t="shared" si="123"/>
        <v>4314209.9252704084</v>
      </c>
      <c r="X702" s="783">
        <f t="shared" si="123"/>
        <v>4394551.6363113699</v>
      </c>
      <c r="Y702" s="783">
        <f t="shared" si="123"/>
        <v>4474893.3473523315</v>
      </c>
      <c r="Z702" s="783">
        <f t="shared" si="123"/>
        <v>4555295.9214262348</v>
      </c>
      <c r="AA702" s="783">
        <f t="shared" si="123"/>
        <v>4635637.6324671945</v>
      </c>
      <c r="AB702" s="783">
        <f t="shared" si="123"/>
        <v>4716040.2065410977</v>
      </c>
      <c r="AC702" s="783">
        <f t="shared" si="123"/>
        <v>4796381.9175820593</v>
      </c>
      <c r="AD702" s="783">
        <f t="shared" si="123"/>
        <v>4876723.6286230199</v>
      </c>
      <c r="AE702" s="783">
        <f t="shared" si="123"/>
        <v>4957122.7284896849</v>
      </c>
      <c r="AF702" s="783">
        <f t="shared" si="123"/>
        <v>5037464.4395306455</v>
      </c>
      <c r="AG702" s="783">
        <f t="shared" si="123"/>
        <v>5117806.1505716071</v>
      </c>
      <c r="AH702" s="775">
        <f t="shared" si="123"/>
        <v>5198208.7246455094</v>
      </c>
      <c r="AI702" s="40"/>
      <c r="AJ702" s="40"/>
      <c r="AK702" s="40"/>
      <c r="AL702" s="40"/>
      <c r="AM702" s="40"/>
    </row>
    <row r="703" spans="2:39" ht="21.9" customHeight="1" x14ac:dyDescent="0.25">
      <c r="B703" s="469"/>
      <c r="C703" s="114" t="str">
        <v>CO2</v>
      </c>
      <c r="D703" s="114"/>
      <c r="E703" s="114"/>
      <c r="F703" s="797">
        <f t="shared" si="120"/>
        <v>7239587144.6150379</v>
      </c>
      <c r="G703" s="774">
        <f t="shared" ref="G703:AH703" si="124">G675*G16</f>
        <v>0</v>
      </c>
      <c r="H703" s="774">
        <f t="shared" si="124"/>
        <v>0</v>
      </c>
      <c r="I703" s="783">
        <f t="shared" si="124"/>
        <v>83673594.051096573</v>
      </c>
      <c r="J703" s="783">
        <f t="shared" si="124"/>
        <v>90400336.795169368</v>
      </c>
      <c r="K703" s="783">
        <f t="shared" si="124"/>
        <v>98700146.222255722</v>
      </c>
      <c r="L703" s="783">
        <f t="shared" si="124"/>
        <v>114586630.25395256</v>
      </c>
      <c r="M703" s="783">
        <f t="shared" si="124"/>
        <v>130950839.99324188</v>
      </c>
      <c r="N703" s="783">
        <f t="shared" si="124"/>
        <v>148384814.01611772</v>
      </c>
      <c r="O703" s="783">
        <f t="shared" si="124"/>
        <v>165094173.15811664</v>
      </c>
      <c r="P703" s="783">
        <f t="shared" si="124"/>
        <v>182884329.15153587</v>
      </c>
      <c r="Q703" s="783">
        <f t="shared" si="124"/>
        <v>205209336.72444308</v>
      </c>
      <c r="R703" s="783">
        <f t="shared" si="124"/>
        <v>226544535.77432707</v>
      </c>
      <c r="S703" s="783">
        <f t="shared" si="124"/>
        <v>250158195.50681251</v>
      </c>
      <c r="T703" s="783">
        <f t="shared" si="124"/>
        <v>273490744.35256064</v>
      </c>
      <c r="U703" s="783">
        <f t="shared" si="124"/>
        <v>297416341.73851746</v>
      </c>
      <c r="V703" s="783">
        <f t="shared" si="124"/>
        <v>313274015.35089785</v>
      </c>
      <c r="W703" s="783">
        <f t="shared" si="124"/>
        <v>324853767.2689442</v>
      </c>
      <c r="X703" s="783">
        <f t="shared" si="124"/>
        <v>334337952.09188008</v>
      </c>
      <c r="Y703" s="783">
        <f t="shared" si="124"/>
        <v>345121990.21827626</v>
      </c>
      <c r="Z703" s="783">
        <f t="shared" si="124"/>
        <v>357273640.16595078</v>
      </c>
      <c r="AA703" s="783">
        <f t="shared" si="124"/>
        <v>368414654.27739131</v>
      </c>
      <c r="AB703" s="783">
        <f t="shared" si="124"/>
        <v>380965429.53753918</v>
      </c>
      <c r="AC703" s="783">
        <f t="shared" si="124"/>
        <v>392463419.63402438</v>
      </c>
      <c r="AD703" s="783">
        <f t="shared" si="124"/>
        <v>405408258.78074425</v>
      </c>
      <c r="AE703" s="783">
        <f t="shared" si="124"/>
        <v>417267986.25579226</v>
      </c>
      <c r="AF703" s="783">
        <f t="shared" si="124"/>
        <v>430611802.34179497</v>
      </c>
      <c r="AG703" s="783">
        <f t="shared" si="124"/>
        <v>444165566.73278105</v>
      </c>
      <c r="AH703" s="775">
        <f t="shared" si="124"/>
        <v>457934644.2208727</v>
      </c>
      <c r="AI703" s="40"/>
      <c r="AJ703" s="40"/>
      <c r="AK703" s="40"/>
      <c r="AL703" s="40"/>
      <c r="AM703" s="40"/>
    </row>
    <row r="704" spans="2:39" ht="21.9" customHeight="1" x14ac:dyDescent="0.25">
      <c r="B704" s="781" t="s">
        <v>452</v>
      </c>
      <c r="C704" s="217" t="str" cm="1">
        <f t="array" ref="C704:C707">_xlfn.ANCHORARRAY($B$13)</f>
        <v>NOx</v>
      </c>
      <c r="D704" s="217"/>
      <c r="E704" s="217"/>
      <c r="F704" s="798">
        <f t="shared" si="120"/>
        <v>60789168.335186854</v>
      </c>
      <c r="G704" s="772">
        <f t="shared" ref="G704:AH704" si="125">G676*G13</f>
        <v>0</v>
      </c>
      <c r="H704" s="772">
        <f t="shared" si="125"/>
        <v>0</v>
      </c>
      <c r="I704" s="772">
        <f t="shared" si="125"/>
        <v>811094.76301214995</v>
      </c>
      <c r="J704" s="772">
        <f t="shared" si="125"/>
        <v>869457.16914273228</v>
      </c>
      <c r="K704" s="772">
        <f t="shared" si="125"/>
        <v>965935.52845906757</v>
      </c>
      <c r="L704" s="772">
        <f t="shared" si="125"/>
        <v>1131291.7624418363</v>
      </c>
      <c r="M704" s="772">
        <f t="shared" si="125"/>
        <v>1307350.8042172114</v>
      </c>
      <c r="N704" s="772">
        <f t="shared" si="125"/>
        <v>1482323.0137976189</v>
      </c>
      <c r="O704" s="772">
        <f t="shared" si="125"/>
        <v>1669308.8397720463</v>
      </c>
      <c r="P704" s="772">
        <f t="shared" si="125"/>
        <v>1853899.6799361166</v>
      </c>
      <c r="Q704" s="772">
        <f t="shared" si="125"/>
        <v>2008413.8465136453</v>
      </c>
      <c r="R704" s="772">
        <f t="shared" si="125"/>
        <v>2162968.9851698042</v>
      </c>
      <c r="S704" s="772">
        <f t="shared" si="125"/>
        <v>2317480.2451853477</v>
      </c>
      <c r="T704" s="772">
        <f t="shared" si="125"/>
        <v>2471994.4117628774</v>
      </c>
      <c r="U704" s="772">
        <f t="shared" si="125"/>
        <v>2626675.7184632509</v>
      </c>
      <c r="V704" s="772">
        <f t="shared" si="125"/>
        <v>2715783.964961275</v>
      </c>
      <c r="W704" s="772">
        <f t="shared" si="125"/>
        <v>2764564.5556799648</v>
      </c>
      <c r="X704" s="772">
        <f t="shared" si="125"/>
        <v>2813345.1463986561</v>
      </c>
      <c r="Y704" s="772">
        <f t="shared" si="125"/>
        <v>2862125.7371173468</v>
      </c>
      <c r="Z704" s="772">
        <f t="shared" si="125"/>
        <v>2910948.9590164553</v>
      </c>
      <c r="AA704" s="772">
        <f t="shared" si="125"/>
        <v>2959729.5497351456</v>
      </c>
      <c r="AB704" s="772">
        <f t="shared" si="125"/>
        <v>3008552.8581304965</v>
      </c>
      <c r="AC704" s="772">
        <f t="shared" si="125"/>
        <v>3057333.4488491858</v>
      </c>
      <c r="AD704" s="772">
        <f t="shared" si="125"/>
        <v>3106114.0395678775</v>
      </c>
      <c r="AE704" s="772">
        <f t="shared" si="125"/>
        <v>3154937.261466986</v>
      </c>
      <c r="AF704" s="772">
        <f t="shared" si="125"/>
        <v>3203717.8521856773</v>
      </c>
      <c r="AG704" s="772">
        <f t="shared" si="125"/>
        <v>3252498.4429043676</v>
      </c>
      <c r="AH704" s="773">
        <f t="shared" si="125"/>
        <v>3301321.7512997165</v>
      </c>
      <c r="AI704" s="40"/>
      <c r="AJ704" s="40"/>
      <c r="AK704" s="40"/>
      <c r="AL704" s="40"/>
      <c r="AM704" s="40"/>
    </row>
    <row r="705" spans="2:39" ht="21.9" customHeight="1" x14ac:dyDescent="0.25">
      <c r="B705" s="758"/>
      <c r="C705" s="114" t="str">
        <v>SOx</v>
      </c>
      <c r="D705" s="114"/>
      <c r="E705" s="114"/>
      <c r="F705" s="797">
        <f t="shared" si="120"/>
        <v>321938.31915330904</v>
      </c>
      <c r="G705" s="774">
        <f t="shared" ref="G705:AH705" si="126">G677*G14</f>
        <v>0</v>
      </c>
      <c r="H705" s="774">
        <f t="shared" si="126"/>
        <v>0</v>
      </c>
      <c r="I705" s="783">
        <f t="shared" si="126"/>
        <v>4092.4958231736287</v>
      </c>
      <c r="J705" s="783">
        <f t="shared" si="126"/>
        <v>4395.6905533196095</v>
      </c>
      <c r="K705" s="783">
        <f t="shared" si="126"/>
        <v>4930.3318769087791</v>
      </c>
      <c r="L705" s="783">
        <f t="shared" si="126"/>
        <v>5834.0928019376806</v>
      </c>
      <c r="M705" s="783">
        <f t="shared" si="126"/>
        <v>6774.7238398846757</v>
      </c>
      <c r="N705" s="783">
        <f t="shared" si="126"/>
        <v>7751.8517803998957</v>
      </c>
      <c r="O705" s="783">
        <f t="shared" si="126"/>
        <v>8779.6344601528872</v>
      </c>
      <c r="P705" s="783">
        <f t="shared" si="126"/>
        <v>9847.5661120005552</v>
      </c>
      <c r="Q705" s="783">
        <f t="shared" si="126"/>
        <v>10672.168816189433</v>
      </c>
      <c r="R705" s="783">
        <f t="shared" si="126"/>
        <v>11496.988293284847</v>
      </c>
      <c r="S705" s="783">
        <f t="shared" si="126"/>
        <v>12321.574968917048</v>
      </c>
      <c r="T705" s="783">
        <f t="shared" si="126"/>
        <v>13146.177673105922</v>
      </c>
      <c r="U705" s="783">
        <f t="shared" si="126"/>
        <v>13971.677591810399</v>
      </c>
      <c r="V705" s="783">
        <f t="shared" si="126"/>
        <v>14446.268506654897</v>
      </c>
      <c r="W705" s="783">
        <f t="shared" si="126"/>
        <v>14704.179301512082</v>
      </c>
      <c r="X705" s="783">
        <f t="shared" si="126"/>
        <v>14962.090096369277</v>
      </c>
      <c r="Y705" s="783">
        <f t="shared" si="126"/>
        <v>15220.000891226473</v>
      </c>
      <c r="Z705" s="783">
        <f t="shared" si="126"/>
        <v>15478.140646126742</v>
      </c>
      <c r="AA705" s="783">
        <f t="shared" si="126"/>
        <v>15736.051440983927</v>
      </c>
      <c r="AB705" s="783">
        <f t="shared" si="126"/>
        <v>15994.191672877252</v>
      </c>
      <c r="AC705" s="783">
        <f t="shared" si="126"/>
        <v>16252.102467734445</v>
      </c>
      <c r="AD705" s="783">
        <f t="shared" si="126"/>
        <v>16510.013262591638</v>
      </c>
      <c r="AE705" s="783">
        <f t="shared" si="126"/>
        <v>16768.153017491906</v>
      </c>
      <c r="AF705" s="783">
        <f t="shared" si="126"/>
        <v>17026.063812349101</v>
      </c>
      <c r="AG705" s="783">
        <f t="shared" si="126"/>
        <v>17283.974607206288</v>
      </c>
      <c r="AH705" s="775">
        <f t="shared" si="126"/>
        <v>17542.114839099613</v>
      </c>
      <c r="AI705" s="40"/>
      <c r="AJ705" s="40"/>
      <c r="AK705" s="40"/>
      <c r="AL705" s="40"/>
      <c r="AM705" s="40"/>
    </row>
    <row r="706" spans="2:39" ht="21.9" customHeight="1" x14ac:dyDescent="0.25">
      <c r="B706" s="758"/>
      <c r="C706" s="114" t="str">
        <v>PM2.5</v>
      </c>
      <c r="D706" s="114"/>
      <c r="E706" s="114"/>
      <c r="F706" s="797">
        <f t="shared" si="120"/>
        <v>94585270.799467906</v>
      </c>
      <c r="G706" s="774">
        <f t="shared" ref="G706:AH706" si="127">G678*G15</f>
        <v>0</v>
      </c>
      <c r="H706" s="774">
        <f t="shared" si="127"/>
        <v>0</v>
      </c>
      <c r="I706" s="783">
        <f t="shared" si="127"/>
        <v>1247817.8739438411</v>
      </c>
      <c r="J706" s="783">
        <f t="shared" si="127"/>
        <v>1334569.0732511214</v>
      </c>
      <c r="K706" s="783">
        <f t="shared" si="127"/>
        <v>1486987.0934178506</v>
      </c>
      <c r="L706" s="783">
        <f t="shared" si="127"/>
        <v>1748172.2102444617</v>
      </c>
      <c r="M706" s="783">
        <f t="shared" si="127"/>
        <v>2018744.7230614794</v>
      </c>
      <c r="N706" s="783">
        <f t="shared" si="127"/>
        <v>2298652.4181821323</v>
      </c>
      <c r="O706" s="783">
        <f t="shared" si="127"/>
        <v>2587976.183391484</v>
      </c>
      <c r="P706" s="783">
        <f t="shared" si="127"/>
        <v>2887576.3583416496</v>
      </c>
      <c r="Q706" s="783">
        <f t="shared" si="127"/>
        <v>3128382.2439032272</v>
      </c>
      <c r="R706" s="783">
        <f t="shared" si="127"/>
        <v>3369251.9150604587</v>
      </c>
      <c r="S706" s="783">
        <f t="shared" si="127"/>
        <v>3610053.252117727</v>
      </c>
      <c r="T706" s="783">
        <f t="shared" si="127"/>
        <v>3850859.1376793054</v>
      </c>
      <c r="U706" s="783">
        <f t="shared" si="127"/>
        <v>4091925.6956176008</v>
      </c>
      <c r="V706" s="783">
        <f t="shared" si="127"/>
        <v>4230763.6959442012</v>
      </c>
      <c r="W706" s="783">
        <f t="shared" si="127"/>
        <v>4306699.3005784526</v>
      </c>
      <c r="X706" s="783">
        <f t="shared" si="127"/>
        <v>4382634.9052127041</v>
      </c>
      <c r="Y706" s="783">
        <f t="shared" si="127"/>
        <v>4458570.5098469546</v>
      </c>
      <c r="Z706" s="783">
        <f t="shared" si="127"/>
        <v>4534572.6063688034</v>
      </c>
      <c r="AA706" s="783">
        <f t="shared" si="127"/>
        <v>4610508.2110030558</v>
      </c>
      <c r="AB706" s="783">
        <f t="shared" si="127"/>
        <v>4686510.4428836284</v>
      </c>
      <c r="AC706" s="783">
        <f t="shared" si="127"/>
        <v>4762446.0475178789</v>
      </c>
      <c r="AD706" s="783">
        <f t="shared" si="127"/>
        <v>4838381.6521521313</v>
      </c>
      <c r="AE706" s="783">
        <f t="shared" si="127"/>
        <v>4914383.7486739792</v>
      </c>
      <c r="AF706" s="783">
        <f t="shared" si="127"/>
        <v>4990319.3533082306</v>
      </c>
      <c r="AG706" s="783">
        <f t="shared" si="127"/>
        <v>5066254.957942483</v>
      </c>
      <c r="AH706" s="775">
        <f t="shared" si="127"/>
        <v>5142257.1898230556</v>
      </c>
      <c r="AI706" s="40"/>
      <c r="AJ706" s="40"/>
      <c r="AK706" s="40"/>
      <c r="AL706" s="40"/>
      <c r="AM706" s="40"/>
    </row>
    <row r="707" spans="2:39" ht="21.9" customHeight="1" x14ac:dyDescent="0.25">
      <c r="B707" s="790"/>
      <c r="C707" s="250" t="str">
        <v>CO2</v>
      </c>
      <c r="D707" s="250"/>
      <c r="E707" s="250"/>
      <c r="F707" s="799">
        <f t="shared" si="120"/>
        <v>7274288468.3569794</v>
      </c>
      <c r="G707" s="800">
        <f t="shared" ref="G707:AH707" si="128">G679*G16</f>
        <v>0</v>
      </c>
      <c r="H707" s="800">
        <f t="shared" si="128"/>
        <v>0</v>
      </c>
      <c r="I707" s="800">
        <f t="shared" si="128"/>
        <v>83460030.280037388</v>
      </c>
      <c r="J707" s="800">
        <f t="shared" si="128"/>
        <v>90074088.732521132</v>
      </c>
      <c r="K707" s="800">
        <f t="shared" si="128"/>
        <v>100869951.5830794</v>
      </c>
      <c r="L707" s="800">
        <f t="shared" si="128"/>
        <v>118529548.50043392</v>
      </c>
      <c r="M707" s="800">
        <f t="shared" si="128"/>
        <v>136727003.78929794</v>
      </c>
      <c r="N707" s="800">
        <f t="shared" si="128"/>
        <v>156079006.1373685</v>
      </c>
      <c r="O707" s="800">
        <f t="shared" si="128"/>
        <v>174703651.59987521</v>
      </c>
      <c r="P707" s="800">
        <f t="shared" si="128"/>
        <v>194499642.67234755</v>
      </c>
      <c r="Q707" s="800">
        <f t="shared" si="128"/>
        <v>214873385.09932637</v>
      </c>
      <c r="R707" s="800">
        <f t="shared" si="128"/>
        <v>234117846.40493974</v>
      </c>
      <c r="S707" s="800">
        <f t="shared" si="128"/>
        <v>255631092.35534069</v>
      </c>
      <c r="T707" s="800">
        <f t="shared" si="128"/>
        <v>276767756.04658717</v>
      </c>
      <c r="U707" s="800">
        <f t="shared" si="128"/>
        <v>298430108.44859499</v>
      </c>
      <c r="V707" s="800">
        <f t="shared" si="128"/>
        <v>313004646.48820174</v>
      </c>
      <c r="W707" s="800">
        <f t="shared" si="128"/>
        <v>324247770.07432735</v>
      </c>
      <c r="X707" s="800">
        <f t="shared" si="128"/>
        <v>333390028.24701554</v>
      </c>
      <c r="Y707" s="800">
        <f t="shared" si="128"/>
        <v>343820770.51923823</v>
      </c>
      <c r="Z707" s="800">
        <f t="shared" si="128"/>
        <v>355604760.61963928</v>
      </c>
      <c r="AA707" s="800">
        <f t="shared" si="128"/>
        <v>366372812.61091</v>
      </c>
      <c r="AB707" s="800">
        <f t="shared" si="128"/>
        <v>378533974.49338925</v>
      </c>
      <c r="AC707" s="800">
        <f t="shared" si="128"/>
        <v>389639336.34937233</v>
      </c>
      <c r="AD707" s="800">
        <f t="shared" si="128"/>
        <v>402172080.77672803</v>
      </c>
      <c r="AE707" s="800">
        <f t="shared" si="128"/>
        <v>413620319.33871365</v>
      </c>
      <c r="AF707" s="800">
        <f t="shared" si="128"/>
        <v>426530066.27872634</v>
      </c>
      <c r="AG707" s="800">
        <f t="shared" si="128"/>
        <v>439638189.37941891</v>
      </c>
      <c r="AH707" s="801">
        <f t="shared" si="128"/>
        <v>452950601.53154886</v>
      </c>
      <c r="AI707" s="40"/>
      <c r="AJ707" s="40"/>
      <c r="AK707" s="40"/>
      <c r="AL707" s="40"/>
      <c r="AM707" s="40"/>
    </row>
    <row r="708" spans="2:39" ht="21.9" customHeight="1" x14ac:dyDescent="0.25">
      <c r="B708" s="758" t="s">
        <v>453</v>
      </c>
      <c r="C708" s="114" t="str" cm="1">
        <f t="array" ref="C708:C711">_xlfn.ANCHORARRAY($B$13)</f>
        <v>NOx</v>
      </c>
      <c r="D708" s="114"/>
      <c r="E708" s="114"/>
      <c r="F708" s="797">
        <f t="shared" si="120"/>
        <v>60642842.545675658</v>
      </c>
      <c r="G708" s="774">
        <f t="shared" ref="G708:AH708" si="129">G680*G13</f>
        <v>0</v>
      </c>
      <c r="H708" s="774">
        <f t="shared" si="129"/>
        <v>0</v>
      </c>
      <c r="I708" s="783">
        <f t="shared" si="129"/>
        <v>811094.76301214995</v>
      </c>
      <c r="J708" s="783">
        <f t="shared" si="129"/>
        <v>890026.70604851656</v>
      </c>
      <c r="K708" s="783">
        <f t="shared" si="129"/>
        <v>987134.13643007132</v>
      </c>
      <c r="L708" s="783">
        <f t="shared" si="129"/>
        <v>1151755.6528436888</v>
      </c>
      <c r="M708" s="783">
        <f t="shared" si="129"/>
        <v>1327144.3465606177</v>
      </c>
      <c r="N708" s="783">
        <f t="shared" si="129"/>
        <v>1501312.3258541818</v>
      </c>
      <c r="O708" s="783">
        <f t="shared" si="129"/>
        <v>1687550.800106874</v>
      </c>
      <c r="P708" s="783">
        <f t="shared" si="129"/>
        <v>1871274.3652714319</v>
      </c>
      <c r="Q708" s="783">
        <f t="shared" si="129"/>
        <v>2019174.6367897911</v>
      </c>
      <c r="R708" s="783">
        <f t="shared" si="129"/>
        <v>2167115.9755326449</v>
      </c>
      <c r="S708" s="783">
        <f t="shared" si="129"/>
        <v>2315017.1368089928</v>
      </c>
      <c r="T708" s="783">
        <f t="shared" si="129"/>
        <v>2462917.4083273527</v>
      </c>
      <c r="U708" s="783">
        <f t="shared" si="129"/>
        <v>2610982.3017746895</v>
      </c>
      <c r="V708" s="783">
        <f t="shared" si="129"/>
        <v>2695036.5054303668</v>
      </c>
      <c r="W708" s="783">
        <f t="shared" si="129"/>
        <v>2743805.4717031228</v>
      </c>
      <c r="X708" s="783">
        <f t="shared" si="129"/>
        <v>2792574.4379758798</v>
      </c>
      <c r="Y708" s="783">
        <f t="shared" si="129"/>
        <v>2841343.4042486367</v>
      </c>
      <c r="Z708" s="783">
        <f t="shared" si="129"/>
        <v>2890155.6843733853</v>
      </c>
      <c r="AA708" s="783">
        <f t="shared" si="129"/>
        <v>2938924.6506461408</v>
      </c>
      <c r="AB708" s="783">
        <f t="shared" si="129"/>
        <v>2987734.2382150204</v>
      </c>
      <c r="AC708" s="783">
        <f t="shared" si="129"/>
        <v>3036503.2044877764</v>
      </c>
      <c r="AD708" s="783">
        <f t="shared" si="129"/>
        <v>3085272.1707605328</v>
      </c>
      <c r="AE708" s="783">
        <f t="shared" si="129"/>
        <v>3134084.4508852828</v>
      </c>
      <c r="AF708" s="783">
        <f t="shared" si="129"/>
        <v>3182853.4171580388</v>
      </c>
      <c r="AG708" s="783">
        <f t="shared" si="129"/>
        <v>3231622.3834307953</v>
      </c>
      <c r="AH708" s="775">
        <f t="shared" si="129"/>
        <v>3280431.970999673</v>
      </c>
      <c r="AI708" s="40"/>
      <c r="AJ708" s="40"/>
      <c r="AK708" s="40"/>
      <c r="AL708" s="40"/>
      <c r="AM708" s="40"/>
    </row>
    <row r="709" spans="2:39" ht="21.9" customHeight="1" x14ac:dyDescent="0.25">
      <c r="B709" s="758"/>
      <c r="C709" s="114" t="str">
        <v>SOx</v>
      </c>
      <c r="D709" s="114"/>
      <c r="E709" s="114"/>
      <c r="F709" s="797">
        <f t="shared" si="120"/>
        <v>321114.80265664018</v>
      </c>
      <c r="G709" s="774">
        <f t="shared" ref="G709:AH709" si="130">G681*G14</f>
        <v>0</v>
      </c>
      <c r="H709" s="774">
        <f t="shared" si="130"/>
        <v>0</v>
      </c>
      <c r="I709" s="783">
        <f t="shared" si="130"/>
        <v>4092.4958231736287</v>
      </c>
      <c r="J709" s="783">
        <f t="shared" si="130"/>
        <v>4504.3013815683744</v>
      </c>
      <c r="K709" s="783">
        <f t="shared" si="130"/>
        <v>5043.2215608334964</v>
      </c>
      <c r="L709" s="783">
        <f t="shared" si="130"/>
        <v>5944.0303977081994</v>
      </c>
      <c r="M709" s="783">
        <f t="shared" si="130"/>
        <v>6881.451875285441</v>
      </c>
      <c r="N709" s="783">
        <f t="shared" si="130"/>
        <v>7855.087531599148</v>
      </c>
      <c r="O709" s="783">
        <f t="shared" si="130"/>
        <v>8879.300829551692</v>
      </c>
      <c r="P709" s="783">
        <f t="shared" si="130"/>
        <v>9943.3807307876523</v>
      </c>
      <c r="Q709" s="783">
        <f t="shared" si="130"/>
        <v>10731.510381130536</v>
      </c>
      <c r="R709" s="783">
        <f t="shared" si="130"/>
        <v>11519.857329072316</v>
      </c>
      <c r="S709" s="783">
        <f t="shared" si="130"/>
        <v>12307.991886083766</v>
      </c>
      <c r="T709" s="783">
        <f t="shared" si="130"/>
        <v>13096.121536426645</v>
      </c>
      <c r="U709" s="783">
        <f t="shared" si="130"/>
        <v>13885.134514427282</v>
      </c>
      <c r="V709" s="783">
        <f t="shared" si="130"/>
        <v>14331.854352534117</v>
      </c>
      <c r="W709" s="783">
        <f t="shared" si="130"/>
        <v>14589.701043101973</v>
      </c>
      <c r="X709" s="783">
        <f t="shared" si="130"/>
        <v>14847.547733669835</v>
      </c>
      <c r="Y709" s="783">
        <f t="shared" si="130"/>
        <v>15105.394424237698</v>
      </c>
      <c r="Z709" s="783">
        <f t="shared" si="130"/>
        <v>15363.473839516329</v>
      </c>
      <c r="AA709" s="783">
        <f t="shared" si="130"/>
        <v>15621.320530084187</v>
      </c>
      <c r="AB709" s="783">
        <f t="shared" si="130"/>
        <v>15879.385096966467</v>
      </c>
      <c r="AC709" s="783">
        <f t="shared" si="130"/>
        <v>16137.231787534329</v>
      </c>
      <c r="AD709" s="783">
        <f t="shared" si="130"/>
        <v>16395.078478102187</v>
      </c>
      <c r="AE709" s="783">
        <f t="shared" si="130"/>
        <v>16653.157893380823</v>
      </c>
      <c r="AF709" s="783">
        <f t="shared" si="130"/>
        <v>16911.004583948677</v>
      </c>
      <c r="AG709" s="783">
        <f t="shared" si="130"/>
        <v>17168.851274516539</v>
      </c>
      <c r="AH709" s="775">
        <f t="shared" si="130"/>
        <v>17426.915841398823</v>
      </c>
      <c r="AI709" s="40"/>
      <c r="AJ709" s="40"/>
      <c r="AK709" s="40"/>
      <c r="AL709" s="40"/>
      <c r="AM709" s="40"/>
    </row>
    <row r="710" spans="2:39" ht="21.9" customHeight="1" x14ac:dyDescent="0.25">
      <c r="B710" s="758"/>
      <c r="C710" s="114" t="str">
        <v>PM2.5</v>
      </c>
      <c r="D710" s="114"/>
      <c r="E710" s="114"/>
      <c r="F710" s="797">
        <f t="shared" si="120"/>
        <v>94051713.391569078</v>
      </c>
      <c r="G710" s="774">
        <f t="shared" ref="G710:AH710" si="131">G682*G15</f>
        <v>0</v>
      </c>
      <c r="H710" s="774">
        <f t="shared" si="131"/>
        <v>0</v>
      </c>
      <c r="I710" s="783">
        <f t="shared" si="131"/>
        <v>1242819.4179438413</v>
      </c>
      <c r="J710" s="783">
        <f t="shared" si="131"/>
        <v>1360940.4645674645</v>
      </c>
      <c r="K710" s="783">
        <f t="shared" si="131"/>
        <v>1513934.841540457</v>
      </c>
      <c r="L710" s="783">
        <f t="shared" si="131"/>
        <v>1773424.739780755</v>
      </c>
      <c r="M710" s="783">
        <f t="shared" si="131"/>
        <v>2042232.6921195602</v>
      </c>
      <c r="N710" s="783">
        <f t="shared" si="131"/>
        <v>2320293.3930134303</v>
      </c>
      <c r="O710" s="783">
        <f t="shared" si="131"/>
        <v>2607699.8660383038</v>
      </c>
      <c r="P710" s="783">
        <f t="shared" si="131"/>
        <v>2905304.4815137465</v>
      </c>
      <c r="Q710" s="783">
        <f t="shared" si="131"/>
        <v>3135205.6001966805</v>
      </c>
      <c r="R710" s="783">
        <f t="shared" si="131"/>
        <v>3365171.1215918651</v>
      </c>
      <c r="S710" s="783">
        <f t="shared" si="131"/>
        <v>3595073.6014500693</v>
      </c>
      <c r="T710" s="783">
        <f t="shared" si="131"/>
        <v>3824974.7201330042</v>
      </c>
      <c r="U710" s="783">
        <f t="shared" si="131"/>
        <v>4055130.6039166166</v>
      </c>
      <c r="V710" s="783">
        <f t="shared" si="131"/>
        <v>4185655.6936757383</v>
      </c>
      <c r="W710" s="783">
        <f t="shared" si="131"/>
        <v>4261227.6217063237</v>
      </c>
      <c r="X710" s="783">
        <f t="shared" si="131"/>
        <v>4336799.5497369096</v>
      </c>
      <c r="Y710" s="783">
        <f t="shared" si="131"/>
        <v>4412371.4777674936</v>
      </c>
      <c r="Z710" s="783">
        <f t="shared" si="131"/>
        <v>4488010.5914268019</v>
      </c>
      <c r="AA710" s="783">
        <f t="shared" si="131"/>
        <v>4563582.5194573877</v>
      </c>
      <c r="AB710" s="783">
        <f t="shared" si="131"/>
        <v>4639216.9512904296</v>
      </c>
      <c r="AC710" s="783">
        <f t="shared" si="131"/>
        <v>4714788.8793210145</v>
      </c>
      <c r="AD710" s="783">
        <f t="shared" si="131"/>
        <v>4790360.8073516004</v>
      </c>
      <c r="AE710" s="783">
        <f t="shared" si="131"/>
        <v>4865999.9210109077</v>
      </c>
      <c r="AF710" s="783">
        <f t="shared" si="131"/>
        <v>4941571.8490414927</v>
      </c>
      <c r="AG710" s="783">
        <f t="shared" si="131"/>
        <v>5017143.7770720776</v>
      </c>
      <c r="AH710" s="775">
        <f t="shared" si="131"/>
        <v>5092778.2089051204</v>
      </c>
      <c r="AI710" s="40"/>
      <c r="AJ710" s="40"/>
      <c r="AK710" s="40"/>
      <c r="AL710" s="40"/>
      <c r="AM710" s="40"/>
    </row>
    <row r="711" spans="2:39" ht="21.9" customHeight="1" thickBot="1" x14ac:dyDescent="0.3">
      <c r="B711" s="761"/>
      <c r="C711" s="274" t="str">
        <v>CO2</v>
      </c>
      <c r="D711" s="274"/>
      <c r="E711" s="274"/>
      <c r="F711" s="802">
        <f t="shared" si="120"/>
        <v>7252430742.1474171</v>
      </c>
      <c r="G711" s="803">
        <f t="shared" ref="G711:AH711" si="132">G683*G16</f>
        <v>0</v>
      </c>
      <c r="H711" s="803">
        <f t="shared" si="132"/>
        <v>0</v>
      </c>
      <c r="I711" s="803">
        <f t="shared" si="132"/>
        <v>83460030.280037388</v>
      </c>
      <c r="J711" s="803">
        <f t="shared" si="132"/>
        <v>92282619.51979655</v>
      </c>
      <c r="K711" s="803">
        <f t="shared" si="132"/>
        <v>103162289.99321097</v>
      </c>
      <c r="L711" s="803">
        <f t="shared" si="132"/>
        <v>120747015.18307516</v>
      </c>
      <c r="M711" s="803">
        <f t="shared" si="132"/>
        <v>138865898.43852991</v>
      </c>
      <c r="N711" s="803">
        <f t="shared" si="132"/>
        <v>158143381.73402369</v>
      </c>
      <c r="O711" s="803">
        <f t="shared" si="132"/>
        <v>176673584.23153475</v>
      </c>
      <c r="P711" s="803">
        <f t="shared" si="132"/>
        <v>196379593.41562572</v>
      </c>
      <c r="Q711" s="803">
        <f t="shared" si="132"/>
        <v>216060360.8800717</v>
      </c>
      <c r="R711" s="803">
        <f t="shared" si="132"/>
        <v>234580520.62242246</v>
      </c>
      <c r="S711" s="803">
        <f t="shared" si="132"/>
        <v>255351101.60502148</v>
      </c>
      <c r="T711" s="803">
        <f t="shared" si="132"/>
        <v>275720652.90712726</v>
      </c>
      <c r="U711" s="803">
        <f t="shared" si="132"/>
        <v>296593321.85370862</v>
      </c>
      <c r="V711" s="803">
        <f t="shared" si="132"/>
        <v>310541385.47305566</v>
      </c>
      <c r="W711" s="803">
        <f t="shared" si="132"/>
        <v>321739429.62529957</v>
      </c>
      <c r="X711" s="803">
        <f t="shared" si="132"/>
        <v>330854048.93606621</v>
      </c>
      <c r="Y711" s="803">
        <f t="shared" si="132"/>
        <v>341248373.33175242</v>
      </c>
      <c r="Z711" s="803">
        <f t="shared" si="132"/>
        <v>352987237.79568821</v>
      </c>
      <c r="AA711" s="803">
        <f t="shared" si="132"/>
        <v>363718789.86117953</v>
      </c>
      <c r="AB711" s="803">
        <f t="shared" si="132"/>
        <v>375834376.77798957</v>
      </c>
      <c r="AC711" s="803">
        <f t="shared" si="132"/>
        <v>386903151.97887242</v>
      </c>
      <c r="AD711" s="803">
        <f t="shared" si="132"/>
        <v>399390495.8829515</v>
      </c>
      <c r="AE711" s="803">
        <f t="shared" si="132"/>
        <v>410802156.85089499</v>
      </c>
      <c r="AF711" s="803">
        <f t="shared" si="132"/>
        <v>423666411.71769649</v>
      </c>
      <c r="AG711" s="803">
        <f t="shared" si="132"/>
        <v>436728993.8046487</v>
      </c>
      <c r="AH711" s="804">
        <f t="shared" si="132"/>
        <v>449995519.44713712</v>
      </c>
      <c r="AI711" s="40"/>
      <c r="AJ711" s="40"/>
      <c r="AK711" s="40"/>
      <c r="AL711" s="40"/>
      <c r="AM711" s="40"/>
    </row>
    <row r="712" spans="2:39" ht="21.9" customHeight="1" x14ac:dyDescent="0.25">
      <c r="F712"/>
      <c r="G712" s="24"/>
      <c r="H712" s="24"/>
      <c r="I712" s="39"/>
      <c r="J712" s="39"/>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row>
    <row r="713" spans="2:39" ht="21.9" customHeight="1" x14ac:dyDescent="0.25">
      <c r="F713"/>
      <c r="G713" s="24"/>
      <c r="H713" s="24"/>
      <c r="I713" s="39"/>
      <c r="J713" s="39"/>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row>
    <row r="714" spans="2:39" ht="21.9" customHeight="1" thickBot="1" x14ac:dyDescent="0.3">
      <c r="B714" s="769" t="s">
        <v>468</v>
      </c>
      <c r="AI714" s="40"/>
      <c r="AJ714" s="40"/>
      <c r="AK714" s="40"/>
      <c r="AL714" s="40"/>
      <c r="AM714" s="40"/>
    </row>
    <row r="715" spans="2:39" ht="21.9" customHeight="1" x14ac:dyDescent="0.25">
      <c r="B715" s="805" t="s">
        <v>469</v>
      </c>
      <c r="C715" s="734" t="s">
        <v>42</v>
      </c>
      <c r="D715" s="734"/>
      <c r="E715" s="734"/>
      <c r="F715" s="806" t="s">
        <v>25</v>
      </c>
      <c r="G715" s="734">
        <v>2021</v>
      </c>
      <c r="H715" s="734">
        <v>2022</v>
      </c>
      <c r="I715" s="734">
        <v>2023</v>
      </c>
      <c r="J715" s="734">
        <v>2024</v>
      </c>
      <c r="K715" s="734">
        <v>2025</v>
      </c>
      <c r="L715" s="734">
        <v>2026</v>
      </c>
      <c r="M715" s="734">
        <v>2027</v>
      </c>
      <c r="N715" s="734">
        <v>2028</v>
      </c>
      <c r="O715" s="734">
        <v>2029</v>
      </c>
      <c r="P715" s="734">
        <v>2030</v>
      </c>
      <c r="Q715" s="734">
        <v>2031</v>
      </c>
      <c r="R715" s="734">
        <v>2032</v>
      </c>
      <c r="S715" s="734">
        <v>2033</v>
      </c>
      <c r="T715" s="734">
        <v>2034</v>
      </c>
      <c r="U715" s="734">
        <v>2035</v>
      </c>
      <c r="V715" s="734">
        <v>2036</v>
      </c>
      <c r="W715" s="734">
        <v>2037</v>
      </c>
      <c r="X715" s="734">
        <v>2038</v>
      </c>
      <c r="Y715" s="734">
        <v>2039</v>
      </c>
      <c r="Z715" s="734">
        <v>2040</v>
      </c>
      <c r="AA715" s="734">
        <v>2041</v>
      </c>
      <c r="AB715" s="734">
        <v>2042</v>
      </c>
      <c r="AC715" s="734">
        <v>2043</v>
      </c>
      <c r="AD715" s="734">
        <v>2044</v>
      </c>
      <c r="AE715" s="734">
        <v>2045</v>
      </c>
      <c r="AF715" s="734">
        <v>2046</v>
      </c>
      <c r="AG715" s="734">
        <v>2047</v>
      </c>
      <c r="AH715" s="734">
        <v>2048</v>
      </c>
      <c r="AI715" s="247"/>
      <c r="AJ715" s="247"/>
      <c r="AK715" s="247"/>
      <c r="AL715" s="247"/>
      <c r="AM715" s="247"/>
    </row>
    <row r="716" spans="2:39" s="1" customFormat="1" ht="21.9" customHeight="1" x14ac:dyDescent="0.25">
      <c r="B716" s="781" t="s">
        <v>452</v>
      </c>
      <c r="C716" s="217" t="str" cm="1">
        <f t="array" ref="C716:C719">_xlfn.ANCHORARRAY($B$13)</f>
        <v>NOx</v>
      </c>
      <c r="D716" s="217"/>
      <c r="E716" s="217"/>
      <c r="F716" s="798">
        <f>SUMPRODUCT(G716:AH716,'Results Summary'!$F$133:$AG$133)</f>
        <v>-367126.14638381114</v>
      </c>
      <c r="G716" s="772">
        <f t="shared" ref="G716:H719" si="133">G700-G704</f>
        <v>0</v>
      </c>
      <c r="H716" s="772">
        <f t="shared" si="133"/>
        <v>0</v>
      </c>
      <c r="I716" s="772">
        <f>I700-I704</f>
        <v>2002.3447078800527</v>
      </c>
      <c r="J716" s="772">
        <f t="shared" ref="J716:AG716" si="134">J700-J704</f>
        <v>3110.8841594932601</v>
      </c>
      <c r="K716" s="772">
        <f t="shared" si="134"/>
        <v>-20408.781377718551</v>
      </c>
      <c r="L716" s="772">
        <f>L700-L704</f>
        <v>-37046.535962070338</v>
      </c>
      <c r="M716" s="772">
        <f t="shared" si="134"/>
        <v>-54442.706579081714</v>
      </c>
      <c r="N716" s="772">
        <f t="shared" si="134"/>
        <v>-72100.314075026661</v>
      </c>
      <c r="O716" s="772">
        <f t="shared" si="134"/>
        <v>-90662.776089203078</v>
      </c>
      <c r="P716" s="772">
        <f t="shared" si="134"/>
        <v>-109382.3351756155</v>
      </c>
      <c r="Q716" s="772">
        <f t="shared" si="134"/>
        <v>-89341.21690715407</v>
      </c>
      <c r="R716" s="772">
        <f t="shared" si="134"/>
        <v>-69307.196896258276</v>
      </c>
      <c r="S716" s="772">
        <f t="shared" si="134"/>
        <v>-49269.758508213796</v>
      </c>
      <c r="T716" s="772">
        <f t="shared" si="134"/>
        <v>-29228.640239752363</v>
      </c>
      <c r="U716" s="772">
        <f t="shared" si="134"/>
        <v>-9179.3357878201641</v>
      </c>
      <c r="V716" s="772">
        <f t="shared" si="134"/>
        <v>1934.418601936195</v>
      </c>
      <c r="W716" s="772">
        <f t="shared" si="134"/>
        <v>4759.9875926026143</v>
      </c>
      <c r="X716" s="772">
        <f t="shared" si="134"/>
        <v>7587.7766534290276</v>
      </c>
      <c r="Y716" s="772">
        <f t="shared" si="134"/>
        <v>10415.565714254975</v>
      </c>
      <c r="Z716" s="772">
        <f t="shared" si="134"/>
        <v>13239.792756670155</v>
      </c>
      <c r="AA716" s="772">
        <f t="shared" si="134"/>
        <v>16067.581817496102</v>
      </c>
      <c r="AB716" s="772">
        <f t="shared" si="134"/>
        <v>18891.722363667563</v>
      </c>
      <c r="AC716" s="772">
        <f t="shared" si="134"/>
        <v>21719.511424496304</v>
      </c>
      <c r="AD716" s="772">
        <f t="shared" si="134"/>
        <v>24547.300485320389</v>
      </c>
      <c r="AE716" s="772">
        <f t="shared" si="134"/>
        <v>27369.307457575109</v>
      </c>
      <c r="AF716" s="772">
        <f t="shared" si="134"/>
        <v>30197.096518401988</v>
      </c>
      <c r="AG716" s="772">
        <f t="shared" si="134"/>
        <v>33024.885579227004</v>
      </c>
      <c r="AH716" s="773">
        <f>AH700-AH704</f>
        <v>35849.026125401258</v>
      </c>
      <c r="AI716" s="25"/>
      <c r="AJ716" s="25"/>
      <c r="AK716" s="25"/>
      <c r="AL716" s="25"/>
      <c r="AM716" s="25"/>
    </row>
    <row r="717" spans="2:39" s="1" customFormat="1" ht="21.9" customHeight="1" x14ac:dyDescent="0.25">
      <c r="B717" s="758"/>
      <c r="C717" s="114" t="str">
        <v>SOx</v>
      </c>
      <c r="D717" s="114"/>
      <c r="E717" s="114"/>
      <c r="F717" s="797">
        <f>SUMPRODUCT(G717:AH717,'Results Summary'!$F$133:$AG$133)</f>
        <v>-1943.4000917708131</v>
      </c>
      <c r="G717" s="774">
        <f t="shared" si="133"/>
        <v>0</v>
      </c>
      <c r="H717" s="774">
        <f t="shared" si="133"/>
        <v>0</v>
      </c>
      <c r="I717" s="783">
        <f t="shared" ref="I717:AH717" si="135">I701-I705</f>
        <v>10.553383471737561</v>
      </c>
      <c r="J717" s="783">
        <f t="shared" si="135"/>
        <v>15.963757648144565</v>
      </c>
      <c r="K717" s="783">
        <f t="shared" si="135"/>
        <v>-106.47028495185441</v>
      </c>
      <c r="L717" s="783">
        <f t="shared" si="135"/>
        <v>-194.73601717947167</v>
      </c>
      <c r="M717" s="783">
        <f t="shared" si="135"/>
        <v>-287.09919147640358</v>
      </c>
      <c r="N717" s="783">
        <f t="shared" si="135"/>
        <v>-383.25596699959533</v>
      </c>
      <c r="O717" s="783">
        <f t="shared" si="135"/>
        <v>-484.24999911537088</v>
      </c>
      <c r="P717" s="783">
        <f t="shared" si="135"/>
        <v>-589.63177572188033</v>
      </c>
      <c r="Q717" s="783">
        <f t="shared" si="135"/>
        <v>-481.13457265527359</v>
      </c>
      <c r="R717" s="783">
        <f t="shared" si="135"/>
        <v>-372.6757689113856</v>
      </c>
      <c r="S717" s="783">
        <f t="shared" si="135"/>
        <v>-264.19885895124025</v>
      </c>
      <c r="T717" s="783">
        <f t="shared" si="135"/>
        <v>-155.70165588462805</v>
      </c>
      <c r="U717" s="783">
        <f t="shared" si="135"/>
        <v>-47.163817102747998</v>
      </c>
      <c r="V717" s="783">
        <f t="shared" si="135"/>
        <v>12.900135634177786</v>
      </c>
      <c r="W717" s="783">
        <f t="shared" si="135"/>
        <v>27.953620453095937</v>
      </c>
      <c r="X717" s="783">
        <f t="shared" si="135"/>
        <v>43.019348093775989</v>
      </c>
      <c r="Y717" s="783">
        <f t="shared" si="135"/>
        <v>58.085075734465136</v>
      </c>
      <c r="Z717" s="783">
        <f t="shared" si="135"/>
        <v>73.129651085075238</v>
      </c>
      <c r="AA717" s="783">
        <f t="shared" si="135"/>
        <v>88.195378725768023</v>
      </c>
      <c r="AB717" s="783">
        <f t="shared" si="135"/>
        <v>103.23947708332889</v>
      </c>
      <c r="AC717" s="783">
        <f t="shared" si="135"/>
        <v>118.3052047240144</v>
      </c>
      <c r="AD717" s="783">
        <f t="shared" si="135"/>
        <v>133.37093236470173</v>
      </c>
      <c r="AE717" s="783">
        <f t="shared" si="135"/>
        <v>148.40326489353538</v>
      </c>
      <c r="AF717" s="783">
        <f t="shared" si="135"/>
        <v>163.46899253422089</v>
      </c>
      <c r="AG717" s="783">
        <f t="shared" si="135"/>
        <v>178.53472017491367</v>
      </c>
      <c r="AH717" s="775">
        <f t="shared" si="135"/>
        <v>193.5788185324709</v>
      </c>
      <c r="AI717" s="25"/>
      <c r="AJ717" s="25"/>
      <c r="AK717" s="25"/>
      <c r="AL717" s="25"/>
      <c r="AM717" s="25"/>
    </row>
    <row r="718" spans="2:39" ht="21.9" customHeight="1" x14ac:dyDescent="0.25">
      <c r="B718" s="758"/>
      <c r="C718" s="114" t="str">
        <v>PM2.5</v>
      </c>
      <c r="D718" s="114"/>
      <c r="E718" s="114"/>
      <c r="F718" s="797">
        <f>SUMPRODUCT(G718:AH718,'Results Summary'!$F$133:$AG$133)</f>
        <v>-570198.57914357295</v>
      </c>
      <c r="G718" s="774">
        <f t="shared" si="133"/>
        <v>0</v>
      </c>
      <c r="H718" s="774">
        <f t="shared" si="133"/>
        <v>0</v>
      </c>
      <c r="I718" s="783">
        <f t="shared" ref="I718:AH718" si="136">I702-I706</f>
        <v>3097.3349142000079</v>
      </c>
      <c r="J718" s="783">
        <f t="shared" si="136"/>
        <v>4783.8397791616153</v>
      </c>
      <c r="K718" s="783">
        <f t="shared" si="136"/>
        <v>-31503.066052942537</v>
      </c>
      <c r="L718" s="783">
        <f t="shared" si="136"/>
        <v>-57383.520802808926</v>
      </c>
      <c r="M718" s="783">
        <f t="shared" si="136"/>
        <v>-84250.30834873626</v>
      </c>
      <c r="N718" s="783">
        <f t="shared" si="136"/>
        <v>-112033.4924218813</v>
      </c>
      <c r="O718" s="783">
        <f t="shared" si="136"/>
        <v>-140826.65272719134</v>
      </c>
      <c r="P718" s="783">
        <f t="shared" si="136"/>
        <v>-170682.26255016401</v>
      </c>
      <c r="Q718" s="783">
        <f t="shared" si="136"/>
        <v>-139392.91477251984</v>
      </c>
      <c r="R718" s="783">
        <f t="shared" si="136"/>
        <v>-108114.64816356869</v>
      </c>
      <c r="S718" s="783">
        <f t="shared" si="136"/>
        <v>-76831.059063023888</v>
      </c>
      <c r="T718" s="783">
        <f t="shared" si="136"/>
        <v>-45541.711285380181</v>
      </c>
      <c r="U718" s="783">
        <f t="shared" si="136"/>
        <v>-14239.716032701544</v>
      </c>
      <c r="V718" s="783">
        <f t="shared" si="136"/>
        <v>3107.9924924857914</v>
      </c>
      <c r="W718" s="783">
        <f t="shared" si="136"/>
        <v>7510.6246919557452</v>
      </c>
      <c r="X718" s="783">
        <f t="shared" si="136"/>
        <v>11916.731098665856</v>
      </c>
      <c r="Y718" s="783">
        <f t="shared" si="136"/>
        <v>16322.837505376898</v>
      </c>
      <c r="Z718" s="783">
        <f t="shared" si="136"/>
        <v>20723.315057431348</v>
      </c>
      <c r="AA718" s="783">
        <f t="shared" si="136"/>
        <v>25129.421464138664</v>
      </c>
      <c r="AB718" s="783">
        <f t="shared" si="136"/>
        <v>29529.763657469302</v>
      </c>
      <c r="AC718" s="783">
        <f t="shared" si="136"/>
        <v>33935.870064180344</v>
      </c>
      <c r="AD718" s="783">
        <f t="shared" si="136"/>
        <v>38341.976470888592</v>
      </c>
      <c r="AE718" s="783">
        <f t="shared" si="136"/>
        <v>42738.979815705679</v>
      </c>
      <c r="AF718" s="783">
        <f t="shared" si="136"/>
        <v>47145.086222414859</v>
      </c>
      <c r="AG718" s="783">
        <f t="shared" si="136"/>
        <v>51551.192629124038</v>
      </c>
      <c r="AH718" s="775">
        <f t="shared" si="136"/>
        <v>55951.534822453745</v>
      </c>
    </row>
    <row r="719" spans="2:39" ht="21.9" customHeight="1" x14ac:dyDescent="0.25">
      <c r="B719" s="790"/>
      <c r="C719" s="250" t="str">
        <v>CO2</v>
      </c>
      <c r="D719" s="250"/>
      <c r="E719" s="250"/>
      <c r="F719" s="799">
        <f>SUMPRODUCT(G719:AH719,'Results Summary'!$F$134:$AG$134)</f>
        <v>-36549879.223453745</v>
      </c>
      <c r="G719" s="800">
        <f t="shared" si="133"/>
        <v>0</v>
      </c>
      <c r="H719" s="800">
        <f t="shared" si="133"/>
        <v>0</v>
      </c>
      <c r="I719" s="800">
        <f t="shared" ref="I719:AH719" si="137">I703-I707</f>
        <v>213563.77105918527</v>
      </c>
      <c r="J719" s="800">
        <f t="shared" si="137"/>
        <v>326248.06264823675</v>
      </c>
      <c r="K719" s="800">
        <f t="shared" si="137"/>
        <v>-2169805.360823676</v>
      </c>
      <c r="L719" s="800">
        <f t="shared" si="137"/>
        <v>-3942918.246481359</v>
      </c>
      <c r="M719" s="800">
        <f t="shared" si="137"/>
        <v>-5776163.796056062</v>
      </c>
      <c r="N719" s="800">
        <f t="shared" si="137"/>
        <v>-7694192.1212507784</v>
      </c>
      <c r="O719" s="800">
        <f t="shared" si="137"/>
        <v>-9609478.4417585731</v>
      </c>
      <c r="P719" s="800">
        <f t="shared" si="137"/>
        <v>-11615313.520811677</v>
      </c>
      <c r="Q719" s="800">
        <f t="shared" si="137"/>
        <v>-9664048.3748832941</v>
      </c>
      <c r="R719" s="800">
        <f t="shared" si="137"/>
        <v>-7573310.6306126714</v>
      </c>
      <c r="S719" s="800">
        <f t="shared" si="137"/>
        <v>-5472896.8485281765</v>
      </c>
      <c r="T719" s="800">
        <f t="shared" si="137"/>
        <v>-3277011.6940265298</v>
      </c>
      <c r="U719" s="800">
        <f t="shared" si="137"/>
        <v>-1013766.7100775242</v>
      </c>
      <c r="V719" s="800">
        <f t="shared" si="137"/>
        <v>269368.8626961112</v>
      </c>
      <c r="W719" s="800">
        <f t="shared" si="137"/>
        <v>605997.19461685419</v>
      </c>
      <c r="X719" s="800">
        <f t="shared" si="137"/>
        <v>947923.84486454725</v>
      </c>
      <c r="Y719" s="800">
        <f t="shared" si="137"/>
        <v>1301219.6990380287</v>
      </c>
      <c r="Z719" s="800">
        <f t="shared" si="137"/>
        <v>1668879.5463114977</v>
      </c>
      <c r="AA719" s="800">
        <f t="shared" si="137"/>
        <v>2041841.6664813161</v>
      </c>
      <c r="AB719" s="800">
        <f t="shared" si="137"/>
        <v>2431455.0441499352</v>
      </c>
      <c r="AC719" s="800">
        <f t="shared" si="137"/>
        <v>2824083.2846520543</v>
      </c>
      <c r="AD719" s="800">
        <f t="shared" si="137"/>
        <v>3236178.0040162206</v>
      </c>
      <c r="AE719" s="800">
        <f t="shared" si="137"/>
        <v>3647666.9170786142</v>
      </c>
      <c r="AF719" s="800">
        <f t="shared" si="137"/>
        <v>4081736.0630686283</v>
      </c>
      <c r="AG719" s="800">
        <f t="shared" si="137"/>
        <v>4527377.353362143</v>
      </c>
      <c r="AH719" s="801">
        <f t="shared" si="137"/>
        <v>4984042.6893238425</v>
      </c>
      <c r="AI719" s="40"/>
      <c r="AJ719" s="40"/>
      <c r="AK719" s="40"/>
      <c r="AL719" s="40"/>
      <c r="AM719" s="40"/>
    </row>
    <row r="720" spans="2:39" ht="21.9" customHeight="1" x14ac:dyDescent="0.25">
      <c r="B720" s="758" t="s">
        <v>453</v>
      </c>
      <c r="C720" s="114" t="str" cm="1">
        <f t="array" ref="C720:C723">_xlfn.ANCHORARRAY($B$13)</f>
        <v>NOx</v>
      </c>
      <c r="D720" s="114"/>
      <c r="E720" s="114"/>
      <c r="F720" s="798">
        <f>SUMPRODUCT(G720:AH720,'Results Summary'!$F$133:$AG$133)</f>
        <v>-329814.90747006831</v>
      </c>
      <c r="G720" s="774">
        <f t="shared" ref="G720:H723" si="138">G700-G708</f>
        <v>0</v>
      </c>
      <c r="H720" s="774">
        <f t="shared" si="138"/>
        <v>0</v>
      </c>
      <c r="I720" s="783">
        <f t="shared" ref="I720:AH720" si="139">I700-I708</f>
        <v>2002.3447078800527</v>
      </c>
      <c r="J720" s="783">
        <f t="shared" si="139"/>
        <v>-17458.652746291016</v>
      </c>
      <c r="K720" s="783">
        <f t="shared" si="139"/>
        <v>-41607.389348722296</v>
      </c>
      <c r="L720" s="783">
        <f t="shared" si="139"/>
        <v>-57510.426363922888</v>
      </c>
      <c r="M720" s="783">
        <f t="shared" si="139"/>
        <v>-74236.248922487954</v>
      </c>
      <c r="N720" s="783">
        <f t="shared" si="139"/>
        <v>-91089.626131589524</v>
      </c>
      <c r="O720" s="783">
        <f t="shared" si="139"/>
        <v>-108904.73642403074</v>
      </c>
      <c r="P720" s="783">
        <f t="shared" si="139"/>
        <v>-126757.0205109308</v>
      </c>
      <c r="Q720" s="783">
        <f t="shared" si="139"/>
        <v>-100102.00718329987</v>
      </c>
      <c r="R720" s="783">
        <f t="shared" si="139"/>
        <v>-73454.187259098981</v>
      </c>
      <c r="S720" s="783">
        <f t="shared" si="139"/>
        <v>-46806.650131858885</v>
      </c>
      <c r="T720" s="783">
        <f t="shared" si="139"/>
        <v>-20151.636804227717</v>
      </c>
      <c r="U720" s="783">
        <f t="shared" si="139"/>
        <v>6514.0809007412754</v>
      </c>
      <c r="V720" s="783">
        <f t="shared" si="139"/>
        <v>22681.878132844344</v>
      </c>
      <c r="W720" s="783">
        <f t="shared" si="139"/>
        <v>25519.071569444612</v>
      </c>
      <c r="X720" s="783">
        <f t="shared" si="139"/>
        <v>28358.485076205339</v>
      </c>
      <c r="Y720" s="783">
        <f t="shared" si="139"/>
        <v>31197.898582965136</v>
      </c>
      <c r="Z720" s="783">
        <f t="shared" si="139"/>
        <v>34033.067399740219</v>
      </c>
      <c r="AA720" s="783">
        <f t="shared" si="139"/>
        <v>36872.480906500947</v>
      </c>
      <c r="AB720" s="783">
        <f t="shared" si="139"/>
        <v>39710.342279143631</v>
      </c>
      <c r="AC720" s="783">
        <f t="shared" si="139"/>
        <v>42549.755785905756</v>
      </c>
      <c r="AD720" s="783">
        <f t="shared" si="139"/>
        <v>45389.169292665087</v>
      </c>
      <c r="AE720" s="783">
        <f t="shared" si="139"/>
        <v>48222.118039278314</v>
      </c>
      <c r="AF720" s="783">
        <f t="shared" si="139"/>
        <v>51061.531546040438</v>
      </c>
      <c r="AG720" s="783">
        <f t="shared" si="139"/>
        <v>53900.945052799303</v>
      </c>
      <c r="AH720" s="775">
        <f t="shared" si="139"/>
        <v>56738.806425444782</v>
      </c>
      <c r="AI720" s="246"/>
      <c r="AJ720" s="246"/>
      <c r="AK720" s="246"/>
      <c r="AL720" s="246"/>
      <c r="AM720" s="246"/>
    </row>
    <row r="721" spans="2:39" ht="21.9" customHeight="1" x14ac:dyDescent="0.25">
      <c r="B721" s="758"/>
      <c r="C721" s="114" t="str">
        <v>SOx</v>
      </c>
      <c r="D721" s="114"/>
      <c r="E721" s="114"/>
      <c r="F721" s="797">
        <f>SUMPRODUCT(G721:AH721,'Results Summary'!$F$133:$AG$133)</f>
        <v>-1722.7986983563835</v>
      </c>
      <c r="G721" s="774">
        <f t="shared" si="138"/>
        <v>0</v>
      </c>
      <c r="H721" s="774">
        <f t="shared" si="138"/>
        <v>0</v>
      </c>
      <c r="I721" s="783">
        <f t="shared" ref="I721:AH721" si="140">I701-I709</f>
        <v>10.553383471737561</v>
      </c>
      <c r="J721" s="783">
        <f t="shared" si="140"/>
        <v>-92.647070600620282</v>
      </c>
      <c r="K721" s="783">
        <f t="shared" si="140"/>
        <v>-219.35996887657166</v>
      </c>
      <c r="L721" s="783">
        <f t="shared" si="140"/>
        <v>-304.67361294999046</v>
      </c>
      <c r="M721" s="783">
        <f t="shared" si="140"/>
        <v>-393.82722687716887</v>
      </c>
      <c r="N721" s="783">
        <f>N701-N709</f>
        <v>-486.49171819884759</v>
      </c>
      <c r="O721" s="783">
        <f t="shared" si="140"/>
        <v>-583.9163685141757</v>
      </c>
      <c r="P721" s="783">
        <f t="shared" si="140"/>
        <v>-685.44639450897739</v>
      </c>
      <c r="Q721" s="783">
        <f t="shared" si="140"/>
        <v>-540.47613759637716</v>
      </c>
      <c r="R721" s="783">
        <f t="shared" si="140"/>
        <v>-395.54480469885493</v>
      </c>
      <c r="S721" s="783">
        <f t="shared" si="140"/>
        <v>-250.61577611795838</v>
      </c>
      <c r="T721" s="783">
        <f t="shared" si="140"/>
        <v>-105.64551920535087</v>
      </c>
      <c r="U721" s="783">
        <f t="shared" si="140"/>
        <v>39.379260280369635</v>
      </c>
      <c r="V721" s="783">
        <f t="shared" si="140"/>
        <v>127.31428975495692</v>
      </c>
      <c r="W721" s="783">
        <f t="shared" si="140"/>
        <v>142.43187886320447</v>
      </c>
      <c r="X721" s="783">
        <f t="shared" si="140"/>
        <v>157.56171079321757</v>
      </c>
      <c r="Y721" s="783">
        <f t="shared" si="140"/>
        <v>172.69154272323976</v>
      </c>
      <c r="Z721" s="783">
        <f t="shared" si="140"/>
        <v>187.79645769548733</v>
      </c>
      <c r="AA721" s="783">
        <f t="shared" si="140"/>
        <v>202.92628962550771</v>
      </c>
      <c r="AB721" s="783">
        <f t="shared" si="140"/>
        <v>218.04605299411378</v>
      </c>
      <c r="AC721" s="783">
        <f t="shared" si="140"/>
        <v>233.17588492413051</v>
      </c>
      <c r="AD721" s="783">
        <f t="shared" si="140"/>
        <v>248.30571685415271</v>
      </c>
      <c r="AE721" s="783">
        <f t="shared" si="140"/>
        <v>263.39838900461837</v>
      </c>
      <c r="AF721" s="783">
        <f t="shared" si="140"/>
        <v>278.5282209346442</v>
      </c>
      <c r="AG721" s="783">
        <f t="shared" si="140"/>
        <v>293.65805286466275</v>
      </c>
      <c r="AH721" s="775">
        <f t="shared" si="140"/>
        <v>308.77781623326155</v>
      </c>
      <c r="AI721" s="26"/>
      <c r="AJ721" s="26"/>
      <c r="AK721" s="26"/>
      <c r="AL721" s="26"/>
      <c r="AM721" s="26"/>
    </row>
    <row r="722" spans="2:39" ht="21.9" customHeight="1" x14ac:dyDescent="0.25">
      <c r="B722" s="758"/>
      <c r="C722" s="114" t="str">
        <v>PM2.5</v>
      </c>
      <c r="D722" s="114"/>
      <c r="E722" s="114"/>
      <c r="F722" s="797">
        <f>SUMPRODUCT(G722:AH722,'Results Summary'!$F$133:$AG$133)</f>
        <v>-318945.84346021537</v>
      </c>
      <c r="G722" s="774">
        <f t="shared" si="138"/>
        <v>0</v>
      </c>
      <c r="H722" s="774">
        <f t="shared" si="138"/>
        <v>0</v>
      </c>
      <c r="I722" s="783">
        <f t="shared" ref="I722:AH722" si="141">I702-I710</f>
        <v>8095.7909141997807</v>
      </c>
      <c r="J722" s="783">
        <f t="shared" si="141"/>
        <v>-21587.551537181484</v>
      </c>
      <c r="K722" s="783">
        <f t="shared" si="141"/>
        <v>-58450.814175548963</v>
      </c>
      <c r="L722" s="783">
        <f t="shared" si="141"/>
        <v>-82636.050339102279</v>
      </c>
      <c r="M722" s="783">
        <f t="shared" si="141"/>
        <v>-107738.27740681707</v>
      </c>
      <c r="N722" s="783">
        <f t="shared" si="141"/>
        <v>-133674.46725317929</v>
      </c>
      <c r="O722" s="783">
        <f t="shared" si="141"/>
        <v>-160550.33537401119</v>
      </c>
      <c r="P722" s="783">
        <f t="shared" si="141"/>
        <v>-188410.38572226092</v>
      </c>
      <c r="Q722" s="783">
        <f t="shared" si="141"/>
        <v>-146216.27106597321</v>
      </c>
      <c r="R722" s="783">
        <f t="shared" si="141"/>
        <v>-104033.85469497507</v>
      </c>
      <c r="S722" s="783">
        <f t="shared" si="141"/>
        <v>-61851.408395366278</v>
      </c>
      <c r="T722" s="783">
        <f t="shared" si="141"/>
        <v>-19657.293739079032</v>
      </c>
      <c r="U722" s="783">
        <f t="shared" si="141"/>
        <v>22555.375668282621</v>
      </c>
      <c r="V722" s="783">
        <f t="shared" si="141"/>
        <v>48215.994760948699</v>
      </c>
      <c r="W722" s="783">
        <f t="shared" si="141"/>
        <v>52982.303564084694</v>
      </c>
      <c r="X722" s="783">
        <f t="shared" si="141"/>
        <v>57752.08657446038</v>
      </c>
      <c r="Y722" s="783">
        <f t="shared" si="141"/>
        <v>62521.869584837928</v>
      </c>
      <c r="Z722" s="783">
        <f t="shared" si="141"/>
        <v>67285.329999432899</v>
      </c>
      <c r="AA722" s="783">
        <f t="shared" si="141"/>
        <v>72055.113009806722</v>
      </c>
      <c r="AB722" s="783">
        <f t="shared" si="141"/>
        <v>76823.255250668153</v>
      </c>
      <c r="AC722" s="783">
        <f t="shared" si="141"/>
        <v>81593.03826104477</v>
      </c>
      <c r="AD722" s="783">
        <f t="shared" si="141"/>
        <v>86362.821271419525</v>
      </c>
      <c r="AE722" s="783">
        <f t="shared" si="141"/>
        <v>91122.807478777133</v>
      </c>
      <c r="AF722" s="783">
        <f t="shared" si="141"/>
        <v>95892.590489152819</v>
      </c>
      <c r="AG722" s="783">
        <f t="shared" si="141"/>
        <v>100662.37349952944</v>
      </c>
      <c r="AH722" s="775">
        <f t="shared" si="141"/>
        <v>105430.515740389</v>
      </c>
      <c r="AI722" s="26"/>
      <c r="AJ722" s="26"/>
      <c r="AK722" s="26"/>
      <c r="AL722" s="26"/>
      <c r="AM722" s="26"/>
    </row>
    <row r="723" spans="2:39" ht="21.9" customHeight="1" thickBot="1" x14ac:dyDescent="0.3">
      <c r="B723" s="761"/>
      <c r="C723" s="274" t="str">
        <v>CO2</v>
      </c>
      <c r="D723" s="274"/>
      <c r="E723" s="274"/>
      <c r="F723" s="802">
        <f>SUMPRODUCT(G723:AH723,'Results Summary'!$F$134:$AG$134)</f>
        <v>-25275803.40442821</v>
      </c>
      <c r="G723" s="803">
        <f t="shared" si="138"/>
        <v>0</v>
      </c>
      <c r="H723" s="803">
        <f t="shared" si="138"/>
        <v>0</v>
      </c>
      <c r="I723" s="803">
        <f t="shared" ref="I723:AH723" si="142">I703-I711</f>
        <v>213563.77105918527</v>
      </c>
      <c r="J723" s="803">
        <f t="shared" si="142"/>
        <v>-1882282.7246271819</v>
      </c>
      <c r="K723" s="803">
        <f>K703-K711</f>
        <v>-4462143.7709552497</v>
      </c>
      <c r="L723" s="803">
        <f>L703-L711</f>
        <v>-6160384.929122597</v>
      </c>
      <c r="M723" s="803">
        <f t="shared" si="142"/>
        <v>-7915058.4452880323</v>
      </c>
      <c r="N723" s="803">
        <f t="shared" si="142"/>
        <v>-9758567.7179059684</v>
      </c>
      <c r="O723" s="803">
        <f t="shared" si="142"/>
        <v>-11579411.073418111</v>
      </c>
      <c r="P723" s="803">
        <f t="shared" si="142"/>
        <v>-13495264.264089853</v>
      </c>
      <c r="Q723" s="803">
        <f t="shared" si="142"/>
        <v>-10851024.155628622</v>
      </c>
      <c r="R723" s="803">
        <f t="shared" si="142"/>
        <v>-8035984.8480953872</v>
      </c>
      <c r="S723" s="803">
        <f t="shared" si="142"/>
        <v>-5192906.0982089639</v>
      </c>
      <c r="T723" s="803">
        <f t="shared" si="142"/>
        <v>-2229908.5545666218</v>
      </c>
      <c r="U723" s="803">
        <f t="shared" si="142"/>
        <v>823019.88480883837</v>
      </c>
      <c r="V723" s="803">
        <f t="shared" si="142"/>
        <v>2732629.8778421879</v>
      </c>
      <c r="W723" s="803">
        <f t="shared" si="142"/>
        <v>3114337.6436446309</v>
      </c>
      <c r="X723" s="803">
        <f t="shared" si="142"/>
        <v>3483903.1558138728</v>
      </c>
      <c r="Y723" s="803">
        <f t="shared" si="142"/>
        <v>3873616.8865238428</v>
      </c>
      <c r="Z723" s="803">
        <f t="shared" si="142"/>
        <v>4286402.3702625632</v>
      </c>
      <c r="AA723" s="803">
        <f t="shared" si="142"/>
        <v>4695864.4162117839</v>
      </c>
      <c r="AB723" s="803">
        <f t="shared" si="142"/>
        <v>5131052.7595496178</v>
      </c>
      <c r="AC723" s="803">
        <f t="shared" si="142"/>
        <v>5560267.6551519632</v>
      </c>
      <c r="AD723" s="803">
        <f t="shared" si="142"/>
        <v>6017762.8977927566</v>
      </c>
      <c r="AE723" s="803">
        <f t="shared" si="142"/>
        <v>6465829.4048972726</v>
      </c>
      <c r="AF723" s="803">
        <f t="shared" si="142"/>
        <v>6945390.6240984797</v>
      </c>
      <c r="AG723" s="803">
        <f t="shared" si="142"/>
        <v>7436572.9281323552</v>
      </c>
      <c r="AH723" s="804">
        <f t="shared" si="142"/>
        <v>7939124.7737355828</v>
      </c>
      <c r="AI723" s="26"/>
      <c r="AJ723" s="26"/>
      <c r="AK723" s="26"/>
      <c r="AL723" s="26"/>
      <c r="AM723" s="26"/>
    </row>
    <row r="724" spans="2:39" ht="21.9" customHeight="1" x14ac:dyDescent="0.25">
      <c r="B724" s="805" t="s">
        <v>469</v>
      </c>
      <c r="C724" s="734" t="s">
        <v>42</v>
      </c>
      <c r="D724" s="734"/>
      <c r="E724" s="734"/>
      <c r="F724" s="806" t="s">
        <v>25</v>
      </c>
      <c r="G724" s="734">
        <v>2021</v>
      </c>
      <c r="H724" s="734">
        <v>2022</v>
      </c>
      <c r="I724" s="734">
        <v>2023</v>
      </c>
      <c r="J724" s="734">
        <v>2024</v>
      </c>
      <c r="K724" s="734">
        <v>2025</v>
      </c>
      <c r="L724" s="734">
        <v>2026</v>
      </c>
      <c r="M724" s="734">
        <v>2027</v>
      </c>
      <c r="N724" s="734">
        <v>2028</v>
      </c>
      <c r="O724" s="734">
        <v>2029</v>
      </c>
      <c r="P724" s="734">
        <v>2030</v>
      </c>
      <c r="Q724" s="734">
        <v>2031</v>
      </c>
      <c r="R724" s="734">
        <v>2032</v>
      </c>
      <c r="S724" s="734">
        <v>2033</v>
      </c>
      <c r="T724" s="734">
        <v>2034</v>
      </c>
      <c r="U724" s="734">
        <v>2035</v>
      </c>
      <c r="V724" s="734">
        <v>2036</v>
      </c>
      <c r="W724" s="734">
        <v>2037</v>
      </c>
      <c r="X724" s="734">
        <v>2038</v>
      </c>
      <c r="Y724" s="734">
        <v>2039</v>
      </c>
      <c r="Z724" s="734">
        <v>2040</v>
      </c>
      <c r="AA724" s="734">
        <v>2041</v>
      </c>
      <c r="AB724" s="734">
        <v>2042</v>
      </c>
      <c r="AC724" s="734">
        <v>2043</v>
      </c>
      <c r="AD724" s="734">
        <v>2044</v>
      </c>
      <c r="AE724" s="734">
        <v>2045</v>
      </c>
      <c r="AF724" s="734">
        <v>2046</v>
      </c>
      <c r="AG724" s="734">
        <v>2047</v>
      </c>
      <c r="AH724" s="734">
        <v>2048</v>
      </c>
      <c r="AI724" s="247"/>
      <c r="AJ724" s="247"/>
      <c r="AK724" s="247"/>
      <c r="AL724" s="247"/>
      <c r="AM724" s="247"/>
    </row>
    <row r="725" spans="2:39" s="1" customFormat="1" ht="21.9" customHeight="1" x14ac:dyDescent="0.25">
      <c r="B725" s="781" t="s">
        <v>452</v>
      </c>
      <c r="C725" s="217" t="str" cm="1">
        <f t="array" ref="C725:C728">_xlfn.ANCHORARRAY($B$13)</f>
        <v>NOx</v>
      </c>
      <c r="D725" s="217"/>
      <c r="E725" s="217"/>
      <c r="F725" s="798">
        <f>SUMPRODUCT(G725:AH725)</f>
        <v>-272867.60058856523</v>
      </c>
      <c r="G725" s="1092">
        <f t="shared" ref="G725:AH725" si="143">IF(G$715&gt;=endYear,IF(G$715&lt;=endYear+yearsOfBenefits,G716,0),0)</f>
        <v>0</v>
      </c>
      <c r="H725" s="1092">
        <f t="shared" si="143"/>
        <v>0</v>
      </c>
      <c r="I725" s="1092">
        <f t="shared" si="143"/>
        <v>0</v>
      </c>
      <c r="J725" s="1092">
        <f t="shared" si="143"/>
        <v>0</v>
      </c>
      <c r="K725" s="1092">
        <f t="shared" si="143"/>
        <v>0</v>
      </c>
      <c r="L725" s="1092">
        <f t="shared" si="143"/>
        <v>0</v>
      </c>
      <c r="M725" s="1092">
        <f t="shared" si="143"/>
        <v>0</v>
      </c>
      <c r="N725" s="1092">
        <f t="shared" si="143"/>
        <v>-72100.314075026661</v>
      </c>
      <c r="O725" s="1092">
        <f t="shared" si="143"/>
        <v>-90662.776089203078</v>
      </c>
      <c r="P725" s="1092">
        <f t="shared" si="143"/>
        <v>-109382.3351756155</v>
      </c>
      <c r="Q725" s="1092">
        <f t="shared" si="143"/>
        <v>-89341.21690715407</v>
      </c>
      <c r="R725" s="1092">
        <f t="shared" si="143"/>
        <v>-69307.196896258276</v>
      </c>
      <c r="S725" s="1092">
        <f t="shared" si="143"/>
        <v>-49269.758508213796</v>
      </c>
      <c r="T725" s="1092">
        <f t="shared" si="143"/>
        <v>-29228.640239752363</v>
      </c>
      <c r="U725" s="1092">
        <f t="shared" si="143"/>
        <v>-9179.3357878201641</v>
      </c>
      <c r="V725" s="1092">
        <f t="shared" si="143"/>
        <v>1934.418601936195</v>
      </c>
      <c r="W725" s="1092">
        <f t="shared" si="143"/>
        <v>4759.9875926026143</v>
      </c>
      <c r="X725" s="1092">
        <f t="shared" si="143"/>
        <v>7587.7766534290276</v>
      </c>
      <c r="Y725" s="1092">
        <f t="shared" si="143"/>
        <v>10415.565714254975</v>
      </c>
      <c r="Z725" s="1092">
        <f t="shared" si="143"/>
        <v>13239.792756670155</v>
      </c>
      <c r="AA725" s="1092">
        <f t="shared" si="143"/>
        <v>16067.581817496102</v>
      </c>
      <c r="AB725" s="1092">
        <f t="shared" si="143"/>
        <v>18891.722363667563</v>
      </c>
      <c r="AC725" s="1092">
        <f t="shared" si="143"/>
        <v>21719.511424496304</v>
      </c>
      <c r="AD725" s="1092">
        <f t="shared" si="143"/>
        <v>24547.300485320389</v>
      </c>
      <c r="AE725" s="1092">
        <f t="shared" si="143"/>
        <v>27369.307457575109</v>
      </c>
      <c r="AF725" s="1092">
        <f t="shared" si="143"/>
        <v>30197.096518401988</v>
      </c>
      <c r="AG725" s="1092">
        <f t="shared" si="143"/>
        <v>33024.885579227004</v>
      </c>
      <c r="AH725" s="773">
        <f t="shared" si="143"/>
        <v>35849.026125401258</v>
      </c>
      <c r="AI725" s="25"/>
      <c r="AJ725" s="25"/>
      <c r="AK725" s="25"/>
      <c r="AL725" s="25"/>
      <c r="AM725" s="25"/>
    </row>
    <row r="726" spans="2:39" s="1" customFormat="1" ht="21.9" customHeight="1" x14ac:dyDescent="0.25">
      <c r="B726" s="758" t="s">
        <v>722</v>
      </c>
      <c r="C726" s="114" t="str">
        <v>SOx</v>
      </c>
      <c r="D726" s="114"/>
      <c r="E726" s="114"/>
      <c r="F726" s="797">
        <f t="shared" ref="F726:F732" si="144">SUMPRODUCT(G726:AH726)</f>
        <v>-1435.8277953085781</v>
      </c>
      <c r="G726" s="1092">
        <f t="shared" ref="G726:AH726" si="145">IF(G$715&gt;=endYear,IF(G$715&lt;=endYear+yearsOfBenefits,G717,0),0)</f>
        <v>0</v>
      </c>
      <c r="H726" s="1092">
        <f t="shared" si="145"/>
        <v>0</v>
      </c>
      <c r="I726" s="1092">
        <f t="shared" si="145"/>
        <v>0</v>
      </c>
      <c r="J726" s="1092">
        <f t="shared" si="145"/>
        <v>0</v>
      </c>
      <c r="K726" s="1092">
        <f t="shared" si="145"/>
        <v>0</v>
      </c>
      <c r="L726" s="1092">
        <f t="shared" si="145"/>
        <v>0</v>
      </c>
      <c r="M726" s="1092">
        <f t="shared" si="145"/>
        <v>0</v>
      </c>
      <c r="N726" s="1092">
        <f t="shared" si="145"/>
        <v>-383.25596699959533</v>
      </c>
      <c r="O726" s="1092">
        <f t="shared" si="145"/>
        <v>-484.24999911537088</v>
      </c>
      <c r="P726" s="1092">
        <f t="shared" si="145"/>
        <v>-589.63177572188033</v>
      </c>
      <c r="Q726" s="1092">
        <f t="shared" si="145"/>
        <v>-481.13457265527359</v>
      </c>
      <c r="R726" s="1092">
        <f t="shared" si="145"/>
        <v>-372.6757689113856</v>
      </c>
      <c r="S726" s="1092">
        <f t="shared" si="145"/>
        <v>-264.19885895124025</v>
      </c>
      <c r="T726" s="1092">
        <f t="shared" si="145"/>
        <v>-155.70165588462805</v>
      </c>
      <c r="U726" s="1092">
        <f t="shared" si="145"/>
        <v>-47.163817102747998</v>
      </c>
      <c r="V726" s="1092">
        <f t="shared" si="145"/>
        <v>12.900135634177786</v>
      </c>
      <c r="W726" s="1092">
        <f t="shared" si="145"/>
        <v>27.953620453095937</v>
      </c>
      <c r="X726" s="1092">
        <f t="shared" si="145"/>
        <v>43.019348093775989</v>
      </c>
      <c r="Y726" s="1092">
        <f t="shared" si="145"/>
        <v>58.085075734465136</v>
      </c>
      <c r="Z726" s="1092">
        <f t="shared" si="145"/>
        <v>73.129651085075238</v>
      </c>
      <c r="AA726" s="1092">
        <f t="shared" si="145"/>
        <v>88.195378725768023</v>
      </c>
      <c r="AB726" s="1092">
        <f t="shared" si="145"/>
        <v>103.23947708332889</v>
      </c>
      <c r="AC726" s="1092">
        <f t="shared" si="145"/>
        <v>118.3052047240144</v>
      </c>
      <c r="AD726" s="1092">
        <f t="shared" si="145"/>
        <v>133.37093236470173</v>
      </c>
      <c r="AE726" s="1092">
        <f t="shared" si="145"/>
        <v>148.40326489353538</v>
      </c>
      <c r="AF726" s="1092">
        <f t="shared" si="145"/>
        <v>163.46899253422089</v>
      </c>
      <c r="AG726" s="1092">
        <f t="shared" si="145"/>
        <v>178.53472017491367</v>
      </c>
      <c r="AH726" s="775">
        <f t="shared" si="145"/>
        <v>193.5788185324709</v>
      </c>
      <c r="AI726" s="25"/>
      <c r="AJ726" s="25"/>
      <c r="AK726" s="25"/>
      <c r="AL726" s="25"/>
      <c r="AM726" s="25"/>
    </row>
    <row r="727" spans="2:39" ht="21.9" customHeight="1" x14ac:dyDescent="0.25">
      <c r="B727" s="758"/>
      <c r="C727" s="114" t="str">
        <v>PM2.5</v>
      </c>
      <c r="D727" s="114"/>
      <c r="E727" s="114"/>
      <c r="F727" s="797">
        <f t="shared" si="144"/>
        <v>-423757.13102413993</v>
      </c>
      <c r="G727" s="1092">
        <f t="shared" ref="G727:AH727" si="146">IF(G$715&gt;=endYear,IF(G$715&lt;=endYear+yearsOfBenefits,G718,0),0)</f>
        <v>0</v>
      </c>
      <c r="H727" s="1092">
        <f t="shared" si="146"/>
        <v>0</v>
      </c>
      <c r="I727" s="1092">
        <f t="shared" si="146"/>
        <v>0</v>
      </c>
      <c r="J727" s="1092">
        <f t="shared" si="146"/>
        <v>0</v>
      </c>
      <c r="K727" s="1092">
        <f t="shared" si="146"/>
        <v>0</v>
      </c>
      <c r="L727" s="1092">
        <f t="shared" si="146"/>
        <v>0</v>
      </c>
      <c r="M727" s="1092">
        <f t="shared" si="146"/>
        <v>0</v>
      </c>
      <c r="N727" s="1092">
        <f t="shared" si="146"/>
        <v>-112033.4924218813</v>
      </c>
      <c r="O727" s="1092">
        <f t="shared" si="146"/>
        <v>-140826.65272719134</v>
      </c>
      <c r="P727" s="1092">
        <f t="shared" si="146"/>
        <v>-170682.26255016401</v>
      </c>
      <c r="Q727" s="1092">
        <f t="shared" si="146"/>
        <v>-139392.91477251984</v>
      </c>
      <c r="R727" s="1092">
        <f t="shared" si="146"/>
        <v>-108114.64816356869</v>
      </c>
      <c r="S727" s="1092">
        <f t="shared" si="146"/>
        <v>-76831.059063023888</v>
      </c>
      <c r="T727" s="1092">
        <f t="shared" si="146"/>
        <v>-45541.711285380181</v>
      </c>
      <c r="U727" s="1092">
        <f t="shared" si="146"/>
        <v>-14239.716032701544</v>
      </c>
      <c r="V727" s="1092">
        <f t="shared" si="146"/>
        <v>3107.9924924857914</v>
      </c>
      <c r="W727" s="1092">
        <f t="shared" si="146"/>
        <v>7510.6246919557452</v>
      </c>
      <c r="X727" s="1092">
        <f t="shared" si="146"/>
        <v>11916.731098665856</v>
      </c>
      <c r="Y727" s="1092">
        <f t="shared" si="146"/>
        <v>16322.837505376898</v>
      </c>
      <c r="Z727" s="1092">
        <f t="shared" si="146"/>
        <v>20723.315057431348</v>
      </c>
      <c r="AA727" s="1092">
        <f t="shared" si="146"/>
        <v>25129.421464138664</v>
      </c>
      <c r="AB727" s="1092">
        <f t="shared" si="146"/>
        <v>29529.763657469302</v>
      </c>
      <c r="AC727" s="1092">
        <f t="shared" si="146"/>
        <v>33935.870064180344</v>
      </c>
      <c r="AD727" s="1092">
        <f t="shared" si="146"/>
        <v>38341.976470888592</v>
      </c>
      <c r="AE727" s="1092">
        <f t="shared" si="146"/>
        <v>42738.979815705679</v>
      </c>
      <c r="AF727" s="1092">
        <f t="shared" si="146"/>
        <v>47145.086222414859</v>
      </c>
      <c r="AG727" s="1092">
        <f t="shared" si="146"/>
        <v>51551.192629124038</v>
      </c>
      <c r="AH727" s="775">
        <f t="shared" si="146"/>
        <v>55951.534822453745</v>
      </c>
    </row>
    <row r="728" spans="2:39" ht="21.9" customHeight="1" x14ac:dyDescent="0.25">
      <c r="B728" s="790"/>
      <c r="C728" s="250" t="str">
        <v>CO2</v>
      </c>
      <c r="D728" s="250"/>
      <c r="E728" s="250"/>
      <c r="F728" s="799">
        <f t="shared" si="144"/>
        <v>-23352248.172289431</v>
      </c>
      <c r="G728" s="800">
        <f t="shared" ref="G728:AH728" si="147">IF(G$715&gt;=endYear,IF(G$715&lt;=endYear+yearsOfBenefits,G719,0),0)</f>
        <v>0</v>
      </c>
      <c r="H728" s="800">
        <f t="shared" si="147"/>
        <v>0</v>
      </c>
      <c r="I728" s="800">
        <f t="shared" si="147"/>
        <v>0</v>
      </c>
      <c r="J728" s="800">
        <f t="shared" si="147"/>
        <v>0</v>
      </c>
      <c r="K728" s="800">
        <f t="shared" si="147"/>
        <v>0</v>
      </c>
      <c r="L728" s="800">
        <f t="shared" si="147"/>
        <v>0</v>
      </c>
      <c r="M728" s="800">
        <f t="shared" si="147"/>
        <v>0</v>
      </c>
      <c r="N728" s="800">
        <f t="shared" si="147"/>
        <v>-7694192.1212507784</v>
      </c>
      <c r="O728" s="800">
        <f t="shared" si="147"/>
        <v>-9609478.4417585731</v>
      </c>
      <c r="P728" s="800">
        <f t="shared" si="147"/>
        <v>-11615313.520811677</v>
      </c>
      <c r="Q728" s="800">
        <f t="shared" si="147"/>
        <v>-9664048.3748832941</v>
      </c>
      <c r="R728" s="800">
        <f t="shared" si="147"/>
        <v>-7573310.6306126714</v>
      </c>
      <c r="S728" s="800">
        <f t="shared" si="147"/>
        <v>-5472896.8485281765</v>
      </c>
      <c r="T728" s="800">
        <f t="shared" si="147"/>
        <v>-3277011.6940265298</v>
      </c>
      <c r="U728" s="800">
        <f t="shared" si="147"/>
        <v>-1013766.7100775242</v>
      </c>
      <c r="V728" s="800">
        <f t="shared" si="147"/>
        <v>269368.8626961112</v>
      </c>
      <c r="W728" s="800">
        <f t="shared" si="147"/>
        <v>605997.19461685419</v>
      </c>
      <c r="X728" s="800">
        <f t="shared" si="147"/>
        <v>947923.84486454725</v>
      </c>
      <c r="Y728" s="800">
        <f t="shared" si="147"/>
        <v>1301219.6990380287</v>
      </c>
      <c r="Z728" s="800">
        <f t="shared" si="147"/>
        <v>1668879.5463114977</v>
      </c>
      <c r="AA728" s="800">
        <f t="shared" si="147"/>
        <v>2041841.6664813161</v>
      </c>
      <c r="AB728" s="800">
        <f t="shared" si="147"/>
        <v>2431455.0441499352</v>
      </c>
      <c r="AC728" s="800">
        <f t="shared" si="147"/>
        <v>2824083.2846520543</v>
      </c>
      <c r="AD728" s="800">
        <f t="shared" si="147"/>
        <v>3236178.0040162206</v>
      </c>
      <c r="AE728" s="800">
        <f t="shared" si="147"/>
        <v>3647666.9170786142</v>
      </c>
      <c r="AF728" s="800">
        <f t="shared" si="147"/>
        <v>4081736.0630686283</v>
      </c>
      <c r="AG728" s="800">
        <f t="shared" si="147"/>
        <v>4527377.353362143</v>
      </c>
      <c r="AH728" s="801">
        <f t="shared" si="147"/>
        <v>4984042.6893238425</v>
      </c>
      <c r="AI728" s="40"/>
      <c r="AJ728" s="40"/>
      <c r="AK728" s="40"/>
      <c r="AL728" s="40"/>
      <c r="AM728" s="40"/>
    </row>
    <row r="729" spans="2:39" ht="21.9" customHeight="1" x14ac:dyDescent="0.25">
      <c r="B729" s="758" t="s">
        <v>453</v>
      </c>
      <c r="C729" s="114" t="str" cm="1">
        <f t="array" ref="C729:C732">_xlfn.ANCHORARRAY($B$13)</f>
        <v>NOx</v>
      </c>
      <c r="D729" s="114"/>
      <c r="E729" s="114"/>
      <c r="F729" s="798">
        <f t="shared" si="144"/>
        <v>-44516.233455317328</v>
      </c>
      <c r="G729" s="1092">
        <f t="shared" ref="G729:AH729" si="148">IF(G$715&gt;=endYear,IF(G$715&lt;=endYear+yearsOfBenefits,G720,0),0)</f>
        <v>0</v>
      </c>
      <c r="H729" s="1092">
        <f t="shared" si="148"/>
        <v>0</v>
      </c>
      <c r="I729" s="1092">
        <f t="shared" si="148"/>
        <v>0</v>
      </c>
      <c r="J729" s="1092">
        <f t="shared" si="148"/>
        <v>0</v>
      </c>
      <c r="K729" s="1092">
        <f t="shared" si="148"/>
        <v>0</v>
      </c>
      <c r="L729" s="1092">
        <f t="shared" si="148"/>
        <v>0</v>
      </c>
      <c r="M729" s="1092">
        <f t="shared" si="148"/>
        <v>0</v>
      </c>
      <c r="N729" s="1092">
        <f t="shared" si="148"/>
        <v>-91089.626131589524</v>
      </c>
      <c r="O729" s="1092">
        <f t="shared" si="148"/>
        <v>-108904.73642403074</v>
      </c>
      <c r="P729" s="1092">
        <f t="shared" si="148"/>
        <v>-126757.0205109308</v>
      </c>
      <c r="Q729" s="1092">
        <f t="shared" si="148"/>
        <v>-100102.00718329987</v>
      </c>
      <c r="R729" s="1092">
        <f t="shared" si="148"/>
        <v>-73454.187259098981</v>
      </c>
      <c r="S729" s="1092">
        <f t="shared" si="148"/>
        <v>-46806.650131858885</v>
      </c>
      <c r="T729" s="1092">
        <f t="shared" si="148"/>
        <v>-20151.636804227717</v>
      </c>
      <c r="U729" s="1092">
        <f t="shared" si="148"/>
        <v>6514.0809007412754</v>
      </c>
      <c r="V729" s="1092">
        <f t="shared" si="148"/>
        <v>22681.878132844344</v>
      </c>
      <c r="W729" s="1092">
        <f t="shared" si="148"/>
        <v>25519.071569444612</v>
      </c>
      <c r="X729" s="1092">
        <f t="shared" si="148"/>
        <v>28358.485076205339</v>
      </c>
      <c r="Y729" s="1092">
        <f t="shared" si="148"/>
        <v>31197.898582965136</v>
      </c>
      <c r="Z729" s="1092">
        <f t="shared" si="148"/>
        <v>34033.067399740219</v>
      </c>
      <c r="AA729" s="1092">
        <f t="shared" si="148"/>
        <v>36872.480906500947</v>
      </c>
      <c r="AB729" s="1092">
        <f t="shared" si="148"/>
        <v>39710.342279143631</v>
      </c>
      <c r="AC729" s="1092">
        <f t="shared" si="148"/>
        <v>42549.755785905756</v>
      </c>
      <c r="AD729" s="1092">
        <f t="shared" si="148"/>
        <v>45389.169292665087</v>
      </c>
      <c r="AE729" s="1092">
        <f t="shared" si="148"/>
        <v>48222.118039278314</v>
      </c>
      <c r="AF729" s="1092">
        <f t="shared" si="148"/>
        <v>51061.531546040438</v>
      </c>
      <c r="AG729" s="1092">
        <f t="shared" si="148"/>
        <v>53900.945052799303</v>
      </c>
      <c r="AH729" s="775">
        <f t="shared" si="148"/>
        <v>56738.806425444782</v>
      </c>
      <c r="AI729" s="246"/>
      <c r="AJ729" s="246"/>
      <c r="AK729" s="246"/>
      <c r="AL729" s="246"/>
      <c r="AM729" s="246"/>
    </row>
    <row r="730" spans="2:39" ht="21.9" customHeight="1" x14ac:dyDescent="0.25">
      <c r="B730" s="758" t="s">
        <v>722</v>
      </c>
      <c r="C730" s="114" t="str">
        <v>SOx</v>
      </c>
      <c r="D730" s="114"/>
      <c r="E730" s="114"/>
      <c r="F730" s="797">
        <f t="shared" si="144"/>
        <v>-174.14515529497476</v>
      </c>
      <c r="G730" s="1092">
        <f t="shared" ref="G730:AH730" si="149">IF(G$715&gt;=endYear,IF(G$715&lt;=endYear+yearsOfBenefits,G721,0),0)</f>
        <v>0</v>
      </c>
      <c r="H730" s="1092">
        <f t="shared" si="149"/>
        <v>0</v>
      </c>
      <c r="I730" s="1092">
        <f t="shared" si="149"/>
        <v>0</v>
      </c>
      <c r="J730" s="1092">
        <f t="shared" si="149"/>
        <v>0</v>
      </c>
      <c r="K730" s="1092">
        <f t="shared" si="149"/>
        <v>0</v>
      </c>
      <c r="L730" s="1092">
        <f t="shared" si="149"/>
        <v>0</v>
      </c>
      <c r="M730" s="1092">
        <f t="shared" si="149"/>
        <v>0</v>
      </c>
      <c r="N730" s="1092">
        <f t="shared" si="149"/>
        <v>-486.49171819884759</v>
      </c>
      <c r="O730" s="1092">
        <f t="shared" si="149"/>
        <v>-583.9163685141757</v>
      </c>
      <c r="P730" s="1092">
        <f t="shared" si="149"/>
        <v>-685.44639450897739</v>
      </c>
      <c r="Q730" s="1092">
        <f t="shared" si="149"/>
        <v>-540.47613759637716</v>
      </c>
      <c r="R730" s="1092">
        <f t="shared" si="149"/>
        <v>-395.54480469885493</v>
      </c>
      <c r="S730" s="1092">
        <f t="shared" si="149"/>
        <v>-250.61577611795838</v>
      </c>
      <c r="T730" s="1092">
        <f t="shared" si="149"/>
        <v>-105.64551920535087</v>
      </c>
      <c r="U730" s="1092">
        <f t="shared" si="149"/>
        <v>39.379260280369635</v>
      </c>
      <c r="V730" s="1092">
        <f t="shared" si="149"/>
        <v>127.31428975495692</v>
      </c>
      <c r="W730" s="1092">
        <f t="shared" si="149"/>
        <v>142.43187886320447</v>
      </c>
      <c r="X730" s="1092">
        <f t="shared" si="149"/>
        <v>157.56171079321757</v>
      </c>
      <c r="Y730" s="1092">
        <f t="shared" si="149"/>
        <v>172.69154272323976</v>
      </c>
      <c r="Z730" s="1092">
        <f t="shared" si="149"/>
        <v>187.79645769548733</v>
      </c>
      <c r="AA730" s="1092">
        <f t="shared" si="149"/>
        <v>202.92628962550771</v>
      </c>
      <c r="AB730" s="1092">
        <f t="shared" si="149"/>
        <v>218.04605299411378</v>
      </c>
      <c r="AC730" s="1092">
        <f t="shared" si="149"/>
        <v>233.17588492413051</v>
      </c>
      <c r="AD730" s="1092">
        <f t="shared" si="149"/>
        <v>248.30571685415271</v>
      </c>
      <c r="AE730" s="1092">
        <f t="shared" si="149"/>
        <v>263.39838900461837</v>
      </c>
      <c r="AF730" s="1092">
        <f t="shared" si="149"/>
        <v>278.5282209346442</v>
      </c>
      <c r="AG730" s="1092">
        <f t="shared" si="149"/>
        <v>293.65805286466275</v>
      </c>
      <c r="AH730" s="775">
        <f t="shared" si="149"/>
        <v>308.77781623326155</v>
      </c>
      <c r="AI730" s="26"/>
      <c r="AJ730" s="26"/>
      <c r="AK730" s="26"/>
      <c r="AL730" s="26"/>
      <c r="AM730" s="26"/>
    </row>
    <row r="731" spans="2:39" ht="21.9" customHeight="1" x14ac:dyDescent="0.25">
      <c r="B731" s="758"/>
      <c r="C731" s="114" t="str">
        <v>PM2.5</v>
      </c>
      <c r="D731" s="114"/>
      <c r="E731" s="114"/>
      <c r="F731" s="797">
        <f t="shared" si="144"/>
        <v>206861.45890798979</v>
      </c>
      <c r="G731" s="1092">
        <f t="shared" ref="G731:AH731" si="150">IF(G$715&gt;=endYear,IF(G$715&lt;=endYear+yearsOfBenefits,G722,0),0)</f>
        <v>0</v>
      </c>
      <c r="H731" s="1092">
        <f t="shared" si="150"/>
        <v>0</v>
      </c>
      <c r="I731" s="1092">
        <f t="shared" si="150"/>
        <v>0</v>
      </c>
      <c r="J731" s="1092">
        <f t="shared" si="150"/>
        <v>0</v>
      </c>
      <c r="K731" s="1092">
        <f t="shared" si="150"/>
        <v>0</v>
      </c>
      <c r="L731" s="1092">
        <f t="shared" si="150"/>
        <v>0</v>
      </c>
      <c r="M731" s="1092">
        <f t="shared" si="150"/>
        <v>0</v>
      </c>
      <c r="N731" s="1092">
        <f t="shared" si="150"/>
        <v>-133674.46725317929</v>
      </c>
      <c r="O731" s="1092">
        <f t="shared" si="150"/>
        <v>-160550.33537401119</v>
      </c>
      <c r="P731" s="1092">
        <f t="shared" si="150"/>
        <v>-188410.38572226092</v>
      </c>
      <c r="Q731" s="1092">
        <f t="shared" si="150"/>
        <v>-146216.27106597321</v>
      </c>
      <c r="R731" s="1092">
        <f t="shared" si="150"/>
        <v>-104033.85469497507</v>
      </c>
      <c r="S731" s="1092">
        <f t="shared" si="150"/>
        <v>-61851.408395366278</v>
      </c>
      <c r="T731" s="1092">
        <f t="shared" si="150"/>
        <v>-19657.293739079032</v>
      </c>
      <c r="U731" s="1092">
        <f t="shared" si="150"/>
        <v>22555.375668282621</v>
      </c>
      <c r="V731" s="1092">
        <f t="shared" si="150"/>
        <v>48215.994760948699</v>
      </c>
      <c r="W731" s="1092">
        <f t="shared" si="150"/>
        <v>52982.303564084694</v>
      </c>
      <c r="X731" s="1092">
        <f t="shared" si="150"/>
        <v>57752.08657446038</v>
      </c>
      <c r="Y731" s="1092">
        <f t="shared" si="150"/>
        <v>62521.869584837928</v>
      </c>
      <c r="Z731" s="1092">
        <f t="shared" si="150"/>
        <v>67285.329999432899</v>
      </c>
      <c r="AA731" s="1092">
        <f t="shared" si="150"/>
        <v>72055.113009806722</v>
      </c>
      <c r="AB731" s="1092">
        <f t="shared" si="150"/>
        <v>76823.255250668153</v>
      </c>
      <c r="AC731" s="1092">
        <f t="shared" si="150"/>
        <v>81593.03826104477</v>
      </c>
      <c r="AD731" s="1092">
        <f t="shared" si="150"/>
        <v>86362.821271419525</v>
      </c>
      <c r="AE731" s="1092">
        <f t="shared" si="150"/>
        <v>91122.807478777133</v>
      </c>
      <c r="AF731" s="1092">
        <f t="shared" si="150"/>
        <v>95892.590489152819</v>
      </c>
      <c r="AG731" s="1092">
        <f t="shared" si="150"/>
        <v>100662.37349952944</v>
      </c>
      <c r="AH731" s="775">
        <f t="shared" si="150"/>
        <v>105430.515740389</v>
      </c>
      <c r="AI731" s="26"/>
      <c r="AJ731" s="26"/>
      <c r="AK731" s="26"/>
      <c r="AL731" s="26"/>
      <c r="AM731" s="26"/>
    </row>
    <row r="732" spans="2:39" ht="21.9" customHeight="1" thickBot="1" x14ac:dyDescent="0.3">
      <c r="B732" s="761"/>
      <c r="C732" s="274" t="str">
        <v>CO2</v>
      </c>
      <c r="D732" s="274"/>
      <c r="E732" s="274"/>
      <c r="F732" s="802">
        <f t="shared" si="144"/>
        <v>7362708.5665522218</v>
      </c>
      <c r="G732" s="803">
        <f t="shared" ref="G732:AH732" si="151">IF(G$715&gt;=endYear,IF(G$715&lt;=endYear+yearsOfBenefits,G723,0),0)</f>
        <v>0</v>
      </c>
      <c r="H732" s="803">
        <f t="shared" si="151"/>
        <v>0</v>
      </c>
      <c r="I732" s="803">
        <f t="shared" si="151"/>
        <v>0</v>
      </c>
      <c r="J732" s="803">
        <f t="shared" si="151"/>
        <v>0</v>
      </c>
      <c r="K732" s="803">
        <f t="shared" si="151"/>
        <v>0</v>
      </c>
      <c r="L732" s="803">
        <f t="shared" si="151"/>
        <v>0</v>
      </c>
      <c r="M732" s="803">
        <f t="shared" si="151"/>
        <v>0</v>
      </c>
      <c r="N732" s="803">
        <f t="shared" si="151"/>
        <v>-9758567.7179059684</v>
      </c>
      <c r="O732" s="803">
        <f t="shared" si="151"/>
        <v>-11579411.073418111</v>
      </c>
      <c r="P732" s="803">
        <f t="shared" si="151"/>
        <v>-13495264.264089853</v>
      </c>
      <c r="Q732" s="803">
        <f t="shared" si="151"/>
        <v>-10851024.155628622</v>
      </c>
      <c r="R732" s="803">
        <f t="shared" si="151"/>
        <v>-8035984.8480953872</v>
      </c>
      <c r="S732" s="803">
        <f t="shared" si="151"/>
        <v>-5192906.0982089639</v>
      </c>
      <c r="T732" s="803">
        <f t="shared" si="151"/>
        <v>-2229908.5545666218</v>
      </c>
      <c r="U732" s="803">
        <f t="shared" si="151"/>
        <v>823019.88480883837</v>
      </c>
      <c r="V732" s="803">
        <f t="shared" si="151"/>
        <v>2732629.8778421879</v>
      </c>
      <c r="W732" s="803">
        <f t="shared" si="151"/>
        <v>3114337.6436446309</v>
      </c>
      <c r="X732" s="803">
        <f t="shared" si="151"/>
        <v>3483903.1558138728</v>
      </c>
      <c r="Y732" s="803">
        <f t="shared" si="151"/>
        <v>3873616.8865238428</v>
      </c>
      <c r="Z732" s="803">
        <f t="shared" si="151"/>
        <v>4286402.3702625632</v>
      </c>
      <c r="AA732" s="803">
        <f t="shared" si="151"/>
        <v>4695864.4162117839</v>
      </c>
      <c r="AB732" s="803">
        <f t="shared" si="151"/>
        <v>5131052.7595496178</v>
      </c>
      <c r="AC732" s="803">
        <f t="shared" si="151"/>
        <v>5560267.6551519632</v>
      </c>
      <c r="AD732" s="803">
        <f t="shared" si="151"/>
        <v>6017762.8977927566</v>
      </c>
      <c r="AE732" s="803">
        <f t="shared" si="151"/>
        <v>6465829.4048972726</v>
      </c>
      <c r="AF732" s="803">
        <f t="shared" si="151"/>
        <v>6945390.6240984797</v>
      </c>
      <c r="AG732" s="803">
        <f t="shared" si="151"/>
        <v>7436572.9281323552</v>
      </c>
      <c r="AH732" s="804">
        <f t="shared" si="151"/>
        <v>7939124.7737355828</v>
      </c>
      <c r="AI732" s="26"/>
      <c r="AJ732" s="26"/>
      <c r="AK732" s="26"/>
      <c r="AL732" s="26"/>
      <c r="AM732" s="26"/>
    </row>
    <row r="733" spans="2:39" ht="21.9" customHeight="1" x14ac:dyDescent="0.25">
      <c r="B733" s="805" t="s">
        <v>469</v>
      </c>
      <c r="C733" s="734" t="s">
        <v>42</v>
      </c>
      <c r="D733" s="734"/>
      <c r="E733" s="734"/>
      <c r="F733" s="806" t="s">
        <v>25</v>
      </c>
      <c r="G733" s="734">
        <v>2021</v>
      </c>
      <c r="H733" s="734">
        <v>2022</v>
      </c>
      <c r="I733" s="734">
        <v>2023</v>
      </c>
      <c r="J733" s="734">
        <v>2024</v>
      </c>
      <c r="K733" s="734">
        <v>2025</v>
      </c>
      <c r="L733" s="734">
        <v>2026</v>
      </c>
      <c r="M733" s="734">
        <v>2027</v>
      </c>
      <c r="N733" s="734">
        <v>2028</v>
      </c>
      <c r="O733" s="734">
        <v>2029</v>
      </c>
      <c r="P733" s="734">
        <v>2030</v>
      </c>
      <c r="Q733" s="734">
        <v>2031</v>
      </c>
      <c r="R733" s="734">
        <v>2032</v>
      </c>
      <c r="S733" s="734">
        <v>2033</v>
      </c>
      <c r="T733" s="734">
        <v>2034</v>
      </c>
      <c r="U733" s="734">
        <v>2035</v>
      </c>
      <c r="V733" s="734">
        <v>2036</v>
      </c>
      <c r="W733" s="734">
        <v>2037</v>
      </c>
      <c r="X733" s="734">
        <v>2038</v>
      </c>
      <c r="Y733" s="734">
        <v>2039</v>
      </c>
      <c r="Z733" s="734">
        <v>2040</v>
      </c>
      <c r="AA733" s="734">
        <v>2041</v>
      </c>
      <c r="AB733" s="734">
        <v>2042</v>
      </c>
      <c r="AC733" s="734">
        <v>2043</v>
      </c>
      <c r="AD733" s="734">
        <v>2044</v>
      </c>
      <c r="AE733" s="734">
        <v>2045</v>
      </c>
      <c r="AF733" s="734">
        <v>2046</v>
      </c>
      <c r="AG733" s="734">
        <v>2047</v>
      </c>
      <c r="AH733" s="734">
        <v>2048</v>
      </c>
      <c r="AI733" s="247"/>
      <c r="AJ733" s="247"/>
      <c r="AK733" s="247"/>
      <c r="AL733" s="247"/>
      <c r="AM733" s="247"/>
    </row>
    <row r="734" spans="2:39" s="1" customFormat="1" ht="21.9" customHeight="1" x14ac:dyDescent="0.25">
      <c r="B734" s="781" t="s">
        <v>452</v>
      </c>
      <c r="C734" s="217" t="str" cm="1">
        <f t="array" ref="C734:C737">_xlfn.ANCHORARRAY($B$13)</f>
        <v>NOx</v>
      </c>
      <c r="D734" s="217"/>
      <c r="E734" s="217"/>
      <c r="F734" s="798">
        <f>SUMPRODUCT(G734:AH734,'Results Summary'!$F$133:$AG$133)</f>
        <v>-243878.14504199862</v>
      </c>
      <c r="G734" s="1092">
        <f>G725*'Results Summary'!F$133</f>
        <v>0</v>
      </c>
      <c r="H734" s="1092">
        <f>H725*'Results Summary'!G$133</f>
        <v>0</v>
      </c>
      <c r="I734" s="1092">
        <f>I725*'Results Summary'!H$133</f>
        <v>0</v>
      </c>
      <c r="J734" s="1092">
        <f>J725*'Results Summary'!I$133</f>
        <v>0</v>
      </c>
      <c r="K734" s="1092">
        <f>K725*'Results Summary'!J$133</f>
        <v>0</v>
      </c>
      <c r="L734" s="1092">
        <f>L725*'Results Summary'!K$133</f>
        <v>0</v>
      </c>
      <c r="M734" s="1092">
        <f>M725*'Results Summary'!L$133</f>
        <v>0</v>
      </c>
      <c r="N734" s="1092">
        <f>N725*'Results Summary'!M$133</f>
        <v>-60032.325181721506</v>
      </c>
      <c r="O734" s="1092">
        <f>O725*'Results Summary'!N$133</f>
        <v>-73218.083344450351</v>
      </c>
      <c r="P734" s="1092">
        <f>P725*'Results Summary'!O$133</f>
        <v>-85679.686452364826</v>
      </c>
      <c r="Q734" s="1092">
        <f>Q725*'Results Summary'!P$133</f>
        <v>-67877.193303538908</v>
      </c>
      <c r="R734" s="1092">
        <f>R725*'Results Summary'!Q$133</f>
        <v>-51073.036769312625</v>
      </c>
      <c r="S734" s="1092">
        <f>S725*'Results Summary'!R$133</f>
        <v>-35215.601884687021</v>
      </c>
      <c r="T734" s="1092">
        <f>T725*'Results Summary'!S$133</f>
        <v>-20263.041243394779</v>
      </c>
      <c r="U734" s="1092">
        <f>U725*'Results Summary'!T$133</f>
        <v>-6172.3224818036415</v>
      </c>
      <c r="V734" s="1092">
        <f>V725*'Results Summary'!U$133</f>
        <v>1261.621687170496</v>
      </c>
      <c r="W734" s="1092">
        <f>W725*'Results Summary'!V$133</f>
        <v>3011.1045937851572</v>
      </c>
      <c r="X734" s="1092">
        <f>X725*'Results Summary'!W$133</f>
        <v>4655.6025178189657</v>
      </c>
      <c r="Y734" s="1092">
        <f>Y725*'Results Summary'!X$133</f>
        <v>6198.4849848275298</v>
      </c>
      <c r="Z734" s="1092">
        <f>Z725*'Results Summary'!Y$133</f>
        <v>7642.3198848840057</v>
      </c>
      <c r="AA734" s="1092">
        <f>AA725*'Results Summary'!Z$133</f>
        <v>8995.7189747723332</v>
      </c>
      <c r="AB734" s="1092">
        <f>AB725*'Results Summary'!AA$133</f>
        <v>10258.839818766401</v>
      </c>
      <c r="AC734" s="1092">
        <f>AC725*'Results Summary'!AB$133</f>
        <v>11439.790751291299</v>
      </c>
      <c r="AD734" s="1092">
        <f>AD725*'Results Summary'!AC$133</f>
        <v>12540.449471235286</v>
      </c>
      <c r="AE734" s="1092">
        <f>AE725*'Results Summary'!AD$133</f>
        <v>13561.711670807474</v>
      </c>
      <c r="AF734" s="1092">
        <f>AF725*'Results Summary'!AE$133</f>
        <v>14513.000836822004</v>
      </c>
      <c r="AG734" s="1092">
        <f>AG725*'Results Summary'!AF$133</f>
        <v>15394.822627282254</v>
      </c>
      <c r="AH734" s="773">
        <f>AH725*'Results Summary'!AG$133</f>
        <v>16208.844831668695</v>
      </c>
      <c r="AI734" s="25"/>
      <c r="AJ734" s="25"/>
      <c r="AK734" s="25"/>
      <c r="AL734" s="25"/>
      <c r="AM734" s="25"/>
    </row>
    <row r="735" spans="2:39" s="1" customFormat="1" ht="21.9" customHeight="1" x14ac:dyDescent="0.25">
      <c r="B735" s="758" t="s">
        <v>722</v>
      </c>
      <c r="C735" s="114" t="str">
        <v>SOx</v>
      </c>
      <c r="D735" s="114"/>
      <c r="E735" s="114"/>
      <c r="F735" s="797">
        <f>SUMPRODUCT(G735:AH735,'Results Summary'!$F$133:$AG$133)</f>
        <v>-1298.4362174986918</v>
      </c>
      <c r="G735" s="1092">
        <f>G726*'Results Summary'!F$133</f>
        <v>0</v>
      </c>
      <c r="H735" s="1092">
        <f>H726*'Results Summary'!G$133</f>
        <v>0</v>
      </c>
      <c r="I735" s="1092">
        <f>I726*'Results Summary'!H$133</f>
        <v>0</v>
      </c>
      <c r="J735" s="1092">
        <f>J726*'Results Summary'!I$133</f>
        <v>0</v>
      </c>
      <c r="K735" s="1092">
        <f>K726*'Results Summary'!J$133</f>
        <v>0</v>
      </c>
      <c r="L735" s="1092">
        <f>L726*'Results Summary'!K$133</f>
        <v>0</v>
      </c>
      <c r="M735" s="1092">
        <f>M726*'Results Summary'!L$133</f>
        <v>0</v>
      </c>
      <c r="N735" s="1092">
        <f>N726*'Results Summary'!M$133</f>
        <v>-319.10744265015637</v>
      </c>
      <c r="O735" s="1092">
        <f>O726*'Results Summary'!N$133</f>
        <v>-391.07402535186242</v>
      </c>
      <c r="P735" s="1092">
        <f>P726*'Results Summary'!O$133</f>
        <v>-461.86128304073782</v>
      </c>
      <c r="Q735" s="1092">
        <f>Q726*'Results Summary'!P$133</f>
        <v>-365.54308888669806</v>
      </c>
      <c r="R735" s="1092">
        <f>R726*'Results Summary'!Q$133</f>
        <v>-274.62780347520635</v>
      </c>
      <c r="S735" s="1092">
        <f>S726*'Results Summary'!R$133</f>
        <v>-188.83635960311014</v>
      </c>
      <c r="T735" s="1092">
        <f>T726*'Results Summary'!S$133</f>
        <v>-107.94169858658502</v>
      </c>
      <c r="U735" s="1092">
        <f>U726*'Results Summary'!T$133</f>
        <v>-31.71365503561093</v>
      </c>
      <c r="V735" s="1092">
        <f>V726*'Results Summary'!U$133</f>
        <v>8.4134276144933562</v>
      </c>
      <c r="W735" s="1092">
        <f>W726*'Results Summary'!V$133</f>
        <v>17.683087050489902</v>
      </c>
      <c r="X735" s="1092">
        <f>X726*'Results Summary'!W$133</f>
        <v>26.39521357152811</v>
      </c>
      <c r="Y735" s="1092">
        <f>Y726*'Results Summary'!X$133</f>
        <v>34.567442581625116</v>
      </c>
      <c r="Z735" s="1092">
        <f>Z726*'Results Summary'!Y$133</f>
        <v>42.212155200128649</v>
      </c>
      <c r="AA735" s="1092">
        <f>AA726*'Results Summary'!Z$133</f>
        <v>49.377737789186526</v>
      </c>
      <c r="AB735" s="1092">
        <f>AB726*'Results Summary'!AA$133</f>
        <v>56.062503883074378</v>
      </c>
      <c r="AC735" s="1092">
        <f>AC726*'Results Summary'!AB$133</f>
        <v>62.312027208171415</v>
      </c>
      <c r="AD735" s="1092">
        <f>AD726*'Results Summary'!AC$133</f>
        <v>68.135045613316095</v>
      </c>
      <c r="AE735" s="1092">
        <f>AE726*'Results Summary'!AD$133</f>
        <v>73.535009704293998</v>
      </c>
      <c r="AF735" s="1092">
        <f>AF726*'Results Summary'!AE$133</f>
        <v>78.564693264395501</v>
      </c>
      <c r="AG735" s="1092">
        <f>AG726*'Results Summary'!AF$133</f>
        <v>83.22543141930241</v>
      </c>
      <c r="AH735" s="775">
        <f>AH726*'Results Summary'!AG$133</f>
        <v>87.52508426072211</v>
      </c>
      <c r="AI735" s="25"/>
      <c r="AJ735" s="25"/>
      <c r="AK735" s="25"/>
      <c r="AL735" s="25"/>
      <c r="AM735" s="25"/>
    </row>
    <row r="736" spans="2:39" ht="21.9" customHeight="1" x14ac:dyDescent="0.25">
      <c r="B736" s="758"/>
      <c r="C736" s="114" t="str">
        <v>PM2.5</v>
      </c>
      <c r="D736" s="114"/>
      <c r="E736" s="114"/>
      <c r="F736" s="797">
        <f>SUMPRODUCT(G736:AH736,'Results Summary'!$F$133:$AG$133)</f>
        <v>-379457.9440447368</v>
      </c>
      <c r="G736" s="1092">
        <f>G727*'Results Summary'!F$133</f>
        <v>0</v>
      </c>
      <c r="H736" s="1092">
        <f>H727*'Results Summary'!G$133</f>
        <v>0</v>
      </c>
      <c r="I736" s="1092">
        <f>I727*'Results Summary'!H$133</f>
        <v>0</v>
      </c>
      <c r="J736" s="1092">
        <f>J727*'Results Summary'!I$133</f>
        <v>0</v>
      </c>
      <c r="K736" s="1092">
        <f>K727*'Results Summary'!J$133</f>
        <v>0</v>
      </c>
      <c r="L736" s="1092">
        <f>L727*'Results Summary'!K$133</f>
        <v>0</v>
      </c>
      <c r="M736" s="1092">
        <f>M727*'Results Summary'!L$133</f>
        <v>0</v>
      </c>
      <c r="N736" s="1092">
        <f>N727*'Results Summary'!M$133</f>
        <v>-93281.577682389907</v>
      </c>
      <c r="O736" s="1092">
        <f>O727*'Results Summary'!N$133</f>
        <v>-113729.780195065</v>
      </c>
      <c r="P736" s="1092">
        <f>P727*'Results Summary'!O$133</f>
        <v>-133696.20162889318</v>
      </c>
      <c r="Q736" s="1092">
        <f>Q727*'Results Summary'!P$133</f>
        <v>-105904.08490843388</v>
      </c>
      <c r="R736" s="1092">
        <f>R727*'Results Summary'!Q$133</f>
        <v>-79670.563061790002</v>
      </c>
      <c r="S736" s="1092">
        <f>S727*'Results Summary'!R$133</f>
        <v>-54915.064945797581</v>
      </c>
      <c r="T736" s="1092">
        <f>T727*'Results Summary'!S$133</f>
        <v>-31572.237589601071</v>
      </c>
      <c r="U736" s="1092">
        <f>U727*'Results Summary'!T$133</f>
        <v>-9574.9977378282001</v>
      </c>
      <c r="V736" s="1092">
        <f>V727*'Results Summary'!U$133</f>
        <v>2027.0228626619116</v>
      </c>
      <c r="W736" s="1092">
        <f>W727*'Results Summary'!V$133</f>
        <v>4751.120895207805</v>
      </c>
      <c r="X736" s="1092">
        <f>X727*'Results Summary'!W$133</f>
        <v>7311.70220752983</v>
      </c>
      <c r="Y736" s="1092">
        <f>Y727*'Results Summary'!X$133</f>
        <v>9714.005553091125</v>
      </c>
      <c r="Z736" s="1092">
        <f>Z727*'Results Summary'!Y$133</f>
        <v>11961.985029133892</v>
      </c>
      <c r="AA736" s="1092">
        <f>AA727*'Results Summary'!Z$133</f>
        <v>14069.149674025499</v>
      </c>
      <c r="AB736" s="1092">
        <f>AB727*'Results Summary'!AA$133</f>
        <v>16035.653574425878</v>
      </c>
      <c r="AC736" s="1092">
        <f>AC727*'Results Summary'!AB$133</f>
        <v>17874.216639117458</v>
      </c>
      <c r="AD736" s="1092">
        <f>AD727*'Results Summary'!AC$133</f>
        <v>19587.718773720586</v>
      </c>
      <c r="AE736" s="1092">
        <f>AE727*'Results Summary'!AD$133</f>
        <v>21177.507770831038</v>
      </c>
      <c r="AF736" s="1092">
        <f>AF727*'Results Summary'!AE$133</f>
        <v>22658.359732731042</v>
      </c>
      <c r="AG736" s="1092">
        <f>AG727*'Results Summary'!AF$133</f>
        <v>24031.013365551855</v>
      </c>
      <c r="AH736" s="775">
        <f>AH727*'Results Summary'!AG$133</f>
        <v>25298.030213106922</v>
      </c>
    </row>
    <row r="737" spans="2:39" ht="21.9" customHeight="1" x14ac:dyDescent="0.25">
      <c r="B737" s="790"/>
      <c r="C737" s="250" t="str">
        <v>CO2</v>
      </c>
      <c r="D737" s="250"/>
      <c r="E737" s="250"/>
      <c r="F737" s="799">
        <f>SUMPRODUCT(G737:AH737,'Results Summary'!$F$134:$AG$134)</f>
        <v>-26229799.438081276</v>
      </c>
      <c r="G737" s="800">
        <f>G728*'Results Summary'!F$134</f>
        <v>0</v>
      </c>
      <c r="H737" s="800">
        <f>H728*'Results Summary'!G$134</f>
        <v>0</v>
      </c>
      <c r="I737" s="800">
        <f>I728*'Results Summary'!H$134</f>
        <v>0</v>
      </c>
      <c r="J737" s="800">
        <f>J728*'Results Summary'!I$134</f>
        <v>0</v>
      </c>
      <c r="K737" s="800">
        <f>K728*'Results Summary'!J$134</f>
        <v>0</v>
      </c>
      <c r="L737" s="800">
        <f>L728*'Results Summary'!K$134</f>
        <v>0</v>
      </c>
      <c r="M737" s="800">
        <f>M728*'Results Summary'!L$134</f>
        <v>0</v>
      </c>
      <c r="N737" s="800">
        <f>N728*'Results Summary'!M$134</f>
        <v>-6832222.4127131626</v>
      </c>
      <c r="O737" s="800">
        <f>O728*'Results Summary'!N$134</f>
        <v>-8365629.268643898</v>
      </c>
      <c r="P737" s="800">
        <f>P728*'Results Summary'!O$134</f>
        <v>-9913558.2483670805</v>
      </c>
      <c r="Q737" s="800">
        <f>Q728*'Results Summary'!P$134</f>
        <v>-8086443.3673317041</v>
      </c>
      <c r="R737" s="800">
        <f>R728*'Results Summary'!Q$134</f>
        <v>-6212752.5002495451</v>
      </c>
      <c r="S737" s="800">
        <f>S728*'Results Summary'!R$134</f>
        <v>-4401648.6520413589</v>
      </c>
      <c r="T737" s="800">
        <f>T728*'Results Summary'!S$134</f>
        <v>-2583901.357041202</v>
      </c>
      <c r="U737" s="800">
        <f>U728*'Results Summary'!T$134</f>
        <v>-783674.63973332895</v>
      </c>
      <c r="V737" s="800">
        <f>V728*'Results Summary'!U$134</f>
        <v>204147.93343913485</v>
      </c>
      <c r="W737" s="800">
        <f>W728*'Results Summary'!V$134</f>
        <v>450264.84193204209</v>
      </c>
      <c r="X737" s="800">
        <f>X728*'Results Summary'!W$134</f>
        <v>690511.1565114808</v>
      </c>
      <c r="Y737" s="800">
        <f>Y728*'Results Summary'!X$134</f>
        <v>929282.39459485107</v>
      </c>
      <c r="Z737" s="800">
        <f>Z728*'Results Summary'!Y$134</f>
        <v>1168481.6600383711</v>
      </c>
      <c r="AA737" s="800">
        <f>AA728*'Results Summary'!Z$134</f>
        <v>1401582.9264532598</v>
      </c>
      <c r="AB737" s="800">
        <f>AB728*'Results Summary'!AA$134</f>
        <v>1636299.5424538935</v>
      </c>
      <c r="AC737" s="800">
        <f>AC728*'Results Summary'!AB$134</f>
        <v>1863261.855765172</v>
      </c>
      <c r="AD737" s="800">
        <f>AD728*'Results Summary'!AC$134</f>
        <v>2093286.2606091592</v>
      </c>
      <c r="AE737" s="800">
        <f>AE728*'Results Summary'!AD$134</f>
        <v>2313189.5612552436</v>
      </c>
      <c r="AF737" s="800">
        <f>AF728*'Results Summary'!AE$134</f>
        <v>2537703.0185046704</v>
      </c>
      <c r="AG737" s="800">
        <f>AG728*'Results Summary'!AF$134</f>
        <v>2759576.2594048446</v>
      </c>
      <c r="AH737" s="801">
        <f>AH728*'Results Summary'!AG$134</f>
        <v>2978360.6658565374</v>
      </c>
      <c r="AI737" s="40"/>
      <c r="AJ737" s="40"/>
      <c r="AK737" s="40"/>
      <c r="AL737" s="40"/>
      <c r="AM737" s="40"/>
    </row>
    <row r="738" spans="2:39" ht="21.9" customHeight="1" x14ac:dyDescent="0.25">
      <c r="B738" s="758" t="s">
        <v>453</v>
      </c>
      <c r="C738" s="114" t="str" cm="1">
        <f t="array" ref="C738:C741">_xlfn.ANCHORARRAY($B$13)</f>
        <v>NOx</v>
      </c>
      <c r="D738" s="114"/>
      <c r="E738" s="114"/>
      <c r="F738" s="798">
        <f>SUMPRODUCT(G738:AH738,'Results Summary'!$F$133:$AG$133)</f>
        <v>-193482.43404968196</v>
      </c>
      <c r="G738" s="1092">
        <f>G729*'Results Summary'!F$133</f>
        <v>0</v>
      </c>
      <c r="H738" s="1092">
        <f>H729*'Results Summary'!G$133</f>
        <v>0</v>
      </c>
      <c r="I738" s="1092">
        <f>I729*'Results Summary'!H$133</f>
        <v>0</v>
      </c>
      <c r="J738" s="1092">
        <f>J729*'Results Summary'!I$133</f>
        <v>0</v>
      </c>
      <c r="K738" s="1092">
        <f>K729*'Results Summary'!J$133</f>
        <v>0</v>
      </c>
      <c r="L738" s="1092">
        <f>L729*'Results Summary'!K$133</f>
        <v>0</v>
      </c>
      <c r="M738" s="1092">
        <f>M729*'Results Summary'!L$133</f>
        <v>0</v>
      </c>
      <c r="N738" s="1092">
        <f>N729*'Results Summary'!M$133</f>
        <v>-75843.248767581696</v>
      </c>
      <c r="O738" s="1092">
        <f>O729*'Results Summary'!N$133</f>
        <v>-87950.054168368544</v>
      </c>
      <c r="P738" s="1092">
        <f>P729*'Results Summary'!O$133</f>
        <v>-99289.357422985879</v>
      </c>
      <c r="Q738" s="1092">
        <f>Q729*'Results Summary'!P$133</f>
        <v>-76052.728257711904</v>
      </c>
      <c r="R738" s="1092">
        <f>R729*'Results Summary'!Q$133</f>
        <v>-54128.987677273566</v>
      </c>
      <c r="S738" s="1092">
        <f>S729*'Results Summary'!R$133</f>
        <v>-33455.093073463766</v>
      </c>
      <c r="T738" s="1092">
        <f>T729*'Results Summary'!S$133</f>
        <v>-13970.319670588889</v>
      </c>
      <c r="U738" s="1092">
        <f>U729*'Results Summary'!T$133</f>
        <v>4380.1652887873197</v>
      </c>
      <c r="V738" s="1092">
        <f>V729*'Results Summary'!U$133</f>
        <v>14793.049099875503</v>
      </c>
      <c r="W738" s="1092">
        <f>W729*'Results Summary'!V$133</f>
        <v>16143.023933781476</v>
      </c>
      <c r="X738" s="1092">
        <f>X729*'Results Summary'!W$133</f>
        <v>17399.805048643429</v>
      </c>
      <c r="Y738" s="1092">
        <f>Y729*'Results Summary'!X$133</f>
        <v>18566.414079651735</v>
      </c>
      <c r="Z738" s="1092">
        <f>Z729*'Results Summary'!Y$133</f>
        <v>19644.687232857115</v>
      </c>
      <c r="AA738" s="1092">
        <f>AA729*'Results Summary'!Z$133</f>
        <v>20643.70854961863</v>
      </c>
      <c r="AB738" s="1092">
        <f>AB729*'Results Summary'!AA$133</f>
        <v>21564.049732892334</v>
      </c>
      <c r="AC738" s="1092">
        <f>AC729*'Results Summary'!AB$133</f>
        <v>22411.199460053995</v>
      </c>
      <c r="AD738" s="1092">
        <f>AD729*'Results Summary'!AC$133</f>
        <v>23187.909578749819</v>
      </c>
      <c r="AE738" s="1092">
        <f>AE729*'Results Summary'!AD$133</f>
        <v>23894.446800236201</v>
      </c>
      <c r="AF738" s="1092">
        <f>AF729*'Results Summary'!AE$133</f>
        <v>24540.639183820254</v>
      </c>
      <c r="AG738" s="1092">
        <f>AG729*'Results Summary'!AF$133</f>
        <v>25126.369826173814</v>
      </c>
      <c r="AH738" s="775">
        <f>AH729*'Results Summary'!AG$133</f>
        <v>25653.988648591978</v>
      </c>
      <c r="AI738" s="246"/>
      <c r="AJ738" s="246"/>
      <c r="AK738" s="246"/>
      <c r="AL738" s="246"/>
      <c r="AM738" s="246"/>
    </row>
    <row r="739" spans="2:39" ht="21.9" customHeight="1" x14ac:dyDescent="0.25">
      <c r="B739" s="758" t="s">
        <v>722</v>
      </c>
      <c r="C739" s="114" t="str">
        <v>SOx</v>
      </c>
      <c r="D739" s="114"/>
      <c r="E739" s="114"/>
      <c r="F739" s="797">
        <f>SUMPRODUCT(G739:AH739,'Results Summary'!$F$133:$AG$133)</f>
        <v>-1018.888320536716</v>
      </c>
      <c r="G739" s="1092">
        <f>G730*'Results Summary'!F$133</f>
        <v>0</v>
      </c>
      <c r="H739" s="1092">
        <f>H730*'Results Summary'!G$133</f>
        <v>0</v>
      </c>
      <c r="I739" s="1092">
        <f>I730*'Results Summary'!H$133</f>
        <v>0</v>
      </c>
      <c r="J739" s="1092">
        <f>J730*'Results Summary'!I$133</f>
        <v>0</v>
      </c>
      <c r="K739" s="1092">
        <f>K730*'Results Summary'!J$133</f>
        <v>0</v>
      </c>
      <c r="L739" s="1092">
        <f>L730*'Results Summary'!K$133</f>
        <v>0</v>
      </c>
      <c r="M739" s="1092">
        <f>M730*'Results Summary'!L$133</f>
        <v>0</v>
      </c>
      <c r="N739" s="1092">
        <f>N730*'Results Summary'!M$133</f>
        <v>-405.0638253078489</v>
      </c>
      <c r="O739" s="1092">
        <f>O730*'Results Summary'!N$133</f>
        <v>-471.56329400276474</v>
      </c>
      <c r="P739" s="1092">
        <f>P730*'Results Summary'!O$133</f>
        <v>-536.91331481580494</v>
      </c>
      <c r="Q739" s="1092">
        <f>Q730*'Results Summary'!P$133</f>
        <v>-410.62797818955744</v>
      </c>
      <c r="R739" s="1092">
        <f>R730*'Results Summary'!Q$133</f>
        <v>-291.48018184220973</v>
      </c>
      <c r="S739" s="1092">
        <f>S730*'Results Summary'!R$133</f>
        <v>-179.12783957162191</v>
      </c>
      <c r="T739" s="1092">
        <f>T730*'Results Summary'!S$133</f>
        <v>-73.239791358012781</v>
      </c>
      <c r="U739" s="1092">
        <f>U730*'Results Summary'!T$133</f>
        <v>26.479202761907352</v>
      </c>
      <c r="V739" s="1092">
        <f>V730*'Results Summary'!U$133</f>
        <v>83.033976658822525</v>
      </c>
      <c r="W739" s="1092">
        <f>W730*'Results Summary'!V$133</f>
        <v>90.100504760338922</v>
      </c>
      <c r="X739" s="1092">
        <f>X730*'Results Summary'!W$133</f>
        <v>96.674524170300643</v>
      </c>
      <c r="Y739" s="1092">
        <f>Y730*'Results Summary'!X$133</f>
        <v>102.77175181293271</v>
      </c>
      <c r="Z739" s="1092">
        <f>Z730*'Results Summary'!Y$133</f>
        <v>108.40053385533187</v>
      </c>
      <c r="AA739" s="1092">
        <f>AA730*'Results Summary'!Z$133</f>
        <v>113.61186112502386</v>
      </c>
      <c r="AB739" s="1092">
        <f>AB730*'Results Summary'!AA$133</f>
        <v>118.40633096974017</v>
      </c>
      <c r="AC739" s="1092">
        <f>AC730*'Results Summary'!AB$133</f>
        <v>122.81507072809737</v>
      </c>
      <c r="AD739" s="1092">
        <f>AD730*'Results Summary'!AC$133</f>
        <v>126.85163883867763</v>
      </c>
      <c r="AE739" s="1092">
        <f>AE730*'Results Summary'!AD$133</f>
        <v>130.51601732243125</v>
      </c>
      <c r="AF739" s="1092">
        <f>AF730*'Results Summary'!AE$133</f>
        <v>133.86321102228109</v>
      </c>
      <c r="AG739" s="1092">
        <f>AG730*'Results Summary'!AF$133</f>
        <v>136.89112188077337</v>
      </c>
      <c r="AH739" s="775">
        <f>AH730*'Results Summary'!AG$133</f>
        <v>139.61137168075376</v>
      </c>
      <c r="AI739" s="26"/>
      <c r="AJ739" s="26"/>
      <c r="AK739" s="26"/>
      <c r="AL739" s="26"/>
      <c r="AM739" s="26"/>
    </row>
    <row r="740" spans="2:39" ht="21.9" customHeight="1" x14ac:dyDescent="0.25">
      <c r="B740" s="758"/>
      <c r="C740" s="114" t="str">
        <v>PM2.5</v>
      </c>
      <c r="D740" s="114"/>
      <c r="E740" s="114"/>
      <c r="F740" s="797">
        <f>SUMPRODUCT(G740:AH740,'Results Summary'!$F$133:$AG$133)</f>
        <v>-198344.69228220452</v>
      </c>
      <c r="G740" s="1092">
        <f>G731*'Results Summary'!F$133</f>
        <v>0</v>
      </c>
      <c r="H740" s="1092">
        <f>H731*'Results Summary'!G$133</f>
        <v>0</v>
      </c>
      <c r="I740" s="1092">
        <f>I731*'Results Summary'!H$133</f>
        <v>0</v>
      </c>
      <c r="J740" s="1092">
        <f>J731*'Results Summary'!I$133</f>
        <v>0</v>
      </c>
      <c r="K740" s="1092">
        <f>K731*'Results Summary'!J$133</f>
        <v>0</v>
      </c>
      <c r="L740" s="1092">
        <f>L731*'Results Summary'!K$133</f>
        <v>0</v>
      </c>
      <c r="M740" s="1092">
        <f>M731*'Results Summary'!L$133</f>
        <v>0</v>
      </c>
      <c r="N740" s="1092">
        <f>N731*'Results Summary'!M$133</f>
        <v>-111300.33467379559</v>
      </c>
      <c r="O740" s="1092">
        <f>O731*'Results Summary'!N$133</f>
        <v>-129658.37076098222</v>
      </c>
      <c r="P740" s="1092">
        <f>P731*'Results Summary'!O$133</f>
        <v>-147582.72208336581</v>
      </c>
      <c r="Q740" s="1092">
        <f>Q731*'Results Summary'!P$133</f>
        <v>-111088.14541424692</v>
      </c>
      <c r="R740" s="1092">
        <f>R731*'Results Summary'!Q$133</f>
        <v>-76663.39318329352</v>
      </c>
      <c r="S740" s="1092">
        <f>S731*'Results Summary'!R$133</f>
        <v>-44208.346864441985</v>
      </c>
      <c r="T740" s="1092">
        <f>T731*'Results Summary'!S$133</f>
        <v>-13627.611496848034</v>
      </c>
      <c r="U740" s="1092">
        <f>U731*'Results Summary'!T$133</f>
        <v>15166.57147542135</v>
      </c>
      <c r="V740" s="1092">
        <f>V731*'Results Summary'!U$133</f>
        <v>31446.319115224433</v>
      </c>
      <c r="W740" s="1092">
        <f>W731*'Results Summary'!V$133</f>
        <v>33515.897793318865</v>
      </c>
      <c r="X740" s="1092">
        <f>X731*'Results Summary'!W$133</f>
        <v>35434.722441896069</v>
      </c>
      <c r="Y740" s="1092">
        <f>Y731*'Results Summary'!X$133</f>
        <v>37207.856056686949</v>
      </c>
      <c r="Z740" s="1092">
        <f>Z731*'Results Summary'!Y$133</f>
        <v>38838.675564357938</v>
      </c>
      <c r="AA740" s="1092">
        <f>AA731*'Results Summary'!Z$133</f>
        <v>40341.325452338271</v>
      </c>
      <c r="AB740" s="1092">
        <f>AB731*'Results Summary'!AA$133</f>
        <v>41717.608103775223</v>
      </c>
      <c r="AC740" s="1092">
        <f>AC731*'Results Summary'!AB$133</f>
        <v>42975.519394774034</v>
      </c>
      <c r="AD740" s="1092">
        <f>AD731*'Results Summary'!AC$133</f>
        <v>44120.069210674548</v>
      </c>
      <c r="AE740" s="1092">
        <f>AE731*'Results Summary'!AD$133</f>
        <v>45152.082988480681</v>
      </c>
      <c r="AF740" s="1092">
        <f>AF731*'Results Summary'!AE$133</f>
        <v>46086.856236857566</v>
      </c>
      <c r="AG740" s="1092">
        <f>AG731*'Results Summary'!AF$133</f>
        <v>46924.595137469834</v>
      </c>
      <c r="AH740" s="775">
        <f>AH731*'Results Summary'!AG$133</f>
        <v>47669.547958735282</v>
      </c>
      <c r="AI740" s="26"/>
      <c r="AJ740" s="26"/>
      <c r="AK740" s="26"/>
      <c r="AL740" s="26"/>
      <c r="AM740" s="26"/>
    </row>
    <row r="741" spans="2:39" ht="21.9" customHeight="1" thickBot="1" x14ac:dyDescent="0.3">
      <c r="B741" s="761"/>
      <c r="C741" s="274" t="str">
        <v>CO2</v>
      </c>
      <c r="D741" s="274"/>
      <c r="E741" s="274"/>
      <c r="F741" s="802">
        <f>SUMPRODUCT(G741:AH741,'Results Summary'!$F$134:$AG$134)</f>
        <v>-13987783.794578837</v>
      </c>
      <c r="G741" s="803">
        <f>G732*'Results Summary'!F$134</f>
        <v>0</v>
      </c>
      <c r="H741" s="803">
        <f>H732*'Results Summary'!G$134</f>
        <v>0</v>
      </c>
      <c r="I741" s="803">
        <f>I732*'Results Summary'!H$134</f>
        <v>0</v>
      </c>
      <c r="J741" s="803">
        <f>J732*'Results Summary'!I$134</f>
        <v>0</v>
      </c>
      <c r="K741" s="803">
        <f>K732*'Results Summary'!J$134</f>
        <v>0</v>
      </c>
      <c r="L741" s="803">
        <f>L732*'Results Summary'!K$134</f>
        <v>0</v>
      </c>
      <c r="M741" s="803">
        <f>M732*'Results Summary'!L$134</f>
        <v>0</v>
      </c>
      <c r="N741" s="803">
        <f>N732*'Results Summary'!M$134</f>
        <v>-8665328.8646265157</v>
      </c>
      <c r="O741" s="803">
        <f>O732*'Results Summary'!N$134</f>
        <v>-10080574.172318803</v>
      </c>
      <c r="P741" s="803">
        <f>P732*'Results Summary'!O$134</f>
        <v>-11518078.106066696</v>
      </c>
      <c r="Q741" s="803">
        <f>Q732*'Results Summary'!P$134</f>
        <v>-9079651.6023336668</v>
      </c>
      <c r="R741" s="803">
        <f>R732*'Results Summary'!Q$134</f>
        <v>-6592306.5079575591</v>
      </c>
      <c r="S741" s="803">
        <f>S732*'Results Summary'!R$134</f>
        <v>-4176462.4402716183</v>
      </c>
      <c r="T741" s="803">
        <f>T732*'Results Summary'!S$134</f>
        <v>-1758267.677446937</v>
      </c>
      <c r="U741" s="803">
        <f>U732*'Results Summary'!T$134</f>
        <v>636221.13974487258</v>
      </c>
      <c r="V741" s="803">
        <f>V732*'Results Summary'!U$134</f>
        <v>2070991.9358603426</v>
      </c>
      <c r="W741" s="803">
        <f>W732*'Results Summary'!V$134</f>
        <v>2313998.7433856968</v>
      </c>
      <c r="X741" s="803">
        <f>X732*'Results Summary'!W$134</f>
        <v>2537834.6692384258</v>
      </c>
      <c r="Y741" s="803">
        <f>Y732*'Results Summary'!X$134</f>
        <v>2766392.1616873136</v>
      </c>
      <c r="Z741" s="803">
        <f>Z732*'Results Summary'!Y$134</f>
        <v>3001164.8044142025</v>
      </c>
      <c r="AA741" s="803">
        <f>AA732*'Results Summary'!Z$134</f>
        <v>3223385.7789981905</v>
      </c>
      <c r="AB741" s="803">
        <f>AB732*'Results Summary'!AA$134</f>
        <v>3453051.4158418849</v>
      </c>
      <c r="AC741" s="803">
        <f>AC732*'Results Summary'!AB$134</f>
        <v>3668530.1336521874</v>
      </c>
      <c r="AD741" s="803">
        <f>AD732*'Results Summary'!AC$134</f>
        <v>3892523.951995194</v>
      </c>
      <c r="AE741" s="803">
        <f>AE732*'Results Summary'!AD$134</f>
        <v>4100343.9799388978</v>
      </c>
      <c r="AF741" s="803">
        <f>AF732*'Results Summary'!AE$134</f>
        <v>4318098.5931310095</v>
      </c>
      <c r="AG741" s="803">
        <f>AG732*'Results Summary'!AF$134</f>
        <v>4532820.7706315499</v>
      </c>
      <c r="AH741" s="804">
        <f>AH732*'Results Summary'!AG$134</f>
        <v>4744256.5044781156</v>
      </c>
      <c r="AI741" s="26"/>
      <c r="AJ741" s="26"/>
      <c r="AK741" s="26"/>
      <c r="AL741" s="26"/>
      <c r="AM741" s="26"/>
    </row>
    <row r="742" spans="2:39" ht="21.9" customHeight="1" x14ac:dyDescent="0.25">
      <c r="F742" s="7"/>
    </row>
    <row r="743" spans="2:39" ht="21.9" customHeight="1" x14ac:dyDescent="0.25">
      <c r="F743" s="7"/>
    </row>
  </sheetData>
  <mergeCells count="126">
    <mergeCell ref="B56:B58"/>
    <mergeCell ref="B60:B63"/>
    <mergeCell ref="B75:B77"/>
    <mergeCell ref="B78:B80"/>
    <mergeCell ref="B31:B33"/>
    <mergeCell ref="B34:B36"/>
    <mergeCell ref="B38:B41"/>
    <mergeCell ref="B53:B55"/>
    <mergeCell ref="B119:B121"/>
    <mergeCell ref="B122:B124"/>
    <mergeCell ref="B126:B129"/>
    <mergeCell ref="B82:B85"/>
    <mergeCell ref="B97:B99"/>
    <mergeCell ref="B100:B102"/>
    <mergeCell ref="B104:B107"/>
    <mergeCell ref="B166:B168"/>
    <mergeCell ref="B170:B173"/>
    <mergeCell ref="B185:B187"/>
    <mergeCell ref="B188:B190"/>
    <mergeCell ref="B141:B143"/>
    <mergeCell ref="B144:B146"/>
    <mergeCell ref="B148:B151"/>
    <mergeCell ref="B163:B165"/>
    <mergeCell ref="B226:B228"/>
    <mergeCell ref="B229:B231"/>
    <mergeCell ref="B232:B234"/>
    <mergeCell ref="B235:B237"/>
    <mergeCell ref="B245:B247"/>
    <mergeCell ref="B192:B195"/>
    <mergeCell ref="B210:B212"/>
    <mergeCell ref="B213:B215"/>
    <mergeCell ref="B216:B218"/>
    <mergeCell ref="B219:B221"/>
    <mergeCell ref="B274:B277"/>
    <mergeCell ref="B289:B291"/>
    <mergeCell ref="B292:B294"/>
    <mergeCell ref="B296:B299"/>
    <mergeCell ref="B248:B250"/>
    <mergeCell ref="B252:B255"/>
    <mergeCell ref="B267:B269"/>
    <mergeCell ref="B270:B272"/>
    <mergeCell ref="B333:B335"/>
    <mergeCell ref="B336:B338"/>
    <mergeCell ref="B340:B343"/>
    <mergeCell ref="B355:B357"/>
    <mergeCell ref="B311:B313"/>
    <mergeCell ref="B314:B316"/>
    <mergeCell ref="B318:B321"/>
    <mergeCell ref="B384:B387"/>
    <mergeCell ref="B399:B401"/>
    <mergeCell ref="B402:B404"/>
    <mergeCell ref="B406:B409"/>
    <mergeCell ref="B358:B360"/>
    <mergeCell ref="B362:B365"/>
    <mergeCell ref="B377:B379"/>
    <mergeCell ref="B380:B382"/>
    <mergeCell ref="B440:B442"/>
    <mergeCell ref="B443:B445"/>
    <mergeCell ref="B446:B448"/>
    <mergeCell ref="B449:B451"/>
    <mergeCell ref="B459:B461"/>
    <mergeCell ref="B424:B426"/>
    <mergeCell ref="B427:B429"/>
    <mergeCell ref="B430:B432"/>
    <mergeCell ref="B433:B435"/>
    <mergeCell ref="B488:B491"/>
    <mergeCell ref="B619:B622"/>
    <mergeCell ref="B572:B574"/>
    <mergeCell ref="B576:B579"/>
    <mergeCell ref="B590:B592"/>
    <mergeCell ref="B593:B595"/>
    <mergeCell ref="B503:B505"/>
    <mergeCell ref="B506:B508"/>
    <mergeCell ref="B510:B513"/>
    <mergeCell ref="B462:B464"/>
    <mergeCell ref="B466:B469"/>
    <mergeCell ref="B481:B483"/>
    <mergeCell ref="B484:B486"/>
    <mergeCell ref="B547:B549"/>
    <mergeCell ref="B550:B552"/>
    <mergeCell ref="B653:B655"/>
    <mergeCell ref="B656:B658"/>
    <mergeCell ref="B659:B661"/>
    <mergeCell ref="B662:B664"/>
    <mergeCell ref="B637:B639"/>
    <mergeCell ref="B640:B642"/>
    <mergeCell ref="B643:B645"/>
    <mergeCell ref="B646:B648"/>
    <mergeCell ref="C74:D74"/>
    <mergeCell ref="C524:D524"/>
    <mergeCell ref="C546:D546"/>
    <mergeCell ref="C568:D568"/>
    <mergeCell ref="C589:D589"/>
    <mergeCell ref="C611:D611"/>
    <mergeCell ref="C636:D636"/>
    <mergeCell ref="C652:D652"/>
    <mergeCell ref="B554:B557"/>
    <mergeCell ref="B569:B571"/>
    <mergeCell ref="B525:B527"/>
    <mergeCell ref="B528:B530"/>
    <mergeCell ref="B532:B535"/>
    <mergeCell ref="B597:B600"/>
    <mergeCell ref="B612:B614"/>
    <mergeCell ref="B615:B617"/>
    <mergeCell ref="C52:D52"/>
    <mergeCell ref="C30:D30"/>
    <mergeCell ref="C96:D96"/>
    <mergeCell ref="C118:D118"/>
    <mergeCell ref="C140:D140"/>
    <mergeCell ref="C162:D162"/>
    <mergeCell ref="C184:D184"/>
    <mergeCell ref="C244:D244"/>
    <mergeCell ref="C502:D502"/>
    <mergeCell ref="C266:D266"/>
    <mergeCell ref="C288:D288"/>
    <mergeCell ref="C310:D310"/>
    <mergeCell ref="C332:D332"/>
    <mergeCell ref="C354:D354"/>
    <mergeCell ref="C376:D376"/>
    <mergeCell ref="C398:D398"/>
    <mergeCell ref="C458:D458"/>
    <mergeCell ref="C480:D480"/>
    <mergeCell ref="C209:D209"/>
    <mergeCell ref="C225:D225"/>
    <mergeCell ref="C423:D423"/>
    <mergeCell ref="C439:D439"/>
  </mergeCells>
  <hyperlinks>
    <hyperlink ref="B17" location="'Emissions Data'!B4" display="Source: Emission Costs" xr:uid="{F9B280E7-C72C-43D7-8289-6D6D698EB049}"/>
    <hyperlink ref="B23" location="'Emissions Data'!J4" display="Source: Parameters and Assumptions" xr:uid="{CBAE7F2E-FEE8-47C3-89A0-3C7171889BBA}"/>
  </hyperlink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AF03-F9B2-40CB-BD62-3F477850107B}">
  <sheetPr>
    <tabColor theme="4" tint="-0.249977111117893"/>
  </sheetPr>
  <dimension ref="A2:AJ23"/>
  <sheetViews>
    <sheetView workbookViewId="0">
      <selection activeCell="E20" sqref="E20"/>
    </sheetView>
  </sheetViews>
  <sheetFormatPr defaultColWidth="11.59765625" defaultRowHeight="21.9" customHeight="1" x14ac:dyDescent="0.25"/>
  <cols>
    <col min="1" max="1" width="3.3984375" customWidth="1"/>
    <col min="2" max="2" width="25.69921875" bestFit="1" customWidth="1"/>
    <col min="3" max="3" width="27.59765625" bestFit="1" customWidth="1"/>
    <col min="4" max="6" width="12.69921875" style="2" customWidth="1"/>
    <col min="7" max="36" width="12.69921875" customWidth="1"/>
  </cols>
  <sheetData>
    <row r="2" spans="1:36" ht="22.8" x14ac:dyDescent="0.25">
      <c r="B2" s="371" t="s">
        <v>193</v>
      </c>
      <c r="C2" s="10"/>
    </row>
    <row r="4" spans="1:36" ht="21.9" customHeight="1" x14ac:dyDescent="0.25">
      <c r="A4" s="189"/>
      <c r="B4" s="190" t="s">
        <v>103</v>
      </c>
      <c r="D4" s="497"/>
    </row>
    <row r="6" spans="1:36" ht="21.9" customHeight="1" thickBot="1" x14ac:dyDescent="0.3">
      <c r="B6" s="536" t="s">
        <v>207</v>
      </c>
    </row>
    <row r="7" spans="1:36" ht="21.9" customHeight="1" x14ac:dyDescent="0.25">
      <c r="B7" s="805"/>
      <c r="C7" s="734"/>
      <c r="D7" s="734" cm="1">
        <f t="array" ref="D7:AE7">year</f>
        <v>2021</v>
      </c>
      <c r="E7" s="734">
        <v>2022</v>
      </c>
      <c r="F7" s="734">
        <v>2023</v>
      </c>
      <c r="G7" s="734">
        <v>2024</v>
      </c>
      <c r="H7" s="734">
        <v>2025</v>
      </c>
      <c r="I7" s="734">
        <v>2026</v>
      </c>
      <c r="J7" s="734">
        <v>2027</v>
      </c>
      <c r="K7" s="734">
        <v>2028</v>
      </c>
      <c r="L7" s="734">
        <v>2029</v>
      </c>
      <c r="M7" s="734">
        <v>2030</v>
      </c>
      <c r="N7" s="734">
        <v>2031</v>
      </c>
      <c r="O7" s="734">
        <v>2032</v>
      </c>
      <c r="P7" s="734">
        <v>2033</v>
      </c>
      <c r="Q7" s="734">
        <v>2034</v>
      </c>
      <c r="R7" s="734">
        <v>2035</v>
      </c>
      <c r="S7" s="734">
        <v>2036</v>
      </c>
      <c r="T7" s="734">
        <v>2037</v>
      </c>
      <c r="U7" s="734">
        <v>2038</v>
      </c>
      <c r="V7" s="734">
        <v>2039</v>
      </c>
      <c r="W7" s="734">
        <v>2040</v>
      </c>
      <c r="X7" s="734">
        <v>2041</v>
      </c>
      <c r="Y7" s="734">
        <v>2042</v>
      </c>
      <c r="Z7" s="734">
        <v>2043</v>
      </c>
      <c r="AA7" s="734">
        <v>2044</v>
      </c>
      <c r="AB7" s="734">
        <v>2045</v>
      </c>
      <c r="AC7" s="734">
        <v>2046</v>
      </c>
      <c r="AD7" s="734">
        <v>2047</v>
      </c>
      <c r="AE7" s="806">
        <v>2048</v>
      </c>
      <c r="AF7" s="246"/>
      <c r="AG7" s="246"/>
      <c r="AH7" s="246"/>
      <c r="AI7" s="246"/>
      <c r="AJ7" s="246"/>
    </row>
    <row r="8" spans="1:36" ht="21.9" customHeight="1" x14ac:dyDescent="0.25">
      <c r="B8" s="469" t="s">
        <v>9</v>
      </c>
      <c r="C8" s="114" t="s">
        <v>205</v>
      </c>
      <c r="D8" s="827" cm="1">
        <f t="array" ref="D8:AE8">_xlfn.XLOOKUP(year, 'Project Cost Data'!$B$25:$B$50, 'Project Cost Data'!C$25:C$50, 0, 0) * adjust2023to2021</f>
        <v>0</v>
      </c>
      <c r="E8" s="820">
        <v>0</v>
      </c>
      <c r="F8" s="820">
        <v>0</v>
      </c>
      <c r="G8" s="820">
        <v>0</v>
      </c>
      <c r="H8" s="820">
        <v>2340255.3049330241</v>
      </c>
      <c r="I8" s="820">
        <v>0</v>
      </c>
      <c r="J8" s="854">
        <v>0</v>
      </c>
      <c r="K8" s="854">
        <v>0</v>
      </c>
      <c r="L8" s="854">
        <v>0</v>
      </c>
      <c r="M8" s="854">
        <v>115854.22301648634</v>
      </c>
      <c r="N8" s="854">
        <v>0</v>
      </c>
      <c r="O8" s="854">
        <v>0</v>
      </c>
      <c r="P8" s="854">
        <v>0</v>
      </c>
      <c r="Q8" s="854">
        <v>0</v>
      </c>
      <c r="R8" s="854">
        <v>7785403.7867078828</v>
      </c>
      <c r="S8" s="854">
        <v>0</v>
      </c>
      <c r="T8" s="854">
        <v>0</v>
      </c>
      <c r="U8" s="854">
        <v>0</v>
      </c>
      <c r="V8" s="854">
        <v>0</v>
      </c>
      <c r="W8" s="854">
        <v>115854.22301648634</v>
      </c>
      <c r="X8" s="854">
        <v>0</v>
      </c>
      <c r="Y8" s="854">
        <v>0</v>
      </c>
      <c r="Z8" s="854">
        <v>0</v>
      </c>
      <c r="AA8" s="854">
        <v>0</v>
      </c>
      <c r="AB8" s="854">
        <v>1575617.4330242143</v>
      </c>
      <c r="AC8" s="854">
        <v>0</v>
      </c>
      <c r="AD8" s="854">
        <v>0</v>
      </c>
      <c r="AE8" s="850">
        <v>0</v>
      </c>
      <c r="AF8" s="26"/>
      <c r="AG8" s="26"/>
      <c r="AH8" s="26"/>
      <c r="AI8" s="26"/>
      <c r="AJ8" s="26"/>
    </row>
    <row r="9" spans="1:36" ht="21.9" customHeight="1" x14ac:dyDescent="0.25">
      <c r="B9" s="469"/>
      <c r="C9" s="114" t="s">
        <v>208</v>
      </c>
      <c r="D9" s="820">
        <v>0</v>
      </c>
      <c r="E9" s="820">
        <v>0</v>
      </c>
      <c r="F9" s="820">
        <v>0</v>
      </c>
      <c r="G9" s="820">
        <v>0</v>
      </c>
      <c r="H9" s="820">
        <v>0</v>
      </c>
      <c r="I9" s="820">
        <v>0</v>
      </c>
      <c r="J9" s="854">
        <v>0</v>
      </c>
      <c r="K9" s="854">
        <f>'Project Cost Data'!$D$59*adjust2023to2021</f>
        <v>37073.35136527563</v>
      </c>
      <c r="L9" s="854">
        <f>'Project Cost Data'!$D$59*adjust2023to2021</f>
        <v>37073.35136527563</v>
      </c>
      <c r="M9" s="854">
        <f>'Project Cost Data'!$D$59*adjust2023to2021</f>
        <v>37073.35136527563</v>
      </c>
      <c r="N9" s="854">
        <f>'Project Cost Data'!$D$59*adjust2023to2021</f>
        <v>37073.35136527563</v>
      </c>
      <c r="O9" s="854">
        <f>'Project Cost Data'!$D$59*adjust2023to2021</f>
        <v>37073.35136527563</v>
      </c>
      <c r="P9" s="854">
        <f>'Project Cost Data'!$D$59*adjust2023to2021</f>
        <v>37073.35136527563</v>
      </c>
      <c r="Q9" s="854">
        <f>'Project Cost Data'!$D$59*adjust2023to2021</f>
        <v>37073.35136527563</v>
      </c>
      <c r="R9" s="854">
        <f>'Project Cost Data'!$D$59*adjust2023to2021</f>
        <v>37073.35136527563</v>
      </c>
      <c r="S9" s="854">
        <f>'Project Cost Data'!$D$59*adjust2023to2021</f>
        <v>37073.35136527563</v>
      </c>
      <c r="T9" s="854">
        <f>'Project Cost Data'!$D$59*adjust2023to2021</f>
        <v>37073.35136527563</v>
      </c>
      <c r="U9" s="854">
        <f>'Project Cost Data'!$D$59*adjust2023to2021</f>
        <v>37073.35136527563</v>
      </c>
      <c r="V9" s="854">
        <f>'Project Cost Data'!$D$59*adjust2023to2021</f>
        <v>37073.35136527563</v>
      </c>
      <c r="W9" s="854">
        <f>'Project Cost Data'!$D$59*adjust2023to2021</f>
        <v>37073.35136527563</v>
      </c>
      <c r="X9" s="854">
        <f>'Project Cost Data'!$D$59*adjust2023to2021</f>
        <v>37073.35136527563</v>
      </c>
      <c r="Y9" s="854">
        <f>'Project Cost Data'!$D$59*adjust2023to2021</f>
        <v>37073.35136527563</v>
      </c>
      <c r="Z9" s="854">
        <f>'Project Cost Data'!$D$59*adjust2023to2021</f>
        <v>37073.35136527563</v>
      </c>
      <c r="AA9" s="854">
        <f>'Project Cost Data'!$D$59*adjust2023to2021</f>
        <v>37073.35136527563</v>
      </c>
      <c r="AB9" s="854">
        <f>'Project Cost Data'!$D$59*adjust2023to2021</f>
        <v>37073.35136527563</v>
      </c>
      <c r="AC9" s="854">
        <f>'Project Cost Data'!$D$59*adjust2023to2021</f>
        <v>37073.35136527563</v>
      </c>
      <c r="AD9" s="854">
        <f>'Project Cost Data'!$D$59*adjust2023to2021</f>
        <v>37073.35136527563</v>
      </c>
      <c r="AE9" s="850">
        <f>'Project Cost Data'!$D$59*adjust2023to2021</f>
        <v>37073.35136527563</v>
      </c>
      <c r="AF9" s="26"/>
      <c r="AG9" s="26"/>
      <c r="AH9" s="26"/>
      <c r="AI9" s="22"/>
      <c r="AJ9" s="22"/>
    </row>
    <row r="10" spans="1:36" ht="21.9" customHeight="1" x14ac:dyDescent="0.25">
      <c r="B10" s="469"/>
      <c r="C10" s="746" t="s">
        <v>25</v>
      </c>
      <c r="D10" s="855">
        <f>D8+D9</f>
        <v>0</v>
      </c>
      <c r="E10" s="855">
        <f t="shared" ref="E10:AE10" si="0">E8+E9</f>
        <v>0</v>
      </c>
      <c r="F10" s="855">
        <f t="shared" si="0"/>
        <v>0</v>
      </c>
      <c r="G10" s="855">
        <f t="shared" si="0"/>
        <v>0</v>
      </c>
      <c r="H10" s="855">
        <f t="shared" si="0"/>
        <v>2340255.3049330241</v>
      </c>
      <c r="I10" s="855">
        <f t="shared" si="0"/>
        <v>0</v>
      </c>
      <c r="J10" s="855">
        <f t="shared" si="0"/>
        <v>0</v>
      </c>
      <c r="K10" s="855">
        <f t="shared" si="0"/>
        <v>37073.35136527563</v>
      </c>
      <c r="L10" s="855">
        <f t="shared" si="0"/>
        <v>37073.35136527563</v>
      </c>
      <c r="M10" s="855">
        <f t="shared" si="0"/>
        <v>152927.57438176198</v>
      </c>
      <c r="N10" s="855">
        <f t="shared" si="0"/>
        <v>37073.35136527563</v>
      </c>
      <c r="O10" s="855">
        <f t="shared" si="0"/>
        <v>37073.35136527563</v>
      </c>
      <c r="P10" s="855">
        <f t="shared" si="0"/>
        <v>37073.35136527563</v>
      </c>
      <c r="Q10" s="855">
        <f t="shared" si="0"/>
        <v>37073.35136527563</v>
      </c>
      <c r="R10" s="855">
        <f t="shared" si="0"/>
        <v>7822477.1380731585</v>
      </c>
      <c r="S10" s="855">
        <f t="shared" si="0"/>
        <v>37073.35136527563</v>
      </c>
      <c r="T10" s="855">
        <f t="shared" si="0"/>
        <v>37073.35136527563</v>
      </c>
      <c r="U10" s="855">
        <f t="shared" si="0"/>
        <v>37073.35136527563</v>
      </c>
      <c r="V10" s="855">
        <f t="shared" si="0"/>
        <v>37073.35136527563</v>
      </c>
      <c r="W10" s="855">
        <f t="shared" si="0"/>
        <v>152927.57438176198</v>
      </c>
      <c r="X10" s="855">
        <f t="shared" si="0"/>
        <v>37073.35136527563</v>
      </c>
      <c r="Y10" s="855">
        <f t="shared" si="0"/>
        <v>37073.35136527563</v>
      </c>
      <c r="Z10" s="855">
        <f t="shared" si="0"/>
        <v>37073.35136527563</v>
      </c>
      <c r="AA10" s="855">
        <f t="shared" si="0"/>
        <v>37073.35136527563</v>
      </c>
      <c r="AB10" s="855">
        <f t="shared" si="0"/>
        <v>1612690.78438949</v>
      </c>
      <c r="AC10" s="855">
        <f t="shared" si="0"/>
        <v>37073.35136527563</v>
      </c>
      <c r="AD10" s="855">
        <f t="shared" si="0"/>
        <v>37073.35136527563</v>
      </c>
      <c r="AE10" s="856">
        <f t="shared" si="0"/>
        <v>37073.35136527563</v>
      </c>
      <c r="AF10" s="26"/>
      <c r="AG10" s="26"/>
      <c r="AH10" s="26"/>
      <c r="AI10" s="22"/>
      <c r="AJ10" s="22"/>
    </row>
    <row r="11" spans="1:36" ht="21.9" customHeight="1" x14ac:dyDescent="0.25">
      <c r="B11" s="469" t="s">
        <v>335</v>
      </c>
      <c r="C11" s="217" t="s">
        <v>205</v>
      </c>
      <c r="D11" s="827" cm="1">
        <f t="array" ref="D11:AE11">_xlfn.XLOOKUP(year, 'Project Cost Data'!$B$25:$B$50, 'Project Cost Data'!H$25:H$50, 0, 0) * adjust2023to2021</f>
        <v>0</v>
      </c>
      <c r="E11" s="827">
        <v>0</v>
      </c>
      <c r="F11" s="827">
        <v>0</v>
      </c>
      <c r="G11" s="827">
        <v>0</v>
      </c>
      <c r="H11" s="827">
        <v>0</v>
      </c>
      <c r="I11" s="827">
        <v>0</v>
      </c>
      <c r="J11" s="827">
        <v>0</v>
      </c>
      <c r="K11" s="827">
        <v>0</v>
      </c>
      <c r="L11" s="827">
        <v>0</v>
      </c>
      <c r="M11" s="827">
        <v>231708.44603297269</v>
      </c>
      <c r="N11" s="827">
        <v>0</v>
      </c>
      <c r="O11" s="827">
        <v>0</v>
      </c>
      <c r="P11" s="827">
        <v>0</v>
      </c>
      <c r="Q11" s="827">
        <v>0</v>
      </c>
      <c r="R11" s="827">
        <v>231708.44603297269</v>
      </c>
      <c r="S11" s="827">
        <v>0</v>
      </c>
      <c r="T11" s="827">
        <v>0</v>
      </c>
      <c r="U11" s="827">
        <v>0</v>
      </c>
      <c r="V11" s="827">
        <v>0</v>
      </c>
      <c r="W11" s="827">
        <v>231708.44603297269</v>
      </c>
      <c r="X11" s="827">
        <v>0</v>
      </c>
      <c r="Y11" s="827">
        <v>0</v>
      </c>
      <c r="Z11" s="827">
        <v>0</v>
      </c>
      <c r="AA11" s="827">
        <v>0</v>
      </c>
      <c r="AB11" s="827">
        <v>1992692.6358835651</v>
      </c>
      <c r="AC11" s="827">
        <v>1992692.6358835651</v>
      </c>
      <c r="AD11" s="827">
        <v>0</v>
      </c>
      <c r="AE11" s="840">
        <v>0</v>
      </c>
      <c r="AF11" s="22"/>
      <c r="AG11" s="22"/>
      <c r="AH11" s="22"/>
      <c r="AI11" s="22"/>
      <c r="AJ11" s="22"/>
    </row>
    <row r="12" spans="1:36" ht="21.9" customHeight="1" x14ac:dyDescent="0.25">
      <c r="B12" s="469"/>
      <c r="C12" s="114" t="s">
        <v>208</v>
      </c>
      <c r="D12" s="820">
        <v>0</v>
      </c>
      <c r="E12" s="820">
        <v>0</v>
      </c>
      <c r="F12" s="820">
        <v>0</v>
      </c>
      <c r="G12" s="820">
        <v>0</v>
      </c>
      <c r="H12" s="820">
        <v>0</v>
      </c>
      <c r="I12" s="820">
        <v>0</v>
      </c>
      <c r="J12" s="820">
        <v>0</v>
      </c>
      <c r="K12" s="820">
        <f>'Project Cost Data'!$I$59*adjust2023to2021</f>
        <v>41707.520285935083</v>
      </c>
      <c r="L12" s="820">
        <f>'Project Cost Data'!$I$59*adjust2023to2021</f>
        <v>41707.520285935083</v>
      </c>
      <c r="M12" s="820">
        <f>'Project Cost Data'!$I$59*adjust2023to2021</f>
        <v>41707.520285935083</v>
      </c>
      <c r="N12" s="820">
        <f>'Project Cost Data'!$I$59*adjust2023to2021</f>
        <v>41707.520285935083</v>
      </c>
      <c r="O12" s="820">
        <f>'Project Cost Data'!$I$59*adjust2023to2021</f>
        <v>41707.520285935083</v>
      </c>
      <c r="P12" s="820">
        <f>'Project Cost Data'!$I$59*adjust2023to2021</f>
        <v>41707.520285935083</v>
      </c>
      <c r="Q12" s="820">
        <f>'Project Cost Data'!$I$59*adjust2023to2021</f>
        <v>41707.520285935083</v>
      </c>
      <c r="R12" s="820">
        <f>'Project Cost Data'!$I$59*adjust2023to2021</f>
        <v>41707.520285935083</v>
      </c>
      <c r="S12" s="820">
        <f>'Project Cost Data'!$I$59*adjust2023to2021</f>
        <v>41707.520285935083</v>
      </c>
      <c r="T12" s="820">
        <f>'Project Cost Data'!$I$59*adjust2023to2021</f>
        <v>41707.520285935083</v>
      </c>
      <c r="U12" s="820">
        <f>'Project Cost Data'!$I$59*adjust2023to2021</f>
        <v>41707.520285935083</v>
      </c>
      <c r="V12" s="820">
        <f>'Project Cost Data'!$I$59*adjust2023to2021</f>
        <v>41707.520285935083</v>
      </c>
      <c r="W12" s="820">
        <f>'Project Cost Data'!$I$59*adjust2023to2021</f>
        <v>41707.520285935083</v>
      </c>
      <c r="X12" s="820">
        <f>'Project Cost Data'!$I$59*adjust2023to2021</f>
        <v>41707.520285935083</v>
      </c>
      <c r="Y12" s="820">
        <f>'Project Cost Data'!$I$59*adjust2023to2021</f>
        <v>41707.520285935083</v>
      </c>
      <c r="Z12" s="820">
        <f>'Project Cost Data'!$I$59*adjust2023to2021</f>
        <v>41707.520285935083</v>
      </c>
      <c r="AA12" s="820">
        <f>'Project Cost Data'!$I$59*adjust2023to2021</f>
        <v>41707.520285935083</v>
      </c>
      <c r="AB12" s="820">
        <f>'Project Cost Data'!$I$59*adjust2023to2021</f>
        <v>41707.520285935083</v>
      </c>
      <c r="AC12" s="820">
        <f>'Project Cost Data'!$I$59*adjust2023to2021</f>
        <v>41707.520285935083</v>
      </c>
      <c r="AD12" s="820">
        <f>'Project Cost Data'!$I$59*adjust2023to2021</f>
        <v>41707.520285935083</v>
      </c>
      <c r="AE12" s="821">
        <f>'Project Cost Data'!$I$59*adjust2023to2021</f>
        <v>41707.520285935083</v>
      </c>
      <c r="AF12" s="22"/>
      <c r="AG12" s="22"/>
      <c r="AH12" s="22"/>
      <c r="AI12" s="22"/>
      <c r="AJ12" s="22"/>
    </row>
    <row r="13" spans="1:36" ht="21.9" customHeight="1" x14ac:dyDescent="0.25">
      <c r="B13" s="758"/>
      <c r="C13" s="746" t="s">
        <v>25</v>
      </c>
      <c r="D13" s="855">
        <f>D11+D12</f>
        <v>0</v>
      </c>
      <c r="E13" s="855">
        <f t="shared" ref="E13:AE13" si="1">E11+E12</f>
        <v>0</v>
      </c>
      <c r="F13" s="855">
        <f t="shared" si="1"/>
        <v>0</v>
      </c>
      <c r="G13" s="855">
        <f t="shared" si="1"/>
        <v>0</v>
      </c>
      <c r="H13" s="855">
        <f t="shared" si="1"/>
        <v>0</v>
      </c>
      <c r="I13" s="855">
        <f t="shared" si="1"/>
        <v>0</v>
      </c>
      <c r="J13" s="855">
        <f t="shared" si="1"/>
        <v>0</v>
      </c>
      <c r="K13" s="855">
        <f t="shared" si="1"/>
        <v>41707.520285935083</v>
      </c>
      <c r="L13" s="855">
        <f t="shared" si="1"/>
        <v>41707.520285935083</v>
      </c>
      <c r="M13" s="855">
        <f t="shared" si="1"/>
        <v>273415.9663189078</v>
      </c>
      <c r="N13" s="855">
        <f t="shared" si="1"/>
        <v>41707.520285935083</v>
      </c>
      <c r="O13" s="855">
        <f t="shared" si="1"/>
        <v>41707.520285935083</v>
      </c>
      <c r="P13" s="855">
        <f t="shared" si="1"/>
        <v>41707.520285935083</v>
      </c>
      <c r="Q13" s="855">
        <f t="shared" si="1"/>
        <v>41707.520285935083</v>
      </c>
      <c r="R13" s="855">
        <f t="shared" si="1"/>
        <v>273415.9663189078</v>
      </c>
      <c r="S13" s="855">
        <f t="shared" si="1"/>
        <v>41707.520285935083</v>
      </c>
      <c r="T13" s="855">
        <f t="shared" si="1"/>
        <v>41707.520285935083</v>
      </c>
      <c r="U13" s="855">
        <f t="shared" si="1"/>
        <v>41707.520285935083</v>
      </c>
      <c r="V13" s="855">
        <f t="shared" si="1"/>
        <v>41707.520285935083</v>
      </c>
      <c r="W13" s="855">
        <f t="shared" si="1"/>
        <v>273415.9663189078</v>
      </c>
      <c r="X13" s="855">
        <f t="shared" si="1"/>
        <v>41707.520285935083</v>
      </c>
      <c r="Y13" s="855">
        <f t="shared" si="1"/>
        <v>41707.520285935083</v>
      </c>
      <c r="Z13" s="855">
        <f t="shared" si="1"/>
        <v>41707.520285935083</v>
      </c>
      <c r="AA13" s="855">
        <f t="shared" si="1"/>
        <v>41707.520285935083</v>
      </c>
      <c r="AB13" s="855">
        <f t="shared" si="1"/>
        <v>2034400.1561695002</v>
      </c>
      <c r="AC13" s="855">
        <f t="shared" si="1"/>
        <v>2034400.1561695002</v>
      </c>
      <c r="AD13" s="855">
        <f t="shared" si="1"/>
        <v>41707.520285935083</v>
      </c>
      <c r="AE13" s="856">
        <f t="shared" si="1"/>
        <v>41707.520285935083</v>
      </c>
      <c r="AF13" s="29"/>
      <c r="AG13" s="29"/>
      <c r="AH13" s="29"/>
      <c r="AI13" s="29"/>
      <c r="AJ13" s="29"/>
    </row>
    <row r="14" spans="1:36" ht="21.9" customHeight="1" x14ac:dyDescent="0.25">
      <c r="B14" s="469" t="s">
        <v>287</v>
      </c>
      <c r="C14" s="114" t="s">
        <v>205</v>
      </c>
      <c r="D14" s="820" cm="1">
        <f t="array" ref="D14:AE14">_xlfn.XLOOKUP(year, 'Project Cost Data'!$B$25:$B$50, 'Project Cost Data'!L$25:L$50, 0, 0) * adjust2023to2021</f>
        <v>0</v>
      </c>
      <c r="E14" s="820">
        <v>0</v>
      </c>
      <c r="F14" s="820">
        <v>0</v>
      </c>
      <c r="G14" s="820">
        <v>0</v>
      </c>
      <c r="H14" s="820">
        <v>0</v>
      </c>
      <c r="I14" s="820">
        <v>0</v>
      </c>
      <c r="J14" s="854">
        <v>0</v>
      </c>
      <c r="K14" s="854">
        <v>0</v>
      </c>
      <c r="L14" s="854">
        <v>0</v>
      </c>
      <c r="M14" s="854">
        <v>278050.13523956726</v>
      </c>
      <c r="N14" s="854">
        <v>0</v>
      </c>
      <c r="O14" s="854">
        <v>0</v>
      </c>
      <c r="P14" s="854">
        <v>0</v>
      </c>
      <c r="Q14" s="854">
        <v>0</v>
      </c>
      <c r="R14" s="854">
        <v>278050.13523956726</v>
      </c>
      <c r="S14" s="854">
        <v>0</v>
      </c>
      <c r="T14" s="854">
        <v>0</v>
      </c>
      <c r="U14" s="854">
        <v>0</v>
      </c>
      <c r="V14" s="854">
        <v>0</v>
      </c>
      <c r="W14" s="854">
        <v>278050.13523956726</v>
      </c>
      <c r="X14" s="854">
        <v>0</v>
      </c>
      <c r="Y14" s="854">
        <v>0</v>
      </c>
      <c r="Z14" s="854">
        <v>0</v>
      </c>
      <c r="AA14" s="854">
        <v>0</v>
      </c>
      <c r="AB14" s="854">
        <v>2571963.7509659971</v>
      </c>
      <c r="AC14" s="854">
        <v>2571963.7509659971</v>
      </c>
      <c r="AD14" s="854">
        <v>0</v>
      </c>
      <c r="AE14" s="850">
        <v>0</v>
      </c>
      <c r="AF14" s="26"/>
      <c r="AG14" s="26"/>
      <c r="AH14" s="26"/>
      <c r="AI14" s="22"/>
      <c r="AJ14" s="22"/>
    </row>
    <row r="15" spans="1:36" ht="21.9" customHeight="1" x14ac:dyDescent="0.25">
      <c r="B15" s="469"/>
      <c r="C15" s="114" t="s">
        <v>208</v>
      </c>
      <c r="D15" s="820">
        <v>0</v>
      </c>
      <c r="E15" s="820">
        <v>0</v>
      </c>
      <c r="F15" s="820">
        <v>0</v>
      </c>
      <c r="G15" s="820">
        <v>0</v>
      </c>
      <c r="H15" s="820">
        <v>0</v>
      </c>
      <c r="I15" s="820">
        <v>0</v>
      </c>
      <c r="J15" s="854">
        <v>0</v>
      </c>
      <c r="K15" s="854">
        <f>'Project Cost Data'!$M$59*adjust2023to2021</f>
        <v>46341.689206594536</v>
      </c>
      <c r="L15" s="854">
        <f>'Project Cost Data'!$M$59*adjust2023to2021</f>
        <v>46341.689206594536</v>
      </c>
      <c r="M15" s="854">
        <f>'Project Cost Data'!$M$59*adjust2023to2021</f>
        <v>46341.689206594536</v>
      </c>
      <c r="N15" s="854">
        <f>'Project Cost Data'!$M$59*adjust2023to2021</f>
        <v>46341.689206594536</v>
      </c>
      <c r="O15" s="854">
        <f>'Project Cost Data'!$M$59*adjust2023to2021</f>
        <v>46341.689206594536</v>
      </c>
      <c r="P15" s="854">
        <f>'Project Cost Data'!$M$59*adjust2023to2021</f>
        <v>46341.689206594536</v>
      </c>
      <c r="Q15" s="854">
        <f>'Project Cost Data'!$M$59*adjust2023to2021</f>
        <v>46341.689206594536</v>
      </c>
      <c r="R15" s="854">
        <f>'Project Cost Data'!$M$59*adjust2023to2021</f>
        <v>46341.689206594536</v>
      </c>
      <c r="S15" s="854">
        <f>'Project Cost Data'!$M$59*adjust2023to2021</f>
        <v>46341.689206594536</v>
      </c>
      <c r="T15" s="854">
        <f>'Project Cost Data'!$M$59*adjust2023to2021</f>
        <v>46341.689206594536</v>
      </c>
      <c r="U15" s="854">
        <f>'Project Cost Data'!$M$59*adjust2023to2021</f>
        <v>46341.689206594536</v>
      </c>
      <c r="V15" s="854">
        <f>'Project Cost Data'!$M$59*adjust2023to2021</f>
        <v>46341.689206594536</v>
      </c>
      <c r="W15" s="854">
        <f>'Project Cost Data'!$M$59*adjust2023to2021</f>
        <v>46341.689206594536</v>
      </c>
      <c r="X15" s="854">
        <f>'Project Cost Data'!$M$59*adjust2023to2021</f>
        <v>46341.689206594536</v>
      </c>
      <c r="Y15" s="854">
        <f>'Project Cost Data'!$M$59*adjust2023to2021</f>
        <v>46341.689206594536</v>
      </c>
      <c r="Z15" s="854">
        <f>'Project Cost Data'!$M$59*adjust2023to2021</f>
        <v>46341.689206594536</v>
      </c>
      <c r="AA15" s="854">
        <f>'Project Cost Data'!$M$59*adjust2023to2021</f>
        <v>46341.689206594536</v>
      </c>
      <c r="AB15" s="854">
        <f>'Project Cost Data'!$M$59*adjust2023to2021</f>
        <v>46341.689206594536</v>
      </c>
      <c r="AC15" s="854">
        <f>'Project Cost Data'!$M$59*adjust2023to2021</f>
        <v>46341.689206594536</v>
      </c>
      <c r="AD15" s="854">
        <f>'Project Cost Data'!$M$59*adjust2023to2021</f>
        <v>46341.689206594536</v>
      </c>
      <c r="AE15" s="850">
        <f>'Project Cost Data'!$M$59*adjust2023to2021</f>
        <v>46341.689206594536</v>
      </c>
      <c r="AF15" s="26"/>
      <c r="AG15" s="26"/>
      <c r="AH15" s="26"/>
      <c r="AI15" s="22"/>
      <c r="AJ15" s="22"/>
    </row>
    <row r="16" spans="1:36" ht="21.9" customHeight="1" thickBot="1" x14ac:dyDescent="0.3">
      <c r="B16" s="761"/>
      <c r="C16" s="762" t="s">
        <v>25</v>
      </c>
      <c r="D16" s="832">
        <f>D14+D15</f>
        <v>0</v>
      </c>
      <c r="E16" s="832">
        <f t="shared" ref="E16:AE16" si="2">E14+E15</f>
        <v>0</v>
      </c>
      <c r="F16" s="832">
        <f t="shared" si="2"/>
        <v>0</v>
      </c>
      <c r="G16" s="832">
        <f t="shared" si="2"/>
        <v>0</v>
      </c>
      <c r="H16" s="832">
        <f t="shared" si="2"/>
        <v>0</v>
      </c>
      <c r="I16" s="832">
        <f t="shared" si="2"/>
        <v>0</v>
      </c>
      <c r="J16" s="832">
        <f t="shared" si="2"/>
        <v>0</v>
      </c>
      <c r="K16" s="832">
        <f t="shared" si="2"/>
        <v>46341.689206594536</v>
      </c>
      <c r="L16" s="832">
        <f t="shared" si="2"/>
        <v>46341.689206594536</v>
      </c>
      <c r="M16" s="832">
        <f t="shared" si="2"/>
        <v>324391.8244461618</v>
      </c>
      <c r="N16" s="832">
        <f t="shared" si="2"/>
        <v>46341.689206594536</v>
      </c>
      <c r="O16" s="832">
        <f t="shared" si="2"/>
        <v>46341.689206594536</v>
      </c>
      <c r="P16" s="832">
        <f t="shared" si="2"/>
        <v>46341.689206594536</v>
      </c>
      <c r="Q16" s="832">
        <f t="shared" si="2"/>
        <v>46341.689206594536</v>
      </c>
      <c r="R16" s="832">
        <f t="shared" si="2"/>
        <v>324391.8244461618</v>
      </c>
      <c r="S16" s="832">
        <f t="shared" si="2"/>
        <v>46341.689206594536</v>
      </c>
      <c r="T16" s="832">
        <f t="shared" si="2"/>
        <v>46341.689206594536</v>
      </c>
      <c r="U16" s="832">
        <f t="shared" si="2"/>
        <v>46341.689206594536</v>
      </c>
      <c r="V16" s="832">
        <f t="shared" si="2"/>
        <v>46341.689206594536</v>
      </c>
      <c r="W16" s="832">
        <f t="shared" si="2"/>
        <v>324391.8244461618</v>
      </c>
      <c r="X16" s="832">
        <f t="shared" si="2"/>
        <v>46341.689206594536</v>
      </c>
      <c r="Y16" s="832">
        <f t="shared" si="2"/>
        <v>46341.689206594536</v>
      </c>
      <c r="Z16" s="832">
        <f t="shared" si="2"/>
        <v>46341.689206594536</v>
      </c>
      <c r="AA16" s="832">
        <f t="shared" si="2"/>
        <v>46341.689206594536</v>
      </c>
      <c r="AB16" s="832">
        <f t="shared" si="2"/>
        <v>2618305.4401725917</v>
      </c>
      <c r="AC16" s="832">
        <f t="shared" si="2"/>
        <v>2618305.4401725917</v>
      </c>
      <c r="AD16" s="832">
        <f t="shared" si="2"/>
        <v>46341.689206594536</v>
      </c>
      <c r="AE16" s="833">
        <f t="shared" si="2"/>
        <v>46341.689206594536</v>
      </c>
      <c r="AF16" s="25"/>
      <c r="AG16" s="25"/>
      <c r="AH16" s="25"/>
      <c r="AI16" s="29"/>
      <c r="AJ16" s="29"/>
    </row>
    <row r="18" spans="1:31" ht="21.9" customHeight="1" x14ac:dyDescent="0.25">
      <c r="D18" s="16"/>
    </row>
    <row r="19" spans="1:31" ht="21.9" customHeight="1" x14ac:dyDescent="0.25">
      <c r="A19" s="189"/>
      <c r="B19" s="190" t="s">
        <v>38</v>
      </c>
      <c r="C19" s="243"/>
    </row>
    <row r="20" spans="1:31" ht="21.9" customHeight="1" thickBot="1" x14ac:dyDescent="0.3"/>
    <row r="21" spans="1:31" ht="21.9" customHeight="1" x14ac:dyDescent="0.25">
      <c r="B21" s="805"/>
      <c r="C21" s="734" t="s">
        <v>133</v>
      </c>
      <c r="D21" s="734" cm="1">
        <f t="array" ref="D21:AE21">year</f>
        <v>2021</v>
      </c>
      <c r="E21" s="734">
        <v>2022</v>
      </c>
      <c r="F21" s="734">
        <v>2023</v>
      </c>
      <c r="G21" s="734">
        <v>2024</v>
      </c>
      <c r="H21" s="734">
        <v>2025</v>
      </c>
      <c r="I21" s="734">
        <v>2026</v>
      </c>
      <c r="J21" s="734">
        <v>2027</v>
      </c>
      <c r="K21" s="734">
        <v>2028</v>
      </c>
      <c r="L21" s="734">
        <v>2029</v>
      </c>
      <c r="M21" s="734">
        <v>2030</v>
      </c>
      <c r="N21" s="734">
        <v>2031</v>
      </c>
      <c r="O21" s="734">
        <v>2032</v>
      </c>
      <c r="P21" s="734">
        <v>2033</v>
      </c>
      <c r="Q21" s="734">
        <v>2034</v>
      </c>
      <c r="R21" s="734">
        <v>2035</v>
      </c>
      <c r="S21" s="734">
        <v>2036</v>
      </c>
      <c r="T21" s="734">
        <v>2037</v>
      </c>
      <c r="U21" s="734">
        <v>2038</v>
      </c>
      <c r="V21" s="734">
        <v>2039</v>
      </c>
      <c r="W21" s="734">
        <v>2040</v>
      </c>
      <c r="X21" s="734">
        <v>2041</v>
      </c>
      <c r="Y21" s="734">
        <v>2042</v>
      </c>
      <c r="Z21" s="734">
        <v>2043</v>
      </c>
      <c r="AA21" s="734">
        <v>2044</v>
      </c>
      <c r="AB21" s="734">
        <v>2045</v>
      </c>
      <c r="AC21" s="734">
        <v>2046</v>
      </c>
      <c r="AD21" s="734">
        <v>2047</v>
      </c>
      <c r="AE21" s="806">
        <v>2048</v>
      </c>
    </row>
    <row r="22" spans="1:31" ht="21.9" customHeight="1" x14ac:dyDescent="0.25">
      <c r="B22" s="469" t="s">
        <v>335</v>
      </c>
      <c r="C22" s="1092">
        <f>SUMPRODUCT((D22:AE22),'Results Summary'!$F$133:$AG$133)</f>
        <v>5831927.3010688163</v>
      </c>
      <c r="D22" s="857">
        <f t="shared" ref="D22:AE22" si="3">D10-D13</f>
        <v>0</v>
      </c>
      <c r="E22" s="857">
        <f t="shared" si="3"/>
        <v>0</v>
      </c>
      <c r="F22" s="857">
        <f t="shared" si="3"/>
        <v>0</v>
      </c>
      <c r="G22" s="857">
        <f t="shared" si="3"/>
        <v>0</v>
      </c>
      <c r="H22" s="857">
        <f t="shared" si="3"/>
        <v>2340255.3049330241</v>
      </c>
      <c r="I22" s="857">
        <f t="shared" si="3"/>
        <v>0</v>
      </c>
      <c r="J22" s="857">
        <f t="shared" si="3"/>
        <v>0</v>
      </c>
      <c r="K22" s="857">
        <f t="shared" si="3"/>
        <v>-4634.1689206594529</v>
      </c>
      <c r="L22" s="857">
        <f t="shared" si="3"/>
        <v>-4634.1689206594529</v>
      </c>
      <c r="M22" s="857">
        <f t="shared" si="3"/>
        <v>-120488.39193714582</v>
      </c>
      <c r="N22" s="857">
        <f t="shared" si="3"/>
        <v>-4634.1689206594529</v>
      </c>
      <c r="O22" s="857">
        <f t="shared" si="3"/>
        <v>-4634.1689206594529</v>
      </c>
      <c r="P22" s="857">
        <f t="shared" si="3"/>
        <v>-4634.1689206594529</v>
      </c>
      <c r="Q22" s="857">
        <f t="shared" si="3"/>
        <v>-4634.1689206594529</v>
      </c>
      <c r="R22" s="857">
        <f t="shared" si="3"/>
        <v>7549061.1717542503</v>
      </c>
      <c r="S22" s="857">
        <f t="shared" si="3"/>
        <v>-4634.1689206594529</v>
      </c>
      <c r="T22" s="857">
        <f t="shared" si="3"/>
        <v>-4634.1689206594529</v>
      </c>
      <c r="U22" s="857">
        <f t="shared" si="3"/>
        <v>-4634.1689206594529</v>
      </c>
      <c r="V22" s="857">
        <f t="shared" si="3"/>
        <v>-4634.1689206594529</v>
      </c>
      <c r="W22" s="857">
        <f t="shared" si="3"/>
        <v>-120488.39193714582</v>
      </c>
      <c r="X22" s="857">
        <f t="shared" si="3"/>
        <v>-4634.1689206594529</v>
      </c>
      <c r="Y22" s="857">
        <f t="shared" si="3"/>
        <v>-4634.1689206594529</v>
      </c>
      <c r="Z22" s="857">
        <f t="shared" si="3"/>
        <v>-4634.1689206594529</v>
      </c>
      <c r="AA22" s="857">
        <f t="shared" si="3"/>
        <v>-4634.1689206594529</v>
      </c>
      <c r="AB22" s="857">
        <f t="shared" si="3"/>
        <v>-421709.37178001017</v>
      </c>
      <c r="AC22" s="857">
        <f t="shared" si="3"/>
        <v>-1997326.8048042245</v>
      </c>
      <c r="AD22" s="857">
        <f t="shared" si="3"/>
        <v>-4634.1689206594529</v>
      </c>
      <c r="AE22" s="858">
        <f t="shared" si="3"/>
        <v>-4634.1689206594529</v>
      </c>
    </row>
    <row r="23" spans="1:31" ht="21.9" customHeight="1" thickBot="1" x14ac:dyDescent="0.3">
      <c r="B23" s="768" t="s">
        <v>287</v>
      </c>
      <c r="C23" s="859">
        <f>SUMPRODUCT((D23:AE23),'Results Summary'!$F$133:$AG$133)</f>
        <v>5111544.5301060863</v>
      </c>
      <c r="D23" s="860">
        <f t="shared" ref="D23:AE23" si="4">D10-D16</f>
        <v>0</v>
      </c>
      <c r="E23" s="860">
        <f t="shared" si="4"/>
        <v>0</v>
      </c>
      <c r="F23" s="860">
        <f t="shared" si="4"/>
        <v>0</v>
      </c>
      <c r="G23" s="860">
        <f t="shared" si="4"/>
        <v>0</v>
      </c>
      <c r="H23" s="860">
        <f t="shared" si="4"/>
        <v>2340255.3049330241</v>
      </c>
      <c r="I23" s="860">
        <f t="shared" si="4"/>
        <v>0</v>
      </c>
      <c r="J23" s="860">
        <f t="shared" si="4"/>
        <v>0</v>
      </c>
      <c r="K23" s="860">
        <f t="shared" si="4"/>
        <v>-9268.3378413189057</v>
      </c>
      <c r="L23" s="860">
        <f t="shared" si="4"/>
        <v>-9268.3378413189057</v>
      </c>
      <c r="M23" s="860">
        <f t="shared" si="4"/>
        <v>-171464.25006439982</v>
      </c>
      <c r="N23" s="860">
        <f t="shared" si="4"/>
        <v>-9268.3378413189057</v>
      </c>
      <c r="O23" s="860">
        <f t="shared" si="4"/>
        <v>-9268.3378413189057</v>
      </c>
      <c r="P23" s="860">
        <f t="shared" si="4"/>
        <v>-9268.3378413189057</v>
      </c>
      <c r="Q23" s="860">
        <f t="shared" si="4"/>
        <v>-9268.3378413189057</v>
      </c>
      <c r="R23" s="860">
        <f t="shared" si="4"/>
        <v>7498085.3136269962</v>
      </c>
      <c r="S23" s="860">
        <f t="shared" si="4"/>
        <v>-9268.3378413189057</v>
      </c>
      <c r="T23" s="860">
        <f t="shared" si="4"/>
        <v>-9268.3378413189057</v>
      </c>
      <c r="U23" s="860">
        <f t="shared" si="4"/>
        <v>-9268.3378413189057</v>
      </c>
      <c r="V23" s="860">
        <f t="shared" si="4"/>
        <v>-9268.3378413189057</v>
      </c>
      <c r="W23" s="860">
        <f t="shared" si="4"/>
        <v>-171464.25006439982</v>
      </c>
      <c r="X23" s="860">
        <f t="shared" si="4"/>
        <v>-9268.3378413189057</v>
      </c>
      <c r="Y23" s="860">
        <f t="shared" si="4"/>
        <v>-9268.3378413189057</v>
      </c>
      <c r="Z23" s="860">
        <f t="shared" si="4"/>
        <v>-9268.3378413189057</v>
      </c>
      <c r="AA23" s="860">
        <f t="shared" si="4"/>
        <v>-9268.3378413189057</v>
      </c>
      <c r="AB23" s="860">
        <f t="shared" si="4"/>
        <v>-1005614.6557831017</v>
      </c>
      <c r="AC23" s="860">
        <f t="shared" si="4"/>
        <v>-2581232.088807316</v>
      </c>
      <c r="AD23" s="860">
        <f t="shared" si="4"/>
        <v>-9268.3378413189057</v>
      </c>
      <c r="AE23" s="1103">
        <f t="shared" si="4"/>
        <v>-9268.3378413189057</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FE09E-2CAA-419E-AF5B-56EC35ECE075}">
  <sheetPr codeName="Sheet12">
    <tabColor theme="4" tint="-0.249977111117893"/>
  </sheetPr>
  <dimension ref="A2:AF46"/>
  <sheetViews>
    <sheetView topLeftCell="N28" workbookViewId="0"/>
  </sheetViews>
  <sheetFormatPr defaultColWidth="11.59765625" defaultRowHeight="21.9" customHeight="1" x14ac:dyDescent="0.25"/>
  <cols>
    <col min="1" max="1" width="3.3984375" customWidth="1"/>
    <col min="2" max="2" width="29.69921875" customWidth="1"/>
    <col min="3" max="3" width="14.09765625" bestFit="1" customWidth="1"/>
    <col min="4" max="4" width="14.5" style="2" bestFit="1" customWidth="1"/>
    <col min="5" max="5" width="12.8984375" style="2" bestFit="1" customWidth="1"/>
    <col min="6" max="8" width="12.69921875" style="2" customWidth="1"/>
    <col min="9" max="26" width="12.69921875" customWidth="1"/>
    <col min="27" max="27" width="12.8984375" bestFit="1" customWidth="1"/>
    <col min="28" max="35" width="12.69921875" customWidth="1"/>
    <col min="36" max="36" width="12.09765625" customWidth="1"/>
  </cols>
  <sheetData>
    <row r="2" spans="1:10" ht="22.8" x14ac:dyDescent="0.25">
      <c r="B2" s="371" t="s">
        <v>81</v>
      </c>
      <c r="C2" s="10"/>
    </row>
    <row r="4" spans="1:10" ht="21.9" customHeight="1" x14ac:dyDescent="0.25">
      <c r="A4" s="189"/>
      <c r="B4" s="190" t="s">
        <v>0</v>
      </c>
    </row>
    <row r="6" spans="1:10" ht="21.9" customHeight="1" thickBot="1" x14ac:dyDescent="0.3">
      <c r="B6" s="536" t="s">
        <v>287</v>
      </c>
    </row>
    <row r="7" spans="1:10" ht="21.9" customHeight="1" x14ac:dyDescent="0.25">
      <c r="B7" s="805" t="s">
        <v>102</v>
      </c>
      <c r="C7" s="734" t="s">
        <v>160</v>
      </c>
      <c r="D7" s="734" t="s">
        <v>163</v>
      </c>
      <c r="E7" s="806" t="s">
        <v>25</v>
      </c>
      <c r="G7" s="1334" t="s">
        <v>197</v>
      </c>
      <c r="H7" s="1331"/>
      <c r="I7" s="806" t="s">
        <v>199</v>
      </c>
    </row>
    <row r="8" spans="1:10" ht="21.9" customHeight="1" x14ac:dyDescent="0.25">
      <c r="B8" s="861" t="str">
        <f>'Project Costs'!B44</f>
        <v>US-412/SH-412B Interchange</v>
      </c>
      <c r="C8" s="820">
        <f>'Project Costs'!C44</f>
        <v>13902506.761978362</v>
      </c>
      <c r="D8" s="820">
        <f>'Project Costs'!F44</f>
        <v>0</v>
      </c>
      <c r="E8" s="821">
        <f>C8+D8</f>
        <v>13902506.761978362</v>
      </c>
      <c r="F8"/>
      <c r="G8" s="1335" t="s">
        <v>198</v>
      </c>
      <c r="H8" s="1327"/>
      <c r="I8" s="747">
        <f>usefulLife</f>
        <v>30</v>
      </c>
      <c r="J8" s="1049"/>
    </row>
    <row r="9" spans="1:10" ht="21.9" customHeight="1" thickBot="1" x14ac:dyDescent="0.3">
      <c r="B9" s="861" t="str">
        <f>'Project Costs'!B45</f>
        <v>SH-412B Roundabout</v>
      </c>
      <c r="C9" s="820">
        <f>'Project Costs'!C45</f>
        <v>5190269.1911385879</v>
      </c>
      <c r="D9" s="820">
        <f>'Project Costs'!F45</f>
        <v>0</v>
      </c>
      <c r="E9" s="821">
        <f t="shared" ref="E9:E14" si="0">C9+D9</f>
        <v>5190269.1911385879</v>
      </c>
      <c r="F9"/>
      <c r="G9" s="1336" t="s">
        <v>196</v>
      </c>
      <c r="H9" s="1337"/>
      <c r="I9" s="748">
        <f>yearsOfBenefits</f>
        <v>20</v>
      </c>
    </row>
    <row r="10" spans="1:10" ht="21.9" customHeight="1" x14ac:dyDescent="0.25">
      <c r="B10" s="861" t="str">
        <f>'Project Costs'!B46</f>
        <v>Patrol Road Improvements</v>
      </c>
      <c r="C10" s="820">
        <f>'Project Costs'!C46</f>
        <v>10009804.868624421</v>
      </c>
      <c r="D10" s="820">
        <f>'Project Costs'!F46</f>
        <v>0</v>
      </c>
      <c r="E10" s="821">
        <f t="shared" si="0"/>
        <v>10009804.868624421</v>
      </c>
      <c r="F10"/>
      <c r="G10"/>
      <c r="H10"/>
    </row>
    <row r="11" spans="1:10" ht="21.9" customHeight="1" x14ac:dyDescent="0.25">
      <c r="B11" s="861" t="str">
        <f>'Project Costs'!B47</f>
        <v>Williams Street Improvements</v>
      </c>
      <c r="C11" s="820">
        <f>'Project Costs'!C47</f>
        <v>12604939.464193715</v>
      </c>
      <c r="D11" s="820">
        <f>'Project Costs'!F47</f>
        <v>0</v>
      </c>
      <c r="E11" s="821">
        <f t="shared" si="0"/>
        <v>12604939.464193715</v>
      </c>
      <c r="F11"/>
      <c r="G11"/>
      <c r="H11"/>
    </row>
    <row r="12" spans="1:10" ht="21.9" customHeight="1" x14ac:dyDescent="0.25">
      <c r="B12" s="861" t="str">
        <f>'Project Costs'!B50</f>
        <v>SH-412B Improvements</v>
      </c>
      <c r="C12" s="820">
        <f>'Project Costs'!C50</f>
        <v>15570807.573415766</v>
      </c>
      <c r="D12" s="820">
        <f>'Project Costs'!F50</f>
        <v>0</v>
      </c>
      <c r="E12" s="821">
        <f t="shared" si="0"/>
        <v>15570807.573415766</v>
      </c>
      <c r="F12"/>
      <c r="G12"/>
      <c r="H12"/>
    </row>
    <row r="13" spans="1:10" ht="21.9" customHeight="1" x14ac:dyDescent="0.25">
      <c r="B13" s="861" t="str">
        <f>'Project Costs'!B51</f>
        <v>Zarrow Street Widening</v>
      </c>
      <c r="C13" s="820">
        <f>'Project Costs'!C51</f>
        <v>5876126.1913961871</v>
      </c>
      <c r="D13" s="820">
        <f>'Project Costs'!F51</f>
        <v>0</v>
      </c>
      <c r="E13" s="821">
        <f t="shared" si="0"/>
        <v>5876126.1913961871</v>
      </c>
      <c r="F13"/>
      <c r="G13"/>
      <c r="H13"/>
    </row>
    <row r="14" spans="1:10" ht="21.9" customHeight="1" x14ac:dyDescent="0.25">
      <c r="B14" s="861" t="str">
        <f>'Project Costs'!B52</f>
        <v>Rocket Road Improvements</v>
      </c>
      <c r="C14" s="820">
        <f>'Project Costs'!C52</f>
        <v>6209786.3536836682</v>
      </c>
      <c r="D14" s="820">
        <f>'Project Costs'!F52</f>
        <v>0</v>
      </c>
      <c r="E14" s="821">
        <f t="shared" si="0"/>
        <v>6209786.3536836682</v>
      </c>
      <c r="I14" s="2"/>
      <c r="J14" s="2"/>
    </row>
    <row r="15" spans="1:10" ht="21.9" customHeight="1" thickBot="1" x14ac:dyDescent="0.3">
      <c r="B15" s="862" t="s">
        <v>25</v>
      </c>
      <c r="C15" s="852">
        <f>SUM(C8:C14)</f>
        <v>69364240.404430702</v>
      </c>
      <c r="D15" s="852">
        <f>SUM(D8:D14)</f>
        <v>0</v>
      </c>
      <c r="E15" s="853">
        <f>C15+D15</f>
        <v>69364240.404430702</v>
      </c>
    </row>
    <row r="16" spans="1:10" ht="21.9" customHeight="1" x14ac:dyDescent="0.25">
      <c r="B16" s="1"/>
      <c r="C16" s="29"/>
      <c r="D16" s="29"/>
      <c r="E16" s="29"/>
    </row>
    <row r="17" spans="1:32" ht="21.9" customHeight="1" thickBot="1" x14ac:dyDescent="0.3">
      <c r="B17" s="536" t="s">
        <v>286</v>
      </c>
    </row>
    <row r="18" spans="1:32" ht="21.9" customHeight="1" x14ac:dyDescent="0.25">
      <c r="B18" s="805" t="s">
        <v>102</v>
      </c>
      <c r="C18" s="734" t="s">
        <v>160</v>
      </c>
      <c r="D18" s="734" t="s">
        <v>163</v>
      </c>
      <c r="E18" s="806" t="s">
        <v>25</v>
      </c>
    </row>
    <row r="19" spans="1:32" ht="21.9" customHeight="1" x14ac:dyDescent="0.25">
      <c r="B19" s="861" t="str">
        <f>'Project Costs'!B44</f>
        <v>US-412/SH-412B Interchange</v>
      </c>
      <c r="C19" s="820">
        <f>'Project Costs'!C44</f>
        <v>13902506.761978362</v>
      </c>
      <c r="D19" s="820">
        <f>'Project Costs'!F44</f>
        <v>0</v>
      </c>
      <c r="E19" s="821">
        <f>C19+D19</f>
        <v>13902506.761978362</v>
      </c>
    </row>
    <row r="20" spans="1:32" ht="21.9" customHeight="1" x14ac:dyDescent="0.25">
      <c r="B20" s="861" t="str">
        <f>'Project Costs'!B45</f>
        <v>SH-412B Roundabout</v>
      </c>
      <c r="C20" s="820">
        <f>'Project Costs'!C45</f>
        <v>5190269.1911385879</v>
      </c>
      <c r="D20" s="820">
        <f>'Project Costs'!F45</f>
        <v>0</v>
      </c>
      <c r="E20" s="821">
        <f t="shared" ref="E20:E22" si="1">C20+D20</f>
        <v>5190269.1911385879</v>
      </c>
    </row>
    <row r="21" spans="1:32" ht="21.9" customHeight="1" x14ac:dyDescent="0.25">
      <c r="B21" s="861" t="str">
        <f>'Project Costs'!B46</f>
        <v>Patrol Road Improvements</v>
      </c>
      <c r="C21" s="820">
        <f>'Project Costs'!C46</f>
        <v>10009804.868624421</v>
      </c>
      <c r="D21" s="820">
        <f>'Project Costs'!F46</f>
        <v>0</v>
      </c>
      <c r="E21" s="821">
        <f t="shared" si="1"/>
        <v>10009804.868624421</v>
      </c>
    </row>
    <row r="22" spans="1:32" ht="21.9" customHeight="1" x14ac:dyDescent="0.25">
      <c r="B22" s="861" t="str">
        <f>'Project Costs'!B47</f>
        <v>Williams Street Improvements</v>
      </c>
      <c r="C22" s="820">
        <f>'Project Costs'!C47</f>
        <v>12604939.464193715</v>
      </c>
      <c r="D22" s="820">
        <f>'Project Costs'!F47</f>
        <v>0</v>
      </c>
      <c r="E22" s="821">
        <f t="shared" si="1"/>
        <v>12604939.464193715</v>
      </c>
    </row>
    <row r="23" spans="1:32" ht="21.9" customHeight="1" thickBot="1" x14ac:dyDescent="0.3">
      <c r="B23" s="862" t="s">
        <v>25</v>
      </c>
      <c r="C23" s="852">
        <f>SUM(C19:C22)</f>
        <v>41707520.285935089</v>
      </c>
      <c r="D23" s="852">
        <f>SUM(D19:D22)</f>
        <v>0</v>
      </c>
      <c r="E23" s="853">
        <f>C23+D23</f>
        <v>41707520.285935089</v>
      </c>
    </row>
    <row r="24" spans="1:32" ht="21.9" customHeight="1" x14ac:dyDescent="0.25">
      <c r="B24" s="1"/>
      <c r="C24" s="29"/>
      <c r="D24" s="29"/>
      <c r="E24" s="29"/>
    </row>
    <row r="26" spans="1:32" ht="21.9" customHeight="1" x14ac:dyDescent="0.25">
      <c r="A26" s="189"/>
      <c r="B26" s="190" t="s">
        <v>103</v>
      </c>
      <c r="D26" s="495"/>
    </row>
    <row r="27" spans="1:32" ht="21.9" customHeight="1" x14ac:dyDescent="0.25">
      <c r="B27" s="9"/>
      <c r="C27" s="9"/>
    </row>
    <row r="28" spans="1:32" ht="21.9" customHeight="1" thickBot="1" x14ac:dyDescent="0.3">
      <c r="B28" s="536" t="s">
        <v>287</v>
      </c>
      <c r="C28" s="9"/>
    </row>
    <row r="29" spans="1:32" ht="21.9" customHeight="1" x14ac:dyDescent="0.25">
      <c r="B29" s="899" t="s">
        <v>81</v>
      </c>
      <c r="C29" s="735"/>
      <c r="D29" s="736" t="s">
        <v>133</v>
      </c>
      <c r="E29" s="735" cm="1">
        <f t="array" ref="E29:AF29">year</f>
        <v>2021</v>
      </c>
      <c r="F29" s="735">
        <v>2022</v>
      </c>
      <c r="G29" s="735">
        <v>2023</v>
      </c>
      <c r="H29" s="735">
        <v>2024</v>
      </c>
      <c r="I29" s="735">
        <v>2025</v>
      </c>
      <c r="J29" s="735">
        <v>2026</v>
      </c>
      <c r="K29" s="735">
        <v>2027</v>
      </c>
      <c r="L29" s="735">
        <v>2028</v>
      </c>
      <c r="M29" s="735">
        <v>2029</v>
      </c>
      <c r="N29" s="735">
        <v>2030</v>
      </c>
      <c r="O29" s="735">
        <v>2031</v>
      </c>
      <c r="P29" s="735">
        <v>2032</v>
      </c>
      <c r="Q29" s="735">
        <v>2033</v>
      </c>
      <c r="R29" s="735">
        <v>2034</v>
      </c>
      <c r="S29" s="735">
        <v>2035</v>
      </c>
      <c r="T29" s="735">
        <v>2036</v>
      </c>
      <c r="U29" s="735">
        <v>2037</v>
      </c>
      <c r="V29" s="735">
        <v>2038</v>
      </c>
      <c r="W29" s="735">
        <v>2039</v>
      </c>
      <c r="X29" s="735">
        <v>2040</v>
      </c>
      <c r="Y29" s="735">
        <v>2041</v>
      </c>
      <c r="Z29" s="735">
        <v>2042</v>
      </c>
      <c r="AA29" s="735">
        <v>2043</v>
      </c>
      <c r="AB29" s="735">
        <v>2044</v>
      </c>
      <c r="AC29" s="735">
        <v>2045</v>
      </c>
      <c r="AD29" s="735">
        <v>2046</v>
      </c>
      <c r="AE29" s="735">
        <v>2047</v>
      </c>
      <c r="AF29" s="736">
        <v>2048</v>
      </c>
    </row>
    <row r="30" spans="1:32" ht="21.9" customHeight="1" x14ac:dyDescent="0.25">
      <c r="B30" s="861" t="str">
        <f>'Project Costs'!B44</f>
        <v>US-412/SH-412B Interchange</v>
      </c>
      <c r="C30" s="114"/>
      <c r="D30" s="858" cm="1">
        <f t="array" ref="D30">SUM(_xlfn.ANCHORARRAY(E30) * discountAnnual)</f>
        <v>2095301.6881395106</v>
      </c>
      <c r="E30" s="857" cm="1">
        <f t="array" ref="E30:AF30">IF(year = MAX(year), (C8 * ($I$8 - $I$9) / $I$8) + D8, 0)</f>
        <v>0</v>
      </c>
      <c r="F30" s="857">
        <v>0</v>
      </c>
      <c r="G30" s="857">
        <v>0</v>
      </c>
      <c r="H30" s="857">
        <v>0</v>
      </c>
      <c r="I30" s="857">
        <v>0</v>
      </c>
      <c r="J30" s="857">
        <v>0</v>
      </c>
      <c r="K30" s="857">
        <v>0</v>
      </c>
      <c r="L30" s="857">
        <v>0</v>
      </c>
      <c r="M30" s="857">
        <v>0</v>
      </c>
      <c r="N30" s="857">
        <v>0</v>
      </c>
      <c r="O30" s="857">
        <v>0</v>
      </c>
      <c r="P30" s="857">
        <v>0</v>
      </c>
      <c r="Q30" s="857">
        <v>0</v>
      </c>
      <c r="R30" s="857">
        <v>0</v>
      </c>
      <c r="S30" s="857">
        <v>0</v>
      </c>
      <c r="T30" s="857">
        <v>0</v>
      </c>
      <c r="U30" s="857">
        <v>0</v>
      </c>
      <c r="V30" s="857">
        <v>0</v>
      </c>
      <c r="W30" s="857">
        <v>0</v>
      </c>
      <c r="X30" s="857">
        <v>0</v>
      </c>
      <c r="Y30" s="857">
        <v>0</v>
      </c>
      <c r="Z30" s="857">
        <v>0</v>
      </c>
      <c r="AA30" s="857">
        <v>0</v>
      </c>
      <c r="AB30" s="857">
        <v>0</v>
      </c>
      <c r="AC30" s="857">
        <v>0</v>
      </c>
      <c r="AD30" s="857">
        <v>0</v>
      </c>
      <c r="AE30" s="857">
        <v>0</v>
      </c>
      <c r="AF30" s="858">
        <v>4634168.9206594536</v>
      </c>
    </row>
    <row r="31" spans="1:32" ht="21.9" customHeight="1" x14ac:dyDescent="0.25">
      <c r="B31" s="861" t="str">
        <f>'Project Costs'!B45</f>
        <v>SH-412B Roundabout</v>
      </c>
      <c r="C31" s="114"/>
      <c r="D31" s="858" cm="1">
        <f t="array" ref="D31">SUM(_xlfn.ANCHORARRAY(E31) * discountAnnual)</f>
        <v>782245.96357208397</v>
      </c>
      <c r="E31" s="857" cm="1">
        <f t="array" ref="E31:AF31">IF(year = MAX(year), (C9 * ($I$8 - $I$9) / $I$8) + D9, 0)</f>
        <v>0</v>
      </c>
      <c r="F31" s="857">
        <v>0</v>
      </c>
      <c r="G31" s="857">
        <v>0</v>
      </c>
      <c r="H31" s="857">
        <v>0</v>
      </c>
      <c r="I31" s="857">
        <v>0</v>
      </c>
      <c r="J31" s="857">
        <v>0</v>
      </c>
      <c r="K31" s="857">
        <v>0</v>
      </c>
      <c r="L31" s="857">
        <v>0</v>
      </c>
      <c r="M31" s="857">
        <v>0</v>
      </c>
      <c r="N31" s="857">
        <v>0</v>
      </c>
      <c r="O31" s="857">
        <v>0</v>
      </c>
      <c r="P31" s="857">
        <v>0</v>
      </c>
      <c r="Q31" s="857">
        <v>0</v>
      </c>
      <c r="R31" s="857">
        <v>0</v>
      </c>
      <c r="S31" s="857">
        <v>0</v>
      </c>
      <c r="T31" s="857">
        <v>0</v>
      </c>
      <c r="U31" s="857">
        <v>0</v>
      </c>
      <c r="V31" s="857">
        <v>0</v>
      </c>
      <c r="W31" s="857">
        <v>0</v>
      </c>
      <c r="X31" s="857">
        <v>0</v>
      </c>
      <c r="Y31" s="857">
        <v>0</v>
      </c>
      <c r="Z31" s="857">
        <v>0</v>
      </c>
      <c r="AA31" s="857">
        <v>0</v>
      </c>
      <c r="AB31" s="857">
        <v>0</v>
      </c>
      <c r="AC31" s="857">
        <v>0</v>
      </c>
      <c r="AD31" s="857">
        <v>0</v>
      </c>
      <c r="AE31" s="857">
        <v>0</v>
      </c>
      <c r="AF31" s="858">
        <v>1730089.7303795293</v>
      </c>
    </row>
    <row r="32" spans="1:32" ht="21.9" customHeight="1" x14ac:dyDescent="0.25">
      <c r="B32" s="861" t="str">
        <f>'Project Costs'!B46</f>
        <v>Patrol Road Improvements</v>
      </c>
      <c r="C32" s="114"/>
      <c r="D32" s="858" cm="1">
        <f t="array" ref="D32">SUM(_xlfn.ANCHORARRAY(E32) * discountAnnual)</f>
        <v>1508617.2154604476</v>
      </c>
      <c r="E32" s="857" cm="1">
        <f t="array" ref="E32:AF32">IF(year = MAX(year), (C10 * ($I$8 - $I$9) / $I$8) + D10, 0)</f>
        <v>0</v>
      </c>
      <c r="F32" s="857">
        <v>0</v>
      </c>
      <c r="G32" s="857">
        <v>0</v>
      </c>
      <c r="H32" s="857">
        <v>0</v>
      </c>
      <c r="I32" s="857">
        <v>0</v>
      </c>
      <c r="J32" s="857">
        <v>0</v>
      </c>
      <c r="K32" s="857">
        <v>0</v>
      </c>
      <c r="L32" s="857">
        <v>0</v>
      </c>
      <c r="M32" s="857">
        <v>0</v>
      </c>
      <c r="N32" s="857">
        <v>0</v>
      </c>
      <c r="O32" s="857">
        <v>0</v>
      </c>
      <c r="P32" s="857">
        <v>0</v>
      </c>
      <c r="Q32" s="857">
        <v>0</v>
      </c>
      <c r="R32" s="857">
        <v>0</v>
      </c>
      <c r="S32" s="857">
        <v>0</v>
      </c>
      <c r="T32" s="857">
        <v>0</v>
      </c>
      <c r="U32" s="857">
        <v>0</v>
      </c>
      <c r="V32" s="857">
        <v>0</v>
      </c>
      <c r="W32" s="857">
        <v>0</v>
      </c>
      <c r="X32" s="857">
        <v>0</v>
      </c>
      <c r="Y32" s="857">
        <v>0</v>
      </c>
      <c r="Z32" s="857">
        <v>0</v>
      </c>
      <c r="AA32" s="857">
        <v>0</v>
      </c>
      <c r="AB32" s="857">
        <v>0</v>
      </c>
      <c r="AC32" s="857">
        <v>0</v>
      </c>
      <c r="AD32" s="857">
        <v>0</v>
      </c>
      <c r="AE32" s="857">
        <v>0</v>
      </c>
      <c r="AF32" s="858">
        <v>3336601.6228748066</v>
      </c>
    </row>
    <row r="33" spans="2:32" ht="21.9" customHeight="1" x14ac:dyDescent="0.25">
      <c r="B33" s="861" t="str">
        <f>'Project Costs'!B47</f>
        <v>Williams Street Improvements</v>
      </c>
      <c r="C33" s="114"/>
      <c r="D33" s="858" cm="1">
        <f t="array" ref="D33">SUM(_xlfn.ANCHORARRAY(E33) * discountAnnual)</f>
        <v>1899740.1972464896</v>
      </c>
      <c r="E33" s="857" cm="1">
        <f t="array" ref="E33:AF33">IF(year = MAX(year), (C11 * ($I$8 - $I$9) / $I$8) + D11, 0)</f>
        <v>0</v>
      </c>
      <c r="F33" s="857">
        <v>0</v>
      </c>
      <c r="G33" s="857">
        <v>0</v>
      </c>
      <c r="H33" s="857">
        <v>0</v>
      </c>
      <c r="I33" s="857">
        <v>0</v>
      </c>
      <c r="J33" s="857">
        <v>0</v>
      </c>
      <c r="K33" s="857">
        <v>0</v>
      </c>
      <c r="L33" s="857">
        <v>0</v>
      </c>
      <c r="M33" s="857">
        <v>0</v>
      </c>
      <c r="N33" s="857">
        <v>0</v>
      </c>
      <c r="O33" s="857">
        <v>0</v>
      </c>
      <c r="P33" s="857">
        <v>0</v>
      </c>
      <c r="Q33" s="857">
        <v>0</v>
      </c>
      <c r="R33" s="857">
        <v>0</v>
      </c>
      <c r="S33" s="857">
        <v>0</v>
      </c>
      <c r="T33" s="857">
        <v>0</v>
      </c>
      <c r="U33" s="857">
        <v>0</v>
      </c>
      <c r="V33" s="857">
        <v>0</v>
      </c>
      <c r="W33" s="857">
        <v>0</v>
      </c>
      <c r="X33" s="857">
        <v>0</v>
      </c>
      <c r="Y33" s="857">
        <v>0</v>
      </c>
      <c r="Z33" s="857">
        <v>0</v>
      </c>
      <c r="AA33" s="857">
        <v>0</v>
      </c>
      <c r="AB33" s="857">
        <v>0</v>
      </c>
      <c r="AC33" s="857">
        <v>0</v>
      </c>
      <c r="AD33" s="857">
        <v>0</v>
      </c>
      <c r="AE33" s="857">
        <v>0</v>
      </c>
      <c r="AF33" s="858">
        <v>4201646.4880645713</v>
      </c>
    </row>
    <row r="34" spans="2:32" ht="21.9" customHeight="1" x14ac:dyDescent="0.25">
      <c r="B34" s="861" t="str">
        <f>'Project Costs'!B50</f>
        <v>SH-412B Improvements</v>
      </c>
      <c r="C34" s="114"/>
      <c r="D34" s="858" cm="1">
        <f t="array" ref="D34">SUM(_xlfn.ANCHORARRAY(E34) * discountAnnual)</f>
        <v>2346737.8907162524</v>
      </c>
      <c r="E34" s="857" cm="1">
        <f t="array" ref="E34:AF34">IF(year = MAX(year), (C12 * ($I$8 - $I$9) / $I$8) + D12, 0)</f>
        <v>0</v>
      </c>
      <c r="F34" s="857">
        <v>0</v>
      </c>
      <c r="G34" s="857">
        <v>0</v>
      </c>
      <c r="H34" s="857">
        <v>0</v>
      </c>
      <c r="I34" s="857">
        <v>0</v>
      </c>
      <c r="J34" s="857">
        <v>0</v>
      </c>
      <c r="K34" s="857">
        <v>0</v>
      </c>
      <c r="L34" s="857">
        <v>0</v>
      </c>
      <c r="M34" s="857">
        <v>0</v>
      </c>
      <c r="N34" s="857">
        <v>0</v>
      </c>
      <c r="O34" s="857">
        <v>0</v>
      </c>
      <c r="P34" s="857">
        <v>0</v>
      </c>
      <c r="Q34" s="857">
        <v>0</v>
      </c>
      <c r="R34" s="857">
        <v>0</v>
      </c>
      <c r="S34" s="857">
        <v>0</v>
      </c>
      <c r="T34" s="857">
        <v>0</v>
      </c>
      <c r="U34" s="857">
        <v>0</v>
      </c>
      <c r="V34" s="857">
        <v>0</v>
      </c>
      <c r="W34" s="857">
        <v>0</v>
      </c>
      <c r="X34" s="857">
        <v>0</v>
      </c>
      <c r="Y34" s="857">
        <v>0</v>
      </c>
      <c r="Z34" s="857">
        <v>0</v>
      </c>
      <c r="AA34" s="857">
        <v>0</v>
      </c>
      <c r="AB34" s="857">
        <v>0</v>
      </c>
      <c r="AC34" s="857">
        <v>0</v>
      </c>
      <c r="AD34" s="857">
        <v>0</v>
      </c>
      <c r="AE34" s="857">
        <v>0</v>
      </c>
      <c r="AF34" s="858">
        <v>5190269.1911385888</v>
      </c>
    </row>
    <row r="35" spans="2:32" ht="21.9" customHeight="1" x14ac:dyDescent="0.25">
      <c r="B35" s="861" t="str">
        <f>'Project Costs'!B51</f>
        <v>Zarrow Street Widening</v>
      </c>
      <c r="C35" s="114"/>
      <c r="D35" s="858" cm="1">
        <f t="array" ref="D35">SUM(_xlfn.ANCHORARRAY(E35) * discountAnnual)</f>
        <v>885614.18018696655</v>
      </c>
      <c r="E35" s="857" cm="1">
        <f t="array" ref="E35:AF35">IF(year = MAX(year), (C13 * ($I$8 - $I$9) / $I$8) + D13, 0)</f>
        <v>0</v>
      </c>
      <c r="F35" s="857">
        <v>0</v>
      </c>
      <c r="G35" s="857">
        <v>0</v>
      </c>
      <c r="H35" s="857">
        <v>0</v>
      </c>
      <c r="I35" s="857">
        <v>0</v>
      </c>
      <c r="J35" s="857">
        <v>0</v>
      </c>
      <c r="K35" s="857">
        <v>0</v>
      </c>
      <c r="L35" s="857">
        <v>0</v>
      </c>
      <c r="M35" s="857">
        <v>0</v>
      </c>
      <c r="N35" s="857">
        <v>0</v>
      </c>
      <c r="O35" s="857">
        <v>0</v>
      </c>
      <c r="P35" s="857">
        <v>0</v>
      </c>
      <c r="Q35" s="857">
        <v>0</v>
      </c>
      <c r="R35" s="857">
        <v>0</v>
      </c>
      <c r="S35" s="857">
        <v>0</v>
      </c>
      <c r="T35" s="857">
        <v>0</v>
      </c>
      <c r="U35" s="857">
        <v>0</v>
      </c>
      <c r="V35" s="857">
        <v>0</v>
      </c>
      <c r="W35" s="857">
        <v>0</v>
      </c>
      <c r="X35" s="857">
        <v>0</v>
      </c>
      <c r="Y35" s="857">
        <v>0</v>
      </c>
      <c r="Z35" s="857">
        <v>0</v>
      </c>
      <c r="AA35" s="857">
        <v>0</v>
      </c>
      <c r="AB35" s="857">
        <v>0</v>
      </c>
      <c r="AC35" s="857">
        <v>0</v>
      </c>
      <c r="AD35" s="857">
        <v>0</v>
      </c>
      <c r="AE35" s="857">
        <v>0</v>
      </c>
      <c r="AF35" s="858">
        <v>1958708.7304653958</v>
      </c>
    </row>
    <row r="36" spans="2:32" ht="21.9" customHeight="1" x14ac:dyDescent="0.25">
      <c r="B36" s="861" t="str">
        <f>'Project Costs'!B52</f>
        <v>Rocket Road Improvements</v>
      </c>
      <c r="C36" s="114"/>
      <c r="D36" s="858" cm="1">
        <f t="array" ref="D36">SUM(_xlfn.ANCHORARRAY(E36) * discountAnnual)</f>
        <v>935901.42070231494</v>
      </c>
      <c r="E36" s="857" cm="1">
        <f t="array" ref="E36:AF36">IF(year = MAX(year), (C14 * ($I$8 - $I$9) / $I$8) + D14, 0)</f>
        <v>0</v>
      </c>
      <c r="F36" s="857">
        <v>0</v>
      </c>
      <c r="G36" s="857">
        <v>0</v>
      </c>
      <c r="H36" s="857">
        <v>0</v>
      </c>
      <c r="I36" s="857">
        <v>0</v>
      </c>
      <c r="J36" s="857">
        <v>0</v>
      </c>
      <c r="K36" s="857">
        <v>0</v>
      </c>
      <c r="L36" s="857">
        <v>0</v>
      </c>
      <c r="M36" s="857">
        <v>0</v>
      </c>
      <c r="N36" s="857">
        <v>0</v>
      </c>
      <c r="O36" s="857">
        <v>0</v>
      </c>
      <c r="P36" s="857">
        <v>0</v>
      </c>
      <c r="Q36" s="857">
        <v>0</v>
      </c>
      <c r="R36" s="857">
        <v>0</v>
      </c>
      <c r="S36" s="857">
        <v>0</v>
      </c>
      <c r="T36" s="857">
        <v>0</v>
      </c>
      <c r="U36" s="857">
        <v>0</v>
      </c>
      <c r="V36" s="857">
        <v>0</v>
      </c>
      <c r="W36" s="857">
        <v>0</v>
      </c>
      <c r="X36" s="857">
        <v>0</v>
      </c>
      <c r="Y36" s="857">
        <v>0</v>
      </c>
      <c r="Z36" s="857">
        <v>0</v>
      </c>
      <c r="AA36" s="857">
        <v>0</v>
      </c>
      <c r="AB36" s="857">
        <v>0</v>
      </c>
      <c r="AC36" s="857">
        <v>0</v>
      </c>
      <c r="AD36" s="857">
        <v>0</v>
      </c>
      <c r="AE36" s="857">
        <v>0</v>
      </c>
      <c r="AF36" s="858">
        <v>2069928.7845612229</v>
      </c>
    </row>
    <row r="37" spans="2:32" ht="21.9" customHeight="1" thickBot="1" x14ac:dyDescent="0.3">
      <c r="B37" s="863"/>
      <c r="C37" s="818" t="s">
        <v>25</v>
      </c>
      <c r="D37" s="853" cm="1">
        <f t="array" ref="D37">SUM(_xlfn.ANCHORARRAY(E37) * discountAnnual)</f>
        <v>10454158.556024067</v>
      </c>
      <c r="E37" s="864" cm="1">
        <f t="array" ref="E37:AF37">_xlfn.ANCHORARRAY(E30) +_xlfn.ANCHORARRAY(E31) +_xlfn.ANCHORARRAY( E32) +_xlfn.ANCHORARRAY( E33) +_xlfn.ANCHORARRAY( E34) +_xlfn.ANCHORARRAY( E35) +_xlfn.ANCHORARRAY( E36)</f>
        <v>0</v>
      </c>
      <c r="F37" s="864">
        <v>0</v>
      </c>
      <c r="G37" s="864">
        <v>0</v>
      </c>
      <c r="H37" s="864">
        <v>0</v>
      </c>
      <c r="I37" s="864">
        <v>0</v>
      </c>
      <c r="J37" s="864">
        <v>0</v>
      </c>
      <c r="K37" s="864">
        <v>0</v>
      </c>
      <c r="L37" s="864">
        <v>0</v>
      </c>
      <c r="M37" s="864">
        <v>0</v>
      </c>
      <c r="N37" s="864">
        <v>0</v>
      </c>
      <c r="O37" s="864">
        <v>0</v>
      </c>
      <c r="P37" s="864">
        <v>0</v>
      </c>
      <c r="Q37" s="864">
        <v>0</v>
      </c>
      <c r="R37" s="864">
        <v>0</v>
      </c>
      <c r="S37" s="864">
        <v>0</v>
      </c>
      <c r="T37" s="864">
        <v>0</v>
      </c>
      <c r="U37" s="864">
        <v>0</v>
      </c>
      <c r="V37" s="864">
        <v>0</v>
      </c>
      <c r="W37" s="864">
        <v>0</v>
      </c>
      <c r="X37" s="864">
        <v>0</v>
      </c>
      <c r="Y37" s="864">
        <v>0</v>
      </c>
      <c r="Z37" s="864">
        <v>0</v>
      </c>
      <c r="AA37" s="864">
        <v>0</v>
      </c>
      <c r="AB37" s="864">
        <v>0</v>
      </c>
      <c r="AC37" s="864">
        <v>0</v>
      </c>
      <c r="AD37" s="864">
        <v>0</v>
      </c>
      <c r="AE37" s="864">
        <v>0</v>
      </c>
      <c r="AF37" s="865">
        <v>23121413.468143571</v>
      </c>
    </row>
    <row r="40" spans="2:32" ht="21.9" customHeight="1" thickBot="1" x14ac:dyDescent="0.3">
      <c r="B40" s="536" t="s">
        <v>335</v>
      </c>
      <c r="C40" s="9"/>
    </row>
    <row r="41" spans="2:32" ht="21.9" customHeight="1" x14ac:dyDescent="0.25">
      <c r="B41" s="899" t="s">
        <v>81</v>
      </c>
      <c r="C41" s="735"/>
      <c r="D41" s="736" t="s">
        <v>133</v>
      </c>
      <c r="E41" s="735" cm="1">
        <f t="array" ref="E41:AF41">year</f>
        <v>2021</v>
      </c>
      <c r="F41" s="735">
        <v>2022</v>
      </c>
      <c r="G41" s="735">
        <v>2023</v>
      </c>
      <c r="H41" s="735">
        <v>2024</v>
      </c>
      <c r="I41" s="735">
        <v>2025</v>
      </c>
      <c r="J41" s="735">
        <v>2026</v>
      </c>
      <c r="K41" s="735">
        <v>2027</v>
      </c>
      <c r="L41" s="735">
        <v>2028</v>
      </c>
      <c r="M41" s="735">
        <v>2029</v>
      </c>
      <c r="N41" s="735">
        <v>2030</v>
      </c>
      <c r="O41" s="735">
        <v>2031</v>
      </c>
      <c r="P41" s="735">
        <v>2032</v>
      </c>
      <c r="Q41" s="735">
        <v>2033</v>
      </c>
      <c r="R41" s="735">
        <v>2034</v>
      </c>
      <c r="S41" s="735">
        <v>2035</v>
      </c>
      <c r="T41" s="735">
        <v>2036</v>
      </c>
      <c r="U41" s="735">
        <v>2037</v>
      </c>
      <c r="V41" s="735">
        <v>2038</v>
      </c>
      <c r="W41" s="735">
        <v>2039</v>
      </c>
      <c r="X41" s="735">
        <v>2040</v>
      </c>
      <c r="Y41" s="735">
        <v>2041</v>
      </c>
      <c r="Z41" s="735">
        <v>2042</v>
      </c>
      <c r="AA41" s="735">
        <v>2043</v>
      </c>
      <c r="AB41" s="735">
        <v>2044</v>
      </c>
      <c r="AC41" s="735">
        <v>2045</v>
      </c>
      <c r="AD41" s="735">
        <v>2046</v>
      </c>
      <c r="AE41" s="735">
        <v>2047</v>
      </c>
      <c r="AF41" s="736">
        <v>2048</v>
      </c>
    </row>
    <row r="42" spans="2:32" ht="21.9" customHeight="1" x14ac:dyDescent="0.25">
      <c r="B42" s="861" t="str">
        <f>'Project Costs'!B44</f>
        <v>US-412/SH-412B Interchange</v>
      </c>
      <c r="C42" s="114"/>
      <c r="D42" s="858" cm="1">
        <f t="array" ref="D42">SUM(_xlfn.ANCHORARRAY(E42) * discountAnnual)</f>
        <v>2095301.6881395106</v>
      </c>
      <c r="E42" s="857" cm="1">
        <f t="array" ref="E42:AF42">IF(year = MAX(year), (C19 * ($I$8 - $I$9) / $I$8) + D19, 0)</f>
        <v>0</v>
      </c>
      <c r="F42" s="857">
        <v>0</v>
      </c>
      <c r="G42" s="857">
        <v>0</v>
      </c>
      <c r="H42" s="857">
        <v>0</v>
      </c>
      <c r="I42" s="857">
        <v>0</v>
      </c>
      <c r="J42" s="857">
        <v>0</v>
      </c>
      <c r="K42" s="857">
        <v>0</v>
      </c>
      <c r="L42" s="857">
        <v>0</v>
      </c>
      <c r="M42" s="857">
        <v>0</v>
      </c>
      <c r="N42" s="857">
        <v>0</v>
      </c>
      <c r="O42" s="857">
        <v>0</v>
      </c>
      <c r="P42" s="857">
        <v>0</v>
      </c>
      <c r="Q42" s="857">
        <v>0</v>
      </c>
      <c r="R42" s="857">
        <v>0</v>
      </c>
      <c r="S42" s="857">
        <v>0</v>
      </c>
      <c r="T42" s="857">
        <v>0</v>
      </c>
      <c r="U42" s="857">
        <v>0</v>
      </c>
      <c r="V42" s="857">
        <v>0</v>
      </c>
      <c r="W42" s="857">
        <v>0</v>
      </c>
      <c r="X42" s="857">
        <v>0</v>
      </c>
      <c r="Y42" s="857">
        <v>0</v>
      </c>
      <c r="Z42" s="857">
        <v>0</v>
      </c>
      <c r="AA42" s="857">
        <v>0</v>
      </c>
      <c r="AB42" s="857">
        <v>0</v>
      </c>
      <c r="AC42" s="857">
        <v>0</v>
      </c>
      <c r="AD42" s="857">
        <v>0</v>
      </c>
      <c r="AE42" s="857">
        <v>0</v>
      </c>
      <c r="AF42" s="858">
        <v>4634168.9206594536</v>
      </c>
    </row>
    <row r="43" spans="2:32" ht="21.9" customHeight="1" x14ac:dyDescent="0.25">
      <c r="B43" s="861" t="str">
        <f>'Project Costs'!B45</f>
        <v>SH-412B Roundabout</v>
      </c>
      <c r="C43" s="114"/>
      <c r="D43" s="858" cm="1">
        <f t="array" ref="D43">SUM(_xlfn.ANCHORARRAY(E43) * discountAnnual)</f>
        <v>782245.96357208397</v>
      </c>
      <c r="E43" s="857" cm="1">
        <f t="array" ref="E43:AF43">IF(year = MAX(year), (C20 * ($I$8 - $I$9) / $I$8) + D20, 0)</f>
        <v>0</v>
      </c>
      <c r="F43" s="857">
        <v>0</v>
      </c>
      <c r="G43" s="857">
        <v>0</v>
      </c>
      <c r="H43" s="857">
        <v>0</v>
      </c>
      <c r="I43" s="857">
        <v>0</v>
      </c>
      <c r="J43" s="857">
        <v>0</v>
      </c>
      <c r="K43" s="857">
        <v>0</v>
      </c>
      <c r="L43" s="857">
        <v>0</v>
      </c>
      <c r="M43" s="857">
        <v>0</v>
      </c>
      <c r="N43" s="857">
        <v>0</v>
      </c>
      <c r="O43" s="857">
        <v>0</v>
      </c>
      <c r="P43" s="857">
        <v>0</v>
      </c>
      <c r="Q43" s="857">
        <v>0</v>
      </c>
      <c r="R43" s="857">
        <v>0</v>
      </c>
      <c r="S43" s="857">
        <v>0</v>
      </c>
      <c r="T43" s="857">
        <v>0</v>
      </c>
      <c r="U43" s="857">
        <v>0</v>
      </c>
      <c r="V43" s="857">
        <v>0</v>
      </c>
      <c r="W43" s="857">
        <v>0</v>
      </c>
      <c r="X43" s="857">
        <v>0</v>
      </c>
      <c r="Y43" s="857">
        <v>0</v>
      </c>
      <c r="Z43" s="857">
        <v>0</v>
      </c>
      <c r="AA43" s="857">
        <v>0</v>
      </c>
      <c r="AB43" s="857">
        <v>0</v>
      </c>
      <c r="AC43" s="857">
        <v>0</v>
      </c>
      <c r="AD43" s="857">
        <v>0</v>
      </c>
      <c r="AE43" s="857">
        <v>0</v>
      </c>
      <c r="AF43" s="858">
        <v>1730089.7303795293</v>
      </c>
    </row>
    <row r="44" spans="2:32" ht="21.9" customHeight="1" x14ac:dyDescent="0.25">
      <c r="B44" s="861" t="str">
        <f>'Project Costs'!B46</f>
        <v>Patrol Road Improvements</v>
      </c>
      <c r="C44" s="114"/>
      <c r="D44" s="858" cm="1">
        <f t="array" ref="D44">SUM(_xlfn.ANCHORARRAY(E44) * discountAnnual)</f>
        <v>1508617.2154604476</v>
      </c>
      <c r="E44" s="857" cm="1">
        <f t="array" ref="E44:AF44">IF(year = MAX(year), (C21 * ($I$8 - $I$9) / $I$8) + D21, 0)</f>
        <v>0</v>
      </c>
      <c r="F44" s="857">
        <v>0</v>
      </c>
      <c r="G44" s="857">
        <v>0</v>
      </c>
      <c r="H44" s="857">
        <v>0</v>
      </c>
      <c r="I44" s="857">
        <v>0</v>
      </c>
      <c r="J44" s="857">
        <v>0</v>
      </c>
      <c r="K44" s="857">
        <v>0</v>
      </c>
      <c r="L44" s="857">
        <v>0</v>
      </c>
      <c r="M44" s="857">
        <v>0</v>
      </c>
      <c r="N44" s="857">
        <v>0</v>
      </c>
      <c r="O44" s="857">
        <v>0</v>
      </c>
      <c r="P44" s="857">
        <v>0</v>
      </c>
      <c r="Q44" s="857">
        <v>0</v>
      </c>
      <c r="R44" s="857">
        <v>0</v>
      </c>
      <c r="S44" s="857">
        <v>0</v>
      </c>
      <c r="T44" s="857">
        <v>0</v>
      </c>
      <c r="U44" s="857">
        <v>0</v>
      </c>
      <c r="V44" s="857">
        <v>0</v>
      </c>
      <c r="W44" s="857">
        <v>0</v>
      </c>
      <c r="X44" s="857">
        <v>0</v>
      </c>
      <c r="Y44" s="857">
        <v>0</v>
      </c>
      <c r="Z44" s="857">
        <v>0</v>
      </c>
      <c r="AA44" s="857">
        <v>0</v>
      </c>
      <c r="AB44" s="857">
        <v>0</v>
      </c>
      <c r="AC44" s="857">
        <v>0</v>
      </c>
      <c r="AD44" s="857">
        <v>0</v>
      </c>
      <c r="AE44" s="857">
        <v>0</v>
      </c>
      <c r="AF44" s="858">
        <v>3336601.6228748066</v>
      </c>
    </row>
    <row r="45" spans="2:32" ht="21.9" customHeight="1" x14ac:dyDescent="0.25">
      <c r="B45" s="861" t="str">
        <f>'Project Costs'!B47</f>
        <v>Williams Street Improvements</v>
      </c>
      <c r="C45" s="114"/>
      <c r="D45" s="858" cm="1">
        <f t="array" ref="D45">SUM(_xlfn.ANCHORARRAY(E45) * discountAnnual)</f>
        <v>1899740.1972464896</v>
      </c>
      <c r="E45" s="857" cm="1">
        <f t="array" ref="E45:AF45">IF(year = MAX(year), (C22 * ($I$8 - $I$9) / $I$8) + D22, 0)</f>
        <v>0</v>
      </c>
      <c r="F45" s="857">
        <v>0</v>
      </c>
      <c r="G45" s="857">
        <v>0</v>
      </c>
      <c r="H45" s="857">
        <v>0</v>
      </c>
      <c r="I45" s="857">
        <v>0</v>
      </c>
      <c r="J45" s="857">
        <v>0</v>
      </c>
      <c r="K45" s="857">
        <v>0</v>
      </c>
      <c r="L45" s="857">
        <v>0</v>
      </c>
      <c r="M45" s="857">
        <v>0</v>
      </c>
      <c r="N45" s="857">
        <v>0</v>
      </c>
      <c r="O45" s="857">
        <v>0</v>
      </c>
      <c r="P45" s="857">
        <v>0</v>
      </c>
      <c r="Q45" s="857">
        <v>0</v>
      </c>
      <c r="R45" s="857">
        <v>0</v>
      </c>
      <c r="S45" s="857">
        <v>0</v>
      </c>
      <c r="T45" s="857">
        <v>0</v>
      </c>
      <c r="U45" s="857">
        <v>0</v>
      </c>
      <c r="V45" s="857">
        <v>0</v>
      </c>
      <c r="W45" s="857">
        <v>0</v>
      </c>
      <c r="X45" s="857">
        <v>0</v>
      </c>
      <c r="Y45" s="857">
        <v>0</v>
      </c>
      <c r="Z45" s="857">
        <v>0</v>
      </c>
      <c r="AA45" s="857">
        <v>0</v>
      </c>
      <c r="AB45" s="857">
        <v>0</v>
      </c>
      <c r="AC45" s="857">
        <v>0</v>
      </c>
      <c r="AD45" s="857">
        <v>0</v>
      </c>
      <c r="AE45" s="857">
        <v>0</v>
      </c>
      <c r="AF45" s="858">
        <v>4201646.4880645713</v>
      </c>
    </row>
    <row r="46" spans="2:32" ht="21.9" customHeight="1" thickBot="1" x14ac:dyDescent="0.3">
      <c r="B46" s="863"/>
      <c r="C46" s="818" t="s">
        <v>25</v>
      </c>
      <c r="D46" s="853" cm="1">
        <f t="array" ref="D46">SUM(_xlfn.ANCHORARRAY(E46) * discountAnnual)</f>
        <v>6285905.0644185329</v>
      </c>
      <c r="E46" s="864" cm="1">
        <f t="array" ref="E46:AF46">_xlfn.ANCHORARRAY(E42) +_xlfn.ANCHORARRAY(E43) +_xlfn.ANCHORARRAY( E44) +_xlfn.ANCHORARRAY( E45)</f>
        <v>0</v>
      </c>
      <c r="F46" s="864">
        <v>0</v>
      </c>
      <c r="G46" s="864">
        <v>0</v>
      </c>
      <c r="H46" s="864">
        <v>0</v>
      </c>
      <c r="I46" s="864">
        <v>0</v>
      </c>
      <c r="J46" s="864">
        <v>0</v>
      </c>
      <c r="K46" s="864">
        <v>0</v>
      </c>
      <c r="L46" s="864">
        <v>0</v>
      </c>
      <c r="M46" s="864">
        <v>0</v>
      </c>
      <c r="N46" s="864">
        <v>0</v>
      </c>
      <c r="O46" s="864">
        <v>0</v>
      </c>
      <c r="P46" s="864">
        <v>0</v>
      </c>
      <c r="Q46" s="864">
        <v>0</v>
      </c>
      <c r="R46" s="864">
        <v>0</v>
      </c>
      <c r="S46" s="864">
        <v>0</v>
      </c>
      <c r="T46" s="864">
        <v>0</v>
      </c>
      <c r="U46" s="864">
        <v>0</v>
      </c>
      <c r="V46" s="864">
        <v>0</v>
      </c>
      <c r="W46" s="864">
        <v>0</v>
      </c>
      <c r="X46" s="864">
        <v>0</v>
      </c>
      <c r="Y46" s="864">
        <v>0</v>
      </c>
      <c r="Z46" s="864">
        <v>0</v>
      </c>
      <c r="AA46" s="864">
        <v>0</v>
      </c>
      <c r="AB46" s="864">
        <v>0</v>
      </c>
      <c r="AC46" s="864">
        <v>0</v>
      </c>
      <c r="AD46" s="864">
        <v>0</v>
      </c>
      <c r="AE46" s="864">
        <v>0</v>
      </c>
      <c r="AF46" s="865">
        <v>13902506.761978362</v>
      </c>
    </row>
  </sheetData>
  <mergeCells count="3">
    <mergeCell ref="G7:H7"/>
    <mergeCell ref="G8:H8"/>
    <mergeCell ref="G9:H9"/>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EC2B4E5301104E93F4699810BBBBF9" ma:contentTypeVersion="18" ma:contentTypeDescription="Create a new document." ma:contentTypeScope="" ma:versionID="d6693958830e04eaecded991684a3afd">
  <xsd:schema xmlns:xsd="http://www.w3.org/2001/XMLSchema" xmlns:xs="http://www.w3.org/2001/XMLSchema" xmlns:p="http://schemas.microsoft.com/office/2006/metadata/properties" xmlns:ns2="a5060e13-48ab-4f65-89d9-584b8a076273" xmlns:ns3="10195425-0631-417d-9576-672d1304af43" targetNamespace="http://schemas.microsoft.com/office/2006/metadata/properties" ma:root="true" ma:fieldsID="24e6518201d8910a423ec3cde12fc710" ns2:_="" ns3:_="">
    <xsd:import namespace="a5060e13-48ab-4f65-89d9-584b8a076273"/>
    <xsd:import namespace="10195425-0631-417d-9576-672d1304af43"/>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60e13-48ab-4f65-89d9-584b8a0762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309bf2f-0431-460d-a93a-990d633b9c5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195425-0631-417d-9576-672d1304af4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0435a4b-f4c4-4eea-81a5-09f5cecfe90d}" ma:internalName="TaxCatchAll" ma:showField="CatchAllData" ma:web="10195425-0631-417d-9576-672d1304af43">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0195425-0631-417d-9576-672d1304af43" xsi:nil="true"/>
    <lcf76f155ced4ddcb4097134ff3c332f xmlns="a5060e13-48ab-4f65-89d9-584b8a0762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728D490-AFDC-4D0A-B9AF-3A9AD1123F07}">
  <ds:schemaRefs>
    <ds:schemaRef ds:uri="http://schemas.microsoft.com/sharepoint/v3/contenttype/forms"/>
  </ds:schemaRefs>
</ds:datastoreItem>
</file>

<file path=customXml/itemProps2.xml><?xml version="1.0" encoding="utf-8"?>
<ds:datastoreItem xmlns:ds="http://schemas.openxmlformats.org/officeDocument/2006/customXml" ds:itemID="{5EDC4D90-D9A1-4DCF-802A-F2FA6EF29C57}"/>
</file>

<file path=customXml/itemProps3.xml><?xml version="1.0" encoding="utf-8"?>
<ds:datastoreItem xmlns:ds="http://schemas.openxmlformats.org/officeDocument/2006/customXml" ds:itemID="{C878C8D8-EA52-4B3C-AC93-45E5866DB26E}">
  <ds:schemaRefs>
    <ds:schemaRef ds:uri="http://schemas.openxmlformats.org/package/2006/metadata/core-properties"/>
    <ds:schemaRef ds:uri="b92ce6d8-3d4f-47ce-a4d4-bf10a44f577e"/>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49f35be9-f7f1-4ff2-99b5-d09cda27aca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Intro</vt:lpstr>
      <vt:lpstr>Results Summary</vt:lpstr>
      <vt:lpstr>Reporting Tables</vt:lpstr>
      <vt:lpstr>Inputs</vt:lpstr>
      <vt:lpstr>Safety</vt:lpstr>
      <vt:lpstr>Travel Time</vt:lpstr>
      <vt:lpstr>Emissions</vt:lpstr>
      <vt:lpstr>O&amp;M</vt:lpstr>
      <vt:lpstr>Residual Value</vt:lpstr>
      <vt:lpstr>Project Costs</vt:lpstr>
      <vt:lpstr>Volume and Speed</vt:lpstr>
      <vt:lpstr>Project Cost Data</vt:lpstr>
      <vt:lpstr>Price Deflators</vt:lpstr>
      <vt:lpstr>Crash Data</vt:lpstr>
      <vt:lpstr>Traffic Data</vt:lpstr>
      <vt:lpstr>Trip Gen</vt:lpstr>
      <vt:lpstr>Speed</vt:lpstr>
      <vt:lpstr>Emissions Data</vt:lpstr>
      <vt:lpstr>adjust2023to2021</vt:lpstr>
      <vt:lpstr>annualizationFactor</vt:lpstr>
      <vt:lpstr>baseYear</vt:lpstr>
      <vt:lpstr>Client.Name</vt:lpstr>
      <vt:lpstr>constructionDuration</vt:lpstr>
      <vt:lpstr>costInjury</vt:lpstr>
      <vt:lpstr>costLife</vt:lpstr>
      <vt:lpstr>costPDO</vt:lpstr>
      <vt:lpstr>discount</vt:lpstr>
      <vt:lpstr>discountannual2023</vt:lpstr>
      <vt:lpstr>discountCO2</vt:lpstr>
      <vt:lpstr>endYear</vt:lpstr>
      <vt:lpstr>feetToMiles</vt:lpstr>
      <vt:lpstr>foottomile</vt:lpstr>
      <vt:lpstr>Grant.Name</vt:lpstr>
      <vt:lpstr>nonpeakHours</vt:lpstr>
      <vt:lpstr>occupancyAutos</vt:lpstr>
      <vt:lpstr>occupancyTrucks</vt:lpstr>
      <vt:lpstr>peakHoursAM</vt:lpstr>
      <vt:lpstr>peakHoursPM</vt:lpstr>
      <vt:lpstr>percentPeak</vt:lpstr>
      <vt:lpstr>Project.Name</vt:lpstr>
      <vt:lpstr>proxySpeed</vt:lpstr>
      <vt:lpstr>startYear</vt:lpstr>
      <vt:lpstr>studyDuration</vt:lpstr>
      <vt:lpstr>tonsToGrams</vt:lpstr>
      <vt:lpstr>usefulLife</vt:lpstr>
      <vt:lpstr>VTTSAutos</vt:lpstr>
      <vt:lpstr>VTTSTrucks</vt:lpstr>
      <vt:lpstr>yearsOfBenefits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Forsander</dc:creator>
  <cp:lastModifiedBy>ccanady.Verifier</cp:lastModifiedBy>
  <cp:lastPrinted>2024-05-01T15:05:31Z</cp:lastPrinted>
  <dcterms:created xsi:type="dcterms:W3CDTF">2021-10-22T16:54:34Z</dcterms:created>
  <dcterms:modified xsi:type="dcterms:W3CDTF">2024-05-02T21:51:39Z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0x010100C1A3FC9F25BEF645BAE8D20E8C6DCDEC</vt:lpwstr>
  </property>
  <property fmtid="{D5CDD505-2E9C-101B-9397-08002B2CF9AE}" pid="3" name="MediaServiceImageTags">
    <vt:lpwstr/>
  </property>
</Properties>
</file>